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DS269Q01C" sheetId="2" r:id="rId2"/>
    <s:sheet name="DS269Q03C" sheetId="3" r:id="rId3"/>
    <s:sheet name="CS269Q04S" sheetId="4" r:id="rId4"/>
    <s:sheet name="CS408Q01S" sheetId="5" r:id="rId5"/>
    <s:sheet name="DS408Q03C" sheetId="6" r:id="rId6"/>
    <s:sheet name="CS408Q04S" sheetId="7" r:id="rId7"/>
    <s:sheet name="CS408Q05S" sheetId="8" r:id="rId8"/>
    <s:sheet name="CS521Q02S" sheetId="9" r:id="rId9"/>
    <s:sheet name="CS521Q06S" sheetId="10" r:id="rId10"/>
    <s:sheet name="DS519Q01C" sheetId="11" r:id="rId11"/>
    <s:sheet name="CS519Q02S" sheetId="12" r:id="rId12"/>
    <s:sheet name="DS519Q03C" sheetId="13" r:id="rId13"/>
    <s:sheet name="CS527Q01S" sheetId="14" r:id="rId14"/>
    <s:sheet name="CS527Q03S" sheetId="15" r:id="rId15"/>
    <s:sheet name="CS527Q04S" sheetId="16" r:id="rId16"/>
    <s:sheet name="CS466Q01S" sheetId="17" r:id="rId17"/>
    <s:sheet name="CS466Q07S" sheetId="18" r:id="rId18"/>
    <s:sheet name="CS466Q05S" sheetId="19" r:id="rId19"/>
    <s:sheet name="DS326Q01C" sheetId="20" r:id="rId20"/>
    <s:sheet name="DS326Q02C" sheetId="21" r:id="rId21"/>
    <s:sheet name="CS326Q03S" sheetId="22" r:id="rId22"/>
    <s:sheet name="CS326Q04S" sheetId="23" r:id="rId23"/>
    <s:sheet name="CS256Q01S" sheetId="24" r:id="rId24"/>
    <s:sheet name="CS478Q01S" sheetId="25" r:id="rId25"/>
    <s:sheet name="CS478Q02S" sheetId="26" r:id="rId26"/>
    <s:sheet name="CS478Q03S" sheetId="27" r:id="rId27"/>
    <s:sheet name="CS413Q06S" sheetId="28" r:id="rId28"/>
    <s:sheet name="CS413Q04S" sheetId="29" r:id="rId29"/>
    <s:sheet name="CS413Q05S" sheetId="30" r:id="rId30"/>
    <s:sheet name="CS498Q02S" sheetId="31" r:id="rId31"/>
    <s:sheet name="CS498Q03S" sheetId="32" r:id="rId32"/>
    <s:sheet name="DS498Q04C" sheetId="33" r:id="rId33"/>
    <s:sheet name="DS425Q03C" sheetId="34" r:id="rId34"/>
    <s:sheet name="CS425Q05S" sheetId="35" r:id="rId35"/>
    <s:sheet name="CS425Q02S" sheetId="36" r:id="rId36"/>
    <s:sheet name="DS425Q04C" sheetId="37" r:id="rId37"/>
    <s:sheet name="DS465Q01C" sheetId="38" r:id="rId38"/>
    <s:sheet name="CS465Q02S" sheetId="39" r:id="rId39"/>
    <s:sheet name="CS465Q04S" sheetId="40" r:id="rId40"/>
    <s:sheet name="DS131Q02C" sheetId="41" r:id="rId41"/>
    <s:sheet name="DS131Q04C" sheetId="42" r:id="rId42"/>
    <s:sheet name="CS428Q01S" sheetId="43" r:id="rId43"/>
    <s:sheet name="CS428Q03S" sheetId="44" r:id="rId44"/>
    <s:sheet name="DS428Q05C" sheetId="45" r:id="rId45"/>
    <s:sheet name="DS514Q02C" sheetId="46" r:id="rId46"/>
    <s:sheet name="DS514Q03C" sheetId="47" r:id="rId47"/>
    <s:sheet name="DS514Q04C" sheetId="48" r:id="rId48"/>
    <s:sheet name="CS438Q01S" sheetId="49" r:id="rId49"/>
    <s:sheet name="CS438Q02S" sheetId="50" r:id="rId50"/>
    <s:sheet name="DS438Q03C" sheetId="51" r:id="rId51"/>
    <s:sheet name="CS415Q07S" sheetId="52" r:id="rId52"/>
    <s:sheet name="CS415Q02S" sheetId="53" r:id="rId53"/>
    <s:sheet name="CS415Q08S" sheetId="54" r:id="rId54"/>
    <s:sheet name="CS476Q01S" sheetId="55" r:id="rId55"/>
    <s:sheet name="CS476Q02S" sheetId="56" r:id="rId56"/>
    <s:sheet name="CS476Q03S" sheetId="57" r:id="rId57"/>
    <s:sheet name="CS495Q04S" sheetId="58" r:id="rId58"/>
    <s:sheet name="CS495Q01S" sheetId="59" r:id="rId59"/>
    <s:sheet name="CS495Q02S" sheetId="60" r:id="rId60"/>
    <s:sheet name="DS495Q03C" sheetId="61" r:id="rId61"/>
    <s:sheet name="CS268Q01S" sheetId="62" r:id="rId62"/>
    <s:sheet name="DS268Q02C" sheetId="63" r:id="rId63"/>
    <s:sheet name="CS268Q06S" sheetId="64" r:id="rId64"/>
    <s:sheet name="CS524Q06S" sheetId="65" r:id="rId65"/>
    <s:sheet name="DS524Q07C" sheetId="66" r:id="rId66"/>
    <s:sheet name="CS510Q01S" sheetId="67" r:id="rId67"/>
    <s:sheet name="DS510Q04C" sheetId="68" r:id="rId68"/>
    <s:sheet name="CS437Q01S" sheetId="69" r:id="rId69"/>
    <s:sheet name="CS437Q03S" sheetId="70" r:id="rId70"/>
    <s:sheet name="CS437Q04S" sheetId="71" r:id="rId71"/>
    <s:sheet name="DS437Q06C" sheetId="72" r:id="rId72"/>
    <s:sheet name="DS304Q01C" sheetId="73" r:id="rId73"/>
    <s:sheet name="CS304Q02S" sheetId="74" r:id="rId74"/>
    <s:sheet name="DS304Q03aC" sheetId="75" r:id="rId75"/>
    <s:sheet name="DS304Q03bC" sheetId="76" r:id="rId76"/>
    <s:sheet name="DS416Q01C" sheetId="77" r:id="rId77"/>
    <s:sheet name="DS458Q01C" sheetId="78" r:id="rId78"/>
    <s:sheet name="CS458Q02S" sheetId="79" r:id="rId79"/>
    <s:sheet name="CS421Q01S" sheetId="80" r:id="rId80"/>
    <s:sheet name="CS421Q02S" sheetId="81" r:id="rId81"/>
    <s:sheet name="CS421Q03S" sheetId="82" r:id="rId82"/>
    <s:sheet name="CS252Q01S" sheetId="83" r:id="rId83"/>
    <s:sheet name="CS252Q02S" sheetId="84" r:id="rId84"/>
    <s:sheet name="CS252Q03S" sheetId="85" r:id="rId85"/>
    <s:sheet name="CS327Q01S" sheetId="86" r:id="rId86"/>
    <s:sheet name="CS627Q01S" sheetId="87" r:id="rId87"/>
    <s:sheet name="CS627Q03S" sheetId="88" r:id="rId88"/>
    <s:sheet name="CS627Q04S" sheetId="89" r:id="rId89"/>
    <s:sheet name="CS635Q01S" sheetId="90" r:id="rId90"/>
    <s:sheet name="CS635Q02S" sheetId="91" r:id="rId91"/>
    <s:sheet name="DS635Q03C" sheetId="92" r:id="rId92"/>
    <s:sheet name="CS635Q04S" sheetId="93" r:id="rId93"/>
    <s:sheet name="DS635Q05C" sheetId="94" r:id="rId94"/>
    <s:sheet name="CS603Q01S" sheetId="95" r:id="rId95"/>
    <s:sheet name="DS603Q02C" sheetId="96" r:id="rId96"/>
    <s:sheet name="CS603Q03S" sheetId="97" r:id="rId97"/>
    <s:sheet name="CS603Q04S" sheetId="98" r:id="rId98"/>
    <s:sheet name="CS603Q05S" sheetId="99" r:id="rId99"/>
    <s:sheet name="CS602Q01S" sheetId="100" r:id="rId100"/>
    <s:sheet name="CS602Q02S" sheetId="101" r:id="rId101"/>
    <s:sheet name="DS602Q03C" sheetId="102" r:id="rId102"/>
    <s:sheet name="CS602Q04S" sheetId="103" r:id="rId103"/>
    <s:sheet name="CS607Q01S" sheetId="104" r:id="rId104"/>
    <s:sheet name="CS607Q02S" sheetId="105" r:id="rId105"/>
    <s:sheet name="DS607Q03C" sheetId="106" r:id="rId106"/>
    <s:sheet name="CS646Q01S" sheetId="107" r:id="rId107"/>
    <s:sheet name="CS646Q02S" sheetId="108" r:id="rId108"/>
    <s:sheet name="CS646Q03S" sheetId="109" r:id="rId109"/>
    <s:sheet name="DS646Q04C" sheetId="110" r:id="rId110"/>
    <s:sheet name="DS646Q05C" sheetId="111" r:id="rId111"/>
    <s:sheet name="CS608Q01S" sheetId="112" r:id="rId112"/>
    <s:sheet name="CS608Q02S" sheetId="113" r:id="rId113"/>
    <s:sheet name="CS608Q03S" sheetId="114" r:id="rId114"/>
    <s:sheet name="DS608Q04C" sheetId="115" r:id="rId115"/>
    <s:sheet name="CS605Q01S" sheetId="116" r:id="rId116"/>
    <s:sheet name="CS605Q02S" sheetId="117" r:id="rId117"/>
    <s:sheet name="CS605Q03S" sheetId="118" r:id="rId118"/>
    <s:sheet name="DS605Q04C" sheetId="119" r:id="rId119"/>
    <s:sheet name="CS649Q01S" sheetId="120" r:id="rId120"/>
    <s:sheet name="DS649Q02C" sheetId="121" r:id="rId121"/>
    <s:sheet name="CS649Q03S" sheetId="122" r:id="rId122"/>
    <s:sheet name="CS649Q04S" sheetId="123" r:id="rId123"/>
    <s:sheet name="CS634Q01S" sheetId="124" r:id="rId124"/>
    <s:sheet name="CS634Q02S" sheetId="125" r:id="rId125"/>
    <s:sheet name="DS634Q03C" sheetId="126" r:id="rId126"/>
    <s:sheet name="DS634Q05C" sheetId="127" r:id="rId127"/>
    <s:sheet name="CS634Q04S" sheetId="128" r:id="rId128"/>
    <s:sheet name="CS620Q01S" sheetId="129" r:id="rId129"/>
    <s:sheet name="CS620Q02S" sheetId="130" r:id="rId130"/>
    <s:sheet name="DS620Q04C" sheetId="131" r:id="rId131"/>
    <s:sheet name="CS638Q01S" sheetId="132" r:id="rId132"/>
    <s:sheet name="CS638Q02S" sheetId="133" r:id="rId133"/>
    <s:sheet name="CS638Q04S" sheetId="134" r:id="rId134"/>
    <s:sheet name="DS638Q05C" sheetId="135" r:id="rId135"/>
    <s:sheet name="DS625Q01C" sheetId="136" r:id="rId136"/>
    <s:sheet name="CS625Q02S" sheetId="137" r:id="rId137"/>
    <s:sheet name="CS625Q03S" sheetId="138" r:id="rId138"/>
    <s:sheet name="CS615Q07S" sheetId="139" r:id="rId139"/>
    <s:sheet name="CS615Q01S" sheetId="140" r:id="rId140"/>
    <s:sheet name="CS615Q02S" sheetId="141" r:id="rId141"/>
    <s:sheet name="CS615Q05S" sheetId="142" r:id="rId142"/>
    <s:sheet name="CS604Q02S" sheetId="143" r:id="rId143"/>
    <s:sheet name="DS604Q04C" sheetId="144" r:id="rId144"/>
    <s:sheet name="CS645Q01S" sheetId="145" r:id="rId145"/>
    <s:sheet name="CS645Q03S" sheetId="146" r:id="rId146"/>
    <s:sheet name="DS645Q04C" sheetId="147" r:id="rId147"/>
    <s:sheet name="DS645Q05C" sheetId="148" r:id="rId148"/>
    <s:sheet name="CS657Q01S" sheetId="149" r:id="rId149"/>
    <s:sheet name="CS657Q02S" sheetId="150" r:id="rId150"/>
    <s:sheet name="CS657Q03S" sheetId="151" r:id="rId151"/>
    <s:sheet name="DS657Q04C" sheetId="152" r:id="rId152"/>
    <s:sheet name="CS656Q01S" sheetId="153" r:id="rId153"/>
    <s:sheet name="DS656Q02C" sheetId="154" r:id="rId154"/>
    <s:sheet name="CS656Q04S" sheetId="155" r:id="rId155"/>
    <s:sheet name="DS643Q03C" sheetId="156" r:id="rId156"/>
    <s:sheet name="CS643Q01S" sheetId="157" r:id="rId157"/>
    <s:sheet name="CS643Q02S" sheetId="158" r:id="rId158"/>
    <s:sheet name="CS643Q04S" sheetId="159" r:id="rId159"/>
    <s:sheet name="DS643Q05C" sheetId="160" r:id="rId160"/>
    <s:sheet name="DS629Q01C" sheetId="161" r:id="rId161"/>
    <s:sheet name="CS629Q02S" sheetId="162" r:id="rId162"/>
    <s:sheet name="DS629Q03C" sheetId="163" r:id="rId163"/>
    <s:sheet name="CS629Q04S" sheetId="164" r:id="rId164"/>
    <s:sheet name="DS648Q01C" sheetId="165" r:id="rId165"/>
    <s:sheet name="CS648Q02S" sheetId="166" r:id="rId166"/>
    <s:sheet name="CS648Q03S" sheetId="167" r:id="rId167"/>
    <s:sheet name="DS648Q05C" sheetId="168" r:id="rId168"/>
    <s:sheet name="CS641Q01S" sheetId="169" r:id="rId169"/>
    <s:sheet name="CS641Q02S" sheetId="170" r:id="rId170"/>
    <s:sheet name="CS641Q03S" sheetId="171" r:id="rId171"/>
    <s:sheet name="CS641Q04S" sheetId="172" r:id="rId172"/>
    <s:sheet name="DS637Q01C" sheetId="173" r:id="rId173"/>
    <s:sheet name="CS637Q02S" sheetId="174" r:id="rId174"/>
    <s:sheet name="DS637Q05C" sheetId="175" r:id="rId175"/>
    <s:sheet name="CS601Q01S" sheetId="176" r:id="rId176"/>
    <s:sheet name="CS601Q02S" sheetId="177" r:id="rId177"/>
    <s:sheet name="CS601Q04S" sheetId="178" r:id="rId178"/>
    <s:sheet name="DS610Q01C" sheetId="179" r:id="rId179"/>
    <s:sheet name="CS610Q02S" sheetId="180" r:id="rId180"/>
    <s:sheet name="CS610Q04S" sheetId="181" r:id="rId181"/>
    <s:sheet name="CS626Q01S" sheetId="182" r:id="rId182"/>
    <s:sheet name="CS626Q02S" sheetId="183" r:id="rId183"/>
    <s:sheet name="CS626Q03S" sheetId="184" r:id="rId184"/>
    <s:sheet name="DS626Q04C" sheetId="185" r:id="rId185"/>
    <s:sheet name="PS269Q01" sheetId="186" r:id="rId186"/>
    <s:sheet name="PS269Q03" sheetId="187" r:id="rId187"/>
    <s:sheet name="PS269Q04S" sheetId="188" r:id="rId188"/>
    <s:sheet name="PS408Q01S" sheetId="189" r:id="rId189"/>
    <s:sheet name="PS408Q03" sheetId="190" r:id="rId190"/>
    <s:sheet name="PS408Q04S" sheetId="191" r:id="rId191"/>
    <s:sheet name="PS408Q05S" sheetId="192" r:id="rId192"/>
    <s:sheet name="PS521Q02S" sheetId="193" r:id="rId193"/>
    <s:sheet name="PS521Q06S" sheetId="194" r:id="rId194"/>
    <s:sheet name="PS519Q01" sheetId="195" r:id="rId195"/>
    <s:sheet name="PS519Q02S" sheetId="196" r:id="rId196"/>
    <s:sheet name="PS519Q03" sheetId="197" r:id="rId197"/>
    <s:sheet name="PS527Q01S" sheetId="198" r:id="rId198"/>
    <s:sheet name="PS527Q03S" sheetId="199" r:id="rId199"/>
    <s:sheet name="PS527Q04S" sheetId="200" r:id="rId200"/>
    <s:sheet name="PS466Q01S" sheetId="201" r:id="rId201"/>
    <s:sheet name="PS466Q07S" sheetId="202" r:id="rId202"/>
    <s:sheet name="PS466Q05S" sheetId="203" r:id="rId203"/>
    <s:sheet name="PS326Q01" sheetId="204" r:id="rId204"/>
    <s:sheet name="PS326Q02" sheetId="205" r:id="rId205"/>
    <s:sheet name="PS326Q03S" sheetId="206" r:id="rId206"/>
    <s:sheet name="PS326Q04S" sheetId="207" r:id="rId207"/>
    <s:sheet name="PS256Q01S" sheetId="208" r:id="rId208"/>
    <s:sheet name="PS478Q01S" sheetId="209" r:id="rId209"/>
    <s:sheet name="PS478Q02S" sheetId="210" r:id="rId210"/>
    <s:sheet name="PS478Q03S" sheetId="211" r:id="rId211"/>
    <s:sheet name="PS413Q06" sheetId="212" r:id="rId212"/>
    <s:sheet name="PS413Q04S" sheetId="213" r:id="rId213"/>
    <s:sheet name="PS413Q05S" sheetId="214" r:id="rId214"/>
    <s:sheet name="PS498Q02S" sheetId="215" r:id="rId215"/>
    <s:sheet name="PS498Q03S" sheetId="216" r:id="rId216"/>
    <s:sheet name="PS498Q04" sheetId="217" r:id="rId217"/>
    <s:sheet name="PS425Q03" sheetId="218" r:id="rId218"/>
    <s:sheet name="PS425Q05S" sheetId="219" r:id="rId219"/>
    <s:sheet name="PS425Q02S" sheetId="220" r:id="rId220"/>
    <s:sheet name="PS425Q04" sheetId="221" r:id="rId221"/>
    <s:sheet name="PS465Q01" sheetId="222" r:id="rId222"/>
    <s:sheet name="PS465Q02S" sheetId="223" r:id="rId223"/>
    <s:sheet name="PS465Q04S" sheetId="224" r:id="rId224"/>
    <s:sheet name="PS131Q02" sheetId="225" r:id="rId225"/>
    <s:sheet name="PS131Q04" sheetId="226" r:id="rId226"/>
    <s:sheet name="PS428Q01S" sheetId="227" r:id="rId227"/>
    <s:sheet name="PS428Q03S" sheetId="228" r:id="rId228"/>
    <s:sheet name="PS428Q05" sheetId="229" r:id="rId229"/>
    <s:sheet name="PS514Q02" sheetId="230" r:id="rId230"/>
    <s:sheet name="PS514Q03" sheetId="231" r:id="rId231"/>
    <s:sheet name="PS514Q04" sheetId="232" r:id="rId232"/>
    <s:sheet name="PS438Q01S" sheetId="233" r:id="rId233"/>
    <s:sheet name="PS438Q02S" sheetId="234" r:id="rId234"/>
    <s:sheet name="PS438Q03" sheetId="235" r:id="rId235"/>
    <s:sheet name="PS415Q07S" sheetId="236" r:id="rId236"/>
    <s:sheet name="PS415Q02S" sheetId="237" r:id="rId237"/>
    <s:sheet name="PS415Q08S" sheetId="238" r:id="rId238"/>
    <s:sheet name="PS476Q01S" sheetId="239" r:id="rId239"/>
    <s:sheet name="PS476Q02S" sheetId="240" r:id="rId240"/>
    <s:sheet name="PS476Q03S" sheetId="241" r:id="rId241"/>
    <s:sheet name="PS495Q04S" sheetId="242" r:id="rId242"/>
    <s:sheet name="PS495Q01S" sheetId="243" r:id="rId243"/>
    <s:sheet name="PS495Q02S" sheetId="244" r:id="rId244"/>
    <s:sheet name="S495Q03" sheetId="245" r:id="rId245"/>
    <s:sheet name="PS456Q01S" sheetId="246" r:id="rId246"/>
    <s:sheet name="PS456Q02S" sheetId="247" r:id="rId247"/>
    <s:sheet name="PS268Q01S" sheetId="248" r:id="rId248"/>
    <s:sheet name="S268Q02" sheetId="249" r:id="rId249"/>
    <s:sheet name="PS268Q06S" sheetId="250" r:id="rId250"/>
    <s:sheet name="PS524Q06S" sheetId="251" r:id="rId251"/>
    <s:sheet name="S524Q07" sheetId="252" r:id="rId252"/>
    <s:sheet name="PS510Q01S" sheetId="253" r:id="rId253"/>
    <s:sheet name="S510Q04" sheetId="254" r:id="rId254"/>
    <s:sheet name="PS437Q01S" sheetId="255" r:id="rId255"/>
    <s:sheet name="PS437Q03S" sheetId="256" r:id="rId256"/>
    <s:sheet name="PS437Q04S" sheetId="257" r:id="rId257"/>
    <s:sheet name="S437Q06" sheetId="258" r:id="rId258"/>
    <s:sheet name="S304Q01" sheetId="259" r:id="rId259"/>
    <s:sheet name="PS304Q02S" sheetId="260" r:id="rId260"/>
    <s:sheet name="S304Q03a" sheetId="261" r:id="rId261"/>
    <s:sheet name="S304Q03b" sheetId="262" r:id="rId262"/>
    <s:sheet name="S416Q01" sheetId="263" r:id="rId263"/>
    <s:sheet name="S458Q01" sheetId="264" r:id="rId264"/>
    <s:sheet name="PS458Q02S" sheetId="265" r:id="rId265"/>
    <s:sheet name="S421Q01" sheetId="266" r:id="rId266"/>
    <s:sheet name="S421Q02" sheetId="267" r:id="rId267"/>
    <s:sheet name="S421Q03" sheetId="268" r:id="rId268"/>
    <s:sheet name="PS252Q01S" sheetId="269" r:id="rId269"/>
    <s:sheet name="PS252Q02S" sheetId="270" r:id="rId270"/>
    <s:sheet name="PS252Q03S" sheetId="271" r:id="rId271"/>
    <s:sheet name="PS327Q01S" sheetId="272" r:id="rId272"/>
    <s:sheet name="PS133Q01S" sheetId="273" r:id="rId273"/>
    <s:sheet name="PS133Q03S" sheetId="274" r:id="rId274"/>
    <s:sheet name="PS133Q04S" sheetId="275" r:id="rId275"/>
  </s:sheets>
  <s:definedNames/>
  <s:calcPr calcId="124519" fullCalcOnLoad="1"/>
</s:workbook>
</file>

<file path=xl/sharedStrings.xml><?xml version="1.0" encoding="utf-8"?>
<sst xmlns="http://schemas.openxmlformats.org/spreadsheetml/2006/main" uniqueCount="944">
  <si>
    <t>Table of Contents</t>
  </si>
  <si>
    <t>DS269Q01C</t>
  </si>
  <si>
    <t>Earth's Temperature - Q01 (Coded Response)</t>
  </si>
  <si>
    <t>DS269Q03C</t>
  </si>
  <si>
    <t>Earth's Temperature - Q03 (Coded Response)</t>
  </si>
  <si>
    <t>CS269Q04S</t>
  </si>
  <si>
    <t>Earth's Temperature - Q04 (Scored Response)</t>
  </si>
  <si>
    <t>CS408Q01S</t>
  </si>
  <si>
    <t>Wild Oat Grass - Q01 (Scored Response)</t>
  </si>
  <si>
    <t>DS408Q03C</t>
  </si>
  <si>
    <t>Wild Oat Grass - Q03 (Coded Response)</t>
  </si>
  <si>
    <t>CS408Q04S</t>
  </si>
  <si>
    <t>Wild Oat Grass - Q04 (Scored Response)</t>
  </si>
  <si>
    <t>CS408Q05S</t>
  </si>
  <si>
    <t>Wild Oat Grass - Q05 (Scored Response)</t>
  </si>
  <si>
    <t>CS521Q02S</t>
  </si>
  <si>
    <t>Cooking Outdoors - Q02 (Scored Response)</t>
  </si>
  <si>
    <t>CS521Q06S</t>
  </si>
  <si>
    <t>Cooking Outdoors - Q06 (Scored Response)</t>
  </si>
  <si>
    <t>DS519Q01C</t>
  </si>
  <si>
    <t>Airbags - Q01 (Coded Response)</t>
  </si>
  <si>
    <t>CS519Q02S</t>
  </si>
  <si>
    <t>Airbags - Q02 (Scored Response)</t>
  </si>
  <si>
    <t>DS519Q03C</t>
  </si>
  <si>
    <t>Airbags - Q03 (Coded Response)</t>
  </si>
  <si>
    <t>CS527Q01S</t>
  </si>
  <si>
    <t>Extinction of the Dinosaurs - Q01 (Scored Response)</t>
  </si>
  <si>
    <t>CS527Q03S</t>
  </si>
  <si>
    <t>Extinction of the Dinosaurs - Q03 (Scored Response)</t>
  </si>
  <si>
    <t>CS527Q04S</t>
  </si>
  <si>
    <t>Extinction of the Dinosaurs - Q04 (Scored Response)</t>
  </si>
  <si>
    <t>CS466Q01S</t>
  </si>
  <si>
    <t>Forest Fires - Q01 (Scored Response)</t>
  </si>
  <si>
    <t>CS466Q07S</t>
  </si>
  <si>
    <t>Forest Fires - Q07 (Scored Response)</t>
  </si>
  <si>
    <t>CS466Q05S</t>
  </si>
  <si>
    <t>Forest Fires - Q05 (Scored Response)</t>
  </si>
  <si>
    <t>DS326Q01C</t>
  </si>
  <si>
    <t>Milk - Q01 (Coded Response)</t>
  </si>
  <si>
    <t>DS326Q02C</t>
  </si>
  <si>
    <t>Milk - Q02 (Coded Response)</t>
  </si>
  <si>
    <t>CS326Q03S</t>
  </si>
  <si>
    <t>Milk - Q03 (Scored Response)</t>
  </si>
  <si>
    <t>CS326Q04S</t>
  </si>
  <si>
    <t>Milk - Q04 (Scored Response)</t>
  </si>
  <si>
    <t>CS256Q01S</t>
  </si>
  <si>
    <t>Spoons - Q01 (Scored Response)</t>
  </si>
  <si>
    <t>CS478Q01S</t>
  </si>
  <si>
    <t>Antibiotics - Q01 (Scored Response)</t>
  </si>
  <si>
    <t>CS478Q02S</t>
  </si>
  <si>
    <t>Antibiotics - Q02 (Scored Response)</t>
  </si>
  <si>
    <t>CS478Q03S</t>
  </si>
  <si>
    <t>Antibiotics - Q03 (Scored Response)</t>
  </si>
  <si>
    <t>CS413Q06S</t>
  </si>
  <si>
    <t>Plastic Age - Q06 (Scored Response)</t>
  </si>
  <si>
    <t>CS413Q04S</t>
  </si>
  <si>
    <t>Plastic Age - Q04 (Scored Response)</t>
  </si>
  <si>
    <t>CS413Q05S</t>
  </si>
  <si>
    <t>Plastic Age - Q05 (Scored Response)</t>
  </si>
  <si>
    <t>CS498Q02S</t>
  </si>
  <si>
    <t>Experimental Digestion - Q02 (Scored Response)</t>
  </si>
  <si>
    <t>CS498Q03S</t>
  </si>
  <si>
    <t>Experimental Digestion - Q03 (Scored Response)</t>
  </si>
  <si>
    <t>DS498Q04C</t>
  </si>
  <si>
    <t>Experimental Digestion - Q04 (Coded Response)</t>
  </si>
  <si>
    <t>DS425Q03C</t>
  </si>
  <si>
    <t>Penguin Island - Q03 (Coded Response)</t>
  </si>
  <si>
    <t>CS425Q05S</t>
  </si>
  <si>
    <t>Penguin Island - Q05 (Scored Response)</t>
  </si>
  <si>
    <t>CS425Q02S</t>
  </si>
  <si>
    <t>Penguin Island - Q02 (Scored Response)</t>
  </si>
  <si>
    <t>DS425Q04C</t>
  </si>
  <si>
    <t>Penguin Island - Q04 (Coded Response)</t>
  </si>
  <si>
    <t>DS465Q01C</t>
  </si>
  <si>
    <t>Different Climates - Q01 (Coded Response)</t>
  </si>
  <si>
    <t>CS465Q02S</t>
  </si>
  <si>
    <t>Different Climates - Q02 (Scored Response)</t>
  </si>
  <si>
    <t>CS465Q04S</t>
  </si>
  <si>
    <t>Different Climates - Q04 (Scored Response)</t>
  </si>
  <si>
    <t>DS131Q02C</t>
  </si>
  <si>
    <t>Good Vibrations - Q02 (Coded Response)</t>
  </si>
  <si>
    <t>DS131Q04C</t>
  </si>
  <si>
    <t>Good Vibrations - Q04 (Coded Response)</t>
  </si>
  <si>
    <t>CS428Q01S</t>
  </si>
  <si>
    <t>Bacteria in Milk - Q01 (Scored Response)</t>
  </si>
  <si>
    <t>CS428Q03S</t>
  </si>
  <si>
    <t>Bacteria in Milk - Q03 (Scored Response)</t>
  </si>
  <si>
    <t>DS428Q05C</t>
  </si>
  <si>
    <t>Bacteria in Milk - Q05 (Coded Response)</t>
  </si>
  <si>
    <t>DS514Q02C</t>
  </si>
  <si>
    <t>Development and Disaster - Q02 (Coded Response)</t>
  </si>
  <si>
    <t>DS514Q03C</t>
  </si>
  <si>
    <t>Development and Disaster - Q03 (Coded Response)</t>
  </si>
  <si>
    <t>DS514Q04C</t>
  </si>
  <si>
    <t>Development and Disaster - Q04 (Coded Response)</t>
  </si>
  <si>
    <t>CS438Q01S</t>
  </si>
  <si>
    <t>Green Parks - Q01 (Scored Response)</t>
  </si>
  <si>
    <t>CS438Q02S</t>
  </si>
  <si>
    <t>Green Parks - Q02 (Scored Response)</t>
  </si>
  <si>
    <t>DS438Q03C</t>
  </si>
  <si>
    <t>Green Parks - Q03 (Coded Response)</t>
  </si>
  <si>
    <t>CS415Q07S</t>
  </si>
  <si>
    <t>Solar Power Generation (Solar Panels) - Q07 (Scored Response)</t>
  </si>
  <si>
    <t>CS415Q02S</t>
  </si>
  <si>
    <t>Solar Power Generation (Solar Panels) - Q02 (Scored Response)</t>
  </si>
  <si>
    <t>CS415Q08S</t>
  </si>
  <si>
    <t>Solar Power Generation (Solar Panels) - Q08 (Scored Response)</t>
  </si>
  <si>
    <t>CS476Q01S</t>
  </si>
  <si>
    <t>Heart Surgery - Q01 (Scored Response)</t>
  </si>
  <si>
    <t>CS476Q02S</t>
  </si>
  <si>
    <t>Heart Surgery - Q02 (Scored Response)</t>
  </si>
  <si>
    <t>CS476Q03S</t>
  </si>
  <si>
    <t>Heart Surgery - Q03 (Scored Response)</t>
  </si>
  <si>
    <t>CS495Q04S</t>
  </si>
  <si>
    <t>Radiotherapy - Q04 (Scored Response)</t>
  </si>
  <si>
    <t>CS495Q01S</t>
  </si>
  <si>
    <t>Radiotherapy - Q01 (Scored Response)</t>
  </si>
  <si>
    <t>CS495Q02S</t>
  </si>
  <si>
    <t>Radiotherapy - Q02 (Scored Response)</t>
  </si>
  <si>
    <t>DS495Q03C</t>
  </si>
  <si>
    <t>Radiotherapy - Q03 (Coded Response)</t>
  </si>
  <si>
    <t>CS268Q01S</t>
  </si>
  <si>
    <t>Algae - Q01 (Scored Response)</t>
  </si>
  <si>
    <t>DS268Q02C</t>
  </si>
  <si>
    <t>Algae - Q02 (Coded Response)</t>
  </si>
  <si>
    <t>CS268Q06S</t>
  </si>
  <si>
    <t>Algae - Q06 (Scored Response)</t>
  </si>
  <si>
    <t>CS524Q06S</t>
  </si>
  <si>
    <t>Penicillin Manufacture - Q06 (Scored Response)</t>
  </si>
  <si>
    <t>DS524Q07C</t>
  </si>
  <si>
    <t>Penicillin Manufacture - Q07 (Coded Response)</t>
  </si>
  <si>
    <t>CS510Q01S</t>
  </si>
  <si>
    <t>Magnetic Hovertrain - Q01 (Scored Response)</t>
  </si>
  <si>
    <t>DS510Q04C</t>
  </si>
  <si>
    <t>Magnetic Hovertrain - Q04 (Coded Response)</t>
  </si>
  <si>
    <t>CS437Q01S</t>
  </si>
  <si>
    <t>Extinguishing Fires - Q01 (Scored Response)</t>
  </si>
  <si>
    <t>CS437Q03S</t>
  </si>
  <si>
    <t>Extinguishing Fires - Q03 (Scored Response)</t>
  </si>
  <si>
    <t>CS437Q04S</t>
  </si>
  <si>
    <t>Extinguishing Fires - Q04 (Scored Response)</t>
  </si>
  <si>
    <t>DS437Q06C</t>
  </si>
  <si>
    <t>Extinguishing Fires - Q06 (Coded Response)</t>
  </si>
  <si>
    <t>DS304Q01C</t>
  </si>
  <si>
    <t>Water - Q01 (Coded Response)</t>
  </si>
  <si>
    <t>CS304Q02S</t>
  </si>
  <si>
    <t>Water - Q02 (Scored Response)</t>
  </si>
  <si>
    <t>DS304Q03aC</t>
  </si>
  <si>
    <t>Water - Q03a (Coded Response)</t>
  </si>
  <si>
    <t>DS304Q03bC</t>
  </si>
  <si>
    <t>Water - Q03b (Coded Response)</t>
  </si>
  <si>
    <t>DS416Q01C</t>
  </si>
  <si>
    <t>The Moon - Q01 (Coded Response)</t>
  </si>
  <si>
    <t>DS458Q01C</t>
  </si>
  <si>
    <t>The Ice Mummy - Q01 (Coded Response)</t>
  </si>
  <si>
    <t>CS458Q02S</t>
  </si>
  <si>
    <t>The Ice Mummy - Q02 (Scored Response)</t>
  </si>
  <si>
    <t>CS421Q01S</t>
  </si>
  <si>
    <t>Big and Small - Q01 (Scored Response)</t>
  </si>
  <si>
    <t>CS421Q02S</t>
  </si>
  <si>
    <t>Big and Small - Q02 (Scored Response)</t>
  </si>
  <si>
    <t>CS421Q03S</t>
  </si>
  <si>
    <t>Big and Small - Q03 (Scored Response)</t>
  </si>
  <si>
    <t>CS252Q01S</t>
  </si>
  <si>
    <t>South Rainea - Q01 (Scored Response)</t>
  </si>
  <si>
    <t>CS252Q02S</t>
  </si>
  <si>
    <t>South Rainea - Q02 (Scored Response)</t>
  </si>
  <si>
    <t>CS252Q03S</t>
  </si>
  <si>
    <t>South Rainea - Q03 (Scored Response)</t>
  </si>
  <si>
    <t>CS327Q01S</t>
  </si>
  <si>
    <t>Tidal Energy - Q01 (Scored Response)</t>
  </si>
  <si>
    <t>CS627Q01S</t>
  </si>
  <si>
    <t>Car Tyres - Q01 (Scored Response)</t>
  </si>
  <si>
    <t>CS627Q03S</t>
  </si>
  <si>
    <t>Car Tyres - Q03 (Scored Response)</t>
  </si>
  <si>
    <t>CS627Q04S</t>
  </si>
  <si>
    <t>Car Tyres - Q04 (Scored Response)</t>
  </si>
  <si>
    <t>CS635Q01S</t>
  </si>
  <si>
    <t>Save the Fish - Q01 (Scored Response)</t>
  </si>
  <si>
    <t>CS635Q02S</t>
  </si>
  <si>
    <t>Save the Fish - Q02 (Scored Response)</t>
  </si>
  <si>
    <t>DS635Q03C</t>
  </si>
  <si>
    <t>Save the Fish - Q03 (Coded Response)</t>
  </si>
  <si>
    <t>CS635Q04S</t>
  </si>
  <si>
    <t>Save the Fish - Q04 (Scored Response)</t>
  </si>
  <si>
    <t>DS635Q05C</t>
  </si>
  <si>
    <t>Save the Fish - Q05 (Coded Response)</t>
  </si>
  <si>
    <t>CS603Q01S</t>
  </si>
  <si>
    <t>Elephants and Acacia Trees - Q01 (Scored Response)</t>
  </si>
  <si>
    <t>DS603Q02C</t>
  </si>
  <si>
    <t>Elephants and Acacia Trees - Q02 (Coded Response)</t>
  </si>
  <si>
    <t>CS603Q03S</t>
  </si>
  <si>
    <t>Elephants and Acacia Trees - Q03 (Scored Response)</t>
  </si>
  <si>
    <t>CS603Q04S</t>
  </si>
  <si>
    <t>Elephants and Acacia Trees - Q04 (Scored Response)</t>
  </si>
  <si>
    <t>CS603Q05S</t>
  </si>
  <si>
    <t>Elephants and Acacia Trees - Q05 (Scored Response)</t>
  </si>
  <si>
    <t>CS602Q01S</t>
  </si>
  <si>
    <t>Urban Heat Island Effect - Q01 (Scored Response)</t>
  </si>
  <si>
    <t>CS602Q02S</t>
  </si>
  <si>
    <t>Urban Heat Island Effect - Q02 (Scored Response)</t>
  </si>
  <si>
    <t>DS602Q03C</t>
  </si>
  <si>
    <t>Urban Heat Island Effect - Q03 (Coded Response)</t>
  </si>
  <si>
    <t>CS602Q04S</t>
  </si>
  <si>
    <t>Urban Heat Island Effect - Q04 (Scored Response)</t>
  </si>
  <si>
    <t>CS607Q01S</t>
  </si>
  <si>
    <t>Birds and Caterpillars - Q01 (Scored Response)</t>
  </si>
  <si>
    <t>CS607Q02S</t>
  </si>
  <si>
    <t>Birds and Caterpillars - Q02 (Scored Response)</t>
  </si>
  <si>
    <t>DS607Q03C</t>
  </si>
  <si>
    <t>Birds and Caterpillars - Q03 (Coded Response)</t>
  </si>
  <si>
    <t>CS646Q01S</t>
  </si>
  <si>
    <t>Nanoparticles - Q01 (Scored Response)</t>
  </si>
  <si>
    <t>CS646Q02S</t>
  </si>
  <si>
    <t>Nanoparticles - Q02 (Scored Response)</t>
  </si>
  <si>
    <t>CS646Q03S</t>
  </si>
  <si>
    <t>Nanoparticles - Q03 (Scored Response)</t>
  </si>
  <si>
    <t>DS646Q04C</t>
  </si>
  <si>
    <t>Nanoparticles - Q04 (All Rows Correct)</t>
  </si>
  <si>
    <t>DS646Q05C</t>
  </si>
  <si>
    <t>Nanoparticles - Q05 (Coded Response)</t>
  </si>
  <si>
    <t>CS608Q01S</t>
  </si>
  <si>
    <t>Ammonoids - Q01 (Scored Response)</t>
  </si>
  <si>
    <t>CS608Q02S</t>
  </si>
  <si>
    <t>Ammonoids - Q02 (Scored Response)</t>
  </si>
  <si>
    <t>CS608Q03S</t>
  </si>
  <si>
    <t>Ammonoids - Q03 (Scored Response)</t>
  </si>
  <si>
    <t>DS608Q04C</t>
  </si>
  <si>
    <t>Ammonoids - Q04 (Coded Response)</t>
  </si>
  <si>
    <t>CS605Q01S</t>
  </si>
  <si>
    <t>Geothermal Energy - Q01 (Scored Response)</t>
  </si>
  <si>
    <t>CS605Q02S</t>
  </si>
  <si>
    <t>Geothermal Energy - Q02 (Scored Response)</t>
  </si>
  <si>
    <t>CS605Q03S</t>
  </si>
  <si>
    <t>Geothermal Energy - Q03 (Scored Response)</t>
  </si>
  <si>
    <t>DS605Q04C</t>
  </si>
  <si>
    <t>Geothermal Energy - Q04 (Coded Response)</t>
  </si>
  <si>
    <t>CS649Q01S</t>
  </si>
  <si>
    <t>Weather Balloon - Q01 (Scored Response)</t>
  </si>
  <si>
    <t>DS649Q02C</t>
  </si>
  <si>
    <t>Weather Balloon - Q02 (Coded Response)</t>
  </si>
  <si>
    <t>CS649Q03S</t>
  </si>
  <si>
    <t>Weather Balloon - Q03 (Scored Response)</t>
  </si>
  <si>
    <t>CS649Q04S</t>
  </si>
  <si>
    <t>Weather Balloon - Q04 (Scored Response)</t>
  </si>
  <si>
    <t>CS634Q01S</t>
  </si>
  <si>
    <t>Vaccination and Spreading of Disease - Q01 (Scored Response)</t>
  </si>
  <si>
    <t>CS634Q02S</t>
  </si>
  <si>
    <t>Vaccination and Spreading of Disease - Q02 (Scored Response)</t>
  </si>
  <si>
    <t>DS634Q03C</t>
  </si>
  <si>
    <t>Vaccination and Spreading of Disease - Q03 (Coded Response)</t>
  </si>
  <si>
    <t>DS634Q05C</t>
  </si>
  <si>
    <t>Vaccination and Spreading of Disease - Q05 (Coded Response)</t>
  </si>
  <si>
    <t>CS634Q04S</t>
  </si>
  <si>
    <t>Vaccination and Spreading of Disease - Q04 (Scored Response)</t>
  </si>
  <si>
    <t>CS620Q01S</t>
  </si>
  <si>
    <t>Tornadoes - Q01 (Scored Response)</t>
  </si>
  <si>
    <t>CS620Q02S</t>
  </si>
  <si>
    <t>Tornadoes - Q02 (Scored Response)</t>
  </si>
  <si>
    <t>DS620Q04C</t>
  </si>
  <si>
    <t>Tornadoes - Q04 (Coded Response)</t>
  </si>
  <si>
    <t>CS638Q01S</t>
  </si>
  <si>
    <t>Oil Spills - Q01 (Scored Response)</t>
  </si>
  <si>
    <t>CS638Q02S</t>
  </si>
  <si>
    <t>Oil Spills - Q02 (Scored Response)</t>
  </si>
  <si>
    <t>CS638Q04S</t>
  </si>
  <si>
    <t>Oil Spills - Q04 (Scored Response)</t>
  </si>
  <si>
    <t>DS638Q05C</t>
  </si>
  <si>
    <t>Oil Spills - Q05 (Coded Response)</t>
  </si>
  <si>
    <t>DS625Q01C</t>
  </si>
  <si>
    <t>Wildfires and the Fire Triangle - Q01 (Coded Response)</t>
  </si>
  <si>
    <t>CS625Q02S</t>
  </si>
  <si>
    <t>Wildfires and the Fire Triangle - Q02 (Scored Response)</t>
  </si>
  <si>
    <t>CS625Q03S</t>
  </si>
  <si>
    <t>Wildfires and the Fire Triangle - Q03 (Scored Response)</t>
  </si>
  <si>
    <t>CS615Q07S</t>
  </si>
  <si>
    <t>Understanding Tsunamis - Q07 (Scored Response)</t>
  </si>
  <si>
    <t>CS615Q01S</t>
  </si>
  <si>
    <t>Understanding Tsunamis - Q01 (Scored Response)</t>
  </si>
  <si>
    <t>CS615Q02S</t>
  </si>
  <si>
    <t>Understanding Tsunamis - Q02 (Scored Response)</t>
  </si>
  <si>
    <t>CS615Q05S</t>
  </si>
  <si>
    <t>Understanding Tsunamis - Q05 (Scored Response)</t>
  </si>
  <si>
    <t>CS604Q02S</t>
  </si>
  <si>
    <t>Water from Fog - Q02 (Scored Response)</t>
  </si>
  <si>
    <t>DS604Q04C</t>
  </si>
  <si>
    <t>Water from Fog - Q04 (Coded Response)</t>
  </si>
  <si>
    <t>CS645Q01S</t>
  </si>
  <si>
    <t>Carbon Dioxide in Earth's Atmosphere - Q01 (Scored Response)</t>
  </si>
  <si>
    <t>CS645Q03S</t>
  </si>
  <si>
    <t>Carbon Dioxide in Earth's Atmosphere - Q03 (Scored Response)</t>
  </si>
  <si>
    <t>DS645Q04C</t>
  </si>
  <si>
    <t>Carbon Dioxide in Earth's Atmosphere - Q04 (Coded Response)</t>
  </si>
  <si>
    <t>DS645Q05C</t>
  </si>
  <si>
    <t>Carbon Dioxide in Earth's Atmosphere - Q05 (Coded Response)</t>
  </si>
  <si>
    <t>CS657Q01S</t>
  </si>
  <si>
    <t>Invasive Species - Q01 (Scored Response)</t>
  </si>
  <si>
    <t>CS657Q02S</t>
  </si>
  <si>
    <t>Invasive Species - Q02 (Scored Response)</t>
  </si>
  <si>
    <t>CS657Q03S</t>
  </si>
  <si>
    <t>Invasive Species - Q03 (Scored Response)</t>
  </si>
  <si>
    <t>DS657Q04C</t>
  </si>
  <si>
    <t>Invasive Species - Q04 (Coded Response)</t>
  </si>
  <si>
    <t>CS656Q01S</t>
  </si>
  <si>
    <t>Bird Migration - Q01 (Scored Response)</t>
  </si>
  <si>
    <t>DS656Q02C</t>
  </si>
  <si>
    <t>Bird Migration - Q02 (Coded Response)</t>
  </si>
  <si>
    <t>CS656Q04S</t>
  </si>
  <si>
    <t>Bird Migration - Q04 (Scored Response)</t>
  </si>
  <si>
    <t>DS643Q03C</t>
  </si>
  <si>
    <t>Comparing Light Bulbs - Q03 (Coded Response)</t>
  </si>
  <si>
    <t>CS643Q01S</t>
  </si>
  <si>
    <t>Comparing Light Bulbs - Q01 (Scored Response)</t>
  </si>
  <si>
    <t>CS643Q02S</t>
  </si>
  <si>
    <t>Comparing Light Bulbs - Q02 (Scored Response)</t>
  </si>
  <si>
    <t>CS643Q04S</t>
  </si>
  <si>
    <t>Comparing Light Bulbs - Q04 (Scored Response)</t>
  </si>
  <si>
    <t>DS643Q05C</t>
  </si>
  <si>
    <t>Comparing Light Bulbs - Q05 (Coded Response)</t>
  </si>
  <si>
    <t>DS629Q01C</t>
  </si>
  <si>
    <t>Solar Cooker - Q01 (Coded Response)</t>
  </si>
  <si>
    <t>CS629Q02S</t>
  </si>
  <si>
    <t>Solar Cooker - Q02 (Scored Response)</t>
  </si>
  <si>
    <t>DS629Q03C</t>
  </si>
  <si>
    <t>Solar Cooker - Q03 (Coded Response)</t>
  </si>
  <si>
    <t>CS629Q04S</t>
  </si>
  <si>
    <t>Solar Cooker - Q04 (Scored Response)</t>
  </si>
  <si>
    <t>DS648Q01C</t>
  </si>
  <si>
    <t>Habitable Zone - Q01 (Coded Response)</t>
  </si>
  <si>
    <t>CS648Q02S</t>
  </si>
  <si>
    <t>Habitable Zone - Q02 (Scored Response)</t>
  </si>
  <si>
    <t>CS648Q03S</t>
  </si>
  <si>
    <t>Habitable Zone - Q03 (Scored Response)</t>
  </si>
  <si>
    <t>DS648Q05C</t>
  </si>
  <si>
    <t>Habitable Zone - Q05 (Coded Response)</t>
  </si>
  <si>
    <t>CS641Q01S</t>
  </si>
  <si>
    <t>Meteoroids and Craters - Q01 (Scored Response)</t>
  </si>
  <si>
    <t>CS641Q02S</t>
  </si>
  <si>
    <t>Meteoroids and Craters - Q02 (Scored Response)</t>
  </si>
  <si>
    <t>CS641Q03S</t>
  </si>
  <si>
    <t>Meteoroids and Craters - Q03 (Scored Response)</t>
  </si>
  <si>
    <t>CS641Q04S</t>
  </si>
  <si>
    <t>Meteoroids and Craters - Q04 (Scored Response)</t>
  </si>
  <si>
    <t>DS637Q01C</t>
  </si>
  <si>
    <t>Slope-Face Investigation - Q01 (Coded Response)</t>
  </si>
  <si>
    <t>CS637Q02S</t>
  </si>
  <si>
    <t>Slope-Face Investigation - Q02 (Scored Response)</t>
  </si>
  <si>
    <t>DS637Q05C</t>
  </si>
  <si>
    <t>Slope-Face Investigation - Q05 (Coded Response)</t>
  </si>
  <si>
    <t>CS601Q01S</t>
  </si>
  <si>
    <t>Sustainable Fish Farming - Q01 (Scored Response)</t>
  </si>
  <si>
    <t>CS601Q02S</t>
  </si>
  <si>
    <t>Sustainable Fish Farming - Q02 (Scored Response)</t>
  </si>
  <si>
    <t>CS601Q04S</t>
  </si>
  <si>
    <t>Sustainable Fish Farming - Q04 (Scored Response)</t>
  </si>
  <si>
    <t>DS610Q01C</t>
  </si>
  <si>
    <t>Brain-Controlled Robotics - Q01 (Coded Response)</t>
  </si>
  <si>
    <t>CS610Q02S</t>
  </si>
  <si>
    <t>Brain-Controlled Robotics - Q02 (Scored Response)</t>
  </si>
  <si>
    <t>CS610Q04S</t>
  </si>
  <si>
    <t>Brain-Controlled Robotics - Q04 (Scored Response)</t>
  </si>
  <si>
    <t>CS626Q01S</t>
  </si>
  <si>
    <t>Sounds in Marine Habitats - Q01 (Scored Response)</t>
  </si>
  <si>
    <t>CS626Q02S</t>
  </si>
  <si>
    <t>Sounds in Marine Habitats - Q02 (Scored Response)</t>
  </si>
  <si>
    <t>CS626Q03S</t>
  </si>
  <si>
    <t>Sounds in Marine Habitats - Q03 (Scored Response)</t>
  </si>
  <si>
    <t>DS626Q04C</t>
  </si>
  <si>
    <t>Sounds in Marine Habitats - Q04 (Coded Response)</t>
  </si>
  <si>
    <t>PS269Q01</t>
  </si>
  <si>
    <t>Earth's Temperature - Q01 (Coded Paper Response)</t>
  </si>
  <si>
    <t>PS269Q03</t>
  </si>
  <si>
    <t>Earth's Temperature - Q03 (Coded Paper Response)</t>
  </si>
  <si>
    <t>PS269Q04S</t>
  </si>
  <si>
    <t>Earth's Temperature - Q04 (Paper Scored Response)</t>
  </si>
  <si>
    <t>PS408Q01S</t>
  </si>
  <si>
    <t>Wild Oat Grass - Q01 (Paper Scored Response)</t>
  </si>
  <si>
    <t>PS408Q03</t>
  </si>
  <si>
    <t>Wild Oat Grass - Q03 (Coded Paper Response)</t>
  </si>
  <si>
    <t>PS408Q04S</t>
  </si>
  <si>
    <t>Wild Oat Grass - Q04 (Paper Scored Response)</t>
  </si>
  <si>
    <t>PS408Q05S</t>
  </si>
  <si>
    <t>Wild Oat Grass - Q05 (Paper Scored Response)</t>
  </si>
  <si>
    <t>PS521Q02S</t>
  </si>
  <si>
    <t>Cooking Outdoors - Q02 (Paper Scored Response)</t>
  </si>
  <si>
    <t>PS521Q06S</t>
  </si>
  <si>
    <t>Cooking Outdoors - Q06 (Paper Scored Response)</t>
  </si>
  <si>
    <t>PS519Q01</t>
  </si>
  <si>
    <t>Airbags - Q01 (Coded Paper Response)</t>
  </si>
  <si>
    <t>PS519Q02S</t>
  </si>
  <si>
    <t>Airbags - Q02 (Paper Scored Response)</t>
  </si>
  <si>
    <t>PS519Q03</t>
  </si>
  <si>
    <t>Airbags - Q03 (Coded Paper Response)</t>
  </si>
  <si>
    <t>PS527Q01S</t>
  </si>
  <si>
    <t>Extinction of the Dinosaurs - Q01 (Paper Scored Response)</t>
  </si>
  <si>
    <t>PS527Q03S</t>
  </si>
  <si>
    <t>Extinction of the Dinosaurs - Q03 (Paper Scored Response)</t>
  </si>
  <si>
    <t>PS527Q04S</t>
  </si>
  <si>
    <t>Extinction of the Dinosaurs - Q04 (Paper Scored Response)</t>
  </si>
  <si>
    <t>PS466Q01S</t>
  </si>
  <si>
    <t>Forest Fires - Q01 (Paper Scored Response)</t>
  </si>
  <si>
    <t>PS466Q07S</t>
  </si>
  <si>
    <t>Forest Fires - Q07 (Paper Scored Response)</t>
  </si>
  <si>
    <t>PS466Q05S</t>
  </si>
  <si>
    <t>Forest Fires - Q05 (Paper Scored Response)</t>
  </si>
  <si>
    <t>PS326Q01</t>
  </si>
  <si>
    <t>Milk - Q01 (Coded Paper Response)</t>
  </si>
  <si>
    <t>PS326Q02</t>
  </si>
  <si>
    <t>Milk - Q02 (Coded Paper Response)</t>
  </si>
  <si>
    <t>PS326Q03S</t>
  </si>
  <si>
    <t>Milk - Q03 (Paper Scored Response)</t>
  </si>
  <si>
    <t>PS326Q04S</t>
  </si>
  <si>
    <t>Milk - Q04 (Paper Scored Response)</t>
  </si>
  <si>
    <t>PS256Q01S</t>
  </si>
  <si>
    <t>Spoons - Q01 (Paper Scored Response)</t>
  </si>
  <si>
    <t>PS478Q01S</t>
  </si>
  <si>
    <t>Antibiotics - Q01 (Paper Scored Response)</t>
  </si>
  <si>
    <t>PS478Q02S</t>
  </si>
  <si>
    <t>Antibiotics - Q02 (Paper Scored Response)</t>
  </si>
  <si>
    <t>PS478Q03S</t>
  </si>
  <si>
    <t>Antibiotics - Q03 (Paper Scored Response)</t>
  </si>
  <si>
    <t>PS413Q06</t>
  </si>
  <si>
    <t>Plastic Age - Q06 (Coded Paper Response)</t>
  </si>
  <si>
    <t>PS413Q04S</t>
  </si>
  <si>
    <t>Plastic Age - Q04 (Paper Scored Response)</t>
  </si>
  <si>
    <t>PS413Q05S</t>
  </si>
  <si>
    <t>Plastic Age - Q05 (Paper Scored Response)</t>
  </si>
  <si>
    <t>PS498Q02S</t>
  </si>
  <si>
    <t>Experimental Digestion - Q02 (Paper Scored Response)</t>
  </si>
  <si>
    <t>PS498Q03S</t>
  </si>
  <si>
    <t>Experimental Digestion - Q03 (Paper Scored Response)</t>
  </si>
  <si>
    <t>PS498Q04</t>
  </si>
  <si>
    <t>Experimental Digestion - Q04 (Coded Paper Response)</t>
  </si>
  <si>
    <t>PS425Q03</t>
  </si>
  <si>
    <t>Penguin Island - Q03 (Coded Paper Response)</t>
  </si>
  <si>
    <t>PS425Q05S</t>
  </si>
  <si>
    <t>Penguin Island - Q05 (Paper Scored Response)</t>
  </si>
  <si>
    <t>PS425Q02S</t>
  </si>
  <si>
    <t>Penguin Island - Q02 (Paper Scored Response)</t>
  </si>
  <si>
    <t>PS425Q04</t>
  </si>
  <si>
    <t>Penguin Island - Q04 (Coded Paper Response)</t>
  </si>
  <si>
    <t>PS465Q01</t>
  </si>
  <si>
    <t>Different Climates - Q01 (Coded Paper Response)</t>
  </si>
  <si>
    <t>PS465Q02S</t>
  </si>
  <si>
    <t>Different Climates - Q02 (Paper Scored Response)</t>
  </si>
  <si>
    <t>PS465Q04S</t>
  </si>
  <si>
    <t>Different Climates - Q04 (Paper Scored Response)</t>
  </si>
  <si>
    <t>PS131Q02</t>
  </si>
  <si>
    <t>Good Vibrations - Q02 (Coded Paper Response)</t>
  </si>
  <si>
    <t>PS131Q04</t>
  </si>
  <si>
    <t>Good Vibrations - Q04 (Coded Paper Response)</t>
  </si>
  <si>
    <t>PS428Q01S</t>
  </si>
  <si>
    <t>Bacteria in Milk - Q01 (Paper Scored Response)</t>
  </si>
  <si>
    <t>PS428Q03S</t>
  </si>
  <si>
    <t>Bacteria in Milk - Q03 (Paper Scored Response)</t>
  </si>
  <si>
    <t>PS428Q05</t>
  </si>
  <si>
    <t>Bacteria in Milk - Q05 (Coded Paper Response)</t>
  </si>
  <si>
    <t>PS514Q02</t>
  </si>
  <si>
    <t>Development and Disaster - Q02 (Coded Paper Response)</t>
  </si>
  <si>
    <t>PS514Q03</t>
  </si>
  <si>
    <t>Development and Disaster - Q03 (Coded Paper Response)</t>
  </si>
  <si>
    <t>PS514Q04</t>
  </si>
  <si>
    <t>Development and Disaster - Q04 (Coded Paper Response)</t>
  </si>
  <si>
    <t>PS438Q01S</t>
  </si>
  <si>
    <t>Green Parks - Q01 (Paper Scored Response)</t>
  </si>
  <si>
    <t>PS438Q02S</t>
  </si>
  <si>
    <t>Green Parks - Q02 (Paper Scored Response)</t>
  </si>
  <si>
    <t>PS438Q03</t>
  </si>
  <si>
    <t>Green Parks - Q03 (Coded Paper Response)</t>
  </si>
  <si>
    <t>PS415Q07S</t>
  </si>
  <si>
    <t>Solar Power Generation (Solar Panels) - Q07 (Paper Scored Response)</t>
  </si>
  <si>
    <t>PS415Q02S</t>
  </si>
  <si>
    <t>Solar Power Generation (Solar Panels) - Q02 (Paper Scored Response)</t>
  </si>
  <si>
    <t>PS415Q08S</t>
  </si>
  <si>
    <t>Solar Power Generation (Solar Panels) - Q08 (Paper Scored Response)</t>
  </si>
  <si>
    <t>PS476Q01S</t>
  </si>
  <si>
    <t>Heart Surgery - Q01 (Paper Scored Response)</t>
  </si>
  <si>
    <t>PS476Q02S</t>
  </si>
  <si>
    <t>Heart Surgery - Q02 (Paper Scored Response)</t>
  </si>
  <si>
    <t>PS476Q03S</t>
  </si>
  <si>
    <t>Heart Surgery - Q03 (Paper Scored Response)</t>
  </si>
  <si>
    <t>PS495Q04S</t>
  </si>
  <si>
    <t>Radiotherapy - Q04 (Paper Scored Response)</t>
  </si>
  <si>
    <t>PS495Q01S</t>
  </si>
  <si>
    <t>Radiotherapy - Q01 (Paper Scored Response)</t>
  </si>
  <si>
    <t>PS495Q02S</t>
  </si>
  <si>
    <t>Radiotherapy - Q02 (Paper Scored Response)</t>
  </si>
  <si>
    <t>S495Q03</t>
  </si>
  <si>
    <t>Radiotherapy - Q03 (Coded Paper Response)</t>
  </si>
  <si>
    <t>PS456Q01S</t>
  </si>
  <si>
    <t>Cheetah - Q01 (Paper Scored Response)</t>
  </si>
  <si>
    <t>PS456Q02S</t>
  </si>
  <si>
    <t>Cheetah - Q02 (Paper Scored Response)</t>
  </si>
  <si>
    <t>PS268Q01S</t>
  </si>
  <si>
    <t>Algae - Q01 (Paper Scored Response)</t>
  </si>
  <si>
    <t>S268Q02</t>
  </si>
  <si>
    <t>Algae - Q02 (Coded Paper Response)</t>
  </si>
  <si>
    <t>PS268Q06S</t>
  </si>
  <si>
    <t>Algae - Q06 (Paper Scored Response)</t>
  </si>
  <si>
    <t>PS524Q06S</t>
  </si>
  <si>
    <t>Penicillin Manufacture - Q06 (Paper Scored Response)</t>
  </si>
  <si>
    <t>S524Q07</t>
  </si>
  <si>
    <t>Penicillin Manufacture - Q07 (Coded Paper Response)</t>
  </si>
  <si>
    <t>PS510Q01S</t>
  </si>
  <si>
    <t>Magnetic Hovertrain - Q01 (Paper Scored Response)</t>
  </si>
  <si>
    <t>S510Q04</t>
  </si>
  <si>
    <t>Magnetic Hovertrain - Q04 (Coded Paper Response)</t>
  </si>
  <si>
    <t>PS437Q01S</t>
  </si>
  <si>
    <t>Extinguishing Fires - Q01 (Paper Scored Response)</t>
  </si>
  <si>
    <t>PS437Q03S</t>
  </si>
  <si>
    <t>Extinguishing Fires - Q03 (Paper Scored Response)</t>
  </si>
  <si>
    <t>PS437Q04S</t>
  </si>
  <si>
    <t>Extinguishing Fires - Q04 (Paper Scored Response)</t>
  </si>
  <si>
    <t>S437Q06</t>
  </si>
  <si>
    <t>Extinguishing Fires - Q06 (Coded Paper Response)</t>
  </si>
  <si>
    <t>S304Q01</t>
  </si>
  <si>
    <t>Water - Q01 (Coded Paper Response)</t>
  </si>
  <si>
    <t>PS304Q02S</t>
  </si>
  <si>
    <t>Water - Q02 (Paper Scored Response)</t>
  </si>
  <si>
    <t>S304Q03a</t>
  </si>
  <si>
    <t>Water - Q03a (Coded Paper Response)</t>
  </si>
  <si>
    <t>S304Q03b</t>
  </si>
  <si>
    <t>Water - Q03b (Coded Paper Response)</t>
  </si>
  <si>
    <t>S416Q01</t>
  </si>
  <si>
    <t>The Moon - Q01 (Coded Paper Response)</t>
  </si>
  <si>
    <t>S458Q01</t>
  </si>
  <si>
    <t>The Ice Mummy - Q01 (Coded Paper Response)</t>
  </si>
  <si>
    <t>PS458Q02S</t>
  </si>
  <si>
    <t>The Ice Mummy - Q02 (Paper Scored Response)</t>
  </si>
  <si>
    <t>S421Q01</t>
  </si>
  <si>
    <t>Big and Small - Q01 (Coded Paper Response)</t>
  </si>
  <si>
    <t>S421Q02</t>
  </si>
  <si>
    <t>Big and Small - Q02 (Coded Paper Response)</t>
  </si>
  <si>
    <t>S421Q03</t>
  </si>
  <si>
    <t>Big and Small - Q03 (Coded Paper Response)</t>
  </si>
  <si>
    <t>PS252Q01S</t>
  </si>
  <si>
    <t>South Rainea - Q01 (Paper Scored Response)</t>
  </si>
  <si>
    <t>PS252Q02S</t>
  </si>
  <si>
    <t>South Rainea - Q02 (Paper Scored Response)</t>
  </si>
  <si>
    <t>PS252Q03S</t>
  </si>
  <si>
    <t>South Rainea - Q03 (Paper Scored Response)</t>
  </si>
  <si>
    <t>PS327Q01S</t>
  </si>
  <si>
    <t>Tidal Energy - Q01 (Paper Scored Response)</t>
  </si>
  <si>
    <t>PS133Q01S</t>
  </si>
  <si>
    <t>Research - Q01 (Paper Scored Response)</t>
  </si>
  <si>
    <t>PS133Q03S</t>
  </si>
  <si>
    <t>Research - Q03 (Paper Scored Response)</t>
  </si>
  <si>
    <t>PS133Q04S</t>
  </si>
  <si>
    <t>Research - Q04 (Paper Scored Response)</t>
  </si>
  <si>
    <t>Cognitive items: Science results for male students</t>
  </si>
  <si>
    <t>DS269Q01C: Earth's Temperature - Q01 (Coded Response)</t>
  </si>
  <si>
    <t>N</t>
  </si>
  <si>
    <t>System</t>
  </si>
  <si>
    <t>0 - No credit</t>
  </si>
  <si>
    <t>1 - Full credit</t>
  </si>
  <si>
    <t>Valid Skip</t>
  </si>
  <si>
    <t>Not Reached</t>
  </si>
  <si>
    <t>Not Applicable</t>
  </si>
  <si>
    <t>Invalid</t>
  </si>
  <si>
    <t>No Response</t>
  </si>
  <si>
    <t>All</t>
  </si>
  <si>
    <t>Missing %</t>
  </si>
  <si>
    <t>Valid</t>
  </si>
  <si>
    <t>%</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</si>
  <si>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</si>
  <si>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</si>
  <si>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</si>
  <si>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</si>
  <si>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</si>
  <si>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</si>
  <si>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</si>
  <si>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</si>
  <si>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</si>
  <si>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</si>
  <si>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</si>
  <si>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</si>
  <si>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</si>
  <si>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</si>
  <si>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</si>
  <si>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</si>
  <si>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</si>
  <si>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</si>
  <si>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</si>
  <si>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</si>
  <si>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</si>
  <si>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</si>
  <si>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</si>
  <si>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</si>
  <si>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</si>
  <si>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</si>
  <si>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</si>
  <si>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</si>
  <si>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</si>
  <si>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</si>
  <si>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</si>
  <si>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</si>
  <si>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</si>
  <si>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</si>
  <si>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</si>
  <si>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</si>
  <si>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</si>
  <si>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</si>
  <si>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</si>
  <si>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</si>
  <si>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</si>
  <si>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</si>
  <si>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</si>
  <si>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</si>
  <si>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</si>
  <si>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</si>
  <si>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</si>
  <si>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</si>
  <si>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</si>
  <si>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</si>
  <si>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</si>
  <si>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</si>
  <si>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</si>
  <si>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</si>
  <si>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</si>
  <si>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</si>
  <si>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</si>
  <si>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</si>
  <si>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</si>
  <si>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</si>
  <si>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</si>
  <si>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</si>
  <si>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</si>
  <si>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</si>
  <si>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</si>
  <si>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</si>
  <si>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</si>
  <si>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</si>
  <si>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</si>
  <si>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</si>
  <si>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</si>
  <si>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</si>
  <si>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</si>
  <si>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</si>
  <si>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</si>
  <si>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</si>
  <si>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</si>
  <si>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</si>
  <si>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</si>
  <si>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</si>
  <si>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</si>
  <si>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</si>
  <si>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cognitive questions refers to the percentage of data missing because a respondent did not see a question. This may have occurred when the student did not receive a particular set of questions (cluster) by design, exited the assessment early, ran out of time,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</si>
  <si>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</si>
  <si>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</si>
  <si>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</si>
  <si>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</si>
  <si>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</si>
  <si>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</si>
  <si>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</si>
  <si>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</si>
  <si>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</si>
  <si>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DS269Q03C: Earth's Temperature - Q03 (Coded Response)</t>
  </si>
  <si>
    <t>01 - No credit</t>
  </si>
  <si>
    <t>02 - No credit</t>
  </si>
  <si>
    <t>11 - Full credit</t>
  </si>
  <si>
    <t>12 - Full credit</t>
  </si>
  <si>
    <t>CS269Q04S: Earth's Temperature - Q04 (Scored Response)</t>
  </si>
  <si>
    <t>No credit</t>
  </si>
  <si>
    <t>Full credit</t>
  </si>
  <si>
    <t>CS408Q01S: Wild Oat Grass - Q01 (Scored Response)</t>
  </si>
  <si>
    <t>DS408Q03C: Wild Oat Grass - Q03 (Coded Response)</t>
  </si>
  <si>
    <t>CS408Q04S: Wild Oat Grass - Q04 (Scored Response)</t>
  </si>
  <si>
    <t>CS408Q05S: Wild Oat Grass - Q05 (Scored Response)</t>
  </si>
  <si>
    <t>CS521Q02S: Cooking Outdoors - Q02 (Scored Response)</t>
  </si>
  <si>
    <t>CS521Q06S: Cooking Outdoors - Q06 (Scored Response)</t>
  </si>
  <si>
    <t>DS519Q01C: Airbags - Q01 (Coded Response)</t>
  </si>
  <si>
    <t>1 - Partial credit</t>
  </si>
  <si>
    <t>2 - Full credit</t>
  </si>
  <si>
    <t>CS519Q02S: Airbags - Q02 (Scored Response)</t>
  </si>
  <si>
    <t>DS519Q03C: Airbags - Q03 (Coded Response)</t>
  </si>
  <si>
    <t>CS527Q01S: Extinction of the Dinosaurs - Q01 (Scored Response)</t>
  </si>
  <si>
    <t>CS527Q03S: Extinction of the Dinosaurs - Q03 (Scored Response)</t>
  </si>
  <si>
    <t>CS527Q04S: Extinction of the Dinosaurs - Q04 (Scored Response)</t>
  </si>
  <si>
    <t>CS466Q01S: Forest Fires - Q01 (Scored Response)</t>
  </si>
  <si>
    <t>CS466Q07S: Forest Fires - Q07 (Scored Response)</t>
  </si>
  <si>
    <t>CS466Q05S: Forest Fires - Q05 (Scored Response)</t>
  </si>
  <si>
    <t>DS326Q01C: Milk - Q01 (Coded Response)</t>
  </si>
  <si>
    <t>DS326Q02C: Milk - Q02 (Coded Response)</t>
  </si>
  <si>
    <t>CS326Q03S: Milk - Q03 (Scored Response)</t>
  </si>
  <si>
    <t>CS326Q04S: Milk - Q04 (Scored Response)</t>
  </si>
  <si>
    <t>CS256Q01S: Spoons - Q01 (Scored Response)</t>
  </si>
  <si>
    <t>CS478Q01S: Antibiotics - Q01 (Scored Response)</t>
  </si>
  <si>
    <t>CS478Q02S: Antibiotics - Q02 (Scored Response)</t>
  </si>
  <si>
    <t>CS478Q03S: Antibiotics - Q03 (Scored Response)</t>
  </si>
  <si>
    <t>CS413Q06S: Plastic Age - Q06 (Scored Response)</t>
  </si>
  <si>
    <t>CS413Q04S: Plastic Age - Q04 (Scored Response)</t>
  </si>
  <si>
    <t>CS413Q05S: Plastic Age - Q05 (Scored Response)</t>
  </si>
  <si>
    <t>CS498Q02S: Experimental Digestion - Q02 (Scored Response)</t>
  </si>
  <si>
    <t>CS498Q03S: Experimental Digestion - Q03 (Scored Response)</t>
  </si>
  <si>
    <t>DS498Q04C: Experimental Digestion - Q04 (Coded Response)</t>
  </si>
  <si>
    <t>DS425Q03C: Penguin Island - Q03 (Coded Response)</t>
  </si>
  <si>
    <t>CS425Q05S: Penguin Island - Q05 (Scored Response)</t>
  </si>
  <si>
    <t>CS425Q02S: Penguin Island - Q02 (Scored Response)</t>
  </si>
  <si>
    <t>DS425Q04C: Penguin Island - Q04 (Coded Response)</t>
  </si>
  <si>
    <t>DS465Q01C: Different Climates - Q01 (Coded Response)</t>
  </si>
  <si>
    <t>CS465Q02S: Different Climates - Q02 (Scored Response)</t>
  </si>
  <si>
    <t>CS465Q04S: Different Climates - Q04 (Scored Response)</t>
  </si>
  <si>
    <t>DS131Q02C: Good Vibrations - Q02 (Coded Response)</t>
  </si>
  <si>
    <t>03 - No credit</t>
  </si>
  <si>
    <t>DS131Q04C: Good Vibrations - Q04 (Coded Response)</t>
  </si>
  <si>
    <t>04 - No credit</t>
  </si>
  <si>
    <t>CS428Q01S: Bacteria in Milk - Q01 (Scored Response)</t>
  </si>
  <si>
    <t>CS428Q03S: Bacteria in Milk - Q03 (Scored Response)</t>
  </si>
  <si>
    <t>DS428Q05C: Bacteria in Milk - Q05 (Coded Response)</t>
  </si>
  <si>
    <t>DS514Q02C: Development and Disaster - Q02 (Coded Response)</t>
  </si>
  <si>
    <t>DS514Q03C: Development and Disaster - Q03 (Coded Response)</t>
  </si>
  <si>
    <t>DS514Q04C: Development and Disaster - Q04 (Coded Response)</t>
  </si>
  <si>
    <t>CS438Q01S: Green Parks - Q01 (Scored Response)</t>
  </si>
  <si>
    <t>CS438Q02S: Green Parks - Q02 (Scored Response)</t>
  </si>
  <si>
    <t>DS438Q03C: Green Parks - Q03 (Coded Response)</t>
  </si>
  <si>
    <t>CS415Q07S: Solar Power Generation (Solar Panels) - Q07 (Scored Response)</t>
  </si>
  <si>
    <t>CS415Q02S: Solar Power Generation (Solar Panels) - Q02 (Scored Response)</t>
  </si>
  <si>
    <t>CS415Q08S: Solar Power Generation (Solar Panels) - Q08 (Scored Response)</t>
  </si>
  <si>
    <t>CS476Q01S: Heart Surgery - Q01 (Scored Response)</t>
  </si>
  <si>
    <t>CS476Q02S: Heart Surgery - Q02 (Scored Response)</t>
  </si>
  <si>
    <t>CS476Q03S: Heart Surgery - Q03 (Scored Response)</t>
  </si>
  <si>
    <t>CS495Q04S: Radiotherapy - Q04 (Scored Response)</t>
  </si>
  <si>
    <t>CS495Q01S: Radiotherapy - Q01 (Scored Response)</t>
  </si>
  <si>
    <t>CS495Q02S: Radiotherapy - Q02 (Scored Response)</t>
  </si>
  <si>
    <t>DS495Q03C: Radiotherapy - Q03 (Coded Response)</t>
  </si>
  <si>
    <t>CS268Q01S: Algae - Q01 (Scored Response)</t>
  </si>
  <si>
    <t>DS268Q02C: Algae - Q02 (Coded Response)</t>
  </si>
  <si>
    <t>CS268Q06S: Algae - Q06 (Scored Response)</t>
  </si>
  <si>
    <t>CS524Q06S: Penicillin Manufacture - Q06 (Scored Response)</t>
  </si>
  <si>
    <t>DS524Q07C: Penicillin Manufacture - Q07 (Coded Response)</t>
  </si>
  <si>
    <t>CS510Q01S: Magnetic Hovertrain - Q01 (Scored Response)</t>
  </si>
  <si>
    <t>DS510Q04C: Magnetic Hovertrain - Q04 (Coded Response)</t>
  </si>
  <si>
    <t>CS437Q01S: Extinguishing Fires - Q01 (Scored Response)</t>
  </si>
  <si>
    <t>CS437Q03S: Extinguishing Fires - Q03 (Scored Response)</t>
  </si>
  <si>
    <t>CS437Q04S: Extinguishing Fires - Q04 (Scored Response)</t>
  </si>
  <si>
    <t>DS437Q06C: Extinguishing Fires - Q06 (Coded Response)</t>
  </si>
  <si>
    <t>DS304Q01C: Water - Q01 (Coded Response)</t>
  </si>
  <si>
    <t>CS304Q02S: Water - Q02 (Scored Response)</t>
  </si>
  <si>
    <t>DS304Q03aC: Water - Q03a (Coded Response)</t>
  </si>
  <si>
    <t>DS304Q03bC: Water - Q03b (Coded Response)</t>
  </si>
  <si>
    <t>DS416Q01C: The Moon - Q01 (Coded Response)</t>
  </si>
  <si>
    <t>DS458Q01C: The Ice Mummy - Q01 (Coded Response)</t>
  </si>
  <si>
    <t>CS458Q02S: The Ice Mummy - Q02 (Scored Response)</t>
  </si>
  <si>
    <t>CS421Q01S: Big and Small - Q01 (Scored Response)</t>
  </si>
  <si>
    <t>CS421Q02S: Big and Small - Q02 (Scored Response)</t>
  </si>
  <si>
    <t>CS421Q03S: Big and Small - Q03 (Scored Response)</t>
  </si>
  <si>
    <t>CS252Q01S: South Rainea - Q01 (Scored Response)</t>
  </si>
  <si>
    <t>CS252Q02S: South Rainea - Q02 (Scored Response)</t>
  </si>
  <si>
    <t>CS252Q03S: South Rainea - Q03 (Scored Response)</t>
  </si>
  <si>
    <t>CS327Q01S: Tidal Energy - Q01 (Scored Response)</t>
  </si>
  <si>
    <t>CS627Q01S: Car Tyres - Q01 (Scored Response)</t>
  </si>
  <si>
    <t>CS627Q03S: Car Tyres - Q03 (Scored Response)</t>
  </si>
  <si>
    <t>CS627Q04S: Car Tyres - Q04 (Scored Response)</t>
  </si>
  <si>
    <t>CS635Q01S: Save the Fish - Q01 (Scored Response)</t>
  </si>
  <si>
    <t>Partial credit</t>
  </si>
  <si>
    <t>CS635Q02S: Save the Fish - Q02 (Scored Response)</t>
  </si>
  <si>
    <t>DS635Q03C: Save the Fish - Q03 (Coded Response)</t>
  </si>
  <si>
    <t>CS635Q04S: Save the Fish - Q04 (Scored Response)</t>
  </si>
  <si>
    <t>DS635Q05C: Save the Fish - Q05 (Coded Response)</t>
  </si>
  <si>
    <t>CS603Q01S: Elephants and Acacia Trees - Q01 (Scored Response)</t>
  </si>
  <si>
    <t>DS603Q02C: Elephants and Acacia Trees - Q02 (Coded Response)</t>
  </si>
  <si>
    <t>CS603Q03S: Elephants and Acacia Trees - Q03 (Scored Response)</t>
  </si>
  <si>
    <t>CS603Q04S: Elephants and Acacia Trees - Q04 (Scored Response)</t>
  </si>
  <si>
    <t>CS603Q05S: Elephants and Acacia Trees - Q05 (Scored Response)</t>
  </si>
  <si>
    <t>CS602Q01S: Urban Heat Island Effect - Q01 (Scored Response)</t>
  </si>
  <si>
    <t>CS602Q02S: Urban Heat Island Effect - Q02 (Scored Response)</t>
  </si>
  <si>
    <t>DS602Q03C: Urban Heat Island Effect - Q03 (Coded Response)</t>
  </si>
  <si>
    <t>CS602Q04S: Urban Heat Island Effect - Q04 (Scored Response)</t>
  </si>
  <si>
    <t>CS607Q01S: Birds and Caterpillars - Q01 (Scored Response)</t>
  </si>
  <si>
    <t>CS607Q02S: Birds and Caterpillars - Q02 (Scored Response)</t>
  </si>
  <si>
    <t>DS607Q03C: Birds and Caterpillars - Q03 (Coded Response)</t>
  </si>
  <si>
    <t>CS646Q01S: Nanoparticles - Q01 (Scored Response)</t>
  </si>
  <si>
    <t>CS646Q02S: Nanoparticles - Q02 (Scored Response)</t>
  </si>
  <si>
    <t>CS646Q03S: Nanoparticles - Q03 (Scored Response)</t>
  </si>
  <si>
    <t>DS646Q04C: Nanoparticles - Q04 (All Rows Correct)</t>
  </si>
  <si>
    <t>DS646Q05C: Nanoparticles - Q05 (Coded Response)</t>
  </si>
  <si>
    <t>CS608Q01S: Ammonoids - Q01 (Scored Response)</t>
  </si>
  <si>
    <t>CS608Q02S: Ammonoids - Q02 (Scored Response)</t>
  </si>
  <si>
    <t>CS608Q03S: Ammonoids - Q03 (Scored Response)</t>
  </si>
  <si>
    <t>DS608Q04C: Ammonoids - Q04 (Coded Response)</t>
  </si>
  <si>
    <t>CS605Q01S: Geothermal Energy - Q01 (Scored Response)</t>
  </si>
  <si>
    <t>CS605Q02S: Geothermal Energy - Q02 (Scored Response)</t>
  </si>
  <si>
    <t>CS605Q03S: Geothermal Energy - Q03 (Scored Response)</t>
  </si>
  <si>
    <t>DS605Q04C: Geothermal Energy - Q04 (Coded Response)</t>
  </si>
  <si>
    <t>CS649Q01S: Weather Balloon - Q01 (Scored Response)</t>
  </si>
  <si>
    <t>DS649Q02C: Weather Balloon - Q02 (Coded Response)</t>
  </si>
  <si>
    <t>CS649Q03S: Weather Balloon - Q03 (Scored Response)</t>
  </si>
  <si>
    <t>CS649Q04S: Weather Balloon - Q04 (Scored Response)</t>
  </si>
  <si>
    <t>CS634Q01S: Vaccination and Spreading of Disease - Q01 (Scored Response)</t>
  </si>
  <si>
    <t>CS634Q02S: Vaccination and Spreading of Disease - Q02 (Scored Response)</t>
  </si>
  <si>
    <t>DS634Q03C: Vaccination and Spreading of Disease - Q03 (Coded Response)</t>
  </si>
  <si>
    <t>DS634Q05C: Vaccination and Spreading of Disease - Q05 (Coded Response)</t>
  </si>
  <si>
    <t>CS634Q04S: Vaccination and Spreading of Disease - Q04 (Scored Response)</t>
  </si>
  <si>
    <t>CS620Q01S: Tornadoes - Q01 (Scored Response)</t>
  </si>
  <si>
    <t>CS620Q02S: Tornadoes - Q02 (Scored Response)</t>
  </si>
  <si>
    <t>DS620Q04C: Tornadoes - Q04 (Coded Response)</t>
  </si>
  <si>
    <t>CS638Q01S: Oil Spills - Q01 (Scored Response)</t>
  </si>
  <si>
    <t>CS638Q02S: Oil Spills - Q02 (Scored Response)</t>
  </si>
  <si>
    <t>CS638Q04S: Oil Spills - Q04 (Scored Response)</t>
  </si>
  <si>
    <t>DS638Q05C: Oil Spills - Q05 (Coded Response)</t>
  </si>
  <si>
    <t>DS625Q01C: Wildfires and the Fire Triangle - Q01 (Coded Response)</t>
  </si>
  <si>
    <t>CS625Q02S: Wildfires and the Fire Triangle - Q02 (Scored Response)</t>
  </si>
  <si>
    <t>CS625Q03S: Wildfires and the Fire Triangle - Q03 (Scored Response)</t>
  </si>
  <si>
    <t>CS615Q07S: Understanding Tsunamis - Q07 (Scored Response)</t>
  </si>
  <si>
    <t>CS615Q01S: Understanding Tsunamis - Q01 (Scored Response)</t>
  </si>
  <si>
    <t>CS615Q02S: Understanding Tsunamis - Q02 (Scored Response)</t>
  </si>
  <si>
    <t>CS615Q05S: Understanding Tsunamis - Q05 (Scored Response)</t>
  </si>
  <si>
    <t>CS604Q02S: Water from Fog - Q02 (Scored Response)</t>
  </si>
  <si>
    <t>DS604Q04C: Water from Fog - Q04 (Coded Response)</t>
  </si>
  <si>
    <t>CS645Q01S: Carbon Dioxide in Earth's Atmosphere - Q01 (Scored Response)</t>
  </si>
  <si>
    <t>CS645Q03S: Carbon Dioxide in Earth's Atmosphere - Q03 (Scored Response)</t>
  </si>
  <si>
    <t>DS645Q04C: Carbon Dioxide in Earth's Atmosphere - Q04 (Coded Response)</t>
  </si>
  <si>
    <t>DS645Q05C: Carbon Dioxide in Earth's Atmosphere - Q05 (Coded Response)</t>
  </si>
  <si>
    <t>CS657Q01S: Invasive Species - Q01 (Scored Response)</t>
  </si>
  <si>
    <t>CS657Q02S: Invasive Species - Q02 (Scored Response)</t>
  </si>
  <si>
    <t>CS657Q03S: Invasive Species - Q03 (Scored Response)</t>
  </si>
  <si>
    <t>DS657Q04C: Invasive Species - Q04 (Coded Response)</t>
  </si>
  <si>
    <t>11 - Partial credit</t>
  </si>
  <si>
    <t>12 - Partial credit</t>
  </si>
  <si>
    <t>21 - Full credit</t>
  </si>
  <si>
    <t>CS656Q01S: Bird Migration - Q01 (Scored Response)</t>
  </si>
  <si>
    <t>DS656Q02C: Bird Migration - Q02 (Coded Response)</t>
  </si>
  <si>
    <t>CS656Q04S: Bird Migration - Q04 (Scored Response)</t>
  </si>
  <si>
    <t>DS643Q03C: Comparing Light Bulbs - Q03 (Coded Response)</t>
  </si>
  <si>
    <t>CS643Q01S: Comparing Light Bulbs - Q01 (Scored Response)</t>
  </si>
  <si>
    <t>CS643Q02S: Comparing Light Bulbs - Q02 (Scored Response)</t>
  </si>
  <si>
    <t>CS643Q04S: Comparing Light Bulbs - Q04 (Scored Response)</t>
  </si>
  <si>
    <t>DS643Q05C: Comparing Light Bulbs - Q05 (Coded Response)</t>
  </si>
  <si>
    <t>DS629Q01C: Solar Cooker - Q01 (Coded Response)</t>
  </si>
  <si>
    <t>CS629Q02S: Solar Cooker - Q02 (Scored Response)</t>
  </si>
  <si>
    <t>DS629Q03C: Solar Cooker - Q03 (Coded Response)</t>
  </si>
  <si>
    <t>CS629Q04S: Solar Cooker - Q04 (Scored Response)</t>
  </si>
  <si>
    <t>DS648Q01C: Habitable Zone - Q01 (Coded Response)</t>
  </si>
  <si>
    <t>CS648Q02S: Habitable Zone - Q02 (Scored Response)</t>
  </si>
  <si>
    <t>CS648Q03S: Habitable Zone - Q03 (Scored Response)</t>
  </si>
  <si>
    <t>DS648Q05C: Habitable Zone - Q05 (Coded Response)</t>
  </si>
  <si>
    <t>CS641Q01S: Meteoroids and Craters - Q01 (Scored Response)</t>
  </si>
  <si>
    <t>CS641Q02S: Meteoroids and Craters - Q02 (Scored Response)</t>
  </si>
  <si>
    <t>CS641Q03S: Meteoroids and Craters - Q03 (Scored Response)</t>
  </si>
  <si>
    <t>CS641Q04S: Meteoroids and Craters - Q04 (Scored Response)</t>
  </si>
  <si>
    <t>DS637Q01C: Slope-Face Investigation - Q01 (Coded Response)</t>
  </si>
  <si>
    <t>CS637Q02S: Slope-Face Investigation - Q02 (Scored Response)</t>
  </si>
  <si>
    <t>DS637Q05C: Slope-Face Investigation - Q05 (Coded Response)</t>
  </si>
  <si>
    <t>CS601Q01S: Sustainable Fish Farming - Q01 (Scored Response)</t>
  </si>
  <si>
    <t>CS601Q02S: Sustainable Fish Farming - Q02 (Scored Response)</t>
  </si>
  <si>
    <t>CS601Q04S: Sustainable Fish Farming - Q04 (Scored Response)</t>
  </si>
  <si>
    <t>DS610Q01C: Brain-Controlled Robotics - Q01 (Coded Response)</t>
  </si>
  <si>
    <t>CS610Q02S: Brain-Controlled Robotics - Q02 (Scored Response)</t>
  </si>
  <si>
    <t>CS610Q04S: Brain-Controlled Robotics - Q04 (Scored Response)</t>
  </si>
  <si>
    <t>CS626Q01S: Sounds in Marine Habitats - Q01 (Scored Response)</t>
  </si>
  <si>
    <t>CS626Q02S: Sounds in Marine Habitats - Q02 (Scored Response)</t>
  </si>
  <si>
    <t>CS626Q03S: Sounds in Marine Habitats - Q03 (Scored Response)</t>
  </si>
  <si>
    <t>DS626Q04C: Sounds in Marine Habitats - Q04 (Coded Response)</t>
  </si>
  <si>
    <t>PS269Q01: Earth's Temperature - Q01 (Coded Paper Response)</t>
  </si>
  <si>
    <t>PS269Q03: Earth's Temperature - Q03 (Coded Paper Response)</t>
  </si>
  <si>
    <t>9 - No data (CBA only)</t>
  </si>
  <si>
    <t>PS269Q04S: Earth's Temperature - Q04 (Paper Scored Response)</t>
  </si>
  <si>
    <t>PS408Q01S: Wild Oat Grass - Q01 (Paper Scored Response)</t>
  </si>
  <si>
    <t>PS408Q03: Wild Oat Grass - Q03 (Coded Paper Response)</t>
  </si>
  <si>
    <t>PS408Q04S: Wild Oat Grass - Q04 (Paper Scored Response)</t>
  </si>
  <si>
    <t>PS408Q05S: Wild Oat Grass - Q05 (Paper Scored Response)</t>
  </si>
  <si>
    <t>PS521Q02S: Cooking Outdoors - Q02 (Paper Scored Response)</t>
  </si>
  <si>
    <t>PS521Q06S: Cooking Outdoors - Q06 (Paper Scored Response)</t>
  </si>
  <si>
    <t>PS519Q01: Airbags - Q01 (Coded Paper Response)</t>
  </si>
  <si>
    <t>PS519Q02S: Airbags - Q02 (Paper Scored Response)</t>
  </si>
  <si>
    <t>PS519Q03: Airbags - Q03 (Coded Paper Response)</t>
  </si>
  <si>
    <t>PS527Q01S: Extinction of the Dinosaurs - Q01 (Paper Scored Response)</t>
  </si>
  <si>
    <t>PS527Q03S: Extinction of the Dinosaurs - Q03 (Paper Scored Response)</t>
  </si>
  <si>
    <t>PS527Q04S: Extinction of the Dinosaurs - Q04 (Paper Scored Response)</t>
  </si>
  <si>
    <t>PS466Q01S: Forest Fires - Q01 (Paper Scored Response)</t>
  </si>
  <si>
    <t>PS466Q07S: Forest Fires - Q07 (Paper Scored Response)</t>
  </si>
  <si>
    <t>PS466Q05S: Forest Fires - Q05 (Paper Scored Response)</t>
  </si>
  <si>
    <t>PS326Q01: Milk - Q01 (Coded Paper Response)</t>
  </si>
  <si>
    <t>PS326Q02: Milk - Q02 (Coded Paper Response)</t>
  </si>
  <si>
    <t>PS326Q03S: Milk - Q03 (Paper Scored Response)</t>
  </si>
  <si>
    <t>PS326Q04S: Milk - Q04 (Paper Scored Response)</t>
  </si>
  <si>
    <t>PS256Q01S: Spoons - Q01 (Paper Scored Response)</t>
  </si>
  <si>
    <t>PS478Q01S: Antibiotics - Q01 (Paper Scored Response)</t>
  </si>
  <si>
    <t>PS478Q02S: Antibiotics - Q02 (Paper Scored Response)</t>
  </si>
  <si>
    <t>PS478Q03S: Antibiotics - Q03 (Paper Scored Response)</t>
  </si>
  <si>
    <t>PS413Q06: Plastic Age - Q06 (Coded Paper Response)</t>
  </si>
  <si>
    <t>PS413Q04S: Plastic Age - Q04 (Paper Scored Response)</t>
  </si>
  <si>
    <t>PS413Q05S: Plastic Age - Q05 (Paper Scored Response)</t>
  </si>
  <si>
    <t>PS498Q02S: Experimental Digestion - Q02 (Paper Scored Response)</t>
  </si>
  <si>
    <t>PS498Q03S: Experimental Digestion - Q03 (Paper Scored Response)</t>
  </si>
  <si>
    <t>PS498Q04: Experimental Digestion - Q04 (Coded Paper Response)</t>
  </si>
  <si>
    <t>PS425Q03: Penguin Island - Q03 (Coded Paper Response)</t>
  </si>
  <si>
    <t>PS425Q05S: Penguin Island - Q05 (Paper Scored Response)</t>
  </si>
  <si>
    <t>PS425Q02S: Penguin Island - Q02 (Paper Scored Response)</t>
  </si>
  <si>
    <t>PS425Q04: Penguin Island - Q04 (Coded Paper Response)</t>
  </si>
  <si>
    <t>PS465Q01: Different Climates - Q01 (Coded Paper Response)</t>
  </si>
  <si>
    <t>PS465Q02S: Different Climates - Q02 (Paper Scored Response)</t>
  </si>
  <si>
    <t>PS465Q04S: Different Climates - Q04 (Paper Scored Response)</t>
  </si>
  <si>
    <t>PS131Q02: Good Vibrations - Q02 (Coded Paper Response)</t>
  </si>
  <si>
    <t>PS131Q04: Good Vibrations - Q04 (Coded Paper Response)</t>
  </si>
  <si>
    <t>PS428Q01S: Bacteria in Milk - Q01 (Paper Scored Response)</t>
  </si>
  <si>
    <t>PS428Q03S: Bacteria in Milk - Q03 (Paper Scored Response)</t>
  </si>
  <si>
    <t>PS428Q05: Bacteria in Milk - Q05 (Coded Paper Response)</t>
  </si>
  <si>
    <t>PS514Q02: Development and Disaster - Q02 (Coded Paper Response)</t>
  </si>
  <si>
    <t>PS514Q03: Development and Disaster - Q03 (Coded Paper Response)</t>
  </si>
  <si>
    <t>PS514Q04: Development and Disaster - Q04 (Coded Paper Response)</t>
  </si>
  <si>
    <t>PS438Q01S: Green Parks - Q01 (Paper Scored Response)</t>
  </si>
  <si>
    <t>PS438Q02S: Green Parks - Q02 (Paper Scored Response)</t>
  </si>
  <si>
    <t>PS438Q03: Green Parks - Q03 (Coded Paper Response)</t>
  </si>
  <si>
    <t>PS415Q07S: Solar Power Generation (Solar Panels) - Q07 (Paper Scored Response)</t>
  </si>
  <si>
    <t>PS415Q02S: Solar Power Generation (Solar Panels) - Q02 (Paper Scored Response)</t>
  </si>
  <si>
    <t>PS415Q08S: Solar Power Generation (Solar Panels) - Q08 (Paper Scored Response)</t>
  </si>
  <si>
    <t>PS476Q01S: Heart Surgery - Q01 (Paper Scored Response)</t>
  </si>
  <si>
    <t>PS476Q02S: Heart Surgery - Q02 (Paper Scored Response)</t>
  </si>
  <si>
    <t>PS476Q03S: Heart Surgery - Q03 (Paper Scored Response)</t>
  </si>
  <si>
    <t>PS495Q04S: Radiotherapy - Q04 (Paper Scored Response)</t>
  </si>
  <si>
    <t>PS495Q01S: Radiotherapy - Q01 (Paper Scored Response)</t>
  </si>
  <si>
    <t>PS495Q02S: Radiotherapy - Q02 (Paper Scored Response)</t>
  </si>
  <si>
    <t>S495Q03: Radiotherapy - Q03 (Coded Paper Response)</t>
  </si>
  <si>
    <t>PS456Q01S: Cheetah - Q01 (Paper Scored Response)</t>
  </si>
  <si>
    <t>PS456Q02S: Cheetah - Q02 (Paper Scored Response)</t>
  </si>
  <si>
    <t>PS268Q01S: Algae - Q01 (Paper Scored Response)</t>
  </si>
  <si>
    <t>S268Q02: Algae - Q02 (Coded Paper Response)</t>
  </si>
  <si>
    <t>PS268Q06S: Algae - Q06 (Paper Scored Response)</t>
  </si>
  <si>
    <t>PS524Q06S: Penicillin Manufacture - Q06 (Paper Scored Response)</t>
  </si>
  <si>
    <t>S524Q07: Penicillin Manufacture - Q07 (Coded Paper Response)</t>
  </si>
  <si>
    <t>PS510Q01S: Magnetic Hovertrain - Q01 (Paper Scored Response)</t>
  </si>
  <si>
    <t>S510Q04: Magnetic Hovertrain - Q04 (Coded Paper Response)</t>
  </si>
  <si>
    <t>PS437Q01S: Extinguishing Fires - Q01 (Paper Scored Response)</t>
  </si>
  <si>
    <t>PS437Q03S: Extinguishing Fires - Q03 (Paper Scored Response)</t>
  </si>
  <si>
    <t>PS437Q04S: Extinguishing Fires - Q04 (Paper Scored Response)</t>
  </si>
  <si>
    <t>S437Q06: Extinguishing Fires - Q06 (Coded Paper Response)</t>
  </si>
  <si>
    <t>S304Q01: Water - Q01 (Coded Paper Response)</t>
  </si>
  <si>
    <t>PS304Q02S: Water - Q02 (Paper Scored Response)</t>
  </si>
  <si>
    <t>S304Q03a: Water - Q03a (Coded Paper Response)</t>
  </si>
  <si>
    <t>S304Q03b: Water - Q03b (Coded Paper Response)</t>
  </si>
  <si>
    <t>S416Q01: The Moon - Q01 (Coded Paper Response)</t>
  </si>
  <si>
    <t>S458Q01: The Ice Mummy - Q01 (Coded Paper Response)</t>
  </si>
  <si>
    <t>PS458Q02S: The Ice Mummy - Q02 (Paper Scored Response)</t>
  </si>
  <si>
    <t>S421Q01: Big and Small - Q01 (Coded Paper Response)</t>
  </si>
  <si>
    <t>S421Q02: Big and Small - Q02 (Coded Paper Response)</t>
  </si>
  <si>
    <t>S421Q03: Big and Small - Q03 (Coded Paper Response)</t>
  </si>
  <si>
    <t>PS252Q01S: South Rainea - Q01 (Paper Scored Response)</t>
  </si>
  <si>
    <t>PS252Q02S: South Rainea - Q02 (Paper Scored Response)</t>
  </si>
  <si>
    <t>PS252Q03S: South Rainea - Q03 (Paper Scored Response)</t>
  </si>
  <si>
    <t>PS327Q01S: Tidal Energy - Q01 (Paper Scored Response)</t>
  </si>
  <si>
    <t>PS133Q01S: Research - Q01 (Paper Scored Response)</t>
  </si>
  <si>
    <t>PS133Q03S: Research - Q03 (Paper Scored Response)</t>
  </si>
  <si>
    <t>PS133Q04S: Research - Q04 (Paper Scored Response)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</si>
</sst>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worksheets/sheet202.xml" Type="http://schemas.openxmlformats.org/officeDocument/2006/relationships/worksheet"/><Relationship Id="rId203" Target="worksheets/sheet203.xml" Type="http://schemas.openxmlformats.org/officeDocument/2006/relationships/worksheet"/><Relationship Id="rId204" Target="worksheets/sheet204.xml" Type="http://schemas.openxmlformats.org/officeDocument/2006/relationships/worksheet"/><Relationship Id="rId205" Target="worksheets/sheet205.xml" Type="http://schemas.openxmlformats.org/officeDocument/2006/relationships/worksheet"/><Relationship Id="rId206" Target="worksheets/sheet206.xml" Type="http://schemas.openxmlformats.org/officeDocument/2006/relationships/worksheet"/><Relationship Id="rId207" Target="worksheets/sheet207.xml" Type="http://schemas.openxmlformats.org/officeDocument/2006/relationships/worksheet"/><Relationship Id="rId208" Target="worksheets/sheet208.xml" Type="http://schemas.openxmlformats.org/officeDocument/2006/relationships/worksheet"/><Relationship Id="rId209" Target="worksheets/sheet209.xml" Type="http://schemas.openxmlformats.org/officeDocument/2006/relationships/worksheet"/><Relationship Id="rId210" Target="worksheets/sheet210.xml" Type="http://schemas.openxmlformats.org/officeDocument/2006/relationships/worksheet"/><Relationship Id="rId211" Target="worksheets/sheet211.xml" Type="http://schemas.openxmlformats.org/officeDocument/2006/relationships/worksheet"/><Relationship Id="rId212" Target="worksheets/sheet212.xml" Type="http://schemas.openxmlformats.org/officeDocument/2006/relationships/worksheet"/><Relationship Id="rId213" Target="worksheets/sheet213.xml" Type="http://schemas.openxmlformats.org/officeDocument/2006/relationships/worksheet"/><Relationship Id="rId214" Target="worksheets/sheet214.xml" Type="http://schemas.openxmlformats.org/officeDocument/2006/relationships/worksheet"/><Relationship Id="rId215" Target="worksheets/sheet215.xml" Type="http://schemas.openxmlformats.org/officeDocument/2006/relationships/worksheet"/><Relationship Id="rId216" Target="worksheets/sheet216.xml" Type="http://schemas.openxmlformats.org/officeDocument/2006/relationships/worksheet"/><Relationship Id="rId217" Target="worksheets/sheet217.xml" Type="http://schemas.openxmlformats.org/officeDocument/2006/relationships/worksheet"/><Relationship Id="rId218" Target="worksheets/sheet218.xml" Type="http://schemas.openxmlformats.org/officeDocument/2006/relationships/worksheet"/><Relationship Id="rId219" Target="worksheets/sheet219.xml" Type="http://schemas.openxmlformats.org/officeDocument/2006/relationships/worksheet"/><Relationship Id="rId220" Target="worksheets/sheet220.xml" Type="http://schemas.openxmlformats.org/officeDocument/2006/relationships/worksheet"/><Relationship Id="rId221" Target="worksheets/sheet221.xml" Type="http://schemas.openxmlformats.org/officeDocument/2006/relationships/worksheet"/><Relationship Id="rId222" Target="worksheets/sheet222.xml" Type="http://schemas.openxmlformats.org/officeDocument/2006/relationships/worksheet"/><Relationship Id="rId223" Target="worksheets/sheet223.xml" Type="http://schemas.openxmlformats.org/officeDocument/2006/relationships/worksheet"/><Relationship Id="rId224" Target="worksheets/sheet224.xml" Type="http://schemas.openxmlformats.org/officeDocument/2006/relationships/worksheet"/><Relationship Id="rId225" Target="worksheets/sheet225.xml" Type="http://schemas.openxmlformats.org/officeDocument/2006/relationships/worksheet"/><Relationship Id="rId226" Target="worksheets/sheet226.xml" Type="http://schemas.openxmlformats.org/officeDocument/2006/relationships/worksheet"/><Relationship Id="rId227" Target="worksheets/sheet227.xml" Type="http://schemas.openxmlformats.org/officeDocument/2006/relationships/worksheet"/><Relationship Id="rId228" Target="worksheets/sheet228.xml" Type="http://schemas.openxmlformats.org/officeDocument/2006/relationships/worksheet"/><Relationship Id="rId229" Target="worksheets/sheet229.xml" Type="http://schemas.openxmlformats.org/officeDocument/2006/relationships/worksheet"/><Relationship Id="rId230" Target="worksheets/sheet230.xml" Type="http://schemas.openxmlformats.org/officeDocument/2006/relationships/worksheet"/><Relationship Id="rId231" Target="worksheets/sheet231.xml" Type="http://schemas.openxmlformats.org/officeDocument/2006/relationships/worksheet"/><Relationship Id="rId232" Target="worksheets/sheet232.xml" Type="http://schemas.openxmlformats.org/officeDocument/2006/relationships/worksheet"/><Relationship Id="rId233" Target="worksheets/sheet233.xml" Type="http://schemas.openxmlformats.org/officeDocument/2006/relationships/worksheet"/><Relationship Id="rId234" Target="worksheets/sheet234.xml" Type="http://schemas.openxmlformats.org/officeDocument/2006/relationships/worksheet"/><Relationship Id="rId235" Target="worksheets/sheet235.xml" Type="http://schemas.openxmlformats.org/officeDocument/2006/relationships/worksheet"/><Relationship Id="rId236" Target="worksheets/sheet236.xml" Type="http://schemas.openxmlformats.org/officeDocument/2006/relationships/worksheet"/><Relationship Id="rId237" Target="worksheets/sheet237.xml" Type="http://schemas.openxmlformats.org/officeDocument/2006/relationships/worksheet"/><Relationship Id="rId238" Target="worksheets/sheet238.xml" Type="http://schemas.openxmlformats.org/officeDocument/2006/relationships/worksheet"/><Relationship Id="rId239" Target="worksheets/sheet239.xml" Type="http://schemas.openxmlformats.org/officeDocument/2006/relationships/worksheet"/><Relationship Id="rId240" Target="worksheets/sheet240.xml" Type="http://schemas.openxmlformats.org/officeDocument/2006/relationships/worksheet"/><Relationship Id="rId241" Target="worksheets/sheet241.xml" Type="http://schemas.openxmlformats.org/officeDocument/2006/relationships/worksheet"/><Relationship Id="rId242" Target="worksheets/sheet242.xml" Type="http://schemas.openxmlformats.org/officeDocument/2006/relationships/worksheet"/><Relationship Id="rId243" Target="worksheets/sheet243.xml" Type="http://schemas.openxmlformats.org/officeDocument/2006/relationships/worksheet"/><Relationship Id="rId244" Target="worksheets/sheet244.xml" Type="http://schemas.openxmlformats.org/officeDocument/2006/relationships/worksheet"/><Relationship Id="rId245" Target="worksheets/sheet245.xml" Type="http://schemas.openxmlformats.org/officeDocument/2006/relationships/worksheet"/><Relationship Id="rId246" Target="worksheets/sheet246.xml" Type="http://schemas.openxmlformats.org/officeDocument/2006/relationships/worksheet"/><Relationship Id="rId247" Target="worksheets/sheet247.xml" Type="http://schemas.openxmlformats.org/officeDocument/2006/relationships/worksheet"/><Relationship Id="rId248" Target="worksheets/sheet248.xml" Type="http://schemas.openxmlformats.org/officeDocument/2006/relationships/worksheet"/><Relationship Id="rId249" Target="worksheets/sheet249.xml" Type="http://schemas.openxmlformats.org/officeDocument/2006/relationships/worksheet"/><Relationship Id="rId250" Target="worksheets/sheet250.xml" Type="http://schemas.openxmlformats.org/officeDocument/2006/relationships/worksheet"/><Relationship Id="rId251" Target="worksheets/sheet251.xml" Type="http://schemas.openxmlformats.org/officeDocument/2006/relationships/worksheet"/><Relationship Id="rId252" Target="worksheets/sheet252.xml" Type="http://schemas.openxmlformats.org/officeDocument/2006/relationships/worksheet"/><Relationship Id="rId253" Target="worksheets/sheet253.xml" Type="http://schemas.openxmlformats.org/officeDocument/2006/relationships/worksheet"/><Relationship Id="rId254" Target="worksheets/sheet254.xml" Type="http://schemas.openxmlformats.org/officeDocument/2006/relationships/worksheet"/><Relationship Id="rId255" Target="worksheets/sheet255.xml" Type="http://schemas.openxmlformats.org/officeDocument/2006/relationships/worksheet"/><Relationship Id="rId256" Target="worksheets/sheet256.xml" Type="http://schemas.openxmlformats.org/officeDocument/2006/relationships/worksheet"/><Relationship Id="rId257" Target="worksheets/sheet257.xml" Type="http://schemas.openxmlformats.org/officeDocument/2006/relationships/worksheet"/><Relationship Id="rId258" Target="worksheets/sheet258.xml" Type="http://schemas.openxmlformats.org/officeDocument/2006/relationships/worksheet"/><Relationship Id="rId259" Target="worksheets/sheet259.xml" Type="http://schemas.openxmlformats.org/officeDocument/2006/relationships/worksheet"/><Relationship Id="rId260" Target="worksheets/sheet260.xml" Type="http://schemas.openxmlformats.org/officeDocument/2006/relationships/worksheet"/><Relationship Id="rId261" Target="worksheets/sheet261.xml" Type="http://schemas.openxmlformats.org/officeDocument/2006/relationships/worksheet"/><Relationship Id="rId262" Target="worksheets/sheet262.xml" Type="http://schemas.openxmlformats.org/officeDocument/2006/relationships/worksheet"/><Relationship Id="rId263" Target="worksheets/sheet263.xml" Type="http://schemas.openxmlformats.org/officeDocument/2006/relationships/worksheet"/><Relationship Id="rId264" Target="worksheets/sheet264.xml" Type="http://schemas.openxmlformats.org/officeDocument/2006/relationships/worksheet"/><Relationship Id="rId265" Target="worksheets/sheet265.xml" Type="http://schemas.openxmlformats.org/officeDocument/2006/relationships/worksheet"/><Relationship Id="rId266" Target="worksheets/sheet266.xml" Type="http://schemas.openxmlformats.org/officeDocument/2006/relationships/worksheet"/><Relationship Id="rId267" Target="worksheets/sheet267.xml" Type="http://schemas.openxmlformats.org/officeDocument/2006/relationships/worksheet"/><Relationship Id="rId268" Target="worksheets/sheet268.xml" Type="http://schemas.openxmlformats.org/officeDocument/2006/relationships/worksheet"/><Relationship Id="rId269" Target="worksheets/sheet269.xml" Type="http://schemas.openxmlformats.org/officeDocument/2006/relationships/worksheet"/><Relationship Id="rId270" Target="worksheets/sheet270.xml" Type="http://schemas.openxmlformats.org/officeDocument/2006/relationships/worksheet"/><Relationship Id="rId271" Target="worksheets/sheet271.xml" Type="http://schemas.openxmlformats.org/officeDocument/2006/relationships/worksheet"/><Relationship Id="rId272" Target="worksheets/sheet272.xml" Type="http://schemas.openxmlformats.org/officeDocument/2006/relationships/worksheet"/><Relationship Id="rId273" Target="worksheets/sheet273.xml" Type="http://schemas.openxmlformats.org/officeDocument/2006/relationships/worksheet"/><Relationship Id="rId274" Target="worksheets/sheet274.xml" Type="http://schemas.openxmlformats.org/officeDocument/2006/relationships/worksheet"/><Relationship Id="rId275" Target="worksheets/sheet275.xml" Type="http://schemas.openxmlformats.org/officeDocument/2006/relationships/worksheet"/><Relationship Id="rId276" Target="sharedStrings.xml" Type="http://schemas.openxmlformats.org/officeDocument/2006/relationships/sharedStrings"/><Relationship Id="rId277" Target="styles.xml" Type="http://schemas.openxmlformats.org/officeDocument/2006/relationships/styles"/><Relationship Id="rId27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DS269Q01C'!A6" TargetMode="External" Type="http://schemas.openxmlformats.org/officeDocument/2006/relationships/hyperlink"/><Relationship Id="rId2" Target="#'DS269Q03C'!A6" TargetMode="External" Type="http://schemas.openxmlformats.org/officeDocument/2006/relationships/hyperlink"/><Relationship Id="rId3" Target="#'CS269Q04S'!A6" TargetMode="External" Type="http://schemas.openxmlformats.org/officeDocument/2006/relationships/hyperlink"/><Relationship Id="rId4" Target="#'CS408Q01S'!A6" TargetMode="External" Type="http://schemas.openxmlformats.org/officeDocument/2006/relationships/hyperlink"/><Relationship Id="rId5" Target="#'DS408Q03C'!A6" TargetMode="External" Type="http://schemas.openxmlformats.org/officeDocument/2006/relationships/hyperlink"/><Relationship Id="rId6" Target="#'CS408Q04S'!A6" TargetMode="External" Type="http://schemas.openxmlformats.org/officeDocument/2006/relationships/hyperlink"/><Relationship Id="rId7" Target="#'CS408Q05S'!A6" TargetMode="External" Type="http://schemas.openxmlformats.org/officeDocument/2006/relationships/hyperlink"/><Relationship Id="rId8" Target="#'CS521Q02S'!A6" TargetMode="External" Type="http://schemas.openxmlformats.org/officeDocument/2006/relationships/hyperlink"/><Relationship Id="rId9" Target="#'CS521Q06S'!A6" TargetMode="External" Type="http://schemas.openxmlformats.org/officeDocument/2006/relationships/hyperlink"/><Relationship Id="rId10" Target="#'DS519Q01C'!A6" TargetMode="External" Type="http://schemas.openxmlformats.org/officeDocument/2006/relationships/hyperlink"/><Relationship Id="rId11" Target="#'CS519Q02S'!A6" TargetMode="External" Type="http://schemas.openxmlformats.org/officeDocument/2006/relationships/hyperlink"/><Relationship Id="rId12" Target="#'DS519Q03C'!A6" TargetMode="External" Type="http://schemas.openxmlformats.org/officeDocument/2006/relationships/hyperlink"/><Relationship Id="rId13" Target="#'CS527Q01S'!A6" TargetMode="External" Type="http://schemas.openxmlformats.org/officeDocument/2006/relationships/hyperlink"/><Relationship Id="rId14" Target="#'CS527Q03S'!A6" TargetMode="External" Type="http://schemas.openxmlformats.org/officeDocument/2006/relationships/hyperlink"/><Relationship Id="rId15" Target="#'CS527Q04S'!A6" TargetMode="External" Type="http://schemas.openxmlformats.org/officeDocument/2006/relationships/hyperlink"/><Relationship Id="rId16" Target="#'CS466Q01S'!A6" TargetMode="External" Type="http://schemas.openxmlformats.org/officeDocument/2006/relationships/hyperlink"/><Relationship Id="rId17" Target="#'CS466Q07S'!A6" TargetMode="External" Type="http://schemas.openxmlformats.org/officeDocument/2006/relationships/hyperlink"/><Relationship Id="rId18" Target="#'CS466Q05S'!A6" TargetMode="External" Type="http://schemas.openxmlformats.org/officeDocument/2006/relationships/hyperlink"/><Relationship Id="rId19" Target="#'DS326Q01C'!A6" TargetMode="External" Type="http://schemas.openxmlformats.org/officeDocument/2006/relationships/hyperlink"/><Relationship Id="rId20" Target="#'DS326Q02C'!A6" TargetMode="External" Type="http://schemas.openxmlformats.org/officeDocument/2006/relationships/hyperlink"/><Relationship Id="rId21" Target="#'CS326Q03S'!A6" TargetMode="External" Type="http://schemas.openxmlformats.org/officeDocument/2006/relationships/hyperlink"/><Relationship Id="rId22" Target="#'CS326Q04S'!A6" TargetMode="External" Type="http://schemas.openxmlformats.org/officeDocument/2006/relationships/hyperlink"/><Relationship Id="rId23" Target="#'CS256Q01S'!A6" TargetMode="External" Type="http://schemas.openxmlformats.org/officeDocument/2006/relationships/hyperlink"/><Relationship Id="rId24" Target="#'CS478Q01S'!A6" TargetMode="External" Type="http://schemas.openxmlformats.org/officeDocument/2006/relationships/hyperlink"/><Relationship Id="rId25" Target="#'CS478Q02S'!A6" TargetMode="External" Type="http://schemas.openxmlformats.org/officeDocument/2006/relationships/hyperlink"/><Relationship Id="rId26" Target="#'CS478Q03S'!A6" TargetMode="External" Type="http://schemas.openxmlformats.org/officeDocument/2006/relationships/hyperlink"/><Relationship Id="rId27" Target="#'CS413Q06S'!A6" TargetMode="External" Type="http://schemas.openxmlformats.org/officeDocument/2006/relationships/hyperlink"/><Relationship Id="rId28" Target="#'CS413Q04S'!A6" TargetMode="External" Type="http://schemas.openxmlformats.org/officeDocument/2006/relationships/hyperlink"/><Relationship Id="rId29" Target="#'CS413Q05S'!A6" TargetMode="External" Type="http://schemas.openxmlformats.org/officeDocument/2006/relationships/hyperlink"/><Relationship Id="rId30" Target="#'CS498Q02S'!A6" TargetMode="External" Type="http://schemas.openxmlformats.org/officeDocument/2006/relationships/hyperlink"/><Relationship Id="rId31" Target="#'CS498Q03S'!A6" TargetMode="External" Type="http://schemas.openxmlformats.org/officeDocument/2006/relationships/hyperlink"/><Relationship Id="rId32" Target="#'DS498Q04C'!A6" TargetMode="External" Type="http://schemas.openxmlformats.org/officeDocument/2006/relationships/hyperlink"/><Relationship Id="rId33" Target="#'DS425Q03C'!A6" TargetMode="External" Type="http://schemas.openxmlformats.org/officeDocument/2006/relationships/hyperlink"/><Relationship Id="rId34" Target="#'CS425Q05S'!A6" TargetMode="External" Type="http://schemas.openxmlformats.org/officeDocument/2006/relationships/hyperlink"/><Relationship Id="rId35" Target="#'CS425Q02S'!A6" TargetMode="External" Type="http://schemas.openxmlformats.org/officeDocument/2006/relationships/hyperlink"/><Relationship Id="rId36" Target="#'DS425Q04C'!A6" TargetMode="External" Type="http://schemas.openxmlformats.org/officeDocument/2006/relationships/hyperlink"/><Relationship Id="rId37" Target="#'DS465Q01C'!A6" TargetMode="External" Type="http://schemas.openxmlformats.org/officeDocument/2006/relationships/hyperlink"/><Relationship Id="rId38" Target="#'CS465Q02S'!A6" TargetMode="External" Type="http://schemas.openxmlformats.org/officeDocument/2006/relationships/hyperlink"/><Relationship Id="rId39" Target="#'CS465Q04S'!A6" TargetMode="External" Type="http://schemas.openxmlformats.org/officeDocument/2006/relationships/hyperlink"/><Relationship Id="rId40" Target="#'DS131Q02C'!A6" TargetMode="External" Type="http://schemas.openxmlformats.org/officeDocument/2006/relationships/hyperlink"/><Relationship Id="rId41" Target="#'DS131Q04C'!A6" TargetMode="External" Type="http://schemas.openxmlformats.org/officeDocument/2006/relationships/hyperlink"/><Relationship Id="rId42" Target="#'CS428Q01S'!A6" TargetMode="External" Type="http://schemas.openxmlformats.org/officeDocument/2006/relationships/hyperlink"/><Relationship Id="rId43" Target="#'CS428Q03S'!A6" TargetMode="External" Type="http://schemas.openxmlformats.org/officeDocument/2006/relationships/hyperlink"/><Relationship Id="rId44" Target="#'DS428Q05C'!A6" TargetMode="External" Type="http://schemas.openxmlformats.org/officeDocument/2006/relationships/hyperlink"/><Relationship Id="rId45" Target="#'DS514Q02C'!A6" TargetMode="External" Type="http://schemas.openxmlformats.org/officeDocument/2006/relationships/hyperlink"/><Relationship Id="rId46" Target="#'DS514Q03C'!A6" TargetMode="External" Type="http://schemas.openxmlformats.org/officeDocument/2006/relationships/hyperlink"/><Relationship Id="rId47" Target="#'DS514Q04C'!A6" TargetMode="External" Type="http://schemas.openxmlformats.org/officeDocument/2006/relationships/hyperlink"/><Relationship Id="rId48" Target="#'CS438Q01S'!A6" TargetMode="External" Type="http://schemas.openxmlformats.org/officeDocument/2006/relationships/hyperlink"/><Relationship Id="rId49" Target="#'CS438Q02S'!A6" TargetMode="External" Type="http://schemas.openxmlformats.org/officeDocument/2006/relationships/hyperlink"/><Relationship Id="rId50" Target="#'DS438Q03C'!A6" TargetMode="External" Type="http://schemas.openxmlformats.org/officeDocument/2006/relationships/hyperlink"/><Relationship Id="rId51" Target="#'CS415Q07S'!A6" TargetMode="External" Type="http://schemas.openxmlformats.org/officeDocument/2006/relationships/hyperlink"/><Relationship Id="rId52" Target="#'CS415Q02S'!A6" TargetMode="External" Type="http://schemas.openxmlformats.org/officeDocument/2006/relationships/hyperlink"/><Relationship Id="rId53" Target="#'CS415Q08S'!A6" TargetMode="External" Type="http://schemas.openxmlformats.org/officeDocument/2006/relationships/hyperlink"/><Relationship Id="rId54" Target="#'CS476Q01S'!A6" TargetMode="External" Type="http://schemas.openxmlformats.org/officeDocument/2006/relationships/hyperlink"/><Relationship Id="rId55" Target="#'CS476Q02S'!A6" TargetMode="External" Type="http://schemas.openxmlformats.org/officeDocument/2006/relationships/hyperlink"/><Relationship Id="rId56" Target="#'CS476Q03S'!A6" TargetMode="External" Type="http://schemas.openxmlformats.org/officeDocument/2006/relationships/hyperlink"/><Relationship Id="rId57" Target="#'CS495Q04S'!A6" TargetMode="External" Type="http://schemas.openxmlformats.org/officeDocument/2006/relationships/hyperlink"/><Relationship Id="rId58" Target="#'CS495Q01S'!A6" TargetMode="External" Type="http://schemas.openxmlformats.org/officeDocument/2006/relationships/hyperlink"/><Relationship Id="rId59" Target="#'CS495Q02S'!A6" TargetMode="External" Type="http://schemas.openxmlformats.org/officeDocument/2006/relationships/hyperlink"/><Relationship Id="rId60" Target="#'DS495Q03C'!A6" TargetMode="External" Type="http://schemas.openxmlformats.org/officeDocument/2006/relationships/hyperlink"/><Relationship Id="rId61" Target="#'CS268Q01S'!A6" TargetMode="External" Type="http://schemas.openxmlformats.org/officeDocument/2006/relationships/hyperlink"/><Relationship Id="rId62" Target="#'DS268Q02C'!A6" TargetMode="External" Type="http://schemas.openxmlformats.org/officeDocument/2006/relationships/hyperlink"/><Relationship Id="rId63" Target="#'CS268Q06S'!A6" TargetMode="External" Type="http://schemas.openxmlformats.org/officeDocument/2006/relationships/hyperlink"/><Relationship Id="rId64" Target="#'CS524Q06S'!A6" TargetMode="External" Type="http://schemas.openxmlformats.org/officeDocument/2006/relationships/hyperlink"/><Relationship Id="rId65" Target="#'DS524Q07C'!A6" TargetMode="External" Type="http://schemas.openxmlformats.org/officeDocument/2006/relationships/hyperlink"/><Relationship Id="rId66" Target="#'CS510Q01S'!A6" TargetMode="External" Type="http://schemas.openxmlformats.org/officeDocument/2006/relationships/hyperlink"/><Relationship Id="rId67" Target="#'DS510Q04C'!A6" TargetMode="External" Type="http://schemas.openxmlformats.org/officeDocument/2006/relationships/hyperlink"/><Relationship Id="rId68" Target="#'CS437Q01S'!A6" TargetMode="External" Type="http://schemas.openxmlformats.org/officeDocument/2006/relationships/hyperlink"/><Relationship Id="rId69" Target="#'CS437Q03S'!A6" TargetMode="External" Type="http://schemas.openxmlformats.org/officeDocument/2006/relationships/hyperlink"/><Relationship Id="rId70" Target="#'CS437Q04S'!A6" TargetMode="External" Type="http://schemas.openxmlformats.org/officeDocument/2006/relationships/hyperlink"/><Relationship Id="rId71" Target="#'DS437Q06C'!A6" TargetMode="External" Type="http://schemas.openxmlformats.org/officeDocument/2006/relationships/hyperlink"/><Relationship Id="rId72" Target="#'DS304Q01C'!A6" TargetMode="External" Type="http://schemas.openxmlformats.org/officeDocument/2006/relationships/hyperlink"/><Relationship Id="rId73" Target="#'CS304Q02S'!A6" TargetMode="External" Type="http://schemas.openxmlformats.org/officeDocument/2006/relationships/hyperlink"/><Relationship Id="rId74" Target="#'DS304Q03aC'!A6" TargetMode="External" Type="http://schemas.openxmlformats.org/officeDocument/2006/relationships/hyperlink"/><Relationship Id="rId75" Target="#'DS304Q03bC'!A6" TargetMode="External" Type="http://schemas.openxmlformats.org/officeDocument/2006/relationships/hyperlink"/><Relationship Id="rId76" Target="#'DS416Q01C'!A6" TargetMode="External" Type="http://schemas.openxmlformats.org/officeDocument/2006/relationships/hyperlink"/><Relationship Id="rId77" Target="#'DS458Q01C'!A6" TargetMode="External" Type="http://schemas.openxmlformats.org/officeDocument/2006/relationships/hyperlink"/><Relationship Id="rId78" Target="#'CS458Q02S'!A6" TargetMode="External" Type="http://schemas.openxmlformats.org/officeDocument/2006/relationships/hyperlink"/><Relationship Id="rId79" Target="#'CS421Q01S'!A6" TargetMode="External" Type="http://schemas.openxmlformats.org/officeDocument/2006/relationships/hyperlink"/><Relationship Id="rId80" Target="#'CS421Q02S'!A6" TargetMode="External" Type="http://schemas.openxmlformats.org/officeDocument/2006/relationships/hyperlink"/><Relationship Id="rId81" Target="#'CS421Q03S'!A6" TargetMode="External" Type="http://schemas.openxmlformats.org/officeDocument/2006/relationships/hyperlink"/><Relationship Id="rId82" Target="#'CS252Q01S'!A6" TargetMode="External" Type="http://schemas.openxmlformats.org/officeDocument/2006/relationships/hyperlink"/><Relationship Id="rId83" Target="#'CS252Q02S'!A6" TargetMode="External" Type="http://schemas.openxmlformats.org/officeDocument/2006/relationships/hyperlink"/><Relationship Id="rId84" Target="#'CS252Q03S'!A6" TargetMode="External" Type="http://schemas.openxmlformats.org/officeDocument/2006/relationships/hyperlink"/><Relationship Id="rId85" Target="#'CS327Q01S'!A6" TargetMode="External" Type="http://schemas.openxmlformats.org/officeDocument/2006/relationships/hyperlink"/><Relationship Id="rId86" Target="#'CS627Q01S'!A6" TargetMode="External" Type="http://schemas.openxmlformats.org/officeDocument/2006/relationships/hyperlink"/><Relationship Id="rId87" Target="#'CS627Q03S'!A6" TargetMode="External" Type="http://schemas.openxmlformats.org/officeDocument/2006/relationships/hyperlink"/><Relationship Id="rId88" Target="#'CS627Q04S'!A6" TargetMode="External" Type="http://schemas.openxmlformats.org/officeDocument/2006/relationships/hyperlink"/><Relationship Id="rId89" Target="#'CS635Q01S'!A6" TargetMode="External" Type="http://schemas.openxmlformats.org/officeDocument/2006/relationships/hyperlink"/><Relationship Id="rId90" Target="#'CS635Q02S'!A6" TargetMode="External" Type="http://schemas.openxmlformats.org/officeDocument/2006/relationships/hyperlink"/><Relationship Id="rId91" Target="#'DS635Q03C'!A6" TargetMode="External" Type="http://schemas.openxmlformats.org/officeDocument/2006/relationships/hyperlink"/><Relationship Id="rId92" Target="#'CS635Q04S'!A6" TargetMode="External" Type="http://schemas.openxmlformats.org/officeDocument/2006/relationships/hyperlink"/><Relationship Id="rId93" Target="#'DS635Q05C'!A6" TargetMode="External" Type="http://schemas.openxmlformats.org/officeDocument/2006/relationships/hyperlink"/><Relationship Id="rId94" Target="#'CS603Q01S'!A6" TargetMode="External" Type="http://schemas.openxmlformats.org/officeDocument/2006/relationships/hyperlink"/><Relationship Id="rId95" Target="#'DS603Q02C'!A6" TargetMode="External" Type="http://schemas.openxmlformats.org/officeDocument/2006/relationships/hyperlink"/><Relationship Id="rId96" Target="#'CS603Q03S'!A6" TargetMode="External" Type="http://schemas.openxmlformats.org/officeDocument/2006/relationships/hyperlink"/><Relationship Id="rId97" Target="#'CS603Q04S'!A6" TargetMode="External" Type="http://schemas.openxmlformats.org/officeDocument/2006/relationships/hyperlink"/><Relationship Id="rId98" Target="#'CS603Q05S'!A6" TargetMode="External" Type="http://schemas.openxmlformats.org/officeDocument/2006/relationships/hyperlink"/><Relationship Id="rId99" Target="#'CS602Q01S'!A6" TargetMode="External" Type="http://schemas.openxmlformats.org/officeDocument/2006/relationships/hyperlink"/><Relationship Id="rId100" Target="#'CS602Q02S'!A6" TargetMode="External" Type="http://schemas.openxmlformats.org/officeDocument/2006/relationships/hyperlink"/><Relationship Id="rId101" Target="#'DS602Q03C'!A6" TargetMode="External" Type="http://schemas.openxmlformats.org/officeDocument/2006/relationships/hyperlink"/><Relationship Id="rId102" Target="#'CS602Q04S'!A6" TargetMode="External" Type="http://schemas.openxmlformats.org/officeDocument/2006/relationships/hyperlink"/><Relationship Id="rId103" Target="#'CS607Q01S'!A6" TargetMode="External" Type="http://schemas.openxmlformats.org/officeDocument/2006/relationships/hyperlink"/><Relationship Id="rId104" Target="#'CS607Q02S'!A6" TargetMode="External" Type="http://schemas.openxmlformats.org/officeDocument/2006/relationships/hyperlink"/><Relationship Id="rId105" Target="#'DS607Q03C'!A6" TargetMode="External" Type="http://schemas.openxmlformats.org/officeDocument/2006/relationships/hyperlink"/><Relationship Id="rId106" Target="#'CS646Q01S'!A6" TargetMode="External" Type="http://schemas.openxmlformats.org/officeDocument/2006/relationships/hyperlink"/><Relationship Id="rId107" Target="#'CS646Q02S'!A6" TargetMode="External" Type="http://schemas.openxmlformats.org/officeDocument/2006/relationships/hyperlink"/><Relationship Id="rId108" Target="#'CS646Q03S'!A6" TargetMode="External" Type="http://schemas.openxmlformats.org/officeDocument/2006/relationships/hyperlink"/><Relationship Id="rId109" Target="#'DS646Q04C'!A6" TargetMode="External" Type="http://schemas.openxmlformats.org/officeDocument/2006/relationships/hyperlink"/><Relationship Id="rId110" Target="#'DS646Q05C'!A6" TargetMode="External" Type="http://schemas.openxmlformats.org/officeDocument/2006/relationships/hyperlink"/><Relationship Id="rId111" Target="#'CS608Q01S'!A6" TargetMode="External" Type="http://schemas.openxmlformats.org/officeDocument/2006/relationships/hyperlink"/><Relationship Id="rId112" Target="#'CS608Q02S'!A6" TargetMode="External" Type="http://schemas.openxmlformats.org/officeDocument/2006/relationships/hyperlink"/><Relationship Id="rId113" Target="#'CS608Q03S'!A6" TargetMode="External" Type="http://schemas.openxmlformats.org/officeDocument/2006/relationships/hyperlink"/><Relationship Id="rId114" Target="#'DS608Q04C'!A6" TargetMode="External" Type="http://schemas.openxmlformats.org/officeDocument/2006/relationships/hyperlink"/><Relationship Id="rId115" Target="#'CS605Q01S'!A6" TargetMode="External" Type="http://schemas.openxmlformats.org/officeDocument/2006/relationships/hyperlink"/><Relationship Id="rId116" Target="#'CS605Q02S'!A6" TargetMode="External" Type="http://schemas.openxmlformats.org/officeDocument/2006/relationships/hyperlink"/><Relationship Id="rId117" Target="#'CS605Q03S'!A6" TargetMode="External" Type="http://schemas.openxmlformats.org/officeDocument/2006/relationships/hyperlink"/><Relationship Id="rId118" Target="#'DS605Q04C'!A6" TargetMode="External" Type="http://schemas.openxmlformats.org/officeDocument/2006/relationships/hyperlink"/><Relationship Id="rId119" Target="#'CS649Q01S'!A6" TargetMode="External" Type="http://schemas.openxmlformats.org/officeDocument/2006/relationships/hyperlink"/><Relationship Id="rId120" Target="#'DS649Q02C'!A6" TargetMode="External" Type="http://schemas.openxmlformats.org/officeDocument/2006/relationships/hyperlink"/><Relationship Id="rId121" Target="#'CS649Q03S'!A6" TargetMode="External" Type="http://schemas.openxmlformats.org/officeDocument/2006/relationships/hyperlink"/><Relationship Id="rId122" Target="#'CS649Q04S'!A6" TargetMode="External" Type="http://schemas.openxmlformats.org/officeDocument/2006/relationships/hyperlink"/><Relationship Id="rId123" Target="#'CS634Q01S'!A6" TargetMode="External" Type="http://schemas.openxmlformats.org/officeDocument/2006/relationships/hyperlink"/><Relationship Id="rId124" Target="#'CS634Q02S'!A6" TargetMode="External" Type="http://schemas.openxmlformats.org/officeDocument/2006/relationships/hyperlink"/><Relationship Id="rId125" Target="#'DS634Q03C'!A6" TargetMode="External" Type="http://schemas.openxmlformats.org/officeDocument/2006/relationships/hyperlink"/><Relationship Id="rId126" Target="#'DS634Q05C'!A6" TargetMode="External" Type="http://schemas.openxmlformats.org/officeDocument/2006/relationships/hyperlink"/><Relationship Id="rId127" Target="#'CS634Q04S'!A6" TargetMode="External" Type="http://schemas.openxmlformats.org/officeDocument/2006/relationships/hyperlink"/><Relationship Id="rId128" Target="#'CS620Q01S'!A6" TargetMode="External" Type="http://schemas.openxmlformats.org/officeDocument/2006/relationships/hyperlink"/><Relationship Id="rId129" Target="#'CS620Q02S'!A6" TargetMode="External" Type="http://schemas.openxmlformats.org/officeDocument/2006/relationships/hyperlink"/><Relationship Id="rId130" Target="#'DS620Q04C'!A6" TargetMode="External" Type="http://schemas.openxmlformats.org/officeDocument/2006/relationships/hyperlink"/><Relationship Id="rId131" Target="#'CS638Q01S'!A6" TargetMode="External" Type="http://schemas.openxmlformats.org/officeDocument/2006/relationships/hyperlink"/><Relationship Id="rId132" Target="#'CS638Q02S'!A6" TargetMode="External" Type="http://schemas.openxmlformats.org/officeDocument/2006/relationships/hyperlink"/><Relationship Id="rId133" Target="#'CS638Q04S'!A6" TargetMode="External" Type="http://schemas.openxmlformats.org/officeDocument/2006/relationships/hyperlink"/><Relationship Id="rId134" Target="#'DS638Q05C'!A6" TargetMode="External" Type="http://schemas.openxmlformats.org/officeDocument/2006/relationships/hyperlink"/><Relationship Id="rId135" Target="#'DS625Q01C'!A6" TargetMode="External" Type="http://schemas.openxmlformats.org/officeDocument/2006/relationships/hyperlink"/><Relationship Id="rId136" Target="#'CS625Q02S'!A6" TargetMode="External" Type="http://schemas.openxmlformats.org/officeDocument/2006/relationships/hyperlink"/><Relationship Id="rId137" Target="#'CS625Q03S'!A6" TargetMode="External" Type="http://schemas.openxmlformats.org/officeDocument/2006/relationships/hyperlink"/><Relationship Id="rId138" Target="#'CS615Q07S'!A6" TargetMode="External" Type="http://schemas.openxmlformats.org/officeDocument/2006/relationships/hyperlink"/><Relationship Id="rId139" Target="#'CS615Q01S'!A6" TargetMode="External" Type="http://schemas.openxmlformats.org/officeDocument/2006/relationships/hyperlink"/><Relationship Id="rId140" Target="#'CS615Q02S'!A6" TargetMode="External" Type="http://schemas.openxmlformats.org/officeDocument/2006/relationships/hyperlink"/><Relationship Id="rId141" Target="#'CS615Q05S'!A6" TargetMode="External" Type="http://schemas.openxmlformats.org/officeDocument/2006/relationships/hyperlink"/><Relationship Id="rId142" Target="#'CS604Q02S'!A6" TargetMode="External" Type="http://schemas.openxmlformats.org/officeDocument/2006/relationships/hyperlink"/><Relationship Id="rId143" Target="#'DS604Q04C'!A6" TargetMode="External" Type="http://schemas.openxmlformats.org/officeDocument/2006/relationships/hyperlink"/><Relationship Id="rId144" Target="#'CS645Q01S'!A6" TargetMode="External" Type="http://schemas.openxmlformats.org/officeDocument/2006/relationships/hyperlink"/><Relationship Id="rId145" Target="#'CS645Q03S'!A6" TargetMode="External" Type="http://schemas.openxmlformats.org/officeDocument/2006/relationships/hyperlink"/><Relationship Id="rId146" Target="#'DS645Q04C'!A6" TargetMode="External" Type="http://schemas.openxmlformats.org/officeDocument/2006/relationships/hyperlink"/><Relationship Id="rId147" Target="#'DS645Q05C'!A6" TargetMode="External" Type="http://schemas.openxmlformats.org/officeDocument/2006/relationships/hyperlink"/><Relationship Id="rId148" Target="#'CS657Q01S'!A6" TargetMode="External" Type="http://schemas.openxmlformats.org/officeDocument/2006/relationships/hyperlink"/><Relationship Id="rId149" Target="#'CS657Q02S'!A6" TargetMode="External" Type="http://schemas.openxmlformats.org/officeDocument/2006/relationships/hyperlink"/><Relationship Id="rId150" Target="#'CS657Q03S'!A6" TargetMode="External" Type="http://schemas.openxmlformats.org/officeDocument/2006/relationships/hyperlink"/><Relationship Id="rId151" Target="#'DS657Q04C'!A6" TargetMode="External" Type="http://schemas.openxmlformats.org/officeDocument/2006/relationships/hyperlink"/><Relationship Id="rId152" Target="#'CS656Q01S'!A6" TargetMode="External" Type="http://schemas.openxmlformats.org/officeDocument/2006/relationships/hyperlink"/><Relationship Id="rId153" Target="#'DS656Q02C'!A6" TargetMode="External" Type="http://schemas.openxmlformats.org/officeDocument/2006/relationships/hyperlink"/><Relationship Id="rId154" Target="#'CS656Q04S'!A6" TargetMode="External" Type="http://schemas.openxmlformats.org/officeDocument/2006/relationships/hyperlink"/><Relationship Id="rId155" Target="#'DS643Q03C'!A6" TargetMode="External" Type="http://schemas.openxmlformats.org/officeDocument/2006/relationships/hyperlink"/><Relationship Id="rId156" Target="#'CS643Q01S'!A6" TargetMode="External" Type="http://schemas.openxmlformats.org/officeDocument/2006/relationships/hyperlink"/><Relationship Id="rId157" Target="#'CS643Q02S'!A6" TargetMode="External" Type="http://schemas.openxmlformats.org/officeDocument/2006/relationships/hyperlink"/><Relationship Id="rId158" Target="#'CS643Q04S'!A6" TargetMode="External" Type="http://schemas.openxmlformats.org/officeDocument/2006/relationships/hyperlink"/><Relationship Id="rId159" Target="#'DS643Q05C'!A6" TargetMode="External" Type="http://schemas.openxmlformats.org/officeDocument/2006/relationships/hyperlink"/><Relationship Id="rId160" Target="#'DS629Q01C'!A6" TargetMode="External" Type="http://schemas.openxmlformats.org/officeDocument/2006/relationships/hyperlink"/><Relationship Id="rId161" Target="#'CS629Q02S'!A6" TargetMode="External" Type="http://schemas.openxmlformats.org/officeDocument/2006/relationships/hyperlink"/><Relationship Id="rId162" Target="#'DS629Q03C'!A6" TargetMode="External" Type="http://schemas.openxmlformats.org/officeDocument/2006/relationships/hyperlink"/><Relationship Id="rId163" Target="#'CS629Q04S'!A6" TargetMode="External" Type="http://schemas.openxmlformats.org/officeDocument/2006/relationships/hyperlink"/><Relationship Id="rId164" Target="#'DS648Q01C'!A6" TargetMode="External" Type="http://schemas.openxmlformats.org/officeDocument/2006/relationships/hyperlink"/><Relationship Id="rId165" Target="#'CS648Q02S'!A6" TargetMode="External" Type="http://schemas.openxmlformats.org/officeDocument/2006/relationships/hyperlink"/><Relationship Id="rId166" Target="#'CS648Q03S'!A6" TargetMode="External" Type="http://schemas.openxmlformats.org/officeDocument/2006/relationships/hyperlink"/><Relationship Id="rId167" Target="#'DS648Q05C'!A6" TargetMode="External" Type="http://schemas.openxmlformats.org/officeDocument/2006/relationships/hyperlink"/><Relationship Id="rId168" Target="#'CS641Q01S'!A6" TargetMode="External" Type="http://schemas.openxmlformats.org/officeDocument/2006/relationships/hyperlink"/><Relationship Id="rId169" Target="#'CS641Q02S'!A6" TargetMode="External" Type="http://schemas.openxmlformats.org/officeDocument/2006/relationships/hyperlink"/><Relationship Id="rId170" Target="#'CS641Q03S'!A6" TargetMode="External" Type="http://schemas.openxmlformats.org/officeDocument/2006/relationships/hyperlink"/><Relationship Id="rId171" Target="#'CS641Q04S'!A6" TargetMode="External" Type="http://schemas.openxmlformats.org/officeDocument/2006/relationships/hyperlink"/><Relationship Id="rId172" Target="#'DS637Q01C'!A6" TargetMode="External" Type="http://schemas.openxmlformats.org/officeDocument/2006/relationships/hyperlink"/><Relationship Id="rId173" Target="#'CS637Q02S'!A6" TargetMode="External" Type="http://schemas.openxmlformats.org/officeDocument/2006/relationships/hyperlink"/><Relationship Id="rId174" Target="#'DS637Q05C'!A6" TargetMode="External" Type="http://schemas.openxmlformats.org/officeDocument/2006/relationships/hyperlink"/><Relationship Id="rId175" Target="#'CS601Q01S'!A6" TargetMode="External" Type="http://schemas.openxmlformats.org/officeDocument/2006/relationships/hyperlink"/><Relationship Id="rId176" Target="#'CS601Q02S'!A6" TargetMode="External" Type="http://schemas.openxmlformats.org/officeDocument/2006/relationships/hyperlink"/><Relationship Id="rId177" Target="#'CS601Q04S'!A6" TargetMode="External" Type="http://schemas.openxmlformats.org/officeDocument/2006/relationships/hyperlink"/><Relationship Id="rId178" Target="#'DS610Q01C'!A6" TargetMode="External" Type="http://schemas.openxmlformats.org/officeDocument/2006/relationships/hyperlink"/><Relationship Id="rId179" Target="#'CS610Q02S'!A6" TargetMode="External" Type="http://schemas.openxmlformats.org/officeDocument/2006/relationships/hyperlink"/><Relationship Id="rId180" Target="#'CS610Q04S'!A6" TargetMode="External" Type="http://schemas.openxmlformats.org/officeDocument/2006/relationships/hyperlink"/><Relationship Id="rId181" Target="#'CS626Q01S'!A6" TargetMode="External" Type="http://schemas.openxmlformats.org/officeDocument/2006/relationships/hyperlink"/><Relationship Id="rId182" Target="#'CS626Q02S'!A6" TargetMode="External" Type="http://schemas.openxmlformats.org/officeDocument/2006/relationships/hyperlink"/><Relationship Id="rId183" Target="#'CS626Q03S'!A6" TargetMode="External" Type="http://schemas.openxmlformats.org/officeDocument/2006/relationships/hyperlink"/><Relationship Id="rId184" Target="#'DS626Q04C'!A6" TargetMode="External" Type="http://schemas.openxmlformats.org/officeDocument/2006/relationships/hyperlink"/><Relationship Id="rId185" Target="#'PS269Q01'!A6" TargetMode="External" Type="http://schemas.openxmlformats.org/officeDocument/2006/relationships/hyperlink"/><Relationship Id="rId186" Target="#'PS269Q03'!A6" TargetMode="External" Type="http://schemas.openxmlformats.org/officeDocument/2006/relationships/hyperlink"/><Relationship Id="rId187" Target="#'PS269Q04S'!A6" TargetMode="External" Type="http://schemas.openxmlformats.org/officeDocument/2006/relationships/hyperlink"/><Relationship Id="rId188" Target="#'PS408Q01S'!A6" TargetMode="External" Type="http://schemas.openxmlformats.org/officeDocument/2006/relationships/hyperlink"/><Relationship Id="rId189" Target="#'PS408Q03'!A6" TargetMode="External" Type="http://schemas.openxmlformats.org/officeDocument/2006/relationships/hyperlink"/><Relationship Id="rId190" Target="#'PS408Q04S'!A6" TargetMode="External" Type="http://schemas.openxmlformats.org/officeDocument/2006/relationships/hyperlink"/><Relationship Id="rId191" Target="#'PS408Q05S'!A6" TargetMode="External" Type="http://schemas.openxmlformats.org/officeDocument/2006/relationships/hyperlink"/><Relationship Id="rId192" Target="#'PS521Q02S'!A6" TargetMode="External" Type="http://schemas.openxmlformats.org/officeDocument/2006/relationships/hyperlink"/><Relationship Id="rId193" Target="#'PS521Q06S'!A6" TargetMode="External" Type="http://schemas.openxmlformats.org/officeDocument/2006/relationships/hyperlink"/><Relationship Id="rId194" Target="#'PS519Q01'!A6" TargetMode="External" Type="http://schemas.openxmlformats.org/officeDocument/2006/relationships/hyperlink"/><Relationship Id="rId195" Target="#'PS519Q02S'!A6" TargetMode="External" Type="http://schemas.openxmlformats.org/officeDocument/2006/relationships/hyperlink"/><Relationship Id="rId196" Target="#'PS519Q03'!A6" TargetMode="External" Type="http://schemas.openxmlformats.org/officeDocument/2006/relationships/hyperlink"/><Relationship Id="rId197" Target="#'PS527Q01S'!A6" TargetMode="External" Type="http://schemas.openxmlformats.org/officeDocument/2006/relationships/hyperlink"/><Relationship Id="rId198" Target="#'PS527Q03S'!A6" TargetMode="External" Type="http://schemas.openxmlformats.org/officeDocument/2006/relationships/hyperlink"/><Relationship Id="rId199" Target="#'PS527Q04S'!A6" TargetMode="External" Type="http://schemas.openxmlformats.org/officeDocument/2006/relationships/hyperlink"/><Relationship Id="rId200" Target="#'PS466Q01S'!A6" TargetMode="External" Type="http://schemas.openxmlformats.org/officeDocument/2006/relationships/hyperlink"/><Relationship Id="rId201" Target="#'PS466Q07S'!A6" TargetMode="External" Type="http://schemas.openxmlformats.org/officeDocument/2006/relationships/hyperlink"/><Relationship Id="rId202" Target="#'PS466Q05S'!A6" TargetMode="External" Type="http://schemas.openxmlformats.org/officeDocument/2006/relationships/hyperlink"/><Relationship Id="rId203" Target="#'PS326Q01'!A6" TargetMode="External" Type="http://schemas.openxmlformats.org/officeDocument/2006/relationships/hyperlink"/><Relationship Id="rId204" Target="#'PS326Q02'!A6" TargetMode="External" Type="http://schemas.openxmlformats.org/officeDocument/2006/relationships/hyperlink"/><Relationship Id="rId205" Target="#'PS326Q03S'!A6" TargetMode="External" Type="http://schemas.openxmlformats.org/officeDocument/2006/relationships/hyperlink"/><Relationship Id="rId206" Target="#'PS326Q04S'!A6" TargetMode="External" Type="http://schemas.openxmlformats.org/officeDocument/2006/relationships/hyperlink"/><Relationship Id="rId207" Target="#'PS256Q01S'!A6" TargetMode="External" Type="http://schemas.openxmlformats.org/officeDocument/2006/relationships/hyperlink"/><Relationship Id="rId208" Target="#'PS478Q01S'!A6" TargetMode="External" Type="http://schemas.openxmlformats.org/officeDocument/2006/relationships/hyperlink"/><Relationship Id="rId209" Target="#'PS478Q02S'!A6" TargetMode="External" Type="http://schemas.openxmlformats.org/officeDocument/2006/relationships/hyperlink"/><Relationship Id="rId210" Target="#'PS478Q03S'!A6" TargetMode="External" Type="http://schemas.openxmlformats.org/officeDocument/2006/relationships/hyperlink"/><Relationship Id="rId211" Target="#'PS413Q06'!A6" TargetMode="External" Type="http://schemas.openxmlformats.org/officeDocument/2006/relationships/hyperlink"/><Relationship Id="rId212" Target="#'PS413Q04S'!A6" TargetMode="External" Type="http://schemas.openxmlformats.org/officeDocument/2006/relationships/hyperlink"/><Relationship Id="rId213" Target="#'PS413Q05S'!A6" TargetMode="External" Type="http://schemas.openxmlformats.org/officeDocument/2006/relationships/hyperlink"/><Relationship Id="rId214" Target="#'PS498Q02S'!A6" TargetMode="External" Type="http://schemas.openxmlformats.org/officeDocument/2006/relationships/hyperlink"/><Relationship Id="rId215" Target="#'PS498Q03S'!A6" TargetMode="External" Type="http://schemas.openxmlformats.org/officeDocument/2006/relationships/hyperlink"/><Relationship Id="rId216" Target="#'PS498Q04'!A6" TargetMode="External" Type="http://schemas.openxmlformats.org/officeDocument/2006/relationships/hyperlink"/><Relationship Id="rId217" Target="#'PS425Q03'!A6" TargetMode="External" Type="http://schemas.openxmlformats.org/officeDocument/2006/relationships/hyperlink"/><Relationship Id="rId218" Target="#'PS425Q05S'!A6" TargetMode="External" Type="http://schemas.openxmlformats.org/officeDocument/2006/relationships/hyperlink"/><Relationship Id="rId219" Target="#'PS425Q02S'!A6" TargetMode="External" Type="http://schemas.openxmlformats.org/officeDocument/2006/relationships/hyperlink"/><Relationship Id="rId220" Target="#'PS425Q04'!A6" TargetMode="External" Type="http://schemas.openxmlformats.org/officeDocument/2006/relationships/hyperlink"/><Relationship Id="rId221" Target="#'PS465Q01'!A6" TargetMode="External" Type="http://schemas.openxmlformats.org/officeDocument/2006/relationships/hyperlink"/><Relationship Id="rId222" Target="#'PS465Q02S'!A6" TargetMode="External" Type="http://schemas.openxmlformats.org/officeDocument/2006/relationships/hyperlink"/><Relationship Id="rId223" Target="#'PS465Q04S'!A6" TargetMode="External" Type="http://schemas.openxmlformats.org/officeDocument/2006/relationships/hyperlink"/><Relationship Id="rId224" Target="#'PS131Q02'!A6" TargetMode="External" Type="http://schemas.openxmlformats.org/officeDocument/2006/relationships/hyperlink"/><Relationship Id="rId225" Target="#'PS131Q04'!A6" TargetMode="External" Type="http://schemas.openxmlformats.org/officeDocument/2006/relationships/hyperlink"/><Relationship Id="rId226" Target="#'PS428Q01S'!A6" TargetMode="External" Type="http://schemas.openxmlformats.org/officeDocument/2006/relationships/hyperlink"/><Relationship Id="rId227" Target="#'PS428Q03S'!A6" TargetMode="External" Type="http://schemas.openxmlformats.org/officeDocument/2006/relationships/hyperlink"/><Relationship Id="rId228" Target="#'PS428Q05'!A6" TargetMode="External" Type="http://schemas.openxmlformats.org/officeDocument/2006/relationships/hyperlink"/><Relationship Id="rId229" Target="#'PS514Q02'!A6" TargetMode="External" Type="http://schemas.openxmlformats.org/officeDocument/2006/relationships/hyperlink"/><Relationship Id="rId230" Target="#'PS514Q03'!A6" TargetMode="External" Type="http://schemas.openxmlformats.org/officeDocument/2006/relationships/hyperlink"/><Relationship Id="rId231" Target="#'PS514Q04'!A6" TargetMode="External" Type="http://schemas.openxmlformats.org/officeDocument/2006/relationships/hyperlink"/><Relationship Id="rId232" Target="#'PS438Q01S'!A6" TargetMode="External" Type="http://schemas.openxmlformats.org/officeDocument/2006/relationships/hyperlink"/><Relationship Id="rId233" Target="#'PS438Q02S'!A6" TargetMode="External" Type="http://schemas.openxmlformats.org/officeDocument/2006/relationships/hyperlink"/><Relationship Id="rId234" Target="#'PS438Q03'!A6" TargetMode="External" Type="http://schemas.openxmlformats.org/officeDocument/2006/relationships/hyperlink"/><Relationship Id="rId235" Target="#'PS415Q07S'!A6" TargetMode="External" Type="http://schemas.openxmlformats.org/officeDocument/2006/relationships/hyperlink"/><Relationship Id="rId236" Target="#'PS415Q02S'!A6" TargetMode="External" Type="http://schemas.openxmlformats.org/officeDocument/2006/relationships/hyperlink"/><Relationship Id="rId237" Target="#'PS415Q08S'!A6" TargetMode="External" Type="http://schemas.openxmlformats.org/officeDocument/2006/relationships/hyperlink"/><Relationship Id="rId238" Target="#'PS476Q01S'!A6" TargetMode="External" Type="http://schemas.openxmlformats.org/officeDocument/2006/relationships/hyperlink"/><Relationship Id="rId239" Target="#'PS476Q02S'!A6" TargetMode="External" Type="http://schemas.openxmlformats.org/officeDocument/2006/relationships/hyperlink"/><Relationship Id="rId240" Target="#'PS476Q03S'!A6" TargetMode="External" Type="http://schemas.openxmlformats.org/officeDocument/2006/relationships/hyperlink"/><Relationship Id="rId241" Target="#'PS495Q04S'!A6" TargetMode="External" Type="http://schemas.openxmlformats.org/officeDocument/2006/relationships/hyperlink"/><Relationship Id="rId242" Target="#'PS495Q01S'!A6" TargetMode="External" Type="http://schemas.openxmlformats.org/officeDocument/2006/relationships/hyperlink"/><Relationship Id="rId243" Target="#'PS495Q02S'!A6" TargetMode="External" Type="http://schemas.openxmlformats.org/officeDocument/2006/relationships/hyperlink"/><Relationship Id="rId244" Target="#'S495Q03'!A6" TargetMode="External" Type="http://schemas.openxmlformats.org/officeDocument/2006/relationships/hyperlink"/><Relationship Id="rId245" Target="#'PS456Q01S'!A6" TargetMode="External" Type="http://schemas.openxmlformats.org/officeDocument/2006/relationships/hyperlink"/><Relationship Id="rId246" Target="#'PS456Q02S'!A6" TargetMode="External" Type="http://schemas.openxmlformats.org/officeDocument/2006/relationships/hyperlink"/><Relationship Id="rId247" Target="#'PS268Q01S'!A6" TargetMode="External" Type="http://schemas.openxmlformats.org/officeDocument/2006/relationships/hyperlink"/><Relationship Id="rId248" Target="#'S268Q02'!A6" TargetMode="External" Type="http://schemas.openxmlformats.org/officeDocument/2006/relationships/hyperlink"/><Relationship Id="rId249" Target="#'PS268Q06S'!A6" TargetMode="External" Type="http://schemas.openxmlformats.org/officeDocument/2006/relationships/hyperlink"/><Relationship Id="rId250" Target="#'PS524Q06S'!A6" TargetMode="External" Type="http://schemas.openxmlformats.org/officeDocument/2006/relationships/hyperlink"/><Relationship Id="rId251" Target="#'S524Q07'!A6" TargetMode="External" Type="http://schemas.openxmlformats.org/officeDocument/2006/relationships/hyperlink"/><Relationship Id="rId252" Target="#'PS510Q01S'!A6" TargetMode="External" Type="http://schemas.openxmlformats.org/officeDocument/2006/relationships/hyperlink"/><Relationship Id="rId253" Target="#'S510Q04'!A6" TargetMode="External" Type="http://schemas.openxmlformats.org/officeDocument/2006/relationships/hyperlink"/><Relationship Id="rId254" Target="#'PS437Q01S'!A6" TargetMode="External" Type="http://schemas.openxmlformats.org/officeDocument/2006/relationships/hyperlink"/><Relationship Id="rId255" Target="#'PS437Q03S'!A6" TargetMode="External" Type="http://schemas.openxmlformats.org/officeDocument/2006/relationships/hyperlink"/><Relationship Id="rId256" Target="#'PS437Q04S'!A6" TargetMode="External" Type="http://schemas.openxmlformats.org/officeDocument/2006/relationships/hyperlink"/><Relationship Id="rId257" Target="#'S437Q06'!A6" TargetMode="External" Type="http://schemas.openxmlformats.org/officeDocument/2006/relationships/hyperlink"/><Relationship Id="rId258" Target="#'S304Q01'!A6" TargetMode="External" Type="http://schemas.openxmlformats.org/officeDocument/2006/relationships/hyperlink"/><Relationship Id="rId259" Target="#'PS304Q02S'!A6" TargetMode="External" Type="http://schemas.openxmlformats.org/officeDocument/2006/relationships/hyperlink"/><Relationship Id="rId260" Target="#'S304Q03a'!A6" TargetMode="External" Type="http://schemas.openxmlformats.org/officeDocument/2006/relationships/hyperlink"/><Relationship Id="rId261" Target="#'S304Q03b'!A6" TargetMode="External" Type="http://schemas.openxmlformats.org/officeDocument/2006/relationships/hyperlink"/><Relationship Id="rId262" Target="#'S416Q01'!A6" TargetMode="External" Type="http://schemas.openxmlformats.org/officeDocument/2006/relationships/hyperlink"/><Relationship Id="rId263" Target="#'S458Q01'!A6" TargetMode="External" Type="http://schemas.openxmlformats.org/officeDocument/2006/relationships/hyperlink"/><Relationship Id="rId264" Target="#'PS458Q02S'!A6" TargetMode="External" Type="http://schemas.openxmlformats.org/officeDocument/2006/relationships/hyperlink"/><Relationship Id="rId265" Target="#'S421Q01'!A6" TargetMode="External" Type="http://schemas.openxmlformats.org/officeDocument/2006/relationships/hyperlink"/><Relationship Id="rId266" Target="#'S421Q02'!A6" TargetMode="External" Type="http://schemas.openxmlformats.org/officeDocument/2006/relationships/hyperlink"/><Relationship Id="rId267" Target="#'S421Q03'!A6" TargetMode="External" Type="http://schemas.openxmlformats.org/officeDocument/2006/relationships/hyperlink"/><Relationship Id="rId268" Target="#'PS252Q01S'!A6" TargetMode="External" Type="http://schemas.openxmlformats.org/officeDocument/2006/relationships/hyperlink"/><Relationship Id="rId269" Target="#'PS252Q02S'!A6" TargetMode="External" Type="http://schemas.openxmlformats.org/officeDocument/2006/relationships/hyperlink"/><Relationship Id="rId270" Target="#'PS252Q03S'!A6" TargetMode="External" Type="http://schemas.openxmlformats.org/officeDocument/2006/relationships/hyperlink"/><Relationship Id="rId271" Target="#'PS327Q01S'!A6" TargetMode="External" Type="http://schemas.openxmlformats.org/officeDocument/2006/relationships/hyperlink"/><Relationship Id="rId272" Target="#'PS133Q01S'!A6" TargetMode="External" Type="http://schemas.openxmlformats.org/officeDocument/2006/relationships/hyperlink"/><Relationship Id="rId273" Target="#'PS133Q03S'!A6" TargetMode="External" Type="http://schemas.openxmlformats.org/officeDocument/2006/relationships/hyperlink"/><Relationship Id="rId274" Target="#'PS133Q04S'!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75"/>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row r="193" spans="1:2">
      <c r="A193" s="2" t="s">
        <v>383</v>
      </c>
      <c r="B193" s="3" t="s">
        <v>384</v>
      </c>
    </row>
    <row r="194" spans="1:2">
      <c r="A194" s="2" t="s">
        <v>385</v>
      </c>
      <c r="B194" s="3" t="s">
        <v>386</v>
      </c>
    </row>
    <row r="195" spans="1:2">
      <c r="A195" s="2" t="s">
        <v>387</v>
      </c>
      <c r="B195" s="3" t="s">
        <v>388</v>
      </c>
    </row>
    <row r="196" spans="1:2">
      <c r="A196" s="2" t="s">
        <v>389</v>
      </c>
      <c r="B196" s="3" t="s">
        <v>390</v>
      </c>
    </row>
    <row r="197" spans="1:2">
      <c r="A197" s="2" t="s">
        <v>391</v>
      </c>
      <c r="B197" s="3" t="s">
        <v>392</v>
      </c>
    </row>
    <row r="198" spans="1:2">
      <c r="A198" s="2" t="s">
        <v>393</v>
      </c>
      <c r="B198" s="3" t="s">
        <v>394</v>
      </c>
    </row>
    <row r="199" spans="1:2">
      <c r="A199" s="2" t="s">
        <v>395</v>
      </c>
      <c r="B199" s="3" t="s">
        <v>396</v>
      </c>
    </row>
    <row r="200" spans="1:2">
      <c r="A200" s="2" t="s">
        <v>397</v>
      </c>
      <c r="B200" s="3" t="s">
        <v>398</v>
      </c>
    </row>
    <row r="201" spans="1:2">
      <c r="A201" s="2" t="s">
        <v>399</v>
      </c>
      <c r="B201" s="3" t="s">
        <v>400</v>
      </c>
    </row>
    <row r="202" spans="1:2">
      <c r="A202" s="2" t="s">
        <v>401</v>
      </c>
      <c r="B202" s="3" t="s">
        <v>402</v>
      </c>
    </row>
    <row r="203" spans="1:2">
      <c r="A203" s="2" t="s">
        <v>403</v>
      </c>
      <c r="B203" s="3" t="s">
        <v>404</v>
      </c>
    </row>
    <row r="204" spans="1:2">
      <c r="A204" s="2" t="s">
        <v>405</v>
      </c>
      <c r="B204" s="3" t="s">
        <v>406</v>
      </c>
    </row>
    <row r="205" spans="1:2">
      <c r="A205" s="2" t="s">
        <v>407</v>
      </c>
      <c r="B205" s="3" t="s">
        <v>408</v>
      </c>
    </row>
    <row r="206" spans="1:2">
      <c r="A206" s="2" t="s">
        <v>409</v>
      </c>
      <c r="B206" s="3" t="s">
        <v>410</v>
      </c>
    </row>
    <row r="207" spans="1:2">
      <c r="A207" s="2" t="s">
        <v>411</v>
      </c>
      <c r="B207" s="3" t="s">
        <v>412</v>
      </c>
    </row>
    <row r="208" spans="1:2">
      <c r="A208" s="2" t="s">
        <v>413</v>
      </c>
      <c r="B208" s="3" t="s">
        <v>414</v>
      </c>
    </row>
    <row r="209" spans="1:2">
      <c r="A209" s="2" t="s">
        <v>415</v>
      </c>
      <c r="B209" s="3" t="s">
        <v>416</v>
      </c>
    </row>
    <row r="210" spans="1:2">
      <c r="A210" s="2" t="s">
        <v>417</v>
      </c>
      <c r="B210" s="3" t="s">
        <v>418</v>
      </c>
    </row>
    <row r="211" spans="1:2">
      <c r="A211" s="2" t="s">
        <v>419</v>
      </c>
      <c r="B211" s="3" t="s">
        <v>420</v>
      </c>
    </row>
    <row r="212" spans="1:2">
      <c r="A212" s="2" t="s">
        <v>421</v>
      </c>
      <c r="B212" s="3" t="s">
        <v>422</v>
      </c>
    </row>
    <row r="213" spans="1:2">
      <c r="A213" s="2" t="s">
        <v>423</v>
      </c>
      <c r="B213" s="3" t="s">
        <v>424</v>
      </c>
    </row>
    <row r="214" spans="1:2">
      <c r="A214" s="2" t="s">
        <v>425</v>
      </c>
      <c r="B214" s="3" t="s">
        <v>426</v>
      </c>
    </row>
    <row r="215" spans="1:2">
      <c r="A215" s="2" t="s">
        <v>427</v>
      </c>
      <c r="B215" s="3" t="s">
        <v>428</v>
      </c>
    </row>
    <row r="216" spans="1:2">
      <c r="A216" s="2" t="s">
        <v>429</v>
      </c>
      <c r="B216" s="3" t="s">
        <v>430</v>
      </c>
    </row>
    <row r="217" spans="1:2">
      <c r="A217" s="2" t="s">
        <v>431</v>
      </c>
      <c r="B217" s="3" t="s">
        <v>432</v>
      </c>
    </row>
    <row r="218" spans="1:2">
      <c r="A218" s="2" t="s">
        <v>433</v>
      </c>
      <c r="B218" s="3" t="s">
        <v>434</v>
      </c>
    </row>
    <row r="219" spans="1:2">
      <c r="A219" s="2" t="s">
        <v>435</v>
      </c>
      <c r="B219" s="3" t="s">
        <v>436</v>
      </c>
    </row>
    <row r="220" spans="1:2">
      <c r="A220" s="2" t="s">
        <v>437</v>
      </c>
      <c r="B220" s="3" t="s">
        <v>438</v>
      </c>
    </row>
    <row r="221" spans="1:2">
      <c r="A221" s="2" t="s">
        <v>439</v>
      </c>
      <c r="B221" s="3" t="s">
        <v>440</v>
      </c>
    </row>
    <row r="222" spans="1:2">
      <c r="A222" s="2" t="s">
        <v>441</v>
      </c>
      <c r="B222" s="3" t="s">
        <v>442</v>
      </c>
    </row>
    <row r="223" spans="1:2">
      <c r="A223" s="2" t="s">
        <v>443</v>
      </c>
      <c r="B223" s="3" t="s">
        <v>444</v>
      </c>
    </row>
    <row r="224" spans="1:2">
      <c r="A224" s="2" t="s">
        <v>445</v>
      </c>
      <c r="B224" s="3" t="s">
        <v>446</v>
      </c>
    </row>
    <row r="225" spans="1:2">
      <c r="A225" s="2" t="s">
        <v>447</v>
      </c>
      <c r="B225" s="3" t="s">
        <v>448</v>
      </c>
    </row>
    <row r="226" spans="1:2">
      <c r="A226" s="2" t="s">
        <v>449</v>
      </c>
      <c r="B226" s="3" t="s">
        <v>450</v>
      </c>
    </row>
    <row r="227" spans="1:2">
      <c r="A227" s="2" t="s">
        <v>451</v>
      </c>
      <c r="B227" s="3" t="s">
        <v>452</v>
      </c>
    </row>
    <row r="228" spans="1:2">
      <c r="A228" s="2" t="s">
        <v>453</v>
      </c>
      <c r="B228" s="3" t="s">
        <v>454</v>
      </c>
    </row>
    <row r="229" spans="1:2">
      <c r="A229" s="2" t="s">
        <v>455</v>
      </c>
      <c r="B229" s="3" t="s">
        <v>456</v>
      </c>
    </row>
    <row r="230" spans="1:2">
      <c r="A230" s="2" t="s">
        <v>457</v>
      </c>
      <c r="B230" s="3" t="s">
        <v>458</v>
      </c>
    </row>
    <row r="231" spans="1:2">
      <c r="A231" s="2" t="s">
        <v>459</v>
      </c>
      <c r="B231" s="3" t="s">
        <v>460</v>
      </c>
    </row>
    <row r="232" spans="1:2">
      <c r="A232" s="2" t="s">
        <v>461</v>
      </c>
      <c r="B232" s="3" t="s">
        <v>462</v>
      </c>
    </row>
    <row r="233" spans="1:2">
      <c r="A233" s="2" t="s">
        <v>463</v>
      </c>
      <c r="B233" s="3" t="s">
        <v>464</v>
      </c>
    </row>
    <row r="234" spans="1:2">
      <c r="A234" s="2" t="s">
        <v>465</v>
      </c>
      <c r="B234" s="3" t="s">
        <v>466</v>
      </c>
    </row>
    <row r="235" spans="1:2">
      <c r="A235" s="2" t="s">
        <v>467</v>
      </c>
      <c r="B235" s="3" t="s">
        <v>468</v>
      </c>
    </row>
    <row r="236" spans="1:2">
      <c r="A236" s="2" t="s">
        <v>469</v>
      </c>
      <c r="B236" s="3" t="s">
        <v>470</v>
      </c>
    </row>
    <row r="237" spans="1:2">
      <c r="A237" s="2" t="s">
        <v>471</v>
      </c>
      <c r="B237" s="3" t="s">
        <v>472</v>
      </c>
    </row>
    <row r="238" spans="1:2">
      <c r="A238" s="2" t="s">
        <v>473</v>
      </c>
      <c r="B238" s="3" t="s">
        <v>474</v>
      </c>
    </row>
    <row r="239" spans="1:2">
      <c r="A239" s="2" t="s">
        <v>475</v>
      </c>
      <c r="B239" s="3" t="s">
        <v>476</v>
      </c>
    </row>
    <row r="240" spans="1:2">
      <c r="A240" s="2" t="s">
        <v>477</v>
      </c>
      <c r="B240" s="3" t="s">
        <v>478</v>
      </c>
    </row>
    <row r="241" spans="1:2">
      <c r="A241" s="2" t="s">
        <v>479</v>
      </c>
      <c r="B241" s="3" t="s">
        <v>480</v>
      </c>
    </row>
    <row r="242" spans="1:2">
      <c r="A242" s="2" t="s">
        <v>481</v>
      </c>
      <c r="B242" s="3" t="s">
        <v>482</v>
      </c>
    </row>
    <row r="243" spans="1:2">
      <c r="A243" s="2" t="s">
        <v>483</v>
      </c>
      <c r="B243" s="3" t="s">
        <v>484</v>
      </c>
    </row>
    <row r="244" spans="1:2">
      <c r="A244" s="2" t="s">
        <v>485</v>
      </c>
      <c r="B244" s="3" t="s">
        <v>486</v>
      </c>
    </row>
    <row r="245" spans="1:2">
      <c r="A245" s="2" t="s">
        <v>487</v>
      </c>
      <c r="B245" s="3" t="s">
        <v>488</v>
      </c>
    </row>
    <row r="246" spans="1:2">
      <c r="A246" s="2" t="s">
        <v>489</v>
      </c>
      <c r="B246" s="3" t="s">
        <v>490</v>
      </c>
    </row>
    <row r="247" spans="1:2">
      <c r="A247" s="2" t="s">
        <v>491</v>
      </c>
      <c r="B247" s="3" t="s">
        <v>492</v>
      </c>
    </row>
    <row r="248" spans="1:2">
      <c r="A248" s="2" t="s">
        <v>493</v>
      </c>
      <c r="B248" s="3" t="s">
        <v>494</v>
      </c>
    </row>
    <row r="249" spans="1:2">
      <c r="A249" s="2" t="s">
        <v>495</v>
      </c>
      <c r="B249" s="3" t="s">
        <v>496</v>
      </c>
    </row>
    <row r="250" spans="1:2">
      <c r="A250" s="2" t="s">
        <v>497</v>
      </c>
      <c r="B250" s="3" t="s">
        <v>498</v>
      </c>
    </row>
    <row r="251" spans="1:2">
      <c r="A251" s="2" t="s">
        <v>499</v>
      </c>
      <c r="B251" s="3" t="s">
        <v>500</v>
      </c>
    </row>
    <row r="252" spans="1:2">
      <c r="A252" s="2" t="s">
        <v>501</v>
      </c>
      <c r="B252" s="3" t="s">
        <v>502</v>
      </c>
    </row>
    <row r="253" spans="1:2">
      <c r="A253" s="2" t="s">
        <v>503</v>
      </c>
      <c r="B253" s="3" t="s">
        <v>504</v>
      </c>
    </row>
    <row r="254" spans="1:2">
      <c r="A254" s="2" t="s">
        <v>505</v>
      </c>
      <c r="B254" s="3" t="s">
        <v>506</v>
      </c>
    </row>
    <row r="255" spans="1:2">
      <c r="A255" s="2" t="s">
        <v>507</v>
      </c>
      <c r="B255" s="3" t="s">
        <v>508</v>
      </c>
    </row>
    <row r="256" spans="1:2">
      <c r="A256" s="2" t="s">
        <v>509</v>
      </c>
      <c r="B256" s="3" t="s">
        <v>510</v>
      </c>
    </row>
    <row r="257" spans="1:2">
      <c r="A257" s="2" t="s">
        <v>511</v>
      </c>
      <c r="B257" s="3" t="s">
        <v>512</v>
      </c>
    </row>
    <row r="258" spans="1:2">
      <c r="A258" s="2" t="s">
        <v>513</v>
      </c>
      <c r="B258" s="3" t="s">
        <v>514</v>
      </c>
    </row>
    <row r="259" spans="1:2">
      <c r="A259" s="2" t="s">
        <v>515</v>
      </c>
      <c r="B259" s="3" t="s">
        <v>516</v>
      </c>
    </row>
    <row r="260" spans="1:2">
      <c r="A260" s="2" t="s">
        <v>517</v>
      </c>
      <c r="B260" s="3" t="s">
        <v>518</v>
      </c>
    </row>
    <row r="261" spans="1:2">
      <c r="A261" s="2" t="s">
        <v>519</v>
      </c>
      <c r="B261" s="3" t="s">
        <v>520</v>
      </c>
    </row>
    <row r="262" spans="1:2">
      <c r="A262" s="2" t="s">
        <v>521</v>
      </c>
      <c r="B262" s="3" t="s">
        <v>522</v>
      </c>
    </row>
    <row r="263" spans="1:2">
      <c r="A263" s="2" t="s">
        <v>523</v>
      </c>
      <c r="B263" s="3" t="s">
        <v>524</v>
      </c>
    </row>
    <row r="264" spans="1:2">
      <c r="A264" s="2" t="s">
        <v>525</v>
      </c>
      <c r="B264" s="3" t="s">
        <v>526</v>
      </c>
    </row>
    <row r="265" spans="1:2">
      <c r="A265" s="2" t="s">
        <v>527</v>
      </c>
      <c r="B265" s="3" t="s">
        <v>528</v>
      </c>
    </row>
    <row r="266" spans="1:2">
      <c r="A266" s="2" t="s">
        <v>529</v>
      </c>
      <c r="B266" s="3" t="s">
        <v>530</v>
      </c>
    </row>
    <row r="267" spans="1:2">
      <c r="A267" s="2" t="s">
        <v>531</v>
      </c>
      <c r="B267" s="3" t="s">
        <v>532</v>
      </c>
    </row>
    <row r="268" spans="1:2">
      <c r="A268" s="2" t="s">
        <v>533</v>
      </c>
      <c r="B268" s="3" t="s">
        <v>534</v>
      </c>
    </row>
    <row r="269" spans="1:2">
      <c r="A269" s="2" t="s">
        <v>535</v>
      </c>
      <c r="B269" s="3" t="s">
        <v>536</v>
      </c>
    </row>
    <row r="270" spans="1:2">
      <c r="A270" s="2" t="s">
        <v>537</v>
      </c>
      <c r="B270" s="3" t="s">
        <v>538</v>
      </c>
    </row>
    <row r="271" spans="1:2">
      <c r="A271" s="2" t="s">
        <v>539</v>
      </c>
      <c r="B271" s="3" t="s">
        <v>540</v>
      </c>
    </row>
    <row r="272" spans="1:2">
      <c r="A272" s="2" t="s">
        <v>541</v>
      </c>
      <c r="B272" s="3" t="s">
        <v>542</v>
      </c>
    </row>
    <row r="273" spans="1:2">
      <c r="A273" s="2" t="s">
        <v>543</v>
      </c>
      <c r="B273" s="3" t="s">
        <v>544</v>
      </c>
    </row>
    <row r="274" spans="1:2">
      <c r="A274" s="2" t="s">
        <v>545</v>
      </c>
      <c r="B274" s="3" t="s">
        <v>546</v>
      </c>
    </row>
    <row r="275" spans="1:2">
      <c r="A275" s="2" t="s">
        <v>547</v>
      </c>
      <c r="B275" s="3" t="s">
        <v>548</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 xmlns:r="http://schemas.openxmlformats.org/officeDocument/2006/relationships" ref="A234" r:id="rId233"/>
    <hyperlink xmlns:r="http://schemas.openxmlformats.org/officeDocument/2006/relationships" ref="A235" r:id="rId234"/>
    <hyperlink xmlns:r="http://schemas.openxmlformats.org/officeDocument/2006/relationships" ref="A236" r:id="rId235"/>
    <hyperlink xmlns:r="http://schemas.openxmlformats.org/officeDocument/2006/relationships" ref="A237" r:id="rId236"/>
    <hyperlink xmlns:r="http://schemas.openxmlformats.org/officeDocument/2006/relationships" ref="A238" r:id="rId237"/>
    <hyperlink xmlns:r="http://schemas.openxmlformats.org/officeDocument/2006/relationships" ref="A239" r:id="rId238"/>
    <hyperlink xmlns:r="http://schemas.openxmlformats.org/officeDocument/2006/relationships" ref="A240" r:id="rId239"/>
    <hyperlink xmlns:r="http://schemas.openxmlformats.org/officeDocument/2006/relationships" ref="A241" r:id="rId240"/>
    <hyperlink xmlns:r="http://schemas.openxmlformats.org/officeDocument/2006/relationships" ref="A242" r:id="rId241"/>
    <hyperlink xmlns:r="http://schemas.openxmlformats.org/officeDocument/2006/relationships" ref="A243" r:id="rId242"/>
    <hyperlink xmlns:r="http://schemas.openxmlformats.org/officeDocument/2006/relationships" ref="A244" r:id="rId243"/>
    <hyperlink xmlns:r="http://schemas.openxmlformats.org/officeDocument/2006/relationships" ref="A245" r:id="rId244"/>
    <hyperlink xmlns:r="http://schemas.openxmlformats.org/officeDocument/2006/relationships" ref="A246" r:id="rId245"/>
    <hyperlink xmlns:r="http://schemas.openxmlformats.org/officeDocument/2006/relationships" ref="A247" r:id="rId246"/>
    <hyperlink xmlns:r="http://schemas.openxmlformats.org/officeDocument/2006/relationships" ref="A248" r:id="rId247"/>
    <hyperlink xmlns:r="http://schemas.openxmlformats.org/officeDocument/2006/relationships" ref="A249" r:id="rId248"/>
    <hyperlink xmlns:r="http://schemas.openxmlformats.org/officeDocument/2006/relationships" ref="A250" r:id="rId249"/>
    <hyperlink xmlns:r="http://schemas.openxmlformats.org/officeDocument/2006/relationships" ref="A251" r:id="rId250"/>
    <hyperlink xmlns:r="http://schemas.openxmlformats.org/officeDocument/2006/relationships" ref="A252" r:id="rId251"/>
    <hyperlink xmlns:r="http://schemas.openxmlformats.org/officeDocument/2006/relationships" ref="A253" r:id="rId252"/>
    <hyperlink xmlns:r="http://schemas.openxmlformats.org/officeDocument/2006/relationships" ref="A254" r:id="rId253"/>
    <hyperlink xmlns:r="http://schemas.openxmlformats.org/officeDocument/2006/relationships" ref="A255" r:id="rId254"/>
    <hyperlink xmlns:r="http://schemas.openxmlformats.org/officeDocument/2006/relationships" ref="A256" r:id="rId255"/>
    <hyperlink xmlns:r="http://schemas.openxmlformats.org/officeDocument/2006/relationships" ref="A257" r:id="rId256"/>
    <hyperlink xmlns:r="http://schemas.openxmlformats.org/officeDocument/2006/relationships" ref="A258" r:id="rId257"/>
    <hyperlink xmlns:r="http://schemas.openxmlformats.org/officeDocument/2006/relationships" ref="A259" r:id="rId258"/>
    <hyperlink xmlns:r="http://schemas.openxmlformats.org/officeDocument/2006/relationships" ref="A260" r:id="rId259"/>
    <hyperlink xmlns:r="http://schemas.openxmlformats.org/officeDocument/2006/relationships" ref="A261" r:id="rId260"/>
    <hyperlink xmlns:r="http://schemas.openxmlformats.org/officeDocument/2006/relationships" ref="A262" r:id="rId261"/>
    <hyperlink xmlns:r="http://schemas.openxmlformats.org/officeDocument/2006/relationships" ref="A263" r:id="rId262"/>
    <hyperlink xmlns:r="http://schemas.openxmlformats.org/officeDocument/2006/relationships" ref="A264" r:id="rId263"/>
    <hyperlink xmlns:r="http://schemas.openxmlformats.org/officeDocument/2006/relationships" ref="A265" r:id="rId264"/>
    <hyperlink xmlns:r="http://schemas.openxmlformats.org/officeDocument/2006/relationships" ref="A266" r:id="rId265"/>
    <hyperlink xmlns:r="http://schemas.openxmlformats.org/officeDocument/2006/relationships" ref="A267" r:id="rId266"/>
    <hyperlink xmlns:r="http://schemas.openxmlformats.org/officeDocument/2006/relationships" ref="A268" r:id="rId267"/>
    <hyperlink xmlns:r="http://schemas.openxmlformats.org/officeDocument/2006/relationships" ref="A269" r:id="rId268"/>
    <hyperlink xmlns:r="http://schemas.openxmlformats.org/officeDocument/2006/relationships" ref="A270" r:id="rId269"/>
    <hyperlink xmlns:r="http://schemas.openxmlformats.org/officeDocument/2006/relationships" ref="A271" r:id="rId270"/>
    <hyperlink xmlns:r="http://schemas.openxmlformats.org/officeDocument/2006/relationships" ref="A272" r:id="rId271"/>
    <hyperlink xmlns:r="http://schemas.openxmlformats.org/officeDocument/2006/relationships" ref="A273" r:id="rId272"/>
    <hyperlink xmlns:r="http://schemas.openxmlformats.org/officeDocument/2006/relationships" ref="A274" r:id="rId273"/>
    <hyperlink xmlns:r="http://schemas.openxmlformats.org/officeDocument/2006/relationships" ref="A275" r:id="rId274"/>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550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(6560.0/B7*100)</f>
        <v/>
      </c>
      <c r="D7" s="19" t="n">
        <v>807</v>
      </c>
      <c r="E7" s="18" t="n">
        <v>46.05157721</v>
      </c>
      <c r="F7" s="20" t="n">
        <v>2.42713598</v>
      </c>
      <c r="G7" s="18" t="n">
        <v>45.41768494</v>
      </c>
      <c r="H7" s="20" t="n">
        <v>2.37896577</v>
      </c>
      <c r="I7" s="18" t="s">
        <v>567</v>
      </c>
      <c r="J7" s="20" t="s">
        <v>567</v>
      </c>
      <c r="K7" s="18" t="n">
        <v>0.24113831</v>
      </c>
      <c r="L7" s="20" t="n">
        <v>0.18715313</v>
      </c>
      <c r="M7" s="18" t="n">
        <v>0</v>
      </c>
      <c r="N7" s="20" t="n">
        <v>0</v>
      </c>
      <c r="O7" s="18" t="n">
        <v>0</v>
      </c>
      <c r="P7" s="20" t="n">
        <v>0</v>
      </c>
      <c r="Q7" s="18" t="n">
        <v>8.289599539999999</v>
      </c>
      <c r="R7" s="20" t="n">
        <v>1.16995962</v>
      </c>
    </row>
    <row r="8" spans="1:18">
      <c r="A8" s="15" t="s">
        <v>568</v>
      </c>
      <c r="B8" s="17" t="n">
        <v>3564</v>
      </c>
      <c r="C8" s="18">
        <f>(3178.0/B8*100)</f>
        <v/>
      </c>
      <c r="D8" s="19" t="n">
        <v>386</v>
      </c>
      <c r="E8" s="18" t="n">
        <v>37.27998844</v>
      </c>
      <c r="F8" s="20" t="n">
        <v>2.9172977</v>
      </c>
      <c r="G8" s="18" t="n">
        <v>55.55472171</v>
      </c>
      <c r="H8" s="20" t="n">
        <v>3.21038009</v>
      </c>
      <c r="I8" s="18" t="s">
        <v>567</v>
      </c>
      <c r="J8" s="20" t="s">
        <v>567</v>
      </c>
      <c r="K8" s="18" t="n">
        <v>0</v>
      </c>
      <c r="L8" s="20" t="n">
        <v>0</v>
      </c>
      <c r="M8" s="18" t="n">
        <v>0</v>
      </c>
      <c r="N8" s="20" t="n">
        <v>0</v>
      </c>
      <c r="O8" s="18" t="n">
        <v>0</v>
      </c>
      <c r="P8" s="20" t="n">
        <v>0</v>
      </c>
      <c r="Q8" s="18" t="n">
        <v>7.16528985</v>
      </c>
      <c r="R8" s="20" t="n">
        <v>1.27824712</v>
      </c>
    </row>
    <row r="9" spans="1:18">
      <c r="A9" s="15" t="s">
        <v>569</v>
      </c>
      <c r="B9" s="17" t="n">
        <v>4899</v>
      </c>
      <c r="C9" s="18">
        <f>(4342.0/B9*100)</f>
        <v/>
      </c>
      <c r="D9" s="19" t="n">
        <v>557</v>
      </c>
      <c r="E9" s="18" t="n">
        <v>34.10392892</v>
      </c>
      <c r="F9" s="20" t="n">
        <v>1.90539637</v>
      </c>
      <c r="G9" s="18" t="n">
        <v>55.40797521</v>
      </c>
      <c r="H9" s="20" t="n">
        <v>2.30505901</v>
      </c>
      <c r="I9" s="18" t="s">
        <v>567</v>
      </c>
      <c r="J9" s="20" t="s">
        <v>567</v>
      </c>
      <c r="K9" s="18" t="n">
        <v>0</v>
      </c>
      <c r="L9" s="20" t="n">
        <v>0</v>
      </c>
      <c r="M9" s="18" t="n">
        <v>0.35493969</v>
      </c>
      <c r="N9" s="20" t="n">
        <v>0.34673311</v>
      </c>
      <c r="O9" s="18" t="n">
        <v>0</v>
      </c>
      <c r="P9" s="20" t="n">
        <v>0</v>
      </c>
      <c r="Q9" s="18" t="n">
        <v>10.13315618</v>
      </c>
      <c r="R9" s="20" t="n">
        <v>1.45557281</v>
      </c>
    </row>
    <row r="10" spans="1:18">
      <c r="A10" s="15" t="s">
        <v>570</v>
      </c>
      <c r="B10" s="17" t="n">
        <v>10036</v>
      </c>
      <c r="C10" s="18">
        <f>(8908.0/B10*100)</f>
        <v/>
      </c>
      <c r="D10" s="19" t="n">
        <v>1128</v>
      </c>
      <c r="E10" s="18" t="n">
        <v>40.6025675</v>
      </c>
      <c r="F10" s="20" t="n">
        <v>2.4808619</v>
      </c>
      <c r="G10" s="18" t="n">
        <v>55.05580535</v>
      </c>
      <c r="H10" s="20" t="n">
        <v>2.52015814</v>
      </c>
      <c r="I10" s="18" t="s">
        <v>567</v>
      </c>
      <c r="J10" s="20" t="s">
        <v>567</v>
      </c>
      <c r="K10" s="18" t="n">
        <v>0.08654510999999999</v>
      </c>
      <c r="L10" s="20" t="n">
        <v>0.05735337</v>
      </c>
      <c r="M10" s="18" t="n">
        <v>0</v>
      </c>
      <c r="N10" s="20" t="n">
        <v>0</v>
      </c>
      <c r="O10" s="18" t="n">
        <v>0</v>
      </c>
      <c r="P10" s="20" t="n">
        <v>0</v>
      </c>
      <c r="Q10" s="18" t="n">
        <v>4.25508204</v>
      </c>
      <c r="R10" s="20" t="n">
        <v>0.76137998</v>
      </c>
    </row>
    <row r="11" spans="1:18">
      <c r="A11" s="15" t="s">
        <v>571</v>
      </c>
      <c r="B11" s="17" t="n">
        <v>3553</v>
      </c>
      <c r="C11" s="18">
        <f>(3158.0/B11*100)</f>
        <v/>
      </c>
      <c r="D11" s="19" t="n">
        <v>395</v>
      </c>
      <c r="E11" s="18" t="n">
        <v>49.02221744</v>
      </c>
      <c r="F11" s="20" t="n">
        <v>2.49157586</v>
      </c>
      <c r="G11" s="18" t="n">
        <v>36.86979255</v>
      </c>
      <c r="H11" s="20" t="n">
        <v>2.53980748</v>
      </c>
      <c r="I11" s="18" t="s">
        <v>567</v>
      </c>
      <c r="J11" s="20" t="s">
        <v>567</v>
      </c>
      <c r="K11" s="18" t="n">
        <v>0.73724901</v>
      </c>
      <c r="L11" s="20" t="n">
        <v>0.72675011</v>
      </c>
      <c r="M11" s="18" t="n">
        <v>0.77455772</v>
      </c>
      <c r="N11" s="20" t="n">
        <v>0.41732841</v>
      </c>
      <c r="O11" s="18" t="n">
        <v>0</v>
      </c>
      <c r="P11" s="20" t="n">
        <v>0</v>
      </c>
      <c r="Q11" s="18" t="n">
        <v>12.59618328</v>
      </c>
      <c r="R11" s="20" t="n">
        <v>1.84505854</v>
      </c>
    </row>
    <row r="12" spans="1:18">
      <c r="A12" s="15" t="s">
        <v>572</v>
      </c>
      <c r="B12" s="17" t="n">
        <v>3472</v>
      </c>
      <c r="C12" s="18">
        <f>(3081.0/B12*100)</f>
        <v/>
      </c>
      <c r="D12" s="19" t="n">
        <v>391</v>
      </c>
      <c r="E12" s="18" t="n">
        <v>53.20122027</v>
      </c>
      <c r="F12" s="20" t="n">
        <v>2.79969142</v>
      </c>
      <c r="G12" s="18" t="n">
        <v>37.2172894</v>
      </c>
      <c r="H12" s="20" t="n">
        <v>2.72654464</v>
      </c>
      <c r="I12" s="18" t="s">
        <v>567</v>
      </c>
      <c r="J12" s="20" t="s">
        <v>567</v>
      </c>
      <c r="K12" s="18" t="n">
        <v>0</v>
      </c>
      <c r="L12" s="20" t="n">
        <v>0</v>
      </c>
      <c r="M12" s="18" t="n">
        <v>0</v>
      </c>
      <c r="N12" s="20" t="n">
        <v>0</v>
      </c>
      <c r="O12" s="18" t="n">
        <v>0</v>
      </c>
      <c r="P12" s="20" t="n">
        <v>0</v>
      </c>
      <c r="Q12" s="18" t="n">
        <v>9.581490329999999</v>
      </c>
      <c r="R12" s="20" t="n">
        <v>1.69671217</v>
      </c>
    </row>
    <row r="13" spans="1:18">
      <c r="A13" s="15" t="s">
        <v>573</v>
      </c>
      <c r="B13" s="17" t="n">
        <v>3559</v>
      </c>
      <c r="C13" s="18">
        <f>(3229.0/B13*100)</f>
        <v/>
      </c>
      <c r="D13" s="19" t="n">
        <v>330</v>
      </c>
      <c r="E13" s="18" t="n">
        <v>48.21311277</v>
      </c>
      <c r="F13" s="20" t="n">
        <v>3.46545392</v>
      </c>
      <c r="G13" s="18" t="n">
        <v>36.01980526</v>
      </c>
      <c r="H13" s="20" t="n">
        <v>2.92937732</v>
      </c>
      <c r="I13" s="18" t="s">
        <v>567</v>
      </c>
      <c r="J13" s="20" t="s">
        <v>567</v>
      </c>
      <c r="K13" s="18" t="n">
        <v>0.72153374</v>
      </c>
      <c r="L13" s="20" t="n">
        <v>0.7568924</v>
      </c>
      <c r="M13" s="18" t="n">
        <v>0</v>
      </c>
      <c r="N13" s="20" t="n">
        <v>0</v>
      </c>
      <c r="O13" s="18" t="n">
        <v>0</v>
      </c>
      <c r="P13" s="20" t="n">
        <v>0</v>
      </c>
      <c r="Q13" s="18" t="n">
        <v>15.04554823</v>
      </c>
      <c r="R13" s="20" t="n">
        <v>2.3857639</v>
      </c>
    </row>
    <row r="14" spans="1:18">
      <c r="A14" s="15" t="s">
        <v>574</v>
      </c>
      <c r="B14" s="17" t="n">
        <v>2799</v>
      </c>
      <c r="C14" s="18">
        <f>(2464.0/B14*100)</f>
        <v/>
      </c>
      <c r="D14" s="19" t="n">
        <v>335</v>
      </c>
      <c r="E14" s="18" t="n">
        <v>24.29554321</v>
      </c>
      <c r="F14" s="20" t="n">
        <v>2.6506677</v>
      </c>
      <c r="G14" s="18" t="n">
        <v>72.60975335000001</v>
      </c>
      <c r="H14" s="20" t="n">
        <v>2.82104257</v>
      </c>
      <c r="I14" s="18" t="s">
        <v>567</v>
      </c>
      <c r="J14" s="20" t="s">
        <v>567</v>
      </c>
      <c r="K14" s="18" t="n">
        <v>0.28134752</v>
      </c>
      <c r="L14" s="20" t="n">
        <v>0.28443054</v>
      </c>
      <c r="M14" s="18" t="n">
        <v>0</v>
      </c>
      <c r="N14" s="20" t="n">
        <v>0</v>
      </c>
      <c r="O14" s="18" t="n">
        <v>0</v>
      </c>
      <c r="P14" s="20" t="n">
        <v>0</v>
      </c>
      <c r="Q14" s="18" t="n">
        <v>2.81335592</v>
      </c>
      <c r="R14" s="20" t="n">
        <v>1.01031303</v>
      </c>
    </row>
    <row r="15" spans="1:18">
      <c r="A15" s="15" t="s">
        <v>575</v>
      </c>
      <c r="B15" s="17" t="n">
        <v>3019</v>
      </c>
      <c r="C15" s="18">
        <f>(2687.0/B15*100)</f>
        <v/>
      </c>
      <c r="D15" s="19" t="n">
        <v>332</v>
      </c>
      <c r="E15" s="18" t="n">
        <v>30.1526446</v>
      </c>
      <c r="F15" s="20" t="n">
        <v>2.85071407</v>
      </c>
      <c r="G15" s="18" t="n">
        <v>61.49470905</v>
      </c>
      <c r="H15" s="20" t="n">
        <v>2.90290798</v>
      </c>
      <c r="I15" s="18" t="s">
        <v>567</v>
      </c>
      <c r="J15" s="20" t="s">
        <v>567</v>
      </c>
      <c r="K15" s="18" t="n">
        <v>0</v>
      </c>
      <c r="L15" s="20" t="n">
        <v>0</v>
      </c>
      <c r="M15" s="18" t="n">
        <v>0</v>
      </c>
      <c r="N15" s="20" t="n">
        <v>0</v>
      </c>
      <c r="O15" s="18" t="n">
        <v>0</v>
      </c>
      <c r="P15" s="20" t="n">
        <v>0</v>
      </c>
      <c r="Q15" s="18" t="n">
        <v>8.352646350000001</v>
      </c>
      <c r="R15" s="20" t="n">
        <v>1.64833624</v>
      </c>
    </row>
    <row r="16" spans="1:18">
      <c r="A16" s="15" t="s">
        <v>576</v>
      </c>
      <c r="B16" s="17" t="n">
        <v>2997</v>
      </c>
      <c r="C16" s="18">
        <f>(2652.0/B16*100)</f>
        <v/>
      </c>
      <c r="D16" s="19" t="n">
        <v>345</v>
      </c>
      <c r="E16" s="18" t="n">
        <v>38.95243253</v>
      </c>
      <c r="F16" s="20" t="n">
        <v>2.34366248</v>
      </c>
      <c r="G16" s="18" t="n">
        <v>43.89895374</v>
      </c>
      <c r="H16" s="20" t="n">
        <v>2.85220998</v>
      </c>
      <c r="I16" s="18" t="s">
        <v>567</v>
      </c>
      <c r="J16" s="20" t="s">
        <v>567</v>
      </c>
      <c r="K16" s="18" t="n">
        <v>0.27040923</v>
      </c>
      <c r="L16" s="20" t="n">
        <v>0.28252339</v>
      </c>
      <c r="M16" s="18" t="n">
        <v>0</v>
      </c>
      <c r="N16" s="20" t="n">
        <v>0</v>
      </c>
      <c r="O16" s="18" t="n">
        <v>0</v>
      </c>
      <c r="P16" s="20" t="n">
        <v>0</v>
      </c>
      <c r="Q16" s="18" t="n">
        <v>16.87820451</v>
      </c>
      <c r="R16" s="20" t="n">
        <v>1.97740217</v>
      </c>
    </row>
    <row r="17" spans="1:18">
      <c r="A17" s="15" t="s">
        <v>577</v>
      </c>
      <c r="B17" s="17" t="n">
        <v>3307</v>
      </c>
      <c r="C17" s="18">
        <f>(2966.0/B17*100)</f>
        <v/>
      </c>
      <c r="D17" s="19" t="n">
        <v>341</v>
      </c>
      <c r="E17" s="18" t="n">
        <v>22.01855816</v>
      </c>
      <c r="F17" s="20" t="n">
        <v>2.28697869</v>
      </c>
      <c r="G17" s="18" t="n">
        <v>70.97202871</v>
      </c>
      <c r="H17" s="20" t="n">
        <v>2.52085381</v>
      </c>
      <c r="I17" s="18" t="s">
        <v>567</v>
      </c>
      <c r="J17" s="20" t="s">
        <v>567</v>
      </c>
      <c r="K17" s="18" t="n">
        <v>0</v>
      </c>
      <c r="L17" s="20" t="n">
        <v>0</v>
      </c>
      <c r="M17" s="18" t="n">
        <v>0</v>
      </c>
      <c r="N17" s="20" t="n">
        <v>0</v>
      </c>
      <c r="O17" s="18" t="n">
        <v>0</v>
      </c>
      <c r="P17" s="20" t="n">
        <v>0</v>
      </c>
      <c r="Q17" s="18" t="n">
        <v>7.00941312</v>
      </c>
      <c r="R17" s="20" t="n">
        <v>1.39857675</v>
      </c>
    </row>
    <row r="18" spans="1:18">
      <c r="A18" s="15" t="s">
        <v>578</v>
      </c>
      <c r="B18" s="17" t="n">
        <v>2826</v>
      </c>
      <c r="C18" s="18">
        <f>(2498.0/B18*100)</f>
        <v/>
      </c>
      <c r="D18" s="19" t="n">
        <v>328</v>
      </c>
      <c r="E18" s="18" t="n">
        <v>24.80026007</v>
      </c>
      <c r="F18" s="20" t="n">
        <v>2.83629437</v>
      </c>
      <c r="G18" s="18" t="n">
        <v>63.2332704</v>
      </c>
      <c r="H18" s="20" t="n">
        <v>3.20177019</v>
      </c>
      <c r="I18" s="18" t="s">
        <v>567</v>
      </c>
      <c r="J18" s="20" t="s">
        <v>567</v>
      </c>
      <c r="K18" s="18" t="n">
        <v>0.16720459</v>
      </c>
      <c r="L18" s="20" t="n">
        <v>0.17187272</v>
      </c>
      <c r="M18" s="18" t="n">
        <v>0</v>
      </c>
      <c r="N18" s="20" t="n">
        <v>0</v>
      </c>
      <c r="O18" s="18" t="n">
        <v>0</v>
      </c>
      <c r="P18" s="20" t="n">
        <v>0</v>
      </c>
      <c r="Q18" s="18" t="n">
        <v>11.79926494</v>
      </c>
      <c r="R18" s="20" t="n">
        <v>2.34305453</v>
      </c>
    </row>
    <row r="19" spans="1:18">
      <c r="A19" s="15" t="s">
        <v>579</v>
      </c>
      <c r="B19" s="17" t="n">
        <v>2808</v>
      </c>
      <c r="C19" s="18">
        <f>(2497.0/B19*100)</f>
        <v/>
      </c>
      <c r="D19" s="19" t="n">
        <v>311</v>
      </c>
      <c r="E19" s="18" t="n">
        <v>53.53345101</v>
      </c>
      <c r="F19" s="20" t="n">
        <v>2.88316191</v>
      </c>
      <c r="G19" s="18" t="n">
        <v>35.71038642</v>
      </c>
      <c r="H19" s="20" t="n">
        <v>3.01783415</v>
      </c>
      <c r="I19" s="18" t="s">
        <v>567</v>
      </c>
      <c r="J19" s="20" t="s">
        <v>567</v>
      </c>
      <c r="K19" s="18" t="n">
        <v>0</v>
      </c>
      <c r="L19" s="20" t="n">
        <v>0</v>
      </c>
      <c r="M19" s="18" t="n">
        <v>0.27367582</v>
      </c>
      <c r="N19" s="20" t="n">
        <v>0.27001121</v>
      </c>
      <c r="O19" s="18" t="n">
        <v>0</v>
      </c>
      <c r="P19" s="20" t="n">
        <v>0</v>
      </c>
      <c r="Q19" s="18" t="n">
        <v>10.48248674</v>
      </c>
      <c r="R19" s="20" t="n">
        <v>2.29053303</v>
      </c>
    </row>
    <row r="20" spans="1:18">
      <c r="A20" s="15" t="s">
        <v>580</v>
      </c>
      <c r="B20" s="17" t="n">
        <v>1630</v>
      </c>
      <c r="C20" s="18">
        <f>(1460.0/B20*100)</f>
        <v/>
      </c>
      <c r="D20" s="19" t="n">
        <v>170</v>
      </c>
      <c r="E20" s="18" t="n">
        <v>35.98292733</v>
      </c>
      <c r="F20" s="20" t="n">
        <v>4.2822804</v>
      </c>
      <c r="G20" s="18" t="n">
        <v>56.42975613</v>
      </c>
      <c r="H20" s="20" t="n">
        <v>4.68497782</v>
      </c>
      <c r="I20" s="18" t="s">
        <v>567</v>
      </c>
      <c r="J20" s="20" t="s">
        <v>567</v>
      </c>
      <c r="K20" s="18" t="n">
        <v>0</v>
      </c>
      <c r="L20" s="20" t="n">
        <v>0</v>
      </c>
      <c r="M20" s="18" t="n">
        <v>0.89639331</v>
      </c>
      <c r="N20" s="20" t="n">
        <v>1.27778737</v>
      </c>
      <c r="O20" s="18" t="n">
        <v>0</v>
      </c>
      <c r="P20" s="20" t="n">
        <v>0</v>
      </c>
      <c r="Q20" s="18" t="n">
        <v>6.69092323</v>
      </c>
      <c r="R20" s="20" t="n">
        <v>1.8874162</v>
      </c>
    </row>
    <row r="21" spans="1:18">
      <c r="A21" s="15" t="s">
        <v>581</v>
      </c>
      <c r="B21" s="17" t="n">
        <v>2908</v>
      </c>
      <c r="C21" s="18">
        <f>(2577.0/B21*100)</f>
        <v/>
      </c>
      <c r="D21" s="19" t="n">
        <v>331</v>
      </c>
      <c r="E21" s="18" t="n">
        <v>36.68612491</v>
      </c>
      <c r="F21" s="20" t="n">
        <v>2.86922853</v>
      </c>
      <c r="G21" s="18" t="n">
        <v>54.1388977</v>
      </c>
      <c r="H21" s="20" t="n">
        <v>3.01593282</v>
      </c>
      <c r="I21" s="18" t="s">
        <v>567</v>
      </c>
      <c r="J21" s="20" t="s">
        <v>567</v>
      </c>
      <c r="K21" s="18" t="n">
        <v>0</v>
      </c>
      <c r="L21" s="20" t="n">
        <v>0</v>
      </c>
      <c r="M21" s="18" t="n">
        <v>0</v>
      </c>
      <c r="N21" s="20" t="n">
        <v>0</v>
      </c>
      <c r="O21" s="18" t="n">
        <v>0</v>
      </c>
      <c r="P21" s="20" t="n">
        <v>0</v>
      </c>
      <c r="Q21" s="18" t="n">
        <v>9.17497739</v>
      </c>
      <c r="R21" s="20" t="n">
        <v>1.61090339</v>
      </c>
    </row>
    <row r="22" spans="1:18">
      <c r="A22" s="15" t="s">
        <v>582</v>
      </c>
      <c r="B22" s="17" t="n">
        <v>2931</v>
      </c>
      <c r="C22" s="18">
        <f>(2599.0/B22*100)</f>
        <v/>
      </c>
      <c r="D22" s="19" t="n">
        <v>332</v>
      </c>
      <c r="E22" s="18" t="n">
        <v>50.99367852</v>
      </c>
      <c r="F22" s="20" t="n">
        <v>2.75623751</v>
      </c>
      <c r="G22" s="18" t="n">
        <v>33.13634157</v>
      </c>
      <c r="H22" s="20" t="n">
        <v>2.85292399</v>
      </c>
      <c r="I22" s="18" t="s">
        <v>567</v>
      </c>
      <c r="J22" s="20" t="s">
        <v>567</v>
      </c>
      <c r="K22" s="18" t="n">
        <v>1.1258328</v>
      </c>
      <c r="L22" s="20" t="n">
        <v>0.6765423699999999</v>
      </c>
      <c r="M22" s="18" t="n">
        <v>0</v>
      </c>
      <c r="N22" s="20" t="n">
        <v>0</v>
      </c>
      <c r="O22" s="18" t="n">
        <v>0</v>
      </c>
      <c r="P22" s="20" t="n">
        <v>0</v>
      </c>
      <c r="Q22" s="18" t="n">
        <v>14.74414711</v>
      </c>
      <c r="R22" s="20" t="n">
        <v>2.94315743</v>
      </c>
    </row>
    <row r="23" spans="1:18">
      <c r="A23" s="15" t="s">
        <v>583</v>
      </c>
      <c r="B23" s="17" t="n">
        <v>5791</v>
      </c>
      <c r="C23" s="18">
        <f>(5151.0/B23*100)</f>
        <v/>
      </c>
      <c r="D23" s="19" t="n">
        <v>640</v>
      </c>
      <c r="E23" s="18" t="n">
        <v>36.35097594</v>
      </c>
      <c r="F23" s="20" t="n">
        <v>2.43764497</v>
      </c>
      <c r="G23" s="18" t="n">
        <v>52.20091514</v>
      </c>
      <c r="H23" s="20" t="n">
        <v>2.46988105</v>
      </c>
      <c r="I23" s="18" t="s">
        <v>567</v>
      </c>
      <c r="J23" s="20" t="s">
        <v>567</v>
      </c>
      <c r="K23" s="18" t="n">
        <v>0</v>
      </c>
      <c r="L23" s="20" t="n">
        <v>0</v>
      </c>
      <c r="M23" s="18" t="n">
        <v>0.19864557</v>
      </c>
      <c r="N23" s="20" t="n">
        <v>0.21185167</v>
      </c>
      <c r="O23" s="18" t="n">
        <v>0</v>
      </c>
      <c r="P23" s="20" t="n">
        <v>0</v>
      </c>
      <c r="Q23" s="18" t="n">
        <v>11.24946335</v>
      </c>
      <c r="R23" s="20" t="n">
        <v>2.04626615</v>
      </c>
    </row>
    <row r="24" spans="1:18">
      <c r="A24" s="15" t="s">
        <v>584</v>
      </c>
      <c r="B24" s="17" t="n">
        <v>3338</v>
      </c>
      <c r="C24" s="18">
        <f>(2972.0/B24*100)</f>
        <v/>
      </c>
      <c r="D24" s="19" t="n">
        <v>366</v>
      </c>
      <c r="E24" s="18" t="n">
        <v>27.08355143</v>
      </c>
      <c r="F24" s="20" t="n">
        <v>2.52281754</v>
      </c>
      <c r="G24" s="18" t="n">
        <v>69.04008748</v>
      </c>
      <c r="H24" s="20" t="n">
        <v>2.63232593</v>
      </c>
      <c r="I24" s="18" t="s">
        <v>567</v>
      </c>
      <c r="J24" s="20" t="s">
        <v>567</v>
      </c>
      <c r="K24" s="18" t="n">
        <v>0</v>
      </c>
      <c r="L24" s="20" t="n">
        <v>0</v>
      </c>
      <c r="M24" s="18" t="n">
        <v>0</v>
      </c>
      <c r="N24" s="20" t="n">
        <v>0</v>
      </c>
      <c r="O24" s="18" t="n">
        <v>0</v>
      </c>
      <c r="P24" s="20" t="n">
        <v>0</v>
      </c>
      <c r="Q24" s="18" t="n">
        <v>3.87636109</v>
      </c>
      <c r="R24" s="20" t="n">
        <v>0.8629666499999999</v>
      </c>
    </row>
    <row r="25" spans="1:18">
      <c r="A25" s="15" t="s">
        <v>585</v>
      </c>
      <c r="B25" s="17" t="n">
        <v>2912</v>
      </c>
      <c r="C25" s="18">
        <f>(2606.0/B25*100)</f>
        <v/>
      </c>
      <c r="D25" s="19" t="n">
        <v>306</v>
      </c>
      <c r="E25" s="18" t="n">
        <v>53.05585124</v>
      </c>
      <c r="F25" s="20" t="n">
        <v>2.90138815</v>
      </c>
      <c r="G25" s="18" t="n">
        <v>41.38975845</v>
      </c>
      <c r="H25" s="20" t="n">
        <v>3.00413642</v>
      </c>
      <c r="I25" s="18" t="s">
        <v>567</v>
      </c>
      <c r="J25" s="20" t="s">
        <v>567</v>
      </c>
      <c r="K25" s="18" t="n">
        <v>0</v>
      </c>
      <c r="L25" s="20" t="n">
        <v>0</v>
      </c>
      <c r="M25" s="18" t="n">
        <v>0</v>
      </c>
      <c r="N25" s="20" t="n">
        <v>0</v>
      </c>
      <c r="O25" s="18" t="n">
        <v>0</v>
      </c>
      <c r="P25" s="20" t="n">
        <v>0</v>
      </c>
      <c r="Q25" s="18" t="n">
        <v>5.55439031</v>
      </c>
      <c r="R25" s="20" t="n">
        <v>1.2099745</v>
      </c>
    </row>
    <row r="26" spans="1:18">
      <c r="A26" s="15" t="s">
        <v>586</v>
      </c>
      <c r="B26" s="17" t="n">
        <v>2450</v>
      </c>
      <c r="C26" s="18">
        <f>(2177.0/B26*100)</f>
        <v/>
      </c>
      <c r="D26" s="19" t="n">
        <v>273</v>
      </c>
      <c r="E26" s="18" t="n">
        <v>44.63610477</v>
      </c>
      <c r="F26" s="20" t="n">
        <v>3.03114049</v>
      </c>
      <c r="G26" s="18" t="n">
        <v>49.7617703</v>
      </c>
      <c r="H26" s="20" t="n">
        <v>3.07492485</v>
      </c>
      <c r="I26" s="18" t="s">
        <v>567</v>
      </c>
      <c r="J26" s="20" t="s">
        <v>567</v>
      </c>
      <c r="K26" s="18" t="n">
        <v>0</v>
      </c>
      <c r="L26" s="20" t="n">
        <v>0</v>
      </c>
      <c r="M26" s="18" t="n">
        <v>0</v>
      </c>
      <c r="N26" s="20" t="n">
        <v>0</v>
      </c>
      <c r="O26" s="18" t="n">
        <v>0</v>
      </c>
      <c r="P26" s="20" t="n">
        <v>0</v>
      </c>
      <c r="Q26" s="18" t="n">
        <v>5.60212493</v>
      </c>
      <c r="R26" s="20" t="n">
        <v>1.3238281</v>
      </c>
    </row>
    <row r="27" spans="1:18">
      <c r="A27" s="15" t="s">
        <v>587</v>
      </c>
      <c r="B27" s="17" t="n">
        <v>2616</v>
      </c>
      <c r="C27" s="18">
        <f>(2317.0/B27*100)</f>
        <v/>
      </c>
      <c r="D27" s="19" t="n">
        <v>299</v>
      </c>
      <c r="E27" s="18" t="n">
        <v>32.18070633</v>
      </c>
      <c r="F27" s="20" t="n">
        <v>2.2132618</v>
      </c>
      <c r="G27" s="18" t="n">
        <v>52.61861084</v>
      </c>
      <c r="H27" s="20" t="n">
        <v>2.67757732</v>
      </c>
      <c r="I27" s="18" t="s">
        <v>567</v>
      </c>
      <c r="J27" s="20" t="s">
        <v>567</v>
      </c>
      <c r="K27" s="18" t="n">
        <v>0.35255678</v>
      </c>
      <c r="L27" s="20" t="n">
        <v>0.35624811</v>
      </c>
      <c r="M27" s="18" t="n">
        <v>0</v>
      </c>
      <c r="N27" s="20" t="n">
        <v>0</v>
      </c>
      <c r="O27" s="18" t="n">
        <v>0</v>
      </c>
      <c r="P27" s="20" t="n">
        <v>0</v>
      </c>
      <c r="Q27" s="18" t="n">
        <v>14.84812606</v>
      </c>
      <c r="R27" s="20" t="n">
        <v>2.24165314</v>
      </c>
    </row>
    <row r="28" spans="1:18">
      <c r="A28" s="15" t="s">
        <v>588</v>
      </c>
      <c r="B28" s="17" t="n">
        <v>3765</v>
      </c>
      <c r="C28" s="18">
        <f>(3371.0/B28*100)</f>
        <v/>
      </c>
      <c r="D28" s="19" t="n">
        <v>394</v>
      </c>
      <c r="E28" s="18" t="n">
        <v>69.29502266999999</v>
      </c>
      <c r="F28" s="20" t="n">
        <v>2.62246143</v>
      </c>
      <c r="G28" s="18" t="n">
        <v>26.88794891</v>
      </c>
      <c r="H28" s="20" t="n">
        <v>2.40531844</v>
      </c>
      <c r="I28" s="18" t="s">
        <v>567</v>
      </c>
      <c r="J28" s="20" t="s">
        <v>567</v>
      </c>
      <c r="K28" s="18" t="n">
        <v>0</v>
      </c>
      <c r="L28" s="20" t="n">
        <v>0</v>
      </c>
      <c r="M28" s="18" t="n">
        <v>0</v>
      </c>
      <c r="N28" s="20" t="n">
        <v>0</v>
      </c>
      <c r="O28" s="18" t="n">
        <v>0</v>
      </c>
      <c r="P28" s="20" t="n">
        <v>0</v>
      </c>
      <c r="Q28" s="18" t="n">
        <v>3.81702842</v>
      </c>
      <c r="R28" s="20" t="n">
        <v>1.11031992</v>
      </c>
    </row>
    <row r="29" spans="1:18">
      <c r="A29" s="15" t="s">
        <v>589</v>
      </c>
      <c r="B29" s="17" t="n">
        <v>2685</v>
      </c>
      <c r="C29" s="18">
        <f>(2404.0/B29*100)</f>
        <v/>
      </c>
      <c r="D29" s="19" t="n">
        <v>281</v>
      </c>
      <c r="E29" s="18" t="n">
        <v>40.05778939</v>
      </c>
      <c r="F29" s="20" t="n">
        <v>3.2945269</v>
      </c>
      <c r="G29" s="18" t="n">
        <v>57.15589785</v>
      </c>
      <c r="H29" s="20" t="n">
        <v>3.40029646</v>
      </c>
      <c r="I29" s="18" t="s">
        <v>567</v>
      </c>
      <c r="J29" s="20" t="s">
        <v>567</v>
      </c>
      <c r="K29" s="18" t="n">
        <v>0.36807508</v>
      </c>
      <c r="L29" s="20" t="n">
        <v>0.36480756</v>
      </c>
      <c r="M29" s="18" t="n">
        <v>0</v>
      </c>
      <c r="N29" s="20" t="n">
        <v>0</v>
      </c>
      <c r="O29" s="18" t="n">
        <v>0</v>
      </c>
      <c r="P29" s="20" t="n">
        <v>0</v>
      </c>
      <c r="Q29" s="18" t="n">
        <v>2.41823768</v>
      </c>
      <c r="R29" s="20" t="n">
        <v>0.9106269</v>
      </c>
    </row>
    <row r="30" spans="1:18">
      <c r="A30" s="15" t="s">
        <v>590</v>
      </c>
      <c r="B30" s="17" t="n">
        <v>2263</v>
      </c>
      <c r="C30" s="18">
        <f>(1998.0/B30*100)</f>
        <v/>
      </c>
      <c r="D30" s="19" t="n">
        <v>265</v>
      </c>
      <c r="E30" s="18" t="n">
        <v>37.02506697</v>
      </c>
      <c r="F30" s="20" t="n">
        <v>3.25416411</v>
      </c>
      <c r="G30" s="18" t="n">
        <v>53.77020306</v>
      </c>
      <c r="H30" s="20" t="n">
        <v>3.39164594</v>
      </c>
      <c r="I30" s="18" t="s">
        <v>567</v>
      </c>
      <c r="J30" s="20" t="s">
        <v>567</v>
      </c>
      <c r="K30" s="18" t="n">
        <v>0</v>
      </c>
      <c r="L30" s="20" t="n">
        <v>0</v>
      </c>
      <c r="M30" s="18" t="n">
        <v>0</v>
      </c>
      <c r="N30" s="20" t="n">
        <v>0</v>
      </c>
      <c r="O30" s="18" t="n">
        <v>0</v>
      </c>
      <c r="P30" s="20" t="n">
        <v>0</v>
      </c>
      <c r="Q30" s="18" t="n">
        <v>9.204729970000001</v>
      </c>
      <c r="R30" s="20" t="n">
        <v>1.7772112</v>
      </c>
    </row>
    <row r="31" spans="1:18">
      <c r="A31" s="15" t="s">
        <v>591</v>
      </c>
      <c r="B31" s="17" t="n">
        <v>2750</v>
      </c>
      <c r="C31" s="18">
        <f>(2450.0/B31*100)</f>
        <v/>
      </c>
      <c r="D31" s="19" t="n">
        <v>300</v>
      </c>
      <c r="E31" s="18" t="n">
        <v>20.19492341</v>
      </c>
      <c r="F31" s="20" t="n">
        <v>2.23728118</v>
      </c>
      <c r="G31" s="18" t="n">
        <v>69.79929065</v>
      </c>
      <c r="H31" s="20" t="n">
        <v>2.52272387</v>
      </c>
      <c r="I31" s="18" t="s">
        <v>567</v>
      </c>
      <c r="J31" s="20" t="s">
        <v>567</v>
      </c>
      <c r="K31" s="18" t="n">
        <v>0.28073077</v>
      </c>
      <c r="L31" s="20" t="n">
        <v>0.28263943</v>
      </c>
      <c r="M31" s="18" t="n">
        <v>0</v>
      </c>
      <c r="N31" s="20" t="n">
        <v>0</v>
      </c>
      <c r="O31" s="18" t="n">
        <v>0</v>
      </c>
      <c r="P31" s="20" t="n">
        <v>0</v>
      </c>
      <c r="Q31" s="18" t="n">
        <v>9.725055169999999</v>
      </c>
      <c r="R31" s="20" t="n">
        <v>1.62001717</v>
      </c>
    </row>
    <row r="32" spans="1:18">
      <c r="A32" s="15" t="s">
        <v>592</v>
      </c>
      <c r="B32" s="17" t="n">
        <v>2269</v>
      </c>
      <c r="C32" s="18">
        <f>(2022.0/B32*100)</f>
        <v/>
      </c>
      <c r="D32" s="19" t="n">
        <v>247</v>
      </c>
      <c r="E32" s="18" t="n">
        <v>47.74379245</v>
      </c>
      <c r="F32" s="20" t="n">
        <v>3.34585246</v>
      </c>
      <c r="G32" s="18" t="n">
        <v>35.84246104</v>
      </c>
      <c r="H32" s="20" t="n">
        <v>3.00240023</v>
      </c>
      <c r="I32" s="18" t="s">
        <v>567</v>
      </c>
      <c r="J32" s="20" t="s">
        <v>567</v>
      </c>
      <c r="K32" s="18" t="n">
        <v>0.35989879</v>
      </c>
      <c r="L32" s="20" t="n">
        <v>0.35159989</v>
      </c>
      <c r="M32" s="18" t="n">
        <v>0</v>
      </c>
      <c r="N32" s="20" t="n">
        <v>0</v>
      </c>
      <c r="O32" s="18" t="n">
        <v>0</v>
      </c>
      <c r="P32" s="20" t="n">
        <v>0</v>
      </c>
      <c r="Q32" s="18" t="n">
        <v>16.05384772</v>
      </c>
      <c r="R32" s="20" t="n">
        <v>2.34276339</v>
      </c>
    </row>
    <row r="33" spans="1:18">
      <c r="A33" s="15" t="s">
        <v>593</v>
      </c>
      <c r="B33" s="17" t="n">
        <v>3674</v>
      </c>
      <c r="C33" s="18">
        <f>(3274.0/B33*100)</f>
        <v/>
      </c>
      <c r="D33" s="19" t="n">
        <v>400</v>
      </c>
      <c r="E33" s="18" t="n">
        <v>39.84355841</v>
      </c>
      <c r="F33" s="20" t="n">
        <v>3.49035171</v>
      </c>
      <c r="G33" s="18" t="n">
        <v>49.84727965</v>
      </c>
      <c r="H33" s="20" t="n">
        <v>3.27104403</v>
      </c>
      <c r="I33" s="18" t="s">
        <v>567</v>
      </c>
      <c r="J33" s="20" t="s">
        <v>567</v>
      </c>
      <c r="K33" s="18" t="n">
        <v>0</v>
      </c>
      <c r="L33" s="20" t="n">
        <v>0</v>
      </c>
      <c r="M33" s="18" t="n">
        <v>0</v>
      </c>
      <c r="N33" s="20" t="n">
        <v>0</v>
      </c>
      <c r="O33" s="18" t="n">
        <v>0</v>
      </c>
      <c r="P33" s="20" t="n">
        <v>0</v>
      </c>
      <c r="Q33" s="18" t="n">
        <v>10.30916194</v>
      </c>
      <c r="R33" s="20" t="n">
        <v>1.53204749</v>
      </c>
    </row>
    <row r="34" spans="1:18">
      <c r="A34" s="15" t="s">
        <v>594</v>
      </c>
      <c r="B34" s="17" t="n">
        <v>3315</v>
      </c>
      <c r="C34" s="18">
        <f>(2970.0/B34*100)</f>
        <v/>
      </c>
      <c r="D34" s="19" t="n">
        <v>345</v>
      </c>
      <c r="E34" s="18" t="n">
        <v>52.00254677</v>
      </c>
      <c r="F34" s="20" t="n">
        <v>2.92112614</v>
      </c>
      <c r="G34" s="18" t="n">
        <v>35.66369526</v>
      </c>
      <c r="H34" s="20" t="n">
        <v>2.84941054</v>
      </c>
      <c r="I34" s="18" t="s">
        <v>567</v>
      </c>
      <c r="J34" s="20" t="s">
        <v>567</v>
      </c>
      <c r="K34" s="18" t="n">
        <v>0</v>
      </c>
      <c r="L34" s="20" t="n">
        <v>0</v>
      </c>
      <c r="M34" s="18" t="n">
        <v>0.24200995</v>
      </c>
      <c r="N34" s="20" t="n">
        <v>0.23937116</v>
      </c>
      <c r="O34" s="18" t="n">
        <v>0</v>
      </c>
      <c r="P34" s="20" t="n">
        <v>0</v>
      </c>
      <c r="Q34" s="18" t="n">
        <v>12.09174801</v>
      </c>
      <c r="R34" s="20" t="n">
        <v>1.71236631</v>
      </c>
    </row>
    <row r="35" spans="1:18">
      <c r="A35" s="15" t="s">
        <v>595</v>
      </c>
      <c r="B35" s="17" t="n">
        <v>3505</v>
      </c>
      <c r="C35" s="18">
        <f>(3120.0/B35*100)</f>
        <v/>
      </c>
      <c r="D35" s="19" t="n">
        <v>385</v>
      </c>
      <c r="E35" s="18" t="n">
        <v>35.3667893</v>
      </c>
      <c r="F35" s="20" t="n">
        <v>2.87363172</v>
      </c>
      <c r="G35" s="18" t="n">
        <v>58.27565157</v>
      </c>
      <c r="H35" s="20" t="n">
        <v>2.84640531</v>
      </c>
      <c r="I35" s="18" t="s">
        <v>567</v>
      </c>
      <c r="J35" s="20" t="s">
        <v>567</v>
      </c>
      <c r="K35" s="18" t="n">
        <v>0</v>
      </c>
      <c r="L35" s="20" t="n">
        <v>0</v>
      </c>
      <c r="M35" s="18" t="n">
        <v>0.59456128</v>
      </c>
      <c r="N35" s="20" t="n">
        <v>0.47855207</v>
      </c>
      <c r="O35" s="18" t="n">
        <v>0</v>
      </c>
      <c r="P35" s="20" t="n">
        <v>0</v>
      </c>
      <c r="Q35" s="18" t="n">
        <v>5.76299785</v>
      </c>
      <c r="R35" s="20" t="n">
        <v>1.30071919</v>
      </c>
    </row>
    <row r="36" spans="1:18">
      <c r="A36" s="15" t="s">
        <v>596</v>
      </c>
      <c r="B36" s="17" t="n">
        <v>3332</v>
      </c>
      <c r="C36" s="18">
        <f>(2950.0/B36*100)</f>
        <v/>
      </c>
      <c r="D36" s="19" t="n">
        <v>382</v>
      </c>
      <c r="E36" s="18" t="n">
        <v>38.25852925</v>
      </c>
      <c r="F36" s="20" t="n">
        <v>2.6057786</v>
      </c>
      <c r="G36" s="18" t="n">
        <v>53.12912063</v>
      </c>
      <c r="H36" s="20" t="n">
        <v>2.71710055</v>
      </c>
      <c r="I36" s="18" t="s">
        <v>567</v>
      </c>
      <c r="J36" s="20" t="s">
        <v>567</v>
      </c>
      <c r="K36" s="18" t="n">
        <v>0</v>
      </c>
      <c r="L36" s="20" t="n">
        <v>0</v>
      </c>
      <c r="M36" s="18" t="n">
        <v>0</v>
      </c>
      <c r="N36" s="20" t="n">
        <v>0</v>
      </c>
      <c r="O36" s="18" t="n">
        <v>0</v>
      </c>
      <c r="P36" s="20" t="n">
        <v>0</v>
      </c>
      <c r="Q36" s="18" t="n">
        <v>8.61235012</v>
      </c>
      <c r="R36" s="20" t="n">
        <v>1.58715446</v>
      </c>
    </row>
    <row r="37" spans="1:18">
      <c r="A37" s="15" t="s">
        <v>597</v>
      </c>
      <c r="B37" s="17" t="n">
        <v>2727</v>
      </c>
      <c r="C37" s="18">
        <f>(2421.0/B37*100)</f>
        <v/>
      </c>
      <c r="D37" s="19" t="n">
        <v>306</v>
      </c>
      <c r="E37" s="18" t="n">
        <v>38.35280032</v>
      </c>
      <c r="F37" s="20" t="n">
        <v>3.06721875</v>
      </c>
      <c r="G37" s="18" t="n">
        <v>50.05743816</v>
      </c>
      <c r="H37" s="20" t="n">
        <v>3.11512354</v>
      </c>
      <c r="I37" s="18" t="s">
        <v>567</v>
      </c>
      <c r="J37" s="20" t="s">
        <v>567</v>
      </c>
      <c r="K37" s="18" t="n">
        <v>0</v>
      </c>
      <c r="L37" s="20" t="n">
        <v>0</v>
      </c>
      <c r="M37" s="18" t="n">
        <v>0</v>
      </c>
      <c r="N37" s="20" t="n">
        <v>0</v>
      </c>
      <c r="O37" s="18" t="n">
        <v>0</v>
      </c>
      <c r="P37" s="20" t="n">
        <v>0</v>
      </c>
      <c r="Q37" s="18" t="n">
        <v>11.58976151</v>
      </c>
      <c r="R37" s="20" t="n">
        <v>1.99114855</v>
      </c>
    </row>
    <row r="38" spans="1:18">
      <c r="A38" s="15" t="s">
        <v>598</v>
      </c>
      <c r="B38" s="17" t="n">
        <v>3053</v>
      </c>
      <c r="C38" s="18">
        <f>(2723.0/B38*100)</f>
        <v/>
      </c>
      <c r="D38" s="19" t="n">
        <v>330</v>
      </c>
      <c r="E38" s="18" t="n">
        <v>36.11057169</v>
      </c>
      <c r="F38" s="20" t="n">
        <v>2.69534639</v>
      </c>
      <c r="G38" s="18" t="n">
        <v>47.38253715</v>
      </c>
      <c r="H38" s="20" t="n">
        <v>2.75671586</v>
      </c>
      <c r="I38" s="18" t="s">
        <v>567</v>
      </c>
      <c r="J38" s="20" t="s">
        <v>567</v>
      </c>
      <c r="K38" s="18" t="n">
        <v>0.43765062</v>
      </c>
      <c r="L38" s="20" t="n">
        <v>0.4439023</v>
      </c>
      <c r="M38" s="18" t="n">
        <v>3.56712731</v>
      </c>
      <c r="N38" s="20" t="n">
        <v>1.17482567</v>
      </c>
      <c r="O38" s="18" t="n">
        <v>0</v>
      </c>
      <c r="P38" s="20" t="n">
        <v>0</v>
      </c>
      <c r="Q38" s="18" t="n">
        <v>12.50211322</v>
      </c>
      <c r="R38" s="20" t="n">
        <v>2.47171215</v>
      </c>
    </row>
    <row r="39" spans="1:18">
      <c r="A39" s="15" t="s">
        <v>599</v>
      </c>
      <c r="B39" s="17" t="n">
        <v>2957</v>
      </c>
      <c r="C39" s="18">
        <f>(2624.0/B39*100)</f>
        <v/>
      </c>
      <c r="D39" s="19" t="n">
        <v>333</v>
      </c>
      <c r="E39" s="18" t="n">
        <v>57.57497395</v>
      </c>
      <c r="F39" s="20" t="n">
        <v>4.10544612</v>
      </c>
      <c r="G39" s="18" t="n">
        <v>37.89212233</v>
      </c>
      <c r="H39" s="20" t="n">
        <v>4.13231327</v>
      </c>
      <c r="I39" s="18" t="s">
        <v>567</v>
      </c>
      <c r="J39" s="20" t="s">
        <v>567</v>
      </c>
      <c r="K39" s="18" t="n">
        <v>0.21263693</v>
      </c>
      <c r="L39" s="20" t="n">
        <v>0.22051977</v>
      </c>
      <c r="M39" s="18" t="n">
        <v>0</v>
      </c>
      <c r="N39" s="20" t="n">
        <v>0</v>
      </c>
      <c r="O39" s="18" t="n">
        <v>0</v>
      </c>
      <c r="P39" s="20" t="n">
        <v>0</v>
      </c>
      <c r="Q39" s="18" t="n">
        <v>4.32026679</v>
      </c>
      <c r="R39" s="20" t="n">
        <v>1.21798952</v>
      </c>
    </row>
    <row r="40" spans="1:18">
      <c r="A40" s="15" t="s">
        <v>600</v>
      </c>
      <c r="B40" s="17" t="n">
        <v>7235</v>
      </c>
      <c r="C40" s="18">
        <f>(6388.0/B40*100)</f>
        <v/>
      </c>
      <c r="D40" s="19" t="n">
        <v>847</v>
      </c>
      <c r="E40" s="18" t="n">
        <v>41.88044739</v>
      </c>
      <c r="F40" s="20" t="n">
        <v>2.75290982</v>
      </c>
      <c r="G40" s="18" t="n">
        <v>47.02546626</v>
      </c>
      <c r="H40" s="20" t="n">
        <v>2.83948366</v>
      </c>
      <c r="I40" s="18" t="s">
        <v>567</v>
      </c>
      <c r="J40" s="20" t="s">
        <v>567</v>
      </c>
      <c r="K40" s="18" t="n">
        <v>0.06944006</v>
      </c>
      <c r="L40" s="20" t="n">
        <v>0.05927633</v>
      </c>
      <c r="M40" s="18" t="n">
        <v>0.09604641</v>
      </c>
      <c r="N40" s="20" t="n">
        <v>0.09093471</v>
      </c>
      <c r="O40" s="18" t="n">
        <v>0</v>
      </c>
      <c r="P40" s="20" t="n">
        <v>0</v>
      </c>
      <c r="Q40" s="18" t="n">
        <v>10.92859989</v>
      </c>
      <c r="R40" s="20" t="n">
        <v>1.8419199</v>
      </c>
    </row>
    <row r="41" spans="1:18">
      <c r="A41" s="15" t="s">
        <v>601</v>
      </c>
      <c r="B41" s="17" t="n">
        <v>2858</v>
      </c>
      <c r="C41" s="18">
        <f>(2527.0/B41*100)</f>
        <v/>
      </c>
      <c r="D41" s="19" t="n">
        <v>331</v>
      </c>
      <c r="E41" s="18" t="n">
        <v>53.7071304</v>
      </c>
      <c r="F41" s="20" t="n">
        <v>2.78475656</v>
      </c>
      <c r="G41" s="18" t="n">
        <v>40.65151914</v>
      </c>
      <c r="H41" s="20" t="n">
        <v>2.45868778</v>
      </c>
      <c r="I41" s="18" t="s">
        <v>567</v>
      </c>
      <c r="J41" s="20" t="s">
        <v>567</v>
      </c>
      <c r="K41" s="18" t="n">
        <v>0</v>
      </c>
      <c r="L41" s="20" t="n">
        <v>0</v>
      </c>
      <c r="M41" s="18" t="n">
        <v>0</v>
      </c>
      <c r="N41" s="20" t="n">
        <v>0</v>
      </c>
      <c r="O41" s="18" t="n">
        <v>0</v>
      </c>
      <c r="P41" s="20" t="n">
        <v>0</v>
      </c>
      <c r="Q41" s="18" t="n">
        <v>5.64135047</v>
      </c>
      <c r="R41" s="20" t="n">
        <v>1.33192042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(9943.0/B46*100)</f>
        <v/>
      </c>
      <c r="D46" s="19" t="n">
        <v>1125</v>
      </c>
      <c r="E46" s="18" t="n">
        <v>60.61339984</v>
      </c>
      <c r="F46" s="20" t="n">
        <v>1.8050023</v>
      </c>
      <c r="G46" s="18" t="n">
        <v>20.12896439</v>
      </c>
      <c r="H46" s="20" t="n">
        <v>1.56401389</v>
      </c>
      <c r="I46" s="18" t="s">
        <v>567</v>
      </c>
      <c r="J46" s="20" t="s">
        <v>567</v>
      </c>
      <c r="K46" s="18" t="n">
        <v>0.00674014</v>
      </c>
      <c r="L46" s="20" t="n">
        <v>0.00661983</v>
      </c>
      <c r="M46" s="18" t="n">
        <v>0.65280709</v>
      </c>
      <c r="N46" s="20" t="n">
        <v>0.320051</v>
      </c>
      <c r="O46" s="18" t="n">
        <v>0</v>
      </c>
      <c r="P46" s="20" t="n">
        <v>0</v>
      </c>
      <c r="Q46" s="18" t="n">
        <v>18.59808853</v>
      </c>
      <c r="R46" s="20" t="n">
        <v>1.59335372</v>
      </c>
    </row>
    <row r="47" spans="1:18">
      <c r="A47" s="15" t="s">
        <v>607</v>
      </c>
      <c r="B47" s="17" t="n">
        <v>3105</v>
      </c>
      <c r="C47" s="18">
        <f>(2754.0/B47*100)</f>
        <v/>
      </c>
      <c r="D47" s="19" t="n">
        <v>351</v>
      </c>
      <c r="E47" s="18" t="n">
        <v>24.50370881</v>
      </c>
      <c r="F47" s="20" t="n">
        <v>2.30116625</v>
      </c>
      <c r="G47" s="18" t="n">
        <v>55.56578136</v>
      </c>
      <c r="H47" s="20" t="n">
        <v>2.7354898</v>
      </c>
      <c r="I47" s="18" t="s">
        <v>567</v>
      </c>
      <c r="J47" s="20" t="s">
        <v>567</v>
      </c>
      <c r="K47" s="18" t="n">
        <v>0</v>
      </c>
      <c r="L47" s="20" t="n">
        <v>0</v>
      </c>
      <c r="M47" s="18" t="n">
        <v>0</v>
      </c>
      <c r="N47" s="20" t="n">
        <v>0</v>
      </c>
      <c r="O47" s="18" t="n">
        <v>0</v>
      </c>
      <c r="P47" s="20" t="n">
        <v>0</v>
      </c>
      <c r="Q47" s="18" t="n">
        <v>19.93050984</v>
      </c>
      <c r="R47" s="20" t="n">
        <v>2.47221521</v>
      </c>
    </row>
    <row r="48" spans="1:18">
      <c r="A48" s="15" t="s">
        <v>608</v>
      </c>
      <c r="B48" s="17" t="n">
        <v>5159</v>
      </c>
      <c r="C48" s="18">
        <f>(4605.0/B48*100)</f>
        <v/>
      </c>
      <c r="D48" s="19" t="n">
        <v>554</v>
      </c>
      <c r="E48" s="18" t="n">
        <v>28.56225243</v>
      </c>
      <c r="F48" s="20" t="n">
        <v>2.65625917</v>
      </c>
      <c r="G48" s="18" t="n">
        <v>64.54256731</v>
      </c>
      <c r="H48" s="20" t="n">
        <v>2.79173681</v>
      </c>
      <c r="I48" s="18" t="s">
        <v>567</v>
      </c>
      <c r="J48" s="20" t="s">
        <v>567</v>
      </c>
      <c r="K48" s="18" t="n">
        <v>0.65699079</v>
      </c>
      <c r="L48" s="20" t="n">
        <v>0.46540588</v>
      </c>
      <c r="M48" s="18" t="n">
        <v>0</v>
      </c>
      <c r="N48" s="20" t="n">
        <v>0</v>
      </c>
      <c r="O48" s="18" t="n">
        <v>0</v>
      </c>
      <c r="P48" s="20" t="n">
        <v>0</v>
      </c>
      <c r="Q48" s="18" t="n">
        <v>6.23818947</v>
      </c>
      <c r="R48" s="20" t="n">
        <v>1.15943633</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(5031.0/B50*100)</f>
        <v/>
      </c>
      <c r="D50" s="19" t="n">
        <v>606</v>
      </c>
      <c r="E50" s="18" t="n">
        <v>67.43751838999999</v>
      </c>
      <c r="F50" s="20" t="n">
        <v>2.57390126</v>
      </c>
      <c r="G50" s="18" t="n">
        <v>27.77867432</v>
      </c>
      <c r="H50" s="20" t="n">
        <v>2.51071031</v>
      </c>
      <c r="I50" s="18" t="s">
        <v>567</v>
      </c>
      <c r="J50" s="20" t="s">
        <v>567</v>
      </c>
      <c r="K50" s="18" t="n">
        <v>0.05455345</v>
      </c>
      <c r="L50" s="20" t="n">
        <v>0.05330122</v>
      </c>
      <c r="M50" s="18" t="n">
        <v>0.10774478</v>
      </c>
      <c r="N50" s="20" t="n">
        <v>0.10790883</v>
      </c>
      <c r="O50" s="18" t="n">
        <v>0</v>
      </c>
      <c r="P50" s="20" t="n">
        <v>0</v>
      </c>
      <c r="Q50" s="18" t="n">
        <v>4.62150907</v>
      </c>
      <c r="R50" s="20" t="n">
        <v>1.16150075</v>
      </c>
    </row>
    <row r="51" spans="1:18">
      <c r="A51" s="15" t="s">
        <v>611</v>
      </c>
      <c r="B51" s="17" t="n">
        <v>3372</v>
      </c>
      <c r="C51" s="18">
        <f>(3024.0/B51*100)</f>
        <v/>
      </c>
      <c r="D51" s="19" t="n">
        <v>348</v>
      </c>
      <c r="E51" s="18" t="n">
        <v>54.0671867</v>
      </c>
      <c r="F51" s="20" t="n">
        <v>2.63425751</v>
      </c>
      <c r="G51" s="18" t="n">
        <v>37.79678455</v>
      </c>
      <c r="H51" s="20" t="n">
        <v>2.64164268</v>
      </c>
      <c r="I51" s="18" t="s">
        <v>567</v>
      </c>
      <c r="J51" s="20" t="s">
        <v>567</v>
      </c>
      <c r="K51" s="18" t="n">
        <v>0</v>
      </c>
      <c r="L51" s="20" t="n">
        <v>0</v>
      </c>
      <c r="M51" s="18" t="n">
        <v>0</v>
      </c>
      <c r="N51" s="20" t="n">
        <v>0</v>
      </c>
      <c r="O51" s="18" t="n">
        <v>0</v>
      </c>
      <c r="P51" s="20" t="n">
        <v>0</v>
      </c>
      <c r="Q51" s="18" t="n">
        <v>8.136028749999999</v>
      </c>
      <c r="R51" s="20" t="n">
        <v>1.58376905</v>
      </c>
    </row>
    <row r="52" spans="1:18">
      <c r="A52" s="15" t="s">
        <v>612</v>
      </c>
      <c r="B52" s="17" t="n">
        <v>2796</v>
      </c>
      <c r="C52" s="18">
        <f>(2514.0/B52*100)</f>
        <v/>
      </c>
      <c r="D52" s="19" t="n">
        <v>282</v>
      </c>
      <c r="E52" s="18" t="n">
        <v>27.10713204</v>
      </c>
      <c r="F52" s="20" t="n">
        <v>2.6442818</v>
      </c>
      <c r="G52" s="18" t="n">
        <v>64.59850204999999</v>
      </c>
      <c r="H52" s="20" t="n">
        <v>2.85412642</v>
      </c>
      <c r="I52" s="18" t="s">
        <v>567</v>
      </c>
      <c r="J52" s="20" t="s">
        <v>567</v>
      </c>
      <c r="K52" s="18" t="n">
        <v>0</v>
      </c>
      <c r="L52" s="20" t="n">
        <v>0</v>
      </c>
      <c r="M52" s="18" t="n">
        <v>0</v>
      </c>
      <c r="N52" s="20" t="n">
        <v>0</v>
      </c>
      <c r="O52" s="18" t="n">
        <v>0</v>
      </c>
      <c r="P52" s="20" t="n">
        <v>0</v>
      </c>
      <c r="Q52" s="18" t="n">
        <v>8.29436591</v>
      </c>
      <c r="R52" s="20" t="n">
        <v>1.5481424</v>
      </c>
    </row>
    <row r="53" spans="1:18">
      <c r="A53" s="15" t="s">
        <v>613</v>
      </c>
      <c r="B53" s="17" t="n">
        <v>2811</v>
      </c>
      <c r="C53" s="18">
        <f>(2520.0/B53*100)</f>
        <v/>
      </c>
      <c r="D53" s="19" t="n">
        <v>291</v>
      </c>
      <c r="E53" s="18" t="n">
        <v>42.74211336</v>
      </c>
      <c r="F53" s="20" t="n">
        <v>3.37335428</v>
      </c>
      <c r="G53" s="18" t="n">
        <v>38.97960763</v>
      </c>
      <c r="H53" s="20" t="n">
        <v>3.09664677</v>
      </c>
      <c r="I53" s="18" t="s">
        <v>567</v>
      </c>
      <c r="J53" s="20" t="s">
        <v>567</v>
      </c>
      <c r="K53" s="18" t="n">
        <v>0.23052763</v>
      </c>
      <c r="L53" s="20" t="n">
        <v>0.2329998</v>
      </c>
      <c r="M53" s="18" t="n">
        <v>0</v>
      </c>
      <c r="N53" s="20" t="n">
        <v>0</v>
      </c>
      <c r="O53" s="18" t="n">
        <v>0</v>
      </c>
      <c r="P53" s="20" t="n">
        <v>0</v>
      </c>
      <c r="Q53" s="18" t="n">
        <v>18.04775137</v>
      </c>
      <c r="R53" s="20" t="n">
        <v>2.22224293</v>
      </c>
    </row>
    <row r="54" spans="1:18">
      <c r="A54" s="15" t="s">
        <v>614</v>
      </c>
      <c r="B54" s="17" t="n">
        <v>2266</v>
      </c>
      <c r="C54" s="18">
        <f>(2015.0/B54*100)</f>
        <v/>
      </c>
      <c r="D54" s="19" t="n">
        <v>251</v>
      </c>
      <c r="E54" s="18" t="n">
        <v>63.93250331</v>
      </c>
      <c r="F54" s="20" t="n">
        <v>3.71354563</v>
      </c>
      <c r="G54" s="18" t="n">
        <v>7.04218819</v>
      </c>
      <c r="H54" s="20" t="n">
        <v>1.57770521</v>
      </c>
      <c r="I54" s="18" t="s">
        <v>567</v>
      </c>
      <c r="J54" s="20" t="s">
        <v>567</v>
      </c>
      <c r="K54" s="18" t="n">
        <v>3.79330679</v>
      </c>
      <c r="L54" s="20" t="n">
        <v>1.51229034</v>
      </c>
      <c r="M54" s="18" t="n">
        <v>0.39713709</v>
      </c>
      <c r="N54" s="20" t="n">
        <v>0.37913039</v>
      </c>
      <c r="O54" s="18" t="n">
        <v>0</v>
      </c>
      <c r="P54" s="20" t="n">
        <v>0</v>
      </c>
      <c r="Q54" s="18" t="n">
        <v>24.83486462</v>
      </c>
      <c r="R54" s="20" t="n">
        <v>3.5279595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(2391.0/B56*100)</f>
        <v/>
      </c>
      <c r="D56" s="19" t="n">
        <v>293</v>
      </c>
      <c r="E56" s="18" t="n">
        <v>30.10917001</v>
      </c>
      <c r="F56" s="20" t="n">
        <v>2.85976349</v>
      </c>
      <c r="G56" s="18" t="n">
        <v>65.82521235</v>
      </c>
      <c r="H56" s="20" t="n">
        <v>3.03443568</v>
      </c>
      <c r="I56" s="18" t="s">
        <v>567</v>
      </c>
      <c r="J56" s="20" t="s">
        <v>567</v>
      </c>
      <c r="K56" s="18" t="n">
        <v>0</v>
      </c>
      <c r="L56" s="20" t="n">
        <v>0</v>
      </c>
      <c r="M56" s="18" t="n">
        <v>0</v>
      </c>
      <c r="N56" s="20" t="n">
        <v>0</v>
      </c>
      <c r="O56" s="18" t="n">
        <v>0</v>
      </c>
      <c r="P56" s="20" t="n">
        <v>0</v>
      </c>
      <c r="Q56" s="18" t="n">
        <v>4.06561765</v>
      </c>
      <c r="R56" s="20" t="n">
        <v>0.73169146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(2994.0/B61*100)</f>
        <v/>
      </c>
      <c r="D61" s="19" t="n">
        <v>330</v>
      </c>
      <c r="E61" s="18" t="n">
        <v>44.23795596</v>
      </c>
      <c r="F61" s="20" t="n">
        <v>3.21897029</v>
      </c>
      <c r="G61" s="18" t="n">
        <v>45.66350502</v>
      </c>
      <c r="H61" s="20" t="n">
        <v>3.22128853</v>
      </c>
      <c r="I61" s="18" t="s">
        <v>567</v>
      </c>
      <c r="J61" s="20" t="s">
        <v>567</v>
      </c>
      <c r="K61" s="18" t="n">
        <v>0.42961692</v>
      </c>
      <c r="L61" s="20" t="n">
        <v>0.44849813</v>
      </c>
      <c r="M61" s="18" t="n">
        <v>0</v>
      </c>
      <c r="N61" s="20" t="n">
        <v>0</v>
      </c>
      <c r="O61" s="18" t="n">
        <v>0</v>
      </c>
      <c r="P61" s="20" t="n">
        <v>0</v>
      </c>
      <c r="Q61" s="18" t="n">
        <v>9.6689221</v>
      </c>
      <c r="R61" s="20" t="n">
        <v>1.52828833</v>
      </c>
    </row>
    <row r="62" spans="1:18">
      <c r="A62" s="15" t="s">
        <v>622</v>
      </c>
      <c r="B62" s="17" t="n">
        <v>2246</v>
      </c>
      <c r="C62" s="18">
        <f>(1992.0/B62*100)</f>
        <v/>
      </c>
      <c r="D62" s="19" t="n">
        <v>254</v>
      </c>
      <c r="E62" s="18" t="n">
        <v>37.05464606</v>
      </c>
      <c r="F62" s="20" t="n">
        <v>3.16702245</v>
      </c>
      <c r="G62" s="18" t="n">
        <v>61.36787341</v>
      </c>
      <c r="H62" s="20" t="n">
        <v>3.15264142</v>
      </c>
      <c r="I62" s="18" t="s">
        <v>567</v>
      </c>
      <c r="J62" s="20" t="s">
        <v>567</v>
      </c>
      <c r="K62" s="18" t="n">
        <v>0</v>
      </c>
      <c r="L62" s="20" t="n">
        <v>0</v>
      </c>
      <c r="M62" s="18" t="n">
        <v>0</v>
      </c>
      <c r="N62" s="20" t="n">
        <v>0</v>
      </c>
      <c r="O62" s="18" t="n">
        <v>0</v>
      </c>
      <c r="P62" s="20" t="n">
        <v>0</v>
      </c>
      <c r="Q62" s="18" t="n">
        <v>1.57748053</v>
      </c>
      <c r="R62" s="20" t="n">
        <v>0.79707139</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(2592.0/B66*100)</f>
        <v/>
      </c>
      <c r="D66" s="19" t="n">
        <v>302</v>
      </c>
      <c r="E66" s="18" t="n">
        <v>41.82578637</v>
      </c>
      <c r="F66" s="20" t="n">
        <v>2.95323397</v>
      </c>
      <c r="G66" s="18" t="n">
        <v>35.4393948</v>
      </c>
      <c r="H66" s="20" t="n">
        <v>2.49932479</v>
      </c>
      <c r="I66" s="18" t="s">
        <v>567</v>
      </c>
      <c r="J66" s="20" t="s">
        <v>567</v>
      </c>
      <c r="K66" s="18" t="n">
        <v>0</v>
      </c>
      <c r="L66" s="20" t="n">
        <v>0</v>
      </c>
      <c r="M66" s="18" t="n">
        <v>1.58339094</v>
      </c>
      <c r="N66" s="20" t="n">
        <v>1.03056199</v>
      </c>
      <c r="O66" s="18" t="n">
        <v>0</v>
      </c>
      <c r="P66" s="20" t="n">
        <v>0</v>
      </c>
      <c r="Q66" s="18" t="n">
        <v>21.15142789</v>
      </c>
      <c r="R66" s="20" t="n">
        <v>2.70018255</v>
      </c>
    </row>
    <row r="67" spans="1:18">
      <c r="A67" s="15" t="s">
        <v>627</v>
      </c>
      <c r="B67" s="17" t="n">
        <v>3511</v>
      </c>
      <c r="C67" s="18">
        <f>(3139.0/B67*100)</f>
        <v/>
      </c>
      <c r="D67" s="19" t="n">
        <v>372</v>
      </c>
      <c r="E67" s="18" t="n">
        <v>79.6806868</v>
      </c>
      <c r="F67" s="20" t="n">
        <v>2.0416094</v>
      </c>
      <c r="G67" s="18" t="n">
        <v>13.20671433</v>
      </c>
      <c r="H67" s="20" t="n">
        <v>1.75634216</v>
      </c>
      <c r="I67" s="18" t="s">
        <v>567</v>
      </c>
      <c r="J67" s="20" t="s">
        <v>567</v>
      </c>
      <c r="K67" s="18" t="n">
        <v>0.27363902</v>
      </c>
      <c r="L67" s="20" t="n">
        <v>0.27193898</v>
      </c>
      <c r="M67" s="18" t="n">
        <v>0.50558742</v>
      </c>
      <c r="N67" s="20" t="n">
        <v>0.36739661</v>
      </c>
      <c r="O67" s="18" t="n">
        <v>0</v>
      </c>
      <c r="P67" s="20" t="n">
        <v>0</v>
      </c>
      <c r="Q67" s="18" t="n">
        <v>6.33337243</v>
      </c>
      <c r="R67" s="20" t="n">
        <v>1.21675518</v>
      </c>
    </row>
    <row r="68" spans="1:18">
      <c r="A68" s="15" t="s">
        <v>628</v>
      </c>
      <c r="B68" s="17" t="n">
        <v>6049</v>
      </c>
      <c r="C68" s="18">
        <f>(5388.0/B68*100)</f>
        <v/>
      </c>
      <c r="D68" s="19" t="n">
        <v>661</v>
      </c>
      <c r="E68" s="18" t="n">
        <v>55.5602433</v>
      </c>
      <c r="F68" s="20" t="n">
        <v>1.97354336</v>
      </c>
      <c r="G68" s="18" t="n">
        <v>30.68405408</v>
      </c>
      <c r="H68" s="20" t="n">
        <v>1.98886409</v>
      </c>
      <c r="I68" s="18" t="s">
        <v>567</v>
      </c>
      <c r="J68" s="20" t="s">
        <v>567</v>
      </c>
      <c r="K68" s="18" t="n">
        <v>1.47870107</v>
      </c>
      <c r="L68" s="20" t="n">
        <v>0.46973214</v>
      </c>
      <c r="M68" s="18" t="n">
        <v>0.15148292</v>
      </c>
      <c r="N68" s="20" t="n">
        <v>0.15125612</v>
      </c>
      <c r="O68" s="18" t="n">
        <v>0</v>
      </c>
      <c r="P68" s="20" t="n">
        <v>0</v>
      </c>
      <c r="Q68" s="18" t="n">
        <v>12.12551863</v>
      </c>
      <c r="R68" s="20" t="n">
        <v>1.33106092</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(2636.0/B70*100)</f>
        <v/>
      </c>
      <c r="D70" s="19" t="n">
        <v>293</v>
      </c>
      <c r="E70" s="18" t="n">
        <v>26.6015881</v>
      </c>
      <c r="F70" s="20" t="n">
        <v>2.59648077</v>
      </c>
      <c r="G70" s="18" t="n">
        <v>65.75279381999999</v>
      </c>
      <c r="H70" s="20" t="n">
        <v>2.97979689</v>
      </c>
      <c r="I70" s="18" t="s">
        <v>567</v>
      </c>
      <c r="J70" s="20" t="s">
        <v>567</v>
      </c>
      <c r="K70" s="18" t="n">
        <v>0</v>
      </c>
      <c r="L70" s="20" t="n">
        <v>0</v>
      </c>
      <c r="M70" s="18" t="n">
        <v>0.24924205</v>
      </c>
      <c r="N70" s="20" t="n">
        <v>0.25191872</v>
      </c>
      <c r="O70" s="18" t="n">
        <v>0</v>
      </c>
      <c r="P70" s="20" t="n">
        <v>0</v>
      </c>
      <c r="Q70" s="18" t="n">
        <v>7.39637603</v>
      </c>
      <c r="R70" s="20" t="n">
        <v>1.54420719</v>
      </c>
    </row>
    <row r="71" spans="1:18">
      <c r="A71" s="15" t="s">
        <v>631</v>
      </c>
      <c r="B71" s="17" t="n">
        <v>3142</v>
      </c>
      <c r="C71" s="18">
        <f>(2777.0/B71*100)</f>
        <v/>
      </c>
      <c r="D71" s="19" t="n">
        <v>365</v>
      </c>
      <c r="E71" s="18" t="n">
        <v>41.03071135</v>
      </c>
      <c r="F71" s="20" t="n">
        <v>2.96805253</v>
      </c>
      <c r="G71" s="18" t="n">
        <v>57.42664022</v>
      </c>
      <c r="H71" s="20" t="n">
        <v>2.9977747</v>
      </c>
      <c r="I71" s="18" t="s">
        <v>567</v>
      </c>
      <c r="J71" s="20" t="s">
        <v>567</v>
      </c>
      <c r="K71" s="18" t="n">
        <v>0</v>
      </c>
      <c r="L71" s="20" t="n">
        <v>0</v>
      </c>
      <c r="M71" s="18" t="n">
        <v>0.16614969</v>
      </c>
      <c r="N71" s="20" t="n">
        <v>0.166254</v>
      </c>
      <c r="O71" s="18" t="n">
        <v>0</v>
      </c>
      <c r="P71" s="20" t="n">
        <v>0</v>
      </c>
      <c r="Q71" s="18" t="n">
        <v>1.37649874</v>
      </c>
      <c r="R71" s="20" t="n">
        <v>0.5933323</v>
      </c>
    </row>
    <row r="72" spans="1:18">
      <c r="A72" s="15" t="s">
        <v>632</v>
      </c>
      <c r="B72" s="17" t="n">
        <v>3889</v>
      </c>
      <c r="C72" s="18">
        <f>(3448.0/B72*100)</f>
        <v/>
      </c>
      <c r="D72" s="19" t="n">
        <v>441</v>
      </c>
      <c r="E72" s="18" t="n">
        <v>23.30588647</v>
      </c>
      <c r="F72" s="20" t="n">
        <v>2.34126579</v>
      </c>
      <c r="G72" s="18" t="n">
        <v>72.78273215</v>
      </c>
      <c r="H72" s="20" t="n">
        <v>2.23378592</v>
      </c>
      <c r="I72" s="18" t="s">
        <v>567</v>
      </c>
      <c r="J72" s="20" t="s">
        <v>567</v>
      </c>
      <c r="K72" s="18" t="n">
        <v>0</v>
      </c>
      <c r="L72" s="20" t="n">
        <v>0</v>
      </c>
      <c r="M72" s="18" t="n">
        <v>0</v>
      </c>
      <c r="N72" s="20" t="n">
        <v>0</v>
      </c>
      <c r="O72" s="18" t="n">
        <v>0</v>
      </c>
      <c r="P72" s="20" t="n">
        <v>0</v>
      </c>
      <c r="Q72" s="18" t="n">
        <v>3.91138138</v>
      </c>
      <c r="R72" s="20" t="n">
        <v>0.99274638</v>
      </c>
    </row>
    <row r="73" spans="1:18">
      <c r="A73" s="15" t="s">
        <v>633</v>
      </c>
      <c r="B73" s="17" t="n">
        <v>3597</v>
      </c>
      <c r="C73" s="18">
        <f>(3180.0/B73*100)</f>
        <v/>
      </c>
      <c r="D73" s="19" t="n">
        <v>417</v>
      </c>
      <c r="E73" s="18" t="n">
        <v>64.57038541999999</v>
      </c>
      <c r="F73" s="20" t="n">
        <v>2.72336135</v>
      </c>
      <c r="G73" s="18" t="n">
        <v>32.50829576</v>
      </c>
      <c r="H73" s="20" t="n">
        <v>2.3046041</v>
      </c>
      <c r="I73" s="18" t="s">
        <v>567</v>
      </c>
      <c r="J73" s="20" t="s">
        <v>567</v>
      </c>
      <c r="K73" s="18" t="n">
        <v>0</v>
      </c>
      <c r="L73" s="20" t="n">
        <v>0</v>
      </c>
      <c r="M73" s="18" t="n">
        <v>0.38762072</v>
      </c>
      <c r="N73" s="20" t="n">
        <v>0.36593841</v>
      </c>
      <c r="O73" s="18" t="n">
        <v>0</v>
      </c>
      <c r="P73" s="20" t="n">
        <v>0</v>
      </c>
      <c r="Q73" s="18" t="n">
        <v>2.5336981</v>
      </c>
      <c r="R73" s="20" t="n">
        <v>0.94807519</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(2167.0/B75*100)</f>
        <v/>
      </c>
      <c r="D75" s="19" t="n">
        <v>239</v>
      </c>
      <c r="E75" s="18" t="n">
        <v>54.75986971</v>
      </c>
      <c r="F75" s="20" t="n">
        <v>3.51201527</v>
      </c>
      <c r="G75" s="18" t="n">
        <v>26.1894257</v>
      </c>
      <c r="H75" s="20" t="n">
        <v>2.5693992</v>
      </c>
      <c r="I75" s="18" t="s">
        <v>567</v>
      </c>
      <c r="J75" s="20" t="s">
        <v>567</v>
      </c>
      <c r="K75" s="18" t="n">
        <v>1.01079526</v>
      </c>
      <c r="L75" s="20" t="n">
        <v>0.44461273</v>
      </c>
      <c r="M75" s="18" t="n">
        <v>0.43429648</v>
      </c>
      <c r="N75" s="20" t="n">
        <v>0.45998926</v>
      </c>
      <c r="O75" s="18" t="n">
        <v>0</v>
      </c>
      <c r="P75" s="20" t="n">
        <v>0</v>
      </c>
      <c r="Q75" s="18" t="n">
        <v>17.60561285</v>
      </c>
      <c r="R75" s="20" t="n">
        <v>2.29451654</v>
      </c>
    </row>
    <row r="76" spans="1:18">
      <c r="A76" s="15" t="s">
        <v>636</v>
      </c>
      <c r="B76" s="17" t="n">
        <v>7052</v>
      </c>
      <c r="C76" s="18">
        <f>(6275.0/B76*100)</f>
        <v/>
      </c>
      <c r="D76" s="19" t="n">
        <v>777</v>
      </c>
      <c r="E76" s="18" t="n">
        <v>60.3516748</v>
      </c>
      <c r="F76" s="20" t="n">
        <v>2.3359521</v>
      </c>
      <c r="G76" s="18" t="n">
        <v>29.63839412</v>
      </c>
      <c r="H76" s="20" t="n">
        <v>1.94556453</v>
      </c>
      <c r="I76" s="18" t="s">
        <v>567</v>
      </c>
      <c r="J76" s="20" t="s">
        <v>567</v>
      </c>
      <c r="K76" s="18" t="n">
        <v>0.43449613</v>
      </c>
      <c r="L76" s="20" t="n">
        <v>0.23437887</v>
      </c>
      <c r="M76" s="18" t="n">
        <v>0.04244628</v>
      </c>
      <c r="N76" s="20" t="n">
        <v>0.04257149</v>
      </c>
      <c r="O76" s="18" t="n">
        <v>0</v>
      </c>
      <c r="P76" s="20" t="n">
        <v>0</v>
      </c>
      <c r="Q76" s="18" t="n">
        <v>9.532988680000001</v>
      </c>
      <c r="R76" s="20" t="n">
        <v>1.3725056</v>
      </c>
    </row>
    <row r="77" spans="1:18">
      <c r="A77" s="15" t="s">
        <v>637</v>
      </c>
      <c r="B77" s="17" t="n">
        <v>2908</v>
      </c>
      <c r="C77" s="18">
        <f>(2603.0/B77*100)</f>
        <v/>
      </c>
      <c r="D77" s="19" t="n">
        <v>305</v>
      </c>
      <c r="E77" s="18" t="n">
        <v>44.94551243</v>
      </c>
      <c r="F77" s="20" t="n">
        <v>2.64851291</v>
      </c>
      <c r="G77" s="18" t="n">
        <v>32.72021807</v>
      </c>
      <c r="H77" s="20" t="n">
        <v>2.62760235</v>
      </c>
      <c r="I77" s="18" t="s">
        <v>567</v>
      </c>
      <c r="J77" s="20" t="s">
        <v>567</v>
      </c>
      <c r="K77" s="18" t="n">
        <v>0.57286416</v>
      </c>
      <c r="L77" s="20" t="n">
        <v>0.61669848</v>
      </c>
      <c r="M77" s="18" t="n">
        <v>0</v>
      </c>
      <c r="N77" s="20" t="n">
        <v>0</v>
      </c>
      <c r="O77" s="18" t="n">
        <v>0</v>
      </c>
      <c r="P77" s="20" t="n">
        <v>0</v>
      </c>
      <c r="Q77" s="18" t="n">
        <v>21.76140534</v>
      </c>
      <c r="R77" s="20" t="n">
        <v>2.47137018</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(3711.0/B81*100)</f>
        <v/>
      </c>
      <c r="D81" s="19" t="n">
        <v>452</v>
      </c>
      <c r="E81" s="18" t="n">
        <v>57.39111156</v>
      </c>
      <c r="F81" s="20" t="n">
        <v>2.7844266</v>
      </c>
      <c r="G81" s="18" t="n">
        <v>40.41242972</v>
      </c>
      <c r="H81" s="20" t="n">
        <v>2.68529944</v>
      </c>
      <c r="I81" s="18" t="s">
        <v>567</v>
      </c>
      <c r="J81" s="20" t="s">
        <v>567</v>
      </c>
      <c r="K81" s="18" t="n">
        <v>0.38253979</v>
      </c>
      <c r="L81" s="20" t="n">
        <v>0.26363318</v>
      </c>
      <c r="M81" s="18" t="n">
        <v>0</v>
      </c>
      <c r="N81" s="20" t="n">
        <v>0</v>
      </c>
      <c r="O81" s="18" t="n">
        <v>0</v>
      </c>
      <c r="P81" s="20" t="n">
        <v>0</v>
      </c>
      <c r="Q81" s="18" t="n">
        <v>1.81391893</v>
      </c>
      <c r="R81" s="20" t="n">
        <v>0.81540918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656</v>
      </c>
    </row>
    <row customHeight="1" ht="30" r="4" spans="1:22">
      <c r="A4" s="6" t="n"/>
      <c r="B4" s="7" t="s">
        <v>551</v>
      </c>
      <c r="C4" s="7" t="s">
        <v>552</v>
      </c>
      <c r="D4" s="8" t="s">
        <v>551</v>
      </c>
      <c r="E4" s="9" t="s">
        <v>657</v>
      </c>
      <c r="F4" s="10" t="n"/>
      <c r="G4" s="9" t="s">
        <v>658</v>
      </c>
      <c r="H4" s="10" t="n"/>
      <c r="I4" s="9" t="s">
        <v>659</v>
      </c>
      <c r="J4" s="10" t="n"/>
      <c r="K4" s="9" t="s">
        <v>660</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row>
    <row r="6" spans="1:22">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566</v>
      </c>
      <c r="B7" s="17" t="n">
        <v>7367</v>
      </c>
      <c r="C7" s="18">
        <f>(6556.0/B7*100)</f>
        <v/>
      </c>
      <c r="D7" s="19" t="n">
        <v>811</v>
      </c>
      <c r="E7" s="18" t="n">
        <v>15.46125931</v>
      </c>
      <c r="F7" s="20" t="n">
        <v>1.38629748</v>
      </c>
      <c r="G7" s="18" t="n">
        <v>26.72831777</v>
      </c>
      <c r="H7" s="20" t="n">
        <v>2.11306022</v>
      </c>
      <c r="I7" s="18" t="n">
        <v>43.1880612</v>
      </c>
      <c r="J7" s="20" t="n">
        <v>2.06153537</v>
      </c>
      <c r="K7" s="18" t="n">
        <v>6.33945629</v>
      </c>
      <c r="L7" s="20" t="n">
        <v>1.08527781</v>
      </c>
      <c r="M7" s="18" t="s">
        <v>567</v>
      </c>
      <c r="N7" s="20" t="s">
        <v>567</v>
      </c>
      <c r="O7" s="18" t="n">
        <v>0.23977346</v>
      </c>
      <c r="P7" s="20" t="n">
        <v>0.18610878</v>
      </c>
      <c r="Q7" s="18" t="n">
        <v>0</v>
      </c>
      <c r="R7" s="20" t="n">
        <v>0</v>
      </c>
      <c r="S7" s="18" t="n">
        <v>0</v>
      </c>
      <c r="T7" s="20" t="n">
        <v>0</v>
      </c>
      <c r="U7" s="18" t="n">
        <v>8.043131969999999</v>
      </c>
      <c r="V7" s="20" t="n">
        <v>1.06721621</v>
      </c>
    </row>
    <row r="8" spans="1:22">
      <c r="A8" s="15" t="s">
        <v>568</v>
      </c>
      <c r="B8" s="17" t="n">
        <v>3564</v>
      </c>
      <c r="C8" s="18">
        <f>(3178.0/B8*100)</f>
        <v/>
      </c>
      <c r="D8" s="19" t="n">
        <v>386</v>
      </c>
      <c r="E8" s="18" t="n">
        <v>16.68757998</v>
      </c>
      <c r="F8" s="20" t="n">
        <v>1.9163295</v>
      </c>
      <c r="G8" s="18" t="n">
        <v>23.04381267</v>
      </c>
      <c r="H8" s="20" t="n">
        <v>1.98619617</v>
      </c>
      <c r="I8" s="18" t="n">
        <v>35.11225743</v>
      </c>
      <c r="J8" s="20" t="n">
        <v>3.0904985</v>
      </c>
      <c r="K8" s="18" t="n">
        <v>11.35008067</v>
      </c>
      <c r="L8" s="20" t="n">
        <v>1.5201864</v>
      </c>
      <c r="M8" s="18" t="s">
        <v>567</v>
      </c>
      <c r="N8" s="20" t="s">
        <v>567</v>
      </c>
      <c r="O8" s="18" t="n">
        <v>0</v>
      </c>
      <c r="P8" s="20" t="n">
        <v>0</v>
      </c>
      <c r="Q8" s="18" t="n">
        <v>0</v>
      </c>
      <c r="R8" s="20" t="n">
        <v>0</v>
      </c>
      <c r="S8" s="18" t="n">
        <v>0</v>
      </c>
      <c r="T8" s="20" t="n">
        <v>0</v>
      </c>
      <c r="U8" s="18" t="n">
        <v>13.80626925</v>
      </c>
      <c r="V8" s="20" t="n">
        <v>2.04025804</v>
      </c>
    </row>
    <row r="9" spans="1:22">
      <c r="A9" s="15" t="s">
        <v>569</v>
      </c>
      <c r="B9" s="17" t="n">
        <v>4899</v>
      </c>
      <c r="C9" s="18">
        <f>(4342.0/B9*100)</f>
        <v/>
      </c>
      <c r="D9" s="19" t="n">
        <v>557</v>
      </c>
      <c r="E9" s="18" t="n">
        <v>8.68771128</v>
      </c>
      <c r="F9" s="20" t="n">
        <v>1.26236499</v>
      </c>
      <c r="G9" s="18" t="n">
        <v>30.45225414</v>
      </c>
      <c r="H9" s="20" t="n">
        <v>2.04492033</v>
      </c>
      <c r="I9" s="18" t="n">
        <v>38.46373161</v>
      </c>
      <c r="J9" s="20" t="n">
        <v>2.11337941</v>
      </c>
      <c r="K9" s="18" t="n">
        <v>9.336361459999999</v>
      </c>
      <c r="L9" s="20" t="n">
        <v>1.32395359</v>
      </c>
      <c r="M9" s="18" t="s">
        <v>567</v>
      </c>
      <c r="N9" s="20" t="s">
        <v>567</v>
      </c>
      <c r="O9" s="18" t="n">
        <v>0</v>
      </c>
      <c r="P9" s="20" t="n">
        <v>0</v>
      </c>
      <c r="Q9" s="18" t="n">
        <v>0.35493969</v>
      </c>
      <c r="R9" s="20" t="n">
        <v>0.34673311</v>
      </c>
      <c r="S9" s="18" t="n">
        <v>0</v>
      </c>
      <c r="T9" s="20" t="n">
        <v>0</v>
      </c>
      <c r="U9" s="18" t="n">
        <v>12.70500182</v>
      </c>
      <c r="V9" s="20" t="n">
        <v>1.60355376</v>
      </c>
    </row>
    <row r="10" spans="1:22">
      <c r="A10" s="15" t="s">
        <v>570</v>
      </c>
      <c r="B10" s="17" t="n">
        <v>10036</v>
      </c>
      <c r="C10" s="18">
        <f>(8907.0/B10*100)</f>
        <v/>
      </c>
      <c r="D10" s="19" t="n">
        <v>1129</v>
      </c>
      <c r="E10" s="18" t="n">
        <v>14.13167965</v>
      </c>
      <c r="F10" s="20" t="n">
        <v>1.5518141</v>
      </c>
      <c r="G10" s="18" t="n">
        <v>27.3659549</v>
      </c>
      <c r="H10" s="20" t="n">
        <v>1.94597976</v>
      </c>
      <c r="I10" s="18" t="n">
        <v>49.55285703</v>
      </c>
      <c r="J10" s="20" t="n">
        <v>2.10900009</v>
      </c>
      <c r="K10" s="18" t="n">
        <v>5.28443603</v>
      </c>
      <c r="L10" s="20" t="n">
        <v>1.02496857</v>
      </c>
      <c r="M10" s="18" t="s">
        <v>567</v>
      </c>
      <c r="N10" s="20" t="s">
        <v>567</v>
      </c>
      <c r="O10" s="18" t="n">
        <v>0.27836938</v>
      </c>
      <c r="P10" s="20" t="n">
        <v>0.20174885</v>
      </c>
      <c r="Q10" s="18" t="n">
        <v>0</v>
      </c>
      <c r="R10" s="20" t="n">
        <v>0</v>
      </c>
      <c r="S10" s="18" t="n">
        <v>0</v>
      </c>
      <c r="T10" s="20" t="n">
        <v>0</v>
      </c>
      <c r="U10" s="18" t="n">
        <v>3.38670301</v>
      </c>
      <c r="V10" s="20" t="n">
        <v>0.73681768</v>
      </c>
    </row>
    <row r="11" spans="1:22">
      <c r="A11" s="15" t="s">
        <v>571</v>
      </c>
      <c r="B11" s="17" t="n">
        <v>3553</v>
      </c>
      <c r="C11" s="18">
        <f>(3158.0/B11*100)</f>
        <v/>
      </c>
      <c r="D11" s="19" t="n">
        <v>395</v>
      </c>
      <c r="E11" s="18" t="n">
        <v>13.7861994</v>
      </c>
      <c r="F11" s="20" t="n">
        <v>2.04424926</v>
      </c>
      <c r="G11" s="18" t="n">
        <v>37.52074071</v>
      </c>
      <c r="H11" s="20" t="n">
        <v>2.70960498</v>
      </c>
      <c r="I11" s="18" t="n">
        <v>26.41278735</v>
      </c>
      <c r="J11" s="20" t="n">
        <v>2.28480873</v>
      </c>
      <c r="K11" s="18" t="n">
        <v>7.20135891</v>
      </c>
      <c r="L11" s="20" t="n">
        <v>1.40714791</v>
      </c>
      <c r="M11" s="18" t="s">
        <v>567</v>
      </c>
      <c r="N11" s="20" t="s">
        <v>567</v>
      </c>
      <c r="O11" s="18" t="n">
        <v>0.7923619</v>
      </c>
      <c r="P11" s="20" t="n">
        <v>0.72802257</v>
      </c>
      <c r="Q11" s="18" t="n">
        <v>0.0355068</v>
      </c>
      <c r="R11" s="20" t="n">
        <v>0.03582723</v>
      </c>
      <c r="S11" s="18" t="n">
        <v>0</v>
      </c>
      <c r="T11" s="20" t="n">
        <v>0</v>
      </c>
      <c r="U11" s="18" t="n">
        <v>14.25104493</v>
      </c>
      <c r="V11" s="20" t="n">
        <v>1.9558578</v>
      </c>
    </row>
    <row r="12" spans="1:22">
      <c r="A12" s="15" t="s">
        <v>572</v>
      </c>
      <c r="B12" s="17" t="n">
        <v>3472</v>
      </c>
      <c r="C12" s="18">
        <f>(3081.0/B12*100)</f>
        <v/>
      </c>
      <c r="D12" s="19" t="n">
        <v>391</v>
      </c>
      <c r="E12" s="18" t="n">
        <v>21.07518241</v>
      </c>
      <c r="F12" s="20" t="n">
        <v>2.45413761</v>
      </c>
      <c r="G12" s="18" t="n">
        <v>21.62870386</v>
      </c>
      <c r="H12" s="20" t="n">
        <v>2.17031014</v>
      </c>
      <c r="I12" s="18" t="n">
        <v>27.14223508</v>
      </c>
      <c r="J12" s="20" t="n">
        <v>2.61456703</v>
      </c>
      <c r="K12" s="18" t="n">
        <v>14.19748802</v>
      </c>
      <c r="L12" s="20" t="n">
        <v>2.0235833</v>
      </c>
      <c r="M12" s="18" t="s">
        <v>567</v>
      </c>
      <c r="N12" s="20" t="s">
        <v>567</v>
      </c>
      <c r="O12" s="18" t="n">
        <v>0</v>
      </c>
      <c r="P12" s="20" t="n">
        <v>0</v>
      </c>
      <c r="Q12" s="18" t="n">
        <v>0</v>
      </c>
      <c r="R12" s="20" t="n">
        <v>0</v>
      </c>
      <c r="S12" s="18" t="n">
        <v>0</v>
      </c>
      <c r="T12" s="20" t="n">
        <v>0</v>
      </c>
      <c r="U12" s="18" t="n">
        <v>15.95639063</v>
      </c>
      <c r="V12" s="20" t="n">
        <v>2.15103364</v>
      </c>
    </row>
    <row r="13" spans="1:22">
      <c r="A13" s="15" t="s">
        <v>573</v>
      </c>
      <c r="B13" s="17" t="n">
        <v>3559</v>
      </c>
      <c r="C13" s="18">
        <f>(3229.0/B13*100)</f>
        <v/>
      </c>
      <c r="D13" s="19" t="n">
        <v>330</v>
      </c>
      <c r="E13" s="18" t="n">
        <v>3.61734591</v>
      </c>
      <c r="F13" s="20" t="n">
        <v>0.99053675</v>
      </c>
      <c r="G13" s="18" t="n">
        <v>47.43452403</v>
      </c>
      <c r="H13" s="20" t="n">
        <v>3.87994008</v>
      </c>
      <c r="I13" s="18" t="n">
        <v>23.86408894</v>
      </c>
      <c r="J13" s="20" t="n">
        <v>2.88076563</v>
      </c>
      <c r="K13" s="18" t="n">
        <v>12.21815469</v>
      </c>
      <c r="L13" s="20" t="n">
        <v>2.24696472</v>
      </c>
      <c r="M13" s="18" t="s">
        <v>567</v>
      </c>
      <c r="N13" s="20" t="s">
        <v>567</v>
      </c>
      <c r="O13" s="18" t="n">
        <v>0.88365961</v>
      </c>
      <c r="P13" s="20" t="n">
        <v>0.7680330399999999</v>
      </c>
      <c r="Q13" s="18" t="n">
        <v>0</v>
      </c>
      <c r="R13" s="20" t="n">
        <v>0</v>
      </c>
      <c r="S13" s="18" t="n">
        <v>0</v>
      </c>
      <c r="T13" s="20" t="n">
        <v>0</v>
      </c>
      <c r="U13" s="18" t="n">
        <v>11.98222682</v>
      </c>
      <c r="V13" s="20" t="n">
        <v>1.9812114</v>
      </c>
    </row>
    <row r="14" spans="1:22">
      <c r="A14" s="15" t="s">
        <v>574</v>
      </c>
      <c r="B14" s="17" t="n">
        <v>2799</v>
      </c>
      <c r="C14" s="18">
        <f>(2464.0/B14*100)</f>
        <v/>
      </c>
      <c r="D14" s="19" t="n">
        <v>335</v>
      </c>
      <c r="E14" s="18" t="n">
        <v>18.56507528</v>
      </c>
      <c r="F14" s="20" t="n">
        <v>2.37345054</v>
      </c>
      <c r="G14" s="18" t="n">
        <v>32.63204281</v>
      </c>
      <c r="H14" s="20" t="n">
        <v>2.93903303</v>
      </c>
      <c r="I14" s="18" t="n">
        <v>22.97107787</v>
      </c>
      <c r="J14" s="20" t="n">
        <v>2.67490374</v>
      </c>
      <c r="K14" s="18" t="n">
        <v>16.62295486</v>
      </c>
      <c r="L14" s="20" t="n">
        <v>2.11181529</v>
      </c>
      <c r="M14" s="18" t="s">
        <v>567</v>
      </c>
      <c r="N14" s="20" t="s">
        <v>567</v>
      </c>
      <c r="O14" s="18" t="n">
        <v>0.28134752</v>
      </c>
      <c r="P14" s="20" t="n">
        <v>0.28443054</v>
      </c>
      <c r="Q14" s="18" t="n">
        <v>0</v>
      </c>
      <c r="R14" s="20" t="n">
        <v>0</v>
      </c>
      <c r="S14" s="18" t="n">
        <v>0</v>
      </c>
      <c r="T14" s="20" t="n">
        <v>0</v>
      </c>
      <c r="U14" s="18" t="n">
        <v>8.927501660000001</v>
      </c>
      <c r="V14" s="20" t="n">
        <v>1.62012937</v>
      </c>
    </row>
    <row r="15" spans="1:22">
      <c r="A15" s="15" t="s">
        <v>575</v>
      </c>
      <c r="B15" s="17" t="n">
        <v>3019</v>
      </c>
      <c r="C15" s="18">
        <f>(2687.0/B15*100)</f>
        <v/>
      </c>
      <c r="D15" s="19" t="n">
        <v>332</v>
      </c>
      <c r="E15" s="18" t="n">
        <v>18.85818598</v>
      </c>
      <c r="F15" s="20" t="n">
        <v>1.8018664</v>
      </c>
      <c r="G15" s="18" t="n">
        <v>20.05979312</v>
      </c>
      <c r="H15" s="20" t="n">
        <v>2.51199139</v>
      </c>
      <c r="I15" s="18" t="n">
        <v>33.615488</v>
      </c>
      <c r="J15" s="20" t="n">
        <v>2.91528732</v>
      </c>
      <c r="K15" s="18" t="n">
        <v>14.98665615</v>
      </c>
      <c r="L15" s="20" t="n">
        <v>1.9988075</v>
      </c>
      <c r="M15" s="18" t="s">
        <v>567</v>
      </c>
      <c r="N15" s="20" t="s">
        <v>567</v>
      </c>
      <c r="O15" s="18" t="n">
        <v>0</v>
      </c>
      <c r="P15" s="20" t="n">
        <v>0</v>
      </c>
      <c r="Q15" s="18" t="n">
        <v>0</v>
      </c>
      <c r="R15" s="20" t="n">
        <v>0</v>
      </c>
      <c r="S15" s="18" t="n">
        <v>0</v>
      </c>
      <c r="T15" s="20" t="n">
        <v>0</v>
      </c>
      <c r="U15" s="18" t="n">
        <v>12.47987676</v>
      </c>
      <c r="V15" s="20" t="n">
        <v>2.105399</v>
      </c>
    </row>
    <row r="16" spans="1:22">
      <c r="A16" s="15" t="s">
        <v>576</v>
      </c>
      <c r="B16" s="17" t="n">
        <v>2997</v>
      </c>
      <c r="C16" s="18">
        <f>(2652.0/B16*100)</f>
        <v/>
      </c>
      <c r="D16" s="19" t="n">
        <v>345</v>
      </c>
      <c r="E16" s="18" t="n">
        <v>9.93240758</v>
      </c>
      <c r="F16" s="20" t="n">
        <v>1.53445133</v>
      </c>
      <c r="G16" s="18" t="n">
        <v>32.08633769</v>
      </c>
      <c r="H16" s="20" t="n">
        <v>2.55310905</v>
      </c>
      <c r="I16" s="18" t="n">
        <v>30.46319278</v>
      </c>
      <c r="J16" s="20" t="n">
        <v>2.47622145</v>
      </c>
      <c r="K16" s="18" t="n">
        <v>9.56552694</v>
      </c>
      <c r="L16" s="20" t="n">
        <v>1.57500151</v>
      </c>
      <c r="M16" s="18" t="s">
        <v>567</v>
      </c>
      <c r="N16" s="20" t="s">
        <v>567</v>
      </c>
      <c r="O16" s="18" t="n">
        <v>0.27040923</v>
      </c>
      <c r="P16" s="20" t="n">
        <v>0.28252339</v>
      </c>
      <c r="Q16" s="18" t="n">
        <v>0</v>
      </c>
      <c r="R16" s="20" t="n">
        <v>0</v>
      </c>
      <c r="S16" s="18" t="n">
        <v>0</v>
      </c>
      <c r="T16" s="20" t="n">
        <v>0</v>
      </c>
      <c r="U16" s="18" t="n">
        <v>17.68212578</v>
      </c>
      <c r="V16" s="20" t="n">
        <v>2.07282532</v>
      </c>
    </row>
    <row r="17" spans="1:22">
      <c r="A17" s="15" t="s">
        <v>577</v>
      </c>
      <c r="B17" s="17" t="n">
        <v>3307</v>
      </c>
      <c r="C17" s="18">
        <f>(2966.0/B17*100)</f>
        <v/>
      </c>
      <c r="D17" s="19" t="n">
        <v>341</v>
      </c>
      <c r="E17" s="18" t="n">
        <v>12.20381152</v>
      </c>
      <c r="F17" s="20" t="n">
        <v>1.78259654</v>
      </c>
      <c r="G17" s="18" t="n">
        <v>28.89246596</v>
      </c>
      <c r="H17" s="20" t="n">
        <v>2.41520796</v>
      </c>
      <c r="I17" s="18" t="n">
        <v>42.99542148</v>
      </c>
      <c r="J17" s="20" t="n">
        <v>2.64786852</v>
      </c>
      <c r="K17" s="18" t="n">
        <v>6.93173802</v>
      </c>
      <c r="L17" s="20" t="n">
        <v>2.09218284</v>
      </c>
      <c r="M17" s="18" t="s">
        <v>567</v>
      </c>
      <c r="N17" s="20" t="s">
        <v>567</v>
      </c>
      <c r="O17" s="18" t="n">
        <v>0</v>
      </c>
      <c r="P17" s="20" t="n">
        <v>0</v>
      </c>
      <c r="Q17" s="18" t="n">
        <v>0</v>
      </c>
      <c r="R17" s="20" t="n">
        <v>0</v>
      </c>
      <c r="S17" s="18" t="n">
        <v>0</v>
      </c>
      <c r="T17" s="20" t="n">
        <v>0</v>
      </c>
      <c r="U17" s="18" t="n">
        <v>8.976563029999999</v>
      </c>
      <c r="V17" s="20" t="n">
        <v>1.35555683</v>
      </c>
    </row>
    <row r="18" spans="1:22">
      <c r="A18" s="15" t="s">
        <v>578</v>
      </c>
      <c r="B18" s="17" t="n">
        <v>2826</v>
      </c>
      <c r="C18" s="18">
        <f>(2498.0/B18*100)</f>
        <v/>
      </c>
      <c r="D18" s="19" t="n">
        <v>328</v>
      </c>
      <c r="E18" s="18" t="n">
        <v>23.42274718</v>
      </c>
      <c r="F18" s="20" t="n">
        <v>2.16670843</v>
      </c>
      <c r="G18" s="18" t="n">
        <v>33.45684901</v>
      </c>
      <c r="H18" s="20" t="n">
        <v>3.17202481</v>
      </c>
      <c r="I18" s="18" t="n">
        <v>16.33180599</v>
      </c>
      <c r="J18" s="20" t="n">
        <v>2.0107638</v>
      </c>
      <c r="K18" s="18" t="n">
        <v>14.06643437</v>
      </c>
      <c r="L18" s="20" t="n">
        <v>1.92121886</v>
      </c>
      <c r="M18" s="18" t="s">
        <v>567</v>
      </c>
      <c r="N18" s="20" t="s">
        <v>567</v>
      </c>
      <c r="O18" s="18" t="n">
        <v>0.16720459</v>
      </c>
      <c r="P18" s="20" t="n">
        <v>0.17187272</v>
      </c>
      <c r="Q18" s="18" t="n">
        <v>0</v>
      </c>
      <c r="R18" s="20" t="n">
        <v>0</v>
      </c>
      <c r="S18" s="18" t="n">
        <v>0</v>
      </c>
      <c r="T18" s="20" t="n">
        <v>0</v>
      </c>
      <c r="U18" s="18" t="n">
        <v>12.55495885</v>
      </c>
      <c r="V18" s="20" t="n">
        <v>2.29999942</v>
      </c>
    </row>
    <row r="19" spans="1:22">
      <c r="A19" s="15" t="s">
        <v>579</v>
      </c>
      <c r="B19" s="17" t="n">
        <v>2808</v>
      </c>
      <c r="C19" s="18">
        <f>(2497.0/B19*100)</f>
        <v/>
      </c>
      <c r="D19" s="19" t="n">
        <v>311</v>
      </c>
      <c r="E19" s="18" t="n">
        <v>21.72219633</v>
      </c>
      <c r="F19" s="20" t="n">
        <v>2.38318795</v>
      </c>
      <c r="G19" s="18" t="n">
        <v>33.81007068</v>
      </c>
      <c r="H19" s="20" t="n">
        <v>3.05324475</v>
      </c>
      <c r="I19" s="18" t="n">
        <v>22.60456644</v>
      </c>
      <c r="J19" s="20" t="n">
        <v>2.33642995</v>
      </c>
      <c r="K19" s="18" t="n">
        <v>10.10424654</v>
      </c>
      <c r="L19" s="20" t="n">
        <v>1.70667201</v>
      </c>
      <c r="M19" s="18" t="s">
        <v>567</v>
      </c>
      <c r="N19" s="20" t="s">
        <v>567</v>
      </c>
      <c r="O19" s="18" t="n">
        <v>0</v>
      </c>
      <c r="P19" s="20" t="n">
        <v>0</v>
      </c>
      <c r="Q19" s="18" t="n">
        <v>0.27367582</v>
      </c>
      <c r="R19" s="20" t="n">
        <v>0.27001121</v>
      </c>
      <c r="S19" s="18" t="n">
        <v>0</v>
      </c>
      <c r="T19" s="20" t="n">
        <v>0</v>
      </c>
      <c r="U19" s="18" t="n">
        <v>11.48524419</v>
      </c>
      <c r="V19" s="20" t="n">
        <v>2.23373928</v>
      </c>
    </row>
    <row r="20" spans="1:22">
      <c r="A20" s="15" t="s">
        <v>580</v>
      </c>
      <c r="B20" s="17" t="n">
        <v>1630</v>
      </c>
      <c r="C20" s="18">
        <f>(1460.0/B20*100)</f>
        <v/>
      </c>
      <c r="D20" s="19" t="n">
        <v>170</v>
      </c>
      <c r="E20" s="18" t="n">
        <v>20.69989573</v>
      </c>
      <c r="F20" s="20" t="n">
        <v>3.46971575</v>
      </c>
      <c r="G20" s="18" t="n">
        <v>26.46358062</v>
      </c>
      <c r="H20" s="20" t="n">
        <v>3.37133011</v>
      </c>
      <c r="I20" s="18" t="n">
        <v>35.56792648</v>
      </c>
      <c r="J20" s="20" t="n">
        <v>3.83796896</v>
      </c>
      <c r="K20" s="18" t="n">
        <v>3.01457861</v>
      </c>
      <c r="L20" s="20" t="n">
        <v>1.61294602</v>
      </c>
      <c r="M20" s="18" t="s">
        <v>567</v>
      </c>
      <c r="N20" s="20" t="s">
        <v>567</v>
      </c>
      <c r="O20" s="18" t="n">
        <v>0</v>
      </c>
      <c r="P20" s="20" t="n">
        <v>0</v>
      </c>
      <c r="Q20" s="18" t="n">
        <v>0.89639331</v>
      </c>
      <c r="R20" s="20" t="n">
        <v>1.27778737</v>
      </c>
      <c r="S20" s="18" t="n">
        <v>0</v>
      </c>
      <c r="T20" s="20" t="n">
        <v>0</v>
      </c>
      <c r="U20" s="18" t="n">
        <v>13.35762524</v>
      </c>
      <c r="V20" s="20" t="n">
        <v>2.57201137</v>
      </c>
    </row>
    <row r="21" spans="1:22">
      <c r="A21" s="15" t="s">
        <v>581</v>
      </c>
      <c r="B21" s="17" t="n">
        <v>2908</v>
      </c>
      <c r="C21" s="18">
        <f>(2576.0/B21*100)</f>
        <v/>
      </c>
      <c r="D21" s="19" t="n">
        <v>332</v>
      </c>
      <c r="E21" s="18" t="n">
        <v>15.46624079</v>
      </c>
      <c r="F21" s="20" t="n">
        <v>2.02001076</v>
      </c>
      <c r="G21" s="18" t="n">
        <v>11.99898891</v>
      </c>
      <c r="H21" s="20" t="n">
        <v>2.10417551</v>
      </c>
      <c r="I21" s="18" t="n">
        <v>60.42049801</v>
      </c>
      <c r="J21" s="20" t="n">
        <v>2.56952705</v>
      </c>
      <c r="K21" s="18" t="n">
        <v>4.76454984</v>
      </c>
      <c r="L21" s="20" t="n">
        <v>1.13624956</v>
      </c>
      <c r="M21" s="18" t="s">
        <v>567</v>
      </c>
      <c r="N21" s="20" t="s">
        <v>567</v>
      </c>
      <c r="O21" s="18" t="n">
        <v>0</v>
      </c>
      <c r="P21" s="20" t="n">
        <v>0</v>
      </c>
      <c r="Q21" s="18" t="n">
        <v>0</v>
      </c>
      <c r="R21" s="20" t="n">
        <v>0</v>
      </c>
      <c r="S21" s="18" t="n">
        <v>0</v>
      </c>
      <c r="T21" s="20" t="n">
        <v>0</v>
      </c>
      <c r="U21" s="18" t="n">
        <v>7.34972245</v>
      </c>
      <c r="V21" s="20" t="n">
        <v>1.34958734</v>
      </c>
    </row>
    <row r="22" spans="1:22">
      <c r="A22" s="15" t="s">
        <v>582</v>
      </c>
      <c r="B22" s="17" t="n">
        <v>2931</v>
      </c>
      <c r="C22" s="18">
        <f>(2599.0/B22*100)</f>
        <v/>
      </c>
      <c r="D22" s="19" t="n">
        <v>332</v>
      </c>
      <c r="E22" s="18" t="n">
        <v>10.61129174</v>
      </c>
      <c r="F22" s="20" t="n">
        <v>1.70251523</v>
      </c>
      <c r="G22" s="18" t="n">
        <v>36.91982885</v>
      </c>
      <c r="H22" s="20" t="n">
        <v>2.89415766</v>
      </c>
      <c r="I22" s="18" t="n">
        <v>28.05131565</v>
      </c>
      <c r="J22" s="20" t="n">
        <v>2.50581865</v>
      </c>
      <c r="K22" s="18" t="n">
        <v>8.00015466</v>
      </c>
      <c r="L22" s="20" t="n">
        <v>1.20145503</v>
      </c>
      <c r="M22" s="18" t="s">
        <v>567</v>
      </c>
      <c r="N22" s="20" t="s">
        <v>567</v>
      </c>
      <c r="O22" s="18" t="n">
        <v>1.1258328</v>
      </c>
      <c r="P22" s="20" t="n">
        <v>0.6765423699999999</v>
      </c>
      <c r="Q22" s="18" t="n">
        <v>0</v>
      </c>
      <c r="R22" s="20" t="n">
        <v>0</v>
      </c>
      <c r="S22" s="18" t="n">
        <v>0</v>
      </c>
      <c r="T22" s="20" t="n">
        <v>0</v>
      </c>
      <c r="U22" s="18" t="n">
        <v>15.2915763</v>
      </c>
      <c r="V22" s="20" t="n">
        <v>1.81819137</v>
      </c>
    </row>
    <row r="23" spans="1:22">
      <c r="A23" s="15" t="s">
        <v>583</v>
      </c>
      <c r="B23" s="17" t="n">
        <v>5791</v>
      </c>
      <c r="C23" s="18">
        <f>(5151.0/B23*100)</f>
        <v/>
      </c>
      <c r="D23" s="19" t="n">
        <v>640</v>
      </c>
      <c r="E23" s="18" t="n">
        <v>19.89803106</v>
      </c>
      <c r="F23" s="20" t="n">
        <v>2.28368988</v>
      </c>
      <c r="G23" s="18" t="n">
        <v>21.48848932</v>
      </c>
      <c r="H23" s="20" t="n">
        <v>2.35410268</v>
      </c>
      <c r="I23" s="18" t="n">
        <v>20.65244116</v>
      </c>
      <c r="J23" s="20" t="n">
        <v>2.28395625</v>
      </c>
      <c r="K23" s="18" t="n">
        <v>20.46722189</v>
      </c>
      <c r="L23" s="20" t="n">
        <v>2.42588379</v>
      </c>
      <c r="M23" s="18" t="s">
        <v>567</v>
      </c>
      <c r="N23" s="20" t="s">
        <v>567</v>
      </c>
      <c r="O23" s="18" t="n">
        <v>0</v>
      </c>
      <c r="P23" s="20" t="n">
        <v>0</v>
      </c>
      <c r="Q23" s="18" t="n">
        <v>0.19864557</v>
      </c>
      <c r="R23" s="20" t="n">
        <v>0.21185167</v>
      </c>
      <c r="S23" s="18" t="n">
        <v>0</v>
      </c>
      <c r="T23" s="20" t="n">
        <v>0</v>
      </c>
      <c r="U23" s="18" t="n">
        <v>17.295171</v>
      </c>
      <c r="V23" s="20" t="n">
        <v>2.22158264</v>
      </c>
    </row>
    <row r="24" spans="1:22">
      <c r="A24" s="15" t="s">
        <v>584</v>
      </c>
      <c r="B24" s="17" t="n">
        <v>3338</v>
      </c>
      <c r="C24" s="18">
        <f>(2972.0/B24*100)</f>
        <v/>
      </c>
      <c r="D24" s="19" t="n">
        <v>366</v>
      </c>
      <c r="E24" s="18" t="n">
        <v>4.31009728</v>
      </c>
      <c r="F24" s="20" t="n">
        <v>1.02023634</v>
      </c>
      <c r="G24" s="18" t="n">
        <v>9.07816474</v>
      </c>
      <c r="H24" s="20" t="n">
        <v>1.54076873</v>
      </c>
      <c r="I24" s="18" t="n">
        <v>47.80969394</v>
      </c>
      <c r="J24" s="20" t="n">
        <v>2.96236796</v>
      </c>
      <c r="K24" s="18" t="n">
        <v>35.63144999</v>
      </c>
      <c r="L24" s="20" t="n">
        <v>3.05499143</v>
      </c>
      <c r="M24" s="18" t="s">
        <v>567</v>
      </c>
      <c r="N24" s="20" t="s">
        <v>567</v>
      </c>
      <c r="O24" s="18" t="n">
        <v>0</v>
      </c>
      <c r="P24" s="20" t="n">
        <v>0</v>
      </c>
      <c r="Q24" s="18" t="n">
        <v>0</v>
      </c>
      <c r="R24" s="20" t="n">
        <v>0</v>
      </c>
      <c r="S24" s="18" t="n">
        <v>0</v>
      </c>
      <c r="T24" s="20" t="n">
        <v>0</v>
      </c>
      <c r="U24" s="18" t="n">
        <v>3.17059406</v>
      </c>
      <c r="V24" s="20" t="n">
        <v>0.89526253</v>
      </c>
    </row>
    <row r="25" spans="1:22">
      <c r="A25" s="15" t="s">
        <v>585</v>
      </c>
      <c r="B25" s="17" t="n">
        <v>2912</v>
      </c>
      <c r="C25" s="18">
        <f>(2606.0/B25*100)</f>
        <v/>
      </c>
      <c r="D25" s="19" t="n">
        <v>306</v>
      </c>
      <c r="E25" s="18" t="n">
        <v>9.32914278</v>
      </c>
      <c r="F25" s="20" t="n">
        <v>1.5812347</v>
      </c>
      <c r="G25" s="18" t="n">
        <v>30.64663353</v>
      </c>
      <c r="H25" s="20" t="n">
        <v>2.9826446</v>
      </c>
      <c r="I25" s="18" t="n">
        <v>45.01413297</v>
      </c>
      <c r="J25" s="20" t="n">
        <v>3.18497553</v>
      </c>
      <c r="K25" s="18" t="n">
        <v>5.86586311</v>
      </c>
      <c r="L25" s="20" t="n">
        <v>1.35353825</v>
      </c>
      <c r="M25" s="18" t="s">
        <v>567</v>
      </c>
      <c r="N25" s="20" t="s">
        <v>567</v>
      </c>
      <c r="O25" s="18" t="n">
        <v>0</v>
      </c>
      <c r="P25" s="20" t="n">
        <v>0</v>
      </c>
      <c r="Q25" s="18" t="n">
        <v>0</v>
      </c>
      <c r="R25" s="20" t="n">
        <v>0</v>
      </c>
      <c r="S25" s="18" t="n">
        <v>0</v>
      </c>
      <c r="T25" s="20" t="n">
        <v>0</v>
      </c>
      <c r="U25" s="18" t="n">
        <v>9.144227620000001</v>
      </c>
      <c r="V25" s="20" t="n">
        <v>1.62917447</v>
      </c>
    </row>
    <row r="26" spans="1:22">
      <c r="A26" s="15" t="s">
        <v>586</v>
      </c>
      <c r="B26" s="17" t="n">
        <v>2450</v>
      </c>
      <c r="C26" s="18">
        <f>(2177.0/B26*100)</f>
        <v/>
      </c>
      <c r="D26" s="19" t="n">
        <v>273</v>
      </c>
      <c r="E26" s="18" t="n">
        <v>12.66779155</v>
      </c>
      <c r="F26" s="20" t="n">
        <v>2.14348922</v>
      </c>
      <c r="G26" s="18" t="n">
        <v>41.41825637</v>
      </c>
      <c r="H26" s="20" t="n">
        <v>3.0834055</v>
      </c>
      <c r="I26" s="18" t="n">
        <v>21.59868756</v>
      </c>
      <c r="J26" s="20" t="n">
        <v>2.27332917</v>
      </c>
      <c r="K26" s="18" t="n">
        <v>13.13000764</v>
      </c>
      <c r="L26" s="20" t="n">
        <v>1.99661446</v>
      </c>
      <c r="M26" s="18" t="s">
        <v>567</v>
      </c>
      <c r="N26" s="20" t="s">
        <v>567</v>
      </c>
      <c r="O26" s="18" t="n">
        <v>0</v>
      </c>
      <c r="P26" s="20" t="n">
        <v>0</v>
      </c>
      <c r="Q26" s="18" t="n">
        <v>0</v>
      </c>
      <c r="R26" s="20" t="n">
        <v>0</v>
      </c>
      <c r="S26" s="18" t="n">
        <v>0</v>
      </c>
      <c r="T26" s="20" t="n">
        <v>0</v>
      </c>
      <c r="U26" s="18" t="n">
        <v>11.18525688</v>
      </c>
      <c r="V26" s="20" t="n">
        <v>1.93321544</v>
      </c>
    </row>
    <row r="27" spans="1:22">
      <c r="A27" s="15" t="s">
        <v>587</v>
      </c>
      <c r="B27" s="17" t="n">
        <v>2616</v>
      </c>
      <c r="C27" s="18">
        <f>(2317.0/B27*100)</f>
        <v/>
      </c>
      <c r="D27" s="19" t="n">
        <v>299</v>
      </c>
      <c r="E27" s="18" t="n">
        <v>10.43451732</v>
      </c>
      <c r="F27" s="20" t="n">
        <v>1.7762484</v>
      </c>
      <c r="G27" s="18" t="n">
        <v>34.69308307</v>
      </c>
      <c r="H27" s="20" t="n">
        <v>3.08323222</v>
      </c>
      <c r="I27" s="18" t="n">
        <v>26.010206</v>
      </c>
      <c r="J27" s="20" t="n">
        <v>2.58798947</v>
      </c>
      <c r="K27" s="18" t="n">
        <v>10.29882337</v>
      </c>
      <c r="L27" s="20" t="n">
        <v>1.74011665</v>
      </c>
      <c r="M27" s="18" t="s">
        <v>567</v>
      </c>
      <c r="N27" s="20" t="s">
        <v>567</v>
      </c>
      <c r="O27" s="18" t="n">
        <v>0.35255678</v>
      </c>
      <c r="P27" s="20" t="n">
        <v>0.35624811</v>
      </c>
      <c r="Q27" s="18" t="n">
        <v>0</v>
      </c>
      <c r="R27" s="20" t="n">
        <v>0</v>
      </c>
      <c r="S27" s="18" t="n">
        <v>0</v>
      </c>
      <c r="T27" s="20" t="n">
        <v>0</v>
      </c>
      <c r="U27" s="18" t="n">
        <v>18.21081347</v>
      </c>
      <c r="V27" s="20" t="n">
        <v>2.40304785</v>
      </c>
    </row>
    <row r="28" spans="1:22">
      <c r="A28" s="15" t="s">
        <v>588</v>
      </c>
      <c r="B28" s="17" t="n">
        <v>3765</v>
      </c>
      <c r="C28" s="18">
        <f>(3371.0/B28*100)</f>
        <v/>
      </c>
      <c r="D28" s="19" t="n">
        <v>394</v>
      </c>
      <c r="E28" s="18" t="n">
        <v>11.34257096</v>
      </c>
      <c r="F28" s="20" t="n">
        <v>1.73599522</v>
      </c>
      <c r="G28" s="18" t="n">
        <v>69.14894715</v>
      </c>
      <c r="H28" s="20" t="n">
        <v>2.54619083</v>
      </c>
      <c r="I28" s="18" t="n">
        <v>11.82165749</v>
      </c>
      <c r="J28" s="20" t="n">
        <v>1.7317587</v>
      </c>
      <c r="K28" s="18" t="n">
        <v>1.0015631</v>
      </c>
      <c r="L28" s="20" t="n">
        <v>0.41700635</v>
      </c>
      <c r="M28" s="18" t="s">
        <v>567</v>
      </c>
      <c r="N28" s="20" t="s">
        <v>567</v>
      </c>
      <c r="O28" s="18" t="n">
        <v>0</v>
      </c>
      <c r="P28" s="20" t="n">
        <v>0</v>
      </c>
      <c r="Q28" s="18" t="n">
        <v>0</v>
      </c>
      <c r="R28" s="20" t="n">
        <v>0</v>
      </c>
      <c r="S28" s="18" t="n">
        <v>0</v>
      </c>
      <c r="T28" s="20" t="n">
        <v>0</v>
      </c>
      <c r="U28" s="18" t="n">
        <v>6.68526131</v>
      </c>
      <c r="V28" s="20" t="n">
        <v>1.43565919</v>
      </c>
    </row>
    <row r="29" spans="1:22">
      <c r="A29" s="15" t="s">
        <v>589</v>
      </c>
      <c r="B29" s="17" t="n">
        <v>2685</v>
      </c>
      <c r="C29" s="18">
        <f>(2404.0/B29*100)</f>
        <v/>
      </c>
      <c r="D29" s="19" t="n">
        <v>281</v>
      </c>
      <c r="E29" s="18" t="n">
        <v>15.83725022</v>
      </c>
      <c r="F29" s="20" t="n">
        <v>2.2252524</v>
      </c>
      <c r="G29" s="18" t="n">
        <v>38.58219515</v>
      </c>
      <c r="H29" s="20" t="n">
        <v>3.11596114</v>
      </c>
      <c r="I29" s="18" t="n">
        <v>34.21185374</v>
      </c>
      <c r="J29" s="20" t="n">
        <v>3.13484246</v>
      </c>
      <c r="K29" s="18" t="n">
        <v>4.60474504</v>
      </c>
      <c r="L29" s="20" t="n">
        <v>1.3213984</v>
      </c>
      <c r="M29" s="18" t="s">
        <v>567</v>
      </c>
      <c r="N29" s="20" t="s">
        <v>567</v>
      </c>
      <c r="O29" s="18" t="n">
        <v>0.36807508</v>
      </c>
      <c r="P29" s="20" t="n">
        <v>0.36480756</v>
      </c>
      <c r="Q29" s="18" t="n">
        <v>0</v>
      </c>
      <c r="R29" s="20" t="n">
        <v>0</v>
      </c>
      <c r="S29" s="18" t="n">
        <v>0</v>
      </c>
      <c r="T29" s="20" t="n">
        <v>0</v>
      </c>
      <c r="U29" s="18" t="n">
        <v>6.39588077</v>
      </c>
      <c r="V29" s="20" t="n">
        <v>1.45026258</v>
      </c>
    </row>
    <row r="30" spans="1:22">
      <c r="A30" s="15" t="s">
        <v>590</v>
      </c>
      <c r="B30" s="17" t="n">
        <v>2263</v>
      </c>
      <c r="C30" s="18">
        <f>(1998.0/B30*100)</f>
        <v/>
      </c>
      <c r="D30" s="19" t="n">
        <v>265</v>
      </c>
      <c r="E30" s="18" t="n">
        <v>12.44022543</v>
      </c>
      <c r="F30" s="20" t="n">
        <v>2.11804473</v>
      </c>
      <c r="G30" s="18" t="n">
        <v>21.52406774</v>
      </c>
      <c r="H30" s="20" t="n">
        <v>2.92230043</v>
      </c>
      <c r="I30" s="18" t="n">
        <v>46.47417884</v>
      </c>
      <c r="J30" s="20" t="n">
        <v>3.58862156</v>
      </c>
      <c r="K30" s="18" t="n">
        <v>7.42397096</v>
      </c>
      <c r="L30" s="20" t="n">
        <v>1.91160683</v>
      </c>
      <c r="M30" s="18" t="s">
        <v>567</v>
      </c>
      <c r="N30" s="20" t="s">
        <v>567</v>
      </c>
      <c r="O30" s="18" t="n">
        <v>0</v>
      </c>
      <c r="P30" s="20" t="n">
        <v>0</v>
      </c>
      <c r="Q30" s="18" t="n">
        <v>0</v>
      </c>
      <c r="R30" s="20" t="n">
        <v>0</v>
      </c>
      <c r="S30" s="18" t="n">
        <v>0</v>
      </c>
      <c r="T30" s="20" t="n">
        <v>0</v>
      </c>
      <c r="U30" s="18" t="n">
        <v>12.13755703</v>
      </c>
      <c r="V30" s="20" t="n">
        <v>2.05295972</v>
      </c>
    </row>
    <row r="31" spans="1:22">
      <c r="A31" s="15" t="s">
        <v>591</v>
      </c>
      <c r="B31" s="17" t="n">
        <v>2750</v>
      </c>
      <c r="C31" s="18">
        <f>(2450.0/B31*100)</f>
        <v/>
      </c>
      <c r="D31" s="19" t="n">
        <v>300</v>
      </c>
      <c r="E31" s="18" t="n">
        <v>9.30457373</v>
      </c>
      <c r="F31" s="20" t="n">
        <v>1.60473511</v>
      </c>
      <c r="G31" s="18" t="n">
        <v>29.91865375</v>
      </c>
      <c r="H31" s="20" t="n">
        <v>2.76145486</v>
      </c>
      <c r="I31" s="18" t="n">
        <v>42.02227561</v>
      </c>
      <c r="J31" s="20" t="n">
        <v>2.90656974</v>
      </c>
      <c r="K31" s="18" t="n">
        <v>3.94345408</v>
      </c>
      <c r="L31" s="20" t="n">
        <v>1.25258573</v>
      </c>
      <c r="M31" s="18" t="s">
        <v>567</v>
      </c>
      <c r="N31" s="20" t="s">
        <v>567</v>
      </c>
      <c r="O31" s="18" t="n">
        <v>0.28073077</v>
      </c>
      <c r="P31" s="20" t="n">
        <v>0.28263943</v>
      </c>
      <c r="Q31" s="18" t="n">
        <v>0</v>
      </c>
      <c r="R31" s="20" t="n">
        <v>0</v>
      </c>
      <c r="S31" s="18" t="n">
        <v>0</v>
      </c>
      <c r="T31" s="20" t="n">
        <v>0</v>
      </c>
      <c r="U31" s="18" t="n">
        <v>14.53031206</v>
      </c>
      <c r="V31" s="20" t="n">
        <v>1.90047287</v>
      </c>
    </row>
    <row r="32" spans="1:22">
      <c r="A32" s="15" t="s">
        <v>592</v>
      </c>
      <c r="B32" s="17" t="n">
        <v>2269</v>
      </c>
      <c r="C32" s="18">
        <f>(2022.0/B32*100)</f>
        <v/>
      </c>
      <c r="D32" s="19" t="n">
        <v>247</v>
      </c>
      <c r="E32" s="18" t="n">
        <v>17.57754966</v>
      </c>
      <c r="F32" s="20" t="n">
        <v>2.44957069</v>
      </c>
      <c r="G32" s="18" t="n">
        <v>21.26354909</v>
      </c>
      <c r="H32" s="20" t="n">
        <v>2.39559856</v>
      </c>
      <c r="I32" s="18" t="n">
        <v>44.75297998</v>
      </c>
      <c r="J32" s="20" t="n">
        <v>3.20874565</v>
      </c>
      <c r="K32" s="18" t="n">
        <v>2.74173969</v>
      </c>
      <c r="L32" s="20" t="n">
        <v>0.96998263</v>
      </c>
      <c r="M32" s="18" t="s">
        <v>567</v>
      </c>
      <c r="N32" s="20" t="s">
        <v>567</v>
      </c>
      <c r="O32" s="18" t="n">
        <v>0.35989879</v>
      </c>
      <c r="P32" s="20" t="n">
        <v>0.35159989</v>
      </c>
      <c r="Q32" s="18" t="n">
        <v>0</v>
      </c>
      <c r="R32" s="20" t="n">
        <v>0</v>
      </c>
      <c r="S32" s="18" t="n">
        <v>0</v>
      </c>
      <c r="T32" s="20" t="n">
        <v>0</v>
      </c>
      <c r="U32" s="18" t="n">
        <v>13.30428279</v>
      </c>
      <c r="V32" s="20" t="n">
        <v>2.16632381</v>
      </c>
    </row>
    <row r="33" spans="1:22">
      <c r="A33" s="15" t="s">
        <v>593</v>
      </c>
      <c r="B33" s="17" t="n">
        <v>3674</v>
      </c>
      <c r="C33" s="18">
        <f>(3274.0/B33*100)</f>
        <v/>
      </c>
      <c r="D33" s="19" t="n">
        <v>400</v>
      </c>
      <c r="E33" s="18" t="n">
        <v>19.25146455</v>
      </c>
      <c r="F33" s="20" t="n">
        <v>2.35907472</v>
      </c>
      <c r="G33" s="18" t="n">
        <v>30.57953809</v>
      </c>
      <c r="H33" s="20" t="n">
        <v>2.82454337</v>
      </c>
      <c r="I33" s="18" t="n">
        <v>14.54675795</v>
      </c>
      <c r="J33" s="20" t="n">
        <v>2.17664668</v>
      </c>
      <c r="K33" s="18" t="n">
        <v>21.31931305</v>
      </c>
      <c r="L33" s="20" t="n">
        <v>2.48072282</v>
      </c>
      <c r="M33" s="18" t="s">
        <v>567</v>
      </c>
      <c r="N33" s="20" t="s">
        <v>567</v>
      </c>
      <c r="O33" s="18" t="n">
        <v>0</v>
      </c>
      <c r="P33" s="20" t="n">
        <v>0</v>
      </c>
      <c r="Q33" s="18" t="n">
        <v>0</v>
      </c>
      <c r="R33" s="20" t="n">
        <v>0</v>
      </c>
      <c r="S33" s="18" t="n">
        <v>0</v>
      </c>
      <c r="T33" s="20" t="n">
        <v>0</v>
      </c>
      <c r="U33" s="18" t="n">
        <v>14.30292636</v>
      </c>
      <c r="V33" s="20" t="n">
        <v>2.10147901</v>
      </c>
    </row>
    <row r="34" spans="1:22">
      <c r="A34" s="15" t="s">
        <v>594</v>
      </c>
      <c r="B34" s="17" t="n">
        <v>3315</v>
      </c>
      <c r="C34" s="18">
        <f>(2971.0/B34*100)</f>
        <v/>
      </c>
      <c r="D34" s="19" t="n">
        <v>344</v>
      </c>
      <c r="E34" s="18" t="n">
        <v>24.2939371</v>
      </c>
      <c r="F34" s="20" t="n">
        <v>2.77954042</v>
      </c>
      <c r="G34" s="18" t="n">
        <v>30.51961811</v>
      </c>
      <c r="H34" s="20" t="n">
        <v>2.6388716</v>
      </c>
      <c r="I34" s="18" t="n">
        <v>24.24914908</v>
      </c>
      <c r="J34" s="20" t="n">
        <v>2.83658361</v>
      </c>
      <c r="K34" s="18" t="n">
        <v>7.56745867</v>
      </c>
      <c r="L34" s="20" t="n">
        <v>1.52105871</v>
      </c>
      <c r="M34" s="18" t="s">
        <v>567</v>
      </c>
      <c r="N34" s="20" t="s">
        <v>567</v>
      </c>
      <c r="O34" s="18" t="n">
        <v>0</v>
      </c>
      <c r="P34" s="20" t="n">
        <v>0</v>
      </c>
      <c r="Q34" s="18" t="n">
        <v>0.24317955</v>
      </c>
      <c r="R34" s="20" t="n">
        <v>0.24052128</v>
      </c>
      <c r="S34" s="18" t="n">
        <v>0</v>
      </c>
      <c r="T34" s="20" t="n">
        <v>0</v>
      </c>
      <c r="U34" s="18" t="n">
        <v>13.1266575</v>
      </c>
      <c r="V34" s="20" t="n">
        <v>1.77347776</v>
      </c>
    </row>
    <row r="35" spans="1:22">
      <c r="A35" s="15" t="s">
        <v>595</v>
      </c>
      <c r="B35" s="17" t="n">
        <v>3505</v>
      </c>
      <c r="C35" s="18">
        <f>(3120.0/B35*100)</f>
        <v/>
      </c>
      <c r="D35" s="19" t="n">
        <v>385</v>
      </c>
      <c r="E35" s="18" t="n">
        <v>13.9059292</v>
      </c>
      <c r="F35" s="20" t="n">
        <v>2.2151783</v>
      </c>
      <c r="G35" s="18" t="n">
        <v>37.34105402</v>
      </c>
      <c r="H35" s="20" t="n">
        <v>2.81440003</v>
      </c>
      <c r="I35" s="18" t="n">
        <v>15.4940316</v>
      </c>
      <c r="J35" s="20" t="n">
        <v>2.2997647</v>
      </c>
      <c r="K35" s="18" t="n">
        <v>18.9008364</v>
      </c>
      <c r="L35" s="20" t="n">
        <v>2.61800972</v>
      </c>
      <c r="M35" s="18" t="s">
        <v>567</v>
      </c>
      <c r="N35" s="20" t="s">
        <v>567</v>
      </c>
      <c r="O35" s="18" t="n">
        <v>0</v>
      </c>
      <c r="P35" s="20" t="n">
        <v>0</v>
      </c>
      <c r="Q35" s="18" t="n">
        <v>0.59456128</v>
      </c>
      <c r="R35" s="20" t="n">
        <v>0.47855207</v>
      </c>
      <c r="S35" s="18" t="n">
        <v>0</v>
      </c>
      <c r="T35" s="20" t="n">
        <v>0</v>
      </c>
      <c r="U35" s="18" t="n">
        <v>13.7635875</v>
      </c>
      <c r="V35" s="20" t="n">
        <v>1.96653856</v>
      </c>
    </row>
    <row r="36" spans="1:22">
      <c r="A36" s="15" t="s">
        <v>596</v>
      </c>
      <c r="B36" s="17" t="n">
        <v>3332</v>
      </c>
      <c r="C36" s="18">
        <f>(2950.0/B36*100)</f>
        <v/>
      </c>
      <c r="D36" s="19" t="n">
        <v>382</v>
      </c>
      <c r="E36" s="18" t="n">
        <v>15.63872479</v>
      </c>
      <c r="F36" s="20" t="n">
        <v>1.78500964</v>
      </c>
      <c r="G36" s="18" t="n">
        <v>32.18956289</v>
      </c>
      <c r="H36" s="20" t="n">
        <v>2.73662083</v>
      </c>
      <c r="I36" s="18" t="n">
        <v>29.50160024</v>
      </c>
      <c r="J36" s="20" t="n">
        <v>2.14432738</v>
      </c>
      <c r="K36" s="18" t="n">
        <v>10.07850511</v>
      </c>
      <c r="L36" s="20" t="n">
        <v>1.48124281</v>
      </c>
      <c r="M36" s="18" t="s">
        <v>567</v>
      </c>
      <c r="N36" s="20" t="s">
        <v>567</v>
      </c>
      <c r="O36" s="18" t="n">
        <v>0</v>
      </c>
      <c r="P36" s="20" t="n">
        <v>0</v>
      </c>
      <c r="Q36" s="18" t="n">
        <v>0</v>
      </c>
      <c r="R36" s="20" t="n">
        <v>0</v>
      </c>
      <c r="S36" s="18" t="n">
        <v>0.2386839</v>
      </c>
      <c r="T36" s="20" t="n">
        <v>0.2386857</v>
      </c>
      <c r="U36" s="18" t="n">
        <v>12.35292307</v>
      </c>
      <c r="V36" s="20" t="n">
        <v>1.87786882</v>
      </c>
    </row>
    <row r="37" spans="1:22">
      <c r="A37" s="15" t="s">
        <v>597</v>
      </c>
      <c r="B37" s="17" t="n">
        <v>2727</v>
      </c>
      <c r="C37" s="18">
        <f>(2422.0/B37*100)</f>
        <v/>
      </c>
      <c r="D37" s="19" t="n">
        <v>305</v>
      </c>
      <c r="E37" s="18" t="n">
        <v>7.3450546</v>
      </c>
      <c r="F37" s="20" t="n">
        <v>1.40662404</v>
      </c>
      <c r="G37" s="18" t="n">
        <v>26.43987295</v>
      </c>
      <c r="H37" s="20" t="n">
        <v>2.64814146</v>
      </c>
      <c r="I37" s="18" t="n">
        <v>39.22300572</v>
      </c>
      <c r="J37" s="20" t="n">
        <v>2.79350086</v>
      </c>
      <c r="K37" s="18" t="n">
        <v>14.23272645</v>
      </c>
      <c r="L37" s="20" t="n">
        <v>2.27277269</v>
      </c>
      <c r="M37" s="18" t="s">
        <v>567</v>
      </c>
      <c r="N37" s="20" t="s">
        <v>567</v>
      </c>
      <c r="O37" s="18" t="n">
        <v>0</v>
      </c>
      <c r="P37" s="20" t="n">
        <v>0</v>
      </c>
      <c r="Q37" s="18" t="n">
        <v>0</v>
      </c>
      <c r="R37" s="20" t="n">
        <v>0</v>
      </c>
      <c r="S37" s="18" t="n">
        <v>0</v>
      </c>
      <c r="T37" s="20" t="n">
        <v>0</v>
      </c>
      <c r="U37" s="18" t="n">
        <v>12.75934028</v>
      </c>
      <c r="V37" s="20" t="n">
        <v>2.38113334</v>
      </c>
    </row>
    <row r="38" spans="1:22">
      <c r="A38" s="15" t="s">
        <v>598</v>
      </c>
      <c r="B38" s="17" t="n">
        <v>3053</v>
      </c>
      <c r="C38" s="18">
        <f>(2723.0/B38*100)</f>
        <v/>
      </c>
      <c r="D38" s="19" t="n">
        <v>330</v>
      </c>
      <c r="E38" s="18" t="n">
        <v>8.354222180000001</v>
      </c>
      <c r="F38" s="20" t="n">
        <v>1.66385742</v>
      </c>
      <c r="G38" s="18" t="n">
        <v>34.88268238</v>
      </c>
      <c r="H38" s="20" t="n">
        <v>3.01185284</v>
      </c>
      <c r="I38" s="18" t="n">
        <v>27.01733207</v>
      </c>
      <c r="J38" s="20" t="n">
        <v>2.27028161</v>
      </c>
      <c r="K38" s="18" t="n">
        <v>12.32502419</v>
      </c>
      <c r="L38" s="20" t="n">
        <v>1.99761361</v>
      </c>
      <c r="M38" s="18" t="s">
        <v>567</v>
      </c>
      <c r="N38" s="20" t="s">
        <v>567</v>
      </c>
      <c r="O38" s="18" t="n">
        <v>0.43765062</v>
      </c>
      <c r="P38" s="20" t="n">
        <v>0.4439023</v>
      </c>
      <c r="Q38" s="18" t="n">
        <v>2.70823555</v>
      </c>
      <c r="R38" s="20" t="n">
        <v>0.98783458</v>
      </c>
      <c r="S38" s="18" t="n">
        <v>0</v>
      </c>
      <c r="T38" s="20" t="n">
        <v>0</v>
      </c>
      <c r="U38" s="18" t="n">
        <v>14.274853</v>
      </c>
      <c r="V38" s="20" t="n">
        <v>2.3585327</v>
      </c>
    </row>
    <row r="39" spans="1:22">
      <c r="A39" s="15" t="s">
        <v>599</v>
      </c>
      <c r="B39" s="17" t="n">
        <v>2957</v>
      </c>
      <c r="C39" s="18">
        <f>(2624.0/B39*100)</f>
        <v/>
      </c>
      <c r="D39" s="19" t="n">
        <v>333</v>
      </c>
      <c r="E39" s="18" t="n">
        <v>18.0709227</v>
      </c>
      <c r="F39" s="20" t="n">
        <v>2.33095454</v>
      </c>
      <c r="G39" s="18" t="n">
        <v>56.87281475</v>
      </c>
      <c r="H39" s="20" t="n">
        <v>3.55599285</v>
      </c>
      <c r="I39" s="18" t="n">
        <v>6.79001179</v>
      </c>
      <c r="J39" s="20" t="n">
        <v>1.80862478</v>
      </c>
      <c r="K39" s="18" t="n">
        <v>8.30891991</v>
      </c>
      <c r="L39" s="20" t="n">
        <v>2.19807056</v>
      </c>
      <c r="M39" s="18" t="s">
        <v>567</v>
      </c>
      <c r="N39" s="20" t="s">
        <v>567</v>
      </c>
      <c r="O39" s="18" t="n">
        <v>0.21263693</v>
      </c>
      <c r="P39" s="20" t="n">
        <v>0.22051977</v>
      </c>
      <c r="Q39" s="18" t="n">
        <v>0</v>
      </c>
      <c r="R39" s="20" t="n">
        <v>0</v>
      </c>
      <c r="S39" s="18" t="n">
        <v>0</v>
      </c>
      <c r="T39" s="20" t="n">
        <v>0</v>
      </c>
      <c r="U39" s="18" t="n">
        <v>9.744693910000001</v>
      </c>
      <c r="V39" s="20" t="n">
        <v>2.14806896</v>
      </c>
    </row>
    <row r="40" spans="1:22">
      <c r="A40" s="15" t="s">
        <v>600</v>
      </c>
      <c r="B40" s="17" t="n">
        <v>7235</v>
      </c>
      <c r="C40" s="18">
        <f>(6388.0/B40*100)</f>
        <v/>
      </c>
      <c r="D40" s="19" t="n">
        <v>847</v>
      </c>
      <c r="E40" s="18" t="n">
        <v>10.66951085</v>
      </c>
      <c r="F40" s="20" t="n">
        <v>1.55745264</v>
      </c>
      <c r="G40" s="18" t="n">
        <v>18.80239531</v>
      </c>
      <c r="H40" s="20" t="n">
        <v>2.42214322</v>
      </c>
      <c r="I40" s="18" t="n">
        <v>54.27476977</v>
      </c>
      <c r="J40" s="20" t="n">
        <v>2.72471984</v>
      </c>
      <c r="K40" s="18" t="n">
        <v>7.70133819</v>
      </c>
      <c r="L40" s="20" t="n">
        <v>1.72596715</v>
      </c>
      <c r="M40" s="18" t="s">
        <v>567</v>
      </c>
      <c r="N40" s="20" t="s">
        <v>567</v>
      </c>
      <c r="O40" s="18" t="n">
        <v>0.06944006</v>
      </c>
      <c r="P40" s="20" t="n">
        <v>0.05927633</v>
      </c>
      <c r="Q40" s="18" t="n">
        <v>0.15584855</v>
      </c>
      <c r="R40" s="20" t="n">
        <v>0.10131681</v>
      </c>
      <c r="S40" s="18" t="n">
        <v>0</v>
      </c>
      <c r="T40" s="20" t="n">
        <v>0</v>
      </c>
      <c r="U40" s="18" t="n">
        <v>8.32669727</v>
      </c>
      <c r="V40" s="20" t="n">
        <v>1.28074154</v>
      </c>
    </row>
    <row r="41" spans="1:22">
      <c r="A41" s="15" t="s">
        <v>601</v>
      </c>
      <c r="B41" s="17" t="n">
        <v>2858</v>
      </c>
      <c r="C41" s="18">
        <f>(2527.0/B41*100)</f>
        <v/>
      </c>
      <c r="D41" s="19" t="n">
        <v>331</v>
      </c>
      <c r="E41" s="18" t="n">
        <v>17.00493315</v>
      </c>
      <c r="F41" s="20" t="n">
        <v>2.14181709</v>
      </c>
      <c r="G41" s="18" t="n">
        <v>36.27419012</v>
      </c>
      <c r="H41" s="20" t="n">
        <v>3.00298507</v>
      </c>
      <c r="I41" s="18" t="n">
        <v>36.88769624</v>
      </c>
      <c r="J41" s="20" t="n">
        <v>2.67220241</v>
      </c>
      <c r="K41" s="18" t="n">
        <v>4.96670231</v>
      </c>
      <c r="L41" s="20" t="n">
        <v>1.41453389</v>
      </c>
      <c r="M41" s="18" t="s">
        <v>567</v>
      </c>
      <c r="N41" s="20" t="s">
        <v>567</v>
      </c>
      <c r="O41" s="18" t="n">
        <v>0</v>
      </c>
      <c r="P41" s="20" t="n">
        <v>0</v>
      </c>
      <c r="Q41" s="18" t="n">
        <v>0</v>
      </c>
      <c r="R41" s="20" t="n">
        <v>0</v>
      </c>
      <c r="S41" s="18" t="n">
        <v>0</v>
      </c>
      <c r="T41" s="20" t="n">
        <v>0</v>
      </c>
      <c r="U41" s="18" t="n">
        <v>4.86647818</v>
      </c>
      <c r="V41" s="20" t="n">
        <v>1.27097618</v>
      </c>
    </row>
    <row r="42" spans="1:22">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c r="U44" s="18" t="s">
        <v>567</v>
      </c>
      <c r="V44" s="20" t="s">
        <v>567</v>
      </c>
    </row>
    <row r="45" spans="1:22">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c r="U45" s="18" t="s">
        <v>567</v>
      </c>
      <c r="V45" s="20" t="s">
        <v>567</v>
      </c>
    </row>
    <row r="46" spans="1:22">
      <c r="A46" s="15" t="s">
        <v>606</v>
      </c>
      <c r="B46" s="17" t="n">
        <v>11068</v>
      </c>
      <c r="C46" s="18">
        <f>(9940.0/B46*100)</f>
        <v/>
      </c>
      <c r="D46" s="19" t="n">
        <v>1128</v>
      </c>
      <c r="E46" s="18" t="n">
        <v>6.47112586</v>
      </c>
      <c r="F46" s="20" t="n">
        <v>0.85144062</v>
      </c>
      <c r="G46" s="18" t="n">
        <v>59.42253485</v>
      </c>
      <c r="H46" s="20" t="n">
        <v>1.82989457</v>
      </c>
      <c r="I46" s="18" t="n">
        <v>10.24924488</v>
      </c>
      <c r="J46" s="20" t="n">
        <v>1.16905394</v>
      </c>
      <c r="K46" s="18" t="n">
        <v>2.63643511</v>
      </c>
      <c r="L46" s="20" t="n">
        <v>0.57273044</v>
      </c>
      <c r="M46" s="18" t="s">
        <v>567</v>
      </c>
      <c r="N46" s="20" t="s">
        <v>567</v>
      </c>
      <c r="O46" s="18" t="n">
        <v>0.15475138</v>
      </c>
      <c r="P46" s="20" t="n">
        <v>0.14651767</v>
      </c>
      <c r="Q46" s="18" t="n">
        <v>0.83490229</v>
      </c>
      <c r="R46" s="20" t="n">
        <v>0.3740299</v>
      </c>
      <c r="S46" s="18" t="n">
        <v>0</v>
      </c>
      <c r="T46" s="20" t="n">
        <v>0</v>
      </c>
      <c r="U46" s="18" t="n">
        <v>20.23100564</v>
      </c>
      <c r="V46" s="20" t="n">
        <v>1.54558787</v>
      </c>
    </row>
    <row r="47" spans="1:22">
      <c r="A47" s="15" t="s">
        <v>607</v>
      </c>
      <c r="B47" s="17" t="n">
        <v>3105</v>
      </c>
      <c r="C47" s="18">
        <f>(2753.0/B47*100)</f>
        <v/>
      </c>
      <c r="D47" s="19" t="n">
        <v>352</v>
      </c>
      <c r="E47" s="18" t="n">
        <v>10.43390804</v>
      </c>
      <c r="F47" s="20" t="n">
        <v>1.63962338</v>
      </c>
      <c r="G47" s="18" t="n">
        <v>41.14188802</v>
      </c>
      <c r="H47" s="20" t="n">
        <v>2.33798596</v>
      </c>
      <c r="I47" s="18" t="n">
        <v>18.82231105</v>
      </c>
      <c r="J47" s="20" t="n">
        <v>1.96398606</v>
      </c>
      <c r="K47" s="18" t="n">
        <v>8.839581750000001</v>
      </c>
      <c r="L47" s="20" t="n">
        <v>1.73790506</v>
      </c>
      <c r="M47" s="18" t="s">
        <v>567</v>
      </c>
      <c r="N47" s="20" t="s">
        <v>567</v>
      </c>
      <c r="O47" s="18" t="n">
        <v>0</v>
      </c>
      <c r="P47" s="20" t="n">
        <v>0</v>
      </c>
      <c r="Q47" s="18" t="n">
        <v>0</v>
      </c>
      <c r="R47" s="20" t="n">
        <v>0</v>
      </c>
      <c r="S47" s="18" t="n">
        <v>0</v>
      </c>
      <c r="T47" s="20" t="n">
        <v>0</v>
      </c>
      <c r="U47" s="18" t="n">
        <v>20.76231114</v>
      </c>
      <c r="V47" s="20" t="n">
        <v>2.41608057</v>
      </c>
    </row>
    <row r="48" spans="1:22">
      <c r="A48" s="15" t="s">
        <v>608</v>
      </c>
      <c r="B48" s="17" t="n">
        <v>5159</v>
      </c>
      <c r="C48" s="18">
        <f>(4605.0/B48*100)</f>
        <v/>
      </c>
      <c r="D48" s="19" t="n">
        <v>554</v>
      </c>
      <c r="E48" s="18" t="n">
        <v>0.57838363</v>
      </c>
      <c r="F48" s="20" t="n">
        <v>0.29991847</v>
      </c>
      <c r="G48" s="18" t="n">
        <v>25.3301446</v>
      </c>
      <c r="H48" s="20" t="n">
        <v>2.60460164</v>
      </c>
      <c r="I48" s="18" t="n">
        <v>59.59547729</v>
      </c>
      <c r="J48" s="20" t="n">
        <v>2.6487537</v>
      </c>
      <c r="K48" s="18" t="n">
        <v>5.3492094</v>
      </c>
      <c r="L48" s="20" t="n">
        <v>1.11481765</v>
      </c>
      <c r="M48" s="18" t="s">
        <v>567</v>
      </c>
      <c r="N48" s="20" t="s">
        <v>567</v>
      </c>
      <c r="O48" s="18" t="n">
        <v>0.65699079</v>
      </c>
      <c r="P48" s="20" t="n">
        <v>0.46540588</v>
      </c>
      <c r="Q48" s="18" t="n">
        <v>0</v>
      </c>
      <c r="R48" s="20" t="n">
        <v>0</v>
      </c>
      <c r="S48" s="18" t="n">
        <v>0</v>
      </c>
      <c r="T48" s="20" t="n">
        <v>0</v>
      </c>
      <c r="U48" s="18" t="n">
        <v>8.489794290000001</v>
      </c>
      <c r="V48" s="20" t="n">
        <v>1.41711575</v>
      </c>
    </row>
    <row r="49" spans="1:22">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c r="U49" s="18" t="s">
        <v>567</v>
      </c>
      <c r="V49" s="20" t="s">
        <v>567</v>
      </c>
    </row>
    <row r="50" spans="1:22">
      <c r="A50" s="15" t="s">
        <v>610</v>
      </c>
      <c r="B50" s="17" t="n">
        <v>5637</v>
      </c>
      <c r="C50" s="18">
        <f>(5031.0/B50*100)</f>
        <v/>
      </c>
      <c r="D50" s="19" t="n">
        <v>606</v>
      </c>
      <c r="E50" s="18" t="n">
        <v>17.33458012</v>
      </c>
      <c r="F50" s="20" t="n">
        <v>1.97341151</v>
      </c>
      <c r="G50" s="18" t="n">
        <v>61.78209169</v>
      </c>
      <c r="H50" s="20" t="n">
        <v>2.75355952</v>
      </c>
      <c r="I50" s="18" t="n">
        <v>15.60677943</v>
      </c>
      <c r="J50" s="20" t="n">
        <v>1.86490857</v>
      </c>
      <c r="K50" s="18" t="n">
        <v>1.65590617</v>
      </c>
      <c r="L50" s="20" t="n">
        <v>0.65195823</v>
      </c>
      <c r="M50" s="18" t="s">
        <v>567</v>
      </c>
      <c r="N50" s="20" t="s">
        <v>567</v>
      </c>
      <c r="O50" s="18" t="n">
        <v>0.102201</v>
      </c>
      <c r="P50" s="20" t="n">
        <v>0.07247012</v>
      </c>
      <c r="Q50" s="18" t="n">
        <v>0.10774478</v>
      </c>
      <c r="R50" s="20" t="n">
        <v>0.10790883</v>
      </c>
      <c r="S50" s="18" t="n">
        <v>0</v>
      </c>
      <c r="T50" s="20" t="n">
        <v>0</v>
      </c>
      <c r="U50" s="18" t="n">
        <v>3.41069682</v>
      </c>
      <c r="V50" s="20" t="n">
        <v>0.8731646199999999</v>
      </c>
    </row>
    <row r="51" spans="1:22">
      <c r="A51" s="15" t="s">
        <v>611</v>
      </c>
      <c r="B51" s="17" t="n">
        <v>3372</v>
      </c>
      <c r="C51" s="18">
        <f>(3023.0/B51*100)</f>
        <v/>
      </c>
      <c r="D51" s="19" t="n">
        <v>349</v>
      </c>
      <c r="E51" s="18" t="n">
        <v>20.99678235</v>
      </c>
      <c r="F51" s="20" t="n">
        <v>2.52559313</v>
      </c>
      <c r="G51" s="18" t="n">
        <v>45.43057673</v>
      </c>
      <c r="H51" s="20" t="n">
        <v>2.79783742</v>
      </c>
      <c r="I51" s="18" t="n">
        <v>20.19394554</v>
      </c>
      <c r="J51" s="20" t="n">
        <v>2.43817151</v>
      </c>
      <c r="K51" s="18" t="n">
        <v>4.72598617</v>
      </c>
      <c r="L51" s="20" t="n">
        <v>1.28160167</v>
      </c>
      <c r="M51" s="18" t="s">
        <v>567</v>
      </c>
      <c r="N51" s="20" t="s">
        <v>567</v>
      </c>
      <c r="O51" s="18" t="n">
        <v>0.15022852</v>
      </c>
      <c r="P51" s="20" t="n">
        <v>0.1531865</v>
      </c>
      <c r="Q51" s="18" t="n">
        <v>0</v>
      </c>
      <c r="R51" s="20" t="n">
        <v>0</v>
      </c>
      <c r="S51" s="18" t="n">
        <v>0</v>
      </c>
      <c r="T51" s="20" t="n">
        <v>0</v>
      </c>
      <c r="U51" s="18" t="n">
        <v>8.50248068</v>
      </c>
      <c r="V51" s="20" t="n">
        <v>1.65397047</v>
      </c>
    </row>
    <row r="52" spans="1:22">
      <c r="A52" s="15" t="s">
        <v>612</v>
      </c>
      <c r="B52" s="17" t="n">
        <v>2796</v>
      </c>
      <c r="C52" s="18">
        <f>(2514.0/B52*100)</f>
        <v/>
      </c>
      <c r="D52" s="19" t="n">
        <v>282</v>
      </c>
      <c r="E52" s="18" t="n">
        <v>39.52923067</v>
      </c>
      <c r="F52" s="20" t="n">
        <v>2.7648518</v>
      </c>
      <c r="G52" s="18" t="n">
        <v>17.75315083</v>
      </c>
      <c r="H52" s="20" t="n">
        <v>2.3399885</v>
      </c>
      <c r="I52" s="18" t="n">
        <v>20.95742766</v>
      </c>
      <c r="J52" s="20" t="n">
        <v>2.30381606</v>
      </c>
      <c r="K52" s="18" t="n">
        <v>7.69476828</v>
      </c>
      <c r="L52" s="20" t="n">
        <v>1.46956397</v>
      </c>
      <c r="M52" s="18" t="s">
        <v>567</v>
      </c>
      <c r="N52" s="20" t="s">
        <v>567</v>
      </c>
      <c r="O52" s="18" t="n">
        <v>0</v>
      </c>
      <c r="P52" s="20" t="n">
        <v>0</v>
      </c>
      <c r="Q52" s="18" t="n">
        <v>0</v>
      </c>
      <c r="R52" s="20" t="n">
        <v>0</v>
      </c>
      <c r="S52" s="18" t="n">
        <v>0</v>
      </c>
      <c r="T52" s="20" t="n">
        <v>0</v>
      </c>
      <c r="U52" s="18" t="n">
        <v>14.06542256</v>
      </c>
      <c r="V52" s="20" t="n">
        <v>2.02096545</v>
      </c>
    </row>
    <row r="53" spans="1:22">
      <c r="A53" s="15" t="s">
        <v>613</v>
      </c>
      <c r="B53" s="17" t="n">
        <v>2811</v>
      </c>
      <c r="C53" s="18">
        <f>(2519.0/B53*100)</f>
        <v/>
      </c>
      <c r="D53" s="19" t="n">
        <v>292</v>
      </c>
      <c r="E53" s="18" t="n">
        <v>23.24455927</v>
      </c>
      <c r="F53" s="20" t="n">
        <v>2.68794027</v>
      </c>
      <c r="G53" s="18" t="n">
        <v>26.39223154</v>
      </c>
      <c r="H53" s="20" t="n">
        <v>2.51606689</v>
      </c>
      <c r="I53" s="18" t="n">
        <v>28.17411084</v>
      </c>
      <c r="J53" s="20" t="n">
        <v>2.60971861</v>
      </c>
      <c r="K53" s="18" t="n">
        <v>4.26770328</v>
      </c>
      <c r="L53" s="20" t="n">
        <v>1.44507788</v>
      </c>
      <c r="M53" s="18" t="s">
        <v>567</v>
      </c>
      <c r="N53" s="20" t="s">
        <v>567</v>
      </c>
      <c r="O53" s="18" t="n">
        <v>0.22969364</v>
      </c>
      <c r="P53" s="20" t="n">
        <v>0.23215692</v>
      </c>
      <c r="Q53" s="18" t="n">
        <v>0</v>
      </c>
      <c r="R53" s="20" t="n">
        <v>0</v>
      </c>
      <c r="S53" s="18" t="n">
        <v>0</v>
      </c>
      <c r="T53" s="20" t="n">
        <v>0</v>
      </c>
      <c r="U53" s="18" t="n">
        <v>17.69170143</v>
      </c>
      <c r="V53" s="20" t="n">
        <v>2.21042605</v>
      </c>
    </row>
    <row r="54" spans="1:22">
      <c r="A54" s="15" t="s">
        <v>614</v>
      </c>
      <c r="B54" s="17" t="n">
        <v>2266</v>
      </c>
      <c r="C54" s="18">
        <f>(2015.0/B54*100)</f>
        <v/>
      </c>
      <c r="D54" s="19" t="n">
        <v>251</v>
      </c>
      <c r="E54" s="18" t="n">
        <v>3.86991743</v>
      </c>
      <c r="F54" s="20" t="n">
        <v>1.21113042</v>
      </c>
      <c r="G54" s="18" t="n">
        <v>55.43377574</v>
      </c>
      <c r="H54" s="20" t="n">
        <v>3.92453577</v>
      </c>
      <c r="I54" s="18" t="n">
        <v>5.45736412</v>
      </c>
      <c r="J54" s="20" t="n">
        <v>1.41953649</v>
      </c>
      <c r="K54" s="18" t="n">
        <v>0</v>
      </c>
      <c r="L54" s="20" t="n">
        <v>0</v>
      </c>
      <c r="M54" s="18" t="s">
        <v>567</v>
      </c>
      <c r="N54" s="20" t="s">
        <v>567</v>
      </c>
      <c r="O54" s="18" t="n">
        <v>3.79330679</v>
      </c>
      <c r="P54" s="20" t="n">
        <v>1.51229034</v>
      </c>
      <c r="Q54" s="18" t="n">
        <v>0.39713709</v>
      </c>
      <c r="R54" s="20" t="n">
        <v>0.37913039</v>
      </c>
      <c r="S54" s="18" t="n">
        <v>0</v>
      </c>
      <c r="T54" s="20" t="n">
        <v>0</v>
      </c>
      <c r="U54" s="18" t="n">
        <v>31.04849884</v>
      </c>
      <c r="V54" s="20" t="n">
        <v>4.06396912</v>
      </c>
    </row>
    <row r="55" spans="1:22">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c r="U55" s="18" t="s">
        <v>567</v>
      </c>
      <c r="V55" s="20" t="s">
        <v>567</v>
      </c>
    </row>
    <row r="56" spans="1:22">
      <c r="A56" s="15" t="s">
        <v>616</v>
      </c>
      <c r="B56" s="17" t="n">
        <v>2684</v>
      </c>
      <c r="C56" s="18">
        <f>(2391.0/B56*100)</f>
        <v/>
      </c>
      <c r="D56" s="19" t="n">
        <v>293</v>
      </c>
      <c r="E56" s="18" t="n">
        <v>3.02277613</v>
      </c>
      <c r="F56" s="20" t="n">
        <v>1.26108679</v>
      </c>
      <c r="G56" s="18" t="n">
        <v>17.55432027</v>
      </c>
      <c r="H56" s="20" t="n">
        <v>2.49851674</v>
      </c>
      <c r="I56" s="18" t="n">
        <v>37.94144288</v>
      </c>
      <c r="J56" s="20" t="n">
        <v>2.73399384</v>
      </c>
      <c r="K56" s="18" t="n">
        <v>35.67595108</v>
      </c>
      <c r="L56" s="20" t="n">
        <v>2.75253334</v>
      </c>
      <c r="M56" s="18" t="s">
        <v>567</v>
      </c>
      <c r="N56" s="20" t="s">
        <v>567</v>
      </c>
      <c r="O56" s="18" t="n">
        <v>0</v>
      </c>
      <c r="P56" s="20" t="n">
        <v>0</v>
      </c>
      <c r="Q56" s="18" t="n">
        <v>0</v>
      </c>
      <c r="R56" s="20" t="n">
        <v>0</v>
      </c>
      <c r="S56" s="18" t="n">
        <v>0</v>
      </c>
      <c r="T56" s="20" t="n">
        <v>0</v>
      </c>
      <c r="U56" s="18" t="n">
        <v>5.80550964</v>
      </c>
      <c r="V56" s="20" t="n">
        <v>1.33305874</v>
      </c>
    </row>
    <row r="57" spans="1:22">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c r="U57" s="18" t="s">
        <v>567</v>
      </c>
      <c r="V57" s="20" t="s">
        <v>567</v>
      </c>
    </row>
    <row r="58" spans="1:22">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c r="U58" s="18" t="s">
        <v>567</v>
      </c>
      <c r="V58" s="20" t="s">
        <v>567</v>
      </c>
    </row>
    <row r="59" spans="1:22">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c r="U59" s="18" t="s">
        <v>567</v>
      </c>
      <c r="V59" s="20" t="s">
        <v>567</v>
      </c>
    </row>
    <row r="60" spans="1:22">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c r="U60" s="18" t="s">
        <v>567</v>
      </c>
      <c r="V60" s="20" t="s">
        <v>567</v>
      </c>
    </row>
    <row r="61" spans="1:22">
      <c r="A61" s="15" t="s">
        <v>621</v>
      </c>
      <c r="B61" s="17" t="n">
        <v>3324</v>
      </c>
      <c r="C61" s="18">
        <f>(2994.0/B61*100)</f>
        <v/>
      </c>
      <c r="D61" s="19" t="n">
        <v>330</v>
      </c>
      <c r="E61" s="18" t="n">
        <v>9.00960735</v>
      </c>
      <c r="F61" s="20" t="n">
        <v>1.67812452</v>
      </c>
      <c r="G61" s="18" t="n">
        <v>39.06562678</v>
      </c>
      <c r="H61" s="20" t="n">
        <v>3.2403317</v>
      </c>
      <c r="I61" s="18" t="n">
        <v>29.56011476</v>
      </c>
      <c r="J61" s="20" t="n">
        <v>2.99341458</v>
      </c>
      <c r="K61" s="18" t="n">
        <v>9.03309076</v>
      </c>
      <c r="L61" s="20" t="n">
        <v>2.14828543</v>
      </c>
      <c r="M61" s="18" t="s">
        <v>567</v>
      </c>
      <c r="N61" s="20" t="s">
        <v>567</v>
      </c>
      <c r="O61" s="18" t="n">
        <v>0.42961692</v>
      </c>
      <c r="P61" s="20" t="n">
        <v>0.44849813</v>
      </c>
      <c r="Q61" s="18" t="n">
        <v>0</v>
      </c>
      <c r="R61" s="20" t="n">
        <v>0</v>
      </c>
      <c r="S61" s="18" t="n">
        <v>0</v>
      </c>
      <c r="T61" s="20" t="n">
        <v>0</v>
      </c>
      <c r="U61" s="18" t="n">
        <v>12.90194343</v>
      </c>
      <c r="V61" s="20" t="n">
        <v>1.68021816</v>
      </c>
    </row>
    <row r="62" spans="1:22">
      <c r="A62" s="15" t="s">
        <v>622</v>
      </c>
      <c r="B62" s="17" t="n">
        <v>2246</v>
      </c>
      <c r="C62" s="18">
        <f>(1992.0/B62*100)</f>
        <v/>
      </c>
      <c r="D62" s="19" t="n">
        <v>254</v>
      </c>
      <c r="E62" s="18" t="n">
        <v>3.96126321</v>
      </c>
      <c r="F62" s="20" t="n">
        <v>1.22139016</v>
      </c>
      <c r="G62" s="18" t="n">
        <v>20.10770089</v>
      </c>
      <c r="H62" s="20" t="n">
        <v>2.39546518</v>
      </c>
      <c r="I62" s="18" t="n">
        <v>58.62100569</v>
      </c>
      <c r="J62" s="20" t="n">
        <v>3.10358202</v>
      </c>
      <c r="K62" s="18" t="n">
        <v>16.52802496</v>
      </c>
      <c r="L62" s="20" t="n">
        <v>2.38413133</v>
      </c>
      <c r="M62" s="18" t="s">
        <v>567</v>
      </c>
      <c r="N62" s="20" t="s">
        <v>567</v>
      </c>
      <c r="O62" s="18" t="n">
        <v>0</v>
      </c>
      <c r="P62" s="20" t="n">
        <v>0</v>
      </c>
      <c r="Q62" s="18" t="n">
        <v>0</v>
      </c>
      <c r="R62" s="20" t="n">
        <v>0</v>
      </c>
      <c r="S62" s="18" t="n">
        <v>0</v>
      </c>
      <c r="T62" s="20" t="n">
        <v>0</v>
      </c>
      <c r="U62" s="18" t="n">
        <v>0.78200525</v>
      </c>
      <c r="V62" s="20" t="n">
        <v>0.04738581</v>
      </c>
    </row>
    <row r="63" spans="1:22">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c r="U63" s="18" t="s">
        <v>567</v>
      </c>
      <c r="V63" s="20" t="s">
        <v>567</v>
      </c>
    </row>
    <row r="64" spans="1:22">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c r="U64" s="18" t="s">
        <v>567</v>
      </c>
      <c r="V64" s="20" t="s">
        <v>567</v>
      </c>
    </row>
    <row r="65" spans="1:22">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c r="U65" s="18" t="s">
        <v>567</v>
      </c>
      <c r="V65" s="20" t="s">
        <v>567</v>
      </c>
    </row>
    <row r="66" spans="1:22">
      <c r="A66" s="15" t="s">
        <v>626</v>
      </c>
      <c r="B66" s="17" t="n">
        <v>2894</v>
      </c>
      <c r="C66" s="18">
        <f>(2592.0/B66*100)</f>
        <v/>
      </c>
      <c r="D66" s="19" t="n">
        <v>302</v>
      </c>
      <c r="E66" s="18" t="n">
        <v>17.06675304</v>
      </c>
      <c r="F66" s="20" t="n">
        <v>2.32316756</v>
      </c>
      <c r="G66" s="18" t="n">
        <v>36.81579733</v>
      </c>
      <c r="H66" s="20" t="n">
        <v>2.74366675</v>
      </c>
      <c r="I66" s="18" t="n">
        <v>11.38033831</v>
      </c>
      <c r="J66" s="20" t="n">
        <v>1.64789957</v>
      </c>
      <c r="K66" s="18" t="n">
        <v>5.45127558</v>
      </c>
      <c r="L66" s="20" t="n">
        <v>1.17549404</v>
      </c>
      <c r="M66" s="18" t="s">
        <v>567</v>
      </c>
      <c r="N66" s="20" t="s">
        <v>567</v>
      </c>
      <c r="O66" s="18" t="n">
        <v>0</v>
      </c>
      <c r="P66" s="20" t="n">
        <v>0</v>
      </c>
      <c r="Q66" s="18" t="n">
        <v>1.58339094</v>
      </c>
      <c r="R66" s="20" t="n">
        <v>1.03056199</v>
      </c>
      <c r="S66" s="18" t="n">
        <v>0</v>
      </c>
      <c r="T66" s="20" t="n">
        <v>0</v>
      </c>
      <c r="U66" s="18" t="n">
        <v>27.7024448</v>
      </c>
      <c r="V66" s="20" t="n">
        <v>2.72795347</v>
      </c>
    </row>
    <row r="67" spans="1:22">
      <c r="A67" s="15" t="s">
        <v>627</v>
      </c>
      <c r="B67" s="17" t="n">
        <v>3511</v>
      </c>
      <c r="C67" s="18">
        <f>(3139.0/B67*100)</f>
        <v/>
      </c>
      <c r="D67" s="19" t="n">
        <v>372</v>
      </c>
      <c r="E67" s="18" t="n">
        <v>8.087673840000001</v>
      </c>
      <c r="F67" s="20" t="n">
        <v>1.55658741</v>
      </c>
      <c r="G67" s="18" t="n">
        <v>59.35946072</v>
      </c>
      <c r="H67" s="20" t="n">
        <v>2.78370283</v>
      </c>
      <c r="I67" s="18" t="n">
        <v>18.31596833</v>
      </c>
      <c r="J67" s="20" t="n">
        <v>2.33920009</v>
      </c>
      <c r="K67" s="18" t="n">
        <v>3.65655962</v>
      </c>
      <c r="L67" s="20" t="n">
        <v>1.27116598</v>
      </c>
      <c r="M67" s="18" t="s">
        <v>567</v>
      </c>
      <c r="N67" s="20" t="s">
        <v>567</v>
      </c>
      <c r="O67" s="18" t="n">
        <v>0.27363902</v>
      </c>
      <c r="P67" s="20" t="n">
        <v>0.27193898</v>
      </c>
      <c r="Q67" s="18" t="n">
        <v>0.50558742</v>
      </c>
      <c r="R67" s="20" t="n">
        <v>0.36739661</v>
      </c>
      <c r="S67" s="18" t="n">
        <v>0</v>
      </c>
      <c r="T67" s="20" t="n">
        <v>0</v>
      </c>
      <c r="U67" s="18" t="n">
        <v>9.801111049999999</v>
      </c>
      <c r="V67" s="20" t="n">
        <v>1.6529586</v>
      </c>
    </row>
    <row r="68" spans="1:22">
      <c r="A68" s="15" t="s">
        <v>628</v>
      </c>
      <c r="B68" s="17" t="n">
        <v>6049</v>
      </c>
      <c r="C68" s="18">
        <f>(5388.0/B68*100)</f>
        <v/>
      </c>
      <c r="D68" s="19" t="n">
        <v>661</v>
      </c>
      <c r="E68" s="18" t="n">
        <v>7.79311999</v>
      </c>
      <c r="F68" s="20" t="n">
        <v>1.10622145</v>
      </c>
      <c r="G68" s="18" t="n">
        <v>46.96316996</v>
      </c>
      <c r="H68" s="20" t="n">
        <v>1.95798987</v>
      </c>
      <c r="I68" s="18" t="n">
        <v>31.2150282</v>
      </c>
      <c r="J68" s="20" t="n">
        <v>1.86864009</v>
      </c>
      <c r="K68" s="18" t="n">
        <v>1.50323695</v>
      </c>
      <c r="L68" s="20" t="n">
        <v>0.4773357</v>
      </c>
      <c r="M68" s="18" t="s">
        <v>567</v>
      </c>
      <c r="N68" s="20" t="s">
        <v>567</v>
      </c>
      <c r="O68" s="18" t="n">
        <v>1.47870107</v>
      </c>
      <c r="P68" s="20" t="n">
        <v>0.46973214</v>
      </c>
      <c r="Q68" s="18" t="n">
        <v>0.15148292</v>
      </c>
      <c r="R68" s="20" t="n">
        <v>0.15125612</v>
      </c>
      <c r="S68" s="18" t="n">
        <v>0</v>
      </c>
      <c r="T68" s="20" t="n">
        <v>0</v>
      </c>
      <c r="U68" s="18" t="n">
        <v>10.89526092</v>
      </c>
      <c r="V68" s="20" t="n">
        <v>1.29400308</v>
      </c>
    </row>
    <row r="69" spans="1:22">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c r="U69" s="18" t="s">
        <v>567</v>
      </c>
      <c r="V69" s="20" t="s">
        <v>567</v>
      </c>
    </row>
    <row r="70" spans="1:22">
      <c r="A70" s="15" t="s">
        <v>630</v>
      </c>
      <c r="B70" s="17" t="n">
        <v>2929</v>
      </c>
      <c r="C70" s="18">
        <f>(2636.0/B70*100)</f>
        <v/>
      </c>
      <c r="D70" s="19" t="n">
        <v>293</v>
      </c>
      <c r="E70" s="18" t="n">
        <v>11.58336102</v>
      </c>
      <c r="F70" s="20" t="n">
        <v>2.11629389</v>
      </c>
      <c r="G70" s="18" t="n">
        <v>53.29120711</v>
      </c>
      <c r="H70" s="20" t="n">
        <v>2.82280436</v>
      </c>
      <c r="I70" s="18" t="n">
        <v>15.95160155</v>
      </c>
      <c r="J70" s="20" t="n">
        <v>1.8992199</v>
      </c>
      <c r="K70" s="18" t="n">
        <v>8.74412278</v>
      </c>
      <c r="L70" s="20" t="n">
        <v>0.97491192</v>
      </c>
      <c r="M70" s="18" t="s">
        <v>567</v>
      </c>
      <c r="N70" s="20" t="s">
        <v>567</v>
      </c>
      <c r="O70" s="18" t="n">
        <v>0</v>
      </c>
      <c r="P70" s="20" t="n">
        <v>0</v>
      </c>
      <c r="Q70" s="18" t="n">
        <v>0.24924205</v>
      </c>
      <c r="R70" s="20" t="n">
        <v>0.25191872</v>
      </c>
      <c r="S70" s="18" t="n">
        <v>0</v>
      </c>
      <c r="T70" s="20" t="n">
        <v>0</v>
      </c>
      <c r="U70" s="18" t="n">
        <v>10.18046549</v>
      </c>
      <c r="V70" s="20" t="n">
        <v>1.89324622</v>
      </c>
    </row>
    <row r="71" spans="1:22">
      <c r="A71" s="15" t="s">
        <v>631</v>
      </c>
      <c r="B71" s="17" t="n">
        <v>3142</v>
      </c>
      <c r="C71" s="18">
        <f>(2777.0/B71*100)</f>
        <v/>
      </c>
      <c r="D71" s="19" t="n">
        <v>365</v>
      </c>
      <c r="E71" s="18" t="n">
        <v>5.65012485</v>
      </c>
      <c r="F71" s="20" t="n">
        <v>1.12864419</v>
      </c>
      <c r="G71" s="18" t="n">
        <v>18.84728523</v>
      </c>
      <c r="H71" s="20" t="n">
        <v>2.63458496</v>
      </c>
      <c r="I71" s="18" t="n">
        <v>45.18712069</v>
      </c>
      <c r="J71" s="20" t="n">
        <v>3.29298602</v>
      </c>
      <c r="K71" s="18" t="n">
        <v>28.56350116</v>
      </c>
      <c r="L71" s="20" t="n">
        <v>2.70374743</v>
      </c>
      <c r="M71" s="18" t="s">
        <v>567</v>
      </c>
      <c r="N71" s="20" t="s">
        <v>567</v>
      </c>
      <c r="O71" s="18" t="n">
        <v>0</v>
      </c>
      <c r="P71" s="20" t="n">
        <v>0</v>
      </c>
      <c r="Q71" s="18" t="n">
        <v>0.16614969</v>
      </c>
      <c r="R71" s="20" t="n">
        <v>0.166254</v>
      </c>
      <c r="S71" s="18" t="n">
        <v>0</v>
      </c>
      <c r="T71" s="20" t="n">
        <v>0</v>
      </c>
      <c r="U71" s="18" t="n">
        <v>1.58581838</v>
      </c>
      <c r="V71" s="20" t="n">
        <v>0.6156543799999999</v>
      </c>
    </row>
    <row r="72" spans="1:22">
      <c r="A72" s="15" t="s">
        <v>632</v>
      </c>
      <c r="B72" s="17" t="n">
        <v>3889</v>
      </c>
      <c r="C72" s="18">
        <f>(3448.0/B72*100)</f>
        <v/>
      </c>
      <c r="D72" s="19" t="n">
        <v>441</v>
      </c>
      <c r="E72" s="18" t="n">
        <v>2.33698535</v>
      </c>
      <c r="F72" s="20" t="n">
        <v>0.72028634</v>
      </c>
      <c r="G72" s="18" t="n">
        <v>23.01430736</v>
      </c>
      <c r="H72" s="20" t="n">
        <v>2.16664098</v>
      </c>
      <c r="I72" s="18" t="n">
        <v>26.25963437</v>
      </c>
      <c r="J72" s="20" t="n">
        <v>2.15190669</v>
      </c>
      <c r="K72" s="18" t="n">
        <v>43.98419105</v>
      </c>
      <c r="L72" s="20" t="n">
        <v>2.35525666</v>
      </c>
      <c r="M72" s="18" t="s">
        <v>567</v>
      </c>
      <c r="N72" s="20" t="s">
        <v>567</v>
      </c>
      <c r="O72" s="18" t="n">
        <v>0</v>
      </c>
      <c r="P72" s="20" t="n">
        <v>0</v>
      </c>
      <c r="Q72" s="18" t="n">
        <v>0</v>
      </c>
      <c r="R72" s="20" t="n">
        <v>0</v>
      </c>
      <c r="S72" s="18" t="n">
        <v>0</v>
      </c>
      <c r="T72" s="20" t="n">
        <v>0</v>
      </c>
      <c r="U72" s="18" t="n">
        <v>4.40488188</v>
      </c>
      <c r="V72" s="20" t="n">
        <v>1.01239507</v>
      </c>
    </row>
    <row r="73" spans="1:22">
      <c r="A73" s="15" t="s">
        <v>633</v>
      </c>
      <c r="B73" s="17" t="n">
        <v>3597</v>
      </c>
      <c r="C73" s="18">
        <f>(3180.0/B73*100)</f>
        <v/>
      </c>
      <c r="D73" s="19" t="n">
        <v>417</v>
      </c>
      <c r="E73" s="18" t="n">
        <v>8.701942949999999</v>
      </c>
      <c r="F73" s="20" t="n">
        <v>1.91485926</v>
      </c>
      <c r="G73" s="18" t="n">
        <v>54.98038814</v>
      </c>
      <c r="H73" s="20" t="n">
        <v>3.11564038</v>
      </c>
      <c r="I73" s="18" t="n">
        <v>32.37148134</v>
      </c>
      <c r="J73" s="20" t="n">
        <v>2.93608096</v>
      </c>
      <c r="K73" s="18" t="n">
        <v>1.06029295</v>
      </c>
      <c r="L73" s="20" t="n">
        <v>0.59310737</v>
      </c>
      <c r="M73" s="18" t="s">
        <v>567</v>
      </c>
      <c r="N73" s="20" t="s">
        <v>567</v>
      </c>
      <c r="O73" s="18" t="n">
        <v>0</v>
      </c>
      <c r="P73" s="20" t="n">
        <v>0</v>
      </c>
      <c r="Q73" s="18" t="n">
        <v>1.08961172</v>
      </c>
      <c r="R73" s="20" t="n">
        <v>0.61060468</v>
      </c>
      <c r="S73" s="18" t="n">
        <v>0</v>
      </c>
      <c r="T73" s="20" t="n">
        <v>0</v>
      </c>
      <c r="U73" s="18" t="n">
        <v>1.79628289</v>
      </c>
      <c r="V73" s="20" t="n">
        <v>0.76851338</v>
      </c>
    </row>
    <row r="74" spans="1:22">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c r="U74" s="18" t="s">
        <v>567</v>
      </c>
      <c r="V74" s="20" t="s">
        <v>567</v>
      </c>
    </row>
    <row r="75" spans="1:22">
      <c r="A75" s="15" t="s">
        <v>635</v>
      </c>
      <c r="B75" s="17" t="n">
        <v>2406</v>
      </c>
      <c r="C75" s="18">
        <f>(2167.0/B75*100)</f>
        <v/>
      </c>
      <c r="D75" s="19" t="n">
        <v>239</v>
      </c>
      <c r="E75" s="18" t="n">
        <v>6.92644985</v>
      </c>
      <c r="F75" s="20" t="n">
        <v>1.65922852</v>
      </c>
      <c r="G75" s="18" t="n">
        <v>62.12471131</v>
      </c>
      <c r="H75" s="20" t="n">
        <v>3.26449938</v>
      </c>
      <c r="I75" s="18" t="n">
        <v>12.80004139</v>
      </c>
      <c r="J75" s="20" t="n">
        <v>2.10860212</v>
      </c>
      <c r="K75" s="18" t="n">
        <v>1.19577048</v>
      </c>
      <c r="L75" s="20" t="n">
        <v>0.64553411</v>
      </c>
      <c r="M75" s="18" t="s">
        <v>567</v>
      </c>
      <c r="N75" s="20" t="s">
        <v>567</v>
      </c>
      <c r="O75" s="18" t="n">
        <v>1.38325965</v>
      </c>
      <c r="P75" s="20" t="n">
        <v>0.594482</v>
      </c>
      <c r="Q75" s="18" t="n">
        <v>0.43429648</v>
      </c>
      <c r="R75" s="20" t="n">
        <v>0.45998926</v>
      </c>
      <c r="S75" s="18" t="n">
        <v>0</v>
      </c>
      <c r="T75" s="20" t="n">
        <v>0</v>
      </c>
      <c r="U75" s="18" t="n">
        <v>15.13547085</v>
      </c>
      <c r="V75" s="20" t="n">
        <v>2.58233757</v>
      </c>
    </row>
    <row r="76" spans="1:22">
      <c r="A76" s="15" t="s">
        <v>636</v>
      </c>
      <c r="B76" s="17" t="n">
        <v>7052</v>
      </c>
      <c r="C76" s="18">
        <f>(6274.0/B76*100)</f>
        <v/>
      </c>
      <c r="D76" s="19" t="n">
        <v>778</v>
      </c>
      <c r="E76" s="18" t="n">
        <v>8.439131010000001</v>
      </c>
      <c r="F76" s="20" t="n">
        <v>1.30489813</v>
      </c>
      <c r="G76" s="18" t="n">
        <v>50.65771065</v>
      </c>
      <c r="H76" s="20" t="n">
        <v>2.6211339</v>
      </c>
      <c r="I76" s="18" t="n">
        <v>29.02414634</v>
      </c>
      <c r="J76" s="20" t="n">
        <v>2.15323405</v>
      </c>
      <c r="K76" s="18" t="n">
        <v>2.16107378</v>
      </c>
      <c r="L76" s="20" t="n">
        <v>0.67514628</v>
      </c>
      <c r="M76" s="18" t="s">
        <v>567</v>
      </c>
      <c r="N76" s="20" t="s">
        <v>567</v>
      </c>
      <c r="O76" s="18" t="n">
        <v>0.43413612</v>
      </c>
      <c r="P76" s="20" t="n">
        <v>0.23420695</v>
      </c>
      <c r="Q76" s="18" t="n">
        <v>0.04241111</v>
      </c>
      <c r="R76" s="20" t="n">
        <v>0.04253643</v>
      </c>
      <c r="S76" s="18" t="n">
        <v>0</v>
      </c>
      <c r="T76" s="20" t="n">
        <v>0</v>
      </c>
      <c r="U76" s="18" t="n">
        <v>9.241390989999999</v>
      </c>
      <c r="V76" s="20" t="n">
        <v>1.28144139</v>
      </c>
    </row>
    <row r="77" spans="1:22">
      <c r="A77" s="15" t="s">
        <v>637</v>
      </c>
      <c r="B77" s="17" t="n">
        <v>2908</v>
      </c>
      <c r="C77" s="18">
        <f>(2603.0/B77*100)</f>
        <v/>
      </c>
      <c r="D77" s="19" t="n">
        <v>305</v>
      </c>
      <c r="E77" s="18" t="n">
        <v>12.80542998</v>
      </c>
      <c r="F77" s="20" t="n">
        <v>2.18091199</v>
      </c>
      <c r="G77" s="18" t="n">
        <v>32.91029042</v>
      </c>
      <c r="H77" s="20" t="n">
        <v>2.82535172</v>
      </c>
      <c r="I77" s="18" t="n">
        <v>17.90674738</v>
      </c>
      <c r="J77" s="20" t="n">
        <v>1.98703333</v>
      </c>
      <c r="K77" s="18" t="n">
        <v>8.88328712</v>
      </c>
      <c r="L77" s="20" t="n">
        <v>1.66160664</v>
      </c>
      <c r="M77" s="18" t="s">
        <v>567</v>
      </c>
      <c r="N77" s="20" t="s">
        <v>567</v>
      </c>
      <c r="O77" s="18" t="n">
        <v>0.57286416</v>
      </c>
      <c r="P77" s="20" t="n">
        <v>0.61669848</v>
      </c>
      <c r="Q77" s="18" t="n">
        <v>0</v>
      </c>
      <c r="R77" s="20" t="n">
        <v>0</v>
      </c>
      <c r="S77" s="18" t="n">
        <v>0</v>
      </c>
      <c r="T77" s="20" t="n">
        <v>0</v>
      </c>
      <c r="U77" s="18" t="n">
        <v>26.92138096</v>
      </c>
      <c r="V77" s="20" t="n">
        <v>2.28452827</v>
      </c>
    </row>
    <row r="78" spans="1:22">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c r="U78" s="18" t="s">
        <v>567</v>
      </c>
      <c r="V78" s="20" t="s">
        <v>567</v>
      </c>
    </row>
    <row customHeight="1" ht="25" r="79" spans="1:22">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c r="U79" s="18" t="s">
        <v>567</v>
      </c>
      <c r="V79" s="20" t="s">
        <v>567</v>
      </c>
    </row>
    <row r="80" spans="1:22">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row>
    <row r="81" spans="1:22">
      <c r="A81" s="21" t="s">
        <v>641</v>
      </c>
      <c r="B81" s="17" t="n">
        <v>4163</v>
      </c>
      <c r="C81" s="18">
        <f>(3710.0/B81*100)</f>
        <v/>
      </c>
      <c r="D81" s="19" t="n">
        <v>453</v>
      </c>
      <c r="E81" s="18" t="n">
        <v>10.48588004</v>
      </c>
      <c r="F81" s="20" t="n">
        <v>2.15015815</v>
      </c>
      <c r="G81" s="18" t="n">
        <v>40.0711965</v>
      </c>
      <c r="H81" s="20" t="n">
        <v>3.0301357</v>
      </c>
      <c r="I81" s="18" t="n">
        <v>33.47732884</v>
      </c>
      <c r="J81" s="20" t="n">
        <v>2.2990984</v>
      </c>
      <c r="K81" s="18" t="n">
        <v>12.75578667</v>
      </c>
      <c r="L81" s="20" t="n">
        <v>1.85269708</v>
      </c>
      <c r="M81" s="18" t="s">
        <v>567</v>
      </c>
      <c r="N81" s="20" t="s">
        <v>567</v>
      </c>
      <c r="O81" s="18" t="n">
        <v>0.38137958</v>
      </c>
      <c r="P81" s="20" t="n">
        <v>0.26283598</v>
      </c>
      <c r="Q81" s="18" t="n">
        <v>0</v>
      </c>
      <c r="R81" s="20" t="n">
        <v>0</v>
      </c>
      <c r="S81" s="18" t="n">
        <v>0</v>
      </c>
      <c r="T81" s="20" t="n">
        <v>0</v>
      </c>
      <c r="U81" s="18" t="n">
        <v>2.82842837</v>
      </c>
      <c r="V81" s="20" t="n">
        <v>0.98041802</v>
      </c>
    </row>
    <row r="82" spans="1:22">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row>
    <row r="83" spans="1:22">
      <c r="A83" s="3" t="s">
        <v>643</v>
      </c>
    </row>
    <row r="84" spans="1:22">
      <c r="A84" s="23" t="s">
        <v>644</v>
      </c>
    </row>
    <row r="85" spans="1:22">
      <c r="A85" s="23" t="s">
        <v>645</v>
      </c>
    </row>
    <row customHeight="1" ht="30" r="86" spans="1:22">
      <c r="A86" s="23" t="s">
        <v>646</v>
      </c>
    </row>
    <row customHeight="1" ht="30" r="87" spans="1:22">
      <c r="A87" s="23" t="s">
        <v>642</v>
      </c>
    </row>
    <row customHeight="1" ht="30" r="88" spans="1:22">
      <c r="A88" s="23" t="s">
        <v>647</v>
      </c>
    </row>
    <row customHeight="1" ht="30" r="89" spans="1:22">
      <c r="A89" s="23" t="s">
        <v>648</v>
      </c>
    </row>
    <row customHeight="1" ht="30" r="90" spans="1:22">
      <c r="A90" s="23" t="s">
        <v>649</v>
      </c>
    </row>
    <row customHeight="1" ht="30" r="91" spans="1:22">
      <c r="A91" s="23" t="s">
        <v>650</v>
      </c>
    </row>
    <row customHeight="1" ht="30" r="92" spans="1:22">
      <c r="A92" s="23" t="s">
        <v>651</v>
      </c>
    </row>
    <row customHeight="1" ht="30" r="93" spans="1:22">
      <c r="A93" s="23" t="s">
        <v>652</v>
      </c>
    </row>
    <row customHeight="1" ht="30" r="94" spans="1:22">
      <c r="A94" s="23" t="s">
        <v>653</v>
      </c>
    </row>
    <row customHeight="1" ht="30" r="95" spans="1:22">
      <c r="A95" s="23" t="s">
        <v>654</v>
      </c>
    </row>
    <row customHeight="1" ht="30" r="96" spans="1:22">
      <c r="A96" s="23" t="s">
        <v>655</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(6556.0/B7*100)</f>
        <v/>
      </c>
      <c r="D7" s="19" t="n">
        <v>811</v>
      </c>
      <c r="E7" s="18" t="n">
        <v>64.79251015</v>
      </c>
      <c r="F7" s="20" t="n">
        <v>1.81579628</v>
      </c>
      <c r="G7" s="18" t="n">
        <v>33.93458571</v>
      </c>
      <c r="H7" s="20" t="n">
        <v>1.8416166</v>
      </c>
      <c r="I7" s="18" t="s">
        <v>567</v>
      </c>
      <c r="J7" s="20" t="s">
        <v>567</v>
      </c>
      <c r="K7" s="18" t="n">
        <v>0.23977346</v>
      </c>
      <c r="L7" s="20" t="n">
        <v>0.18610878</v>
      </c>
      <c r="M7" s="18" t="n">
        <v>0</v>
      </c>
      <c r="N7" s="20" t="n">
        <v>0</v>
      </c>
      <c r="O7" s="18" t="n">
        <v>0</v>
      </c>
      <c r="P7" s="20" t="n">
        <v>0</v>
      </c>
      <c r="Q7" s="18" t="n">
        <v>1.03313068</v>
      </c>
      <c r="R7" s="20" t="n">
        <v>0.37006036</v>
      </c>
    </row>
    <row r="8" spans="1:18">
      <c r="A8" s="15" t="s">
        <v>568</v>
      </c>
      <c r="B8" s="17" t="n">
        <v>3564</v>
      </c>
      <c r="C8" s="18">
        <f>(3178.0/B8*100)</f>
        <v/>
      </c>
      <c r="D8" s="19" t="n">
        <v>386</v>
      </c>
      <c r="E8" s="18" t="n">
        <v>58.52966588</v>
      </c>
      <c r="F8" s="20" t="n">
        <v>2.90132616</v>
      </c>
      <c r="G8" s="18" t="n">
        <v>40.02359108</v>
      </c>
      <c r="H8" s="20" t="n">
        <v>3.10452366</v>
      </c>
      <c r="I8" s="18" t="s">
        <v>567</v>
      </c>
      <c r="J8" s="20" t="s">
        <v>567</v>
      </c>
      <c r="K8" s="18" t="n">
        <v>0</v>
      </c>
      <c r="L8" s="20" t="n">
        <v>0</v>
      </c>
      <c r="M8" s="18" t="n">
        <v>0</v>
      </c>
      <c r="N8" s="20" t="n">
        <v>0</v>
      </c>
      <c r="O8" s="18" t="n">
        <v>0</v>
      </c>
      <c r="P8" s="20" t="n">
        <v>0</v>
      </c>
      <c r="Q8" s="18" t="n">
        <v>1.44674304</v>
      </c>
      <c r="R8" s="20" t="n">
        <v>0.63551523</v>
      </c>
    </row>
    <row r="9" spans="1:18">
      <c r="A9" s="15" t="s">
        <v>569</v>
      </c>
      <c r="B9" s="17" t="n">
        <v>4899</v>
      </c>
      <c r="C9" s="18">
        <f>(4342.0/B9*100)</f>
        <v/>
      </c>
      <c r="D9" s="19" t="n">
        <v>557</v>
      </c>
      <c r="E9" s="18" t="n">
        <v>66.61806879</v>
      </c>
      <c r="F9" s="20" t="n">
        <v>2.00261984</v>
      </c>
      <c r="G9" s="18" t="n">
        <v>32.78624625</v>
      </c>
      <c r="H9" s="20" t="n">
        <v>1.97707681</v>
      </c>
      <c r="I9" s="18" t="s">
        <v>567</v>
      </c>
      <c r="J9" s="20" t="s">
        <v>567</v>
      </c>
      <c r="K9" s="18" t="n">
        <v>0</v>
      </c>
      <c r="L9" s="20" t="n">
        <v>0</v>
      </c>
      <c r="M9" s="18" t="n">
        <v>0</v>
      </c>
      <c r="N9" s="20" t="n">
        <v>0</v>
      </c>
      <c r="O9" s="18" t="n">
        <v>0</v>
      </c>
      <c r="P9" s="20" t="n">
        <v>0</v>
      </c>
      <c r="Q9" s="18" t="n">
        <v>0.59568496</v>
      </c>
      <c r="R9" s="20" t="n">
        <v>0.30601417</v>
      </c>
    </row>
    <row r="10" spans="1:18">
      <c r="A10" s="15" t="s">
        <v>570</v>
      </c>
      <c r="B10" s="17" t="n">
        <v>10036</v>
      </c>
      <c r="C10" s="18">
        <f>(8907.0/B10*100)</f>
        <v/>
      </c>
      <c r="D10" s="19" t="n">
        <v>1129</v>
      </c>
      <c r="E10" s="18" t="n">
        <v>54.99016202</v>
      </c>
      <c r="F10" s="20" t="n">
        <v>2.20681008</v>
      </c>
      <c r="G10" s="18" t="n">
        <v>43.27504862</v>
      </c>
      <c r="H10" s="20" t="n">
        <v>2.19947669</v>
      </c>
      <c r="I10" s="18" t="s">
        <v>567</v>
      </c>
      <c r="J10" s="20" t="s">
        <v>567</v>
      </c>
      <c r="K10" s="18" t="n">
        <v>0.27836938</v>
      </c>
      <c r="L10" s="20" t="n">
        <v>0.20174885</v>
      </c>
      <c r="M10" s="18" t="n">
        <v>0</v>
      </c>
      <c r="N10" s="20" t="n">
        <v>0</v>
      </c>
      <c r="O10" s="18" t="n">
        <v>0</v>
      </c>
      <c r="P10" s="20" t="n">
        <v>0</v>
      </c>
      <c r="Q10" s="18" t="n">
        <v>1.45641999</v>
      </c>
      <c r="R10" s="20" t="n">
        <v>0.5349960499999999</v>
      </c>
    </row>
    <row r="11" spans="1:18">
      <c r="A11" s="15" t="s">
        <v>571</v>
      </c>
      <c r="B11" s="17" t="n">
        <v>3553</v>
      </c>
      <c r="C11" s="18">
        <f>(3157.0/B11*100)</f>
        <v/>
      </c>
      <c r="D11" s="19" t="n">
        <v>396</v>
      </c>
      <c r="E11" s="18" t="n">
        <v>78.42244116000001</v>
      </c>
      <c r="F11" s="20" t="n">
        <v>2.39477015</v>
      </c>
      <c r="G11" s="18" t="n">
        <v>19.29449814</v>
      </c>
      <c r="H11" s="20" t="n">
        <v>2.04670015</v>
      </c>
      <c r="I11" s="18" t="s">
        <v>567</v>
      </c>
      <c r="J11" s="20" t="s">
        <v>567</v>
      </c>
      <c r="K11" s="18" t="n">
        <v>0.79208066</v>
      </c>
      <c r="L11" s="20" t="n">
        <v>0.72776388</v>
      </c>
      <c r="M11" s="18" t="n">
        <v>0</v>
      </c>
      <c r="N11" s="20" t="n">
        <v>0</v>
      </c>
      <c r="O11" s="18" t="n">
        <v>0</v>
      </c>
      <c r="P11" s="20" t="n">
        <v>0</v>
      </c>
      <c r="Q11" s="18" t="n">
        <v>1.49098004</v>
      </c>
      <c r="R11" s="20" t="n">
        <v>0.8524199099999999</v>
      </c>
    </row>
    <row r="12" spans="1:18">
      <c r="A12" s="15" t="s">
        <v>572</v>
      </c>
      <c r="B12" s="17" t="n">
        <v>3472</v>
      </c>
      <c r="C12" s="18">
        <f>(3081.0/B12*100)</f>
        <v/>
      </c>
      <c r="D12" s="19" t="n">
        <v>391</v>
      </c>
      <c r="E12" s="18" t="n">
        <v>52.14184855</v>
      </c>
      <c r="F12" s="20" t="n">
        <v>3.40181523</v>
      </c>
      <c r="G12" s="18" t="n">
        <v>47.38079024</v>
      </c>
      <c r="H12" s="20" t="n">
        <v>3.39010381</v>
      </c>
      <c r="I12" s="18" t="s">
        <v>567</v>
      </c>
      <c r="J12" s="20" t="s">
        <v>567</v>
      </c>
      <c r="K12" s="18" t="n">
        <v>0</v>
      </c>
      <c r="L12" s="20" t="n">
        <v>0</v>
      </c>
      <c r="M12" s="18" t="n">
        <v>0</v>
      </c>
      <c r="N12" s="20" t="n">
        <v>0</v>
      </c>
      <c r="O12" s="18" t="n">
        <v>0</v>
      </c>
      <c r="P12" s="20" t="n">
        <v>0</v>
      </c>
      <c r="Q12" s="18" t="n">
        <v>0.47736122</v>
      </c>
      <c r="R12" s="20" t="n">
        <v>0.29051772</v>
      </c>
    </row>
    <row r="13" spans="1:18">
      <c r="A13" s="15" t="s">
        <v>573</v>
      </c>
      <c r="B13" s="17" t="n">
        <v>3559</v>
      </c>
      <c r="C13" s="18">
        <f>(3229.0/B13*100)</f>
        <v/>
      </c>
      <c r="D13" s="19" t="n">
        <v>330</v>
      </c>
      <c r="E13" s="18" t="n">
        <v>50.17643133</v>
      </c>
      <c r="F13" s="20" t="n">
        <v>3.04634876</v>
      </c>
      <c r="G13" s="18" t="n">
        <v>47.88167351</v>
      </c>
      <c r="H13" s="20" t="n">
        <v>3.10200285</v>
      </c>
      <c r="I13" s="18" t="s">
        <v>567</v>
      </c>
      <c r="J13" s="20" t="s">
        <v>567</v>
      </c>
      <c r="K13" s="18" t="n">
        <v>0.88365961</v>
      </c>
      <c r="L13" s="20" t="n">
        <v>0.7680330399999999</v>
      </c>
      <c r="M13" s="18" t="n">
        <v>0</v>
      </c>
      <c r="N13" s="20" t="n">
        <v>0</v>
      </c>
      <c r="O13" s="18" t="n">
        <v>0</v>
      </c>
      <c r="P13" s="20" t="n">
        <v>0</v>
      </c>
      <c r="Q13" s="18" t="n">
        <v>1.05823555</v>
      </c>
      <c r="R13" s="20" t="n">
        <v>0.7298890099999999</v>
      </c>
    </row>
    <row r="14" spans="1:18">
      <c r="A14" s="15" t="s">
        <v>574</v>
      </c>
      <c r="B14" s="17" t="n">
        <v>2799</v>
      </c>
      <c r="C14" s="18">
        <f>(2464.0/B14*100)</f>
        <v/>
      </c>
      <c r="D14" s="19" t="n">
        <v>335</v>
      </c>
      <c r="E14" s="18" t="n">
        <v>64.98794014000001</v>
      </c>
      <c r="F14" s="20" t="n">
        <v>3.21081383</v>
      </c>
      <c r="G14" s="18" t="n">
        <v>34.73071234</v>
      </c>
      <c r="H14" s="20" t="n">
        <v>3.19760816</v>
      </c>
      <c r="I14" s="18" t="s">
        <v>567</v>
      </c>
      <c r="J14" s="20" t="s">
        <v>567</v>
      </c>
      <c r="K14" s="18" t="n">
        <v>0.28134752</v>
      </c>
      <c r="L14" s="20" t="n">
        <v>0.28443054</v>
      </c>
      <c r="M14" s="18" t="n">
        <v>0</v>
      </c>
      <c r="N14" s="20" t="n">
        <v>0</v>
      </c>
      <c r="O14" s="18" t="n">
        <v>0</v>
      </c>
      <c r="P14" s="20" t="n">
        <v>0</v>
      </c>
      <c r="Q14" s="18" t="n">
        <v>0</v>
      </c>
      <c r="R14" s="20" t="n">
        <v>0</v>
      </c>
    </row>
    <row r="15" spans="1:18">
      <c r="A15" s="15" t="s">
        <v>575</v>
      </c>
      <c r="B15" s="17" t="n">
        <v>3019</v>
      </c>
      <c r="C15" s="18">
        <f>(2687.0/B15*100)</f>
        <v/>
      </c>
      <c r="D15" s="19" t="n">
        <v>332</v>
      </c>
      <c r="E15" s="18" t="n">
        <v>54.6157523</v>
      </c>
      <c r="F15" s="20" t="n">
        <v>2.74567005</v>
      </c>
      <c r="G15" s="18" t="n">
        <v>44.55038347</v>
      </c>
      <c r="H15" s="20" t="n">
        <v>2.80714157</v>
      </c>
      <c r="I15" s="18" t="s">
        <v>567</v>
      </c>
      <c r="J15" s="20" t="s">
        <v>567</v>
      </c>
      <c r="K15" s="18" t="n">
        <v>0</v>
      </c>
      <c r="L15" s="20" t="n">
        <v>0</v>
      </c>
      <c r="M15" s="18" t="n">
        <v>0</v>
      </c>
      <c r="N15" s="20" t="n">
        <v>0</v>
      </c>
      <c r="O15" s="18" t="n">
        <v>0</v>
      </c>
      <c r="P15" s="20" t="n">
        <v>0</v>
      </c>
      <c r="Q15" s="18" t="n">
        <v>0.83386424</v>
      </c>
      <c r="R15" s="20" t="n">
        <v>0.50715568</v>
      </c>
    </row>
    <row r="16" spans="1:18">
      <c r="A16" s="15" t="s">
        <v>576</v>
      </c>
      <c r="B16" s="17" t="n">
        <v>2997</v>
      </c>
      <c r="C16" s="18">
        <f>(2652.0/B16*100)</f>
        <v/>
      </c>
      <c r="D16" s="19" t="n">
        <v>345</v>
      </c>
      <c r="E16" s="18" t="n">
        <v>65.93423822</v>
      </c>
      <c r="F16" s="20" t="n">
        <v>2.3621383</v>
      </c>
      <c r="G16" s="18" t="n">
        <v>31.77225385</v>
      </c>
      <c r="H16" s="20" t="n">
        <v>2.41228756</v>
      </c>
      <c r="I16" s="18" t="s">
        <v>567</v>
      </c>
      <c r="J16" s="20" t="s">
        <v>567</v>
      </c>
      <c r="K16" s="18" t="n">
        <v>0.27040923</v>
      </c>
      <c r="L16" s="20" t="n">
        <v>0.28252339</v>
      </c>
      <c r="M16" s="18" t="n">
        <v>0</v>
      </c>
      <c r="N16" s="20" t="n">
        <v>0</v>
      </c>
      <c r="O16" s="18" t="n">
        <v>0</v>
      </c>
      <c r="P16" s="20" t="n">
        <v>0</v>
      </c>
      <c r="Q16" s="18" t="n">
        <v>2.0230987</v>
      </c>
      <c r="R16" s="20" t="n">
        <v>0.81005616</v>
      </c>
    </row>
    <row r="17" spans="1:18">
      <c r="A17" s="15" t="s">
        <v>577</v>
      </c>
      <c r="B17" s="17" t="n">
        <v>3307</v>
      </c>
      <c r="C17" s="18">
        <f>(2966.0/B17*100)</f>
        <v/>
      </c>
      <c r="D17" s="19" t="n">
        <v>341</v>
      </c>
      <c r="E17" s="18" t="n">
        <v>60.58055522</v>
      </c>
      <c r="F17" s="20" t="n">
        <v>2.80424631</v>
      </c>
      <c r="G17" s="18" t="n">
        <v>39.17683732</v>
      </c>
      <c r="H17" s="20" t="n">
        <v>2.80178261</v>
      </c>
      <c r="I17" s="18" t="s">
        <v>567</v>
      </c>
      <c r="J17" s="20" t="s">
        <v>567</v>
      </c>
      <c r="K17" s="18" t="n">
        <v>0</v>
      </c>
      <c r="L17" s="20" t="n">
        <v>0</v>
      </c>
      <c r="M17" s="18" t="n">
        <v>0</v>
      </c>
      <c r="N17" s="20" t="n">
        <v>0</v>
      </c>
      <c r="O17" s="18" t="n">
        <v>0</v>
      </c>
      <c r="P17" s="20" t="n">
        <v>0</v>
      </c>
      <c r="Q17" s="18" t="n">
        <v>0.24260746</v>
      </c>
      <c r="R17" s="20" t="n">
        <v>0.22494035</v>
      </c>
    </row>
    <row r="18" spans="1:18">
      <c r="A18" s="15" t="s">
        <v>578</v>
      </c>
      <c r="B18" s="17" t="n">
        <v>2826</v>
      </c>
      <c r="C18" s="18">
        <f>(2499.0/B18*100)</f>
        <v/>
      </c>
      <c r="D18" s="19" t="n">
        <v>327</v>
      </c>
      <c r="E18" s="18" t="n">
        <v>75.22170873</v>
      </c>
      <c r="F18" s="20" t="n">
        <v>2.77719092</v>
      </c>
      <c r="G18" s="18" t="n">
        <v>22.87516722</v>
      </c>
      <c r="H18" s="20" t="n">
        <v>2.8029396</v>
      </c>
      <c r="I18" s="18" t="s">
        <v>567</v>
      </c>
      <c r="J18" s="20" t="s">
        <v>567</v>
      </c>
      <c r="K18" s="18" t="n">
        <v>0.16784398</v>
      </c>
      <c r="L18" s="20" t="n">
        <v>0.17254055</v>
      </c>
      <c r="M18" s="18" t="n">
        <v>0</v>
      </c>
      <c r="N18" s="20" t="n">
        <v>0</v>
      </c>
      <c r="O18" s="18" t="n">
        <v>0</v>
      </c>
      <c r="P18" s="20" t="n">
        <v>0</v>
      </c>
      <c r="Q18" s="18" t="n">
        <v>1.73528007</v>
      </c>
      <c r="R18" s="20" t="n">
        <v>0.67385249</v>
      </c>
    </row>
    <row r="19" spans="1:18">
      <c r="A19" s="15" t="s">
        <v>579</v>
      </c>
      <c r="B19" s="17" t="n">
        <v>2808</v>
      </c>
      <c r="C19" s="18">
        <f>(2497.0/B19*100)</f>
        <v/>
      </c>
      <c r="D19" s="19" t="n">
        <v>311</v>
      </c>
      <c r="E19" s="18" t="n">
        <v>56.16372741</v>
      </c>
      <c r="F19" s="20" t="n">
        <v>3.01449676</v>
      </c>
      <c r="G19" s="18" t="n">
        <v>43.25944593</v>
      </c>
      <c r="H19" s="20" t="n">
        <v>2.98873025</v>
      </c>
      <c r="I19" s="18" t="s">
        <v>567</v>
      </c>
      <c r="J19" s="20" t="s">
        <v>567</v>
      </c>
      <c r="K19" s="18" t="n">
        <v>0</v>
      </c>
      <c r="L19" s="20" t="n">
        <v>0</v>
      </c>
      <c r="M19" s="18" t="n">
        <v>0</v>
      </c>
      <c r="N19" s="20" t="n">
        <v>0</v>
      </c>
      <c r="O19" s="18" t="n">
        <v>0</v>
      </c>
      <c r="P19" s="20" t="n">
        <v>0</v>
      </c>
      <c r="Q19" s="18" t="n">
        <v>0.57682665</v>
      </c>
      <c r="R19" s="20" t="n">
        <v>0.38684353</v>
      </c>
    </row>
    <row r="20" spans="1:18">
      <c r="A20" s="15" t="s">
        <v>580</v>
      </c>
      <c r="B20" s="17" t="n">
        <v>1630</v>
      </c>
      <c r="C20" s="18">
        <f>(1460.0/B20*100)</f>
        <v/>
      </c>
      <c r="D20" s="19" t="n">
        <v>170</v>
      </c>
      <c r="E20" s="18" t="n">
        <v>61.31960926</v>
      </c>
      <c r="F20" s="20" t="n">
        <v>3.62326838</v>
      </c>
      <c r="G20" s="18" t="n">
        <v>36.98837807</v>
      </c>
      <c r="H20" s="20" t="n">
        <v>3.55713946</v>
      </c>
      <c r="I20" s="18" t="s">
        <v>567</v>
      </c>
      <c r="J20" s="20" t="s">
        <v>567</v>
      </c>
      <c r="K20" s="18" t="n">
        <v>0</v>
      </c>
      <c r="L20" s="20" t="n">
        <v>0</v>
      </c>
      <c r="M20" s="18" t="n">
        <v>0</v>
      </c>
      <c r="N20" s="20" t="n">
        <v>0</v>
      </c>
      <c r="O20" s="18" t="n">
        <v>0</v>
      </c>
      <c r="P20" s="20" t="n">
        <v>0</v>
      </c>
      <c r="Q20" s="18" t="n">
        <v>1.69201266</v>
      </c>
      <c r="R20" s="20" t="n">
        <v>0.9706172199999999</v>
      </c>
    </row>
    <row r="21" spans="1:18">
      <c r="A21" s="15" t="s">
        <v>581</v>
      </c>
      <c r="B21" s="17" t="n">
        <v>2908</v>
      </c>
      <c r="C21" s="18">
        <f>(2576.0/B21*100)</f>
        <v/>
      </c>
      <c r="D21" s="19" t="n">
        <v>332</v>
      </c>
      <c r="E21" s="18" t="n">
        <v>54.17829383</v>
      </c>
      <c r="F21" s="20" t="n">
        <v>2.58346194</v>
      </c>
      <c r="G21" s="18" t="n">
        <v>45.48390431</v>
      </c>
      <c r="H21" s="20" t="n">
        <v>2.55918978</v>
      </c>
      <c r="I21" s="18" t="s">
        <v>567</v>
      </c>
      <c r="J21" s="20" t="s">
        <v>567</v>
      </c>
      <c r="K21" s="18" t="n">
        <v>0</v>
      </c>
      <c r="L21" s="20" t="n">
        <v>0</v>
      </c>
      <c r="M21" s="18" t="n">
        <v>0</v>
      </c>
      <c r="N21" s="20" t="n">
        <v>0</v>
      </c>
      <c r="O21" s="18" t="n">
        <v>0</v>
      </c>
      <c r="P21" s="20" t="n">
        <v>0</v>
      </c>
      <c r="Q21" s="18" t="n">
        <v>0.33780186</v>
      </c>
      <c r="R21" s="20" t="n">
        <v>0.2365938</v>
      </c>
    </row>
    <row r="22" spans="1:18">
      <c r="A22" s="15" t="s">
        <v>582</v>
      </c>
      <c r="B22" s="17" t="n">
        <v>2931</v>
      </c>
      <c r="C22" s="18">
        <f>(2599.0/B22*100)</f>
        <v/>
      </c>
      <c r="D22" s="19" t="n">
        <v>332</v>
      </c>
      <c r="E22" s="18" t="n">
        <v>74.29976305</v>
      </c>
      <c r="F22" s="20" t="n">
        <v>2.90452041</v>
      </c>
      <c r="G22" s="18" t="n">
        <v>22.7360632</v>
      </c>
      <c r="H22" s="20" t="n">
        <v>2.65916678</v>
      </c>
      <c r="I22" s="18" t="s">
        <v>567</v>
      </c>
      <c r="J22" s="20" t="s">
        <v>567</v>
      </c>
      <c r="K22" s="18" t="n">
        <v>1.1258328</v>
      </c>
      <c r="L22" s="20" t="n">
        <v>0.6765423699999999</v>
      </c>
      <c r="M22" s="18" t="n">
        <v>0</v>
      </c>
      <c r="N22" s="20" t="n">
        <v>0</v>
      </c>
      <c r="O22" s="18" t="n">
        <v>0</v>
      </c>
      <c r="P22" s="20" t="n">
        <v>0</v>
      </c>
      <c r="Q22" s="18" t="n">
        <v>1.83834096</v>
      </c>
      <c r="R22" s="20" t="n">
        <v>0.73126211</v>
      </c>
    </row>
    <row r="23" spans="1:18">
      <c r="A23" s="15" t="s">
        <v>583</v>
      </c>
      <c r="B23" s="17" t="n">
        <v>5791</v>
      </c>
      <c r="C23" s="18">
        <f>(5151.0/B23*100)</f>
        <v/>
      </c>
      <c r="D23" s="19" t="n">
        <v>640</v>
      </c>
      <c r="E23" s="18" t="n">
        <v>61.20539991</v>
      </c>
      <c r="F23" s="20" t="n">
        <v>3.23652501</v>
      </c>
      <c r="G23" s="18" t="n">
        <v>37.31781387</v>
      </c>
      <c r="H23" s="20" t="n">
        <v>3.0762136</v>
      </c>
      <c r="I23" s="18" t="s">
        <v>567</v>
      </c>
      <c r="J23" s="20" t="s">
        <v>567</v>
      </c>
      <c r="K23" s="18" t="n">
        <v>0</v>
      </c>
      <c r="L23" s="20" t="n">
        <v>0</v>
      </c>
      <c r="M23" s="18" t="n">
        <v>0</v>
      </c>
      <c r="N23" s="20" t="n">
        <v>0</v>
      </c>
      <c r="O23" s="18" t="n">
        <v>0</v>
      </c>
      <c r="P23" s="20" t="n">
        <v>0</v>
      </c>
      <c r="Q23" s="18" t="n">
        <v>1.47678622</v>
      </c>
      <c r="R23" s="20" t="n">
        <v>0.781246</v>
      </c>
    </row>
    <row r="24" spans="1:18">
      <c r="A24" s="15" t="s">
        <v>584</v>
      </c>
      <c r="B24" s="17" t="n">
        <v>3338</v>
      </c>
      <c r="C24" s="18">
        <f>(2972.0/B24*100)</f>
        <v/>
      </c>
      <c r="D24" s="19" t="n">
        <v>366</v>
      </c>
      <c r="E24" s="18" t="n">
        <v>37.22358599</v>
      </c>
      <c r="F24" s="20" t="n">
        <v>2.55499589</v>
      </c>
      <c r="G24" s="18" t="n">
        <v>61.93997266</v>
      </c>
      <c r="H24" s="20" t="n">
        <v>2.66586442</v>
      </c>
      <c r="I24" s="18" t="s">
        <v>567</v>
      </c>
      <c r="J24" s="20" t="s">
        <v>567</v>
      </c>
      <c r="K24" s="18" t="n">
        <v>0</v>
      </c>
      <c r="L24" s="20" t="n">
        <v>0</v>
      </c>
      <c r="M24" s="18" t="n">
        <v>0</v>
      </c>
      <c r="N24" s="20" t="n">
        <v>0</v>
      </c>
      <c r="O24" s="18" t="n">
        <v>0</v>
      </c>
      <c r="P24" s="20" t="n">
        <v>0</v>
      </c>
      <c r="Q24" s="18" t="n">
        <v>0.83644136</v>
      </c>
      <c r="R24" s="20" t="n">
        <v>0.4711623</v>
      </c>
    </row>
    <row r="25" spans="1:18">
      <c r="A25" s="15" t="s">
        <v>585</v>
      </c>
      <c r="B25" s="17" t="n">
        <v>2912</v>
      </c>
      <c r="C25" s="18">
        <f>(2606.0/B25*100)</f>
        <v/>
      </c>
      <c r="D25" s="19" t="n">
        <v>306</v>
      </c>
      <c r="E25" s="18" t="n">
        <v>49.8242026</v>
      </c>
      <c r="F25" s="20" t="n">
        <v>2.81551264</v>
      </c>
      <c r="G25" s="18" t="n">
        <v>49.54615304</v>
      </c>
      <c r="H25" s="20" t="n">
        <v>2.79750281</v>
      </c>
      <c r="I25" s="18" t="s">
        <v>567</v>
      </c>
      <c r="J25" s="20" t="s">
        <v>567</v>
      </c>
      <c r="K25" s="18" t="n">
        <v>0</v>
      </c>
      <c r="L25" s="20" t="n">
        <v>0</v>
      </c>
      <c r="M25" s="18" t="n">
        <v>0</v>
      </c>
      <c r="N25" s="20" t="n">
        <v>0</v>
      </c>
      <c r="O25" s="18" t="n">
        <v>0</v>
      </c>
      <c r="P25" s="20" t="n">
        <v>0</v>
      </c>
      <c r="Q25" s="18" t="n">
        <v>0.62964435</v>
      </c>
      <c r="R25" s="20" t="n">
        <v>0.45693358</v>
      </c>
    </row>
    <row r="26" spans="1:18">
      <c r="A26" s="15" t="s">
        <v>586</v>
      </c>
      <c r="B26" s="17" t="n">
        <v>2450</v>
      </c>
      <c r="C26" s="18">
        <f>(2177.0/B26*100)</f>
        <v/>
      </c>
      <c r="D26" s="19" t="n">
        <v>273</v>
      </c>
      <c r="E26" s="18" t="n">
        <v>69.17072546</v>
      </c>
      <c r="F26" s="20" t="n">
        <v>3.05962816</v>
      </c>
      <c r="G26" s="18" t="n">
        <v>30.82927454</v>
      </c>
      <c r="H26" s="20" t="n">
        <v>3.05962816</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(2317.0/B27*100)</f>
        <v/>
      </c>
      <c r="D27" s="19" t="n">
        <v>299</v>
      </c>
      <c r="E27" s="18" t="n">
        <v>69.40877703</v>
      </c>
      <c r="F27" s="20" t="n">
        <v>2.41162379</v>
      </c>
      <c r="G27" s="18" t="n">
        <v>28.92223022</v>
      </c>
      <c r="H27" s="20" t="n">
        <v>2.32205405</v>
      </c>
      <c r="I27" s="18" t="s">
        <v>567</v>
      </c>
      <c r="J27" s="20" t="s">
        <v>567</v>
      </c>
      <c r="K27" s="18" t="n">
        <v>0.35255678</v>
      </c>
      <c r="L27" s="20" t="n">
        <v>0.35624811</v>
      </c>
      <c r="M27" s="18" t="n">
        <v>0</v>
      </c>
      <c r="N27" s="20" t="n">
        <v>0</v>
      </c>
      <c r="O27" s="18" t="n">
        <v>0</v>
      </c>
      <c r="P27" s="20" t="n">
        <v>0</v>
      </c>
      <c r="Q27" s="18" t="n">
        <v>1.31643598</v>
      </c>
      <c r="R27" s="20" t="n">
        <v>0.65762416</v>
      </c>
    </row>
    <row r="28" spans="1:18">
      <c r="A28" s="15" t="s">
        <v>588</v>
      </c>
      <c r="B28" s="17" t="n">
        <v>3765</v>
      </c>
      <c r="C28" s="18">
        <f>(3371.0/B28*100)</f>
        <v/>
      </c>
      <c r="D28" s="19" t="n">
        <v>394</v>
      </c>
      <c r="E28" s="18" t="n">
        <v>82.71573028</v>
      </c>
      <c r="F28" s="20" t="n">
        <v>2.01586208</v>
      </c>
      <c r="G28" s="18" t="n">
        <v>17.06237941</v>
      </c>
      <c r="H28" s="20" t="n">
        <v>2.06893163</v>
      </c>
      <c r="I28" s="18" t="s">
        <v>567</v>
      </c>
      <c r="J28" s="20" t="s">
        <v>567</v>
      </c>
      <c r="K28" s="18" t="n">
        <v>0</v>
      </c>
      <c r="L28" s="20" t="n">
        <v>0</v>
      </c>
      <c r="M28" s="18" t="n">
        <v>0</v>
      </c>
      <c r="N28" s="20" t="n">
        <v>0</v>
      </c>
      <c r="O28" s="18" t="n">
        <v>0</v>
      </c>
      <c r="P28" s="20" t="n">
        <v>0</v>
      </c>
      <c r="Q28" s="18" t="n">
        <v>0.22189031</v>
      </c>
      <c r="R28" s="20" t="n">
        <v>0.22317889</v>
      </c>
    </row>
    <row r="29" spans="1:18">
      <c r="A29" s="15" t="s">
        <v>589</v>
      </c>
      <c r="B29" s="17" t="n">
        <v>2685</v>
      </c>
      <c r="C29" s="18">
        <f>(2404.0/B29*100)</f>
        <v/>
      </c>
      <c r="D29" s="19" t="n">
        <v>281</v>
      </c>
      <c r="E29" s="18" t="n">
        <v>62.9338982</v>
      </c>
      <c r="F29" s="20" t="n">
        <v>2.99192699</v>
      </c>
      <c r="G29" s="18" t="n">
        <v>35.54746839</v>
      </c>
      <c r="H29" s="20" t="n">
        <v>2.92873354</v>
      </c>
      <c r="I29" s="18" t="s">
        <v>567</v>
      </c>
      <c r="J29" s="20" t="s">
        <v>567</v>
      </c>
      <c r="K29" s="18" t="n">
        <v>0.36807508</v>
      </c>
      <c r="L29" s="20" t="n">
        <v>0.36480756</v>
      </c>
      <c r="M29" s="18" t="n">
        <v>0</v>
      </c>
      <c r="N29" s="20" t="n">
        <v>0</v>
      </c>
      <c r="O29" s="18" t="n">
        <v>0</v>
      </c>
      <c r="P29" s="20" t="n">
        <v>0</v>
      </c>
      <c r="Q29" s="18" t="n">
        <v>1.15055833</v>
      </c>
      <c r="R29" s="20" t="n">
        <v>0.65243886</v>
      </c>
    </row>
    <row r="30" spans="1:18">
      <c r="A30" s="15" t="s">
        <v>590</v>
      </c>
      <c r="B30" s="17" t="n">
        <v>2263</v>
      </c>
      <c r="C30" s="18">
        <f>(1998.0/B30*100)</f>
        <v/>
      </c>
      <c r="D30" s="19" t="n">
        <v>265</v>
      </c>
      <c r="E30" s="18" t="n">
        <v>66.64659687</v>
      </c>
      <c r="F30" s="20" t="n">
        <v>2.94627572</v>
      </c>
      <c r="G30" s="18" t="n">
        <v>32.62967468</v>
      </c>
      <c r="H30" s="20" t="n">
        <v>2.90717368</v>
      </c>
      <c r="I30" s="18" t="s">
        <v>567</v>
      </c>
      <c r="J30" s="20" t="s">
        <v>567</v>
      </c>
      <c r="K30" s="18" t="n">
        <v>0</v>
      </c>
      <c r="L30" s="20" t="n">
        <v>0</v>
      </c>
      <c r="M30" s="18" t="n">
        <v>0</v>
      </c>
      <c r="N30" s="20" t="n">
        <v>0</v>
      </c>
      <c r="O30" s="18" t="n">
        <v>0</v>
      </c>
      <c r="P30" s="20" t="n">
        <v>0</v>
      </c>
      <c r="Q30" s="18" t="n">
        <v>0.72372845</v>
      </c>
      <c r="R30" s="20" t="n">
        <v>0.55602286</v>
      </c>
    </row>
    <row r="31" spans="1:18">
      <c r="A31" s="15" t="s">
        <v>591</v>
      </c>
      <c r="B31" s="17" t="n">
        <v>2750</v>
      </c>
      <c r="C31" s="18">
        <f>(2451.0/B31*100)</f>
        <v/>
      </c>
      <c r="D31" s="19" t="n">
        <v>299</v>
      </c>
      <c r="E31" s="18" t="n">
        <v>59.95757357</v>
      </c>
      <c r="F31" s="20" t="n">
        <v>3.34208045</v>
      </c>
      <c r="G31" s="18" t="n">
        <v>38.15792994</v>
      </c>
      <c r="H31" s="20" t="n">
        <v>3.16890537</v>
      </c>
      <c r="I31" s="18" t="s">
        <v>567</v>
      </c>
      <c r="J31" s="20" t="s">
        <v>567</v>
      </c>
      <c r="K31" s="18" t="n">
        <v>0.28162006</v>
      </c>
      <c r="L31" s="20" t="n">
        <v>0.28355703</v>
      </c>
      <c r="M31" s="18" t="n">
        <v>0</v>
      </c>
      <c r="N31" s="20" t="n">
        <v>0</v>
      </c>
      <c r="O31" s="18" t="n">
        <v>0</v>
      </c>
      <c r="P31" s="20" t="n">
        <v>0</v>
      </c>
      <c r="Q31" s="18" t="n">
        <v>1.60287643</v>
      </c>
      <c r="R31" s="20" t="n">
        <v>0.72085993</v>
      </c>
    </row>
    <row r="32" spans="1:18">
      <c r="A32" s="15" t="s">
        <v>592</v>
      </c>
      <c r="B32" s="17" t="n">
        <v>2269</v>
      </c>
      <c r="C32" s="18">
        <f>(2022.0/B32*100)</f>
        <v/>
      </c>
      <c r="D32" s="19" t="n">
        <v>247</v>
      </c>
      <c r="E32" s="18" t="n">
        <v>55.54970229</v>
      </c>
      <c r="F32" s="20" t="n">
        <v>3.35326659</v>
      </c>
      <c r="G32" s="18" t="n">
        <v>42.96877975</v>
      </c>
      <c r="H32" s="20" t="n">
        <v>3.28731307</v>
      </c>
      <c r="I32" s="18" t="s">
        <v>567</v>
      </c>
      <c r="J32" s="20" t="s">
        <v>567</v>
      </c>
      <c r="K32" s="18" t="n">
        <v>0.35989879</v>
      </c>
      <c r="L32" s="20" t="n">
        <v>0.35159989</v>
      </c>
      <c r="M32" s="18" t="n">
        <v>0</v>
      </c>
      <c r="N32" s="20" t="n">
        <v>0</v>
      </c>
      <c r="O32" s="18" t="n">
        <v>0</v>
      </c>
      <c r="P32" s="20" t="n">
        <v>0</v>
      </c>
      <c r="Q32" s="18" t="n">
        <v>1.12161917</v>
      </c>
      <c r="R32" s="20" t="n">
        <v>0.8317008299999999</v>
      </c>
    </row>
    <row r="33" spans="1:18">
      <c r="A33" s="15" t="s">
        <v>593</v>
      </c>
      <c r="B33" s="17" t="n">
        <v>3674</v>
      </c>
      <c r="C33" s="18">
        <f>(3274.0/B33*100)</f>
        <v/>
      </c>
      <c r="D33" s="19" t="n">
        <v>400</v>
      </c>
      <c r="E33" s="18" t="n">
        <v>67.89909192</v>
      </c>
      <c r="F33" s="20" t="n">
        <v>2.36386897</v>
      </c>
      <c r="G33" s="18" t="n">
        <v>31.34244309</v>
      </c>
      <c r="H33" s="20" t="n">
        <v>2.75082796</v>
      </c>
      <c r="I33" s="18" t="s">
        <v>567</v>
      </c>
      <c r="J33" s="20" t="s">
        <v>567</v>
      </c>
      <c r="K33" s="18" t="n">
        <v>0</v>
      </c>
      <c r="L33" s="20" t="n">
        <v>0</v>
      </c>
      <c r="M33" s="18" t="n">
        <v>0</v>
      </c>
      <c r="N33" s="20" t="n">
        <v>0</v>
      </c>
      <c r="O33" s="18" t="n">
        <v>0</v>
      </c>
      <c r="P33" s="20" t="n">
        <v>0</v>
      </c>
      <c r="Q33" s="18" t="n">
        <v>0.75846499</v>
      </c>
      <c r="R33" s="20" t="n">
        <v>0.81551564</v>
      </c>
    </row>
    <row r="34" spans="1:18">
      <c r="A34" s="15" t="s">
        <v>594</v>
      </c>
      <c r="B34" s="17" t="n">
        <v>3315</v>
      </c>
      <c r="C34" s="18">
        <f>(2970.0/B34*100)</f>
        <v/>
      </c>
      <c r="D34" s="19" t="n">
        <v>345</v>
      </c>
      <c r="E34" s="18" t="n">
        <v>67.41972954000001</v>
      </c>
      <c r="F34" s="20" t="n">
        <v>2.92482734</v>
      </c>
      <c r="G34" s="18" t="n">
        <v>32.58027046</v>
      </c>
      <c r="H34" s="20" t="n">
        <v>2.92482734</v>
      </c>
      <c r="I34" s="18" t="s">
        <v>567</v>
      </c>
      <c r="J34" s="20" t="s">
        <v>567</v>
      </c>
      <c r="K34" s="18" t="n">
        <v>0</v>
      </c>
      <c r="L34" s="20" t="n">
        <v>0</v>
      </c>
      <c r="M34" s="18" t="n">
        <v>0</v>
      </c>
      <c r="N34" s="20" t="n">
        <v>0</v>
      </c>
      <c r="O34" s="18" t="n">
        <v>0</v>
      </c>
      <c r="P34" s="20" t="n">
        <v>0</v>
      </c>
      <c r="Q34" s="18" t="n">
        <v>0</v>
      </c>
      <c r="R34" s="20" t="n">
        <v>0</v>
      </c>
    </row>
    <row r="35" spans="1:18">
      <c r="A35" s="15" t="s">
        <v>595</v>
      </c>
      <c r="B35" s="17" t="n">
        <v>3505</v>
      </c>
      <c r="C35" s="18">
        <f>(3120.0/B35*100)</f>
        <v/>
      </c>
      <c r="D35" s="19" t="n">
        <v>385</v>
      </c>
      <c r="E35" s="18" t="n">
        <v>54.38840487</v>
      </c>
      <c r="F35" s="20" t="n">
        <v>3.35582273</v>
      </c>
      <c r="G35" s="18" t="n">
        <v>44.67013969</v>
      </c>
      <c r="H35" s="20" t="n">
        <v>3.22715144</v>
      </c>
      <c r="I35" s="18" t="s">
        <v>567</v>
      </c>
      <c r="J35" s="20" t="s">
        <v>567</v>
      </c>
      <c r="K35" s="18" t="n">
        <v>0</v>
      </c>
      <c r="L35" s="20" t="n">
        <v>0</v>
      </c>
      <c r="M35" s="18" t="n">
        <v>0</v>
      </c>
      <c r="N35" s="20" t="n">
        <v>0</v>
      </c>
      <c r="O35" s="18" t="n">
        <v>0</v>
      </c>
      <c r="P35" s="20" t="n">
        <v>0</v>
      </c>
      <c r="Q35" s="18" t="n">
        <v>0.94145544</v>
      </c>
      <c r="R35" s="20" t="n">
        <v>0.50525507</v>
      </c>
    </row>
    <row r="36" spans="1:18">
      <c r="A36" s="15" t="s">
        <v>596</v>
      </c>
      <c r="B36" s="17" t="n">
        <v>3332</v>
      </c>
      <c r="C36" s="18">
        <f>(2950.0/B36*100)</f>
        <v/>
      </c>
      <c r="D36" s="19" t="n">
        <v>382</v>
      </c>
      <c r="E36" s="18" t="n">
        <v>64.82592218000001</v>
      </c>
      <c r="F36" s="20" t="n">
        <v>2.85984474</v>
      </c>
      <c r="G36" s="18" t="n">
        <v>34.2585266</v>
      </c>
      <c r="H36" s="20" t="n">
        <v>2.78805397</v>
      </c>
      <c r="I36" s="18" t="s">
        <v>567</v>
      </c>
      <c r="J36" s="20" t="s">
        <v>567</v>
      </c>
      <c r="K36" s="18" t="n">
        <v>0</v>
      </c>
      <c r="L36" s="20" t="n">
        <v>0</v>
      </c>
      <c r="M36" s="18" t="n">
        <v>0</v>
      </c>
      <c r="N36" s="20" t="n">
        <v>0</v>
      </c>
      <c r="O36" s="18" t="n">
        <v>0</v>
      </c>
      <c r="P36" s="20" t="n">
        <v>0</v>
      </c>
      <c r="Q36" s="18" t="n">
        <v>0.91555122</v>
      </c>
      <c r="R36" s="20" t="n">
        <v>0.53663808</v>
      </c>
    </row>
    <row r="37" spans="1:18">
      <c r="A37" s="15" t="s">
        <v>597</v>
      </c>
      <c r="B37" s="17" t="n">
        <v>2727</v>
      </c>
      <c r="C37" s="18">
        <f>(2421.0/B37*100)</f>
        <v/>
      </c>
      <c r="D37" s="19" t="n">
        <v>306</v>
      </c>
      <c r="E37" s="18" t="n">
        <v>52.30523739</v>
      </c>
      <c r="F37" s="20" t="n">
        <v>3.2197309</v>
      </c>
      <c r="G37" s="18" t="n">
        <v>46.2567233</v>
      </c>
      <c r="H37" s="20" t="n">
        <v>3.21770283</v>
      </c>
      <c r="I37" s="18" t="s">
        <v>567</v>
      </c>
      <c r="J37" s="20" t="s">
        <v>567</v>
      </c>
      <c r="K37" s="18" t="n">
        <v>0</v>
      </c>
      <c r="L37" s="20" t="n">
        <v>0</v>
      </c>
      <c r="M37" s="18" t="n">
        <v>0</v>
      </c>
      <c r="N37" s="20" t="n">
        <v>0</v>
      </c>
      <c r="O37" s="18" t="n">
        <v>0</v>
      </c>
      <c r="P37" s="20" t="n">
        <v>0</v>
      </c>
      <c r="Q37" s="18" t="n">
        <v>1.43803931</v>
      </c>
      <c r="R37" s="20" t="n">
        <v>0.6447955399999999</v>
      </c>
    </row>
    <row r="38" spans="1:18">
      <c r="A38" s="15" t="s">
        <v>598</v>
      </c>
      <c r="B38" s="17" t="n">
        <v>3053</v>
      </c>
      <c r="C38" s="18">
        <f>(2723.0/B38*100)</f>
        <v/>
      </c>
      <c r="D38" s="19" t="n">
        <v>330</v>
      </c>
      <c r="E38" s="18" t="n">
        <v>61.16034976</v>
      </c>
      <c r="F38" s="20" t="n">
        <v>3.16339396</v>
      </c>
      <c r="G38" s="18" t="n">
        <v>36.46578949</v>
      </c>
      <c r="H38" s="20" t="n">
        <v>3.19701577</v>
      </c>
      <c r="I38" s="18" t="s">
        <v>567</v>
      </c>
      <c r="J38" s="20" t="s">
        <v>567</v>
      </c>
      <c r="K38" s="18" t="n">
        <v>0.43765062</v>
      </c>
      <c r="L38" s="20" t="n">
        <v>0.4439023</v>
      </c>
      <c r="M38" s="18" t="n">
        <v>0</v>
      </c>
      <c r="N38" s="20" t="n">
        <v>0</v>
      </c>
      <c r="O38" s="18" t="n">
        <v>0</v>
      </c>
      <c r="P38" s="20" t="n">
        <v>0</v>
      </c>
      <c r="Q38" s="18" t="n">
        <v>1.93621012</v>
      </c>
      <c r="R38" s="20" t="n">
        <v>0.9252131300000001</v>
      </c>
    </row>
    <row r="39" spans="1:18">
      <c r="A39" s="15" t="s">
        <v>599</v>
      </c>
      <c r="B39" s="17" t="n">
        <v>2957</v>
      </c>
      <c r="C39" s="18">
        <f>(2624.0/B39*100)</f>
        <v/>
      </c>
      <c r="D39" s="19" t="n">
        <v>333</v>
      </c>
      <c r="E39" s="18" t="n">
        <v>79.64860034</v>
      </c>
      <c r="F39" s="20" t="n">
        <v>2.56514109</v>
      </c>
      <c r="G39" s="18" t="n">
        <v>19.35405773</v>
      </c>
      <c r="H39" s="20" t="n">
        <v>2.20941188</v>
      </c>
      <c r="I39" s="18" t="s">
        <v>567</v>
      </c>
      <c r="J39" s="20" t="s">
        <v>567</v>
      </c>
      <c r="K39" s="18" t="n">
        <v>0.21263693</v>
      </c>
      <c r="L39" s="20" t="n">
        <v>0.22051977</v>
      </c>
      <c r="M39" s="18" t="n">
        <v>0</v>
      </c>
      <c r="N39" s="20" t="n">
        <v>0</v>
      </c>
      <c r="O39" s="18" t="n">
        <v>0</v>
      </c>
      <c r="P39" s="20" t="n">
        <v>0</v>
      </c>
      <c r="Q39" s="18" t="n">
        <v>0.78470501</v>
      </c>
      <c r="R39" s="20" t="n">
        <v>0.78532076</v>
      </c>
    </row>
    <row r="40" spans="1:18">
      <c r="A40" s="15" t="s">
        <v>600</v>
      </c>
      <c r="B40" s="17" t="n">
        <v>7235</v>
      </c>
      <c r="C40" s="18">
        <f>(6388.0/B40*100)</f>
        <v/>
      </c>
      <c r="D40" s="19" t="n">
        <v>847</v>
      </c>
      <c r="E40" s="18" t="n">
        <v>50.74830759</v>
      </c>
      <c r="F40" s="20" t="n">
        <v>2.74106608</v>
      </c>
      <c r="G40" s="18" t="n">
        <v>48.48856558</v>
      </c>
      <c r="H40" s="20" t="n">
        <v>2.58023092</v>
      </c>
      <c r="I40" s="18" t="s">
        <v>567</v>
      </c>
      <c r="J40" s="20" t="s">
        <v>567</v>
      </c>
      <c r="K40" s="18" t="n">
        <v>0.06944006</v>
      </c>
      <c r="L40" s="20" t="n">
        <v>0.05927633</v>
      </c>
      <c r="M40" s="18" t="n">
        <v>0</v>
      </c>
      <c r="N40" s="20" t="n">
        <v>0</v>
      </c>
      <c r="O40" s="18" t="n">
        <v>0</v>
      </c>
      <c r="P40" s="20" t="n">
        <v>0</v>
      </c>
      <c r="Q40" s="18" t="n">
        <v>0.69368677</v>
      </c>
      <c r="R40" s="20" t="n">
        <v>0.41813962</v>
      </c>
    </row>
    <row r="41" spans="1:18">
      <c r="A41" s="15" t="s">
        <v>601</v>
      </c>
      <c r="B41" s="17" t="n">
        <v>2858</v>
      </c>
      <c r="C41" s="18">
        <f>(2527.0/B41*100)</f>
        <v/>
      </c>
      <c r="D41" s="19" t="n">
        <v>331</v>
      </c>
      <c r="E41" s="18" t="n">
        <v>65.16612334</v>
      </c>
      <c r="F41" s="20" t="n">
        <v>2.92279838</v>
      </c>
      <c r="G41" s="18" t="n">
        <v>33.40049684</v>
      </c>
      <c r="H41" s="20" t="n">
        <v>2.82192204</v>
      </c>
      <c r="I41" s="18" t="s">
        <v>567</v>
      </c>
      <c r="J41" s="20" t="s">
        <v>567</v>
      </c>
      <c r="K41" s="18" t="n">
        <v>0</v>
      </c>
      <c r="L41" s="20" t="n">
        <v>0</v>
      </c>
      <c r="M41" s="18" t="n">
        <v>0</v>
      </c>
      <c r="N41" s="20" t="n">
        <v>0</v>
      </c>
      <c r="O41" s="18" t="n">
        <v>0</v>
      </c>
      <c r="P41" s="20" t="n">
        <v>0</v>
      </c>
      <c r="Q41" s="18" t="n">
        <v>1.43337982</v>
      </c>
      <c r="R41" s="20" t="n">
        <v>0.6317036700000001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(9940.0/B46*100)</f>
        <v/>
      </c>
      <c r="D46" s="19" t="n">
        <v>1128</v>
      </c>
      <c r="E46" s="18" t="n">
        <v>79.49047462</v>
      </c>
      <c r="F46" s="20" t="n">
        <v>1.83362263</v>
      </c>
      <c r="G46" s="18" t="n">
        <v>18.13068424</v>
      </c>
      <c r="H46" s="20" t="n">
        <v>1.79233242</v>
      </c>
      <c r="I46" s="18" t="s">
        <v>567</v>
      </c>
      <c r="J46" s="20" t="s">
        <v>567</v>
      </c>
      <c r="K46" s="18" t="n">
        <v>0.15475138</v>
      </c>
      <c r="L46" s="20" t="n">
        <v>0.14651767</v>
      </c>
      <c r="M46" s="18" t="n">
        <v>0</v>
      </c>
      <c r="N46" s="20" t="n">
        <v>0</v>
      </c>
      <c r="O46" s="18" t="n">
        <v>0</v>
      </c>
      <c r="P46" s="20" t="n">
        <v>0</v>
      </c>
      <c r="Q46" s="18" t="n">
        <v>2.22408976</v>
      </c>
      <c r="R46" s="20" t="n">
        <v>0.65954492</v>
      </c>
    </row>
    <row r="47" spans="1:18">
      <c r="A47" s="15" t="s">
        <v>607</v>
      </c>
      <c r="B47" s="17" t="n">
        <v>3105</v>
      </c>
      <c r="C47" s="18">
        <f>(2754.0/B47*100)</f>
        <v/>
      </c>
      <c r="D47" s="19" t="n">
        <v>351</v>
      </c>
      <c r="E47" s="18" t="n">
        <v>77.27475296999999</v>
      </c>
      <c r="F47" s="20" t="n">
        <v>2.06352019</v>
      </c>
      <c r="G47" s="18" t="n">
        <v>21.36163302</v>
      </c>
      <c r="H47" s="20" t="n">
        <v>1.98975475</v>
      </c>
      <c r="I47" s="18" t="s">
        <v>567</v>
      </c>
      <c r="J47" s="20" t="s">
        <v>567</v>
      </c>
      <c r="K47" s="18" t="n">
        <v>0</v>
      </c>
      <c r="L47" s="20" t="n">
        <v>0</v>
      </c>
      <c r="M47" s="18" t="n">
        <v>0</v>
      </c>
      <c r="N47" s="20" t="n">
        <v>0</v>
      </c>
      <c r="O47" s="18" t="n">
        <v>0</v>
      </c>
      <c r="P47" s="20" t="n">
        <v>0</v>
      </c>
      <c r="Q47" s="18" t="n">
        <v>1.36361401</v>
      </c>
      <c r="R47" s="20" t="n">
        <v>0.60054984</v>
      </c>
    </row>
    <row r="48" spans="1:18">
      <c r="A48" s="15" t="s">
        <v>608</v>
      </c>
      <c r="B48" s="17" t="n">
        <v>5159</v>
      </c>
      <c r="C48" s="18">
        <f>(4605.0/B48*100)</f>
        <v/>
      </c>
      <c r="D48" s="19" t="n">
        <v>554</v>
      </c>
      <c r="E48" s="18" t="n">
        <v>50.84379983</v>
      </c>
      <c r="F48" s="20" t="n">
        <v>3.21937901</v>
      </c>
      <c r="G48" s="18" t="n">
        <v>47.66306094</v>
      </c>
      <c r="H48" s="20" t="n">
        <v>3.21261013</v>
      </c>
      <c r="I48" s="18" t="s">
        <v>567</v>
      </c>
      <c r="J48" s="20" t="s">
        <v>567</v>
      </c>
      <c r="K48" s="18" t="n">
        <v>0.65699079</v>
      </c>
      <c r="L48" s="20" t="n">
        <v>0.46540588</v>
      </c>
      <c r="M48" s="18" t="n">
        <v>0</v>
      </c>
      <c r="N48" s="20" t="n">
        <v>0</v>
      </c>
      <c r="O48" s="18" t="n">
        <v>0</v>
      </c>
      <c r="P48" s="20" t="n">
        <v>0</v>
      </c>
      <c r="Q48" s="18" t="n">
        <v>0.83614845</v>
      </c>
      <c r="R48" s="20" t="n">
        <v>0.46237751</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(5031.0/B50*100)</f>
        <v/>
      </c>
      <c r="D50" s="19" t="n">
        <v>606</v>
      </c>
      <c r="E50" s="18" t="n">
        <v>82.14281154</v>
      </c>
      <c r="F50" s="20" t="n">
        <v>2.03309261</v>
      </c>
      <c r="G50" s="18" t="n">
        <v>16.41901608</v>
      </c>
      <c r="H50" s="20" t="n">
        <v>1.90409657</v>
      </c>
      <c r="I50" s="18" t="s">
        <v>567</v>
      </c>
      <c r="J50" s="20" t="s">
        <v>567</v>
      </c>
      <c r="K50" s="18" t="n">
        <v>0.102201</v>
      </c>
      <c r="L50" s="20" t="n">
        <v>0.07247012</v>
      </c>
      <c r="M50" s="18" t="n">
        <v>0</v>
      </c>
      <c r="N50" s="20" t="n">
        <v>0</v>
      </c>
      <c r="O50" s="18" t="n">
        <v>0</v>
      </c>
      <c r="P50" s="20" t="n">
        <v>0</v>
      </c>
      <c r="Q50" s="18" t="n">
        <v>1.33597138</v>
      </c>
      <c r="R50" s="20" t="n">
        <v>0.56830879</v>
      </c>
    </row>
    <row r="51" spans="1:18">
      <c r="A51" s="15" t="s">
        <v>611</v>
      </c>
      <c r="B51" s="17" t="n">
        <v>3372</v>
      </c>
      <c r="C51" s="18">
        <f>(3023.0/B51*100)</f>
        <v/>
      </c>
      <c r="D51" s="19" t="n">
        <v>349</v>
      </c>
      <c r="E51" s="18" t="n">
        <v>82.09225569</v>
      </c>
      <c r="F51" s="20" t="n">
        <v>2.09880921</v>
      </c>
      <c r="G51" s="18" t="n">
        <v>15.37674259</v>
      </c>
      <c r="H51" s="20" t="n">
        <v>2.04856725</v>
      </c>
      <c r="I51" s="18" t="s">
        <v>567</v>
      </c>
      <c r="J51" s="20" t="s">
        <v>567</v>
      </c>
      <c r="K51" s="18" t="n">
        <v>0.71694473</v>
      </c>
      <c r="L51" s="20" t="n">
        <v>0.6335684499999999</v>
      </c>
      <c r="M51" s="18" t="n">
        <v>0</v>
      </c>
      <c r="N51" s="20" t="n">
        <v>0</v>
      </c>
      <c r="O51" s="18" t="n">
        <v>0</v>
      </c>
      <c r="P51" s="20" t="n">
        <v>0</v>
      </c>
      <c r="Q51" s="18" t="n">
        <v>1.81405699</v>
      </c>
      <c r="R51" s="20" t="n">
        <v>0.69139233</v>
      </c>
    </row>
    <row r="52" spans="1:18">
      <c r="A52" s="15" t="s">
        <v>612</v>
      </c>
      <c r="B52" s="17" t="n">
        <v>2796</v>
      </c>
      <c r="C52" s="18">
        <f>(2514.0/B52*100)</f>
        <v/>
      </c>
      <c r="D52" s="19" t="n">
        <v>282</v>
      </c>
      <c r="E52" s="18" t="n">
        <v>70.60851363</v>
      </c>
      <c r="F52" s="20" t="n">
        <v>2.91537507</v>
      </c>
      <c r="G52" s="18" t="n">
        <v>28.30808472</v>
      </c>
      <c r="H52" s="20" t="n">
        <v>2.88291167</v>
      </c>
      <c r="I52" s="18" t="s">
        <v>567</v>
      </c>
      <c r="J52" s="20" t="s">
        <v>567</v>
      </c>
      <c r="K52" s="18" t="n">
        <v>0</v>
      </c>
      <c r="L52" s="20" t="n">
        <v>0</v>
      </c>
      <c r="M52" s="18" t="n">
        <v>0</v>
      </c>
      <c r="N52" s="20" t="n">
        <v>0</v>
      </c>
      <c r="O52" s="18" t="n">
        <v>0</v>
      </c>
      <c r="P52" s="20" t="n">
        <v>0</v>
      </c>
      <c r="Q52" s="18" t="n">
        <v>1.08340166</v>
      </c>
      <c r="R52" s="20" t="n">
        <v>0.62513619</v>
      </c>
    </row>
    <row r="53" spans="1:18">
      <c r="A53" s="15" t="s">
        <v>613</v>
      </c>
      <c r="B53" s="17" t="n">
        <v>2811</v>
      </c>
      <c r="C53" s="18">
        <f>(2520.0/B53*100)</f>
        <v/>
      </c>
      <c r="D53" s="19" t="n">
        <v>291</v>
      </c>
      <c r="E53" s="18" t="n">
        <v>68.88634051</v>
      </c>
      <c r="F53" s="20" t="n">
        <v>3.05679881</v>
      </c>
      <c r="G53" s="18" t="n">
        <v>28.4024486</v>
      </c>
      <c r="H53" s="20" t="n">
        <v>3.00185662</v>
      </c>
      <c r="I53" s="18" t="s">
        <v>567</v>
      </c>
      <c r="J53" s="20" t="s">
        <v>567</v>
      </c>
      <c r="K53" s="18" t="n">
        <v>0.23041937</v>
      </c>
      <c r="L53" s="20" t="n">
        <v>0.23288774</v>
      </c>
      <c r="M53" s="18" t="n">
        <v>0</v>
      </c>
      <c r="N53" s="20" t="n">
        <v>0</v>
      </c>
      <c r="O53" s="18" t="n">
        <v>0</v>
      </c>
      <c r="P53" s="20" t="n">
        <v>0</v>
      </c>
      <c r="Q53" s="18" t="n">
        <v>2.48079153</v>
      </c>
      <c r="R53" s="20" t="n">
        <v>0.92473069</v>
      </c>
    </row>
    <row r="54" spans="1:18">
      <c r="A54" s="15" t="s">
        <v>614</v>
      </c>
      <c r="B54" s="17" t="n">
        <v>2266</v>
      </c>
      <c r="C54" s="18">
        <f>(2015.0/B54*100)</f>
        <v/>
      </c>
      <c r="D54" s="19" t="n">
        <v>251</v>
      </c>
      <c r="E54" s="18" t="n">
        <v>86.75576104</v>
      </c>
      <c r="F54" s="20" t="n">
        <v>2.28837204</v>
      </c>
      <c r="G54" s="18" t="n">
        <v>6.40153971</v>
      </c>
      <c r="H54" s="20" t="n">
        <v>1.43311115</v>
      </c>
      <c r="I54" s="18" t="s">
        <v>567</v>
      </c>
      <c r="J54" s="20" t="s">
        <v>567</v>
      </c>
      <c r="K54" s="18" t="n">
        <v>3.79330679</v>
      </c>
      <c r="L54" s="20" t="n">
        <v>1.51229034</v>
      </c>
      <c r="M54" s="18" t="n">
        <v>0</v>
      </c>
      <c r="N54" s="20" t="n">
        <v>0</v>
      </c>
      <c r="O54" s="18" t="n">
        <v>0</v>
      </c>
      <c r="P54" s="20" t="n">
        <v>0</v>
      </c>
      <c r="Q54" s="18" t="n">
        <v>3.04939246</v>
      </c>
      <c r="R54" s="20" t="n">
        <v>0.93592193</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(2391.0/B56*100)</f>
        <v/>
      </c>
      <c r="D56" s="19" t="n">
        <v>293</v>
      </c>
      <c r="E56" s="18" t="n">
        <v>44.06244859</v>
      </c>
      <c r="F56" s="20" t="n">
        <v>3.2037308</v>
      </c>
      <c r="G56" s="18" t="n">
        <v>55.19298456</v>
      </c>
      <c r="H56" s="20" t="n">
        <v>3.15652906</v>
      </c>
      <c r="I56" s="18" t="s">
        <v>567</v>
      </c>
      <c r="J56" s="20" t="s">
        <v>567</v>
      </c>
      <c r="K56" s="18" t="n">
        <v>0</v>
      </c>
      <c r="L56" s="20" t="n">
        <v>0</v>
      </c>
      <c r="M56" s="18" t="n">
        <v>0</v>
      </c>
      <c r="N56" s="20" t="n">
        <v>0</v>
      </c>
      <c r="O56" s="18" t="n">
        <v>0</v>
      </c>
      <c r="P56" s="20" t="n">
        <v>0</v>
      </c>
      <c r="Q56" s="18" t="n">
        <v>0.74456685</v>
      </c>
      <c r="R56" s="20" t="n">
        <v>0.53142806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(2994.0/B61*100)</f>
        <v/>
      </c>
      <c r="D61" s="19" t="n">
        <v>330</v>
      </c>
      <c r="E61" s="18" t="n">
        <v>68.16552323000001</v>
      </c>
      <c r="F61" s="20" t="n">
        <v>2.48487477</v>
      </c>
      <c r="G61" s="18" t="n">
        <v>31.05701876</v>
      </c>
      <c r="H61" s="20" t="n">
        <v>2.48688007</v>
      </c>
      <c r="I61" s="18" t="s">
        <v>567</v>
      </c>
      <c r="J61" s="20" t="s">
        <v>567</v>
      </c>
      <c r="K61" s="18" t="n">
        <v>0.42961692</v>
      </c>
      <c r="L61" s="20" t="n">
        <v>0.44849813</v>
      </c>
      <c r="M61" s="18" t="n">
        <v>0</v>
      </c>
      <c r="N61" s="20" t="n">
        <v>0</v>
      </c>
      <c r="O61" s="18" t="n">
        <v>0</v>
      </c>
      <c r="P61" s="20" t="n">
        <v>0</v>
      </c>
      <c r="Q61" s="18" t="n">
        <v>0.3478411</v>
      </c>
      <c r="R61" s="20" t="n">
        <v>0.17204135</v>
      </c>
    </row>
    <row r="62" spans="1:18">
      <c r="A62" s="15" t="s">
        <v>622</v>
      </c>
      <c r="B62" s="17" t="n">
        <v>2246</v>
      </c>
      <c r="C62" s="18">
        <f>(1992.0/B62*100)</f>
        <v/>
      </c>
      <c r="D62" s="19" t="n">
        <v>254</v>
      </c>
      <c r="E62" s="18" t="n">
        <v>52.32506191</v>
      </c>
      <c r="F62" s="20" t="n">
        <v>3.56906855</v>
      </c>
      <c r="G62" s="18" t="n">
        <v>47.67493809</v>
      </c>
      <c r="H62" s="20" t="n">
        <v>3.56906855</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(2593.0/B66*100)</f>
        <v/>
      </c>
      <c r="D66" s="19" t="n">
        <v>301</v>
      </c>
      <c r="E66" s="18" t="n">
        <v>73.69022239</v>
      </c>
      <c r="F66" s="20" t="n">
        <v>2.84307678</v>
      </c>
      <c r="G66" s="18" t="n">
        <v>22.88456542</v>
      </c>
      <c r="H66" s="20" t="n">
        <v>2.6996826</v>
      </c>
      <c r="I66" s="18" t="s">
        <v>567</v>
      </c>
      <c r="J66" s="20" t="s">
        <v>567</v>
      </c>
      <c r="K66" s="18" t="n">
        <v>0</v>
      </c>
      <c r="L66" s="20" t="n">
        <v>0</v>
      </c>
      <c r="M66" s="18" t="n">
        <v>0</v>
      </c>
      <c r="N66" s="20" t="n">
        <v>0</v>
      </c>
      <c r="O66" s="18" t="n">
        <v>0</v>
      </c>
      <c r="P66" s="20" t="n">
        <v>0</v>
      </c>
      <c r="Q66" s="18" t="n">
        <v>3.42521219</v>
      </c>
      <c r="R66" s="20" t="n">
        <v>1.04857873</v>
      </c>
    </row>
    <row r="67" spans="1:18">
      <c r="A67" s="15" t="s">
        <v>627</v>
      </c>
      <c r="B67" s="17" t="n">
        <v>3511</v>
      </c>
      <c r="C67" s="18">
        <f>(3139.0/B67*100)</f>
        <v/>
      </c>
      <c r="D67" s="19" t="n">
        <v>372</v>
      </c>
      <c r="E67" s="18" t="n">
        <v>77.30733028</v>
      </c>
      <c r="F67" s="20" t="n">
        <v>2.2319557</v>
      </c>
      <c r="G67" s="18" t="n">
        <v>20.89364232</v>
      </c>
      <c r="H67" s="20" t="n">
        <v>2.26164602</v>
      </c>
      <c r="I67" s="18" t="s">
        <v>567</v>
      </c>
      <c r="J67" s="20" t="s">
        <v>567</v>
      </c>
      <c r="K67" s="18" t="n">
        <v>0.27363902</v>
      </c>
      <c r="L67" s="20" t="n">
        <v>0.27193898</v>
      </c>
      <c r="M67" s="18" t="n">
        <v>0</v>
      </c>
      <c r="N67" s="20" t="n">
        <v>0</v>
      </c>
      <c r="O67" s="18" t="n">
        <v>0</v>
      </c>
      <c r="P67" s="20" t="n">
        <v>0</v>
      </c>
      <c r="Q67" s="18" t="n">
        <v>1.52538838</v>
      </c>
      <c r="R67" s="20" t="n">
        <v>0.40035336</v>
      </c>
    </row>
    <row r="68" spans="1:18">
      <c r="A68" s="15" t="s">
        <v>628</v>
      </c>
      <c r="B68" s="17" t="n">
        <v>6049</v>
      </c>
      <c r="C68" s="18">
        <f>(5388.0/B68*100)</f>
        <v/>
      </c>
      <c r="D68" s="19" t="n">
        <v>661</v>
      </c>
      <c r="E68" s="18" t="n">
        <v>65.31642942000001</v>
      </c>
      <c r="F68" s="20" t="n">
        <v>1.72725018</v>
      </c>
      <c r="G68" s="18" t="n">
        <v>29.72192882</v>
      </c>
      <c r="H68" s="20" t="n">
        <v>1.63139053</v>
      </c>
      <c r="I68" s="18" t="s">
        <v>567</v>
      </c>
      <c r="J68" s="20" t="s">
        <v>567</v>
      </c>
      <c r="K68" s="18" t="n">
        <v>1.47870107</v>
      </c>
      <c r="L68" s="20" t="n">
        <v>0.46973214</v>
      </c>
      <c r="M68" s="18" t="n">
        <v>0</v>
      </c>
      <c r="N68" s="20" t="n">
        <v>0</v>
      </c>
      <c r="O68" s="18" t="n">
        <v>0</v>
      </c>
      <c r="P68" s="20" t="n">
        <v>0</v>
      </c>
      <c r="Q68" s="18" t="n">
        <v>3.4829407</v>
      </c>
      <c r="R68" s="20" t="n">
        <v>0.7401012</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(2636.0/B70*100)</f>
        <v/>
      </c>
      <c r="D70" s="19" t="n">
        <v>293</v>
      </c>
      <c r="E70" s="18" t="n">
        <v>71.46138309</v>
      </c>
      <c r="F70" s="20" t="n">
        <v>3.07013786</v>
      </c>
      <c r="G70" s="18" t="n">
        <v>28.28937486</v>
      </c>
      <c r="H70" s="20" t="n">
        <v>3.08518382</v>
      </c>
      <c r="I70" s="18" t="s">
        <v>567</v>
      </c>
      <c r="J70" s="20" t="s">
        <v>567</v>
      </c>
      <c r="K70" s="18" t="n">
        <v>0</v>
      </c>
      <c r="L70" s="20" t="n">
        <v>0</v>
      </c>
      <c r="M70" s="18" t="n">
        <v>0</v>
      </c>
      <c r="N70" s="20" t="n">
        <v>0</v>
      </c>
      <c r="O70" s="18" t="n">
        <v>0</v>
      </c>
      <c r="P70" s="20" t="n">
        <v>0</v>
      </c>
      <c r="Q70" s="18" t="n">
        <v>0.24924205</v>
      </c>
      <c r="R70" s="20" t="n">
        <v>0.25191872</v>
      </c>
    </row>
    <row r="71" spans="1:18">
      <c r="A71" s="15" t="s">
        <v>631</v>
      </c>
      <c r="B71" s="17" t="n">
        <v>3142</v>
      </c>
      <c r="C71" s="18">
        <f>(2777.0/B71*100)</f>
        <v/>
      </c>
      <c r="D71" s="19" t="n">
        <v>365</v>
      </c>
      <c r="E71" s="18" t="n">
        <v>53.90973728</v>
      </c>
      <c r="F71" s="20" t="n">
        <v>2.80766241</v>
      </c>
      <c r="G71" s="18" t="n">
        <v>45.6033947</v>
      </c>
      <c r="H71" s="20" t="n">
        <v>2.84380825</v>
      </c>
      <c r="I71" s="18" t="s">
        <v>567</v>
      </c>
      <c r="J71" s="20" t="s">
        <v>567</v>
      </c>
      <c r="K71" s="18" t="n">
        <v>0</v>
      </c>
      <c r="L71" s="20" t="n">
        <v>0</v>
      </c>
      <c r="M71" s="18" t="n">
        <v>0</v>
      </c>
      <c r="N71" s="20" t="n">
        <v>0</v>
      </c>
      <c r="O71" s="18" t="n">
        <v>0</v>
      </c>
      <c r="P71" s="20" t="n">
        <v>0</v>
      </c>
      <c r="Q71" s="18" t="n">
        <v>0.48686801</v>
      </c>
      <c r="R71" s="20" t="n">
        <v>0.33762615</v>
      </c>
    </row>
    <row r="72" spans="1:18">
      <c r="A72" s="15" t="s">
        <v>632</v>
      </c>
      <c r="B72" s="17" t="n">
        <v>3889</v>
      </c>
      <c r="C72" s="18">
        <f>(3448.0/B72*100)</f>
        <v/>
      </c>
      <c r="D72" s="19" t="n">
        <v>441</v>
      </c>
      <c r="E72" s="18" t="n">
        <v>59.04962431</v>
      </c>
      <c r="F72" s="20" t="n">
        <v>2.26603153</v>
      </c>
      <c r="G72" s="18" t="n">
        <v>40.95037569</v>
      </c>
      <c r="H72" s="20" t="n">
        <v>2.26603153</v>
      </c>
      <c r="I72" s="18" t="s">
        <v>567</v>
      </c>
      <c r="J72" s="20" t="s">
        <v>567</v>
      </c>
      <c r="K72" s="18" t="n">
        <v>0</v>
      </c>
      <c r="L72" s="20" t="n">
        <v>0</v>
      </c>
      <c r="M72" s="18" t="n">
        <v>0</v>
      </c>
      <c r="N72" s="20" t="n">
        <v>0</v>
      </c>
      <c r="O72" s="18" t="n">
        <v>0</v>
      </c>
      <c r="P72" s="20" t="n">
        <v>0</v>
      </c>
      <c r="Q72" s="18" t="n">
        <v>0</v>
      </c>
      <c r="R72" s="20" t="n">
        <v>0</v>
      </c>
    </row>
    <row r="73" spans="1:18">
      <c r="A73" s="15" t="s">
        <v>633</v>
      </c>
      <c r="B73" s="17" t="n">
        <v>3597</v>
      </c>
      <c r="C73" s="18">
        <f>(3182.0/B73*100)</f>
        <v/>
      </c>
      <c r="D73" s="19" t="n">
        <v>415</v>
      </c>
      <c r="E73" s="18" t="n">
        <v>84.18337846999999</v>
      </c>
      <c r="F73" s="20" t="n">
        <v>2.19728057</v>
      </c>
      <c r="G73" s="18" t="n">
        <v>15.47536842</v>
      </c>
      <c r="H73" s="20" t="n">
        <v>2.21604272</v>
      </c>
      <c r="I73" s="18" t="s">
        <v>567</v>
      </c>
      <c r="J73" s="20" t="s">
        <v>567</v>
      </c>
      <c r="K73" s="18" t="n">
        <v>0</v>
      </c>
      <c r="L73" s="20" t="n">
        <v>0</v>
      </c>
      <c r="M73" s="18" t="n">
        <v>0</v>
      </c>
      <c r="N73" s="20" t="n">
        <v>0</v>
      </c>
      <c r="O73" s="18" t="n">
        <v>0</v>
      </c>
      <c r="P73" s="20" t="n">
        <v>0</v>
      </c>
      <c r="Q73" s="18" t="n">
        <v>0.34125311</v>
      </c>
      <c r="R73" s="20" t="n">
        <v>0.33829037</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(2166.0/B75*100)</f>
        <v/>
      </c>
      <c r="D75" s="19" t="n">
        <v>240</v>
      </c>
      <c r="E75" s="18" t="n">
        <v>77.2691188</v>
      </c>
      <c r="F75" s="20" t="n">
        <v>2.62581404</v>
      </c>
      <c r="G75" s="18" t="n">
        <v>20.38358792</v>
      </c>
      <c r="H75" s="20" t="n">
        <v>2.55378904</v>
      </c>
      <c r="I75" s="18" t="s">
        <v>567</v>
      </c>
      <c r="J75" s="20" t="s">
        <v>567</v>
      </c>
      <c r="K75" s="18" t="n">
        <v>1.37638167</v>
      </c>
      <c r="L75" s="20" t="n">
        <v>0.59156159</v>
      </c>
      <c r="M75" s="18" t="n">
        <v>0</v>
      </c>
      <c r="N75" s="20" t="n">
        <v>0</v>
      </c>
      <c r="O75" s="18" t="n">
        <v>0</v>
      </c>
      <c r="P75" s="20" t="n">
        <v>0</v>
      </c>
      <c r="Q75" s="18" t="n">
        <v>0.97091161</v>
      </c>
      <c r="R75" s="20" t="n">
        <v>0.49716687</v>
      </c>
    </row>
    <row r="76" spans="1:18">
      <c r="A76" s="15" t="s">
        <v>636</v>
      </c>
      <c r="B76" s="17" t="n">
        <v>7052</v>
      </c>
      <c r="C76" s="18">
        <f>(6274.0/B76*100)</f>
        <v/>
      </c>
      <c r="D76" s="19" t="n">
        <v>778</v>
      </c>
      <c r="E76" s="18" t="n">
        <v>66.46790172</v>
      </c>
      <c r="F76" s="20" t="n">
        <v>1.78075779</v>
      </c>
      <c r="G76" s="18" t="n">
        <v>31.36167013</v>
      </c>
      <c r="H76" s="20" t="n">
        <v>1.75609811</v>
      </c>
      <c r="I76" s="18" t="s">
        <v>567</v>
      </c>
      <c r="J76" s="20" t="s">
        <v>567</v>
      </c>
      <c r="K76" s="18" t="n">
        <v>0.43413612</v>
      </c>
      <c r="L76" s="20" t="n">
        <v>0.23420695</v>
      </c>
      <c r="M76" s="18" t="n">
        <v>0</v>
      </c>
      <c r="N76" s="20" t="n">
        <v>0</v>
      </c>
      <c r="O76" s="18" t="n">
        <v>0</v>
      </c>
      <c r="P76" s="20" t="n">
        <v>0</v>
      </c>
      <c r="Q76" s="18" t="n">
        <v>1.73629203</v>
      </c>
      <c r="R76" s="20" t="n">
        <v>0.45943045</v>
      </c>
    </row>
    <row r="77" spans="1:18">
      <c r="A77" s="15" t="s">
        <v>637</v>
      </c>
      <c r="B77" s="17" t="n">
        <v>2908</v>
      </c>
      <c r="C77" s="18">
        <f>(2603.0/B77*100)</f>
        <v/>
      </c>
      <c r="D77" s="19" t="n">
        <v>305</v>
      </c>
      <c r="E77" s="18" t="n">
        <v>74.32429091</v>
      </c>
      <c r="F77" s="20" t="n">
        <v>2.49437838</v>
      </c>
      <c r="G77" s="18" t="n">
        <v>21.90289868</v>
      </c>
      <c r="H77" s="20" t="n">
        <v>2.41349937</v>
      </c>
      <c r="I77" s="18" t="s">
        <v>567</v>
      </c>
      <c r="J77" s="20" t="s">
        <v>567</v>
      </c>
      <c r="K77" s="18" t="n">
        <v>0.57286416</v>
      </c>
      <c r="L77" s="20" t="n">
        <v>0.61669848</v>
      </c>
      <c r="M77" s="18" t="n">
        <v>0</v>
      </c>
      <c r="N77" s="20" t="n">
        <v>0</v>
      </c>
      <c r="O77" s="18" t="n">
        <v>0</v>
      </c>
      <c r="P77" s="20" t="n">
        <v>0</v>
      </c>
      <c r="Q77" s="18" t="n">
        <v>3.19994625</v>
      </c>
      <c r="R77" s="20" t="n">
        <v>1.26207386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(3710.0/B81*100)</f>
        <v/>
      </c>
      <c r="D81" s="19" t="n">
        <v>453</v>
      </c>
      <c r="E81" s="18" t="n">
        <v>77.6888118</v>
      </c>
      <c r="F81" s="20" t="n">
        <v>2.65721714</v>
      </c>
      <c r="G81" s="18" t="n">
        <v>21.62044751</v>
      </c>
      <c r="H81" s="20" t="n">
        <v>2.5597528</v>
      </c>
      <c r="I81" s="18" t="s">
        <v>567</v>
      </c>
      <c r="J81" s="20" t="s">
        <v>567</v>
      </c>
      <c r="K81" s="18" t="n">
        <v>0.38137958</v>
      </c>
      <c r="L81" s="20" t="n">
        <v>0.26283598</v>
      </c>
      <c r="M81" s="18" t="n">
        <v>0</v>
      </c>
      <c r="N81" s="20" t="n">
        <v>0</v>
      </c>
      <c r="O81" s="18" t="n">
        <v>0</v>
      </c>
      <c r="P81" s="20" t="n">
        <v>0</v>
      </c>
      <c r="Q81" s="18" t="n">
        <v>0.3093611</v>
      </c>
      <c r="R81" s="20" t="n">
        <v>0.3205836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(6558.0/B7*100)</f>
        <v/>
      </c>
      <c r="D7" s="19" t="n">
        <v>809</v>
      </c>
      <c r="E7" s="18" t="n">
        <v>40.55039061</v>
      </c>
      <c r="F7" s="20" t="n">
        <v>2.05767636</v>
      </c>
      <c r="G7" s="18" t="n">
        <v>57.90216788</v>
      </c>
      <c r="H7" s="20" t="n">
        <v>2.11782312</v>
      </c>
      <c r="I7" s="18" t="s">
        <v>567</v>
      </c>
      <c r="J7" s="20" t="s">
        <v>567</v>
      </c>
      <c r="K7" s="18" t="n">
        <v>0.24024526</v>
      </c>
      <c r="L7" s="20" t="n">
        <v>0.18646429</v>
      </c>
      <c r="M7" s="18" t="n">
        <v>0</v>
      </c>
      <c r="N7" s="20" t="n">
        <v>0</v>
      </c>
      <c r="O7" s="18" t="n">
        <v>0</v>
      </c>
      <c r="P7" s="20" t="n">
        <v>0</v>
      </c>
      <c r="Q7" s="18" t="n">
        <v>1.30719626</v>
      </c>
      <c r="R7" s="20" t="n">
        <v>0.45187923</v>
      </c>
    </row>
    <row r="8" spans="1:18">
      <c r="A8" s="15" t="s">
        <v>568</v>
      </c>
      <c r="B8" s="17" t="n">
        <v>3564</v>
      </c>
      <c r="C8" s="18">
        <f>(3178.0/B8*100)</f>
        <v/>
      </c>
      <c r="D8" s="19" t="n">
        <v>386</v>
      </c>
      <c r="E8" s="18" t="n">
        <v>28.97980877</v>
      </c>
      <c r="F8" s="20" t="n">
        <v>2.6037466</v>
      </c>
      <c r="G8" s="18" t="n">
        <v>70.13970736</v>
      </c>
      <c r="H8" s="20" t="n">
        <v>2.54289075</v>
      </c>
      <c r="I8" s="18" t="s">
        <v>567</v>
      </c>
      <c r="J8" s="20" t="s">
        <v>567</v>
      </c>
      <c r="K8" s="18" t="n">
        <v>0</v>
      </c>
      <c r="L8" s="20" t="n">
        <v>0</v>
      </c>
      <c r="M8" s="18" t="n">
        <v>0</v>
      </c>
      <c r="N8" s="20" t="n">
        <v>0</v>
      </c>
      <c r="O8" s="18" t="n">
        <v>0</v>
      </c>
      <c r="P8" s="20" t="n">
        <v>0</v>
      </c>
      <c r="Q8" s="18" t="n">
        <v>0.88048386</v>
      </c>
      <c r="R8" s="20" t="n">
        <v>0.46845732</v>
      </c>
    </row>
    <row r="9" spans="1:18">
      <c r="A9" s="15" t="s">
        <v>569</v>
      </c>
      <c r="B9" s="17" t="n">
        <v>4899</v>
      </c>
      <c r="C9" s="18">
        <f>(4344.0/B9*100)</f>
        <v/>
      </c>
      <c r="D9" s="19" t="n">
        <v>555</v>
      </c>
      <c r="E9" s="18" t="n">
        <v>39.70392378</v>
      </c>
      <c r="F9" s="20" t="n">
        <v>2.10687803</v>
      </c>
      <c r="G9" s="18" t="n">
        <v>59.88372926</v>
      </c>
      <c r="H9" s="20" t="n">
        <v>2.09490213</v>
      </c>
      <c r="I9" s="18" t="s">
        <v>567</v>
      </c>
      <c r="J9" s="20" t="s">
        <v>567</v>
      </c>
      <c r="K9" s="18" t="n">
        <v>0</v>
      </c>
      <c r="L9" s="20" t="n">
        <v>0</v>
      </c>
      <c r="M9" s="18" t="n">
        <v>0</v>
      </c>
      <c r="N9" s="20" t="n">
        <v>0</v>
      </c>
      <c r="O9" s="18" t="n">
        <v>0</v>
      </c>
      <c r="P9" s="20" t="n">
        <v>0</v>
      </c>
      <c r="Q9" s="18" t="n">
        <v>0.41234697</v>
      </c>
      <c r="R9" s="20" t="n">
        <v>0.26260984</v>
      </c>
    </row>
    <row r="10" spans="1:18">
      <c r="A10" s="15" t="s">
        <v>570</v>
      </c>
      <c r="B10" s="17" t="n">
        <v>10036</v>
      </c>
      <c r="C10" s="18">
        <f>(8908.0/B10*100)</f>
        <v/>
      </c>
      <c r="D10" s="19" t="n">
        <v>1128</v>
      </c>
      <c r="E10" s="18" t="n">
        <v>31.12656676</v>
      </c>
      <c r="F10" s="20" t="n">
        <v>2.24571086</v>
      </c>
      <c r="G10" s="18" t="n">
        <v>68.1918965</v>
      </c>
      <c r="H10" s="20" t="n">
        <v>2.22611878</v>
      </c>
      <c r="I10" s="18" t="s">
        <v>567</v>
      </c>
      <c r="J10" s="20" t="s">
        <v>567</v>
      </c>
      <c r="K10" s="18" t="n">
        <v>0.27882949</v>
      </c>
      <c r="L10" s="20" t="n">
        <v>0.2021085</v>
      </c>
      <c r="M10" s="18" t="n">
        <v>0</v>
      </c>
      <c r="N10" s="20" t="n">
        <v>0</v>
      </c>
      <c r="O10" s="18" t="n">
        <v>0</v>
      </c>
      <c r="P10" s="20" t="n">
        <v>0</v>
      </c>
      <c r="Q10" s="18" t="n">
        <v>0.40270725</v>
      </c>
      <c r="R10" s="20" t="n">
        <v>0.23825786</v>
      </c>
    </row>
    <row r="11" spans="1:18">
      <c r="A11" s="15" t="s">
        <v>571</v>
      </c>
      <c r="B11" s="17" t="n">
        <v>3553</v>
      </c>
      <c r="C11" s="18">
        <f>(3158.0/B11*100)</f>
        <v/>
      </c>
      <c r="D11" s="19" t="n">
        <v>395</v>
      </c>
      <c r="E11" s="18" t="n">
        <v>50.77857854</v>
      </c>
      <c r="F11" s="20" t="n">
        <v>2.99861984</v>
      </c>
      <c r="G11" s="18" t="n">
        <v>46.81494642</v>
      </c>
      <c r="H11" s="20" t="n">
        <v>2.91273731</v>
      </c>
      <c r="I11" s="18" t="s">
        <v>567</v>
      </c>
      <c r="J11" s="20" t="s">
        <v>567</v>
      </c>
      <c r="K11" s="18" t="n">
        <v>0.7923619</v>
      </c>
      <c r="L11" s="20" t="n">
        <v>0.72802257</v>
      </c>
      <c r="M11" s="18" t="n">
        <v>0</v>
      </c>
      <c r="N11" s="20" t="n">
        <v>0</v>
      </c>
      <c r="O11" s="18" t="n">
        <v>0</v>
      </c>
      <c r="P11" s="20" t="n">
        <v>0</v>
      </c>
      <c r="Q11" s="18" t="n">
        <v>1.61411314</v>
      </c>
      <c r="R11" s="20" t="n">
        <v>0.8444032299999999</v>
      </c>
    </row>
    <row r="12" spans="1:18">
      <c r="A12" s="15" t="s">
        <v>572</v>
      </c>
      <c r="B12" s="17" t="n">
        <v>3472</v>
      </c>
      <c r="C12" s="18">
        <f>(3081.0/B12*100)</f>
        <v/>
      </c>
      <c r="D12" s="19" t="n">
        <v>391</v>
      </c>
      <c r="E12" s="18" t="n">
        <v>32.93597413</v>
      </c>
      <c r="F12" s="20" t="n">
        <v>2.59341631</v>
      </c>
      <c r="G12" s="18" t="n">
        <v>66.59184678</v>
      </c>
      <c r="H12" s="20" t="n">
        <v>2.59966762</v>
      </c>
      <c r="I12" s="18" t="s">
        <v>567</v>
      </c>
      <c r="J12" s="20" t="s">
        <v>567</v>
      </c>
      <c r="K12" s="18" t="n">
        <v>0</v>
      </c>
      <c r="L12" s="20" t="n">
        <v>0</v>
      </c>
      <c r="M12" s="18" t="n">
        <v>0</v>
      </c>
      <c r="N12" s="20" t="n">
        <v>0</v>
      </c>
      <c r="O12" s="18" t="n">
        <v>0</v>
      </c>
      <c r="P12" s="20" t="n">
        <v>0</v>
      </c>
      <c r="Q12" s="18" t="n">
        <v>0.47217909</v>
      </c>
      <c r="R12" s="20" t="n">
        <v>0.34442482</v>
      </c>
    </row>
    <row r="13" spans="1:18">
      <c r="A13" s="15" t="s">
        <v>573</v>
      </c>
      <c r="B13" s="17" t="n">
        <v>3559</v>
      </c>
      <c r="C13" s="18">
        <f>(3229.0/B13*100)</f>
        <v/>
      </c>
      <c r="D13" s="19" t="n">
        <v>330</v>
      </c>
      <c r="E13" s="18" t="n">
        <v>28.46993578</v>
      </c>
      <c r="F13" s="20" t="n">
        <v>3.01300277</v>
      </c>
      <c r="G13" s="18" t="n">
        <v>70.37945956999999</v>
      </c>
      <c r="H13" s="20" t="n">
        <v>3.00305437</v>
      </c>
      <c r="I13" s="18" t="s">
        <v>567</v>
      </c>
      <c r="J13" s="20" t="s">
        <v>567</v>
      </c>
      <c r="K13" s="18" t="n">
        <v>0.88365961</v>
      </c>
      <c r="L13" s="20" t="n">
        <v>0.7680330399999999</v>
      </c>
      <c r="M13" s="18" t="n">
        <v>0</v>
      </c>
      <c r="N13" s="20" t="n">
        <v>0</v>
      </c>
      <c r="O13" s="18" t="n">
        <v>0</v>
      </c>
      <c r="P13" s="20" t="n">
        <v>0</v>
      </c>
      <c r="Q13" s="18" t="n">
        <v>0.26694504</v>
      </c>
      <c r="R13" s="20" t="n">
        <v>0.2460317</v>
      </c>
    </row>
    <row r="14" spans="1:18">
      <c r="A14" s="15" t="s">
        <v>574</v>
      </c>
      <c r="B14" s="17" t="n">
        <v>2799</v>
      </c>
      <c r="C14" s="18">
        <f>(2464.0/B14*100)</f>
        <v/>
      </c>
      <c r="D14" s="19" t="n">
        <v>335</v>
      </c>
      <c r="E14" s="18" t="n">
        <v>24.79535732</v>
      </c>
      <c r="F14" s="20" t="n">
        <v>2.63166552</v>
      </c>
      <c r="G14" s="18" t="n">
        <v>74.92329516</v>
      </c>
      <c r="H14" s="20" t="n">
        <v>2.61342237</v>
      </c>
      <c r="I14" s="18" t="s">
        <v>567</v>
      </c>
      <c r="J14" s="20" t="s">
        <v>567</v>
      </c>
      <c r="K14" s="18" t="n">
        <v>0.28134752</v>
      </c>
      <c r="L14" s="20" t="n">
        <v>0.28443054</v>
      </c>
      <c r="M14" s="18" t="n">
        <v>0</v>
      </c>
      <c r="N14" s="20" t="n">
        <v>0</v>
      </c>
      <c r="O14" s="18" t="n">
        <v>0</v>
      </c>
      <c r="P14" s="20" t="n">
        <v>0</v>
      </c>
      <c r="Q14" s="18" t="n">
        <v>0</v>
      </c>
      <c r="R14" s="20" t="n">
        <v>0</v>
      </c>
    </row>
    <row r="15" spans="1:18">
      <c r="A15" s="15" t="s">
        <v>575</v>
      </c>
      <c r="B15" s="17" t="n">
        <v>3019</v>
      </c>
      <c r="C15" s="18">
        <f>(2687.0/B15*100)</f>
        <v/>
      </c>
      <c r="D15" s="19" t="n">
        <v>332</v>
      </c>
      <c r="E15" s="18" t="n">
        <v>21.5842016</v>
      </c>
      <c r="F15" s="20" t="n">
        <v>2.34697964</v>
      </c>
      <c r="G15" s="18" t="n">
        <v>77.64200887</v>
      </c>
      <c r="H15" s="20" t="n">
        <v>2.3986428</v>
      </c>
      <c r="I15" s="18" t="s">
        <v>567</v>
      </c>
      <c r="J15" s="20" t="s">
        <v>567</v>
      </c>
      <c r="K15" s="18" t="n">
        <v>0</v>
      </c>
      <c r="L15" s="20" t="n">
        <v>0</v>
      </c>
      <c r="M15" s="18" t="n">
        <v>0</v>
      </c>
      <c r="N15" s="20" t="n">
        <v>0</v>
      </c>
      <c r="O15" s="18" t="n">
        <v>0</v>
      </c>
      <c r="P15" s="20" t="n">
        <v>0</v>
      </c>
      <c r="Q15" s="18" t="n">
        <v>0.77378954</v>
      </c>
      <c r="R15" s="20" t="n">
        <v>0.44329989</v>
      </c>
    </row>
    <row r="16" spans="1:18">
      <c r="A16" s="15" t="s">
        <v>576</v>
      </c>
      <c r="B16" s="17" t="n">
        <v>2997</v>
      </c>
      <c r="C16" s="18">
        <f>(2652.0/B16*100)</f>
        <v/>
      </c>
      <c r="D16" s="19" t="n">
        <v>345</v>
      </c>
      <c r="E16" s="18" t="n">
        <v>47.63223642</v>
      </c>
      <c r="F16" s="20" t="n">
        <v>2.81916569</v>
      </c>
      <c r="G16" s="18" t="n">
        <v>48.95524795</v>
      </c>
      <c r="H16" s="20" t="n">
        <v>2.67408333</v>
      </c>
      <c r="I16" s="18" t="s">
        <v>567</v>
      </c>
      <c r="J16" s="20" t="s">
        <v>567</v>
      </c>
      <c r="K16" s="18" t="n">
        <v>0.59884774</v>
      </c>
      <c r="L16" s="20" t="n">
        <v>0.43821547</v>
      </c>
      <c r="M16" s="18" t="n">
        <v>0</v>
      </c>
      <c r="N16" s="20" t="n">
        <v>0</v>
      </c>
      <c r="O16" s="18" t="n">
        <v>0</v>
      </c>
      <c r="P16" s="20" t="n">
        <v>0</v>
      </c>
      <c r="Q16" s="18" t="n">
        <v>2.8136679</v>
      </c>
      <c r="R16" s="20" t="n">
        <v>0.91674457</v>
      </c>
    </row>
    <row r="17" spans="1:18">
      <c r="A17" s="15" t="s">
        <v>577</v>
      </c>
      <c r="B17" s="17" t="n">
        <v>3307</v>
      </c>
      <c r="C17" s="18">
        <f>(2966.0/B17*100)</f>
        <v/>
      </c>
      <c r="D17" s="19" t="n">
        <v>341</v>
      </c>
      <c r="E17" s="18" t="n">
        <v>29.97344997</v>
      </c>
      <c r="F17" s="20" t="n">
        <v>2.46028355</v>
      </c>
      <c r="G17" s="18" t="n">
        <v>69.57012069</v>
      </c>
      <c r="H17" s="20" t="n">
        <v>2.55733537</v>
      </c>
      <c r="I17" s="18" t="s">
        <v>567</v>
      </c>
      <c r="J17" s="20" t="s">
        <v>567</v>
      </c>
      <c r="K17" s="18" t="n">
        <v>0.45642934</v>
      </c>
      <c r="L17" s="20" t="n">
        <v>0.37313968</v>
      </c>
      <c r="M17" s="18" t="n">
        <v>0</v>
      </c>
      <c r="N17" s="20" t="n">
        <v>0</v>
      </c>
      <c r="O17" s="18" t="n">
        <v>0</v>
      </c>
      <c r="P17" s="20" t="n">
        <v>0</v>
      </c>
      <c r="Q17" s="18" t="n">
        <v>0</v>
      </c>
      <c r="R17" s="20" t="n">
        <v>0</v>
      </c>
    </row>
    <row r="18" spans="1:18">
      <c r="A18" s="15" t="s">
        <v>578</v>
      </c>
      <c r="B18" s="17" t="n">
        <v>2826</v>
      </c>
      <c r="C18" s="18">
        <f>(2497.0/B18*100)</f>
        <v/>
      </c>
      <c r="D18" s="19" t="n">
        <v>329</v>
      </c>
      <c r="E18" s="18" t="n">
        <v>44.42834497</v>
      </c>
      <c r="F18" s="20" t="n">
        <v>2.77593424</v>
      </c>
      <c r="G18" s="18" t="n">
        <v>54.00292371</v>
      </c>
      <c r="H18" s="20" t="n">
        <v>2.81462704</v>
      </c>
      <c r="I18" s="18" t="s">
        <v>567</v>
      </c>
      <c r="J18" s="20" t="s">
        <v>567</v>
      </c>
      <c r="K18" s="18" t="n">
        <v>0.16673091</v>
      </c>
      <c r="L18" s="20" t="n">
        <v>0.17138956</v>
      </c>
      <c r="M18" s="18" t="n">
        <v>0</v>
      </c>
      <c r="N18" s="20" t="n">
        <v>0</v>
      </c>
      <c r="O18" s="18" t="n">
        <v>0</v>
      </c>
      <c r="P18" s="20" t="n">
        <v>0</v>
      </c>
      <c r="Q18" s="18" t="n">
        <v>1.40200041</v>
      </c>
      <c r="R18" s="20" t="n">
        <v>0.7169887</v>
      </c>
    </row>
    <row r="19" spans="1:18">
      <c r="A19" s="15" t="s">
        <v>579</v>
      </c>
      <c r="B19" s="17" t="n">
        <v>2808</v>
      </c>
      <c r="C19" s="18">
        <f>(2497.0/B19*100)</f>
        <v/>
      </c>
      <c r="D19" s="19" t="n">
        <v>311</v>
      </c>
      <c r="E19" s="18" t="n">
        <v>41.0393593</v>
      </c>
      <c r="F19" s="20" t="n">
        <v>2.52553754</v>
      </c>
      <c r="G19" s="18" t="n">
        <v>58.67913458</v>
      </c>
      <c r="H19" s="20" t="n">
        <v>2.58139602</v>
      </c>
      <c r="I19" s="18" t="s">
        <v>567</v>
      </c>
      <c r="J19" s="20" t="s">
        <v>567</v>
      </c>
      <c r="K19" s="18" t="n">
        <v>0</v>
      </c>
      <c r="L19" s="20" t="n">
        <v>0</v>
      </c>
      <c r="M19" s="18" t="n">
        <v>0</v>
      </c>
      <c r="N19" s="20" t="n">
        <v>0</v>
      </c>
      <c r="O19" s="18" t="n">
        <v>0</v>
      </c>
      <c r="P19" s="20" t="n">
        <v>0</v>
      </c>
      <c r="Q19" s="18" t="n">
        <v>0.28150612</v>
      </c>
      <c r="R19" s="20" t="n">
        <v>0.25712629</v>
      </c>
    </row>
    <row r="20" spans="1:18">
      <c r="A20" s="15" t="s">
        <v>580</v>
      </c>
      <c r="B20" s="17" t="n">
        <v>1630</v>
      </c>
      <c r="C20" s="18">
        <f>(1460.0/B20*100)</f>
        <v/>
      </c>
      <c r="D20" s="19" t="n">
        <v>170</v>
      </c>
      <c r="E20" s="18" t="n">
        <v>35.79893224</v>
      </c>
      <c r="F20" s="20" t="n">
        <v>3.87757606</v>
      </c>
      <c r="G20" s="18" t="n">
        <v>63.62530715</v>
      </c>
      <c r="H20" s="20" t="n">
        <v>3.87527844</v>
      </c>
      <c r="I20" s="18" t="s">
        <v>567</v>
      </c>
      <c r="J20" s="20" t="s">
        <v>567</v>
      </c>
      <c r="K20" s="18" t="n">
        <v>0</v>
      </c>
      <c r="L20" s="20" t="n">
        <v>0</v>
      </c>
      <c r="M20" s="18" t="n">
        <v>0</v>
      </c>
      <c r="N20" s="20" t="n">
        <v>0</v>
      </c>
      <c r="O20" s="18" t="n">
        <v>0</v>
      </c>
      <c r="P20" s="20" t="n">
        <v>0</v>
      </c>
      <c r="Q20" s="18" t="n">
        <v>0.57576061</v>
      </c>
      <c r="R20" s="20" t="n">
        <v>0.57634448</v>
      </c>
    </row>
    <row r="21" spans="1:18">
      <c r="A21" s="15" t="s">
        <v>581</v>
      </c>
      <c r="B21" s="17" t="n">
        <v>2908</v>
      </c>
      <c r="C21" s="18">
        <f>(2576.0/B21*100)</f>
        <v/>
      </c>
      <c r="D21" s="19" t="n">
        <v>332</v>
      </c>
      <c r="E21" s="18" t="n">
        <v>30.56027472</v>
      </c>
      <c r="F21" s="20" t="n">
        <v>2.60485974</v>
      </c>
      <c r="G21" s="18" t="n">
        <v>68.89655322999999</v>
      </c>
      <c r="H21" s="20" t="n">
        <v>2.60110623</v>
      </c>
      <c r="I21" s="18" t="s">
        <v>567</v>
      </c>
      <c r="J21" s="20" t="s">
        <v>567</v>
      </c>
      <c r="K21" s="18" t="n">
        <v>0</v>
      </c>
      <c r="L21" s="20" t="n">
        <v>0</v>
      </c>
      <c r="M21" s="18" t="n">
        <v>0</v>
      </c>
      <c r="N21" s="20" t="n">
        <v>0</v>
      </c>
      <c r="O21" s="18" t="n">
        <v>0</v>
      </c>
      <c r="P21" s="20" t="n">
        <v>0</v>
      </c>
      <c r="Q21" s="18" t="n">
        <v>0.54317205</v>
      </c>
      <c r="R21" s="20" t="n">
        <v>0.36709171</v>
      </c>
    </row>
    <row r="22" spans="1:18">
      <c r="A22" s="15" t="s">
        <v>582</v>
      </c>
      <c r="B22" s="17" t="n">
        <v>2931</v>
      </c>
      <c r="C22" s="18">
        <f>(2599.0/B22*100)</f>
        <v/>
      </c>
      <c r="D22" s="19" t="n">
        <v>332</v>
      </c>
      <c r="E22" s="18" t="n">
        <v>40.47500589</v>
      </c>
      <c r="F22" s="20" t="n">
        <v>2.9613704</v>
      </c>
      <c r="G22" s="18" t="n">
        <v>57.0910103</v>
      </c>
      <c r="H22" s="20" t="n">
        <v>3.03929058</v>
      </c>
      <c r="I22" s="18" t="s">
        <v>567</v>
      </c>
      <c r="J22" s="20" t="s">
        <v>567</v>
      </c>
      <c r="K22" s="18" t="n">
        <v>1.34861953</v>
      </c>
      <c r="L22" s="20" t="n">
        <v>0.84819088</v>
      </c>
      <c r="M22" s="18" t="n">
        <v>0</v>
      </c>
      <c r="N22" s="20" t="n">
        <v>0</v>
      </c>
      <c r="O22" s="18" t="n">
        <v>0</v>
      </c>
      <c r="P22" s="20" t="n">
        <v>0</v>
      </c>
      <c r="Q22" s="18" t="n">
        <v>1.08536428</v>
      </c>
      <c r="R22" s="20" t="n">
        <v>0.63164641</v>
      </c>
    </row>
    <row r="23" spans="1:18">
      <c r="A23" s="15" t="s">
        <v>583</v>
      </c>
      <c r="B23" s="17" t="n">
        <v>5791</v>
      </c>
      <c r="C23" s="18">
        <f>(5149.0/B23*100)</f>
        <v/>
      </c>
      <c r="D23" s="19" t="n">
        <v>642</v>
      </c>
      <c r="E23" s="18" t="n">
        <v>36.57746606</v>
      </c>
      <c r="F23" s="20" t="n">
        <v>3.07041842</v>
      </c>
      <c r="G23" s="18" t="n">
        <v>63.27500697</v>
      </c>
      <c r="H23" s="20" t="n">
        <v>3.08813006</v>
      </c>
      <c r="I23" s="18" t="s">
        <v>567</v>
      </c>
      <c r="J23" s="20" t="s">
        <v>567</v>
      </c>
      <c r="K23" s="18" t="n">
        <v>0</v>
      </c>
      <c r="L23" s="20" t="n">
        <v>0</v>
      </c>
      <c r="M23" s="18" t="n">
        <v>0</v>
      </c>
      <c r="N23" s="20" t="n">
        <v>0</v>
      </c>
      <c r="O23" s="18" t="n">
        <v>0</v>
      </c>
      <c r="P23" s="20" t="n">
        <v>0</v>
      </c>
      <c r="Q23" s="18" t="n">
        <v>0.14752697</v>
      </c>
      <c r="R23" s="20" t="n">
        <v>0.14184686</v>
      </c>
    </row>
    <row r="24" spans="1:18">
      <c r="A24" s="15" t="s">
        <v>584</v>
      </c>
      <c r="B24" s="17" t="n">
        <v>3338</v>
      </c>
      <c r="C24" s="18">
        <f>(2972.0/B24*100)</f>
        <v/>
      </c>
      <c r="D24" s="19" t="n">
        <v>366</v>
      </c>
      <c r="E24" s="18" t="n">
        <v>23.52622317</v>
      </c>
      <c r="F24" s="20" t="n">
        <v>2.32041749</v>
      </c>
      <c r="G24" s="18" t="n">
        <v>75.42124163</v>
      </c>
      <c r="H24" s="20" t="n">
        <v>2.4142572</v>
      </c>
      <c r="I24" s="18" t="s">
        <v>567</v>
      </c>
      <c r="J24" s="20" t="s">
        <v>567</v>
      </c>
      <c r="K24" s="18" t="n">
        <v>0</v>
      </c>
      <c r="L24" s="20" t="n">
        <v>0</v>
      </c>
      <c r="M24" s="18" t="n">
        <v>0</v>
      </c>
      <c r="N24" s="20" t="n">
        <v>0</v>
      </c>
      <c r="O24" s="18" t="n">
        <v>0</v>
      </c>
      <c r="P24" s="20" t="n">
        <v>0</v>
      </c>
      <c r="Q24" s="18" t="n">
        <v>1.05253519</v>
      </c>
      <c r="R24" s="20" t="n">
        <v>0.51586607</v>
      </c>
    </row>
    <row r="25" spans="1:18">
      <c r="A25" s="15" t="s">
        <v>585</v>
      </c>
      <c r="B25" s="17" t="n">
        <v>2912</v>
      </c>
      <c r="C25" s="18">
        <f>(2606.0/B25*100)</f>
        <v/>
      </c>
      <c r="D25" s="19" t="n">
        <v>306</v>
      </c>
      <c r="E25" s="18" t="n">
        <v>30.64504235</v>
      </c>
      <c r="F25" s="20" t="n">
        <v>3.0361906</v>
      </c>
      <c r="G25" s="18" t="n">
        <v>68.7253133</v>
      </c>
      <c r="H25" s="20" t="n">
        <v>3.01391211</v>
      </c>
      <c r="I25" s="18" t="s">
        <v>567</v>
      </c>
      <c r="J25" s="20" t="s">
        <v>567</v>
      </c>
      <c r="K25" s="18" t="n">
        <v>0</v>
      </c>
      <c r="L25" s="20" t="n">
        <v>0</v>
      </c>
      <c r="M25" s="18" t="n">
        <v>0</v>
      </c>
      <c r="N25" s="20" t="n">
        <v>0</v>
      </c>
      <c r="O25" s="18" t="n">
        <v>0</v>
      </c>
      <c r="P25" s="20" t="n">
        <v>0</v>
      </c>
      <c r="Q25" s="18" t="n">
        <v>0.62964435</v>
      </c>
      <c r="R25" s="20" t="n">
        <v>0.45693358</v>
      </c>
    </row>
    <row r="26" spans="1:18">
      <c r="A26" s="15" t="s">
        <v>586</v>
      </c>
      <c r="B26" s="17" t="n">
        <v>2450</v>
      </c>
      <c r="C26" s="18">
        <f>(2178.0/B26*100)</f>
        <v/>
      </c>
      <c r="D26" s="19" t="n">
        <v>272</v>
      </c>
      <c r="E26" s="18" t="n">
        <v>35.18866713</v>
      </c>
      <c r="F26" s="20" t="n">
        <v>3.25739128</v>
      </c>
      <c r="G26" s="18" t="n">
        <v>64.47839908</v>
      </c>
      <c r="H26" s="20" t="n">
        <v>3.31988269</v>
      </c>
      <c r="I26" s="18" t="s">
        <v>567</v>
      </c>
      <c r="J26" s="20" t="s">
        <v>567</v>
      </c>
      <c r="K26" s="18" t="n">
        <v>0</v>
      </c>
      <c r="L26" s="20" t="n">
        <v>0</v>
      </c>
      <c r="M26" s="18" t="n">
        <v>0</v>
      </c>
      <c r="N26" s="20" t="n">
        <v>0</v>
      </c>
      <c r="O26" s="18" t="n">
        <v>0</v>
      </c>
      <c r="P26" s="20" t="n">
        <v>0</v>
      </c>
      <c r="Q26" s="18" t="n">
        <v>0.33293379</v>
      </c>
      <c r="R26" s="20" t="n">
        <v>0.33145912</v>
      </c>
    </row>
    <row r="27" spans="1:18">
      <c r="A27" s="15" t="s">
        <v>587</v>
      </c>
      <c r="B27" s="17" t="n">
        <v>2616</v>
      </c>
      <c r="C27" s="18">
        <f>(2317.0/B27*100)</f>
        <v/>
      </c>
      <c r="D27" s="19" t="n">
        <v>299</v>
      </c>
      <c r="E27" s="18" t="n">
        <v>41.33855823</v>
      </c>
      <c r="F27" s="20" t="n">
        <v>3.02705529</v>
      </c>
      <c r="G27" s="18" t="n">
        <v>56.99589809</v>
      </c>
      <c r="H27" s="20" t="n">
        <v>3.02325348</v>
      </c>
      <c r="I27" s="18" t="s">
        <v>567</v>
      </c>
      <c r="J27" s="20" t="s">
        <v>567</v>
      </c>
      <c r="K27" s="18" t="n">
        <v>0.35255678</v>
      </c>
      <c r="L27" s="20" t="n">
        <v>0.35624811</v>
      </c>
      <c r="M27" s="18" t="n">
        <v>0</v>
      </c>
      <c r="N27" s="20" t="n">
        <v>0</v>
      </c>
      <c r="O27" s="18" t="n">
        <v>0</v>
      </c>
      <c r="P27" s="20" t="n">
        <v>0</v>
      </c>
      <c r="Q27" s="18" t="n">
        <v>1.31298691</v>
      </c>
      <c r="R27" s="20" t="n">
        <v>0.80091223</v>
      </c>
    </row>
    <row r="28" spans="1:18">
      <c r="A28" s="15" t="s">
        <v>588</v>
      </c>
      <c r="B28" s="17" t="n">
        <v>3765</v>
      </c>
      <c r="C28" s="18">
        <f>(3375.0/B28*100)</f>
        <v/>
      </c>
      <c r="D28" s="19" t="n">
        <v>390</v>
      </c>
      <c r="E28" s="18" t="n">
        <v>70.47162211</v>
      </c>
      <c r="F28" s="20" t="n">
        <v>2.48505139</v>
      </c>
      <c r="G28" s="18" t="n">
        <v>28.91643694</v>
      </c>
      <c r="H28" s="20" t="n">
        <v>2.47170461</v>
      </c>
      <c r="I28" s="18" t="s">
        <v>567</v>
      </c>
      <c r="J28" s="20" t="s">
        <v>567</v>
      </c>
      <c r="K28" s="18" t="n">
        <v>0</v>
      </c>
      <c r="L28" s="20" t="n">
        <v>0</v>
      </c>
      <c r="M28" s="18" t="n">
        <v>0</v>
      </c>
      <c r="N28" s="20" t="n">
        <v>0</v>
      </c>
      <c r="O28" s="18" t="n">
        <v>0</v>
      </c>
      <c r="P28" s="20" t="n">
        <v>0</v>
      </c>
      <c r="Q28" s="18" t="n">
        <v>0.61194095</v>
      </c>
      <c r="R28" s="20" t="n">
        <v>0.46456925</v>
      </c>
    </row>
    <row r="29" spans="1:18">
      <c r="A29" s="15" t="s">
        <v>589</v>
      </c>
      <c r="B29" s="17" t="n">
        <v>2685</v>
      </c>
      <c r="C29" s="18">
        <f>(2404.0/B29*100)</f>
        <v/>
      </c>
      <c r="D29" s="19" t="n">
        <v>281</v>
      </c>
      <c r="E29" s="18" t="n">
        <v>43.44306775</v>
      </c>
      <c r="F29" s="20" t="n">
        <v>2.7518333</v>
      </c>
      <c r="G29" s="18" t="n">
        <v>55.25142195</v>
      </c>
      <c r="H29" s="20" t="n">
        <v>2.80454579</v>
      </c>
      <c r="I29" s="18" t="s">
        <v>567</v>
      </c>
      <c r="J29" s="20" t="s">
        <v>567</v>
      </c>
      <c r="K29" s="18" t="n">
        <v>0.36807508</v>
      </c>
      <c r="L29" s="20" t="n">
        <v>0.36480756</v>
      </c>
      <c r="M29" s="18" t="n">
        <v>0</v>
      </c>
      <c r="N29" s="20" t="n">
        <v>0</v>
      </c>
      <c r="O29" s="18" t="n">
        <v>0</v>
      </c>
      <c r="P29" s="20" t="n">
        <v>0</v>
      </c>
      <c r="Q29" s="18" t="n">
        <v>0.93743522</v>
      </c>
      <c r="R29" s="20" t="n">
        <v>0.59205928</v>
      </c>
    </row>
    <row r="30" spans="1:18">
      <c r="A30" s="15" t="s">
        <v>590</v>
      </c>
      <c r="B30" s="17" t="n">
        <v>2263</v>
      </c>
      <c r="C30" s="18">
        <f>(1998.0/B30*100)</f>
        <v/>
      </c>
      <c r="D30" s="19" t="n">
        <v>265</v>
      </c>
      <c r="E30" s="18" t="n">
        <v>36.13707451</v>
      </c>
      <c r="F30" s="20" t="n">
        <v>2.77477607</v>
      </c>
      <c r="G30" s="18" t="n">
        <v>63.50177273</v>
      </c>
      <c r="H30" s="20" t="n">
        <v>2.79711717</v>
      </c>
      <c r="I30" s="18" t="s">
        <v>567</v>
      </c>
      <c r="J30" s="20" t="s">
        <v>567</v>
      </c>
      <c r="K30" s="18" t="n">
        <v>0</v>
      </c>
      <c r="L30" s="20" t="n">
        <v>0</v>
      </c>
      <c r="M30" s="18" t="n">
        <v>0</v>
      </c>
      <c r="N30" s="20" t="n">
        <v>0</v>
      </c>
      <c r="O30" s="18" t="n">
        <v>0</v>
      </c>
      <c r="P30" s="20" t="n">
        <v>0</v>
      </c>
      <c r="Q30" s="18" t="n">
        <v>0.36115276</v>
      </c>
      <c r="R30" s="20" t="n">
        <v>0.39681209</v>
      </c>
    </row>
    <row r="31" spans="1:18">
      <c r="A31" s="15" t="s">
        <v>591</v>
      </c>
      <c r="B31" s="17" t="n">
        <v>2750</v>
      </c>
      <c r="C31" s="18">
        <f>(2451.0/B31*100)</f>
        <v/>
      </c>
      <c r="D31" s="19" t="n">
        <v>299</v>
      </c>
      <c r="E31" s="18" t="n">
        <v>36.7201744</v>
      </c>
      <c r="F31" s="20" t="n">
        <v>2.82236268</v>
      </c>
      <c r="G31" s="18" t="n">
        <v>62.41040634</v>
      </c>
      <c r="H31" s="20" t="n">
        <v>2.84413133</v>
      </c>
      <c r="I31" s="18" t="s">
        <v>567</v>
      </c>
      <c r="J31" s="20" t="s">
        <v>567</v>
      </c>
      <c r="K31" s="18" t="n">
        <v>0.28162006</v>
      </c>
      <c r="L31" s="20" t="n">
        <v>0.28355703</v>
      </c>
      <c r="M31" s="18" t="n">
        <v>0</v>
      </c>
      <c r="N31" s="20" t="n">
        <v>0</v>
      </c>
      <c r="O31" s="18" t="n">
        <v>0</v>
      </c>
      <c r="P31" s="20" t="n">
        <v>0</v>
      </c>
      <c r="Q31" s="18" t="n">
        <v>0.5877992</v>
      </c>
      <c r="R31" s="20" t="n">
        <v>0.41268389</v>
      </c>
    </row>
    <row r="32" spans="1:18">
      <c r="A32" s="15" t="s">
        <v>592</v>
      </c>
      <c r="B32" s="17" t="n">
        <v>2269</v>
      </c>
      <c r="C32" s="18">
        <f>(2022.0/B32*100)</f>
        <v/>
      </c>
      <c r="D32" s="19" t="n">
        <v>247</v>
      </c>
      <c r="E32" s="18" t="n">
        <v>30.96445172</v>
      </c>
      <c r="F32" s="20" t="n">
        <v>2.97053924</v>
      </c>
      <c r="G32" s="18" t="n">
        <v>68.08394976</v>
      </c>
      <c r="H32" s="20" t="n">
        <v>2.86958201</v>
      </c>
      <c r="I32" s="18" t="s">
        <v>567</v>
      </c>
      <c r="J32" s="20" t="s">
        <v>567</v>
      </c>
      <c r="K32" s="18" t="n">
        <v>0.35989879</v>
      </c>
      <c r="L32" s="20" t="n">
        <v>0.35159989</v>
      </c>
      <c r="M32" s="18" t="n">
        <v>0</v>
      </c>
      <c r="N32" s="20" t="n">
        <v>0</v>
      </c>
      <c r="O32" s="18" t="n">
        <v>0</v>
      </c>
      <c r="P32" s="20" t="n">
        <v>0</v>
      </c>
      <c r="Q32" s="18" t="n">
        <v>0.59169973</v>
      </c>
      <c r="R32" s="20" t="n">
        <v>0.6012256</v>
      </c>
    </row>
    <row r="33" spans="1:18">
      <c r="A33" s="15" t="s">
        <v>593</v>
      </c>
      <c r="B33" s="17" t="n">
        <v>3674</v>
      </c>
      <c r="C33" s="18">
        <f>(3275.0/B33*100)</f>
        <v/>
      </c>
      <c r="D33" s="19" t="n">
        <v>399</v>
      </c>
      <c r="E33" s="18" t="n">
        <v>22.01371393</v>
      </c>
      <c r="F33" s="20" t="n">
        <v>2.37876515</v>
      </c>
      <c r="G33" s="18" t="n">
        <v>77.20402980999999</v>
      </c>
      <c r="H33" s="20" t="n">
        <v>2.25472201</v>
      </c>
      <c r="I33" s="18" t="s">
        <v>567</v>
      </c>
      <c r="J33" s="20" t="s">
        <v>567</v>
      </c>
      <c r="K33" s="18" t="n">
        <v>0</v>
      </c>
      <c r="L33" s="20" t="n">
        <v>0</v>
      </c>
      <c r="M33" s="18" t="n">
        <v>0</v>
      </c>
      <c r="N33" s="20" t="n">
        <v>0</v>
      </c>
      <c r="O33" s="18" t="n">
        <v>0</v>
      </c>
      <c r="P33" s="20" t="n">
        <v>0</v>
      </c>
      <c r="Q33" s="18" t="n">
        <v>0.78225627</v>
      </c>
      <c r="R33" s="20" t="n">
        <v>0.51902927</v>
      </c>
    </row>
    <row r="34" spans="1:18">
      <c r="A34" s="15" t="s">
        <v>594</v>
      </c>
      <c r="B34" s="17" t="n">
        <v>3315</v>
      </c>
      <c r="C34" s="18">
        <f>(2971.0/B34*100)</f>
        <v/>
      </c>
      <c r="D34" s="19" t="n">
        <v>344</v>
      </c>
      <c r="E34" s="18" t="n">
        <v>43.9993209</v>
      </c>
      <c r="F34" s="20" t="n">
        <v>2.8388065</v>
      </c>
      <c r="G34" s="18" t="n">
        <v>55.45014353</v>
      </c>
      <c r="H34" s="20" t="n">
        <v>2.87690178</v>
      </c>
      <c r="I34" s="18" t="s">
        <v>567</v>
      </c>
      <c r="J34" s="20" t="s">
        <v>567</v>
      </c>
      <c r="K34" s="18" t="n">
        <v>0</v>
      </c>
      <c r="L34" s="20" t="n">
        <v>0</v>
      </c>
      <c r="M34" s="18" t="n">
        <v>0</v>
      </c>
      <c r="N34" s="20" t="n">
        <v>0</v>
      </c>
      <c r="O34" s="18" t="n">
        <v>0</v>
      </c>
      <c r="P34" s="20" t="n">
        <v>0</v>
      </c>
      <c r="Q34" s="18" t="n">
        <v>0.55053557</v>
      </c>
      <c r="R34" s="20" t="n">
        <v>0.38418549</v>
      </c>
    </row>
    <row r="35" spans="1:18">
      <c r="A35" s="15" t="s">
        <v>595</v>
      </c>
      <c r="B35" s="17" t="n">
        <v>3505</v>
      </c>
      <c r="C35" s="18">
        <f>(3120.0/B35*100)</f>
        <v/>
      </c>
      <c r="D35" s="19" t="n">
        <v>385</v>
      </c>
      <c r="E35" s="18" t="n">
        <v>32.40121138</v>
      </c>
      <c r="F35" s="20" t="n">
        <v>2.71024477</v>
      </c>
      <c r="G35" s="18" t="n">
        <v>66.75050142000001</v>
      </c>
      <c r="H35" s="20" t="n">
        <v>2.7338851</v>
      </c>
      <c r="I35" s="18" t="s">
        <v>567</v>
      </c>
      <c r="J35" s="20" t="s">
        <v>567</v>
      </c>
      <c r="K35" s="18" t="n">
        <v>0</v>
      </c>
      <c r="L35" s="20" t="n">
        <v>0</v>
      </c>
      <c r="M35" s="18" t="n">
        <v>0</v>
      </c>
      <c r="N35" s="20" t="n">
        <v>0</v>
      </c>
      <c r="O35" s="18" t="n">
        <v>0</v>
      </c>
      <c r="P35" s="20" t="n">
        <v>0</v>
      </c>
      <c r="Q35" s="18" t="n">
        <v>0.8482872</v>
      </c>
      <c r="R35" s="20" t="n">
        <v>0.46022631</v>
      </c>
    </row>
    <row r="36" spans="1:18">
      <c r="A36" s="15" t="s">
        <v>596</v>
      </c>
      <c r="B36" s="17" t="n">
        <v>3332</v>
      </c>
      <c r="C36" s="18">
        <f>(2950.0/B36*100)</f>
        <v/>
      </c>
      <c r="D36" s="19" t="n">
        <v>382</v>
      </c>
      <c r="E36" s="18" t="n">
        <v>50.15980522</v>
      </c>
      <c r="F36" s="20" t="n">
        <v>2.36330507</v>
      </c>
      <c r="G36" s="18" t="n">
        <v>48.55360007</v>
      </c>
      <c r="H36" s="20" t="n">
        <v>2.31654384</v>
      </c>
      <c r="I36" s="18" t="s">
        <v>567</v>
      </c>
      <c r="J36" s="20" t="s">
        <v>567</v>
      </c>
      <c r="K36" s="18" t="n">
        <v>0</v>
      </c>
      <c r="L36" s="20" t="n">
        <v>0</v>
      </c>
      <c r="M36" s="18" t="n">
        <v>0</v>
      </c>
      <c r="N36" s="20" t="n">
        <v>0</v>
      </c>
      <c r="O36" s="18" t="n">
        <v>0</v>
      </c>
      <c r="P36" s="20" t="n">
        <v>0</v>
      </c>
      <c r="Q36" s="18" t="n">
        <v>1.28659471</v>
      </c>
      <c r="R36" s="20" t="n">
        <v>0.35037787</v>
      </c>
    </row>
    <row r="37" spans="1:18">
      <c r="A37" s="15" t="s">
        <v>597</v>
      </c>
      <c r="B37" s="17" t="n">
        <v>2727</v>
      </c>
      <c r="C37" s="18">
        <f>(2422.0/B37*100)</f>
        <v/>
      </c>
      <c r="D37" s="19" t="n">
        <v>305</v>
      </c>
      <c r="E37" s="18" t="n">
        <v>37.52861178</v>
      </c>
      <c r="F37" s="20" t="n">
        <v>3.02062058</v>
      </c>
      <c r="G37" s="18" t="n">
        <v>61.57303431</v>
      </c>
      <c r="H37" s="20" t="n">
        <v>3.07501991</v>
      </c>
      <c r="I37" s="18" t="s">
        <v>567</v>
      </c>
      <c r="J37" s="20" t="s">
        <v>567</v>
      </c>
      <c r="K37" s="18" t="n">
        <v>0</v>
      </c>
      <c r="L37" s="20" t="n">
        <v>0</v>
      </c>
      <c r="M37" s="18" t="n">
        <v>0</v>
      </c>
      <c r="N37" s="20" t="n">
        <v>0</v>
      </c>
      <c r="O37" s="18" t="n">
        <v>0</v>
      </c>
      <c r="P37" s="20" t="n">
        <v>0</v>
      </c>
      <c r="Q37" s="18" t="n">
        <v>0.89835391</v>
      </c>
      <c r="R37" s="20" t="n">
        <v>0.51308929</v>
      </c>
    </row>
    <row r="38" spans="1:18">
      <c r="A38" s="15" t="s">
        <v>598</v>
      </c>
      <c r="B38" s="17" t="n">
        <v>3053</v>
      </c>
      <c r="C38" s="18">
        <f>(2724.0/B38*100)</f>
        <v/>
      </c>
      <c r="D38" s="19" t="n">
        <v>329</v>
      </c>
      <c r="E38" s="18" t="n">
        <v>39.08920458</v>
      </c>
      <c r="F38" s="20" t="n">
        <v>3.12861926</v>
      </c>
      <c r="G38" s="18" t="n">
        <v>59.18136325</v>
      </c>
      <c r="H38" s="20" t="n">
        <v>3.32881898</v>
      </c>
      <c r="I38" s="18" t="s">
        <v>567</v>
      </c>
      <c r="J38" s="20" t="s">
        <v>567</v>
      </c>
      <c r="K38" s="18" t="n">
        <v>0.5188146</v>
      </c>
      <c r="L38" s="20" t="n">
        <v>0.45325673</v>
      </c>
      <c r="M38" s="18" t="n">
        <v>0</v>
      </c>
      <c r="N38" s="20" t="n">
        <v>0</v>
      </c>
      <c r="O38" s="18" t="n">
        <v>0</v>
      </c>
      <c r="P38" s="20" t="n">
        <v>0</v>
      </c>
      <c r="Q38" s="18" t="n">
        <v>1.21061757</v>
      </c>
      <c r="R38" s="20" t="n">
        <v>0.7125793</v>
      </c>
    </row>
    <row r="39" spans="1:18">
      <c r="A39" s="15" t="s">
        <v>599</v>
      </c>
      <c r="B39" s="17" t="n">
        <v>2957</v>
      </c>
      <c r="C39" s="18">
        <f>(2625.0/B39*100)</f>
        <v/>
      </c>
      <c r="D39" s="19" t="n">
        <v>332</v>
      </c>
      <c r="E39" s="18" t="n">
        <v>51.23177562</v>
      </c>
      <c r="F39" s="20" t="n">
        <v>3.63894697</v>
      </c>
      <c r="G39" s="18" t="n">
        <v>48.2478747</v>
      </c>
      <c r="H39" s="20" t="n">
        <v>3.62390282</v>
      </c>
      <c r="I39" s="18" t="s">
        <v>567</v>
      </c>
      <c r="J39" s="20" t="s">
        <v>567</v>
      </c>
      <c r="K39" s="18" t="n">
        <v>0.2143187</v>
      </c>
      <c r="L39" s="20" t="n">
        <v>0.22229937</v>
      </c>
      <c r="M39" s="18" t="n">
        <v>0</v>
      </c>
      <c r="N39" s="20" t="n">
        <v>0</v>
      </c>
      <c r="O39" s="18" t="n">
        <v>0</v>
      </c>
      <c r="P39" s="20" t="n">
        <v>0</v>
      </c>
      <c r="Q39" s="18" t="n">
        <v>0.30603098</v>
      </c>
      <c r="R39" s="20" t="n">
        <v>0.32497209</v>
      </c>
    </row>
    <row r="40" spans="1:18">
      <c r="A40" s="15" t="s">
        <v>600</v>
      </c>
      <c r="B40" s="17" t="n">
        <v>7235</v>
      </c>
      <c r="C40" s="18">
        <f>(6387.0/B40*100)</f>
        <v/>
      </c>
      <c r="D40" s="19" t="n">
        <v>848</v>
      </c>
      <c r="E40" s="18" t="n">
        <v>32.55783093</v>
      </c>
      <c r="F40" s="20" t="n">
        <v>2.43566445</v>
      </c>
      <c r="G40" s="18" t="n">
        <v>66.45223788</v>
      </c>
      <c r="H40" s="20" t="n">
        <v>2.50827055</v>
      </c>
      <c r="I40" s="18" t="s">
        <v>567</v>
      </c>
      <c r="J40" s="20" t="s">
        <v>567</v>
      </c>
      <c r="K40" s="18" t="n">
        <v>0.06933135</v>
      </c>
      <c r="L40" s="20" t="n">
        <v>0.05918643</v>
      </c>
      <c r="M40" s="18" t="n">
        <v>0</v>
      </c>
      <c r="N40" s="20" t="n">
        <v>0</v>
      </c>
      <c r="O40" s="18" t="n">
        <v>0</v>
      </c>
      <c r="P40" s="20" t="n">
        <v>0</v>
      </c>
      <c r="Q40" s="18" t="n">
        <v>0.9205998399999999</v>
      </c>
      <c r="R40" s="20" t="n">
        <v>0.59322273</v>
      </c>
    </row>
    <row r="41" spans="1:18">
      <c r="A41" s="15" t="s">
        <v>601</v>
      </c>
      <c r="B41" s="17" t="n">
        <v>2858</v>
      </c>
      <c r="C41" s="18">
        <f>(2527.0/B41*100)</f>
        <v/>
      </c>
      <c r="D41" s="19" t="n">
        <v>331</v>
      </c>
      <c r="E41" s="18" t="n">
        <v>41.4937141</v>
      </c>
      <c r="F41" s="20" t="n">
        <v>2.58527211</v>
      </c>
      <c r="G41" s="18" t="n">
        <v>57.4032231</v>
      </c>
      <c r="H41" s="20" t="n">
        <v>2.54134511</v>
      </c>
      <c r="I41" s="18" t="s">
        <v>567</v>
      </c>
      <c r="J41" s="20" t="s">
        <v>567</v>
      </c>
      <c r="K41" s="18" t="n">
        <v>0</v>
      </c>
      <c r="L41" s="20" t="n">
        <v>0</v>
      </c>
      <c r="M41" s="18" t="n">
        <v>0</v>
      </c>
      <c r="N41" s="20" t="n">
        <v>0</v>
      </c>
      <c r="O41" s="18" t="n">
        <v>0</v>
      </c>
      <c r="P41" s="20" t="n">
        <v>0</v>
      </c>
      <c r="Q41" s="18" t="n">
        <v>1.1030628</v>
      </c>
      <c r="R41" s="20" t="n">
        <v>0.55980363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(9966.0/B46*100)</f>
        <v/>
      </c>
      <c r="D46" s="19" t="n">
        <v>1102</v>
      </c>
      <c r="E46" s="18" t="n">
        <v>61.3772376</v>
      </c>
      <c r="F46" s="20" t="n">
        <v>2.32083841</v>
      </c>
      <c r="G46" s="18" t="n">
        <v>36.77878019</v>
      </c>
      <c r="H46" s="20" t="n">
        <v>2.34366261</v>
      </c>
      <c r="I46" s="18" t="s">
        <v>567</v>
      </c>
      <c r="J46" s="20" t="s">
        <v>567</v>
      </c>
      <c r="K46" s="18" t="n">
        <v>0.15716008</v>
      </c>
      <c r="L46" s="20" t="n">
        <v>0.14884308</v>
      </c>
      <c r="M46" s="18" t="n">
        <v>0</v>
      </c>
      <c r="N46" s="20" t="n">
        <v>0</v>
      </c>
      <c r="O46" s="18" t="n">
        <v>0</v>
      </c>
      <c r="P46" s="20" t="n">
        <v>0</v>
      </c>
      <c r="Q46" s="18" t="n">
        <v>1.68682213</v>
      </c>
      <c r="R46" s="20" t="n">
        <v>0.43730433</v>
      </c>
    </row>
    <row r="47" spans="1:18">
      <c r="A47" s="15" t="s">
        <v>607</v>
      </c>
      <c r="B47" s="17" t="n">
        <v>3105</v>
      </c>
      <c r="C47" s="18">
        <f>(2757.0/B47*100)</f>
        <v/>
      </c>
      <c r="D47" s="19" t="n">
        <v>348</v>
      </c>
      <c r="E47" s="18" t="n">
        <v>43.12080929</v>
      </c>
      <c r="F47" s="20" t="n">
        <v>2.56140744</v>
      </c>
      <c r="G47" s="18" t="n">
        <v>56.06075211</v>
      </c>
      <c r="H47" s="20" t="n">
        <v>2.54181175</v>
      </c>
      <c r="I47" s="18" t="s">
        <v>567</v>
      </c>
      <c r="J47" s="20" t="s">
        <v>567</v>
      </c>
      <c r="K47" s="18" t="n">
        <v>0</v>
      </c>
      <c r="L47" s="20" t="n">
        <v>0</v>
      </c>
      <c r="M47" s="18" t="n">
        <v>0</v>
      </c>
      <c r="N47" s="20" t="n">
        <v>0</v>
      </c>
      <c r="O47" s="18" t="n">
        <v>0</v>
      </c>
      <c r="P47" s="20" t="n">
        <v>0</v>
      </c>
      <c r="Q47" s="18" t="n">
        <v>0.81843859</v>
      </c>
      <c r="R47" s="20" t="n">
        <v>0.52026711</v>
      </c>
    </row>
    <row r="48" spans="1:18">
      <c r="A48" s="15" t="s">
        <v>608</v>
      </c>
      <c r="B48" s="17" t="n">
        <v>5159</v>
      </c>
      <c r="C48" s="18">
        <f>(4605.0/B48*100)</f>
        <v/>
      </c>
      <c r="D48" s="19" t="n">
        <v>554</v>
      </c>
      <c r="E48" s="18" t="n">
        <v>33.50228358</v>
      </c>
      <c r="F48" s="20" t="n">
        <v>2.41332048</v>
      </c>
      <c r="G48" s="18" t="n">
        <v>64.65008773</v>
      </c>
      <c r="H48" s="20" t="n">
        <v>2.3438522</v>
      </c>
      <c r="I48" s="18" t="s">
        <v>567</v>
      </c>
      <c r="J48" s="20" t="s">
        <v>567</v>
      </c>
      <c r="K48" s="18" t="n">
        <v>0.65699079</v>
      </c>
      <c r="L48" s="20" t="n">
        <v>0.46540588</v>
      </c>
      <c r="M48" s="18" t="n">
        <v>0</v>
      </c>
      <c r="N48" s="20" t="n">
        <v>0</v>
      </c>
      <c r="O48" s="18" t="n">
        <v>0</v>
      </c>
      <c r="P48" s="20" t="n">
        <v>0</v>
      </c>
      <c r="Q48" s="18" t="n">
        <v>1.1906379</v>
      </c>
      <c r="R48" s="20" t="n">
        <v>0.60067732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(5032.0/B50*100)</f>
        <v/>
      </c>
      <c r="D50" s="19" t="n">
        <v>605</v>
      </c>
      <c r="E50" s="18" t="n">
        <v>55.0438885</v>
      </c>
      <c r="F50" s="20" t="n">
        <v>2.93670743</v>
      </c>
      <c r="G50" s="18" t="n">
        <v>44.4648416</v>
      </c>
      <c r="H50" s="20" t="n">
        <v>2.9261252</v>
      </c>
      <c r="I50" s="18" t="s">
        <v>567</v>
      </c>
      <c r="J50" s="20" t="s">
        <v>567</v>
      </c>
      <c r="K50" s="18" t="n">
        <v>0.37510041</v>
      </c>
      <c r="L50" s="20" t="n">
        <v>0.20435109</v>
      </c>
      <c r="M50" s="18" t="n">
        <v>0</v>
      </c>
      <c r="N50" s="20" t="n">
        <v>0</v>
      </c>
      <c r="O50" s="18" t="n">
        <v>0</v>
      </c>
      <c r="P50" s="20" t="n">
        <v>0</v>
      </c>
      <c r="Q50" s="18" t="n">
        <v>0.1161695</v>
      </c>
      <c r="R50" s="20" t="n">
        <v>0.09590451</v>
      </c>
    </row>
    <row r="51" spans="1:18">
      <c r="A51" s="15" t="s">
        <v>611</v>
      </c>
      <c r="B51" s="17" t="n">
        <v>3372</v>
      </c>
      <c r="C51" s="18">
        <f>(3025.0/B51*100)</f>
        <v/>
      </c>
      <c r="D51" s="19" t="n">
        <v>347</v>
      </c>
      <c r="E51" s="18" t="n">
        <v>60.58907882</v>
      </c>
      <c r="F51" s="20" t="n">
        <v>2.93641595</v>
      </c>
      <c r="G51" s="18" t="n">
        <v>38.15888765</v>
      </c>
      <c r="H51" s="20" t="n">
        <v>2.86328037</v>
      </c>
      <c r="I51" s="18" t="s">
        <v>567</v>
      </c>
      <c r="J51" s="20" t="s">
        <v>567</v>
      </c>
      <c r="K51" s="18" t="n">
        <v>0.72013423</v>
      </c>
      <c r="L51" s="20" t="n">
        <v>0.636525</v>
      </c>
      <c r="M51" s="18" t="n">
        <v>0</v>
      </c>
      <c r="N51" s="20" t="n">
        <v>0</v>
      </c>
      <c r="O51" s="18" t="n">
        <v>0</v>
      </c>
      <c r="P51" s="20" t="n">
        <v>0</v>
      </c>
      <c r="Q51" s="18" t="n">
        <v>0.5318993</v>
      </c>
      <c r="R51" s="20" t="n">
        <v>0.3274783</v>
      </c>
    </row>
    <row r="52" spans="1:18">
      <c r="A52" s="15" t="s">
        <v>612</v>
      </c>
      <c r="B52" s="17" t="n">
        <v>2796</v>
      </c>
      <c r="C52" s="18">
        <f>(2514.0/B52*100)</f>
        <v/>
      </c>
      <c r="D52" s="19" t="n">
        <v>282</v>
      </c>
      <c r="E52" s="18" t="n">
        <v>34.55886832</v>
      </c>
      <c r="F52" s="20" t="n">
        <v>2.97367159</v>
      </c>
      <c r="G52" s="18" t="n">
        <v>65.44113168</v>
      </c>
      <c r="H52" s="20" t="n">
        <v>2.97367159</v>
      </c>
      <c r="I52" s="18" t="s">
        <v>567</v>
      </c>
      <c r="J52" s="20" t="s">
        <v>567</v>
      </c>
      <c r="K52" s="18" t="n">
        <v>0</v>
      </c>
      <c r="L52" s="20" t="n">
        <v>0</v>
      </c>
      <c r="M52" s="18" t="n">
        <v>0</v>
      </c>
      <c r="N52" s="20" t="n">
        <v>0</v>
      </c>
      <c r="O52" s="18" t="n">
        <v>0</v>
      </c>
      <c r="P52" s="20" t="n">
        <v>0</v>
      </c>
      <c r="Q52" s="18" t="n">
        <v>0</v>
      </c>
      <c r="R52" s="20" t="n">
        <v>0</v>
      </c>
    </row>
    <row r="53" spans="1:18">
      <c r="A53" s="15" t="s">
        <v>613</v>
      </c>
      <c r="B53" s="17" t="n">
        <v>2811</v>
      </c>
      <c r="C53" s="18">
        <f>(2520.0/B53*100)</f>
        <v/>
      </c>
      <c r="D53" s="19" t="n">
        <v>291</v>
      </c>
      <c r="E53" s="18" t="n">
        <v>60.6729348</v>
      </c>
      <c r="F53" s="20" t="n">
        <v>3.03746372</v>
      </c>
      <c r="G53" s="18" t="n">
        <v>37.94019178</v>
      </c>
      <c r="H53" s="20" t="n">
        <v>3.0569512</v>
      </c>
      <c r="I53" s="18" t="s">
        <v>567</v>
      </c>
      <c r="J53" s="20" t="s">
        <v>567</v>
      </c>
      <c r="K53" s="18" t="n">
        <v>0.23041937</v>
      </c>
      <c r="L53" s="20" t="n">
        <v>0.23288774</v>
      </c>
      <c r="M53" s="18" t="n">
        <v>0</v>
      </c>
      <c r="N53" s="20" t="n">
        <v>0</v>
      </c>
      <c r="O53" s="18" t="n">
        <v>0</v>
      </c>
      <c r="P53" s="20" t="n">
        <v>0</v>
      </c>
      <c r="Q53" s="18" t="n">
        <v>1.15645405</v>
      </c>
      <c r="R53" s="20" t="n">
        <v>0.59527648</v>
      </c>
    </row>
    <row r="54" spans="1:18">
      <c r="A54" s="15" t="s">
        <v>614</v>
      </c>
      <c r="B54" s="17" t="n">
        <v>2266</v>
      </c>
      <c r="C54" s="18">
        <f>(2015.0/B54*100)</f>
        <v/>
      </c>
      <c r="D54" s="19" t="n">
        <v>251</v>
      </c>
      <c r="E54" s="18" t="n">
        <v>65.21585484000001</v>
      </c>
      <c r="F54" s="20" t="n">
        <v>3.74141517</v>
      </c>
      <c r="G54" s="18" t="n">
        <v>29.2774011</v>
      </c>
      <c r="H54" s="20" t="n">
        <v>3.90291143</v>
      </c>
      <c r="I54" s="18" t="s">
        <v>567</v>
      </c>
      <c r="J54" s="20" t="s">
        <v>567</v>
      </c>
      <c r="K54" s="18" t="n">
        <v>4.09938158</v>
      </c>
      <c r="L54" s="20" t="n">
        <v>1.53328018</v>
      </c>
      <c r="M54" s="18" t="n">
        <v>0</v>
      </c>
      <c r="N54" s="20" t="n">
        <v>0</v>
      </c>
      <c r="O54" s="18" t="n">
        <v>0</v>
      </c>
      <c r="P54" s="20" t="n">
        <v>0</v>
      </c>
      <c r="Q54" s="18" t="n">
        <v>1.40736248</v>
      </c>
      <c r="R54" s="20" t="n">
        <v>0.69501073</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(2391.0/B56*100)</f>
        <v/>
      </c>
      <c r="D56" s="19" t="n">
        <v>293</v>
      </c>
      <c r="E56" s="18" t="n">
        <v>28.49992898</v>
      </c>
      <c r="F56" s="20" t="n">
        <v>3.36498436</v>
      </c>
      <c r="G56" s="18" t="n">
        <v>71.50007101999999</v>
      </c>
      <c r="H56" s="20" t="n">
        <v>3.36498436</v>
      </c>
      <c r="I56" s="18" t="s">
        <v>567</v>
      </c>
      <c r="J56" s="20" t="s">
        <v>567</v>
      </c>
      <c r="K56" s="18" t="n">
        <v>0</v>
      </c>
      <c r="L56" s="20" t="n">
        <v>0</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(2994.0/B61*100)</f>
        <v/>
      </c>
      <c r="D61" s="19" t="n">
        <v>330</v>
      </c>
      <c r="E61" s="18" t="n">
        <v>31.35861858</v>
      </c>
      <c r="F61" s="20" t="n">
        <v>3.16514128</v>
      </c>
      <c r="G61" s="18" t="n">
        <v>67.78186379</v>
      </c>
      <c r="H61" s="20" t="n">
        <v>3.25197227</v>
      </c>
      <c r="I61" s="18" t="s">
        <v>567</v>
      </c>
      <c r="J61" s="20" t="s">
        <v>567</v>
      </c>
      <c r="K61" s="18" t="n">
        <v>0.42961692</v>
      </c>
      <c r="L61" s="20" t="n">
        <v>0.44849813</v>
      </c>
      <c r="M61" s="18" t="n">
        <v>0</v>
      </c>
      <c r="N61" s="20" t="n">
        <v>0</v>
      </c>
      <c r="O61" s="18" t="n">
        <v>0</v>
      </c>
      <c r="P61" s="20" t="n">
        <v>0</v>
      </c>
      <c r="Q61" s="18" t="n">
        <v>0.42990071</v>
      </c>
      <c r="R61" s="20" t="n">
        <v>0.21419107</v>
      </c>
    </row>
    <row r="62" spans="1:18">
      <c r="A62" s="15" t="s">
        <v>622</v>
      </c>
      <c r="B62" s="17" t="n">
        <v>2246</v>
      </c>
      <c r="C62" s="18">
        <f>(1992.0/B62*100)</f>
        <v/>
      </c>
      <c r="D62" s="19" t="n">
        <v>254</v>
      </c>
      <c r="E62" s="18" t="n">
        <v>35.83210207</v>
      </c>
      <c r="F62" s="20" t="n">
        <v>3.17783917</v>
      </c>
      <c r="G62" s="18" t="n">
        <v>64.16789793</v>
      </c>
      <c r="H62" s="20" t="n">
        <v>3.17783917</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(2593.0/B66*100)</f>
        <v/>
      </c>
      <c r="D66" s="19" t="n">
        <v>301</v>
      </c>
      <c r="E66" s="18" t="n">
        <v>49.36197284</v>
      </c>
      <c r="F66" s="20" t="n">
        <v>2.63942479</v>
      </c>
      <c r="G66" s="18" t="n">
        <v>48.21161397</v>
      </c>
      <c r="H66" s="20" t="n">
        <v>2.80032748</v>
      </c>
      <c r="I66" s="18" t="s">
        <v>567</v>
      </c>
      <c r="J66" s="20" t="s">
        <v>567</v>
      </c>
      <c r="K66" s="18" t="n">
        <v>0</v>
      </c>
      <c r="L66" s="20" t="n">
        <v>0</v>
      </c>
      <c r="M66" s="18" t="n">
        <v>0</v>
      </c>
      <c r="N66" s="20" t="n">
        <v>0</v>
      </c>
      <c r="O66" s="18" t="n">
        <v>0</v>
      </c>
      <c r="P66" s="20" t="n">
        <v>0</v>
      </c>
      <c r="Q66" s="18" t="n">
        <v>2.42641319</v>
      </c>
      <c r="R66" s="20" t="n">
        <v>0.9876573</v>
      </c>
    </row>
    <row r="67" spans="1:18">
      <c r="A67" s="15" t="s">
        <v>627</v>
      </c>
      <c r="B67" s="17" t="n">
        <v>3511</v>
      </c>
      <c r="C67" s="18">
        <f>(3144.0/B67*100)</f>
        <v/>
      </c>
      <c r="D67" s="19" t="n">
        <v>367</v>
      </c>
      <c r="E67" s="18" t="n">
        <v>70.34242377</v>
      </c>
      <c r="F67" s="20" t="n">
        <v>2.22287444</v>
      </c>
      <c r="G67" s="18" t="n">
        <v>29.09227411</v>
      </c>
      <c r="H67" s="20" t="n">
        <v>2.22279308</v>
      </c>
      <c r="I67" s="18" t="s">
        <v>567</v>
      </c>
      <c r="J67" s="20" t="s">
        <v>567</v>
      </c>
      <c r="K67" s="18" t="n">
        <v>0.27732678</v>
      </c>
      <c r="L67" s="20" t="n">
        <v>0.27555399</v>
      </c>
      <c r="M67" s="18" t="n">
        <v>0</v>
      </c>
      <c r="N67" s="20" t="n">
        <v>0</v>
      </c>
      <c r="O67" s="18" t="n">
        <v>0</v>
      </c>
      <c r="P67" s="20" t="n">
        <v>0</v>
      </c>
      <c r="Q67" s="18" t="n">
        <v>0.28797534</v>
      </c>
      <c r="R67" s="20" t="n">
        <v>0.28910774</v>
      </c>
    </row>
    <row r="68" spans="1:18">
      <c r="A68" s="15" t="s">
        <v>628</v>
      </c>
      <c r="B68" s="17" t="n">
        <v>6049</v>
      </c>
      <c r="C68" s="18">
        <f>(5389.0/B68*100)</f>
        <v/>
      </c>
      <c r="D68" s="19" t="n">
        <v>660</v>
      </c>
      <c r="E68" s="18" t="n">
        <v>64.60394751</v>
      </c>
      <c r="F68" s="20" t="n">
        <v>1.90554683</v>
      </c>
      <c r="G68" s="18" t="n">
        <v>31.22821789</v>
      </c>
      <c r="H68" s="20" t="n">
        <v>2.05572148</v>
      </c>
      <c r="I68" s="18" t="s">
        <v>567</v>
      </c>
      <c r="J68" s="20" t="s">
        <v>567</v>
      </c>
      <c r="K68" s="18" t="n">
        <v>1.62557662</v>
      </c>
      <c r="L68" s="20" t="n">
        <v>0.49225712</v>
      </c>
      <c r="M68" s="18" t="n">
        <v>0</v>
      </c>
      <c r="N68" s="20" t="n">
        <v>0</v>
      </c>
      <c r="O68" s="18" t="n">
        <v>0</v>
      </c>
      <c r="P68" s="20" t="n">
        <v>0</v>
      </c>
      <c r="Q68" s="18" t="n">
        <v>2.54225798</v>
      </c>
      <c r="R68" s="20" t="n">
        <v>0.61869922</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(2638.0/B70*100)</f>
        <v/>
      </c>
      <c r="D70" s="19" t="n">
        <v>291</v>
      </c>
      <c r="E70" s="18" t="n">
        <v>35.17580512</v>
      </c>
      <c r="F70" s="20" t="n">
        <v>3.37010496</v>
      </c>
      <c r="G70" s="18" t="n">
        <v>64.62955418</v>
      </c>
      <c r="H70" s="20" t="n">
        <v>3.37864377</v>
      </c>
      <c r="I70" s="18" t="s">
        <v>567</v>
      </c>
      <c r="J70" s="20" t="s">
        <v>567</v>
      </c>
      <c r="K70" s="18" t="n">
        <v>0</v>
      </c>
      <c r="L70" s="20" t="n">
        <v>0</v>
      </c>
      <c r="M70" s="18" t="n">
        <v>0</v>
      </c>
      <c r="N70" s="20" t="n">
        <v>0</v>
      </c>
      <c r="O70" s="18" t="n">
        <v>0</v>
      </c>
      <c r="P70" s="20" t="n">
        <v>0</v>
      </c>
      <c r="Q70" s="18" t="n">
        <v>0.1946407</v>
      </c>
      <c r="R70" s="20" t="n">
        <v>0.19915577</v>
      </c>
    </row>
    <row r="71" spans="1:18">
      <c r="A71" s="15" t="s">
        <v>631</v>
      </c>
      <c r="B71" s="17" t="n">
        <v>3142</v>
      </c>
      <c r="C71" s="18">
        <f>(2777.0/B71*100)</f>
        <v/>
      </c>
      <c r="D71" s="19" t="n">
        <v>365</v>
      </c>
      <c r="E71" s="18" t="n">
        <v>28.88042944</v>
      </c>
      <c r="F71" s="20" t="n">
        <v>2.81558078</v>
      </c>
      <c r="G71" s="18" t="n">
        <v>70.61920074</v>
      </c>
      <c r="H71" s="20" t="n">
        <v>2.78422809</v>
      </c>
      <c r="I71" s="18" t="s">
        <v>567</v>
      </c>
      <c r="J71" s="20" t="s">
        <v>567</v>
      </c>
      <c r="K71" s="18" t="n">
        <v>0</v>
      </c>
      <c r="L71" s="20" t="n">
        <v>0</v>
      </c>
      <c r="M71" s="18" t="n">
        <v>0</v>
      </c>
      <c r="N71" s="20" t="n">
        <v>0</v>
      </c>
      <c r="O71" s="18" t="n">
        <v>0</v>
      </c>
      <c r="P71" s="20" t="n">
        <v>0</v>
      </c>
      <c r="Q71" s="18" t="n">
        <v>0.50036982</v>
      </c>
      <c r="R71" s="20" t="n">
        <v>0.3507748</v>
      </c>
    </row>
    <row r="72" spans="1:18">
      <c r="A72" s="15" t="s">
        <v>632</v>
      </c>
      <c r="B72" s="17" t="n">
        <v>3889</v>
      </c>
      <c r="C72" s="18">
        <f>(3448.0/B72*100)</f>
        <v/>
      </c>
      <c r="D72" s="19" t="n">
        <v>441</v>
      </c>
      <c r="E72" s="18" t="n">
        <v>30.64684694</v>
      </c>
      <c r="F72" s="20" t="n">
        <v>2.09441492</v>
      </c>
      <c r="G72" s="18" t="n">
        <v>68.97054276</v>
      </c>
      <c r="H72" s="20" t="n">
        <v>2.12326795</v>
      </c>
      <c r="I72" s="18" t="s">
        <v>567</v>
      </c>
      <c r="J72" s="20" t="s">
        <v>567</v>
      </c>
      <c r="K72" s="18" t="n">
        <v>0</v>
      </c>
      <c r="L72" s="20" t="n">
        <v>0</v>
      </c>
      <c r="M72" s="18" t="n">
        <v>0</v>
      </c>
      <c r="N72" s="20" t="n">
        <v>0</v>
      </c>
      <c r="O72" s="18" t="n">
        <v>0</v>
      </c>
      <c r="P72" s="20" t="n">
        <v>0</v>
      </c>
      <c r="Q72" s="18" t="n">
        <v>0.3826103</v>
      </c>
      <c r="R72" s="20" t="n">
        <v>0.2288947</v>
      </c>
    </row>
    <row r="73" spans="1:18">
      <c r="A73" s="15" t="s">
        <v>633</v>
      </c>
      <c r="B73" s="17" t="n">
        <v>3597</v>
      </c>
      <c r="C73" s="18">
        <f>(3185.0/B73*100)</f>
        <v/>
      </c>
      <c r="D73" s="19" t="n">
        <v>412</v>
      </c>
      <c r="E73" s="18" t="n">
        <v>48.19000622</v>
      </c>
      <c r="F73" s="20" t="n">
        <v>3.08885699</v>
      </c>
      <c r="G73" s="18" t="n">
        <v>51.35815417</v>
      </c>
      <c r="H73" s="20" t="n">
        <v>3.15364482</v>
      </c>
      <c r="I73" s="18" t="s">
        <v>567</v>
      </c>
      <c r="J73" s="20" t="s">
        <v>567</v>
      </c>
      <c r="K73" s="18" t="n">
        <v>0</v>
      </c>
      <c r="L73" s="20" t="n">
        <v>0</v>
      </c>
      <c r="M73" s="18" t="n">
        <v>0</v>
      </c>
      <c r="N73" s="20" t="n">
        <v>0</v>
      </c>
      <c r="O73" s="18" t="n">
        <v>0</v>
      </c>
      <c r="P73" s="20" t="n">
        <v>0</v>
      </c>
      <c r="Q73" s="18" t="n">
        <v>0.45183961</v>
      </c>
      <c r="R73" s="20" t="n">
        <v>0.35460884</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(2168.0/B75*100)</f>
        <v/>
      </c>
      <c r="D75" s="19" t="n">
        <v>238</v>
      </c>
      <c r="E75" s="18" t="n">
        <v>61.94689343</v>
      </c>
      <c r="F75" s="20" t="n">
        <v>3.52058108</v>
      </c>
      <c r="G75" s="18" t="n">
        <v>35.42678339</v>
      </c>
      <c r="H75" s="20" t="n">
        <v>3.40469674</v>
      </c>
      <c r="I75" s="18" t="s">
        <v>567</v>
      </c>
      <c r="J75" s="20" t="s">
        <v>567</v>
      </c>
      <c r="K75" s="18" t="n">
        <v>1.79824223</v>
      </c>
      <c r="L75" s="20" t="n">
        <v>0.7136283</v>
      </c>
      <c r="M75" s="18" t="n">
        <v>0</v>
      </c>
      <c r="N75" s="20" t="n">
        <v>0</v>
      </c>
      <c r="O75" s="18" t="n">
        <v>0</v>
      </c>
      <c r="P75" s="20" t="n">
        <v>0</v>
      </c>
      <c r="Q75" s="18" t="n">
        <v>0.82808095</v>
      </c>
      <c r="R75" s="20" t="n">
        <v>0.49637484</v>
      </c>
    </row>
    <row r="76" spans="1:18">
      <c r="A76" s="15" t="s">
        <v>636</v>
      </c>
      <c r="B76" s="17" t="n">
        <v>7052</v>
      </c>
      <c r="C76" s="18">
        <f>(6275.0/B76*100)</f>
        <v/>
      </c>
      <c r="D76" s="19" t="n">
        <v>777</v>
      </c>
      <c r="E76" s="18" t="n">
        <v>62.14666922</v>
      </c>
      <c r="F76" s="20" t="n">
        <v>2.04242367</v>
      </c>
      <c r="G76" s="18" t="n">
        <v>35.63597896</v>
      </c>
      <c r="H76" s="20" t="n">
        <v>2.08004532</v>
      </c>
      <c r="I76" s="18" t="s">
        <v>567</v>
      </c>
      <c r="J76" s="20" t="s">
        <v>567</v>
      </c>
      <c r="K76" s="18" t="n">
        <v>0.8275037</v>
      </c>
      <c r="L76" s="20" t="n">
        <v>0.44993509</v>
      </c>
      <c r="M76" s="18" t="n">
        <v>0</v>
      </c>
      <c r="N76" s="20" t="n">
        <v>0</v>
      </c>
      <c r="O76" s="18" t="n">
        <v>0</v>
      </c>
      <c r="P76" s="20" t="n">
        <v>0</v>
      </c>
      <c r="Q76" s="18" t="n">
        <v>1.38984813</v>
      </c>
      <c r="R76" s="20" t="n">
        <v>0.40425006</v>
      </c>
    </row>
    <row r="77" spans="1:18">
      <c r="A77" s="15" t="s">
        <v>637</v>
      </c>
      <c r="B77" s="17" t="n">
        <v>2908</v>
      </c>
      <c r="C77" s="18">
        <f>(2604.0/B77*100)</f>
        <v/>
      </c>
      <c r="D77" s="19" t="n">
        <v>304</v>
      </c>
      <c r="E77" s="18" t="n">
        <v>48.33147109</v>
      </c>
      <c r="F77" s="20" t="n">
        <v>2.78525107</v>
      </c>
      <c r="G77" s="18" t="n">
        <v>50.40630465</v>
      </c>
      <c r="H77" s="20" t="n">
        <v>2.82747238</v>
      </c>
      <c r="I77" s="18" t="s">
        <v>567</v>
      </c>
      <c r="J77" s="20" t="s">
        <v>567</v>
      </c>
      <c r="K77" s="18" t="n">
        <v>0.57599984</v>
      </c>
      <c r="L77" s="20" t="n">
        <v>0.61990705</v>
      </c>
      <c r="M77" s="18" t="n">
        <v>0</v>
      </c>
      <c r="N77" s="20" t="n">
        <v>0</v>
      </c>
      <c r="O77" s="18" t="n">
        <v>0</v>
      </c>
      <c r="P77" s="20" t="n">
        <v>0</v>
      </c>
      <c r="Q77" s="18" t="n">
        <v>0.68622443</v>
      </c>
      <c r="R77" s="20" t="n">
        <v>0.47817503</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(3711.0/B81*100)</f>
        <v/>
      </c>
      <c r="D81" s="19" t="n">
        <v>452</v>
      </c>
      <c r="E81" s="18" t="n">
        <v>43.45085117</v>
      </c>
      <c r="F81" s="20" t="n">
        <v>2.8847753</v>
      </c>
      <c r="G81" s="18" t="n">
        <v>55.85634499</v>
      </c>
      <c r="H81" s="20" t="n">
        <v>2.85621987</v>
      </c>
      <c r="I81" s="18" t="s">
        <v>567</v>
      </c>
      <c r="J81" s="20" t="s">
        <v>567</v>
      </c>
      <c r="K81" s="18" t="n">
        <v>0.38251872</v>
      </c>
      <c r="L81" s="20" t="n">
        <v>0.26364367</v>
      </c>
      <c r="M81" s="18" t="n">
        <v>0</v>
      </c>
      <c r="N81" s="20" t="n">
        <v>0</v>
      </c>
      <c r="O81" s="18" t="n">
        <v>0</v>
      </c>
      <c r="P81" s="20" t="n">
        <v>0</v>
      </c>
      <c r="Q81" s="18" t="n">
        <v>0.31028513</v>
      </c>
      <c r="R81" s="20" t="n">
        <v>0.32153534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(6557.0/B7*100)</f>
        <v/>
      </c>
      <c r="D7" s="19" t="n">
        <v>810</v>
      </c>
      <c r="E7" s="18" t="n">
        <v>64.51936746</v>
      </c>
      <c r="F7" s="20" t="n">
        <v>1.93339066</v>
      </c>
      <c r="G7" s="18" t="n">
        <v>28.0224923</v>
      </c>
      <c r="H7" s="20" t="n">
        <v>1.82522142</v>
      </c>
      <c r="I7" s="18" t="s">
        <v>567</v>
      </c>
      <c r="J7" s="20" t="s">
        <v>567</v>
      </c>
      <c r="K7" s="18" t="n">
        <v>0.23982546</v>
      </c>
      <c r="L7" s="20" t="n">
        <v>0.18614851</v>
      </c>
      <c r="M7" s="18" t="n">
        <v>0</v>
      </c>
      <c r="N7" s="20" t="n">
        <v>0</v>
      </c>
      <c r="O7" s="18" t="n">
        <v>0</v>
      </c>
      <c r="P7" s="20" t="n">
        <v>0</v>
      </c>
      <c r="Q7" s="18" t="n">
        <v>7.21831478</v>
      </c>
      <c r="R7" s="20" t="n">
        <v>0.96140004</v>
      </c>
    </row>
    <row r="8" spans="1:18">
      <c r="A8" s="15" t="s">
        <v>568</v>
      </c>
      <c r="B8" s="17" t="n">
        <v>3564</v>
      </c>
      <c r="C8" s="18">
        <f>(3179.0/B8*100)</f>
        <v/>
      </c>
      <c r="D8" s="19" t="n">
        <v>385</v>
      </c>
      <c r="E8" s="18" t="n">
        <v>54.91750481</v>
      </c>
      <c r="F8" s="20" t="n">
        <v>2.68714872</v>
      </c>
      <c r="G8" s="18" t="n">
        <v>32.12735107</v>
      </c>
      <c r="H8" s="20" t="n">
        <v>2.62798359</v>
      </c>
      <c r="I8" s="18" t="s">
        <v>567</v>
      </c>
      <c r="J8" s="20" t="s">
        <v>567</v>
      </c>
      <c r="K8" s="18" t="n">
        <v>0</v>
      </c>
      <c r="L8" s="20" t="n">
        <v>0</v>
      </c>
      <c r="M8" s="18" t="n">
        <v>0</v>
      </c>
      <c r="N8" s="20" t="n">
        <v>0</v>
      </c>
      <c r="O8" s="18" t="n">
        <v>0</v>
      </c>
      <c r="P8" s="20" t="n">
        <v>0</v>
      </c>
      <c r="Q8" s="18" t="n">
        <v>12.95514412</v>
      </c>
      <c r="R8" s="20" t="n">
        <v>1.83945057</v>
      </c>
    </row>
    <row r="9" spans="1:18">
      <c r="A9" s="15" t="s">
        <v>569</v>
      </c>
      <c r="B9" s="17" t="n">
        <v>4899</v>
      </c>
      <c r="C9" s="18">
        <f>(4345.0/B9*100)</f>
        <v/>
      </c>
      <c r="D9" s="19" t="n">
        <v>554</v>
      </c>
      <c r="E9" s="18" t="n">
        <v>58.86690872</v>
      </c>
      <c r="F9" s="20" t="n">
        <v>2.07613455</v>
      </c>
      <c r="G9" s="18" t="n">
        <v>31.33022206</v>
      </c>
      <c r="H9" s="20" t="n">
        <v>2.08623793</v>
      </c>
      <c r="I9" s="18" t="s">
        <v>567</v>
      </c>
      <c r="J9" s="20" t="s">
        <v>567</v>
      </c>
      <c r="K9" s="18" t="n">
        <v>0</v>
      </c>
      <c r="L9" s="20" t="n">
        <v>0</v>
      </c>
      <c r="M9" s="18" t="n">
        <v>0.17902395</v>
      </c>
      <c r="N9" s="20" t="n">
        <v>0.17449863</v>
      </c>
      <c r="O9" s="18" t="n">
        <v>0</v>
      </c>
      <c r="P9" s="20" t="n">
        <v>0</v>
      </c>
      <c r="Q9" s="18" t="n">
        <v>9.62384527</v>
      </c>
      <c r="R9" s="20" t="n">
        <v>1.26884006</v>
      </c>
    </row>
    <row r="10" spans="1:18">
      <c r="A10" s="15" t="s">
        <v>570</v>
      </c>
      <c r="B10" s="17" t="n">
        <v>10036</v>
      </c>
      <c r="C10" s="18">
        <f>(8909.0/B10*100)</f>
        <v/>
      </c>
      <c r="D10" s="19" t="n">
        <v>1127</v>
      </c>
      <c r="E10" s="18" t="n">
        <v>61.79739779</v>
      </c>
      <c r="F10" s="20" t="n">
        <v>2.24294096</v>
      </c>
      <c r="G10" s="18" t="n">
        <v>34.25785558</v>
      </c>
      <c r="H10" s="20" t="n">
        <v>2.2521192</v>
      </c>
      <c r="I10" s="18" t="s">
        <v>567</v>
      </c>
      <c r="J10" s="20" t="s">
        <v>567</v>
      </c>
      <c r="K10" s="18" t="n">
        <v>0.55698501</v>
      </c>
      <c r="L10" s="20" t="n">
        <v>0.34271143</v>
      </c>
      <c r="M10" s="18" t="n">
        <v>0</v>
      </c>
      <c r="N10" s="20" t="n">
        <v>0</v>
      </c>
      <c r="O10" s="18" t="n">
        <v>0</v>
      </c>
      <c r="P10" s="20" t="n">
        <v>0</v>
      </c>
      <c r="Q10" s="18" t="n">
        <v>3.38776163</v>
      </c>
      <c r="R10" s="20" t="n">
        <v>0.63738862</v>
      </c>
    </row>
    <row r="11" spans="1:18">
      <c r="A11" s="15" t="s">
        <v>571</v>
      </c>
      <c r="B11" s="17" t="n">
        <v>3553</v>
      </c>
      <c r="C11" s="18">
        <f>(3160.0/B11*100)</f>
        <v/>
      </c>
      <c r="D11" s="19" t="n">
        <v>393</v>
      </c>
      <c r="E11" s="18" t="n">
        <v>68.99114204</v>
      </c>
      <c r="F11" s="20" t="n">
        <v>2.47659986</v>
      </c>
      <c r="G11" s="18" t="n">
        <v>16.27829468</v>
      </c>
      <c r="H11" s="20" t="n">
        <v>2.22842126</v>
      </c>
      <c r="I11" s="18" t="s">
        <v>567</v>
      </c>
      <c r="J11" s="20" t="s">
        <v>567</v>
      </c>
      <c r="K11" s="18" t="n">
        <v>0.7951642</v>
      </c>
      <c r="L11" s="20" t="n">
        <v>0.73050886</v>
      </c>
      <c r="M11" s="18" t="n">
        <v>0.03563238</v>
      </c>
      <c r="N11" s="20" t="n">
        <v>0.03595278</v>
      </c>
      <c r="O11" s="18" t="n">
        <v>0</v>
      </c>
      <c r="P11" s="20" t="n">
        <v>0</v>
      </c>
      <c r="Q11" s="18" t="n">
        <v>13.8997667</v>
      </c>
      <c r="R11" s="20" t="n">
        <v>1.958393</v>
      </c>
    </row>
    <row r="12" spans="1:18">
      <c r="A12" s="15" t="s">
        <v>572</v>
      </c>
      <c r="B12" s="17" t="n">
        <v>3472</v>
      </c>
      <c r="C12" s="18">
        <f>(3082.0/B12*100)</f>
        <v/>
      </c>
      <c r="D12" s="19" t="n">
        <v>390</v>
      </c>
      <c r="E12" s="18" t="n">
        <v>55.23719645</v>
      </c>
      <c r="F12" s="20" t="n">
        <v>2.21742805</v>
      </c>
      <c r="G12" s="18" t="n">
        <v>28.48397351</v>
      </c>
      <c r="H12" s="20" t="n">
        <v>2.34349515</v>
      </c>
      <c r="I12" s="18" t="s">
        <v>567</v>
      </c>
      <c r="J12" s="20" t="s">
        <v>567</v>
      </c>
      <c r="K12" s="18" t="n">
        <v>0</v>
      </c>
      <c r="L12" s="20" t="n">
        <v>0</v>
      </c>
      <c r="M12" s="18" t="n">
        <v>0</v>
      </c>
      <c r="N12" s="20" t="n">
        <v>0</v>
      </c>
      <c r="O12" s="18" t="n">
        <v>0</v>
      </c>
      <c r="P12" s="20" t="n">
        <v>0</v>
      </c>
      <c r="Q12" s="18" t="n">
        <v>16.27883004</v>
      </c>
      <c r="R12" s="20" t="n">
        <v>2.14563302</v>
      </c>
    </row>
    <row r="13" spans="1:18">
      <c r="A13" s="15" t="s">
        <v>573</v>
      </c>
      <c r="B13" s="17" t="n">
        <v>3559</v>
      </c>
      <c r="C13" s="18">
        <f>(3229.0/B13*100)</f>
        <v/>
      </c>
      <c r="D13" s="19" t="n">
        <v>330</v>
      </c>
      <c r="E13" s="18" t="n">
        <v>69.49830590000001</v>
      </c>
      <c r="F13" s="20" t="n">
        <v>2.9289557</v>
      </c>
      <c r="G13" s="18" t="n">
        <v>22.43162652</v>
      </c>
      <c r="H13" s="20" t="n">
        <v>2.60928151</v>
      </c>
      <c r="I13" s="18" t="s">
        <v>567</v>
      </c>
      <c r="J13" s="20" t="s">
        <v>567</v>
      </c>
      <c r="K13" s="18" t="n">
        <v>1.30936352</v>
      </c>
      <c r="L13" s="20" t="n">
        <v>0.84950683</v>
      </c>
      <c r="M13" s="18" t="n">
        <v>0</v>
      </c>
      <c r="N13" s="20" t="n">
        <v>0</v>
      </c>
      <c r="O13" s="18" t="n">
        <v>0</v>
      </c>
      <c r="P13" s="20" t="n">
        <v>0</v>
      </c>
      <c r="Q13" s="18" t="n">
        <v>6.76070406</v>
      </c>
      <c r="R13" s="20" t="n">
        <v>1.62208548</v>
      </c>
    </row>
    <row r="14" spans="1:18">
      <c r="A14" s="15" t="s">
        <v>574</v>
      </c>
      <c r="B14" s="17" t="n">
        <v>2799</v>
      </c>
      <c r="C14" s="18">
        <f>(2464.0/B14*100)</f>
        <v/>
      </c>
      <c r="D14" s="19" t="n">
        <v>335</v>
      </c>
      <c r="E14" s="18" t="n">
        <v>53.04934959</v>
      </c>
      <c r="F14" s="20" t="n">
        <v>2.63139684</v>
      </c>
      <c r="G14" s="18" t="n">
        <v>42.0267563</v>
      </c>
      <c r="H14" s="20" t="n">
        <v>2.443662</v>
      </c>
      <c r="I14" s="18" t="s">
        <v>567</v>
      </c>
      <c r="J14" s="20" t="s">
        <v>567</v>
      </c>
      <c r="K14" s="18" t="n">
        <v>0.28134752</v>
      </c>
      <c r="L14" s="20" t="n">
        <v>0.28443054</v>
      </c>
      <c r="M14" s="18" t="n">
        <v>0</v>
      </c>
      <c r="N14" s="20" t="n">
        <v>0</v>
      </c>
      <c r="O14" s="18" t="n">
        <v>0</v>
      </c>
      <c r="P14" s="20" t="n">
        <v>0</v>
      </c>
      <c r="Q14" s="18" t="n">
        <v>4.64254659</v>
      </c>
      <c r="R14" s="20" t="n">
        <v>0.99927579</v>
      </c>
    </row>
    <row r="15" spans="1:18">
      <c r="A15" s="15" t="s">
        <v>575</v>
      </c>
      <c r="B15" s="17" t="n">
        <v>3019</v>
      </c>
      <c r="C15" s="18">
        <f>(2689.0/B15*100)</f>
        <v/>
      </c>
      <c r="D15" s="19" t="n">
        <v>330</v>
      </c>
      <c r="E15" s="18" t="n">
        <v>65.85684066</v>
      </c>
      <c r="F15" s="20" t="n">
        <v>2.76507138</v>
      </c>
      <c r="G15" s="18" t="n">
        <v>24.52892948</v>
      </c>
      <c r="H15" s="20" t="n">
        <v>2.52582977</v>
      </c>
      <c r="I15" s="18" t="s">
        <v>567</v>
      </c>
      <c r="J15" s="20" t="s">
        <v>567</v>
      </c>
      <c r="K15" s="18" t="n">
        <v>0</v>
      </c>
      <c r="L15" s="20" t="n">
        <v>0</v>
      </c>
      <c r="M15" s="18" t="n">
        <v>0</v>
      </c>
      <c r="N15" s="20" t="n">
        <v>0</v>
      </c>
      <c r="O15" s="18" t="n">
        <v>0</v>
      </c>
      <c r="P15" s="20" t="n">
        <v>0</v>
      </c>
      <c r="Q15" s="18" t="n">
        <v>9.614229849999999</v>
      </c>
      <c r="R15" s="20" t="n">
        <v>1.57698762</v>
      </c>
    </row>
    <row r="16" spans="1:18">
      <c r="A16" s="15" t="s">
        <v>576</v>
      </c>
      <c r="B16" s="17" t="n">
        <v>2997</v>
      </c>
      <c r="C16" s="18">
        <f>(2652.0/B16*100)</f>
        <v/>
      </c>
      <c r="D16" s="19" t="n">
        <v>345</v>
      </c>
      <c r="E16" s="18" t="n">
        <v>52.91142823</v>
      </c>
      <c r="F16" s="20" t="n">
        <v>2.56891771</v>
      </c>
      <c r="G16" s="18" t="n">
        <v>29.38474775</v>
      </c>
      <c r="H16" s="20" t="n">
        <v>2.3142016</v>
      </c>
      <c r="I16" s="18" t="s">
        <v>567</v>
      </c>
      <c r="J16" s="20" t="s">
        <v>567</v>
      </c>
      <c r="K16" s="18" t="n">
        <v>0.59884774</v>
      </c>
      <c r="L16" s="20" t="n">
        <v>0.43821547</v>
      </c>
      <c r="M16" s="18" t="n">
        <v>0</v>
      </c>
      <c r="N16" s="20" t="n">
        <v>0</v>
      </c>
      <c r="O16" s="18" t="n">
        <v>0</v>
      </c>
      <c r="P16" s="20" t="n">
        <v>0</v>
      </c>
      <c r="Q16" s="18" t="n">
        <v>17.10497628</v>
      </c>
      <c r="R16" s="20" t="n">
        <v>1.93767678</v>
      </c>
    </row>
    <row r="17" spans="1:18">
      <c r="A17" s="15" t="s">
        <v>577</v>
      </c>
      <c r="B17" s="17" t="n">
        <v>3307</v>
      </c>
      <c r="C17" s="18">
        <f>(2966.0/B17*100)</f>
        <v/>
      </c>
      <c r="D17" s="19" t="n">
        <v>341</v>
      </c>
      <c r="E17" s="18" t="n">
        <v>66.81587021</v>
      </c>
      <c r="F17" s="20" t="n">
        <v>2.85709942</v>
      </c>
      <c r="G17" s="18" t="n">
        <v>19.9022443</v>
      </c>
      <c r="H17" s="20" t="n">
        <v>2.54581296</v>
      </c>
      <c r="I17" s="18" t="s">
        <v>567</v>
      </c>
      <c r="J17" s="20" t="s">
        <v>567</v>
      </c>
      <c r="K17" s="18" t="n">
        <v>0.45642934</v>
      </c>
      <c r="L17" s="20" t="n">
        <v>0.37313968</v>
      </c>
      <c r="M17" s="18" t="n">
        <v>0</v>
      </c>
      <c r="N17" s="20" t="n">
        <v>0</v>
      </c>
      <c r="O17" s="18" t="n">
        <v>0</v>
      </c>
      <c r="P17" s="20" t="n">
        <v>0</v>
      </c>
      <c r="Q17" s="18" t="n">
        <v>12.82545615</v>
      </c>
      <c r="R17" s="20" t="n">
        <v>1.86394354</v>
      </c>
    </row>
    <row r="18" spans="1:18">
      <c r="A18" s="15" t="s">
        <v>578</v>
      </c>
      <c r="B18" s="17" t="n">
        <v>2826</v>
      </c>
      <c r="C18" s="18">
        <f>(2498.0/B18*100)</f>
        <v/>
      </c>
      <c r="D18" s="19" t="n">
        <v>328</v>
      </c>
      <c r="E18" s="18" t="n">
        <v>59.6700474</v>
      </c>
      <c r="F18" s="20" t="n">
        <v>3.00504884</v>
      </c>
      <c r="G18" s="18" t="n">
        <v>22.42181926</v>
      </c>
      <c r="H18" s="20" t="n">
        <v>2.36133851</v>
      </c>
      <c r="I18" s="18" t="s">
        <v>567</v>
      </c>
      <c r="J18" s="20" t="s">
        <v>567</v>
      </c>
      <c r="K18" s="18" t="n">
        <v>0.16728515</v>
      </c>
      <c r="L18" s="20" t="n">
        <v>0.17197021</v>
      </c>
      <c r="M18" s="18" t="n">
        <v>0</v>
      </c>
      <c r="N18" s="20" t="n">
        <v>0</v>
      </c>
      <c r="O18" s="18" t="n">
        <v>0</v>
      </c>
      <c r="P18" s="20" t="n">
        <v>0</v>
      </c>
      <c r="Q18" s="18" t="n">
        <v>17.7408482</v>
      </c>
      <c r="R18" s="20" t="n">
        <v>2.67560672</v>
      </c>
    </row>
    <row r="19" spans="1:18">
      <c r="A19" s="15" t="s">
        <v>579</v>
      </c>
      <c r="B19" s="17" t="n">
        <v>2808</v>
      </c>
      <c r="C19" s="18">
        <f>(2497.0/B19*100)</f>
        <v/>
      </c>
      <c r="D19" s="19" t="n">
        <v>311</v>
      </c>
      <c r="E19" s="18" t="n">
        <v>61.29155013</v>
      </c>
      <c r="F19" s="20" t="n">
        <v>3.44225932</v>
      </c>
      <c r="G19" s="18" t="n">
        <v>26.48274675</v>
      </c>
      <c r="H19" s="20" t="n">
        <v>2.67745772</v>
      </c>
      <c r="I19" s="18" t="s">
        <v>567</v>
      </c>
      <c r="J19" s="20" t="s">
        <v>567</v>
      </c>
      <c r="K19" s="18" t="n">
        <v>0</v>
      </c>
      <c r="L19" s="20" t="n">
        <v>0</v>
      </c>
      <c r="M19" s="18" t="n">
        <v>0.27367582</v>
      </c>
      <c r="N19" s="20" t="n">
        <v>0.27001121</v>
      </c>
      <c r="O19" s="18" t="n">
        <v>0</v>
      </c>
      <c r="P19" s="20" t="n">
        <v>0</v>
      </c>
      <c r="Q19" s="18" t="n">
        <v>11.95202729</v>
      </c>
      <c r="R19" s="20" t="n">
        <v>1.96487774</v>
      </c>
    </row>
    <row r="20" spans="1:18">
      <c r="A20" s="15" t="s">
        <v>580</v>
      </c>
      <c r="B20" s="17" t="n">
        <v>1630</v>
      </c>
      <c r="C20" s="18">
        <f>(1461.0/B20*100)</f>
        <v/>
      </c>
      <c r="D20" s="19" t="n">
        <v>169</v>
      </c>
      <c r="E20" s="18" t="n">
        <v>66.58730031</v>
      </c>
      <c r="F20" s="20" t="n">
        <v>3.29443009</v>
      </c>
      <c r="G20" s="18" t="n">
        <v>17.92988385</v>
      </c>
      <c r="H20" s="20" t="n">
        <v>2.48284293</v>
      </c>
      <c r="I20" s="18" t="s">
        <v>567</v>
      </c>
      <c r="J20" s="20" t="s">
        <v>567</v>
      </c>
      <c r="K20" s="18" t="n">
        <v>0</v>
      </c>
      <c r="L20" s="20" t="n">
        <v>0</v>
      </c>
      <c r="M20" s="18" t="n">
        <v>0.90211399</v>
      </c>
      <c r="N20" s="20" t="n">
        <v>1.28552161</v>
      </c>
      <c r="O20" s="18" t="n">
        <v>0</v>
      </c>
      <c r="P20" s="20" t="n">
        <v>0</v>
      </c>
      <c r="Q20" s="18" t="n">
        <v>14.58070185</v>
      </c>
      <c r="R20" s="20" t="n">
        <v>2.83538218</v>
      </c>
    </row>
    <row r="21" spans="1:18">
      <c r="A21" s="15" t="s">
        <v>581</v>
      </c>
      <c r="B21" s="17" t="n">
        <v>2908</v>
      </c>
      <c r="C21" s="18">
        <f>(2576.0/B21*100)</f>
        <v/>
      </c>
      <c r="D21" s="19" t="n">
        <v>332</v>
      </c>
      <c r="E21" s="18" t="n">
        <v>61.23765322</v>
      </c>
      <c r="F21" s="20" t="n">
        <v>3.11310425</v>
      </c>
      <c r="G21" s="18" t="n">
        <v>30.91306457</v>
      </c>
      <c r="H21" s="20" t="n">
        <v>2.70207524</v>
      </c>
      <c r="I21" s="18" t="s">
        <v>567</v>
      </c>
      <c r="J21" s="20" t="s">
        <v>567</v>
      </c>
      <c r="K21" s="18" t="n">
        <v>0</v>
      </c>
      <c r="L21" s="20" t="n">
        <v>0</v>
      </c>
      <c r="M21" s="18" t="n">
        <v>0</v>
      </c>
      <c r="N21" s="20" t="n">
        <v>0</v>
      </c>
      <c r="O21" s="18" t="n">
        <v>0</v>
      </c>
      <c r="P21" s="20" t="n">
        <v>0</v>
      </c>
      <c r="Q21" s="18" t="n">
        <v>7.84928221</v>
      </c>
      <c r="R21" s="20" t="n">
        <v>1.46182873</v>
      </c>
    </row>
    <row r="22" spans="1:18">
      <c r="A22" s="15" t="s">
        <v>582</v>
      </c>
      <c r="B22" s="17" t="n">
        <v>2931</v>
      </c>
      <c r="C22" s="18">
        <f>(2600.0/B22*100)</f>
        <v/>
      </c>
      <c r="D22" s="19" t="n">
        <v>331</v>
      </c>
      <c r="E22" s="18" t="n">
        <v>73.18239173000001</v>
      </c>
      <c r="F22" s="20" t="n">
        <v>2.64814175</v>
      </c>
      <c r="G22" s="18" t="n">
        <v>8.17914186</v>
      </c>
      <c r="H22" s="20" t="n">
        <v>1.54785836</v>
      </c>
      <c r="I22" s="18" t="s">
        <v>567</v>
      </c>
      <c r="J22" s="20" t="s">
        <v>567</v>
      </c>
      <c r="K22" s="18" t="n">
        <v>1.35204158</v>
      </c>
      <c r="L22" s="20" t="n">
        <v>0.85047531</v>
      </c>
      <c r="M22" s="18" t="n">
        <v>0</v>
      </c>
      <c r="N22" s="20" t="n">
        <v>0</v>
      </c>
      <c r="O22" s="18" t="n">
        <v>0</v>
      </c>
      <c r="P22" s="20" t="n">
        <v>0</v>
      </c>
      <c r="Q22" s="18" t="n">
        <v>17.28642483</v>
      </c>
      <c r="R22" s="20" t="n">
        <v>2.54876364</v>
      </c>
    </row>
    <row r="23" spans="1:18">
      <c r="A23" s="15" t="s">
        <v>583</v>
      </c>
      <c r="B23" s="17" t="n">
        <v>5791</v>
      </c>
      <c r="C23" s="18">
        <f>(5151.0/B23*100)</f>
        <v/>
      </c>
      <c r="D23" s="19" t="n">
        <v>640</v>
      </c>
      <c r="E23" s="18" t="n">
        <v>54.5273559</v>
      </c>
      <c r="F23" s="20" t="n">
        <v>2.94274694</v>
      </c>
      <c r="G23" s="18" t="n">
        <v>26.65395753</v>
      </c>
      <c r="H23" s="20" t="n">
        <v>2.23657355</v>
      </c>
      <c r="I23" s="18" t="s">
        <v>567</v>
      </c>
      <c r="J23" s="20" t="s">
        <v>567</v>
      </c>
      <c r="K23" s="18" t="n">
        <v>0</v>
      </c>
      <c r="L23" s="20" t="n">
        <v>0</v>
      </c>
      <c r="M23" s="18" t="n">
        <v>0.20385499</v>
      </c>
      <c r="N23" s="20" t="n">
        <v>0.21192098</v>
      </c>
      <c r="O23" s="18" t="n">
        <v>0</v>
      </c>
      <c r="P23" s="20" t="n">
        <v>0</v>
      </c>
      <c r="Q23" s="18" t="n">
        <v>18.61483158</v>
      </c>
      <c r="R23" s="20" t="n">
        <v>2.15878378</v>
      </c>
    </row>
    <row r="24" spans="1:18">
      <c r="A24" s="15" t="s">
        <v>584</v>
      </c>
      <c r="B24" s="17" t="n">
        <v>3338</v>
      </c>
      <c r="C24" s="18">
        <f>(2973.0/B24*100)</f>
        <v/>
      </c>
      <c r="D24" s="19" t="n">
        <v>365</v>
      </c>
      <c r="E24" s="18" t="n">
        <v>0</v>
      </c>
      <c r="F24" s="20" t="n">
        <v>0</v>
      </c>
      <c r="G24" s="18" t="n">
        <v>0</v>
      </c>
      <c r="H24" s="20" t="n">
        <v>0</v>
      </c>
      <c r="I24" s="18" t="s">
        <v>567</v>
      </c>
      <c r="J24" s="20" t="s">
        <v>567</v>
      </c>
      <c r="K24" s="18" t="n">
        <v>0</v>
      </c>
      <c r="L24" s="20" t="n">
        <v>0</v>
      </c>
      <c r="M24" s="18" t="n">
        <v>100</v>
      </c>
      <c r="N24" s="20" t="n">
        <v>0</v>
      </c>
      <c r="O24" s="18" t="n">
        <v>0</v>
      </c>
      <c r="P24" s="20" t="n">
        <v>0</v>
      </c>
      <c r="Q24" s="18" t="n">
        <v>0</v>
      </c>
      <c r="R24" s="20" t="n">
        <v>0</v>
      </c>
    </row>
    <row r="25" spans="1:18">
      <c r="A25" s="15" t="s">
        <v>585</v>
      </c>
      <c r="B25" s="17" t="n">
        <v>2912</v>
      </c>
      <c r="C25" s="18">
        <f>(2606.0/B25*100)</f>
        <v/>
      </c>
      <c r="D25" s="19" t="n">
        <v>306</v>
      </c>
      <c r="E25" s="18" t="n">
        <v>59.49593997</v>
      </c>
      <c r="F25" s="20" t="n">
        <v>2.39536244</v>
      </c>
      <c r="G25" s="18" t="n">
        <v>25.36310662</v>
      </c>
      <c r="H25" s="20" t="n">
        <v>2.48512319</v>
      </c>
      <c r="I25" s="18" t="s">
        <v>567</v>
      </c>
      <c r="J25" s="20" t="s">
        <v>567</v>
      </c>
      <c r="K25" s="18" t="n">
        <v>0</v>
      </c>
      <c r="L25" s="20" t="n">
        <v>0</v>
      </c>
      <c r="M25" s="18" t="n">
        <v>0</v>
      </c>
      <c r="N25" s="20" t="n">
        <v>0</v>
      </c>
      <c r="O25" s="18" t="n">
        <v>0</v>
      </c>
      <c r="P25" s="20" t="n">
        <v>0</v>
      </c>
      <c r="Q25" s="18" t="n">
        <v>15.14095341</v>
      </c>
      <c r="R25" s="20" t="n">
        <v>2.04621649</v>
      </c>
    </row>
    <row r="26" spans="1:18">
      <c r="A26" s="15" t="s">
        <v>586</v>
      </c>
      <c r="B26" s="17" t="n">
        <v>2450</v>
      </c>
      <c r="C26" s="18">
        <f>(2177.0/B26*100)</f>
        <v/>
      </c>
      <c r="D26" s="19" t="n">
        <v>273</v>
      </c>
      <c r="E26" s="18" t="n">
        <v>50.77960427</v>
      </c>
      <c r="F26" s="20" t="n">
        <v>2.95056749</v>
      </c>
      <c r="G26" s="18" t="n">
        <v>41.85082656</v>
      </c>
      <c r="H26" s="20" t="n">
        <v>3.17349601</v>
      </c>
      <c r="I26" s="18" t="s">
        <v>567</v>
      </c>
      <c r="J26" s="20" t="s">
        <v>567</v>
      </c>
      <c r="K26" s="18" t="n">
        <v>0</v>
      </c>
      <c r="L26" s="20" t="n">
        <v>0</v>
      </c>
      <c r="M26" s="18" t="n">
        <v>0</v>
      </c>
      <c r="N26" s="20" t="n">
        <v>0</v>
      </c>
      <c r="O26" s="18" t="n">
        <v>0</v>
      </c>
      <c r="P26" s="20" t="n">
        <v>0</v>
      </c>
      <c r="Q26" s="18" t="n">
        <v>7.36956916</v>
      </c>
      <c r="R26" s="20" t="n">
        <v>1.68229514</v>
      </c>
    </row>
    <row r="27" spans="1:18">
      <c r="A27" s="15" t="s">
        <v>587</v>
      </c>
      <c r="B27" s="17" t="n">
        <v>2616</v>
      </c>
      <c r="C27" s="18">
        <f>(2317.0/B27*100)</f>
        <v/>
      </c>
      <c r="D27" s="19" t="n">
        <v>299</v>
      </c>
      <c r="E27" s="18" t="n">
        <v>63.21481544</v>
      </c>
      <c r="F27" s="20" t="n">
        <v>3.00206729</v>
      </c>
      <c r="G27" s="18" t="n">
        <v>19.56055658</v>
      </c>
      <c r="H27" s="20" t="n">
        <v>2.50379259</v>
      </c>
      <c r="I27" s="18" t="s">
        <v>567</v>
      </c>
      <c r="J27" s="20" t="s">
        <v>567</v>
      </c>
      <c r="K27" s="18" t="n">
        <v>0.35255678</v>
      </c>
      <c r="L27" s="20" t="n">
        <v>0.35624811</v>
      </c>
      <c r="M27" s="18" t="n">
        <v>0</v>
      </c>
      <c r="N27" s="20" t="n">
        <v>0</v>
      </c>
      <c r="O27" s="18" t="n">
        <v>0</v>
      </c>
      <c r="P27" s="20" t="n">
        <v>0</v>
      </c>
      <c r="Q27" s="18" t="n">
        <v>16.87207121</v>
      </c>
      <c r="R27" s="20" t="n">
        <v>2.13677988</v>
      </c>
    </row>
    <row r="28" spans="1:18">
      <c r="A28" s="15" t="s">
        <v>588</v>
      </c>
      <c r="B28" s="17" t="n">
        <v>3765</v>
      </c>
      <c r="C28" s="18">
        <f>(3378.0/B28*100)</f>
        <v/>
      </c>
      <c r="D28" s="19" t="n">
        <v>387</v>
      </c>
      <c r="E28" s="18" t="n">
        <v>79.03529779</v>
      </c>
      <c r="F28" s="20" t="n">
        <v>2.26517025</v>
      </c>
      <c r="G28" s="18" t="n">
        <v>16.62362704</v>
      </c>
      <c r="H28" s="20" t="n">
        <v>2.01086841</v>
      </c>
      <c r="I28" s="18" t="s">
        <v>567</v>
      </c>
      <c r="J28" s="20" t="s">
        <v>567</v>
      </c>
      <c r="K28" s="18" t="n">
        <v>0</v>
      </c>
      <c r="L28" s="20" t="n">
        <v>0</v>
      </c>
      <c r="M28" s="18" t="n">
        <v>0</v>
      </c>
      <c r="N28" s="20" t="n">
        <v>0</v>
      </c>
      <c r="O28" s="18" t="n">
        <v>0</v>
      </c>
      <c r="P28" s="20" t="n">
        <v>0</v>
      </c>
      <c r="Q28" s="18" t="n">
        <v>4.34107517</v>
      </c>
      <c r="R28" s="20" t="n">
        <v>1.06612799</v>
      </c>
    </row>
    <row r="29" spans="1:18">
      <c r="A29" s="15" t="s">
        <v>589</v>
      </c>
      <c r="B29" s="17" t="n">
        <v>2685</v>
      </c>
      <c r="C29" s="18">
        <f>(2404.0/B29*100)</f>
        <v/>
      </c>
      <c r="D29" s="19" t="n">
        <v>281</v>
      </c>
      <c r="E29" s="18" t="n">
        <v>76.08175116</v>
      </c>
      <c r="F29" s="20" t="n">
        <v>2.72052538</v>
      </c>
      <c r="G29" s="18" t="n">
        <v>18.39573693</v>
      </c>
      <c r="H29" s="20" t="n">
        <v>2.41159952</v>
      </c>
      <c r="I29" s="18" t="s">
        <v>567</v>
      </c>
      <c r="J29" s="20" t="s">
        <v>567</v>
      </c>
      <c r="K29" s="18" t="n">
        <v>0.36807508</v>
      </c>
      <c r="L29" s="20" t="n">
        <v>0.36480756</v>
      </c>
      <c r="M29" s="18" t="n">
        <v>0</v>
      </c>
      <c r="N29" s="20" t="n">
        <v>0</v>
      </c>
      <c r="O29" s="18" t="n">
        <v>0</v>
      </c>
      <c r="P29" s="20" t="n">
        <v>0</v>
      </c>
      <c r="Q29" s="18" t="n">
        <v>5.15443683</v>
      </c>
      <c r="R29" s="20" t="n">
        <v>1.41951091</v>
      </c>
    </row>
    <row r="30" spans="1:18">
      <c r="A30" s="15" t="s">
        <v>590</v>
      </c>
      <c r="B30" s="17" t="n">
        <v>2263</v>
      </c>
      <c r="C30" s="18">
        <f>(1998.0/B30*100)</f>
        <v/>
      </c>
      <c r="D30" s="19" t="n">
        <v>265</v>
      </c>
      <c r="E30" s="18" t="n">
        <v>57.71990359</v>
      </c>
      <c r="F30" s="20" t="n">
        <v>3.24438812</v>
      </c>
      <c r="G30" s="18" t="n">
        <v>31.15770886</v>
      </c>
      <c r="H30" s="20" t="n">
        <v>2.87536619</v>
      </c>
      <c r="I30" s="18" t="s">
        <v>567</v>
      </c>
      <c r="J30" s="20" t="s">
        <v>567</v>
      </c>
      <c r="K30" s="18" t="n">
        <v>0</v>
      </c>
      <c r="L30" s="20" t="n">
        <v>0</v>
      </c>
      <c r="M30" s="18" t="n">
        <v>0</v>
      </c>
      <c r="N30" s="20" t="n">
        <v>0</v>
      </c>
      <c r="O30" s="18" t="n">
        <v>0</v>
      </c>
      <c r="P30" s="20" t="n">
        <v>0</v>
      </c>
      <c r="Q30" s="18" t="n">
        <v>11.12238755</v>
      </c>
      <c r="R30" s="20" t="n">
        <v>1.87874549</v>
      </c>
    </row>
    <row r="31" spans="1:18">
      <c r="A31" s="15" t="s">
        <v>591</v>
      </c>
      <c r="B31" s="17" t="n">
        <v>2750</v>
      </c>
      <c r="C31" s="18">
        <f>(2450.0/B31*100)</f>
        <v/>
      </c>
      <c r="D31" s="19" t="n">
        <v>300</v>
      </c>
      <c r="E31" s="18" t="n">
        <v>55.16077616</v>
      </c>
      <c r="F31" s="20" t="n">
        <v>2.80688016</v>
      </c>
      <c r="G31" s="18" t="n">
        <v>30.60766189</v>
      </c>
      <c r="H31" s="20" t="n">
        <v>2.6284706</v>
      </c>
      <c r="I31" s="18" t="s">
        <v>567</v>
      </c>
      <c r="J31" s="20" t="s">
        <v>567</v>
      </c>
      <c r="K31" s="18" t="n">
        <v>0.28073077</v>
      </c>
      <c r="L31" s="20" t="n">
        <v>0.28263943</v>
      </c>
      <c r="M31" s="18" t="n">
        <v>0.34381208</v>
      </c>
      <c r="N31" s="20" t="n">
        <v>0.37198152</v>
      </c>
      <c r="O31" s="18" t="n">
        <v>0</v>
      </c>
      <c r="P31" s="20" t="n">
        <v>0</v>
      </c>
      <c r="Q31" s="18" t="n">
        <v>13.6070191</v>
      </c>
      <c r="R31" s="20" t="n">
        <v>1.83630869</v>
      </c>
    </row>
    <row r="32" spans="1:18">
      <c r="A32" s="15" t="s">
        <v>592</v>
      </c>
      <c r="B32" s="17" t="n">
        <v>2269</v>
      </c>
      <c r="C32" s="18">
        <f>(2023.0/B32*100)</f>
        <v/>
      </c>
      <c r="D32" s="19" t="n">
        <v>246</v>
      </c>
      <c r="E32" s="18" t="n">
        <v>61.92954497</v>
      </c>
      <c r="F32" s="20" t="n">
        <v>3.08957832</v>
      </c>
      <c r="G32" s="18" t="n">
        <v>23.00695459</v>
      </c>
      <c r="H32" s="20" t="n">
        <v>2.56355749</v>
      </c>
      <c r="I32" s="18" t="s">
        <v>567</v>
      </c>
      <c r="J32" s="20" t="s">
        <v>567</v>
      </c>
      <c r="K32" s="18" t="n">
        <v>0.36123409</v>
      </c>
      <c r="L32" s="20" t="n">
        <v>0.35288361</v>
      </c>
      <c r="M32" s="18" t="n">
        <v>0</v>
      </c>
      <c r="N32" s="20" t="n">
        <v>0</v>
      </c>
      <c r="O32" s="18" t="n">
        <v>0</v>
      </c>
      <c r="P32" s="20" t="n">
        <v>0</v>
      </c>
      <c r="Q32" s="18" t="n">
        <v>14.70226635</v>
      </c>
      <c r="R32" s="20" t="n">
        <v>2.13255977</v>
      </c>
    </row>
    <row r="33" spans="1:18">
      <c r="A33" s="15" t="s">
        <v>593</v>
      </c>
      <c r="B33" s="17" t="n">
        <v>3674</v>
      </c>
      <c r="C33" s="18">
        <f>(3277.0/B33*100)</f>
        <v/>
      </c>
      <c r="D33" s="19" t="n">
        <v>397</v>
      </c>
      <c r="E33" s="18" t="n">
        <v>64.03543557</v>
      </c>
      <c r="F33" s="20" t="n">
        <v>2.86964157</v>
      </c>
      <c r="G33" s="18" t="n">
        <v>18.08013312</v>
      </c>
      <c r="H33" s="20" t="n">
        <v>2.18232027</v>
      </c>
      <c r="I33" s="18" t="s">
        <v>567</v>
      </c>
      <c r="J33" s="20" t="s">
        <v>567</v>
      </c>
      <c r="K33" s="18" t="n">
        <v>0</v>
      </c>
      <c r="L33" s="20" t="n">
        <v>0</v>
      </c>
      <c r="M33" s="18" t="n">
        <v>0</v>
      </c>
      <c r="N33" s="20" t="n">
        <v>0</v>
      </c>
      <c r="O33" s="18" t="n">
        <v>0</v>
      </c>
      <c r="P33" s="20" t="n">
        <v>0</v>
      </c>
      <c r="Q33" s="18" t="n">
        <v>17.88443132</v>
      </c>
      <c r="R33" s="20" t="n">
        <v>2.42727944</v>
      </c>
    </row>
    <row r="34" spans="1:18">
      <c r="A34" s="15" t="s">
        <v>594</v>
      </c>
      <c r="B34" s="17" t="n">
        <v>3315</v>
      </c>
      <c r="C34" s="18">
        <f>(2971.0/B34*100)</f>
        <v/>
      </c>
      <c r="D34" s="19" t="n">
        <v>344</v>
      </c>
      <c r="E34" s="18" t="n">
        <v>55.53235884</v>
      </c>
      <c r="F34" s="20" t="n">
        <v>2.69107375</v>
      </c>
      <c r="G34" s="18" t="n">
        <v>26.98617742</v>
      </c>
      <c r="H34" s="20" t="n">
        <v>2.68607078</v>
      </c>
      <c r="I34" s="18" t="s">
        <v>567</v>
      </c>
      <c r="J34" s="20" t="s">
        <v>567</v>
      </c>
      <c r="K34" s="18" t="n">
        <v>0</v>
      </c>
      <c r="L34" s="20" t="n">
        <v>0</v>
      </c>
      <c r="M34" s="18" t="n">
        <v>0.24274197</v>
      </c>
      <c r="N34" s="20" t="n">
        <v>0.24010768</v>
      </c>
      <c r="O34" s="18" t="n">
        <v>0</v>
      </c>
      <c r="P34" s="20" t="n">
        <v>0</v>
      </c>
      <c r="Q34" s="18" t="n">
        <v>17.23872177</v>
      </c>
      <c r="R34" s="20" t="n">
        <v>2.35301121</v>
      </c>
    </row>
    <row r="35" spans="1:18">
      <c r="A35" s="15" t="s">
        <v>595</v>
      </c>
      <c r="B35" s="17" t="n">
        <v>3505</v>
      </c>
      <c r="C35" s="18">
        <f>(3120.0/B35*100)</f>
        <v/>
      </c>
      <c r="D35" s="19" t="n">
        <v>385</v>
      </c>
      <c r="E35" s="18" t="n">
        <v>56.08695096</v>
      </c>
      <c r="F35" s="20" t="n">
        <v>2.63627959</v>
      </c>
      <c r="G35" s="18" t="n">
        <v>31.77073163</v>
      </c>
      <c r="H35" s="20" t="n">
        <v>2.8667844</v>
      </c>
      <c r="I35" s="18" t="s">
        <v>567</v>
      </c>
      <c r="J35" s="20" t="s">
        <v>567</v>
      </c>
      <c r="K35" s="18" t="n">
        <v>0</v>
      </c>
      <c r="L35" s="20" t="n">
        <v>0</v>
      </c>
      <c r="M35" s="18" t="n">
        <v>0.59456128</v>
      </c>
      <c r="N35" s="20" t="n">
        <v>0.47855207</v>
      </c>
      <c r="O35" s="18" t="n">
        <v>0</v>
      </c>
      <c r="P35" s="20" t="n">
        <v>0</v>
      </c>
      <c r="Q35" s="18" t="n">
        <v>11.54775613</v>
      </c>
      <c r="R35" s="20" t="n">
        <v>1.78554779</v>
      </c>
    </row>
    <row r="36" spans="1:18">
      <c r="A36" s="15" t="s">
        <v>596</v>
      </c>
      <c r="B36" s="17" t="n">
        <v>3332</v>
      </c>
      <c r="C36" s="18">
        <f>(2951.0/B36*100)</f>
        <v/>
      </c>
      <c r="D36" s="19" t="n">
        <v>381</v>
      </c>
      <c r="E36" s="18" t="n">
        <v>58.31008646</v>
      </c>
      <c r="F36" s="20" t="n">
        <v>2.80263147</v>
      </c>
      <c r="G36" s="18" t="n">
        <v>30.14805275</v>
      </c>
      <c r="H36" s="20" t="n">
        <v>2.29644652</v>
      </c>
      <c r="I36" s="18" t="s">
        <v>567</v>
      </c>
      <c r="J36" s="20" t="s">
        <v>567</v>
      </c>
      <c r="K36" s="18" t="n">
        <v>0.1484123</v>
      </c>
      <c r="L36" s="20" t="n">
        <v>0.13858802</v>
      </c>
      <c r="M36" s="18" t="n">
        <v>0</v>
      </c>
      <c r="N36" s="20" t="n">
        <v>0</v>
      </c>
      <c r="O36" s="18" t="n">
        <v>0</v>
      </c>
      <c r="P36" s="20" t="n">
        <v>0</v>
      </c>
      <c r="Q36" s="18" t="n">
        <v>11.39344848</v>
      </c>
      <c r="R36" s="20" t="n">
        <v>1.7481795</v>
      </c>
    </row>
    <row r="37" spans="1:18">
      <c r="A37" s="15" t="s">
        <v>597</v>
      </c>
      <c r="B37" s="17" t="n">
        <v>2727</v>
      </c>
      <c r="C37" s="18">
        <f>(2422.0/B37*100)</f>
        <v/>
      </c>
      <c r="D37" s="19" t="n">
        <v>305</v>
      </c>
      <c r="E37" s="18" t="n">
        <v>64.38774601</v>
      </c>
      <c r="F37" s="20" t="n">
        <v>2.92699783</v>
      </c>
      <c r="G37" s="18" t="n">
        <v>18.91911596</v>
      </c>
      <c r="H37" s="20" t="n">
        <v>2.2966489</v>
      </c>
      <c r="I37" s="18" t="s">
        <v>567</v>
      </c>
      <c r="J37" s="20" t="s">
        <v>567</v>
      </c>
      <c r="K37" s="18" t="n">
        <v>0</v>
      </c>
      <c r="L37" s="20" t="n">
        <v>0</v>
      </c>
      <c r="M37" s="18" t="n">
        <v>0</v>
      </c>
      <c r="N37" s="20" t="n">
        <v>0</v>
      </c>
      <c r="O37" s="18" t="n">
        <v>0</v>
      </c>
      <c r="P37" s="20" t="n">
        <v>0</v>
      </c>
      <c r="Q37" s="18" t="n">
        <v>16.69313803</v>
      </c>
      <c r="R37" s="20" t="n">
        <v>2.18537873</v>
      </c>
    </row>
    <row r="38" spans="1:18">
      <c r="A38" s="15" t="s">
        <v>598</v>
      </c>
      <c r="B38" s="17" t="n">
        <v>3053</v>
      </c>
      <c r="C38" s="18">
        <f>(2724.0/B38*100)</f>
        <v/>
      </c>
      <c r="D38" s="19" t="n">
        <v>329</v>
      </c>
      <c r="E38" s="18" t="n">
        <v>56.12516748</v>
      </c>
      <c r="F38" s="20" t="n">
        <v>3.49613201</v>
      </c>
      <c r="G38" s="18" t="n">
        <v>27.67889001</v>
      </c>
      <c r="H38" s="20" t="n">
        <v>2.91900502</v>
      </c>
      <c r="I38" s="18" t="s">
        <v>567</v>
      </c>
      <c r="J38" s="20" t="s">
        <v>567</v>
      </c>
      <c r="K38" s="18" t="n">
        <v>0.5188146</v>
      </c>
      <c r="L38" s="20" t="n">
        <v>0.45325673</v>
      </c>
      <c r="M38" s="18" t="n">
        <v>4.28531608</v>
      </c>
      <c r="N38" s="20" t="n">
        <v>1.12087474</v>
      </c>
      <c r="O38" s="18" t="n">
        <v>0</v>
      </c>
      <c r="P38" s="20" t="n">
        <v>0</v>
      </c>
      <c r="Q38" s="18" t="n">
        <v>11.39181183</v>
      </c>
      <c r="R38" s="20" t="n">
        <v>2.05340519</v>
      </c>
    </row>
    <row r="39" spans="1:18">
      <c r="A39" s="15" t="s">
        <v>599</v>
      </c>
      <c r="B39" s="17" t="n">
        <v>2957</v>
      </c>
      <c r="C39" s="18">
        <f>(2624.0/B39*100)</f>
        <v/>
      </c>
      <c r="D39" s="19" t="n">
        <v>333</v>
      </c>
      <c r="E39" s="18" t="n">
        <v>68.87933203</v>
      </c>
      <c r="F39" s="20" t="n">
        <v>2.55261658</v>
      </c>
      <c r="G39" s="18" t="n">
        <v>19.58181255</v>
      </c>
      <c r="H39" s="20" t="n">
        <v>2.33870958</v>
      </c>
      <c r="I39" s="18" t="s">
        <v>567</v>
      </c>
      <c r="J39" s="20" t="s">
        <v>567</v>
      </c>
      <c r="K39" s="18" t="n">
        <v>0.21263693</v>
      </c>
      <c r="L39" s="20" t="n">
        <v>0.22051977</v>
      </c>
      <c r="M39" s="18" t="n">
        <v>0</v>
      </c>
      <c r="N39" s="20" t="n">
        <v>0</v>
      </c>
      <c r="O39" s="18" t="n">
        <v>0</v>
      </c>
      <c r="P39" s="20" t="n">
        <v>0</v>
      </c>
      <c r="Q39" s="18" t="n">
        <v>11.32621848</v>
      </c>
      <c r="R39" s="20" t="n">
        <v>2.25675351</v>
      </c>
    </row>
    <row r="40" spans="1:18">
      <c r="A40" s="15" t="s">
        <v>600</v>
      </c>
      <c r="B40" s="17" t="n">
        <v>7235</v>
      </c>
      <c r="C40" s="18">
        <f>(6387.0/B40*100)</f>
        <v/>
      </c>
      <c r="D40" s="19" t="n">
        <v>848</v>
      </c>
      <c r="E40" s="18" t="n">
        <v>46.33152746</v>
      </c>
      <c r="F40" s="20" t="n">
        <v>2.52860948</v>
      </c>
      <c r="G40" s="18" t="n">
        <v>43.19280845</v>
      </c>
      <c r="H40" s="20" t="n">
        <v>2.64051843</v>
      </c>
      <c r="I40" s="18" t="s">
        <v>567</v>
      </c>
      <c r="J40" s="20" t="s">
        <v>567</v>
      </c>
      <c r="K40" s="18" t="n">
        <v>0.06933135</v>
      </c>
      <c r="L40" s="20" t="n">
        <v>0.05918643</v>
      </c>
      <c r="M40" s="18" t="n">
        <v>0.09589605</v>
      </c>
      <c r="N40" s="20" t="n">
        <v>0.09080851</v>
      </c>
      <c r="O40" s="18" t="n">
        <v>0</v>
      </c>
      <c r="P40" s="20" t="n">
        <v>0</v>
      </c>
      <c r="Q40" s="18" t="n">
        <v>10.31043669</v>
      </c>
      <c r="R40" s="20" t="n">
        <v>1.41893715</v>
      </c>
    </row>
    <row r="41" spans="1:18">
      <c r="A41" s="15" t="s">
        <v>601</v>
      </c>
      <c r="B41" s="17" t="n">
        <v>2858</v>
      </c>
      <c r="C41" s="18">
        <f>(2528.0/B41*100)</f>
        <v/>
      </c>
      <c r="D41" s="19" t="n">
        <v>330</v>
      </c>
      <c r="E41" s="18" t="n">
        <v>60.31079571</v>
      </c>
      <c r="F41" s="20" t="n">
        <v>3.06247143</v>
      </c>
      <c r="G41" s="18" t="n">
        <v>36.44117228</v>
      </c>
      <c r="H41" s="20" t="n">
        <v>2.89234885</v>
      </c>
      <c r="I41" s="18" t="s">
        <v>567</v>
      </c>
      <c r="J41" s="20" t="s">
        <v>567</v>
      </c>
      <c r="K41" s="18" t="n">
        <v>0</v>
      </c>
      <c r="L41" s="20" t="n">
        <v>0</v>
      </c>
      <c r="M41" s="18" t="n">
        <v>0</v>
      </c>
      <c r="N41" s="20" t="n">
        <v>0</v>
      </c>
      <c r="O41" s="18" t="n">
        <v>0</v>
      </c>
      <c r="P41" s="20" t="n">
        <v>0</v>
      </c>
      <c r="Q41" s="18" t="n">
        <v>3.24803201</v>
      </c>
      <c r="R41" s="20" t="n">
        <v>1.19464374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(10010.0/B46*100)</f>
        <v/>
      </c>
      <c r="D46" s="19" t="n">
        <v>1058</v>
      </c>
      <c r="E46" s="18" t="n">
        <v>61.43362816</v>
      </c>
      <c r="F46" s="20" t="n">
        <v>1.82343029</v>
      </c>
      <c r="G46" s="18" t="n">
        <v>20.57966458</v>
      </c>
      <c r="H46" s="20" t="n">
        <v>1.54827039</v>
      </c>
      <c r="I46" s="18" t="s">
        <v>567</v>
      </c>
      <c r="J46" s="20" t="s">
        <v>567</v>
      </c>
      <c r="K46" s="18" t="n">
        <v>0.17847484</v>
      </c>
      <c r="L46" s="20" t="n">
        <v>0.15622457</v>
      </c>
      <c r="M46" s="18" t="n">
        <v>0.64147163</v>
      </c>
      <c r="N46" s="20" t="n">
        <v>0.31649232</v>
      </c>
      <c r="O46" s="18" t="n">
        <v>0</v>
      </c>
      <c r="P46" s="20" t="n">
        <v>0</v>
      </c>
      <c r="Q46" s="18" t="n">
        <v>17.1667608</v>
      </c>
      <c r="R46" s="20" t="n">
        <v>1.52410008</v>
      </c>
    </row>
    <row r="47" spans="1:18">
      <c r="A47" s="15" t="s">
        <v>607</v>
      </c>
      <c r="B47" s="17" t="n">
        <v>3105</v>
      </c>
      <c r="C47" s="18">
        <f>(2759.0/B47*100)</f>
        <v/>
      </c>
      <c r="D47" s="19" t="n">
        <v>346</v>
      </c>
      <c r="E47" s="18" t="n">
        <v>50.50338741</v>
      </c>
      <c r="F47" s="20" t="n">
        <v>2.67595658</v>
      </c>
      <c r="G47" s="18" t="n">
        <v>22.79063326</v>
      </c>
      <c r="H47" s="20" t="n">
        <v>2.42759792</v>
      </c>
      <c r="I47" s="18" t="s">
        <v>567</v>
      </c>
      <c r="J47" s="20" t="s">
        <v>567</v>
      </c>
      <c r="K47" s="18" t="n">
        <v>0</v>
      </c>
      <c r="L47" s="20" t="n">
        <v>0</v>
      </c>
      <c r="M47" s="18" t="n">
        <v>0</v>
      </c>
      <c r="N47" s="20" t="n">
        <v>0</v>
      </c>
      <c r="O47" s="18" t="n">
        <v>0</v>
      </c>
      <c r="P47" s="20" t="n">
        <v>0</v>
      </c>
      <c r="Q47" s="18" t="n">
        <v>26.70597933</v>
      </c>
      <c r="R47" s="20" t="n">
        <v>2.60367</v>
      </c>
    </row>
    <row r="48" spans="1:18">
      <c r="A48" s="15" t="s">
        <v>608</v>
      </c>
      <c r="B48" s="17" t="n">
        <v>5159</v>
      </c>
      <c r="C48" s="18">
        <f>(4607.0/B48*100)</f>
        <v/>
      </c>
      <c r="D48" s="19" t="n">
        <v>552</v>
      </c>
      <c r="E48" s="18" t="n">
        <v>75.29067456999999</v>
      </c>
      <c r="F48" s="20" t="n">
        <v>2.3444634</v>
      </c>
      <c r="G48" s="18" t="n">
        <v>13.15054796</v>
      </c>
      <c r="H48" s="20" t="n">
        <v>1.80538183</v>
      </c>
      <c r="I48" s="18" t="s">
        <v>567</v>
      </c>
      <c r="J48" s="20" t="s">
        <v>567</v>
      </c>
      <c r="K48" s="18" t="n">
        <v>0.65932702</v>
      </c>
      <c r="L48" s="20" t="n">
        <v>0.46718171</v>
      </c>
      <c r="M48" s="18" t="n">
        <v>0</v>
      </c>
      <c r="N48" s="20" t="n">
        <v>0</v>
      </c>
      <c r="O48" s="18" t="n">
        <v>0</v>
      </c>
      <c r="P48" s="20" t="n">
        <v>0</v>
      </c>
      <c r="Q48" s="18" t="n">
        <v>10.89945045</v>
      </c>
      <c r="R48" s="20" t="n">
        <v>1.71259688</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(5032.0/B50*100)</f>
        <v/>
      </c>
      <c r="D50" s="19" t="n">
        <v>605</v>
      </c>
      <c r="E50" s="18" t="n">
        <v>90.34152914000001</v>
      </c>
      <c r="F50" s="20" t="n">
        <v>1.81858515</v>
      </c>
      <c r="G50" s="18" t="n">
        <v>5.98014878</v>
      </c>
      <c r="H50" s="20" t="n">
        <v>1.47119758</v>
      </c>
      <c r="I50" s="18" t="s">
        <v>567</v>
      </c>
      <c r="J50" s="20" t="s">
        <v>567</v>
      </c>
      <c r="K50" s="18" t="n">
        <v>0.37510041</v>
      </c>
      <c r="L50" s="20" t="n">
        <v>0.20435109</v>
      </c>
      <c r="M50" s="18" t="n">
        <v>0.10808869</v>
      </c>
      <c r="N50" s="20" t="n">
        <v>0.1082604</v>
      </c>
      <c r="O50" s="18" t="n">
        <v>0</v>
      </c>
      <c r="P50" s="20" t="n">
        <v>0</v>
      </c>
      <c r="Q50" s="18" t="n">
        <v>3.19513299</v>
      </c>
      <c r="R50" s="20" t="n">
        <v>1.00595105</v>
      </c>
    </row>
    <row r="51" spans="1:18">
      <c r="A51" s="15" t="s">
        <v>611</v>
      </c>
      <c r="B51" s="17" t="n">
        <v>3372</v>
      </c>
      <c r="C51" s="18">
        <f>(3029.0/B51*100)</f>
        <v/>
      </c>
      <c r="D51" s="19" t="n">
        <v>343</v>
      </c>
      <c r="E51" s="18" t="n">
        <v>77.27618646000001</v>
      </c>
      <c r="F51" s="20" t="n">
        <v>2.40779889</v>
      </c>
      <c r="G51" s="18" t="n">
        <v>15.75439951</v>
      </c>
      <c r="H51" s="20" t="n">
        <v>2.200024</v>
      </c>
      <c r="I51" s="18" t="s">
        <v>567</v>
      </c>
      <c r="J51" s="20" t="s">
        <v>567</v>
      </c>
      <c r="K51" s="18" t="n">
        <v>0.7311032200000001</v>
      </c>
      <c r="L51" s="20" t="n">
        <v>0.64584481</v>
      </c>
      <c r="M51" s="18" t="n">
        <v>0</v>
      </c>
      <c r="N51" s="20" t="n">
        <v>0</v>
      </c>
      <c r="O51" s="18" t="n">
        <v>0</v>
      </c>
      <c r="P51" s="20" t="n">
        <v>0</v>
      </c>
      <c r="Q51" s="18" t="n">
        <v>6.2383108</v>
      </c>
      <c r="R51" s="20" t="n">
        <v>1.38307149</v>
      </c>
    </row>
    <row r="52" spans="1:18">
      <c r="A52" s="15" t="s">
        <v>612</v>
      </c>
      <c r="B52" s="17" t="n">
        <v>2796</v>
      </c>
      <c r="C52" s="18">
        <f>(2515.0/B52*100)</f>
        <v/>
      </c>
      <c r="D52" s="19" t="n">
        <v>281</v>
      </c>
      <c r="E52" s="18" t="n">
        <v>51.82692276</v>
      </c>
      <c r="F52" s="20" t="n">
        <v>3.02734664</v>
      </c>
      <c r="G52" s="18" t="n">
        <v>31.58462744</v>
      </c>
      <c r="H52" s="20" t="n">
        <v>3.09992992</v>
      </c>
      <c r="I52" s="18" t="s">
        <v>567</v>
      </c>
      <c r="J52" s="20" t="s">
        <v>567</v>
      </c>
      <c r="K52" s="18" t="n">
        <v>0</v>
      </c>
      <c r="L52" s="20" t="n">
        <v>0</v>
      </c>
      <c r="M52" s="18" t="n">
        <v>0</v>
      </c>
      <c r="N52" s="20" t="n">
        <v>0</v>
      </c>
      <c r="O52" s="18" t="n">
        <v>0</v>
      </c>
      <c r="P52" s="20" t="n">
        <v>0</v>
      </c>
      <c r="Q52" s="18" t="n">
        <v>16.5884498</v>
      </c>
      <c r="R52" s="20" t="n">
        <v>2.37129899</v>
      </c>
    </row>
    <row r="53" spans="1:18">
      <c r="A53" s="15" t="s">
        <v>613</v>
      </c>
      <c r="B53" s="17" t="n">
        <v>2811</v>
      </c>
      <c r="C53" s="18">
        <f>(2521.0/B53*100)</f>
        <v/>
      </c>
      <c r="D53" s="19" t="n">
        <v>290</v>
      </c>
      <c r="E53" s="18" t="n">
        <v>65.32036298</v>
      </c>
      <c r="F53" s="20" t="n">
        <v>2.94936286</v>
      </c>
      <c r="G53" s="18" t="n">
        <v>12.10425833</v>
      </c>
      <c r="H53" s="20" t="n">
        <v>2.00070242</v>
      </c>
      <c r="I53" s="18" t="s">
        <v>567</v>
      </c>
      <c r="J53" s="20" t="s">
        <v>567</v>
      </c>
      <c r="K53" s="18" t="n">
        <v>0.23092316</v>
      </c>
      <c r="L53" s="20" t="n">
        <v>0.23343082</v>
      </c>
      <c r="M53" s="18" t="n">
        <v>0</v>
      </c>
      <c r="N53" s="20" t="n">
        <v>0</v>
      </c>
      <c r="O53" s="18" t="n">
        <v>0</v>
      </c>
      <c r="P53" s="20" t="n">
        <v>0</v>
      </c>
      <c r="Q53" s="18" t="n">
        <v>22.34445554</v>
      </c>
      <c r="R53" s="20" t="n">
        <v>2.2964046</v>
      </c>
    </row>
    <row r="54" spans="1:18">
      <c r="A54" s="15" t="s">
        <v>614</v>
      </c>
      <c r="B54" s="17" t="n">
        <v>2266</v>
      </c>
      <c r="C54" s="18">
        <f>(2015.0/B54*100)</f>
        <v/>
      </c>
      <c r="D54" s="19" t="n">
        <v>251</v>
      </c>
      <c r="E54" s="18" t="n">
        <v>70.77857243</v>
      </c>
      <c r="F54" s="20" t="n">
        <v>3.34721758</v>
      </c>
      <c r="G54" s="18" t="n">
        <v>2.72922924</v>
      </c>
      <c r="H54" s="20" t="n">
        <v>0.93088433</v>
      </c>
      <c r="I54" s="18" t="s">
        <v>567</v>
      </c>
      <c r="J54" s="20" t="s">
        <v>567</v>
      </c>
      <c r="K54" s="18" t="n">
        <v>4.81204287</v>
      </c>
      <c r="L54" s="20" t="n">
        <v>1.607074</v>
      </c>
      <c r="M54" s="18" t="n">
        <v>0.39713709</v>
      </c>
      <c r="N54" s="20" t="n">
        <v>0.37913039</v>
      </c>
      <c r="O54" s="18" t="n">
        <v>0</v>
      </c>
      <c r="P54" s="20" t="n">
        <v>0</v>
      </c>
      <c r="Q54" s="18" t="n">
        <v>21.28301838</v>
      </c>
      <c r="R54" s="20" t="n">
        <v>3.27110916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(2392.0/B56*100)</f>
        <v/>
      </c>
      <c r="D56" s="19" t="n">
        <v>292</v>
      </c>
      <c r="E56" s="18" t="n">
        <v>50.79021526</v>
      </c>
      <c r="F56" s="20" t="n">
        <v>2.4292771</v>
      </c>
      <c r="G56" s="18" t="n">
        <v>35.13856682</v>
      </c>
      <c r="H56" s="20" t="n">
        <v>2.69097366</v>
      </c>
      <c r="I56" s="18" t="s">
        <v>567</v>
      </c>
      <c r="J56" s="20" t="s">
        <v>567</v>
      </c>
      <c r="K56" s="18" t="n">
        <v>0</v>
      </c>
      <c r="L56" s="20" t="n">
        <v>0</v>
      </c>
      <c r="M56" s="18" t="n">
        <v>0</v>
      </c>
      <c r="N56" s="20" t="n">
        <v>0</v>
      </c>
      <c r="O56" s="18" t="n">
        <v>0</v>
      </c>
      <c r="P56" s="20" t="n">
        <v>0</v>
      </c>
      <c r="Q56" s="18" t="n">
        <v>14.07121791</v>
      </c>
      <c r="R56" s="20" t="n">
        <v>2.07266563</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(2994.0/B61*100)</f>
        <v/>
      </c>
      <c r="D61" s="19" t="n">
        <v>330</v>
      </c>
      <c r="E61" s="18" t="n">
        <v>58.57028381</v>
      </c>
      <c r="F61" s="20" t="n">
        <v>3.24501019</v>
      </c>
      <c r="G61" s="18" t="n">
        <v>29.14909597</v>
      </c>
      <c r="H61" s="20" t="n">
        <v>3.04621044</v>
      </c>
      <c r="I61" s="18" t="s">
        <v>567</v>
      </c>
      <c r="J61" s="20" t="s">
        <v>567</v>
      </c>
      <c r="K61" s="18" t="n">
        <v>0.42961692</v>
      </c>
      <c r="L61" s="20" t="n">
        <v>0.44849813</v>
      </c>
      <c r="M61" s="18" t="n">
        <v>0</v>
      </c>
      <c r="N61" s="20" t="n">
        <v>0</v>
      </c>
      <c r="O61" s="18" t="n">
        <v>0</v>
      </c>
      <c r="P61" s="20" t="n">
        <v>0</v>
      </c>
      <c r="Q61" s="18" t="n">
        <v>11.8510033</v>
      </c>
      <c r="R61" s="20" t="n">
        <v>1.71119582</v>
      </c>
    </row>
    <row r="62" spans="1:18">
      <c r="A62" s="15" t="s">
        <v>622</v>
      </c>
      <c r="B62" s="17" t="n">
        <v>2246</v>
      </c>
      <c r="C62" s="18">
        <f>(1993.0/B62*100)</f>
        <v/>
      </c>
      <c r="D62" s="19" t="n">
        <v>253</v>
      </c>
      <c r="E62" s="18" t="n">
        <v>77.10243061</v>
      </c>
      <c r="F62" s="20" t="n">
        <v>2.51438325</v>
      </c>
      <c r="G62" s="18" t="n">
        <v>15.79295157</v>
      </c>
      <c r="H62" s="20" t="n">
        <v>2.31684765</v>
      </c>
      <c r="I62" s="18" t="s">
        <v>567</v>
      </c>
      <c r="J62" s="20" t="s">
        <v>567</v>
      </c>
      <c r="K62" s="18" t="n">
        <v>0</v>
      </c>
      <c r="L62" s="20" t="n">
        <v>0</v>
      </c>
      <c r="M62" s="18" t="n">
        <v>0</v>
      </c>
      <c r="N62" s="20" t="n">
        <v>0</v>
      </c>
      <c r="O62" s="18" t="n">
        <v>0</v>
      </c>
      <c r="P62" s="20" t="n">
        <v>0</v>
      </c>
      <c r="Q62" s="18" t="n">
        <v>7.10461783</v>
      </c>
      <c r="R62" s="20" t="n">
        <v>1.60000747</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(2595.0/B66*100)</f>
        <v/>
      </c>
      <c r="D66" s="19" t="n">
        <v>299</v>
      </c>
      <c r="E66" s="18" t="n">
        <v>57.12809806</v>
      </c>
      <c r="F66" s="20" t="n">
        <v>2.85958043</v>
      </c>
      <c r="G66" s="18" t="n">
        <v>13.28684329</v>
      </c>
      <c r="H66" s="20" t="n">
        <v>2.14374053</v>
      </c>
      <c r="I66" s="18" t="s">
        <v>567</v>
      </c>
      <c r="J66" s="20" t="s">
        <v>567</v>
      </c>
      <c r="K66" s="18" t="n">
        <v>0</v>
      </c>
      <c r="L66" s="20" t="n">
        <v>0</v>
      </c>
      <c r="M66" s="18" t="n">
        <v>1.60071068</v>
      </c>
      <c r="N66" s="20" t="n">
        <v>1.04152158</v>
      </c>
      <c r="O66" s="18" t="n">
        <v>0</v>
      </c>
      <c r="P66" s="20" t="n">
        <v>0</v>
      </c>
      <c r="Q66" s="18" t="n">
        <v>27.98434796</v>
      </c>
      <c r="R66" s="20" t="n">
        <v>2.40363441</v>
      </c>
    </row>
    <row r="67" spans="1:18">
      <c r="A67" s="15" t="s">
        <v>627</v>
      </c>
      <c r="B67" s="17" t="n">
        <v>3511</v>
      </c>
      <c r="C67" s="18">
        <f>(3151.0/B67*100)</f>
        <v/>
      </c>
      <c r="D67" s="19" t="n">
        <v>360</v>
      </c>
      <c r="E67" s="18" t="n">
        <v>81.95684865</v>
      </c>
      <c r="F67" s="20" t="n">
        <v>1.92119905</v>
      </c>
      <c r="G67" s="18" t="n">
        <v>10.11447459</v>
      </c>
      <c r="H67" s="20" t="n">
        <v>1.60794804</v>
      </c>
      <c r="I67" s="18" t="s">
        <v>567</v>
      </c>
      <c r="J67" s="20" t="s">
        <v>567</v>
      </c>
      <c r="K67" s="18" t="n">
        <v>0.28286223</v>
      </c>
      <c r="L67" s="20" t="n">
        <v>0.28101798</v>
      </c>
      <c r="M67" s="18" t="n">
        <v>0.52262864</v>
      </c>
      <c r="N67" s="20" t="n">
        <v>0.38005405</v>
      </c>
      <c r="O67" s="18" t="n">
        <v>0</v>
      </c>
      <c r="P67" s="20" t="n">
        <v>0</v>
      </c>
      <c r="Q67" s="18" t="n">
        <v>7.1231859</v>
      </c>
      <c r="R67" s="20" t="n">
        <v>1.46556698</v>
      </c>
    </row>
    <row r="68" spans="1:18">
      <c r="A68" s="15" t="s">
        <v>628</v>
      </c>
      <c r="B68" s="17" t="n">
        <v>6049</v>
      </c>
      <c r="C68" s="18">
        <f>(5389.0/B68*100)</f>
        <v/>
      </c>
      <c r="D68" s="19" t="n">
        <v>660</v>
      </c>
      <c r="E68" s="18" t="n">
        <v>67.92598528000001</v>
      </c>
      <c r="F68" s="20" t="n">
        <v>1.93364509</v>
      </c>
      <c r="G68" s="18" t="n">
        <v>14.67530662</v>
      </c>
      <c r="H68" s="20" t="n">
        <v>1.27289936</v>
      </c>
      <c r="I68" s="18" t="s">
        <v>567</v>
      </c>
      <c r="J68" s="20" t="s">
        <v>567</v>
      </c>
      <c r="K68" s="18" t="n">
        <v>1.99900535</v>
      </c>
      <c r="L68" s="20" t="n">
        <v>0.60668993</v>
      </c>
      <c r="M68" s="18" t="n">
        <v>0.15169869</v>
      </c>
      <c r="N68" s="20" t="n">
        <v>0.15147484</v>
      </c>
      <c r="O68" s="18" t="n">
        <v>0</v>
      </c>
      <c r="P68" s="20" t="n">
        <v>0</v>
      </c>
      <c r="Q68" s="18" t="n">
        <v>15.24800407</v>
      </c>
      <c r="R68" s="20" t="n">
        <v>1.47754368</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(2639.0/B70*100)</f>
        <v/>
      </c>
      <c r="D70" s="19" t="n">
        <v>290</v>
      </c>
      <c r="E70" s="18" t="n">
        <v>47.09250545</v>
      </c>
      <c r="F70" s="20" t="n">
        <v>3.53994603</v>
      </c>
      <c r="G70" s="18" t="n">
        <v>39.48644927</v>
      </c>
      <c r="H70" s="20" t="n">
        <v>3.50567379</v>
      </c>
      <c r="I70" s="18" t="s">
        <v>567</v>
      </c>
      <c r="J70" s="20" t="s">
        <v>567</v>
      </c>
      <c r="K70" s="18" t="n">
        <v>0</v>
      </c>
      <c r="L70" s="20" t="n">
        <v>0</v>
      </c>
      <c r="M70" s="18" t="n">
        <v>0</v>
      </c>
      <c r="N70" s="20" t="n">
        <v>0</v>
      </c>
      <c r="O70" s="18" t="n">
        <v>0</v>
      </c>
      <c r="P70" s="20" t="n">
        <v>0</v>
      </c>
      <c r="Q70" s="18" t="n">
        <v>13.42104528</v>
      </c>
      <c r="R70" s="20" t="n">
        <v>2.72536836</v>
      </c>
    </row>
    <row r="71" spans="1:18">
      <c r="A71" s="15" t="s">
        <v>631</v>
      </c>
      <c r="B71" s="17" t="n">
        <v>3142</v>
      </c>
      <c r="C71" s="18">
        <f>(2778.0/B71*100)</f>
        <v/>
      </c>
      <c r="D71" s="19" t="n">
        <v>364</v>
      </c>
      <c r="E71" s="18" t="n">
        <v>58.34408577</v>
      </c>
      <c r="F71" s="20" t="n">
        <v>2.88257893</v>
      </c>
      <c r="G71" s="18" t="n">
        <v>37.54774256</v>
      </c>
      <c r="H71" s="20" t="n">
        <v>2.82081587</v>
      </c>
      <c r="I71" s="18" t="s">
        <v>567</v>
      </c>
      <c r="J71" s="20" t="s">
        <v>567</v>
      </c>
      <c r="K71" s="18" t="n">
        <v>0</v>
      </c>
      <c r="L71" s="20" t="n">
        <v>0</v>
      </c>
      <c r="M71" s="18" t="n">
        <v>0.16642647</v>
      </c>
      <c r="N71" s="20" t="n">
        <v>0.16652751</v>
      </c>
      <c r="O71" s="18" t="n">
        <v>0</v>
      </c>
      <c r="P71" s="20" t="n">
        <v>0</v>
      </c>
      <c r="Q71" s="18" t="n">
        <v>3.9417452</v>
      </c>
      <c r="R71" s="20" t="n">
        <v>1.0729007</v>
      </c>
    </row>
    <row r="72" spans="1:18">
      <c r="A72" s="15" t="s">
        <v>632</v>
      </c>
      <c r="B72" s="17" t="n">
        <v>3889</v>
      </c>
      <c r="C72" s="18">
        <f>(3448.0/B72*100)</f>
        <v/>
      </c>
      <c r="D72" s="19" t="n">
        <v>441</v>
      </c>
      <c r="E72" s="18" t="n">
        <v>77.09091599</v>
      </c>
      <c r="F72" s="20" t="n">
        <v>2.22255101</v>
      </c>
      <c r="G72" s="18" t="n">
        <v>12.9674072</v>
      </c>
      <c r="H72" s="20" t="n">
        <v>1.62221769</v>
      </c>
      <c r="I72" s="18" t="s">
        <v>567</v>
      </c>
      <c r="J72" s="20" t="s">
        <v>567</v>
      </c>
      <c r="K72" s="18" t="n">
        <v>0</v>
      </c>
      <c r="L72" s="20" t="n">
        <v>0</v>
      </c>
      <c r="M72" s="18" t="n">
        <v>0</v>
      </c>
      <c r="N72" s="20" t="n">
        <v>0</v>
      </c>
      <c r="O72" s="18" t="n">
        <v>0</v>
      </c>
      <c r="P72" s="20" t="n">
        <v>0</v>
      </c>
      <c r="Q72" s="18" t="n">
        <v>9.941676810000001</v>
      </c>
      <c r="R72" s="20" t="n">
        <v>1.52374652</v>
      </c>
    </row>
    <row r="73" spans="1:18">
      <c r="A73" s="15" t="s">
        <v>633</v>
      </c>
      <c r="B73" s="17" t="n">
        <v>3597</v>
      </c>
      <c r="C73" s="18">
        <f>(3183.0/B73*100)</f>
        <v/>
      </c>
      <c r="D73" s="19" t="n">
        <v>414</v>
      </c>
      <c r="E73" s="18" t="n">
        <v>82.15612179</v>
      </c>
      <c r="F73" s="20" t="n">
        <v>2.16447967</v>
      </c>
      <c r="G73" s="18" t="n">
        <v>13.03328024</v>
      </c>
      <c r="H73" s="20" t="n">
        <v>1.73705782</v>
      </c>
      <c r="I73" s="18" t="s">
        <v>567</v>
      </c>
      <c r="J73" s="20" t="s">
        <v>567</v>
      </c>
      <c r="K73" s="18" t="n">
        <v>0</v>
      </c>
      <c r="L73" s="20" t="n">
        <v>0</v>
      </c>
      <c r="M73" s="18" t="n">
        <v>0.39088838</v>
      </c>
      <c r="N73" s="20" t="n">
        <v>0.36912308</v>
      </c>
      <c r="O73" s="18" t="n">
        <v>0</v>
      </c>
      <c r="P73" s="20" t="n">
        <v>0</v>
      </c>
      <c r="Q73" s="18" t="n">
        <v>4.41970959</v>
      </c>
      <c r="R73" s="20" t="n">
        <v>1.58184693</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(2170.0/B75*100)</f>
        <v/>
      </c>
      <c r="D75" s="19" t="n">
        <v>236</v>
      </c>
      <c r="E75" s="18" t="n">
        <v>67.58640771</v>
      </c>
      <c r="F75" s="20" t="n">
        <v>2.94682094</v>
      </c>
      <c r="G75" s="18" t="n">
        <v>5.51810142</v>
      </c>
      <c r="H75" s="20" t="n">
        <v>2.0684885</v>
      </c>
      <c r="I75" s="18" t="s">
        <v>567</v>
      </c>
      <c r="J75" s="20" t="s">
        <v>567</v>
      </c>
      <c r="K75" s="18" t="n">
        <v>2.21428479</v>
      </c>
      <c r="L75" s="20" t="n">
        <v>0.81457595</v>
      </c>
      <c r="M75" s="18" t="n">
        <v>0.44001655</v>
      </c>
      <c r="N75" s="20" t="n">
        <v>0.46612267</v>
      </c>
      <c r="O75" s="18" t="n">
        <v>0</v>
      </c>
      <c r="P75" s="20" t="n">
        <v>0</v>
      </c>
      <c r="Q75" s="18" t="n">
        <v>24.24118953</v>
      </c>
      <c r="R75" s="20" t="n">
        <v>2.59470153</v>
      </c>
    </row>
    <row r="76" spans="1:18">
      <c r="A76" s="15" t="s">
        <v>636</v>
      </c>
      <c r="B76" s="17" t="n">
        <v>7052</v>
      </c>
      <c r="C76" s="18">
        <f>(6274.0/B76*100)</f>
        <v/>
      </c>
      <c r="D76" s="19" t="n">
        <v>778</v>
      </c>
      <c r="E76" s="18" t="n">
        <v>76.11922434</v>
      </c>
      <c r="F76" s="20" t="n">
        <v>1.72083878</v>
      </c>
      <c r="G76" s="18" t="n">
        <v>13.26007655</v>
      </c>
      <c r="H76" s="20" t="n">
        <v>1.25591039</v>
      </c>
      <c r="I76" s="18" t="s">
        <v>567</v>
      </c>
      <c r="J76" s="20" t="s">
        <v>567</v>
      </c>
      <c r="K76" s="18" t="n">
        <v>0.82709181</v>
      </c>
      <c r="L76" s="20" t="n">
        <v>0.44971236</v>
      </c>
      <c r="M76" s="18" t="n">
        <v>0.04241111</v>
      </c>
      <c r="N76" s="20" t="n">
        <v>0.04253643</v>
      </c>
      <c r="O76" s="18" t="n">
        <v>0</v>
      </c>
      <c r="P76" s="20" t="n">
        <v>0</v>
      </c>
      <c r="Q76" s="18" t="n">
        <v>9.75119619</v>
      </c>
      <c r="R76" s="20" t="n">
        <v>1.29135902</v>
      </c>
    </row>
    <row r="77" spans="1:18">
      <c r="A77" s="15" t="s">
        <v>637</v>
      </c>
      <c r="B77" s="17" t="n">
        <v>2908</v>
      </c>
      <c r="C77" s="18">
        <f>(2607.0/B77*100)</f>
        <v/>
      </c>
      <c r="D77" s="19" t="n">
        <v>301</v>
      </c>
      <c r="E77" s="18" t="n">
        <v>59.49525356</v>
      </c>
      <c r="F77" s="20" t="n">
        <v>2.89133337</v>
      </c>
      <c r="G77" s="18" t="n">
        <v>13.66534062</v>
      </c>
      <c r="H77" s="20" t="n">
        <v>1.94291735</v>
      </c>
      <c r="I77" s="18" t="s">
        <v>567</v>
      </c>
      <c r="J77" s="20" t="s">
        <v>567</v>
      </c>
      <c r="K77" s="18" t="n">
        <v>0.58184506</v>
      </c>
      <c r="L77" s="20" t="n">
        <v>0.6262180000000001</v>
      </c>
      <c r="M77" s="18" t="n">
        <v>0</v>
      </c>
      <c r="N77" s="20" t="n">
        <v>0</v>
      </c>
      <c r="O77" s="18" t="n">
        <v>0</v>
      </c>
      <c r="P77" s="20" t="n">
        <v>0</v>
      </c>
      <c r="Q77" s="18" t="n">
        <v>26.25756076</v>
      </c>
      <c r="R77" s="20" t="n">
        <v>2.35566144</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(3711.0/B81*100)</f>
        <v/>
      </c>
      <c r="D81" s="19" t="n">
        <v>452</v>
      </c>
      <c r="E81" s="18" t="n">
        <v>87.94920096</v>
      </c>
      <c r="F81" s="20" t="n">
        <v>1.79417761</v>
      </c>
      <c r="G81" s="18" t="n">
        <v>8.526042090000001</v>
      </c>
      <c r="H81" s="20" t="n">
        <v>1.48607159</v>
      </c>
      <c r="I81" s="18" t="s">
        <v>567</v>
      </c>
      <c r="J81" s="20" t="s">
        <v>567</v>
      </c>
      <c r="K81" s="18" t="n">
        <v>0.38251872</v>
      </c>
      <c r="L81" s="20" t="n">
        <v>0.26364367</v>
      </c>
      <c r="M81" s="18" t="n">
        <v>0</v>
      </c>
      <c r="N81" s="20" t="n">
        <v>0</v>
      </c>
      <c r="O81" s="18" t="n">
        <v>0</v>
      </c>
      <c r="P81" s="20" t="n">
        <v>0</v>
      </c>
      <c r="Q81" s="18" t="n">
        <v>3.14223823</v>
      </c>
      <c r="R81" s="20" t="n">
        <v>1.1629298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(6557.0/B7*100)</f>
        <v/>
      </c>
      <c r="D7" s="19" t="n">
        <v>810</v>
      </c>
      <c r="E7" s="18" t="n">
        <v>39.41803837</v>
      </c>
      <c r="F7" s="20" t="n">
        <v>2.23172552</v>
      </c>
      <c r="G7" s="18" t="n">
        <v>59.17101497</v>
      </c>
      <c r="H7" s="20" t="n">
        <v>2.25894563</v>
      </c>
      <c r="I7" s="18" t="s">
        <v>567</v>
      </c>
      <c r="J7" s="20" t="s">
        <v>567</v>
      </c>
      <c r="K7" s="18" t="n">
        <v>0.37087836</v>
      </c>
      <c r="L7" s="20" t="n">
        <v>0.20754664</v>
      </c>
      <c r="M7" s="18" t="n">
        <v>0</v>
      </c>
      <c r="N7" s="20" t="n">
        <v>0</v>
      </c>
      <c r="O7" s="18" t="n">
        <v>0</v>
      </c>
      <c r="P7" s="20" t="n">
        <v>0</v>
      </c>
      <c r="Q7" s="18" t="n">
        <v>1.0400683</v>
      </c>
      <c r="R7" s="20" t="n">
        <v>0.40534556</v>
      </c>
    </row>
    <row r="8" spans="1:18">
      <c r="A8" s="15" t="s">
        <v>568</v>
      </c>
      <c r="B8" s="17" t="n">
        <v>3564</v>
      </c>
      <c r="C8" s="18">
        <f>(3178.0/B8*100)</f>
        <v/>
      </c>
      <c r="D8" s="19" t="n">
        <v>386</v>
      </c>
      <c r="E8" s="18" t="n">
        <v>44.02502517</v>
      </c>
      <c r="F8" s="20" t="n">
        <v>2.4998238</v>
      </c>
      <c r="G8" s="18" t="n">
        <v>54.21412836</v>
      </c>
      <c r="H8" s="20" t="n">
        <v>2.50451918</v>
      </c>
      <c r="I8" s="18" t="s">
        <v>567</v>
      </c>
      <c r="J8" s="20" t="s">
        <v>567</v>
      </c>
      <c r="K8" s="18" t="n">
        <v>0</v>
      </c>
      <c r="L8" s="20" t="n">
        <v>0</v>
      </c>
      <c r="M8" s="18" t="n">
        <v>0</v>
      </c>
      <c r="N8" s="20" t="n">
        <v>0</v>
      </c>
      <c r="O8" s="18" t="n">
        <v>0</v>
      </c>
      <c r="P8" s="20" t="n">
        <v>0</v>
      </c>
      <c r="Q8" s="18" t="n">
        <v>1.76084647</v>
      </c>
      <c r="R8" s="20" t="n">
        <v>0.68934512</v>
      </c>
    </row>
    <row r="9" spans="1:18">
      <c r="A9" s="15" t="s">
        <v>569</v>
      </c>
      <c r="B9" s="17" t="n">
        <v>4899</v>
      </c>
      <c r="C9" s="18">
        <f>(4344.0/B9*100)</f>
        <v/>
      </c>
      <c r="D9" s="19" t="n">
        <v>555</v>
      </c>
      <c r="E9" s="18" t="n">
        <v>52.49762381</v>
      </c>
      <c r="F9" s="20" t="n">
        <v>2.65685846</v>
      </c>
      <c r="G9" s="18" t="n">
        <v>46.71086734</v>
      </c>
      <c r="H9" s="20" t="n">
        <v>2.67983183</v>
      </c>
      <c r="I9" s="18" t="s">
        <v>567</v>
      </c>
      <c r="J9" s="20" t="s">
        <v>567</v>
      </c>
      <c r="K9" s="18" t="n">
        <v>0</v>
      </c>
      <c r="L9" s="20" t="n">
        <v>0</v>
      </c>
      <c r="M9" s="18" t="n">
        <v>0</v>
      </c>
      <c r="N9" s="20" t="n">
        <v>0</v>
      </c>
      <c r="O9" s="18" t="n">
        <v>0</v>
      </c>
      <c r="P9" s="20" t="n">
        <v>0</v>
      </c>
      <c r="Q9" s="18" t="n">
        <v>0.79150885</v>
      </c>
      <c r="R9" s="20" t="n">
        <v>0.41702285</v>
      </c>
    </row>
    <row r="10" spans="1:18">
      <c r="A10" s="15" t="s">
        <v>570</v>
      </c>
      <c r="B10" s="17" t="n">
        <v>10036</v>
      </c>
      <c r="C10" s="18">
        <f>(8908.0/B10*100)</f>
        <v/>
      </c>
      <c r="D10" s="19" t="n">
        <v>1128</v>
      </c>
      <c r="E10" s="18" t="n">
        <v>40.85517578</v>
      </c>
      <c r="F10" s="20" t="n">
        <v>2.08864155</v>
      </c>
      <c r="G10" s="18" t="n">
        <v>58.08595108</v>
      </c>
      <c r="H10" s="20" t="n">
        <v>2.0300181</v>
      </c>
      <c r="I10" s="18" t="s">
        <v>567</v>
      </c>
      <c r="J10" s="20" t="s">
        <v>567</v>
      </c>
      <c r="K10" s="18" t="n">
        <v>0.55667947</v>
      </c>
      <c r="L10" s="20" t="n">
        <v>0.34251682</v>
      </c>
      <c r="M10" s="18" t="n">
        <v>0</v>
      </c>
      <c r="N10" s="20" t="n">
        <v>0</v>
      </c>
      <c r="O10" s="18" t="n">
        <v>0</v>
      </c>
      <c r="P10" s="20" t="n">
        <v>0</v>
      </c>
      <c r="Q10" s="18" t="n">
        <v>0.50219367</v>
      </c>
      <c r="R10" s="20" t="n">
        <v>0.31763278</v>
      </c>
    </row>
    <row r="11" spans="1:18">
      <c r="A11" s="15" t="s">
        <v>571</v>
      </c>
      <c r="B11" s="17" t="n">
        <v>3553</v>
      </c>
      <c r="C11" s="18">
        <f>(3160.0/B11*100)</f>
        <v/>
      </c>
      <c r="D11" s="19" t="n">
        <v>393</v>
      </c>
      <c r="E11" s="18" t="n">
        <v>57.13330553</v>
      </c>
      <c r="F11" s="20" t="n">
        <v>2.8315347</v>
      </c>
      <c r="G11" s="18" t="n">
        <v>40.52148549</v>
      </c>
      <c r="H11" s="20" t="n">
        <v>2.59918546</v>
      </c>
      <c r="I11" s="18" t="s">
        <v>567</v>
      </c>
      <c r="J11" s="20" t="s">
        <v>567</v>
      </c>
      <c r="K11" s="18" t="n">
        <v>0.7951642</v>
      </c>
      <c r="L11" s="20" t="n">
        <v>0.73050886</v>
      </c>
      <c r="M11" s="18" t="n">
        <v>0</v>
      </c>
      <c r="N11" s="20" t="n">
        <v>0</v>
      </c>
      <c r="O11" s="18" t="n">
        <v>0</v>
      </c>
      <c r="P11" s="20" t="n">
        <v>0</v>
      </c>
      <c r="Q11" s="18" t="n">
        <v>1.55004477</v>
      </c>
      <c r="R11" s="20" t="n">
        <v>0.8539338</v>
      </c>
    </row>
    <row r="12" spans="1:18">
      <c r="A12" s="15" t="s">
        <v>572</v>
      </c>
      <c r="B12" s="17" t="n">
        <v>3472</v>
      </c>
      <c r="C12" s="18">
        <f>(3082.0/B12*100)</f>
        <v/>
      </c>
      <c r="D12" s="19" t="n">
        <v>390</v>
      </c>
      <c r="E12" s="18" t="n">
        <v>39.09986872</v>
      </c>
      <c r="F12" s="20" t="n">
        <v>2.8258377</v>
      </c>
      <c r="G12" s="18" t="n">
        <v>60.66425371</v>
      </c>
      <c r="H12" s="20" t="n">
        <v>2.79194922</v>
      </c>
      <c r="I12" s="18" t="s">
        <v>567</v>
      </c>
      <c r="J12" s="20" t="s">
        <v>567</v>
      </c>
      <c r="K12" s="18" t="n">
        <v>0</v>
      </c>
      <c r="L12" s="20" t="n">
        <v>0</v>
      </c>
      <c r="M12" s="18" t="n">
        <v>0</v>
      </c>
      <c r="N12" s="20" t="n">
        <v>0</v>
      </c>
      <c r="O12" s="18" t="n">
        <v>0</v>
      </c>
      <c r="P12" s="20" t="n">
        <v>0</v>
      </c>
      <c r="Q12" s="18" t="n">
        <v>0.23587757</v>
      </c>
      <c r="R12" s="20" t="n">
        <v>0.2403267</v>
      </c>
    </row>
    <row r="13" spans="1:18">
      <c r="A13" s="15" t="s">
        <v>573</v>
      </c>
      <c r="B13" s="17" t="n">
        <v>3559</v>
      </c>
      <c r="C13" s="18">
        <f>(3229.0/B13*100)</f>
        <v/>
      </c>
      <c r="D13" s="19" t="n">
        <v>330</v>
      </c>
      <c r="E13" s="18" t="n">
        <v>32.96234881</v>
      </c>
      <c r="F13" s="20" t="n">
        <v>2.94212414</v>
      </c>
      <c r="G13" s="18" t="n">
        <v>64.98356653</v>
      </c>
      <c r="H13" s="20" t="n">
        <v>2.87925587</v>
      </c>
      <c r="I13" s="18" t="s">
        <v>567</v>
      </c>
      <c r="J13" s="20" t="s">
        <v>567</v>
      </c>
      <c r="K13" s="18" t="n">
        <v>1.30936352</v>
      </c>
      <c r="L13" s="20" t="n">
        <v>0.84950683</v>
      </c>
      <c r="M13" s="18" t="n">
        <v>0</v>
      </c>
      <c r="N13" s="20" t="n">
        <v>0</v>
      </c>
      <c r="O13" s="18" t="n">
        <v>0</v>
      </c>
      <c r="P13" s="20" t="n">
        <v>0</v>
      </c>
      <c r="Q13" s="18" t="n">
        <v>0.74472114</v>
      </c>
      <c r="R13" s="20" t="n">
        <v>0.73083467</v>
      </c>
    </row>
    <row r="14" spans="1:18">
      <c r="A14" s="15" t="s">
        <v>574</v>
      </c>
      <c r="B14" s="17" t="n">
        <v>2799</v>
      </c>
      <c r="C14" s="18">
        <f>(2464.0/B14*100)</f>
        <v/>
      </c>
      <c r="D14" s="19" t="n">
        <v>335</v>
      </c>
      <c r="E14" s="18" t="n">
        <v>37.50029679</v>
      </c>
      <c r="F14" s="20" t="n">
        <v>2.84209396</v>
      </c>
      <c r="G14" s="18" t="n">
        <v>62.21835569</v>
      </c>
      <c r="H14" s="20" t="n">
        <v>2.83342938</v>
      </c>
      <c r="I14" s="18" t="s">
        <v>567</v>
      </c>
      <c r="J14" s="20" t="s">
        <v>567</v>
      </c>
      <c r="K14" s="18" t="n">
        <v>0.28134752</v>
      </c>
      <c r="L14" s="20" t="n">
        <v>0.28443054</v>
      </c>
      <c r="M14" s="18" t="n">
        <v>0</v>
      </c>
      <c r="N14" s="20" t="n">
        <v>0</v>
      </c>
      <c r="O14" s="18" t="n">
        <v>0</v>
      </c>
      <c r="P14" s="20" t="n">
        <v>0</v>
      </c>
      <c r="Q14" s="18" t="n">
        <v>0</v>
      </c>
      <c r="R14" s="20" t="n">
        <v>0</v>
      </c>
    </row>
    <row r="15" spans="1:18">
      <c r="A15" s="15" t="s">
        <v>575</v>
      </c>
      <c r="B15" s="17" t="n">
        <v>3019</v>
      </c>
      <c r="C15" s="18">
        <f>(2688.0/B15*100)</f>
        <v/>
      </c>
      <c r="D15" s="19" t="n">
        <v>331</v>
      </c>
      <c r="E15" s="18" t="n">
        <v>39.62939536</v>
      </c>
      <c r="F15" s="20" t="n">
        <v>2.601346</v>
      </c>
      <c r="G15" s="18" t="n">
        <v>58.9937587</v>
      </c>
      <c r="H15" s="20" t="n">
        <v>2.61841195</v>
      </c>
      <c r="I15" s="18" t="s">
        <v>567</v>
      </c>
      <c r="J15" s="20" t="s">
        <v>567</v>
      </c>
      <c r="K15" s="18" t="n">
        <v>0</v>
      </c>
      <c r="L15" s="20" t="n">
        <v>0</v>
      </c>
      <c r="M15" s="18" t="n">
        <v>0</v>
      </c>
      <c r="N15" s="20" t="n">
        <v>0</v>
      </c>
      <c r="O15" s="18" t="n">
        <v>0</v>
      </c>
      <c r="P15" s="20" t="n">
        <v>0</v>
      </c>
      <c r="Q15" s="18" t="n">
        <v>1.37684593</v>
      </c>
      <c r="R15" s="20" t="n">
        <v>0.63889796</v>
      </c>
    </row>
    <row r="16" spans="1:18">
      <c r="A16" s="15" t="s">
        <v>576</v>
      </c>
      <c r="B16" s="17" t="n">
        <v>2997</v>
      </c>
      <c r="C16" s="18">
        <f>(2652.0/B16*100)</f>
        <v/>
      </c>
      <c r="D16" s="19" t="n">
        <v>345</v>
      </c>
      <c r="E16" s="18" t="n">
        <v>48.20098631</v>
      </c>
      <c r="F16" s="20" t="n">
        <v>2.83365924</v>
      </c>
      <c r="G16" s="18" t="n">
        <v>49.05720564</v>
      </c>
      <c r="H16" s="20" t="n">
        <v>2.86357822</v>
      </c>
      <c r="I16" s="18" t="s">
        <v>567</v>
      </c>
      <c r="J16" s="20" t="s">
        <v>567</v>
      </c>
      <c r="K16" s="18" t="n">
        <v>0.59884774</v>
      </c>
      <c r="L16" s="20" t="n">
        <v>0.43821547</v>
      </c>
      <c r="M16" s="18" t="n">
        <v>0</v>
      </c>
      <c r="N16" s="20" t="n">
        <v>0</v>
      </c>
      <c r="O16" s="18" t="n">
        <v>0</v>
      </c>
      <c r="P16" s="20" t="n">
        <v>0</v>
      </c>
      <c r="Q16" s="18" t="n">
        <v>2.14296031</v>
      </c>
      <c r="R16" s="20" t="n">
        <v>0.83092527</v>
      </c>
    </row>
    <row r="17" spans="1:18">
      <c r="A17" s="15" t="s">
        <v>577</v>
      </c>
      <c r="B17" s="17" t="n">
        <v>3307</v>
      </c>
      <c r="C17" s="18">
        <f>(2966.0/B17*100)</f>
        <v/>
      </c>
      <c r="D17" s="19" t="n">
        <v>341</v>
      </c>
      <c r="E17" s="18" t="n">
        <v>39.99506032</v>
      </c>
      <c r="F17" s="20" t="n">
        <v>2.58708127</v>
      </c>
      <c r="G17" s="18" t="n">
        <v>59.54851035</v>
      </c>
      <c r="H17" s="20" t="n">
        <v>2.61117726</v>
      </c>
      <c r="I17" s="18" t="s">
        <v>567</v>
      </c>
      <c r="J17" s="20" t="s">
        <v>567</v>
      </c>
      <c r="K17" s="18" t="n">
        <v>0.45642934</v>
      </c>
      <c r="L17" s="20" t="n">
        <v>0.37313968</v>
      </c>
      <c r="M17" s="18" t="n">
        <v>0</v>
      </c>
      <c r="N17" s="20" t="n">
        <v>0</v>
      </c>
      <c r="O17" s="18" t="n">
        <v>0</v>
      </c>
      <c r="P17" s="20" t="n">
        <v>0</v>
      </c>
      <c r="Q17" s="18" t="n">
        <v>0</v>
      </c>
      <c r="R17" s="20" t="n">
        <v>0</v>
      </c>
    </row>
    <row r="18" spans="1:18">
      <c r="A18" s="15" t="s">
        <v>578</v>
      </c>
      <c r="B18" s="17" t="n">
        <v>2826</v>
      </c>
      <c r="C18" s="18">
        <f>(2497.0/B18*100)</f>
        <v/>
      </c>
      <c r="D18" s="19" t="n">
        <v>329</v>
      </c>
      <c r="E18" s="18" t="n">
        <v>58.85197649</v>
      </c>
      <c r="F18" s="20" t="n">
        <v>3.06694545</v>
      </c>
      <c r="G18" s="18" t="n">
        <v>39.84534759</v>
      </c>
      <c r="H18" s="20" t="n">
        <v>2.97838202</v>
      </c>
      <c r="I18" s="18" t="s">
        <v>567</v>
      </c>
      <c r="J18" s="20" t="s">
        <v>567</v>
      </c>
      <c r="K18" s="18" t="n">
        <v>0.16673091</v>
      </c>
      <c r="L18" s="20" t="n">
        <v>0.17138956</v>
      </c>
      <c r="M18" s="18" t="n">
        <v>0</v>
      </c>
      <c r="N18" s="20" t="n">
        <v>0</v>
      </c>
      <c r="O18" s="18" t="n">
        <v>0</v>
      </c>
      <c r="P18" s="20" t="n">
        <v>0</v>
      </c>
      <c r="Q18" s="18" t="n">
        <v>1.13594502</v>
      </c>
      <c r="R18" s="20" t="n">
        <v>0.66711604</v>
      </c>
    </row>
    <row r="19" spans="1:18">
      <c r="A19" s="15" t="s">
        <v>579</v>
      </c>
      <c r="B19" s="17" t="n">
        <v>2808</v>
      </c>
      <c r="C19" s="18">
        <f>(2497.0/B19*100)</f>
        <v/>
      </c>
      <c r="D19" s="19" t="n">
        <v>311</v>
      </c>
      <c r="E19" s="18" t="n">
        <v>58.99530292</v>
      </c>
      <c r="F19" s="20" t="n">
        <v>2.54832421</v>
      </c>
      <c r="G19" s="18" t="n">
        <v>40.79593899</v>
      </c>
      <c r="H19" s="20" t="n">
        <v>2.57829595</v>
      </c>
      <c r="I19" s="18" t="s">
        <v>567</v>
      </c>
      <c r="J19" s="20" t="s">
        <v>567</v>
      </c>
      <c r="K19" s="18" t="n">
        <v>0</v>
      </c>
      <c r="L19" s="20" t="n">
        <v>0</v>
      </c>
      <c r="M19" s="18" t="n">
        <v>0</v>
      </c>
      <c r="N19" s="20" t="n">
        <v>0</v>
      </c>
      <c r="O19" s="18" t="n">
        <v>0</v>
      </c>
      <c r="P19" s="20" t="n">
        <v>0</v>
      </c>
      <c r="Q19" s="18" t="n">
        <v>0.20875808</v>
      </c>
      <c r="R19" s="20" t="n">
        <v>0.211791</v>
      </c>
    </row>
    <row r="20" spans="1:18">
      <c r="A20" s="15" t="s">
        <v>580</v>
      </c>
      <c r="B20" s="17" t="n">
        <v>1630</v>
      </c>
      <c r="C20" s="18">
        <f>(1461.0/B20*100)</f>
        <v/>
      </c>
      <c r="D20" s="19" t="n">
        <v>169</v>
      </c>
      <c r="E20" s="18" t="n">
        <v>52.20229291</v>
      </c>
      <c r="F20" s="20" t="n">
        <v>3.35541554</v>
      </c>
      <c r="G20" s="18" t="n">
        <v>45.38580424</v>
      </c>
      <c r="H20" s="20" t="n">
        <v>3.48500193</v>
      </c>
      <c r="I20" s="18" t="s">
        <v>567</v>
      </c>
      <c r="J20" s="20" t="s">
        <v>567</v>
      </c>
      <c r="K20" s="18" t="n">
        <v>0</v>
      </c>
      <c r="L20" s="20" t="n">
        <v>0</v>
      </c>
      <c r="M20" s="18" t="n">
        <v>0</v>
      </c>
      <c r="N20" s="20" t="n">
        <v>0</v>
      </c>
      <c r="O20" s="18" t="n">
        <v>0</v>
      </c>
      <c r="P20" s="20" t="n">
        <v>0</v>
      </c>
      <c r="Q20" s="18" t="n">
        <v>2.41190285</v>
      </c>
      <c r="R20" s="20" t="n">
        <v>1.19751528</v>
      </c>
    </row>
    <row r="21" spans="1:18">
      <c r="A21" s="15" t="s">
        <v>581</v>
      </c>
      <c r="B21" s="17" t="n">
        <v>2908</v>
      </c>
      <c r="C21" s="18">
        <f>(2576.0/B21*100)</f>
        <v/>
      </c>
      <c r="D21" s="19" t="n">
        <v>332</v>
      </c>
      <c r="E21" s="18" t="n">
        <v>43.39863396</v>
      </c>
      <c r="F21" s="20" t="n">
        <v>2.88286505</v>
      </c>
      <c r="G21" s="18" t="n">
        <v>56.60136604</v>
      </c>
      <c r="H21" s="20" t="n">
        <v>2.88286505</v>
      </c>
      <c r="I21" s="18" t="s">
        <v>567</v>
      </c>
      <c r="J21" s="20" t="s">
        <v>567</v>
      </c>
      <c r="K21" s="18" t="n">
        <v>0</v>
      </c>
      <c r="L21" s="20" t="n">
        <v>0</v>
      </c>
      <c r="M21" s="18" t="n">
        <v>0</v>
      </c>
      <c r="N21" s="20" t="n">
        <v>0</v>
      </c>
      <c r="O21" s="18" t="n">
        <v>0</v>
      </c>
      <c r="P21" s="20" t="n">
        <v>0</v>
      </c>
      <c r="Q21" s="18" t="n">
        <v>0</v>
      </c>
      <c r="R21" s="20" t="n">
        <v>0</v>
      </c>
    </row>
    <row r="22" spans="1:18">
      <c r="A22" s="15" t="s">
        <v>582</v>
      </c>
      <c r="B22" s="17" t="n">
        <v>2931</v>
      </c>
      <c r="C22" s="18">
        <f>(2600.0/B22*100)</f>
        <v/>
      </c>
      <c r="D22" s="19" t="n">
        <v>331</v>
      </c>
      <c r="E22" s="18" t="n">
        <v>55.19606712</v>
      </c>
      <c r="F22" s="20" t="n">
        <v>3.04474822</v>
      </c>
      <c r="G22" s="18" t="n">
        <v>43.1537074</v>
      </c>
      <c r="H22" s="20" t="n">
        <v>3.0402885</v>
      </c>
      <c r="I22" s="18" t="s">
        <v>567</v>
      </c>
      <c r="J22" s="20" t="s">
        <v>567</v>
      </c>
      <c r="K22" s="18" t="n">
        <v>1.35204158</v>
      </c>
      <c r="L22" s="20" t="n">
        <v>0.85047531</v>
      </c>
      <c r="M22" s="18" t="n">
        <v>0</v>
      </c>
      <c r="N22" s="20" t="n">
        <v>0</v>
      </c>
      <c r="O22" s="18" t="n">
        <v>0</v>
      </c>
      <c r="P22" s="20" t="n">
        <v>0</v>
      </c>
      <c r="Q22" s="18" t="n">
        <v>0.2981839</v>
      </c>
      <c r="R22" s="20" t="n">
        <v>0.3090239</v>
      </c>
    </row>
    <row r="23" spans="1:18">
      <c r="A23" s="15" t="s">
        <v>583</v>
      </c>
      <c r="B23" s="17" t="n">
        <v>5791</v>
      </c>
      <c r="C23" s="18">
        <f>(5149.0/B23*100)</f>
        <v/>
      </c>
      <c r="D23" s="19" t="n">
        <v>642</v>
      </c>
      <c r="E23" s="18" t="n">
        <v>50.14508399</v>
      </c>
      <c r="F23" s="20" t="n">
        <v>2.43233788</v>
      </c>
      <c r="G23" s="18" t="n">
        <v>47.33592267</v>
      </c>
      <c r="H23" s="20" t="n">
        <v>2.5838121</v>
      </c>
      <c r="I23" s="18" t="s">
        <v>567</v>
      </c>
      <c r="J23" s="20" t="s">
        <v>567</v>
      </c>
      <c r="K23" s="18" t="n">
        <v>0</v>
      </c>
      <c r="L23" s="20" t="n">
        <v>0</v>
      </c>
      <c r="M23" s="18" t="n">
        <v>0</v>
      </c>
      <c r="N23" s="20" t="n">
        <v>0</v>
      </c>
      <c r="O23" s="18" t="n">
        <v>0</v>
      </c>
      <c r="P23" s="20" t="n">
        <v>0</v>
      </c>
      <c r="Q23" s="18" t="n">
        <v>2.51899334</v>
      </c>
      <c r="R23" s="20" t="n">
        <v>1.05615121</v>
      </c>
    </row>
    <row r="24" spans="1:18">
      <c r="A24" s="15" t="s">
        <v>584</v>
      </c>
      <c r="B24" s="17" t="n">
        <v>3338</v>
      </c>
      <c r="C24" s="18">
        <f>(2973.0/B24*100)</f>
        <v/>
      </c>
      <c r="D24" s="19" t="n">
        <v>365</v>
      </c>
      <c r="E24" s="18" t="n">
        <v>56.48756972</v>
      </c>
      <c r="F24" s="20" t="n">
        <v>2.70221654</v>
      </c>
      <c r="G24" s="18" t="n">
        <v>42.67361356</v>
      </c>
      <c r="H24" s="20" t="n">
        <v>2.76765083</v>
      </c>
      <c r="I24" s="18" t="s">
        <v>567</v>
      </c>
      <c r="J24" s="20" t="s">
        <v>567</v>
      </c>
      <c r="K24" s="18" t="n">
        <v>0</v>
      </c>
      <c r="L24" s="20" t="n">
        <v>0</v>
      </c>
      <c r="M24" s="18" t="n">
        <v>0</v>
      </c>
      <c r="N24" s="20" t="n">
        <v>0</v>
      </c>
      <c r="O24" s="18" t="n">
        <v>0</v>
      </c>
      <c r="P24" s="20" t="n">
        <v>0</v>
      </c>
      <c r="Q24" s="18" t="n">
        <v>0.83881672</v>
      </c>
      <c r="R24" s="20" t="n">
        <v>0.48118796</v>
      </c>
    </row>
    <row r="25" spans="1:18">
      <c r="A25" s="15" t="s">
        <v>585</v>
      </c>
      <c r="B25" s="17" t="n">
        <v>2912</v>
      </c>
      <c r="C25" s="18">
        <f>(2606.0/B25*100)</f>
        <v/>
      </c>
      <c r="D25" s="19" t="n">
        <v>306</v>
      </c>
      <c r="E25" s="18" t="n">
        <v>61.2678438</v>
      </c>
      <c r="F25" s="20" t="n">
        <v>2.93103463</v>
      </c>
      <c r="G25" s="18" t="n">
        <v>38.10251185</v>
      </c>
      <c r="H25" s="20" t="n">
        <v>2.97317239</v>
      </c>
      <c r="I25" s="18" t="s">
        <v>567</v>
      </c>
      <c r="J25" s="20" t="s">
        <v>567</v>
      </c>
      <c r="K25" s="18" t="n">
        <v>0</v>
      </c>
      <c r="L25" s="20" t="n">
        <v>0</v>
      </c>
      <c r="M25" s="18" t="n">
        <v>0</v>
      </c>
      <c r="N25" s="20" t="n">
        <v>0</v>
      </c>
      <c r="O25" s="18" t="n">
        <v>0</v>
      </c>
      <c r="P25" s="20" t="n">
        <v>0</v>
      </c>
      <c r="Q25" s="18" t="n">
        <v>0.62964435</v>
      </c>
      <c r="R25" s="20" t="n">
        <v>0.45693358</v>
      </c>
    </row>
    <row r="26" spans="1:18">
      <c r="A26" s="15" t="s">
        <v>586</v>
      </c>
      <c r="B26" s="17" t="n">
        <v>2450</v>
      </c>
      <c r="C26" s="18">
        <f>(2177.0/B26*100)</f>
        <v/>
      </c>
      <c r="D26" s="19" t="n">
        <v>273</v>
      </c>
      <c r="E26" s="18" t="n">
        <v>44.16860774</v>
      </c>
      <c r="F26" s="20" t="n">
        <v>3.24700274</v>
      </c>
      <c r="G26" s="18" t="n">
        <v>55.83139226</v>
      </c>
      <c r="H26" s="20" t="n">
        <v>3.24700274</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(2317.0/B27*100)</f>
        <v/>
      </c>
      <c r="D27" s="19" t="n">
        <v>299</v>
      </c>
      <c r="E27" s="18" t="n">
        <v>48.07575254</v>
      </c>
      <c r="F27" s="20" t="n">
        <v>3.03371321</v>
      </c>
      <c r="G27" s="18" t="n">
        <v>50.49888191</v>
      </c>
      <c r="H27" s="20" t="n">
        <v>3.02399143</v>
      </c>
      <c r="I27" s="18" t="s">
        <v>567</v>
      </c>
      <c r="J27" s="20" t="s">
        <v>567</v>
      </c>
      <c r="K27" s="18" t="n">
        <v>0.35255678</v>
      </c>
      <c r="L27" s="20" t="n">
        <v>0.35624811</v>
      </c>
      <c r="M27" s="18" t="n">
        <v>0</v>
      </c>
      <c r="N27" s="20" t="n">
        <v>0</v>
      </c>
      <c r="O27" s="18" t="n">
        <v>0</v>
      </c>
      <c r="P27" s="20" t="n">
        <v>0</v>
      </c>
      <c r="Q27" s="18" t="n">
        <v>1.07280878</v>
      </c>
      <c r="R27" s="20" t="n">
        <v>0.61736547</v>
      </c>
    </row>
    <row r="28" spans="1:18">
      <c r="A28" s="15" t="s">
        <v>588</v>
      </c>
      <c r="B28" s="17" t="n">
        <v>3765</v>
      </c>
      <c r="C28" s="18">
        <f>(3377.0/B28*100)</f>
        <v/>
      </c>
      <c r="D28" s="19" t="n">
        <v>388</v>
      </c>
      <c r="E28" s="18" t="n">
        <v>75.47216069</v>
      </c>
      <c r="F28" s="20" t="n">
        <v>2.44111506</v>
      </c>
      <c r="G28" s="18" t="n">
        <v>23.91259946</v>
      </c>
      <c r="H28" s="20" t="n">
        <v>2.36697625</v>
      </c>
      <c r="I28" s="18" t="s">
        <v>567</v>
      </c>
      <c r="J28" s="20" t="s">
        <v>567</v>
      </c>
      <c r="K28" s="18" t="n">
        <v>0</v>
      </c>
      <c r="L28" s="20" t="n">
        <v>0</v>
      </c>
      <c r="M28" s="18" t="n">
        <v>0</v>
      </c>
      <c r="N28" s="20" t="n">
        <v>0</v>
      </c>
      <c r="O28" s="18" t="n">
        <v>0</v>
      </c>
      <c r="P28" s="20" t="n">
        <v>0</v>
      </c>
      <c r="Q28" s="18" t="n">
        <v>0.61523985</v>
      </c>
      <c r="R28" s="20" t="n">
        <v>0.46719475</v>
      </c>
    </row>
    <row r="29" spans="1:18">
      <c r="A29" s="15" t="s">
        <v>589</v>
      </c>
      <c r="B29" s="17" t="n">
        <v>2685</v>
      </c>
      <c r="C29" s="18">
        <f>(2404.0/B29*100)</f>
        <v/>
      </c>
      <c r="D29" s="19" t="n">
        <v>281</v>
      </c>
      <c r="E29" s="18" t="n">
        <v>53.08619066</v>
      </c>
      <c r="F29" s="20" t="n">
        <v>2.82196981</v>
      </c>
      <c r="G29" s="18" t="n">
        <v>45.52705679</v>
      </c>
      <c r="H29" s="20" t="n">
        <v>2.80771704</v>
      </c>
      <c r="I29" s="18" t="s">
        <v>567</v>
      </c>
      <c r="J29" s="20" t="s">
        <v>567</v>
      </c>
      <c r="K29" s="18" t="n">
        <v>0.36807508</v>
      </c>
      <c r="L29" s="20" t="n">
        <v>0.36480756</v>
      </c>
      <c r="M29" s="18" t="n">
        <v>0</v>
      </c>
      <c r="N29" s="20" t="n">
        <v>0</v>
      </c>
      <c r="O29" s="18" t="n">
        <v>0</v>
      </c>
      <c r="P29" s="20" t="n">
        <v>0</v>
      </c>
      <c r="Q29" s="18" t="n">
        <v>1.01867747</v>
      </c>
      <c r="R29" s="20" t="n">
        <v>0.62468601</v>
      </c>
    </row>
    <row r="30" spans="1:18">
      <c r="A30" s="15" t="s">
        <v>590</v>
      </c>
      <c r="B30" s="17" t="n">
        <v>2263</v>
      </c>
      <c r="C30" s="18">
        <f>(1998.0/B30*100)</f>
        <v/>
      </c>
      <c r="D30" s="19" t="n">
        <v>265</v>
      </c>
      <c r="E30" s="18" t="n">
        <v>39.22282074</v>
      </c>
      <c r="F30" s="20" t="n">
        <v>2.88445878</v>
      </c>
      <c r="G30" s="18" t="n">
        <v>60.11677897</v>
      </c>
      <c r="H30" s="20" t="n">
        <v>3.0818726</v>
      </c>
      <c r="I30" s="18" t="s">
        <v>567</v>
      </c>
      <c r="J30" s="20" t="s">
        <v>567</v>
      </c>
      <c r="K30" s="18" t="n">
        <v>0</v>
      </c>
      <c r="L30" s="20" t="n">
        <v>0</v>
      </c>
      <c r="M30" s="18" t="n">
        <v>0</v>
      </c>
      <c r="N30" s="20" t="n">
        <v>0</v>
      </c>
      <c r="O30" s="18" t="n">
        <v>0</v>
      </c>
      <c r="P30" s="20" t="n">
        <v>0</v>
      </c>
      <c r="Q30" s="18" t="n">
        <v>0.66040029</v>
      </c>
      <c r="R30" s="20" t="n">
        <v>0.49706678</v>
      </c>
    </row>
    <row r="31" spans="1:18">
      <c r="A31" s="15" t="s">
        <v>591</v>
      </c>
      <c r="B31" s="17" t="n">
        <v>2750</v>
      </c>
      <c r="C31" s="18">
        <f>(2451.0/B31*100)</f>
        <v/>
      </c>
      <c r="D31" s="19" t="n">
        <v>299</v>
      </c>
      <c r="E31" s="18" t="n">
        <v>40.63501858</v>
      </c>
      <c r="F31" s="20" t="n">
        <v>3.11997516</v>
      </c>
      <c r="G31" s="18" t="n">
        <v>57.46200371</v>
      </c>
      <c r="H31" s="20" t="n">
        <v>3.04619386</v>
      </c>
      <c r="I31" s="18" t="s">
        <v>567</v>
      </c>
      <c r="J31" s="20" t="s">
        <v>567</v>
      </c>
      <c r="K31" s="18" t="n">
        <v>0.28162006</v>
      </c>
      <c r="L31" s="20" t="n">
        <v>0.28355703</v>
      </c>
      <c r="M31" s="18" t="n">
        <v>0</v>
      </c>
      <c r="N31" s="20" t="n">
        <v>0</v>
      </c>
      <c r="O31" s="18" t="n">
        <v>0</v>
      </c>
      <c r="P31" s="20" t="n">
        <v>0</v>
      </c>
      <c r="Q31" s="18" t="n">
        <v>1.62135765</v>
      </c>
      <c r="R31" s="20" t="n">
        <v>0.73466781</v>
      </c>
    </row>
    <row r="32" spans="1:18">
      <c r="A32" s="15" t="s">
        <v>592</v>
      </c>
      <c r="B32" s="17" t="n">
        <v>2269</v>
      </c>
      <c r="C32" s="18">
        <f>(2023.0/B32*100)</f>
        <v/>
      </c>
      <c r="D32" s="19" t="n">
        <v>246</v>
      </c>
      <c r="E32" s="18" t="n">
        <v>33.38637301</v>
      </c>
      <c r="F32" s="20" t="n">
        <v>3.01344605</v>
      </c>
      <c r="G32" s="18" t="n">
        <v>65.25466609999999</v>
      </c>
      <c r="H32" s="20" t="n">
        <v>3.12009791</v>
      </c>
      <c r="I32" s="18" t="s">
        <v>567</v>
      </c>
      <c r="J32" s="20" t="s">
        <v>567</v>
      </c>
      <c r="K32" s="18" t="n">
        <v>0.36123409</v>
      </c>
      <c r="L32" s="20" t="n">
        <v>0.35288361</v>
      </c>
      <c r="M32" s="18" t="n">
        <v>0</v>
      </c>
      <c r="N32" s="20" t="n">
        <v>0</v>
      </c>
      <c r="O32" s="18" t="n">
        <v>0</v>
      </c>
      <c r="P32" s="20" t="n">
        <v>0</v>
      </c>
      <c r="Q32" s="18" t="n">
        <v>0.9977268</v>
      </c>
      <c r="R32" s="20" t="n">
        <v>0.7413478999999999</v>
      </c>
    </row>
    <row r="33" spans="1:18">
      <c r="A33" s="15" t="s">
        <v>593</v>
      </c>
      <c r="B33" s="17" t="n">
        <v>3674</v>
      </c>
      <c r="C33" s="18">
        <f>(3276.0/B33*100)</f>
        <v/>
      </c>
      <c r="D33" s="19" t="n">
        <v>398</v>
      </c>
      <c r="E33" s="18" t="n">
        <v>46.0028451</v>
      </c>
      <c r="F33" s="20" t="n">
        <v>2.8469706</v>
      </c>
      <c r="G33" s="18" t="n">
        <v>53.9971549</v>
      </c>
      <c r="H33" s="20" t="n">
        <v>2.8469706</v>
      </c>
      <c r="I33" s="18" t="s">
        <v>567</v>
      </c>
      <c r="J33" s="20" t="s">
        <v>567</v>
      </c>
      <c r="K33" s="18" t="n">
        <v>0</v>
      </c>
      <c r="L33" s="20" t="n">
        <v>0</v>
      </c>
      <c r="M33" s="18" t="n">
        <v>0</v>
      </c>
      <c r="N33" s="20" t="n">
        <v>0</v>
      </c>
      <c r="O33" s="18" t="n">
        <v>0</v>
      </c>
      <c r="P33" s="20" t="n">
        <v>0</v>
      </c>
      <c r="Q33" s="18" t="n">
        <v>0</v>
      </c>
      <c r="R33" s="20" t="n">
        <v>0</v>
      </c>
    </row>
    <row r="34" spans="1:18">
      <c r="A34" s="15" t="s">
        <v>594</v>
      </c>
      <c r="B34" s="17" t="n">
        <v>3315</v>
      </c>
      <c r="C34" s="18">
        <f>(2971.0/B34*100)</f>
        <v/>
      </c>
      <c r="D34" s="19" t="n">
        <v>344</v>
      </c>
      <c r="E34" s="18" t="n">
        <v>50.19075362</v>
      </c>
      <c r="F34" s="20" t="n">
        <v>3.05762978</v>
      </c>
      <c r="G34" s="18" t="n">
        <v>49.09837807</v>
      </c>
      <c r="H34" s="20" t="n">
        <v>3.09196004</v>
      </c>
      <c r="I34" s="18" t="s">
        <v>567</v>
      </c>
      <c r="J34" s="20" t="s">
        <v>567</v>
      </c>
      <c r="K34" s="18" t="n">
        <v>0</v>
      </c>
      <c r="L34" s="20" t="n">
        <v>0</v>
      </c>
      <c r="M34" s="18" t="n">
        <v>0</v>
      </c>
      <c r="N34" s="20" t="n">
        <v>0</v>
      </c>
      <c r="O34" s="18" t="n">
        <v>0</v>
      </c>
      <c r="P34" s="20" t="n">
        <v>0</v>
      </c>
      <c r="Q34" s="18" t="n">
        <v>0.7108683099999999</v>
      </c>
      <c r="R34" s="20" t="n">
        <v>0.45617294</v>
      </c>
    </row>
    <row r="35" spans="1:18">
      <c r="A35" s="15" t="s">
        <v>595</v>
      </c>
      <c r="B35" s="17" t="n">
        <v>3505</v>
      </c>
      <c r="C35" s="18">
        <f>(3120.0/B35*100)</f>
        <v/>
      </c>
      <c r="D35" s="19" t="n">
        <v>385</v>
      </c>
      <c r="E35" s="18" t="n">
        <v>38.19237635</v>
      </c>
      <c r="F35" s="20" t="n">
        <v>2.92135587</v>
      </c>
      <c r="G35" s="18" t="n">
        <v>60.86616821</v>
      </c>
      <c r="H35" s="20" t="n">
        <v>2.89600422</v>
      </c>
      <c r="I35" s="18" t="s">
        <v>567</v>
      </c>
      <c r="J35" s="20" t="s">
        <v>567</v>
      </c>
      <c r="K35" s="18" t="n">
        <v>0</v>
      </c>
      <c r="L35" s="20" t="n">
        <v>0</v>
      </c>
      <c r="M35" s="18" t="n">
        <v>0</v>
      </c>
      <c r="N35" s="20" t="n">
        <v>0</v>
      </c>
      <c r="O35" s="18" t="n">
        <v>0</v>
      </c>
      <c r="P35" s="20" t="n">
        <v>0</v>
      </c>
      <c r="Q35" s="18" t="n">
        <v>0.94145544</v>
      </c>
      <c r="R35" s="20" t="n">
        <v>0.50525507</v>
      </c>
    </row>
    <row r="36" spans="1:18">
      <c r="A36" s="15" t="s">
        <v>596</v>
      </c>
      <c r="B36" s="17" t="n">
        <v>3332</v>
      </c>
      <c r="C36" s="18">
        <f>(2950.0/B36*100)</f>
        <v/>
      </c>
      <c r="D36" s="19" t="n">
        <v>382</v>
      </c>
      <c r="E36" s="18" t="n">
        <v>49.55831411</v>
      </c>
      <c r="F36" s="20" t="n">
        <v>2.2932073</v>
      </c>
      <c r="G36" s="18" t="n">
        <v>49.1528274</v>
      </c>
      <c r="H36" s="20" t="n">
        <v>2.27087856</v>
      </c>
      <c r="I36" s="18" t="s">
        <v>567</v>
      </c>
      <c r="J36" s="20" t="s">
        <v>567</v>
      </c>
      <c r="K36" s="18" t="n">
        <v>0.14805344</v>
      </c>
      <c r="L36" s="20" t="n">
        <v>0.13826258</v>
      </c>
      <c r="M36" s="18" t="n">
        <v>0</v>
      </c>
      <c r="N36" s="20" t="n">
        <v>0</v>
      </c>
      <c r="O36" s="18" t="n">
        <v>0</v>
      </c>
      <c r="P36" s="20" t="n">
        <v>0</v>
      </c>
      <c r="Q36" s="18" t="n">
        <v>1.14080506</v>
      </c>
      <c r="R36" s="20" t="n">
        <v>0.31773315</v>
      </c>
    </row>
    <row r="37" spans="1:18">
      <c r="A37" s="15" t="s">
        <v>597</v>
      </c>
      <c r="B37" s="17" t="n">
        <v>2727</v>
      </c>
      <c r="C37" s="18">
        <f>(2422.0/B37*100)</f>
        <v/>
      </c>
      <c r="D37" s="19" t="n">
        <v>305</v>
      </c>
      <c r="E37" s="18" t="n">
        <v>38.35752805</v>
      </c>
      <c r="F37" s="20" t="n">
        <v>3.02358867</v>
      </c>
      <c r="G37" s="18" t="n">
        <v>58.91546011</v>
      </c>
      <c r="H37" s="20" t="n">
        <v>3.12785483</v>
      </c>
      <c r="I37" s="18" t="s">
        <v>567</v>
      </c>
      <c r="J37" s="20" t="s">
        <v>567</v>
      </c>
      <c r="K37" s="18" t="n">
        <v>0</v>
      </c>
      <c r="L37" s="20" t="n">
        <v>0</v>
      </c>
      <c r="M37" s="18" t="n">
        <v>0</v>
      </c>
      <c r="N37" s="20" t="n">
        <v>0</v>
      </c>
      <c r="O37" s="18" t="n">
        <v>0</v>
      </c>
      <c r="P37" s="20" t="n">
        <v>0</v>
      </c>
      <c r="Q37" s="18" t="n">
        <v>2.72701184</v>
      </c>
      <c r="R37" s="20" t="n">
        <v>1.00100335</v>
      </c>
    </row>
    <row r="38" spans="1:18">
      <c r="A38" s="15" t="s">
        <v>598</v>
      </c>
      <c r="B38" s="17" t="n">
        <v>3053</v>
      </c>
      <c r="C38" s="18">
        <f>(2724.0/B38*100)</f>
        <v/>
      </c>
      <c r="D38" s="19" t="n">
        <v>329</v>
      </c>
      <c r="E38" s="18" t="n">
        <v>44.08076566</v>
      </c>
      <c r="F38" s="20" t="n">
        <v>2.59580112</v>
      </c>
      <c r="G38" s="18" t="n">
        <v>53.94182301</v>
      </c>
      <c r="H38" s="20" t="n">
        <v>2.77230507</v>
      </c>
      <c r="I38" s="18" t="s">
        <v>567</v>
      </c>
      <c r="J38" s="20" t="s">
        <v>567</v>
      </c>
      <c r="K38" s="18" t="n">
        <v>0.5188146</v>
      </c>
      <c r="L38" s="20" t="n">
        <v>0.45325673</v>
      </c>
      <c r="M38" s="18" t="n">
        <v>0</v>
      </c>
      <c r="N38" s="20" t="n">
        <v>0</v>
      </c>
      <c r="O38" s="18" t="n">
        <v>0</v>
      </c>
      <c r="P38" s="20" t="n">
        <v>0</v>
      </c>
      <c r="Q38" s="18" t="n">
        <v>1.45859673</v>
      </c>
      <c r="R38" s="20" t="n">
        <v>0.75480907</v>
      </c>
    </row>
    <row r="39" spans="1:18">
      <c r="A39" s="15" t="s">
        <v>599</v>
      </c>
      <c r="B39" s="17" t="n">
        <v>2957</v>
      </c>
      <c r="C39" s="18">
        <f>(2624.0/B39*100)</f>
        <v/>
      </c>
      <c r="D39" s="19" t="n">
        <v>333</v>
      </c>
      <c r="E39" s="18" t="n">
        <v>71.92308095</v>
      </c>
      <c r="F39" s="20" t="n">
        <v>3.17967787</v>
      </c>
      <c r="G39" s="18" t="n">
        <v>27.07957712</v>
      </c>
      <c r="H39" s="20" t="n">
        <v>3.12053319</v>
      </c>
      <c r="I39" s="18" t="s">
        <v>567</v>
      </c>
      <c r="J39" s="20" t="s">
        <v>567</v>
      </c>
      <c r="K39" s="18" t="n">
        <v>0.21263693</v>
      </c>
      <c r="L39" s="20" t="n">
        <v>0.22051977</v>
      </c>
      <c r="M39" s="18" t="n">
        <v>0</v>
      </c>
      <c r="N39" s="20" t="n">
        <v>0</v>
      </c>
      <c r="O39" s="18" t="n">
        <v>0</v>
      </c>
      <c r="P39" s="20" t="n">
        <v>0</v>
      </c>
      <c r="Q39" s="18" t="n">
        <v>0.78470501</v>
      </c>
      <c r="R39" s="20" t="n">
        <v>0.78532076</v>
      </c>
    </row>
    <row r="40" spans="1:18">
      <c r="A40" s="15" t="s">
        <v>600</v>
      </c>
      <c r="B40" s="17" t="n">
        <v>7235</v>
      </c>
      <c r="C40" s="18">
        <f>(6388.0/B40*100)</f>
        <v/>
      </c>
      <c r="D40" s="19" t="n">
        <v>847</v>
      </c>
      <c r="E40" s="18" t="n">
        <v>41.38561722</v>
      </c>
      <c r="F40" s="20" t="n">
        <v>2.6826858</v>
      </c>
      <c r="G40" s="18" t="n">
        <v>57.92913866</v>
      </c>
      <c r="H40" s="20" t="n">
        <v>2.63908932</v>
      </c>
      <c r="I40" s="18" t="s">
        <v>567</v>
      </c>
      <c r="J40" s="20" t="s">
        <v>567</v>
      </c>
      <c r="K40" s="18" t="n">
        <v>0.06934996</v>
      </c>
      <c r="L40" s="20" t="n">
        <v>0.05920336</v>
      </c>
      <c r="M40" s="18" t="n">
        <v>0</v>
      </c>
      <c r="N40" s="20" t="n">
        <v>0</v>
      </c>
      <c r="O40" s="18" t="n">
        <v>0</v>
      </c>
      <c r="P40" s="20" t="n">
        <v>0</v>
      </c>
      <c r="Q40" s="18" t="n">
        <v>0.61589417</v>
      </c>
      <c r="R40" s="20" t="n">
        <v>0.43895879</v>
      </c>
    </row>
    <row r="41" spans="1:18">
      <c r="A41" s="15" t="s">
        <v>601</v>
      </c>
      <c r="B41" s="17" t="n">
        <v>2858</v>
      </c>
      <c r="C41" s="18">
        <f>(2527.0/B41*100)</f>
        <v/>
      </c>
      <c r="D41" s="19" t="n">
        <v>331</v>
      </c>
      <c r="E41" s="18" t="n">
        <v>43.98824494</v>
      </c>
      <c r="F41" s="20" t="n">
        <v>2.21326527</v>
      </c>
      <c r="G41" s="18" t="n">
        <v>55.50437488</v>
      </c>
      <c r="H41" s="20" t="n">
        <v>2.29622531</v>
      </c>
      <c r="I41" s="18" t="s">
        <v>567</v>
      </c>
      <c r="J41" s="20" t="s">
        <v>567</v>
      </c>
      <c r="K41" s="18" t="n">
        <v>0</v>
      </c>
      <c r="L41" s="20" t="n">
        <v>0</v>
      </c>
      <c r="M41" s="18" t="n">
        <v>0</v>
      </c>
      <c r="N41" s="20" t="n">
        <v>0</v>
      </c>
      <c r="O41" s="18" t="n">
        <v>0</v>
      </c>
      <c r="P41" s="20" t="n">
        <v>0</v>
      </c>
      <c r="Q41" s="18" t="n">
        <v>0.50738018</v>
      </c>
      <c r="R41" s="20" t="n">
        <v>0.3761538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(9994.0/B46*100)</f>
        <v/>
      </c>
      <c r="D46" s="19" t="n">
        <v>1074</v>
      </c>
      <c r="E46" s="18" t="n">
        <v>62.82001384</v>
      </c>
      <c r="F46" s="20" t="n">
        <v>2.00495498</v>
      </c>
      <c r="G46" s="18" t="n">
        <v>34.57541703</v>
      </c>
      <c r="H46" s="20" t="n">
        <v>1.88802079</v>
      </c>
      <c r="I46" s="18" t="s">
        <v>567</v>
      </c>
      <c r="J46" s="20" t="s">
        <v>567</v>
      </c>
      <c r="K46" s="18" t="n">
        <v>0.1759498</v>
      </c>
      <c r="L46" s="20" t="n">
        <v>0.15399477</v>
      </c>
      <c r="M46" s="18" t="n">
        <v>0</v>
      </c>
      <c r="N46" s="20" t="n">
        <v>0</v>
      </c>
      <c r="O46" s="18" t="n">
        <v>0</v>
      </c>
      <c r="P46" s="20" t="n">
        <v>0</v>
      </c>
      <c r="Q46" s="18" t="n">
        <v>2.42861934</v>
      </c>
      <c r="R46" s="20" t="n">
        <v>0.59913091</v>
      </c>
    </row>
    <row r="47" spans="1:18">
      <c r="A47" s="15" t="s">
        <v>607</v>
      </c>
      <c r="B47" s="17" t="n">
        <v>3105</v>
      </c>
      <c r="C47" s="18">
        <f>(2758.0/B47*100)</f>
        <v/>
      </c>
      <c r="D47" s="19" t="n">
        <v>347</v>
      </c>
      <c r="E47" s="18" t="n">
        <v>54.64213118</v>
      </c>
      <c r="F47" s="20" t="n">
        <v>2.53626731</v>
      </c>
      <c r="G47" s="18" t="n">
        <v>45.07552687</v>
      </c>
      <c r="H47" s="20" t="n">
        <v>2.54626446</v>
      </c>
      <c r="I47" s="18" t="s">
        <v>567</v>
      </c>
      <c r="J47" s="20" t="s">
        <v>567</v>
      </c>
      <c r="K47" s="18" t="n">
        <v>0</v>
      </c>
      <c r="L47" s="20" t="n">
        <v>0</v>
      </c>
      <c r="M47" s="18" t="n">
        <v>0</v>
      </c>
      <c r="N47" s="20" t="n">
        <v>0</v>
      </c>
      <c r="O47" s="18" t="n">
        <v>0</v>
      </c>
      <c r="P47" s="20" t="n">
        <v>0</v>
      </c>
      <c r="Q47" s="18" t="n">
        <v>0.28234195</v>
      </c>
      <c r="R47" s="20" t="n">
        <v>0.20042696</v>
      </c>
    </row>
    <row r="48" spans="1:18">
      <c r="A48" s="15" t="s">
        <v>608</v>
      </c>
      <c r="B48" s="17" t="n">
        <v>5159</v>
      </c>
      <c r="C48" s="18">
        <f>(4607.0/B48*100)</f>
        <v/>
      </c>
      <c r="D48" s="19" t="n">
        <v>552</v>
      </c>
      <c r="E48" s="18" t="n">
        <v>38.80431265</v>
      </c>
      <c r="F48" s="20" t="n">
        <v>2.76244556</v>
      </c>
      <c r="G48" s="18" t="n">
        <v>60.2242902</v>
      </c>
      <c r="H48" s="20" t="n">
        <v>2.71216426</v>
      </c>
      <c r="I48" s="18" t="s">
        <v>567</v>
      </c>
      <c r="J48" s="20" t="s">
        <v>567</v>
      </c>
      <c r="K48" s="18" t="n">
        <v>0.65932702</v>
      </c>
      <c r="L48" s="20" t="n">
        <v>0.46718171</v>
      </c>
      <c r="M48" s="18" t="n">
        <v>0</v>
      </c>
      <c r="N48" s="20" t="n">
        <v>0</v>
      </c>
      <c r="O48" s="18" t="n">
        <v>0</v>
      </c>
      <c r="P48" s="20" t="n">
        <v>0</v>
      </c>
      <c r="Q48" s="18" t="n">
        <v>0.31207014</v>
      </c>
      <c r="R48" s="20" t="n">
        <v>0.31518329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(5032.0/B50*100)</f>
        <v/>
      </c>
      <c r="D50" s="19" t="n">
        <v>605</v>
      </c>
      <c r="E50" s="18" t="n">
        <v>62.19208862</v>
      </c>
      <c r="F50" s="20" t="n">
        <v>2.64296757</v>
      </c>
      <c r="G50" s="18" t="n">
        <v>36.99298246</v>
      </c>
      <c r="H50" s="20" t="n">
        <v>2.61225236</v>
      </c>
      <c r="I50" s="18" t="s">
        <v>567</v>
      </c>
      <c r="J50" s="20" t="s">
        <v>567</v>
      </c>
      <c r="K50" s="18" t="n">
        <v>0.37510041</v>
      </c>
      <c r="L50" s="20" t="n">
        <v>0.20435109</v>
      </c>
      <c r="M50" s="18" t="n">
        <v>0</v>
      </c>
      <c r="N50" s="20" t="n">
        <v>0</v>
      </c>
      <c r="O50" s="18" t="n">
        <v>0</v>
      </c>
      <c r="P50" s="20" t="n">
        <v>0</v>
      </c>
      <c r="Q50" s="18" t="n">
        <v>0.43982851</v>
      </c>
      <c r="R50" s="20" t="n">
        <v>0.28736959</v>
      </c>
    </row>
    <row r="51" spans="1:18">
      <c r="A51" s="15" t="s">
        <v>611</v>
      </c>
      <c r="B51" s="17" t="n">
        <v>3372</v>
      </c>
      <c r="C51" s="18">
        <f>(3028.0/B51*100)</f>
        <v/>
      </c>
      <c r="D51" s="19" t="n">
        <v>344</v>
      </c>
      <c r="E51" s="18" t="n">
        <v>60.08994206</v>
      </c>
      <c r="F51" s="20" t="n">
        <v>2.5080316</v>
      </c>
      <c r="G51" s="18" t="n">
        <v>39.18200215</v>
      </c>
      <c r="H51" s="20" t="n">
        <v>2.52742677</v>
      </c>
      <c r="I51" s="18" t="s">
        <v>567</v>
      </c>
      <c r="J51" s="20" t="s">
        <v>567</v>
      </c>
      <c r="K51" s="18" t="n">
        <v>0.72805579</v>
      </c>
      <c r="L51" s="20" t="n">
        <v>0.6433414</v>
      </c>
      <c r="M51" s="18" t="n">
        <v>0</v>
      </c>
      <c r="N51" s="20" t="n">
        <v>0</v>
      </c>
      <c r="O51" s="18" t="n">
        <v>0</v>
      </c>
      <c r="P51" s="20" t="n">
        <v>0</v>
      </c>
      <c r="Q51" s="18" t="n">
        <v>0</v>
      </c>
      <c r="R51" s="20" t="n">
        <v>0</v>
      </c>
    </row>
    <row r="52" spans="1:18">
      <c r="A52" s="15" t="s">
        <v>612</v>
      </c>
      <c r="B52" s="17" t="n">
        <v>2796</v>
      </c>
      <c r="C52" s="18">
        <f>(2514.0/B52*100)</f>
        <v/>
      </c>
      <c r="D52" s="19" t="n">
        <v>282</v>
      </c>
      <c r="E52" s="18" t="n">
        <v>44.84062073</v>
      </c>
      <c r="F52" s="20" t="n">
        <v>2.7904613</v>
      </c>
      <c r="G52" s="18" t="n">
        <v>55.15937927</v>
      </c>
      <c r="H52" s="20" t="n">
        <v>2.7904613</v>
      </c>
      <c r="I52" s="18" t="s">
        <v>567</v>
      </c>
      <c r="J52" s="20" t="s">
        <v>567</v>
      </c>
      <c r="K52" s="18" t="n">
        <v>0</v>
      </c>
      <c r="L52" s="20" t="n">
        <v>0</v>
      </c>
      <c r="M52" s="18" t="n">
        <v>0</v>
      </c>
      <c r="N52" s="20" t="n">
        <v>0</v>
      </c>
      <c r="O52" s="18" t="n">
        <v>0</v>
      </c>
      <c r="P52" s="20" t="n">
        <v>0</v>
      </c>
      <c r="Q52" s="18" t="n">
        <v>0</v>
      </c>
      <c r="R52" s="20" t="n">
        <v>0</v>
      </c>
    </row>
    <row r="53" spans="1:18">
      <c r="A53" s="15" t="s">
        <v>613</v>
      </c>
      <c r="B53" s="17" t="n">
        <v>2811</v>
      </c>
      <c r="C53" s="18">
        <f>(2520.0/B53*100)</f>
        <v/>
      </c>
      <c r="D53" s="19" t="n">
        <v>291</v>
      </c>
      <c r="E53" s="18" t="n">
        <v>61.89502072</v>
      </c>
      <c r="F53" s="20" t="n">
        <v>3.08403153</v>
      </c>
      <c r="G53" s="18" t="n">
        <v>36.51881334</v>
      </c>
      <c r="H53" s="20" t="n">
        <v>2.99826138</v>
      </c>
      <c r="I53" s="18" t="s">
        <v>567</v>
      </c>
      <c r="J53" s="20" t="s">
        <v>567</v>
      </c>
      <c r="K53" s="18" t="n">
        <v>0.23041937</v>
      </c>
      <c r="L53" s="20" t="n">
        <v>0.23288774</v>
      </c>
      <c r="M53" s="18" t="n">
        <v>0</v>
      </c>
      <c r="N53" s="20" t="n">
        <v>0</v>
      </c>
      <c r="O53" s="18" t="n">
        <v>0</v>
      </c>
      <c r="P53" s="20" t="n">
        <v>0</v>
      </c>
      <c r="Q53" s="18" t="n">
        <v>1.35574657</v>
      </c>
      <c r="R53" s="20" t="n">
        <v>0.68025385</v>
      </c>
    </row>
    <row r="54" spans="1:18">
      <c r="A54" s="15" t="s">
        <v>614</v>
      </c>
      <c r="B54" s="17" t="n">
        <v>2266</v>
      </c>
      <c r="C54" s="18">
        <f>(2015.0/B54*100)</f>
        <v/>
      </c>
      <c r="D54" s="19" t="n">
        <v>251</v>
      </c>
      <c r="E54" s="18" t="n">
        <v>80.39484788999999</v>
      </c>
      <c r="F54" s="20" t="n">
        <v>2.85602014</v>
      </c>
      <c r="G54" s="18" t="n">
        <v>13.03761248</v>
      </c>
      <c r="H54" s="20" t="n">
        <v>2.60033167</v>
      </c>
      <c r="I54" s="18" t="s">
        <v>567</v>
      </c>
      <c r="J54" s="20" t="s">
        <v>567</v>
      </c>
      <c r="K54" s="18" t="n">
        <v>4.81204287</v>
      </c>
      <c r="L54" s="20" t="n">
        <v>1.607074</v>
      </c>
      <c r="M54" s="18" t="n">
        <v>0</v>
      </c>
      <c r="N54" s="20" t="n">
        <v>0</v>
      </c>
      <c r="O54" s="18" t="n">
        <v>0</v>
      </c>
      <c r="P54" s="20" t="n">
        <v>0</v>
      </c>
      <c r="Q54" s="18" t="n">
        <v>1.75549676</v>
      </c>
      <c r="R54" s="20" t="n">
        <v>0.87291941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(2391.0/B56*100)</f>
        <v/>
      </c>
      <c r="D56" s="19" t="n">
        <v>293</v>
      </c>
      <c r="E56" s="18" t="n">
        <v>50.29332278</v>
      </c>
      <c r="F56" s="20" t="n">
        <v>3.53103875</v>
      </c>
      <c r="G56" s="18" t="n">
        <v>49.70667722</v>
      </c>
      <c r="H56" s="20" t="n">
        <v>3.53103875</v>
      </c>
      <c r="I56" s="18" t="s">
        <v>567</v>
      </c>
      <c r="J56" s="20" t="s">
        <v>567</v>
      </c>
      <c r="K56" s="18" t="n">
        <v>0</v>
      </c>
      <c r="L56" s="20" t="n">
        <v>0</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(2994.0/B61*100)</f>
        <v/>
      </c>
      <c r="D61" s="19" t="n">
        <v>330</v>
      </c>
      <c r="E61" s="18" t="n">
        <v>44.45341987</v>
      </c>
      <c r="F61" s="20" t="n">
        <v>3.05110502</v>
      </c>
      <c r="G61" s="18" t="n">
        <v>54.51384015</v>
      </c>
      <c r="H61" s="20" t="n">
        <v>3.05406929</v>
      </c>
      <c r="I61" s="18" t="s">
        <v>567</v>
      </c>
      <c r="J61" s="20" t="s">
        <v>567</v>
      </c>
      <c r="K61" s="18" t="n">
        <v>0.42961692</v>
      </c>
      <c r="L61" s="20" t="n">
        <v>0.44849813</v>
      </c>
      <c r="M61" s="18" t="n">
        <v>0</v>
      </c>
      <c r="N61" s="20" t="n">
        <v>0</v>
      </c>
      <c r="O61" s="18" t="n">
        <v>0</v>
      </c>
      <c r="P61" s="20" t="n">
        <v>0</v>
      </c>
      <c r="Q61" s="18" t="n">
        <v>0.60312307</v>
      </c>
      <c r="R61" s="20" t="n">
        <v>0.36473331</v>
      </c>
    </row>
    <row r="62" spans="1:18">
      <c r="A62" s="15" t="s">
        <v>622</v>
      </c>
      <c r="B62" s="17" t="n">
        <v>2246</v>
      </c>
      <c r="C62" s="18">
        <f>(1993.0/B62*100)</f>
        <v/>
      </c>
      <c r="D62" s="19" t="n">
        <v>253</v>
      </c>
      <c r="E62" s="18" t="n">
        <v>50.6539674</v>
      </c>
      <c r="F62" s="20" t="n">
        <v>2.86736503</v>
      </c>
      <c r="G62" s="18" t="n">
        <v>49.3460326</v>
      </c>
      <c r="H62" s="20" t="n">
        <v>2.86736503</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(2595.0/B66*100)</f>
        <v/>
      </c>
      <c r="D66" s="19" t="n">
        <v>299</v>
      </c>
      <c r="E66" s="18" t="n">
        <v>64.89828869999999</v>
      </c>
      <c r="F66" s="20" t="n">
        <v>2.49338762</v>
      </c>
      <c r="G66" s="18" t="n">
        <v>32.66508945</v>
      </c>
      <c r="H66" s="20" t="n">
        <v>2.46850921</v>
      </c>
      <c r="I66" s="18" t="s">
        <v>567</v>
      </c>
      <c r="J66" s="20" t="s">
        <v>567</v>
      </c>
      <c r="K66" s="18" t="n">
        <v>0</v>
      </c>
      <c r="L66" s="20" t="n">
        <v>0</v>
      </c>
      <c r="M66" s="18" t="n">
        <v>0</v>
      </c>
      <c r="N66" s="20" t="n">
        <v>0</v>
      </c>
      <c r="O66" s="18" t="n">
        <v>0</v>
      </c>
      <c r="P66" s="20" t="n">
        <v>0</v>
      </c>
      <c r="Q66" s="18" t="n">
        <v>2.43662185</v>
      </c>
      <c r="R66" s="20" t="n">
        <v>0.77645514</v>
      </c>
    </row>
    <row r="67" spans="1:18">
      <c r="A67" s="15" t="s">
        <v>627</v>
      </c>
      <c r="B67" s="17" t="n">
        <v>3511</v>
      </c>
      <c r="C67" s="18">
        <f>(3148.0/B67*100)</f>
        <v/>
      </c>
      <c r="D67" s="19" t="n">
        <v>363</v>
      </c>
      <c r="E67" s="18" t="n">
        <v>66.14862583</v>
      </c>
      <c r="F67" s="20" t="n">
        <v>2.43903601</v>
      </c>
      <c r="G67" s="18" t="n">
        <v>32.97696597</v>
      </c>
      <c r="H67" s="20" t="n">
        <v>2.49061531</v>
      </c>
      <c r="I67" s="18" t="s">
        <v>567</v>
      </c>
      <c r="J67" s="20" t="s">
        <v>567</v>
      </c>
      <c r="K67" s="18" t="n">
        <v>0.28068604</v>
      </c>
      <c r="L67" s="20" t="n">
        <v>0.2788558</v>
      </c>
      <c r="M67" s="18" t="n">
        <v>0</v>
      </c>
      <c r="N67" s="20" t="n">
        <v>0</v>
      </c>
      <c r="O67" s="18" t="n">
        <v>0</v>
      </c>
      <c r="P67" s="20" t="n">
        <v>0</v>
      </c>
      <c r="Q67" s="18" t="n">
        <v>0.59372216</v>
      </c>
      <c r="R67" s="20" t="n">
        <v>0.41894569</v>
      </c>
    </row>
    <row r="68" spans="1:18">
      <c r="A68" s="15" t="s">
        <v>628</v>
      </c>
      <c r="B68" s="17" t="n">
        <v>6049</v>
      </c>
      <c r="C68" s="18">
        <f>(5390.0/B68*100)</f>
        <v/>
      </c>
      <c r="D68" s="19" t="n">
        <v>659</v>
      </c>
      <c r="E68" s="18" t="n">
        <v>64.01850302</v>
      </c>
      <c r="F68" s="20" t="n">
        <v>1.78152952</v>
      </c>
      <c r="G68" s="18" t="n">
        <v>31.23819823</v>
      </c>
      <c r="H68" s="20" t="n">
        <v>1.65113227</v>
      </c>
      <c r="I68" s="18" t="s">
        <v>567</v>
      </c>
      <c r="J68" s="20" t="s">
        <v>567</v>
      </c>
      <c r="K68" s="18" t="n">
        <v>2.00199095</v>
      </c>
      <c r="L68" s="20" t="n">
        <v>0.60743503</v>
      </c>
      <c r="M68" s="18" t="n">
        <v>0</v>
      </c>
      <c r="N68" s="20" t="n">
        <v>0</v>
      </c>
      <c r="O68" s="18" t="n">
        <v>0</v>
      </c>
      <c r="P68" s="20" t="n">
        <v>0</v>
      </c>
      <c r="Q68" s="18" t="n">
        <v>2.74130779</v>
      </c>
      <c r="R68" s="20" t="n">
        <v>0.58573747</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(2639.0/B70*100)</f>
        <v/>
      </c>
      <c r="D70" s="19" t="n">
        <v>290</v>
      </c>
      <c r="E70" s="18" t="n">
        <v>50.38266975</v>
      </c>
      <c r="F70" s="20" t="n">
        <v>3.07991376</v>
      </c>
      <c r="G70" s="18" t="n">
        <v>48.9726363</v>
      </c>
      <c r="H70" s="20" t="n">
        <v>3.07548628</v>
      </c>
      <c r="I70" s="18" t="s">
        <v>567</v>
      </c>
      <c r="J70" s="20" t="s">
        <v>567</v>
      </c>
      <c r="K70" s="18" t="n">
        <v>0</v>
      </c>
      <c r="L70" s="20" t="n">
        <v>0</v>
      </c>
      <c r="M70" s="18" t="n">
        <v>0</v>
      </c>
      <c r="N70" s="20" t="n">
        <v>0</v>
      </c>
      <c r="O70" s="18" t="n">
        <v>0</v>
      </c>
      <c r="P70" s="20" t="n">
        <v>0</v>
      </c>
      <c r="Q70" s="18" t="n">
        <v>0.64469395</v>
      </c>
      <c r="R70" s="20" t="n">
        <v>0.48963405</v>
      </c>
    </row>
    <row r="71" spans="1:18">
      <c r="A71" s="15" t="s">
        <v>631</v>
      </c>
      <c r="B71" s="17" t="n">
        <v>3142</v>
      </c>
      <c r="C71" s="18">
        <f>(2777.0/B71*100)</f>
        <v/>
      </c>
      <c r="D71" s="19" t="n">
        <v>365</v>
      </c>
      <c r="E71" s="18" t="n">
        <v>48.32786161</v>
      </c>
      <c r="F71" s="20" t="n">
        <v>3.34389104</v>
      </c>
      <c r="G71" s="18" t="n">
        <v>51.12108059</v>
      </c>
      <c r="H71" s="20" t="n">
        <v>3.31589326</v>
      </c>
      <c r="I71" s="18" t="s">
        <v>567</v>
      </c>
      <c r="J71" s="20" t="s">
        <v>567</v>
      </c>
      <c r="K71" s="18" t="n">
        <v>0</v>
      </c>
      <c r="L71" s="20" t="n">
        <v>0</v>
      </c>
      <c r="M71" s="18" t="n">
        <v>0</v>
      </c>
      <c r="N71" s="20" t="n">
        <v>0</v>
      </c>
      <c r="O71" s="18" t="n">
        <v>0</v>
      </c>
      <c r="P71" s="20" t="n">
        <v>0</v>
      </c>
      <c r="Q71" s="18" t="n">
        <v>0.55105781</v>
      </c>
      <c r="R71" s="20" t="n">
        <v>0.38569452</v>
      </c>
    </row>
    <row r="72" spans="1:18">
      <c r="A72" s="15" t="s">
        <v>632</v>
      </c>
      <c r="B72" s="17" t="n">
        <v>3889</v>
      </c>
      <c r="C72" s="18">
        <f>(3448.0/B72*100)</f>
        <v/>
      </c>
      <c r="D72" s="19" t="n">
        <v>441</v>
      </c>
      <c r="E72" s="18" t="n">
        <v>45.97707441</v>
      </c>
      <c r="F72" s="20" t="n">
        <v>2.74765088</v>
      </c>
      <c r="G72" s="18" t="n">
        <v>53.80101104</v>
      </c>
      <c r="H72" s="20" t="n">
        <v>2.72525987</v>
      </c>
      <c r="I72" s="18" t="s">
        <v>567</v>
      </c>
      <c r="J72" s="20" t="s">
        <v>567</v>
      </c>
      <c r="K72" s="18" t="n">
        <v>0</v>
      </c>
      <c r="L72" s="20" t="n">
        <v>0</v>
      </c>
      <c r="M72" s="18" t="n">
        <v>0</v>
      </c>
      <c r="N72" s="20" t="n">
        <v>0</v>
      </c>
      <c r="O72" s="18" t="n">
        <v>0</v>
      </c>
      <c r="P72" s="20" t="n">
        <v>0</v>
      </c>
      <c r="Q72" s="18" t="n">
        <v>0.22191455</v>
      </c>
      <c r="R72" s="20" t="n">
        <v>0.15830045</v>
      </c>
    </row>
    <row r="73" spans="1:18">
      <c r="A73" s="15" t="s">
        <v>633</v>
      </c>
      <c r="B73" s="17" t="n">
        <v>3597</v>
      </c>
      <c r="C73" s="18">
        <f>(3185.0/B73*100)</f>
        <v/>
      </c>
      <c r="D73" s="19" t="n">
        <v>412</v>
      </c>
      <c r="E73" s="18" t="n">
        <v>55.82328851</v>
      </c>
      <c r="F73" s="20" t="n">
        <v>2.65130144</v>
      </c>
      <c r="G73" s="18" t="n">
        <v>43.8321595</v>
      </c>
      <c r="H73" s="20" t="n">
        <v>2.66430222</v>
      </c>
      <c r="I73" s="18" t="s">
        <v>567</v>
      </c>
      <c r="J73" s="20" t="s">
        <v>567</v>
      </c>
      <c r="K73" s="18" t="n">
        <v>0</v>
      </c>
      <c r="L73" s="20" t="n">
        <v>0</v>
      </c>
      <c r="M73" s="18" t="n">
        <v>0</v>
      </c>
      <c r="N73" s="20" t="n">
        <v>0</v>
      </c>
      <c r="O73" s="18" t="n">
        <v>0</v>
      </c>
      <c r="P73" s="20" t="n">
        <v>0</v>
      </c>
      <c r="Q73" s="18" t="n">
        <v>0.34455199</v>
      </c>
      <c r="R73" s="20" t="n">
        <v>0.34153601</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(2170.0/B75*100)</f>
        <v/>
      </c>
      <c r="D75" s="19" t="n">
        <v>236</v>
      </c>
      <c r="E75" s="18" t="n">
        <v>64.93396223000001</v>
      </c>
      <c r="F75" s="20" t="n">
        <v>3.66266863</v>
      </c>
      <c r="G75" s="18" t="n">
        <v>31.83637557</v>
      </c>
      <c r="H75" s="20" t="n">
        <v>3.47680579</v>
      </c>
      <c r="I75" s="18" t="s">
        <v>567</v>
      </c>
      <c r="J75" s="20" t="s">
        <v>567</v>
      </c>
      <c r="K75" s="18" t="n">
        <v>2.41454664</v>
      </c>
      <c r="L75" s="20" t="n">
        <v>0.8381345100000001</v>
      </c>
      <c r="M75" s="18" t="n">
        <v>0</v>
      </c>
      <c r="N75" s="20" t="n">
        <v>0</v>
      </c>
      <c r="O75" s="18" t="n">
        <v>0</v>
      </c>
      <c r="P75" s="20" t="n">
        <v>0</v>
      </c>
      <c r="Q75" s="18" t="n">
        <v>0.81511556</v>
      </c>
      <c r="R75" s="20" t="n">
        <v>0.52126984</v>
      </c>
    </row>
    <row r="76" spans="1:18">
      <c r="A76" s="15" t="s">
        <v>636</v>
      </c>
      <c r="B76" s="17" t="n">
        <v>7052</v>
      </c>
      <c r="C76" s="18">
        <f>(6276.0/B76*100)</f>
        <v/>
      </c>
      <c r="D76" s="19" t="n">
        <v>776</v>
      </c>
      <c r="E76" s="18" t="n">
        <v>63.95444308</v>
      </c>
      <c r="F76" s="20" t="n">
        <v>1.97781514</v>
      </c>
      <c r="G76" s="18" t="n">
        <v>34.08116968</v>
      </c>
      <c r="H76" s="20" t="n">
        <v>1.98123224</v>
      </c>
      <c r="I76" s="18" t="s">
        <v>567</v>
      </c>
      <c r="J76" s="20" t="s">
        <v>567</v>
      </c>
      <c r="K76" s="18" t="n">
        <v>0.82788426</v>
      </c>
      <c r="L76" s="20" t="n">
        <v>0.45015765</v>
      </c>
      <c r="M76" s="18" t="n">
        <v>0</v>
      </c>
      <c r="N76" s="20" t="n">
        <v>0</v>
      </c>
      <c r="O76" s="18" t="n">
        <v>0</v>
      </c>
      <c r="P76" s="20" t="n">
        <v>0</v>
      </c>
      <c r="Q76" s="18" t="n">
        <v>1.13650297</v>
      </c>
      <c r="R76" s="20" t="n">
        <v>0.33381976</v>
      </c>
    </row>
    <row r="77" spans="1:18">
      <c r="A77" s="15" t="s">
        <v>637</v>
      </c>
      <c r="B77" s="17" t="n">
        <v>2908</v>
      </c>
      <c r="C77" s="18">
        <f>(2605.0/B77*100)</f>
        <v/>
      </c>
      <c r="D77" s="19" t="n">
        <v>303</v>
      </c>
      <c r="E77" s="18" t="n">
        <v>61.72963561</v>
      </c>
      <c r="F77" s="20" t="n">
        <v>3.35082443</v>
      </c>
      <c r="G77" s="18" t="n">
        <v>34.87401827</v>
      </c>
      <c r="H77" s="20" t="n">
        <v>3.37256485</v>
      </c>
      <c r="I77" s="18" t="s">
        <v>567</v>
      </c>
      <c r="J77" s="20" t="s">
        <v>567</v>
      </c>
      <c r="K77" s="18" t="n">
        <v>0.57822156</v>
      </c>
      <c r="L77" s="20" t="n">
        <v>0.62236295</v>
      </c>
      <c r="M77" s="18" t="n">
        <v>0</v>
      </c>
      <c r="N77" s="20" t="n">
        <v>0</v>
      </c>
      <c r="O77" s="18" t="n">
        <v>0</v>
      </c>
      <c r="P77" s="20" t="n">
        <v>0</v>
      </c>
      <c r="Q77" s="18" t="n">
        <v>2.81812455</v>
      </c>
      <c r="R77" s="20" t="n">
        <v>1.2081673</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(3711.0/B81*100)</f>
        <v/>
      </c>
      <c r="D81" s="19" t="n">
        <v>452</v>
      </c>
      <c r="E81" s="18" t="n">
        <v>45.57686289</v>
      </c>
      <c r="F81" s="20" t="n">
        <v>2.57982628</v>
      </c>
      <c r="G81" s="18" t="n">
        <v>53.73033326</v>
      </c>
      <c r="H81" s="20" t="n">
        <v>2.55541113</v>
      </c>
      <c r="I81" s="18" t="s">
        <v>567</v>
      </c>
      <c r="J81" s="20" t="s">
        <v>567</v>
      </c>
      <c r="K81" s="18" t="n">
        <v>0.38251872</v>
      </c>
      <c r="L81" s="20" t="n">
        <v>0.26364367</v>
      </c>
      <c r="M81" s="18" t="n">
        <v>0</v>
      </c>
      <c r="N81" s="20" t="n">
        <v>0</v>
      </c>
      <c r="O81" s="18" t="n">
        <v>0</v>
      </c>
      <c r="P81" s="20" t="n">
        <v>0</v>
      </c>
      <c r="Q81" s="18" t="n">
        <v>0.31028513</v>
      </c>
      <c r="R81" s="20" t="n">
        <v>0.32153534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(6557.0/B7*100)</f>
        <v/>
      </c>
      <c r="D7" s="19" t="n">
        <v>810</v>
      </c>
      <c r="E7" s="18" t="n">
        <v>66.45345352</v>
      </c>
      <c r="F7" s="20" t="n">
        <v>2.01040644</v>
      </c>
      <c r="G7" s="18" t="n">
        <v>31.73108127</v>
      </c>
      <c r="H7" s="20" t="n">
        <v>2.02903664</v>
      </c>
      <c r="I7" s="18" t="s">
        <v>567</v>
      </c>
      <c r="J7" s="20" t="s">
        <v>567</v>
      </c>
      <c r="K7" s="18" t="n">
        <v>0.37087836</v>
      </c>
      <c r="L7" s="20" t="n">
        <v>0.20754664</v>
      </c>
      <c r="M7" s="18" t="n">
        <v>0</v>
      </c>
      <c r="N7" s="20" t="n">
        <v>0</v>
      </c>
      <c r="O7" s="18" t="n">
        <v>0</v>
      </c>
      <c r="P7" s="20" t="n">
        <v>0</v>
      </c>
      <c r="Q7" s="18" t="n">
        <v>1.44458685</v>
      </c>
      <c r="R7" s="20" t="n">
        <v>0.47010921</v>
      </c>
    </row>
    <row r="8" spans="1:18">
      <c r="A8" s="15" t="s">
        <v>568</v>
      </c>
      <c r="B8" s="17" t="n">
        <v>3564</v>
      </c>
      <c r="C8" s="18">
        <f>(3179.0/B8*100)</f>
        <v/>
      </c>
      <c r="D8" s="19" t="n">
        <v>385</v>
      </c>
      <c r="E8" s="18" t="n">
        <v>48.63684959</v>
      </c>
      <c r="F8" s="20" t="n">
        <v>2.73209988</v>
      </c>
      <c r="G8" s="18" t="n">
        <v>48.62537926</v>
      </c>
      <c r="H8" s="20" t="n">
        <v>2.94257764</v>
      </c>
      <c r="I8" s="18" t="s">
        <v>567</v>
      </c>
      <c r="J8" s="20" t="s">
        <v>567</v>
      </c>
      <c r="K8" s="18" t="n">
        <v>0</v>
      </c>
      <c r="L8" s="20" t="n">
        <v>0</v>
      </c>
      <c r="M8" s="18" t="n">
        <v>0</v>
      </c>
      <c r="N8" s="20" t="n">
        <v>0</v>
      </c>
      <c r="O8" s="18" t="n">
        <v>0</v>
      </c>
      <c r="P8" s="20" t="n">
        <v>0</v>
      </c>
      <c r="Q8" s="18" t="n">
        <v>2.73777116</v>
      </c>
      <c r="R8" s="20" t="n">
        <v>0.85127708</v>
      </c>
    </row>
    <row r="9" spans="1:18">
      <c r="A9" s="15" t="s">
        <v>569</v>
      </c>
      <c r="B9" s="17" t="n">
        <v>4899</v>
      </c>
      <c r="C9" s="18">
        <f>(4345.0/B9*100)</f>
        <v/>
      </c>
      <c r="D9" s="19" t="n">
        <v>554</v>
      </c>
      <c r="E9" s="18" t="n">
        <v>57.86393159</v>
      </c>
      <c r="F9" s="20" t="n">
        <v>2.09775048</v>
      </c>
      <c r="G9" s="18" t="n">
        <v>40.94715637</v>
      </c>
      <c r="H9" s="20" t="n">
        <v>2.0574463</v>
      </c>
      <c r="I9" s="18" t="s">
        <v>567</v>
      </c>
      <c r="J9" s="20" t="s">
        <v>567</v>
      </c>
      <c r="K9" s="18" t="n">
        <v>0</v>
      </c>
      <c r="L9" s="20" t="n">
        <v>0</v>
      </c>
      <c r="M9" s="18" t="n">
        <v>0</v>
      </c>
      <c r="N9" s="20" t="n">
        <v>0</v>
      </c>
      <c r="O9" s="18" t="n">
        <v>0</v>
      </c>
      <c r="P9" s="20" t="n">
        <v>0</v>
      </c>
      <c r="Q9" s="18" t="n">
        <v>1.18891203</v>
      </c>
      <c r="R9" s="20" t="n">
        <v>0.46008254</v>
      </c>
    </row>
    <row r="10" spans="1:18">
      <c r="A10" s="15" t="s">
        <v>570</v>
      </c>
      <c r="B10" s="17" t="n">
        <v>10036</v>
      </c>
      <c r="C10" s="18">
        <f>(8909.0/B10*100)</f>
        <v/>
      </c>
      <c r="D10" s="19" t="n">
        <v>1127</v>
      </c>
      <c r="E10" s="18" t="n">
        <v>60.03690253</v>
      </c>
      <c r="F10" s="20" t="n">
        <v>2.03338603</v>
      </c>
      <c r="G10" s="18" t="n">
        <v>38.43898528</v>
      </c>
      <c r="H10" s="20" t="n">
        <v>2.05283814</v>
      </c>
      <c r="I10" s="18" t="s">
        <v>567</v>
      </c>
      <c r="J10" s="20" t="s">
        <v>567</v>
      </c>
      <c r="K10" s="18" t="n">
        <v>0.55698501</v>
      </c>
      <c r="L10" s="20" t="n">
        <v>0.34271143</v>
      </c>
      <c r="M10" s="18" t="n">
        <v>0</v>
      </c>
      <c r="N10" s="20" t="n">
        <v>0</v>
      </c>
      <c r="O10" s="18" t="n">
        <v>0</v>
      </c>
      <c r="P10" s="20" t="n">
        <v>0</v>
      </c>
      <c r="Q10" s="18" t="n">
        <v>0.96712718</v>
      </c>
      <c r="R10" s="20" t="n">
        <v>0.38449976</v>
      </c>
    </row>
    <row r="11" spans="1:18">
      <c r="A11" s="15" t="s">
        <v>571</v>
      </c>
      <c r="B11" s="17" t="n">
        <v>3553</v>
      </c>
      <c r="C11" s="18">
        <f>(3160.0/B11*100)</f>
        <v/>
      </c>
      <c r="D11" s="19" t="n">
        <v>393</v>
      </c>
      <c r="E11" s="18" t="n">
        <v>66.24049253</v>
      </c>
      <c r="F11" s="20" t="n">
        <v>2.49776756</v>
      </c>
      <c r="G11" s="18" t="n">
        <v>30.96309463</v>
      </c>
      <c r="H11" s="20" t="n">
        <v>2.32382422</v>
      </c>
      <c r="I11" s="18" t="s">
        <v>567</v>
      </c>
      <c r="J11" s="20" t="s">
        <v>567</v>
      </c>
      <c r="K11" s="18" t="n">
        <v>0.7951642</v>
      </c>
      <c r="L11" s="20" t="n">
        <v>0.73050886</v>
      </c>
      <c r="M11" s="18" t="n">
        <v>0</v>
      </c>
      <c r="N11" s="20" t="n">
        <v>0</v>
      </c>
      <c r="O11" s="18" t="n">
        <v>0</v>
      </c>
      <c r="P11" s="20" t="n">
        <v>0</v>
      </c>
      <c r="Q11" s="18" t="n">
        <v>2.00124864</v>
      </c>
      <c r="R11" s="20" t="n">
        <v>0.94558942</v>
      </c>
    </row>
    <row r="12" spans="1:18">
      <c r="A12" s="15" t="s">
        <v>572</v>
      </c>
      <c r="B12" s="17" t="n">
        <v>3472</v>
      </c>
      <c r="C12" s="18">
        <f>(3082.0/B12*100)</f>
        <v/>
      </c>
      <c r="D12" s="19" t="n">
        <v>390</v>
      </c>
      <c r="E12" s="18" t="n">
        <v>55.10993576</v>
      </c>
      <c r="F12" s="20" t="n">
        <v>2.74829838</v>
      </c>
      <c r="G12" s="18" t="n">
        <v>44.65418668</v>
      </c>
      <c r="H12" s="20" t="n">
        <v>2.74826499</v>
      </c>
      <c r="I12" s="18" t="s">
        <v>567</v>
      </c>
      <c r="J12" s="20" t="s">
        <v>567</v>
      </c>
      <c r="K12" s="18" t="n">
        <v>0</v>
      </c>
      <c r="L12" s="20" t="n">
        <v>0</v>
      </c>
      <c r="M12" s="18" t="n">
        <v>0</v>
      </c>
      <c r="N12" s="20" t="n">
        <v>0</v>
      </c>
      <c r="O12" s="18" t="n">
        <v>0</v>
      </c>
      <c r="P12" s="20" t="n">
        <v>0</v>
      </c>
      <c r="Q12" s="18" t="n">
        <v>0.23587757</v>
      </c>
      <c r="R12" s="20" t="n">
        <v>0.2403267</v>
      </c>
    </row>
    <row r="13" spans="1:18">
      <c r="A13" s="15" t="s">
        <v>573</v>
      </c>
      <c r="B13" s="17" t="n">
        <v>3559</v>
      </c>
      <c r="C13" s="18">
        <f>(3229.0/B13*100)</f>
        <v/>
      </c>
      <c r="D13" s="19" t="n">
        <v>330</v>
      </c>
      <c r="E13" s="18" t="n">
        <v>50.53814165</v>
      </c>
      <c r="F13" s="20" t="n">
        <v>3.60433177</v>
      </c>
      <c r="G13" s="18" t="n">
        <v>46.64353335</v>
      </c>
      <c r="H13" s="20" t="n">
        <v>3.44463588</v>
      </c>
      <c r="I13" s="18" t="s">
        <v>567</v>
      </c>
      <c r="J13" s="20" t="s">
        <v>567</v>
      </c>
      <c r="K13" s="18" t="n">
        <v>1.30936352</v>
      </c>
      <c r="L13" s="20" t="n">
        <v>0.84950683</v>
      </c>
      <c r="M13" s="18" t="n">
        <v>0</v>
      </c>
      <c r="N13" s="20" t="n">
        <v>0</v>
      </c>
      <c r="O13" s="18" t="n">
        <v>0</v>
      </c>
      <c r="P13" s="20" t="n">
        <v>0</v>
      </c>
      <c r="Q13" s="18" t="n">
        <v>1.50896148</v>
      </c>
      <c r="R13" s="20" t="n">
        <v>0.96377265</v>
      </c>
    </row>
    <row r="14" spans="1:18">
      <c r="A14" s="15" t="s">
        <v>574</v>
      </c>
      <c r="B14" s="17" t="n">
        <v>2799</v>
      </c>
      <c r="C14" s="18">
        <f>(2464.0/B14*100)</f>
        <v/>
      </c>
      <c r="D14" s="19" t="n">
        <v>335</v>
      </c>
      <c r="E14" s="18" t="n">
        <v>45.3027141</v>
      </c>
      <c r="F14" s="20" t="n">
        <v>2.51143344</v>
      </c>
      <c r="G14" s="18" t="n">
        <v>54.41593838</v>
      </c>
      <c r="H14" s="20" t="n">
        <v>2.49335623</v>
      </c>
      <c r="I14" s="18" t="s">
        <v>567</v>
      </c>
      <c r="J14" s="20" t="s">
        <v>567</v>
      </c>
      <c r="K14" s="18" t="n">
        <v>0.28134752</v>
      </c>
      <c r="L14" s="20" t="n">
        <v>0.28443054</v>
      </c>
      <c r="M14" s="18" t="n">
        <v>0</v>
      </c>
      <c r="N14" s="20" t="n">
        <v>0</v>
      </c>
      <c r="O14" s="18" t="n">
        <v>0</v>
      </c>
      <c r="P14" s="20" t="n">
        <v>0</v>
      </c>
      <c r="Q14" s="18" t="n">
        <v>0</v>
      </c>
      <c r="R14" s="20" t="n">
        <v>0</v>
      </c>
    </row>
    <row r="15" spans="1:18">
      <c r="A15" s="15" t="s">
        <v>575</v>
      </c>
      <c r="B15" s="17" t="n">
        <v>3019</v>
      </c>
      <c r="C15" s="18">
        <f>(2689.0/B15*100)</f>
        <v/>
      </c>
      <c r="D15" s="19" t="n">
        <v>330</v>
      </c>
      <c r="E15" s="18" t="n">
        <v>50.33466027</v>
      </c>
      <c r="F15" s="20" t="n">
        <v>2.63966291</v>
      </c>
      <c r="G15" s="18" t="n">
        <v>48.28417713</v>
      </c>
      <c r="H15" s="20" t="n">
        <v>2.65262661</v>
      </c>
      <c r="I15" s="18" t="s">
        <v>567</v>
      </c>
      <c r="J15" s="20" t="s">
        <v>567</v>
      </c>
      <c r="K15" s="18" t="n">
        <v>0</v>
      </c>
      <c r="L15" s="20" t="n">
        <v>0</v>
      </c>
      <c r="M15" s="18" t="n">
        <v>0</v>
      </c>
      <c r="N15" s="20" t="n">
        <v>0</v>
      </c>
      <c r="O15" s="18" t="n">
        <v>0</v>
      </c>
      <c r="P15" s="20" t="n">
        <v>0</v>
      </c>
      <c r="Q15" s="18" t="n">
        <v>1.38116259</v>
      </c>
      <c r="R15" s="20" t="n">
        <v>0.64092063</v>
      </c>
    </row>
    <row r="16" spans="1:18">
      <c r="A16" s="15" t="s">
        <v>576</v>
      </c>
      <c r="B16" s="17" t="n">
        <v>2997</v>
      </c>
      <c r="C16" s="18">
        <f>(2652.0/B16*100)</f>
        <v/>
      </c>
      <c r="D16" s="19" t="n">
        <v>345</v>
      </c>
      <c r="E16" s="18" t="n">
        <v>53.23144845</v>
      </c>
      <c r="F16" s="20" t="n">
        <v>2.63341913</v>
      </c>
      <c r="G16" s="18" t="n">
        <v>42.24446391</v>
      </c>
      <c r="H16" s="20" t="n">
        <v>2.78713749</v>
      </c>
      <c r="I16" s="18" t="s">
        <v>567</v>
      </c>
      <c r="J16" s="20" t="s">
        <v>567</v>
      </c>
      <c r="K16" s="18" t="n">
        <v>0.59884774</v>
      </c>
      <c r="L16" s="20" t="n">
        <v>0.43821547</v>
      </c>
      <c r="M16" s="18" t="n">
        <v>0</v>
      </c>
      <c r="N16" s="20" t="n">
        <v>0</v>
      </c>
      <c r="O16" s="18" t="n">
        <v>0</v>
      </c>
      <c r="P16" s="20" t="n">
        <v>0</v>
      </c>
      <c r="Q16" s="18" t="n">
        <v>3.92523991</v>
      </c>
      <c r="R16" s="20" t="n">
        <v>1.12032187</v>
      </c>
    </row>
    <row r="17" spans="1:18">
      <c r="A17" s="15" t="s">
        <v>577</v>
      </c>
      <c r="B17" s="17" t="n">
        <v>3307</v>
      </c>
      <c r="C17" s="18">
        <f>(2966.0/B17*100)</f>
        <v/>
      </c>
      <c r="D17" s="19" t="n">
        <v>341</v>
      </c>
      <c r="E17" s="18" t="n">
        <v>45.61825356</v>
      </c>
      <c r="F17" s="20" t="n">
        <v>2.95576751</v>
      </c>
      <c r="G17" s="18" t="n">
        <v>53.42222664</v>
      </c>
      <c r="H17" s="20" t="n">
        <v>3.01863372</v>
      </c>
      <c r="I17" s="18" t="s">
        <v>567</v>
      </c>
      <c r="J17" s="20" t="s">
        <v>567</v>
      </c>
      <c r="K17" s="18" t="n">
        <v>0.45642934</v>
      </c>
      <c r="L17" s="20" t="n">
        <v>0.37313968</v>
      </c>
      <c r="M17" s="18" t="n">
        <v>0</v>
      </c>
      <c r="N17" s="20" t="n">
        <v>0</v>
      </c>
      <c r="O17" s="18" t="n">
        <v>0</v>
      </c>
      <c r="P17" s="20" t="n">
        <v>0</v>
      </c>
      <c r="Q17" s="18" t="n">
        <v>0.50309046</v>
      </c>
      <c r="R17" s="20" t="n">
        <v>0.30376812</v>
      </c>
    </row>
    <row r="18" spans="1:18">
      <c r="A18" s="15" t="s">
        <v>578</v>
      </c>
      <c r="B18" s="17" t="n">
        <v>2826</v>
      </c>
      <c r="C18" s="18">
        <f>(2498.0/B18*100)</f>
        <v/>
      </c>
      <c r="D18" s="19" t="n">
        <v>328</v>
      </c>
      <c r="E18" s="18" t="n">
        <v>61.62444676</v>
      </c>
      <c r="F18" s="20" t="n">
        <v>3.04535364</v>
      </c>
      <c r="G18" s="18" t="n">
        <v>37.0373133</v>
      </c>
      <c r="H18" s="20" t="n">
        <v>3.05002479</v>
      </c>
      <c r="I18" s="18" t="s">
        <v>567</v>
      </c>
      <c r="J18" s="20" t="s">
        <v>567</v>
      </c>
      <c r="K18" s="18" t="n">
        <v>0.16728515</v>
      </c>
      <c r="L18" s="20" t="n">
        <v>0.17197021</v>
      </c>
      <c r="M18" s="18" t="n">
        <v>0</v>
      </c>
      <c r="N18" s="20" t="n">
        <v>0</v>
      </c>
      <c r="O18" s="18" t="n">
        <v>0</v>
      </c>
      <c r="P18" s="20" t="n">
        <v>0</v>
      </c>
      <c r="Q18" s="18" t="n">
        <v>1.1709548</v>
      </c>
      <c r="R18" s="20" t="n">
        <v>0.5816522200000001</v>
      </c>
    </row>
    <row r="19" spans="1:18">
      <c r="A19" s="15" t="s">
        <v>579</v>
      </c>
      <c r="B19" s="17" t="n">
        <v>2808</v>
      </c>
      <c r="C19" s="18">
        <f>(2497.0/B19*100)</f>
        <v/>
      </c>
      <c r="D19" s="19" t="n">
        <v>311</v>
      </c>
      <c r="E19" s="18" t="n">
        <v>70.17843236</v>
      </c>
      <c r="F19" s="20" t="n">
        <v>2.58404867</v>
      </c>
      <c r="G19" s="18" t="n">
        <v>29.82156764</v>
      </c>
      <c r="H19" s="20" t="n">
        <v>2.58404867</v>
      </c>
      <c r="I19" s="18" t="s">
        <v>567</v>
      </c>
      <c r="J19" s="20" t="s">
        <v>567</v>
      </c>
      <c r="K19" s="18" t="n">
        <v>0</v>
      </c>
      <c r="L19" s="20" t="n">
        <v>0</v>
      </c>
      <c r="M19" s="18" t="n">
        <v>0</v>
      </c>
      <c r="N19" s="20" t="n">
        <v>0</v>
      </c>
      <c r="O19" s="18" t="n">
        <v>0</v>
      </c>
      <c r="P19" s="20" t="n">
        <v>0</v>
      </c>
      <c r="Q19" s="18" t="n">
        <v>0</v>
      </c>
      <c r="R19" s="20" t="n">
        <v>0</v>
      </c>
    </row>
    <row r="20" spans="1:18">
      <c r="A20" s="15" t="s">
        <v>580</v>
      </c>
      <c r="B20" s="17" t="n">
        <v>1630</v>
      </c>
      <c r="C20" s="18">
        <f>(1461.0/B20*100)</f>
        <v/>
      </c>
      <c r="D20" s="19" t="n">
        <v>169</v>
      </c>
      <c r="E20" s="18" t="n">
        <v>53.21022649</v>
      </c>
      <c r="F20" s="20" t="n">
        <v>3.86784637</v>
      </c>
      <c r="G20" s="18" t="n">
        <v>44.37787066</v>
      </c>
      <c r="H20" s="20" t="n">
        <v>3.97227274</v>
      </c>
      <c r="I20" s="18" t="s">
        <v>567</v>
      </c>
      <c r="J20" s="20" t="s">
        <v>567</v>
      </c>
      <c r="K20" s="18" t="n">
        <v>0</v>
      </c>
      <c r="L20" s="20" t="n">
        <v>0</v>
      </c>
      <c r="M20" s="18" t="n">
        <v>0</v>
      </c>
      <c r="N20" s="20" t="n">
        <v>0</v>
      </c>
      <c r="O20" s="18" t="n">
        <v>0</v>
      </c>
      <c r="P20" s="20" t="n">
        <v>0</v>
      </c>
      <c r="Q20" s="18" t="n">
        <v>2.41190285</v>
      </c>
      <c r="R20" s="20" t="n">
        <v>1.19751528</v>
      </c>
    </row>
    <row r="21" spans="1:18">
      <c r="A21" s="15" t="s">
        <v>581</v>
      </c>
      <c r="B21" s="17" t="n">
        <v>2908</v>
      </c>
      <c r="C21" s="18">
        <f>(2576.0/B21*100)</f>
        <v/>
      </c>
      <c r="D21" s="19" t="n">
        <v>332</v>
      </c>
      <c r="E21" s="18" t="n">
        <v>66.84016866</v>
      </c>
      <c r="F21" s="20" t="n">
        <v>3.57677671</v>
      </c>
      <c r="G21" s="18" t="n">
        <v>32.24164062</v>
      </c>
      <c r="H21" s="20" t="n">
        <v>3.46145134</v>
      </c>
      <c r="I21" s="18" t="s">
        <v>567</v>
      </c>
      <c r="J21" s="20" t="s">
        <v>567</v>
      </c>
      <c r="K21" s="18" t="n">
        <v>0</v>
      </c>
      <c r="L21" s="20" t="n">
        <v>0</v>
      </c>
      <c r="M21" s="18" t="n">
        <v>0</v>
      </c>
      <c r="N21" s="20" t="n">
        <v>0</v>
      </c>
      <c r="O21" s="18" t="n">
        <v>0</v>
      </c>
      <c r="P21" s="20" t="n">
        <v>0</v>
      </c>
      <c r="Q21" s="18" t="n">
        <v>0.91819072</v>
      </c>
      <c r="R21" s="20" t="n">
        <v>0.52511607</v>
      </c>
    </row>
    <row r="22" spans="1:18">
      <c r="A22" s="15" t="s">
        <v>582</v>
      </c>
      <c r="B22" s="17" t="n">
        <v>2931</v>
      </c>
      <c r="C22" s="18">
        <f>(2600.0/B22*100)</f>
        <v/>
      </c>
      <c r="D22" s="19" t="n">
        <v>331</v>
      </c>
      <c r="E22" s="18" t="n">
        <v>69.9809265</v>
      </c>
      <c r="F22" s="20" t="n">
        <v>2.42442955</v>
      </c>
      <c r="G22" s="18" t="n">
        <v>27.79234631</v>
      </c>
      <c r="H22" s="20" t="n">
        <v>2.37221172</v>
      </c>
      <c r="I22" s="18" t="s">
        <v>567</v>
      </c>
      <c r="J22" s="20" t="s">
        <v>567</v>
      </c>
      <c r="K22" s="18" t="n">
        <v>1.35204158</v>
      </c>
      <c r="L22" s="20" t="n">
        <v>0.85047531</v>
      </c>
      <c r="M22" s="18" t="n">
        <v>0</v>
      </c>
      <c r="N22" s="20" t="n">
        <v>0</v>
      </c>
      <c r="O22" s="18" t="n">
        <v>0</v>
      </c>
      <c r="P22" s="20" t="n">
        <v>0</v>
      </c>
      <c r="Q22" s="18" t="n">
        <v>0.87468561</v>
      </c>
      <c r="R22" s="20" t="n">
        <v>0.57160453</v>
      </c>
    </row>
    <row r="23" spans="1:18">
      <c r="A23" s="15" t="s">
        <v>583</v>
      </c>
      <c r="B23" s="17" t="n">
        <v>5791</v>
      </c>
      <c r="C23" s="18">
        <f>(5150.0/B23*100)</f>
        <v/>
      </c>
      <c r="D23" s="19" t="n">
        <v>641</v>
      </c>
      <c r="E23" s="18" t="n">
        <v>53.49207049</v>
      </c>
      <c r="F23" s="20" t="n">
        <v>2.74442325</v>
      </c>
      <c r="G23" s="18" t="n">
        <v>44.85261959</v>
      </c>
      <c r="H23" s="20" t="n">
        <v>2.78813267</v>
      </c>
      <c r="I23" s="18" t="s">
        <v>567</v>
      </c>
      <c r="J23" s="20" t="s">
        <v>567</v>
      </c>
      <c r="K23" s="18" t="n">
        <v>0</v>
      </c>
      <c r="L23" s="20" t="n">
        <v>0</v>
      </c>
      <c r="M23" s="18" t="n">
        <v>0</v>
      </c>
      <c r="N23" s="20" t="n">
        <v>0</v>
      </c>
      <c r="O23" s="18" t="n">
        <v>0</v>
      </c>
      <c r="P23" s="20" t="n">
        <v>0</v>
      </c>
      <c r="Q23" s="18" t="n">
        <v>1.65530992</v>
      </c>
      <c r="R23" s="20" t="n">
        <v>0.93954342</v>
      </c>
    </row>
    <row r="24" spans="1:18">
      <c r="A24" s="15" t="s">
        <v>584</v>
      </c>
      <c r="B24" s="17" t="n">
        <v>3338</v>
      </c>
      <c r="C24" s="18">
        <f>(2973.0/B24*100)</f>
        <v/>
      </c>
      <c r="D24" s="19" t="n">
        <v>365</v>
      </c>
      <c r="E24" s="18" t="n">
        <v>59.20288834</v>
      </c>
      <c r="F24" s="20" t="n">
        <v>2.82921237</v>
      </c>
      <c r="G24" s="18" t="n">
        <v>39.88080537</v>
      </c>
      <c r="H24" s="20" t="n">
        <v>2.79743863</v>
      </c>
      <c r="I24" s="18" t="s">
        <v>567</v>
      </c>
      <c r="J24" s="20" t="s">
        <v>567</v>
      </c>
      <c r="K24" s="18" t="n">
        <v>0</v>
      </c>
      <c r="L24" s="20" t="n">
        <v>0</v>
      </c>
      <c r="M24" s="18" t="n">
        <v>0</v>
      </c>
      <c r="N24" s="20" t="n">
        <v>0</v>
      </c>
      <c r="O24" s="18" t="n">
        <v>0</v>
      </c>
      <c r="P24" s="20" t="n">
        <v>0</v>
      </c>
      <c r="Q24" s="18" t="n">
        <v>0.91630629</v>
      </c>
      <c r="R24" s="20" t="n">
        <v>0.53756024</v>
      </c>
    </row>
    <row r="25" spans="1:18">
      <c r="A25" s="15" t="s">
        <v>585</v>
      </c>
      <c r="B25" s="17" t="n">
        <v>2912</v>
      </c>
      <c r="C25" s="18">
        <f>(2606.0/B25*100)</f>
        <v/>
      </c>
      <c r="D25" s="19" t="n">
        <v>306</v>
      </c>
      <c r="E25" s="18" t="n">
        <v>41.42357598</v>
      </c>
      <c r="F25" s="20" t="n">
        <v>3.22915457</v>
      </c>
      <c r="G25" s="18" t="n">
        <v>57.72842405</v>
      </c>
      <c r="H25" s="20" t="n">
        <v>3.34377792</v>
      </c>
      <c r="I25" s="18" t="s">
        <v>567</v>
      </c>
      <c r="J25" s="20" t="s">
        <v>567</v>
      </c>
      <c r="K25" s="18" t="n">
        <v>0</v>
      </c>
      <c r="L25" s="20" t="n">
        <v>0</v>
      </c>
      <c r="M25" s="18" t="n">
        <v>0</v>
      </c>
      <c r="N25" s="20" t="n">
        <v>0</v>
      </c>
      <c r="O25" s="18" t="n">
        <v>0</v>
      </c>
      <c r="P25" s="20" t="n">
        <v>0</v>
      </c>
      <c r="Q25" s="18" t="n">
        <v>0.84799997</v>
      </c>
      <c r="R25" s="20" t="n">
        <v>0.51313177</v>
      </c>
    </row>
    <row r="26" spans="1:18">
      <c r="A26" s="15" t="s">
        <v>586</v>
      </c>
      <c r="B26" s="17" t="n">
        <v>2450</v>
      </c>
      <c r="C26" s="18">
        <f>(2177.0/B26*100)</f>
        <v/>
      </c>
      <c r="D26" s="19" t="n">
        <v>273</v>
      </c>
      <c r="E26" s="18" t="n">
        <v>51.35380559</v>
      </c>
      <c r="F26" s="20" t="n">
        <v>2.90445999</v>
      </c>
      <c r="G26" s="18" t="n">
        <v>48.64619441</v>
      </c>
      <c r="H26" s="20" t="n">
        <v>2.90445999</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(2317.0/B27*100)</f>
        <v/>
      </c>
      <c r="D27" s="19" t="n">
        <v>299</v>
      </c>
      <c r="E27" s="18" t="n">
        <v>58.69330518</v>
      </c>
      <c r="F27" s="20" t="n">
        <v>3.00205113</v>
      </c>
      <c r="G27" s="18" t="n">
        <v>39.62572712</v>
      </c>
      <c r="H27" s="20" t="n">
        <v>2.98729452</v>
      </c>
      <c r="I27" s="18" t="s">
        <v>567</v>
      </c>
      <c r="J27" s="20" t="s">
        <v>567</v>
      </c>
      <c r="K27" s="18" t="n">
        <v>0.35255678</v>
      </c>
      <c r="L27" s="20" t="n">
        <v>0.35624811</v>
      </c>
      <c r="M27" s="18" t="n">
        <v>0</v>
      </c>
      <c r="N27" s="20" t="n">
        <v>0</v>
      </c>
      <c r="O27" s="18" t="n">
        <v>0</v>
      </c>
      <c r="P27" s="20" t="n">
        <v>0</v>
      </c>
      <c r="Q27" s="18" t="n">
        <v>1.32841093</v>
      </c>
      <c r="R27" s="20" t="n">
        <v>0.66034317</v>
      </c>
    </row>
    <row r="28" spans="1:18">
      <c r="A28" s="15" t="s">
        <v>588</v>
      </c>
      <c r="B28" s="17" t="n">
        <v>3765</v>
      </c>
      <c r="C28" s="18">
        <f>(3378.0/B28*100)</f>
        <v/>
      </c>
      <c r="D28" s="19" t="n">
        <v>387</v>
      </c>
      <c r="E28" s="18" t="n">
        <v>72.27533948999999</v>
      </c>
      <c r="F28" s="20" t="n">
        <v>2.36127594</v>
      </c>
      <c r="G28" s="18" t="n">
        <v>26.80414978</v>
      </c>
      <c r="H28" s="20" t="n">
        <v>2.33808041</v>
      </c>
      <c r="I28" s="18" t="s">
        <v>567</v>
      </c>
      <c r="J28" s="20" t="s">
        <v>567</v>
      </c>
      <c r="K28" s="18" t="n">
        <v>0</v>
      </c>
      <c r="L28" s="20" t="n">
        <v>0</v>
      </c>
      <c r="M28" s="18" t="n">
        <v>0</v>
      </c>
      <c r="N28" s="20" t="n">
        <v>0</v>
      </c>
      <c r="O28" s="18" t="n">
        <v>0</v>
      </c>
      <c r="P28" s="20" t="n">
        <v>0</v>
      </c>
      <c r="Q28" s="18" t="n">
        <v>0.9205107300000001</v>
      </c>
      <c r="R28" s="20" t="n">
        <v>0.55134357</v>
      </c>
    </row>
    <row r="29" spans="1:18">
      <c r="A29" s="15" t="s">
        <v>589</v>
      </c>
      <c r="B29" s="17" t="n">
        <v>2685</v>
      </c>
      <c r="C29" s="18">
        <f>(2404.0/B29*100)</f>
        <v/>
      </c>
      <c r="D29" s="19" t="n">
        <v>281</v>
      </c>
      <c r="E29" s="18" t="n">
        <v>61.64770662</v>
      </c>
      <c r="F29" s="20" t="n">
        <v>3.02897774</v>
      </c>
      <c r="G29" s="18" t="n">
        <v>36.96554083</v>
      </c>
      <c r="H29" s="20" t="n">
        <v>2.86629775</v>
      </c>
      <c r="I29" s="18" t="s">
        <v>567</v>
      </c>
      <c r="J29" s="20" t="s">
        <v>567</v>
      </c>
      <c r="K29" s="18" t="n">
        <v>0.36807508</v>
      </c>
      <c r="L29" s="20" t="n">
        <v>0.36480756</v>
      </c>
      <c r="M29" s="18" t="n">
        <v>0</v>
      </c>
      <c r="N29" s="20" t="n">
        <v>0</v>
      </c>
      <c r="O29" s="18" t="n">
        <v>0</v>
      </c>
      <c r="P29" s="20" t="n">
        <v>0</v>
      </c>
      <c r="Q29" s="18" t="n">
        <v>1.01867747</v>
      </c>
      <c r="R29" s="20" t="n">
        <v>0.62468601</v>
      </c>
    </row>
    <row r="30" spans="1:18">
      <c r="A30" s="15" t="s">
        <v>590</v>
      </c>
      <c r="B30" s="17" t="n">
        <v>2263</v>
      </c>
      <c r="C30" s="18">
        <f>(1998.0/B30*100)</f>
        <v/>
      </c>
      <c r="D30" s="19" t="n">
        <v>265</v>
      </c>
      <c r="E30" s="18" t="n">
        <v>63.82506344</v>
      </c>
      <c r="F30" s="20" t="n">
        <v>2.80124025</v>
      </c>
      <c r="G30" s="18" t="n">
        <v>35.43030504</v>
      </c>
      <c r="H30" s="20" t="n">
        <v>2.75906984</v>
      </c>
      <c r="I30" s="18" t="s">
        <v>567</v>
      </c>
      <c r="J30" s="20" t="s">
        <v>567</v>
      </c>
      <c r="K30" s="18" t="n">
        <v>0</v>
      </c>
      <c r="L30" s="20" t="n">
        <v>0</v>
      </c>
      <c r="M30" s="18" t="n">
        <v>0</v>
      </c>
      <c r="N30" s="20" t="n">
        <v>0</v>
      </c>
      <c r="O30" s="18" t="n">
        <v>0</v>
      </c>
      <c r="P30" s="20" t="n">
        <v>0</v>
      </c>
      <c r="Q30" s="18" t="n">
        <v>0.74463152</v>
      </c>
      <c r="R30" s="20" t="n">
        <v>0.55573733</v>
      </c>
    </row>
    <row r="31" spans="1:18">
      <c r="A31" s="15" t="s">
        <v>591</v>
      </c>
      <c r="B31" s="17" t="n">
        <v>2750</v>
      </c>
      <c r="C31" s="18">
        <f>(2451.0/B31*100)</f>
        <v/>
      </c>
      <c r="D31" s="19" t="n">
        <v>299</v>
      </c>
      <c r="E31" s="18" t="n">
        <v>49.33591721</v>
      </c>
      <c r="F31" s="20" t="n">
        <v>3.03048527</v>
      </c>
      <c r="G31" s="18" t="n">
        <v>48.38363274</v>
      </c>
      <c r="H31" s="20" t="n">
        <v>2.98291994</v>
      </c>
      <c r="I31" s="18" t="s">
        <v>567</v>
      </c>
      <c r="J31" s="20" t="s">
        <v>567</v>
      </c>
      <c r="K31" s="18" t="n">
        <v>0.28162006</v>
      </c>
      <c r="L31" s="20" t="n">
        <v>0.28355703</v>
      </c>
      <c r="M31" s="18" t="n">
        <v>0</v>
      </c>
      <c r="N31" s="20" t="n">
        <v>0</v>
      </c>
      <c r="O31" s="18" t="n">
        <v>0</v>
      </c>
      <c r="P31" s="20" t="n">
        <v>0</v>
      </c>
      <c r="Q31" s="18" t="n">
        <v>1.99883</v>
      </c>
      <c r="R31" s="20" t="n">
        <v>0.82394189</v>
      </c>
    </row>
    <row r="32" spans="1:18">
      <c r="A32" s="15" t="s">
        <v>592</v>
      </c>
      <c r="B32" s="17" t="n">
        <v>2269</v>
      </c>
      <c r="C32" s="18">
        <f>(2023.0/B32*100)</f>
        <v/>
      </c>
      <c r="D32" s="19" t="n">
        <v>246</v>
      </c>
      <c r="E32" s="18" t="n">
        <v>57.82633853</v>
      </c>
      <c r="F32" s="20" t="n">
        <v>3.74892509</v>
      </c>
      <c r="G32" s="18" t="n">
        <v>40.81470057</v>
      </c>
      <c r="H32" s="20" t="n">
        <v>3.76550257</v>
      </c>
      <c r="I32" s="18" t="s">
        <v>567</v>
      </c>
      <c r="J32" s="20" t="s">
        <v>567</v>
      </c>
      <c r="K32" s="18" t="n">
        <v>0.36123409</v>
      </c>
      <c r="L32" s="20" t="n">
        <v>0.35288361</v>
      </c>
      <c r="M32" s="18" t="n">
        <v>0</v>
      </c>
      <c r="N32" s="20" t="n">
        <v>0</v>
      </c>
      <c r="O32" s="18" t="n">
        <v>0</v>
      </c>
      <c r="P32" s="20" t="n">
        <v>0</v>
      </c>
      <c r="Q32" s="18" t="n">
        <v>0.9977268</v>
      </c>
      <c r="R32" s="20" t="n">
        <v>0.7413478999999999</v>
      </c>
    </row>
    <row r="33" spans="1:18">
      <c r="A33" s="15" t="s">
        <v>593</v>
      </c>
      <c r="B33" s="17" t="n">
        <v>3674</v>
      </c>
      <c r="C33" s="18">
        <f>(3277.0/B33*100)</f>
        <v/>
      </c>
      <c r="D33" s="19" t="n">
        <v>397</v>
      </c>
      <c r="E33" s="18" t="n">
        <v>55.80841766</v>
      </c>
      <c r="F33" s="20" t="n">
        <v>2.84587372</v>
      </c>
      <c r="G33" s="18" t="n">
        <v>43.11143707</v>
      </c>
      <c r="H33" s="20" t="n">
        <v>3.28559622</v>
      </c>
      <c r="I33" s="18" t="s">
        <v>567</v>
      </c>
      <c r="J33" s="20" t="s">
        <v>567</v>
      </c>
      <c r="K33" s="18" t="n">
        <v>0</v>
      </c>
      <c r="L33" s="20" t="n">
        <v>0</v>
      </c>
      <c r="M33" s="18" t="n">
        <v>0</v>
      </c>
      <c r="N33" s="20" t="n">
        <v>0</v>
      </c>
      <c r="O33" s="18" t="n">
        <v>0</v>
      </c>
      <c r="P33" s="20" t="n">
        <v>0</v>
      </c>
      <c r="Q33" s="18" t="n">
        <v>1.08014527</v>
      </c>
      <c r="R33" s="20" t="n">
        <v>0.8711665200000001</v>
      </c>
    </row>
    <row r="34" spans="1:18">
      <c r="A34" s="15" t="s">
        <v>594</v>
      </c>
      <c r="B34" s="17" t="n">
        <v>3315</v>
      </c>
      <c r="C34" s="18">
        <f>(2971.0/B34*100)</f>
        <v/>
      </c>
      <c r="D34" s="19" t="n">
        <v>344</v>
      </c>
      <c r="E34" s="18" t="n">
        <v>65.62804712000001</v>
      </c>
      <c r="F34" s="20" t="n">
        <v>2.93129156</v>
      </c>
      <c r="G34" s="18" t="n">
        <v>33.82822589</v>
      </c>
      <c r="H34" s="20" t="n">
        <v>2.93372967</v>
      </c>
      <c r="I34" s="18" t="s">
        <v>567</v>
      </c>
      <c r="J34" s="20" t="s">
        <v>567</v>
      </c>
      <c r="K34" s="18" t="n">
        <v>0</v>
      </c>
      <c r="L34" s="20" t="n">
        <v>0</v>
      </c>
      <c r="M34" s="18" t="n">
        <v>0</v>
      </c>
      <c r="N34" s="20" t="n">
        <v>0</v>
      </c>
      <c r="O34" s="18" t="n">
        <v>0</v>
      </c>
      <c r="P34" s="20" t="n">
        <v>0</v>
      </c>
      <c r="Q34" s="18" t="n">
        <v>0.54372699</v>
      </c>
      <c r="R34" s="20" t="n">
        <v>0.38349407</v>
      </c>
    </row>
    <row r="35" spans="1:18">
      <c r="A35" s="15" t="s">
        <v>595</v>
      </c>
      <c r="B35" s="17" t="n">
        <v>3505</v>
      </c>
      <c r="C35" s="18">
        <f>(3120.0/B35*100)</f>
        <v/>
      </c>
      <c r="D35" s="19" t="n">
        <v>385</v>
      </c>
      <c r="E35" s="18" t="n">
        <v>58.488848</v>
      </c>
      <c r="F35" s="20" t="n">
        <v>2.7117011</v>
      </c>
      <c r="G35" s="18" t="n">
        <v>40.15981775</v>
      </c>
      <c r="H35" s="20" t="n">
        <v>2.76622294</v>
      </c>
      <c r="I35" s="18" t="s">
        <v>567</v>
      </c>
      <c r="J35" s="20" t="s">
        <v>567</v>
      </c>
      <c r="K35" s="18" t="n">
        <v>0</v>
      </c>
      <c r="L35" s="20" t="n">
        <v>0</v>
      </c>
      <c r="M35" s="18" t="n">
        <v>0</v>
      </c>
      <c r="N35" s="20" t="n">
        <v>0</v>
      </c>
      <c r="O35" s="18" t="n">
        <v>0</v>
      </c>
      <c r="P35" s="20" t="n">
        <v>0</v>
      </c>
      <c r="Q35" s="18" t="n">
        <v>1.35133425</v>
      </c>
      <c r="R35" s="20" t="n">
        <v>0.59507816</v>
      </c>
    </row>
    <row r="36" spans="1:18">
      <c r="A36" s="15" t="s">
        <v>596</v>
      </c>
      <c r="B36" s="17" t="n">
        <v>3332</v>
      </c>
      <c r="C36" s="18">
        <f>(2951.0/B36*100)</f>
        <v/>
      </c>
      <c r="D36" s="19" t="n">
        <v>381</v>
      </c>
      <c r="E36" s="18" t="n">
        <v>63.50666434</v>
      </c>
      <c r="F36" s="20" t="n">
        <v>2.71656618</v>
      </c>
      <c r="G36" s="18" t="n">
        <v>34.8289549</v>
      </c>
      <c r="H36" s="20" t="n">
        <v>2.69796068</v>
      </c>
      <c r="I36" s="18" t="s">
        <v>567</v>
      </c>
      <c r="J36" s="20" t="s">
        <v>567</v>
      </c>
      <c r="K36" s="18" t="n">
        <v>0.1484123</v>
      </c>
      <c r="L36" s="20" t="n">
        <v>0.13858802</v>
      </c>
      <c r="M36" s="18" t="n">
        <v>0</v>
      </c>
      <c r="N36" s="20" t="n">
        <v>0</v>
      </c>
      <c r="O36" s="18" t="n">
        <v>0</v>
      </c>
      <c r="P36" s="20" t="n">
        <v>0</v>
      </c>
      <c r="Q36" s="18" t="n">
        <v>1.51596845</v>
      </c>
      <c r="R36" s="20" t="n">
        <v>0.49240467</v>
      </c>
    </row>
    <row r="37" spans="1:18">
      <c r="A37" s="15" t="s">
        <v>597</v>
      </c>
      <c r="B37" s="17" t="n">
        <v>2727</v>
      </c>
      <c r="C37" s="18">
        <f>(2422.0/B37*100)</f>
        <v/>
      </c>
      <c r="D37" s="19" t="n">
        <v>305</v>
      </c>
      <c r="E37" s="18" t="n">
        <v>58.28414834</v>
      </c>
      <c r="F37" s="20" t="n">
        <v>3.16384462</v>
      </c>
      <c r="G37" s="18" t="n">
        <v>39.32734576</v>
      </c>
      <c r="H37" s="20" t="n">
        <v>3.28526749</v>
      </c>
      <c r="I37" s="18" t="s">
        <v>567</v>
      </c>
      <c r="J37" s="20" t="s">
        <v>567</v>
      </c>
      <c r="K37" s="18" t="n">
        <v>0</v>
      </c>
      <c r="L37" s="20" t="n">
        <v>0</v>
      </c>
      <c r="M37" s="18" t="n">
        <v>0</v>
      </c>
      <c r="N37" s="20" t="n">
        <v>0</v>
      </c>
      <c r="O37" s="18" t="n">
        <v>0</v>
      </c>
      <c r="P37" s="20" t="n">
        <v>0</v>
      </c>
      <c r="Q37" s="18" t="n">
        <v>2.3885059</v>
      </c>
      <c r="R37" s="20" t="n">
        <v>0.94710406</v>
      </c>
    </row>
    <row r="38" spans="1:18">
      <c r="A38" s="15" t="s">
        <v>598</v>
      </c>
      <c r="B38" s="17" t="n">
        <v>3053</v>
      </c>
      <c r="C38" s="18">
        <f>(2724.0/B38*100)</f>
        <v/>
      </c>
      <c r="D38" s="19" t="n">
        <v>329</v>
      </c>
      <c r="E38" s="18" t="n">
        <v>50.52563719</v>
      </c>
      <c r="F38" s="20" t="n">
        <v>3.18636539</v>
      </c>
      <c r="G38" s="18" t="n">
        <v>47.54579263</v>
      </c>
      <c r="H38" s="20" t="n">
        <v>3.16902672</v>
      </c>
      <c r="I38" s="18" t="s">
        <v>567</v>
      </c>
      <c r="J38" s="20" t="s">
        <v>567</v>
      </c>
      <c r="K38" s="18" t="n">
        <v>0.5188146</v>
      </c>
      <c r="L38" s="20" t="n">
        <v>0.45325673</v>
      </c>
      <c r="M38" s="18" t="n">
        <v>0</v>
      </c>
      <c r="N38" s="20" t="n">
        <v>0</v>
      </c>
      <c r="O38" s="18" t="n">
        <v>0</v>
      </c>
      <c r="P38" s="20" t="n">
        <v>0</v>
      </c>
      <c r="Q38" s="18" t="n">
        <v>1.40975558</v>
      </c>
      <c r="R38" s="20" t="n">
        <v>0.62737615</v>
      </c>
    </row>
    <row r="39" spans="1:18">
      <c r="A39" s="15" t="s">
        <v>599</v>
      </c>
      <c r="B39" s="17" t="n">
        <v>2957</v>
      </c>
      <c r="C39" s="18">
        <f>(2624.0/B39*100)</f>
        <v/>
      </c>
      <c r="D39" s="19" t="n">
        <v>333</v>
      </c>
      <c r="E39" s="18" t="n">
        <v>82.14644439</v>
      </c>
      <c r="F39" s="20" t="n">
        <v>2.1639901</v>
      </c>
      <c r="G39" s="18" t="n">
        <v>16.62785411</v>
      </c>
      <c r="H39" s="20" t="n">
        <v>2.11289208</v>
      </c>
      <c r="I39" s="18" t="s">
        <v>567</v>
      </c>
      <c r="J39" s="20" t="s">
        <v>567</v>
      </c>
      <c r="K39" s="18" t="n">
        <v>0.21263693</v>
      </c>
      <c r="L39" s="20" t="n">
        <v>0.22051977</v>
      </c>
      <c r="M39" s="18" t="n">
        <v>0</v>
      </c>
      <c r="N39" s="20" t="n">
        <v>0</v>
      </c>
      <c r="O39" s="18" t="n">
        <v>0</v>
      </c>
      <c r="P39" s="20" t="n">
        <v>0</v>
      </c>
      <c r="Q39" s="18" t="n">
        <v>1.01306457</v>
      </c>
      <c r="R39" s="20" t="n">
        <v>0.81656869</v>
      </c>
    </row>
    <row r="40" spans="1:18">
      <c r="A40" s="15" t="s">
        <v>600</v>
      </c>
      <c r="B40" s="17" t="n">
        <v>7235</v>
      </c>
      <c r="C40" s="18">
        <f>(6387.0/B40*100)</f>
        <v/>
      </c>
      <c r="D40" s="19" t="n">
        <v>848</v>
      </c>
      <c r="E40" s="18" t="n">
        <v>72.29981407</v>
      </c>
      <c r="F40" s="20" t="n">
        <v>2.13134062</v>
      </c>
      <c r="G40" s="18" t="n">
        <v>25.7832597</v>
      </c>
      <c r="H40" s="20" t="n">
        <v>2.07368851</v>
      </c>
      <c r="I40" s="18" t="s">
        <v>567</v>
      </c>
      <c r="J40" s="20" t="s">
        <v>567</v>
      </c>
      <c r="K40" s="18" t="n">
        <v>0.06933135</v>
      </c>
      <c r="L40" s="20" t="n">
        <v>0.05918643</v>
      </c>
      <c r="M40" s="18" t="n">
        <v>0</v>
      </c>
      <c r="N40" s="20" t="n">
        <v>0</v>
      </c>
      <c r="O40" s="18" t="n">
        <v>0</v>
      </c>
      <c r="P40" s="20" t="n">
        <v>0</v>
      </c>
      <c r="Q40" s="18" t="n">
        <v>1.84759488</v>
      </c>
      <c r="R40" s="20" t="n">
        <v>0.73378215</v>
      </c>
    </row>
    <row r="41" spans="1:18">
      <c r="A41" s="15" t="s">
        <v>601</v>
      </c>
      <c r="B41" s="17" t="n">
        <v>2858</v>
      </c>
      <c r="C41" s="18">
        <f>(2528.0/B41*100)</f>
        <v/>
      </c>
      <c r="D41" s="19" t="n">
        <v>330</v>
      </c>
      <c r="E41" s="18" t="n">
        <v>67.35640848</v>
      </c>
      <c r="F41" s="20" t="n">
        <v>2.68107843</v>
      </c>
      <c r="G41" s="18" t="n">
        <v>31.84621674</v>
      </c>
      <c r="H41" s="20" t="n">
        <v>2.70839231</v>
      </c>
      <c r="I41" s="18" t="s">
        <v>567</v>
      </c>
      <c r="J41" s="20" t="s">
        <v>567</v>
      </c>
      <c r="K41" s="18" t="n">
        <v>0</v>
      </c>
      <c r="L41" s="20" t="n">
        <v>0</v>
      </c>
      <c r="M41" s="18" t="n">
        <v>0</v>
      </c>
      <c r="N41" s="20" t="n">
        <v>0</v>
      </c>
      <c r="O41" s="18" t="n">
        <v>0</v>
      </c>
      <c r="P41" s="20" t="n">
        <v>0</v>
      </c>
      <c r="Q41" s="18" t="n">
        <v>0.7973747799999999</v>
      </c>
      <c r="R41" s="20" t="n">
        <v>0.48122464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(10010.0/B46*100)</f>
        <v/>
      </c>
      <c r="D46" s="19" t="n">
        <v>1058</v>
      </c>
      <c r="E46" s="18" t="n">
        <v>72.67375987</v>
      </c>
      <c r="F46" s="20" t="n">
        <v>1.79231195</v>
      </c>
      <c r="G46" s="18" t="n">
        <v>24.4808529</v>
      </c>
      <c r="H46" s="20" t="n">
        <v>1.6620555</v>
      </c>
      <c r="I46" s="18" t="s">
        <v>567</v>
      </c>
      <c r="J46" s="20" t="s">
        <v>567</v>
      </c>
      <c r="K46" s="18" t="n">
        <v>0.17847484</v>
      </c>
      <c r="L46" s="20" t="n">
        <v>0.15622457</v>
      </c>
      <c r="M46" s="18" t="n">
        <v>0</v>
      </c>
      <c r="N46" s="20" t="n">
        <v>0</v>
      </c>
      <c r="O46" s="18" t="n">
        <v>0</v>
      </c>
      <c r="P46" s="20" t="n">
        <v>0</v>
      </c>
      <c r="Q46" s="18" t="n">
        <v>2.66691239</v>
      </c>
      <c r="R46" s="20" t="n">
        <v>0.64733724</v>
      </c>
    </row>
    <row r="47" spans="1:18">
      <c r="A47" s="15" t="s">
        <v>607</v>
      </c>
      <c r="B47" s="17" t="n">
        <v>3105</v>
      </c>
      <c r="C47" s="18">
        <f>(2759.0/B47*100)</f>
        <v/>
      </c>
      <c r="D47" s="19" t="n">
        <v>346</v>
      </c>
      <c r="E47" s="18" t="n">
        <v>58.64392518</v>
      </c>
      <c r="F47" s="20" t="n">
        <v>2.62743963</v>
      </c>
      <c r="G47" s="18" t="n">
        <v>40.47221917</v>
      </c>
      <c r="H47" s="20" t="n">
        <v>2.64930585</v>
      </c>
      <c r="I47" s="18" t="s">
        <v>567</v>
      </c>
      <c r="J47" s="20" t="s">
        <v>567</v>
      </c>
      <c r="K47" s="18" t="n">
        <v>0</v>
      </c>
      <c r="L47" s="20" t="n">
        <v>0</v>
      </c>
      <c r="M47" s="18" t="n">
        <v>0</v>
      </c>
      <c r="N47" s="20" t="n">
        <v>0</v>
      </c>
      <c r="O47" s="18" t="n">
        <v>0</v>
      </c>
      <c r="P47" s="20" t="n">
        <v>0</v>
      </c>
      <c r="Q47" s="18" t="n">
        <v>0.88385565</v>
      </c>
      <c r="R47" s="20" t="n">
        <v>0.46688457</v>
      </c>
    </row>
    <row r="48" spans="1:18">
      <c r="A48" s="15" t="s">
        <v>608</v>
      </c>
      <c r="B48" s="17" t="n">
        <v>5159</v>
      </c>
      <c r="C48" s="18">
        <f>(4607.0/B48*100)</f>
        <v/>
      </c>
      <c r="D48" s="19" t="n">
        <v>552</v>
      </c>
      <c r="E48" s="18" t="n">
        <v>42.04880754</v>
      </c>
      <c r="F48" s="20" t="n">
        <v>2.15136044</v>
      </c>
      <c r="G48" s="18" t="n">
        <v>56.97369583</v>
      </c>
      <c r="H48" s="20" t="n">
        <v>2.13188031</v>
      </c>
      <c r="I48" s="18" t="s">
        <v>567</v>
      </c>
      <c r="J48" s="20" t="s">
        <v>567</v>
      </c>
      <c r="K48" s="18" t="n">
        <v>0.65932702</v>
      </c>
      <c r="L48" s="20" t="n">
        <v>0.46718171</v>
      </c>
      <c r="M48" s="18" t="n">
        <v>0</v>
      </c>
      <c r="N48" s="20" t="n">
        <v>0</v>
      </c>
      <c r="O48" s="18" t="n">
        <v>0</v>
      </c>
      <c r="P48" s="20" t="n">
        <v>0</v>
      </c>
      <c r="Q48" s="18" t="n">
        <v>0.31816961</v>
      </c>
      <c r="R48" s="20" t="n">
        <v>0.33578232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(5032.0/B50*100)</f>
        <v/>
      </c>
      <c r="D50" s="19" t="n">
        <v>605</v>
      </c>
      <c r="E50" s="18" t="n">
        <v>72.54096306</v>
      </c>
      <c r="F50" s="20" t="n">
        <v>2.56966716</v>
      </c>
      <c r="G50" s="18" t="n">
        <v>26.15453013</v>
      </c>
      <c r="H50" s="20" t="n">
        <v>2.51456511</v>
      </c>
      <c r="I50" s="18" t="s">
        <v>567</v>
      </c>
      <c r="J50" s="20" t="s">
        <v>567</v>
      </c>
      <c r="K50" s="18" t="n">
        <v>0.77301159</v>
      </c>
      <c r="L50" s="20" t="n">
        <v>0.44464059</v>
      </c>
      <c r="M50" s="18" t="n">
        <v>0</v>
      </c>
      <c r="N50" s="20" t="n">
        <v>0</v>
      </c>
      <c r="O50" s="18" t="n">
        <v>0</v>
      </c>
      <c r="P50" s="20" t="n">
        <v>0</v>
      </c>
      <c r="Q50" s="18" t="n">
        <v>0.53149522</v>
      </c>
      <c r="R50" s="20" t="n">
        <v>0.29177447</v>
      </c>
    </row>
    <row r="51" spans="1:18">
      <c r="A51" s="15" t="s">
        <v>611</v>
      </c>
      <c r="B51" s="17" t="n">
        <v>3372</v>
      </c>
      <c r="C51" s="18">
        <f>(3029.0/B51*100)</f>
        <v/>
      </c>
      <c r="D51" s="19" t="n">
        <v>343</v>
      </c>
      <c r="E51" s="18" t="n">
        <v>65.53407903999999</v>
      </c>
      <c r="F51" s="20" t="n">
        <v>2.32917992</v>
      </c>
      <c r="G51" s="18" t="n">
        <v>33.16878459</v>
      </c>
      <c r="H51" s="20" t="n">
        <v>2.12868439</v>
      </c>
      <c r="I51" s="18" t="s">
        <v>567</v>
      </c>
      <c r="J51" s="20" t="s">
        <v>567</v>
      </c>
      <c r="K51" s="18" t="n">
        <v>0.7311032200000001</v>
      </c>
      <c r="L51" s="20" t="n">
        <v>0.64584481</v>
      </c>
      <c r="M51" s="18" t="n">
        <v>0</v>
      </c>
      <c r="N51" s="20" t="n">
        <v>0</v>
      </c>
      <c r="O51" s="18" t="n">
        <v>0</v>
      </c>
      <c r="P51" s="20" t="n">
        <v>0</v>
      </c>
      <c r="Q51" s="18" t="n">
        <v>0.56603314</v>
      </c>
      <c r="R51" s="20" t="n">
        <v>0.41295614</v>
      </c>
    </row>
    <row r="52" spans="1:18">
      <c r="A52" s="15" t="s">
        <v>612</v>
      </c>
      <c r="B52" s="17" t="n">
        <v>2796</v>
      </c>
      <c r="C52" s="18">
        <f>(2515.0/B52*100)</f>
        <v/>
      </c>
      <c r="D52" s="19" t="n">
        <v>281</v>
      </c>
      <c r="E52" s="18" t="n">
        <v>63.882086</v>
      </c>
      <c r="F52" s="20" t="n">
        <v>2.60927947</v>
      </c>
      <c r="G52" s="18" t="n">
        <v>36.117914</v>
      </c>
      <c r="H52" s="20" t="n">
        <v>2.60927947</v>
      </c>
      <c r="I52" s="18" t="s">
        <v>567</v>
      </c>
      <c r="J52" s="20" t="s">
        <v>567</v>
      </c>
      <c r="K52" s="18" t="n">
        <v>0</v>
      </c>
      <c r="L52" s="20" t="n">
        <v>0</v>
      </c>
      <c r="M52" s="18" t="n">
        <v>0</v>
      </c>
      <c r="N52" s="20" t="n">
        <v>0</v>
      </c>
      <c r="O52" s="18" t="n">
        <v>0</v>
      </c>
      <c r="P52" s="20" t="n">
        <v>0</v>
      </c>
      <c r="Q52" s="18" t="n">
        <v>0</v>
      </c>
      <c r="R52" s="20" t="n">
        <v>0</v>
      </c>
    </row>
    <row r="53" spans="1:18">
      <c r="A53" s="15" t="s">
        <v>613</v>
      </c>
      <c r="B53" s="17" t="n">
        <v>2811</v>
      </c>
      <c r="C53" s="18">
        <f>(2521.0/B53*100)</f>
        <v/>
      </c>
      <c r="D53" s="19" t="n">
        <v>290</v>
      </c>
      <c r="E53" s="18" t="n">
        <v>64.01220504</v>
      </c>
      <c r="F53" s="20" t="n">
        <v>2.91342019</v>
      </c>
      <c r="G53" s="18" t="n">
        <v>34.21322334</v>
      </c>
      <c r="H53" s="20" t="n">
        <v>3.06059629</v>
      </c>
      <c r="I53" s="18" t="s">
        <v>567</v>
      </c>
      <c r="J53" s="20" t="s">
        <v>567</v>
      </c>
      <c r="K53" s="18" t="n">
        <v>0.23100431</v>
      </c>
      <c r="L53" s="20" t="n">
        <v>0.23349264</v>
      </c>
      <c r="M53" s="18" t="n">
        <v>0</v>
      </c>
      <c r="N53" s="20" t="n">
        <v>0</v>
      </c>
      <c r="O53" s="18" t="n">
        <v>0</v>
      </c>
      <c r="P53" s="20" t="n">
        <v>0</v>
      </c>
      <c r="Q53" s="18" t="n">
        <v>1.54356731</v>
      </c>
      <c r="R53" s="20" t="n">
        <v>0.68610004</v>
      </c>
    </row>
    <row r="54" spans="1:18">
      <c r="A54" s="15" t="s">
        <v>614</v>
      </c>
      <c r="B54" s="17" t="n">
        <v>2266</v>
      </c>
      <c r="C54" s="18">
        <f>(2015.0/B54*100)</f>
        <v/>
      </c>
      <c r="D54" s="19" t="n">
        <v>251</v>
      </c>
      <c r="E54" s="18" t="n">
        <v>74.53149852999999</v>
      </c>
      <c r="F54" s="20" t="n">
        <v>2.87908242</v>
      </c>
      <c r="G54" s="18" t="n">
        <v>14.05692308</v>
      </c>
      <c r="H54" s="20" t="n">
        <v>2.14908606</v>
      </c>
      <c r="I54" s="18" t="s">
        <v>567</v>
      </c>
      <c r="J54" s="20" t="s">
        <v>567</v>
      </c>
      <c r="K54" s="18" t="n">
        <v>5.93088856</v>
      </c>
      <c r="L54" s="20" t="n">
        <v>1.71011276</v>
      </c>
      <c r="M54" s="18" t="n">
        <v>0</v>
      </c>
      <c r="N54" s="20" t="n">
        <v>0</v>
      </c>
      <c r="O54" s="18" t="n">
        <v>0</v>
      </c>
      <c r="P54" s="20" t="n">
        <v>0</v>
      </c>
      <c r="Q54" s="18" t="n">
        <v>5.48068982</v>
      </c>
      <c r="R54" s="20" t="n">
        <v>1.52472138</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(2392.0/B56*100)</f>
        <v/>
      </c>
      <c r="D56" s="19" t="n">
        <v>292</v>
      </c>
      <c r="E56" s="18" t="n">
        <v>59.28602453</v>
      </c>
      <c r="F56" s="20" t="n">
        <v>2.74297305</v>
      </c>
      <c r="G56" s="18" t="n">
        <v>40.41442913</v>
      </c>
      <c r="H56" s="20" t="n">
        <v>2.68220141</v>
      </c>
      <c r="I56" s="18" t="s">
        <v>567</v>
      </c>
      <c r="J56" s="20" t="s">
        <v>567</v>
      </c>
      <c r="K56" s="18" t="n">
        <v>0</v>
      </c>
      <c r="L56" s="20" t="n">
        <v>0</v>
      </c>
      <c r="M56" s="18" t="n">
        <v>0</v>
      </c>
      <c r="N56" s="20" t="n">
        <v>0</v>
      </c>
      <c r="O56" s="18" t="n">
        <v>0</v>
      </c>
      <c r="P56" s="20" t="n">
        <v>0</v>
      </c>
      <c r="Q56" s="18" t="n">
        <v>0.29954634</v>
      </c>
      <c r="R56" s="20" t="n">
        <v>0.31018175</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(2994.0/B61*100)</f>
        <v/>
      </c>
      <c r="D61" s="19" t="n">
        <v>330</v>
      </c>
      <c r="E61" s="18" t="n">
        <v>52.09204574</v>
      </c>
      <c r="F61" s="20" t="n">
        <v>3.2848944</v>
      </c>
      <c r="G61" s="18" t="n">
        <v>46.88017888</v>
      </c>
      <c r="H61" s="20" t="n">
        <v>3.35064386</v>
      </c>
      <c r="I61" s="18" t="s">
        <v>567</v>
      </c>
      <c r="J61" s="20" t="s">
        <v>567</v>
      </c>
      <c r="K61" s="18" t="n">
        <v>0.42961692</v>
      </c>
      <c r="L61" s="20" t="n">
        <v>0.44849813</v>
      </c>
      <c r="M61" s="18" t="n">
        <v>0</v>
      </c>
      <c r="N61" s="20" t="n">
        <v>0</v>
      </c>
      <c r="O61" s="18" t="n">
        <v>0</v>
      </c>
      <c r="P61" s="20" t="n">
        <v>0</v>
      </c>
      <c r="Q61" s="18" t="n">
        <v>0.5981584599999999</v>
      </c>
      <c r="R61" s="20" t="n">
        <v>0.34867068</v>
      </c>
    </row>
    <row r="62" spans="1:18">
      <c r="A62" s="15" t="s">
        <v>622</v>
      </c>
      <c r="B62" s="17" t="n">
        <v>2246</v>
      </c>
      <c r="C62" s="18">
        <f>(1993.0/B62*100)</f>
        <v/>
      </c>
      <c r="D62" s="19" t="n">
        <v>253</v>
      </c>
      <c r="E62" s="18" t="n">
        <v>61.29574416</v>
      </c>
      <c r="F62" s="20" t="n">
        <v>3.17423737</v>
      </c>
      <c r="G62" s="18" t="n">
        <v>38.31171839</v>
      </c>
      <c r="H62" s="20" t="n">
        <v>3.12357792</v>
      </c>
      <c r="I62" s="18" t="s">
        <v>567</v>
      </c>
      <c r="J62" s="20" t="s">
        <v>567</v>
      </c>
      <c r="K62" s="18" t="n">
        <v>0</v>
      </c>
      <c r="L62" s="20" t="n">
        <v>0</v>
      </c>
      <c r="M62" s="18" t="n">
        <v>0</v>
      </c>
      <c r="N62" s="20" t="n">
        <v>0</v>
      </c>
      <c r="O62" s="18" t="n">
        <v>0</v>
      </c>
      <c r="P62" s="20" t="n">
        <v>0</v>
      </c>
      <c r="Q62" s="18" t="n">
        <v>0.39253745</v>
      </c>
      <c r="R62" s="20" t="n">
        <v>0.39499649</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(2596.0/B66*100)</f>
        <v/>
      </c>
      <c r="D66" s="19" t="n">
        <v>298</v>
      </c>
      <c r="E66" s="18" t="n">
        <v>68.42054491</v>
      </c>
      <c r="F66" s="20" t="n">
        <v>2.78047331</v>
      </c>
      <c r="G66" s="18" t="n">
        <v>27.78237827</v>
      </c>
      <c r="H66" s="20" t="n">
        <v>2.50402018</v>
      </c>
      <c r="I66" s="18" t="s">
        <v>567</v>
      </c>
      <c r="J66" s="20" t="s">
        <v>567</v>
      </c>
      <c r="K66" s="18" t="n">
        <v>0</v>
      </c>
      <c r="L66" s="20" t="n">
        <v>0</v>
      </c>
      <c r="M66" s="18" t="n">
        <v>0</v>
      </c>
      <c r="N66" s="20" t="n">
        <v>0</v>
      </c>
      <c r="O66" s="18" t="n">
        <v>0</v>
      </c>
      <c r="P66" s="20" t="n">
        <v>0</v>
      </c>
      <c r="Q66" s="18" t="n">
        <v>3.79707682</v>
      </c>
      <c r="R66" s="20" t="n">
        <v>1.1235616</v>
      </c>
    </row>
    <row r="67" spans="1:18">
      <c r="A67" s="15" t="s">
        <v>627</v>
      </c>
      <c r="B67" s="17" t="n">
        <v>3511</v>
      </c>
      <c r="C67" s="18">
        <f>(3150.0/B67*100)</f>
        <v/>
      </c>
      <c r="D67" s="19" t="n">
        <v>361</v>
      </c>
      <c r="E67" s="18" t="n">
        <v>67.40820248999999</v>
      </c>
      <c r="F67" s="20" t="n">
        <v>2.74765827</v>
      </c>
      <c r="G67" s="18" t="n">
        <v>31.17104273</v>
      </c>
      <c r="H67" s="20" t="n">
        <v>2.68250758</v>
      </c>
      <c r="I67" s="18" t="s">
        <v>567</v>
      </c>
      <c r="J67" s="20" t="s">
        <v>567</v>
      </c>
      <c r="K67" s="18" t="n">
        <v>0.28214699</v>
      </c>
      <c r="L67" s="20" t="n">
        <v>0.28029812</v>
      </c>
      <c r="M67" s="18" t="n">
        <v>0</v>
      </c>
      <c r="N67" s="20" t="n">
        <v>0</v>
      </c>
      <c r="O67" s="18" t="n">
        <v>0</v>
      </c>
      <c r="P67" s="20" t="n">
        <v>0</v>
      </c>
      <c r="Q67" s="18" t="n">
        <v>1.13860779</v>
      </c>
      <c r="R67" s="20" t="n">
        <v>0.59253661</v>
      </c>
    </row>
    <row r="68" spans="1:18">
      <c r="A68" s="15" t="s">
        <v>628</v>
      </c>
      <c r="B68" s="17" t="n">
        <v>6049</v>
      </c>
      <c r="C68" s="18">
        <f>(5390.0/B68*100)</f>
        <v/>
      </c>
      <c r="D68" s="19" t="n">
        <v>659</v>
      </c>
      <c r="E68" s="18" t="n">
        <v>69.3072621</v>
      </c>
      <c r="F68" s="20" t="n">
        <v>1.91044858</v>
      </c>
      <c r="G68" s="18" t="n">
        <v>23.67433428</v>
      </c>
      <c r="H68" s="20" t="n">
        <v>1.74958505</v>
      </c>
      <c r="I68" s="18" t="s">
        <v>567</v>
      </c>
      <c r="J68" s="20" t="s">
        <v>567</v>
      </c>
      <c r="K68" s="18" t="n">
        <v>2.00199095</v>
      </c>
      <c r="L68" s="20" t="n">
        <v>0.60743503</v>
      </c>
      <c r="M68" s="18" t="n">
        <v>0</v>
      </c>
      <c r="N68" s="20" t="n">
        <v>0</v>
      </c>
      <c r="O68" s="18" t="n">
        <v>0</v>
      </c>
      <c r="P68" s="20" t="n">
        <v>0</v>
      </c>
      <c r="Q68" s="18" t="n">
        <v>5.01641267</v>
      </c>
      <c r="R68" s="20" t="n">
        <v>0.75593098</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(2639.0/B70*100)</f>
        <v/>
      </c>
      <c r="D70" s="19" t="n">
        <v>290</v>
      </c>
      <c r="E70" s="18" t="n">
        <v>43.58780797</v>
      </c>
      <c r="F70" s="20" t="n">
        <v>2.99658592</v>
      </c>
      <c r="G70" s="18" t="n">
        <v>54.6550508</v>
      </c>
      <c r="H70" s="20" t="n">
        <v>3.01762979</v>
      </c>
      <c r="I70" s="18" t="s">
        <v>567</v>
      </c>
      <c r="J70" s="20" t="s">
        <v>567</v>
      </c>
      <c r="K70" s="18" t="n">
        <v>0</v>
      </c>
      <c r="L70" s="20" t="n">
        <v>0</v>
      </c>
      <c r="M70" s="18" t="n">
        <v>0</v>
      </c>
      <c r="N70" s="20" t="n">
        <v>0</v>
      </c>
      <c r="O70" s="18" t="n">
        <v>0</v>
      </c>
      <c r="P70" s="20" t="n">
        <v>0</v>
      </c>
      <c r="Q70" s="18" t="n">
        <v>1.75714123</v>
      </c>
      <c r="R70" s="20" t="n">
        <v>0.9911740999999999</v>
      </c>
    </row>
    <row r="71" spans="1:18">
      <c r="A71" s="15" t="s">
        <v>631</v>
      </c>
      <c r="B71" s="17" t="n">
        <v>3142</v>
      </c>
      <c r="C71" s="18">
        <f>(2778.0/B71*100)</f>
        <v/>
      </c>
      <c r="D71" s="19" t="n">
        <v>364</v>
      </c>
      <c r="E71" s="18" t="n">
        <v>50.81763605</v>
      </c>
      <c r="F71" s="20" t="n">
        <v>2.94552623</v>
      </c>
      <c r="G71" s="18" t="n">
        <v>48.08306486</v>
      </c>
      <c r="H71" s="20" t="n">
        <v>2.93719639</v>
      </c>
      <c r="I71" s="18" t="s">
        <v>567</v>
      </c>
      <c r="J71" s="20" t="s">
        <v>567</v>
      </c>
      <c r="K71" s="18" t="n">
        <v>0</v>
      </c>
      <c r="L71" s="20" t="n">
        <v>0</v>
      </c>
      <c r="M71" s="18" t="n">
        <v>0</v>
      </c>
      <c r="N71" s="20" t="n">
        <v>0</v>
      </c>
      <c r="O71" s="18" t="n">
        <v>0</v>
      </c>
      <c r="P71" s="20" t="n">
        <v>0</v>
      </c>
      <c r="Q71" s="18" t="n">
        <v>1.0992991</v>
      </c>
      <c r="R71" s="20" t="n">
        <v>0.54026334</v>
      </c>
    </row>
    <row r="72" spans="1:18">
      <c r="A72" s="15" t="s">
        <v>632</v>
      </c>
      <c r="B72" s="17" t="n">
        <v>3889</v>
      </c>
      <c r="C72" s="18">
        <f>(3448.0/B72*100)</f>
        <v/>
      </c>
      <c r="D72" s="19" t="n">
        <v>441</v>
      </c>
      <c r="E72" s="18" t="n">
        <v>48.3895861</v>
      </c>
      <c r="F72" s="20" t="n">
        <v>2.48815488</v>
      </c>
      <c r="G72" s="18" t="n">
        <v>51.38849935</v>
      </c>
      <c r="H72" s="20" t="n">
        <v>2.49857094</v>
      </c>
      <c r="I72" s="18" t="s">
        <v>567</v>
      </c>
      <c r="J72" s="20" t="s">
        <v>567</v>
      </c>
      <c r="K72" s="18" t="n">
        <v>0</v>
      </c>
      <c r="L72" s="20" t="n">
        <v>0</v>
      </c>
      <c r="M72" s="18" t="n">
        <v>0</v>
      </c>
      <c r="N72" s="20" t="n">
        <v>0</v>
      </c>
      <c r="O72" s="18" t="n">
        <v>0</v>
      </c>
      <c r="P72" s="20" t="n">
        <v>0</v>
      </c>
      <c r="Q72" s="18" t="n">
        <v>0.22191455</v>
      </c>
      <c r="R72" s="20" t="n">
        <v>0.15830045</v>
      </c>
    </row>
    <row r="73" spans="1:18">
      <c r="A73" s="15" t="s">
        <v>633</v>
      </c>
      <c r="B73" s="17" t="n">
        <v>3597</v>
      </c>
      <c r="C73" s="18">
        <f>(3185.0/B73*100)</f>
        <v/>
      </c>
      <c r="D73" s="19" t="n">
        <v>412</v>
      </c>
      <c r="E73" s="18" t="n">
        <v>70.70615028</v>
      </c>
      <c r="F73" s="20" t="n">
        <v>2.68310415</v>
      </c>
      <c r="G73" s="18" t="n">
        <v>28.59347635</v>
      </c>
      <c r="H73" s="20" t="n">
        <v>2.59814103</v>
      </c>
      <c r="I73" s="18" t="s">
        <v>567</v>
      </c>
      <c r="J73" s="20" t="s">
        <v>567</v>
      </c>
      <c r="K73" s="18" t="n">
        <v>0</v>
      </c>
      <c r="L73" s="20" t="n">
        <v>0</v>
      </c>
      <c r="M73" s="18" t="n">
        <v>0</v>
      </c>
      <c r="N73" s="20" t="n">
        <v>0</v>
      </c>
      <c r="O73" s="18" t="n">
        <v>0</v>
      </c>
      <c r="P73" s="20" t="n">
        <v>0</v>
      </c>
      <c r="Q73" s="18" t="n">
        <v>0.70037337</v>
      </c>
      <c r="R73" s="20" t="n">
        <v>0.46777923</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(2169.0/B75*100)</f>
        <v/>
      </c>
      <c r="D75" s="19" t="n">
        <v>237</v>
      </c>
      <c r="E75" s="18" t="n">
        <v>59.82142459</v>
      </c>
      <c r="F75" s="20" t="n">
        <v>3.05184576</v>
      </c>
      <c r="G75" s="18" t="n">
        <v>36.17575393</v>
      </c>
      <c r="H75" s="20" t="n">
        <v>2.75581673</v>
      </c>
      <c r="I75" s="18" t="s">
        <v>567</v>
      </c>
      <c r="J75" s="20" t="s">
        <v>567</v>
      </c>
      <c r="K75" s="18" t="n">
        <v>2.44316906</v>
      </c>
      <c r="L75" s="20" t="n">
        <v>0.8342185600000001</v>
      </c>
      <c r="M75" s="18" t="n">
        <v>0</v>
      </c>
      <c r="N75" s="20" t="n">
        <v>0</v>
      </c>
      <c r="O75" s="18" t="n">
        <v>0</v>
      </c>
      <c r="P75" s="20" t="n">
        <v>0</v>
      </c>
      <c r="Q75" s="18" t="n">
        <v>1.55965242</v>
      </c>
      <c r="R75" s="20" t="n">
        <v>0.75867409</v>
      </c>
    </row>
    <row r="76" spans="1:18">
      <c r="A76" s="15" t="s">
        <v>636</v>
      </c>
      <c r="B76" s="17" t="n">
        <v>7052</v>
      </c>
      <c r="C76" s="18">
        <f>(6276.0/B76*100)</f>
        <v/>
      </c>
      <c r="D76" s="19" t="n">
        <v>776</v>
      </c>
      <c r="E76" s="18" t="n">
        <v>75.57564847</v>
      </c>
      <c r="F76" s="20" t="n">
        <v>1.7551529</v>
      </c>
      <c r="G76" s="18" t="n">
        <v>22.17880882</v>
      </c>
      <c r="H76" s="20" t="n">
        <v>1.77021166</v>
      </c>
      <c r="I76" s="18" t="s">
        <v>567</v>
      </c>
      <c r="J76" s="20" t="s">
        <v>567</v>
      </c>
      <c r="K76" s="18" t="n">
        <v>0.82788426</v>
      </c>
      <c r="L76" s="20" t="n">
        <v>0.45015765</v>
      </c>
      <c r="M76" s="18" t="n">
        <v>0</v>
      </c>
      <c r="N76" s="20" t="n">
        <v>0</v>
      </c>
      <c r="O76" s="18" t="n">
        <v>0</v>
      </c>
      <c r="P76" s="20" t="n">
        <v>0</v>
      </c>
      <c r="Q76" s="18" t="n">
        <v>1.41765845</v>
      </c>
      <c r="R76" s="20" t="n">
        <v>0.39788731</v>
      </c>
    </row>
    <row r="77" spans="1:18">
      <c r="A77" s="15" t="s">
        <v>637</v>
      </c>
      <c r="B77" s="17" t="n">
        <v>2908</v>
      </c>
      <c r="C77" s="18">
        <f>(2607.0/B77*100)</f>
        <v/>
      </c>
      <c r="D77" s="19" t="n">
        <v>301</v>
      </c>
      <c r="E77" s="18" t="n">
        <v>59.7789934</v>
      </c>
      <c r="F77" s="20" t="n">
        <v>3.26571569</v>
      </c>
      <c r="G77" s="18" t="n">
        <v>36.4669258</v>
      </c>
      <c r="H77" s="20" t="n">
        <v>3.21629182</v>
      </c>
      <c r="I77" s="18" t="s">
        <v>567</v>
      </c>
      <c r="J77" s="20" t="s">
        <v>567</v>
      </c>
      <c r="K77" s="18" t="n">
        <v>0.58184506</v>
      </c>
      <c r="L77" s="20" t="n">
        <v>0.6262180000000001</v>
      </c>
      <c r="M77" s="18" t="n">
        <v>0</v>
      </c>
      <c r="N77" s="20" t="n">
        <v>0</v>
      </c>
      <c r="O77" s="18" t="n">
        <v>0</v>
      </c>
      <c r="P77" s="20" t="n">
        <v>0</v>
      </c>
      <c r="Q77" s="18" t="n">
        <v>3.17223574</v>
      </c>
      <c r="R77" s="20" t="n">
        <v>1.0382586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(3711.0/B81*100)</f>
        <v/>
      </c>
      <c r="D81" s="19" t="n">
        <v>452</v>
      </c>
      <c r="E81" s="18" t="n">
        <v>80.67585326</v>
      </c>
      <c r="F81" s="20" t="n">
        <v>2.35599063</v>
      </c>
      <c r="G81" s="18" t="n">
        <v>18.6313429</v>
      </c>
      <c r="H81" s="20" t="n">
        <v>2.36981481</v>
      </c>
      <c r="I81" s="18" t="s">
        <v>567</v>
      </c>
      <c r="J81" s="20" t="s">
        <v>567</v>
      </c>
      <c r="K81" s="18" t="n">
        <v>0.38251872</v>
      </c>
      <c r="L81" s="20" t="n">
        <v>0.26364367</v>
      </c>
      <c r="M81" s="18" t="n">
        <v>0</v>
      </c>
      <c r="N81" s="20" t="n">
        <v>0</v>
      </c>
      <c r="O81" s="18" t="n">
        <v>0</v>
      </c>
      <c r="P81" s="20" t="n">
        <v>0</v>
      </c>
      <c r="Q81" s="18" t="n">
        <v>0.31028513</v>
      </c>
      <c r="R81" s="20" t="n">
        <v>0.32153534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(6560.0/B7*100)</f>
        <v/>
      </c>
      <c r="D7" s="19" t="n">
        <v>807</v>
      </c>
      <c r="E7" s="18" t="n">
        <v>37.02900429</v>
      </c>
      <c r="F7" s="20" t="n">
        <v>1.89899089</v>
      </c>
      <c r="G7" s="18" t="n">
        <v>61.54799763</v>
      </c>
      <c r="H7" s="20" t="n">
        <v>1.88484907</v>
      </c>
      <c r="I7" s="18" t="s">
        <v>567</v>
      </c>
      <c r="J7" s="20" t="s">
        <v>567</v>
      </c>
      <c r="K7" s="18" t="n">
        <v>0.37191222</v>
      </c>
      <c r="L7" s="20" t="n">
        <v>0.20810575</v>
      </c>
      <c r="M7" s="18" t="n">
        <v>0</v>
      </c>
      <c r="N7" s="20" t="n">
        <v>0</v>
      </c>
      <c r="O7" s="18" t="n">
        <v>0</v>
      </c>
      <c r="P7" s="20" t="n">
        <v>0</v>
      </c>
      <c r="Q7" s="18" t="n">
        <v>1.05108587</v>
      </c>
      <c r="R7" s="20" t="n">
        <v>0.41858769</v>
      </c>
    </row>
    <row r="8" spans="1:18">
      <c r="A8" s="15" t="s">
        <v>568</v>
      </c>
      <c r="B8" s="17" t="n">
        <v>3564</v>
      </c>
      <c r="C8" s="18">
        <f>(3179.0/B8*100)</f>
        <v/>
      </c>
      <c r="D8" s="19" t="n">
        <v>385</v>
      </c>
      <c r="E8" s="18" t="n">
        <v>32.65357493</v>
      </c>
      <c r="F8" s="20" t="n">
        <v>2.68249108</v>
      </c>
      <c r="G8" s="18" t="n">
        <v>66.98010805</v>
      </c>
      <c r="H8" s="20" t="n">
        <v>2.68382087</v>
      </c>
      <c r="I8" s="18" t="s">
        <v>567</v>
      </c>
      <c r="J8" s="20" t="s">
        <v>567</v>
      </c>
      <c r="K8" s="18" t="n">
        <v>0</v>
      </c>
      <c r="L8" s="20" t="n">
        <v>0</v>
      </c>
      <c r="M8" s="18" t="n">
        <v>0</v>
      </c>
      <c r="N8" s="20" t="n">
        <v>0</v>
      </c>
      <c r="O8" s="18" t="n">
        <v>0</v>
      </c>
      <c r="P8" s="20" t="n">
        <v>0</v>
      </c>
      <c r="Q8" s="18" t="n">
        <v>0.36631702</v>
      </c>
      <c r="R8" s="20" t="n">
        <v>0.3419056</v>
      </c>
    </row>
    <row r="9" spans="1:18">
      <c r="A9" s="15" t="s">
        <v>569</v>
      </c>
      <c r="B9" s="17" t="n">
        <v>4899</v>
      </c>
      <c r="C9" s="18">
        <f>(4346.0/B9*100)</f>
        <v/>
      </c>
      <c r="D9" s="19" t="n">
        <v>553</v>
      </c>
      <c r="E9" s="18" t="n">
        <v>42.00842638</v>
      </c>
      <c r="F9" s="20" t="n">
        <v>2.42248491</v>
      </c>
      <c r="G9" s="18" t="n">
        <v>57.40057441</v>
      </c>
      <c r="H9" s="20" t="n">
        <v>2.42519603</v>
      </c>
      <c r="I9" s="18" t="s">
        <v>567</v>
      </c>
      <c r="J9" s="20" t="s">
        <v>567</v>
      </c>
      <c r="K9" s="18" t="n">
        <v>0</v>
      </c>
      <c r="L9" s="20" t="n">
        <v>0</v>
      </c>
      <c r="M9" s="18" t="n">
        <v>0</v>
      </c>
      <c r="N9" s="20" t="n">
        <v>0</v>
      </c>
      <c r="O9" s="18" t="n">
        <v>0</v>
      </c>
      <c r="P9" s="20" t="n">
        <v>0</v>
      </c>
      <c r="Q9" s="18" t="n">
        <v>0.5909991999999999</v>
      </c>
      <c r="R9" s="20" t="n">
        <v>0.32833836</v>
      </c>
    </row>
    <row r="10" spans="1:18">
      <c r="A10" s="15" t="s">
        <v>570</v>
      </c>
      <c r="B10" s="17" t="n">
        <v>10036</v>
      </c>
      <c r="C10" s="18">
        <f>(8909.0/B10*100)</f>
        <v/>
      </c>
      <c r="D10" s="19" t="n">
        <v>1127</v>
      </c>
      <c r="E10" s="18" t="n">
        <v>37.16799093</v>
      </c>
      <c r="F10" s="20" t="n">
        <v>1.82490698</v>
      </c>
      <c r="G10" s="18" t="n">
        <v>61.82106463</v>
      </c>
      <c r="H10" s="20" t="n">
        <v>1.89019976</v>
      </c>
      <c r="I10" s="18" t="s">
        <v>567</v>
      </c>
      <c r="J10" s="20" t="s">
        <v>567</v>
      </c>
      <c r="K10" s="18" t="n">
        <v>0.55625135</v>
      </c>
      <c r="L10" s="20" t="n">
        <v>0.34224992</v>
      </c>
      <c r="M10" s="18" t="n">
        <v>0</v>
      </c>
      <c r="N10" s="20" t="n">
        <v>0</v>
      </c>
      <c r="O10" s="18" t="n">
        <v>0</v>
      </c>
      <c r="P10" s="20" t="n">
        <v>0</v>
      </c>
      <c r="Q10" s="18" t="n">
        <v>0.45469308</v>
      </c>
      <c r="R10" s="20" t="n">
        <v>0.27008294</v>
      </c>
    </row>
    <row r="11" spans="1:18">
      <c r="A11" s="15" t="s">
        <v>571</v>
      </c>
      <c r="B11" s="17" t="n">
        <v>3553</v>
      </c>
      <c r="C11" s="18">
        <f>(3162.0/B11*100)</f>
        <v/>
      </c>
      <c r="D11" s="19" t="n">
        <v>391</v>
      </c>
      <c r="E11" s="18" t="n">
        <v>46.89563099</v>
      </c>
      <c r="F11" s="20" t="n">
        <v>2.72542959</v>
      </c>
      <c r="G11" s="18" t="n">
        <v>51.40395979</v>
      </c>
      <c r="H11" s="20" t="n">
        <v>2.82664432</v>
      </c>
      <c r="I11" s="18" t="s">
        <v>567</v>
      </c>
      <c r="J11" s="20" t="s">
        <v>567</v>
      </c>
      <c r="K11" s="18" t="n">
        <v>0.80027498</v>
      </c>
      <c r="L11" s="20" t="n">
        <v>0.73505696</v>
      </c>
      <c r="M11" s="18" t="n">
        <v>0</v>
      </c>
      <c r="N11" s="20" t="n">
        <v>0</v>
      </c>
      <c r="O11" s="18" t="n">
        <v>0</v>
      </c>
      <c r="P11" s="20" t="n">
        <v>0</v>
      </c>
      <c r="Q11" s="18" t="n">
        <v>0.90013423</v>
      </c>
      <c r="R11" s="20" t="n">
        <v>0.50850611</v>
      </c>
    </row>
    <row r="12" spans="1:18">
      <c r="A12" s="15" t="s">
        <v>572</v>
      </c>
      <c r="B12" s="17" t="n">
        <v>3472</v>
      </c>
      <c r="C12" s="18">
        <f>(3082.0/B12*100)</f>
        <v/>
      </c>
      <c r="D12" s="19" t="n">
        <v>390</v>
      </c>
      <c r="E12" s="18" t="n">
        <v>41.25121322</v>
      </c>
      <c r="F12" s="20" t="n">
        <v>2.52406919</v>
      </c>
      <c r="G12" s="18" t="n">
        <v>58.74878678</v>
      </c>
      <c r="H12" s="20" t="n">
        <v>2.52406919</v>
      </c>
      <c r="I12" s="18" t="s">
        <v>567</v>
      </c>
      <c r="J12" s="20" t="s">
        <v>567</v>
      </c>
      <c r="K12" s="18" t="n">
        <v>0</v>
      </c>
      <c r="L12" s="20" t="n">
        <v>0</v>
      </c>
      <c r="M12" s="18" t="n">
        <v>0</v>
      </c>
      <c r="N12" s="20" t="n">
        <v>0</v>
      </c>
      <c r="O12" s="18" t="n">
        <v>0</v>
      </c>
      <c r="P12" s="20" t="n">
        <v>0</v>
      </c>
      <c r="Q12" s="18" t="n">
        <v>0</v>
      </c>
      <c r="R12" s="20" t="n">
        <v>0</v>
      </c>
    </row>
    <row r="13" spans="1:18">
      <c r="A13" s="15" t="s">
        <v>573</v>
      </c>
      <c r="B13" s="17" t="n">
        <v>3559</v>
      </c>
      <c r="C13" s="18">
        <f>(3229.0/B13*100)</f>
        <v/>
      </c>
      <c r="D13" s="19" t="n">
        <v>330</v>
      </c>
      <c r="E13" s="18" t="n">
        <v>31.45865196</v>
      </c>
      <c r="F13" s="20" t="n">
        <v>2.88900417</v>
      </c>
      <c r="G13" s="18" t="n">
        <v>66.45827195</v>
      </c>
      <c r="H13" s="20" t="n">
        <v>2.95685235</v>
      </c>
      <c r="I13" s="18" t="s">
        <v>567</v>
      </c>
      <c r="J13" s="20" t="s">
        <v>567</v>
      </c>
      <c r="K13" s="18" t="n">
        <v>1.30936352</v>
      </c>
      <c r="L13" s="20" t="n">
        <v>0.84950683</v>
      </c>
      <c r="M13" s="18" t="n">
        <v>0</v>
      </c>
      <c r="N13" s="20" t="n">
        <v>0</v>
      </c>
      <c r="O13" s="18" t="n">
        <v>0</v>
      </c>
      <c r="P13" s="20" t="n">
        <v>0</v>
      </c>
      <c r="Q13" s="18" t="n">
        <v>0.77371257</v>
      </c>
      <c r="R13" s="20" t="n">
        <v>0.72746338</v>
      </c>
    </row>
    <row r="14" spans="1:18">
      <c r="A14" s="15" t="s">
        <v>574</v>
      </c>
      <c r="B14" s="17" t="n">
        <v>2799</v>
      </c>
      <c r="C14" s="18">
        <f>(2464.0/B14*100)</f>
        <v/>
      </c>
      <c r="D14" s="19" t="n">
        <v>335</v>
      </c>
      <c r="E14" s="18" t="n">
        <v>55.65493384</v>
      </c>
      <c r="F14" s="20" t="n">
        <v>3.0599674</v>
      </c>
      <c r="G14" s="18" t="n">
        <v>44.06371863</v>
      </c>
      <c r="H14" s="20" t="n">
        <v>3.04858802</v>
      </c>
      <c r="I14" s="18" t="s">
        <v>567</v>
      </c>
      <c r="J14" s="20" t="s">
        <v>567</v>
      </c>
      <c r="K14" s="18" t="n">
        <v>0.28134752</v>
      </c>
      <c r="L14" s="20" t="n">
        <v>0.28443054</v>
      </c>
      <c r="M14" s="18" t="n">
        <v>0</v>
      </c>
      <c r="N14" s="20" t="n">
        <v>0</v>
      </c>
      <c r="O14" s="18" t="n">
        <v>0</v>
      </c>
      <c r="P14" s="20" t="n">
        <v>0</v>
      </c>
      <c r="Q14" s="18" t="n">
        <v>0</v>
      </c>
      <c r="R14" s="20" t="n">
        <v>0</v>
      </c>
    </row>
    <row r="15" spans="1:18">
      <c r="A15" s="15" t="s">
        <v>575</v>
      </c>
      <c r="B15" s="17" t="n">
        <v>3019</v>
      </c>
      <c r="C15" s="18">
        <f>(2689.0/B15*100)</f>
        <v/>
      </c>
      <c r="D15" s="19" t="n">
        <v>330</v>
      </c>
      <c r="E15" s="18" t="n">
        <v>40.53265325</v>
      </c>
      <c r="F15" s="20" t="n">
        <v>2.64146842</v>
      </c>
      <c r="G15" s="18" t="n">
        <v>58.93173161</v>
      </c>
      <c r="H15" s="20" t="n">
        <v>2.63196798</v>
      </c>
      <c r="I15" s="18" t="s">
        <v>567</v>
      </c>
      <c r="J15" s="20" t="s">
        <v>567</v>
      </c>
      <c r="K15" s="18" t="n">
        <v>0</v>
      </c>
      <c r="L15" s="20" t="n">
        <v>0</v>
      </c>
      <c r="M15" s="18" t="n">
        <v>0</v>
      </c>
      <c r="N15" s="20" t="n">
        <v>0</v>
      </c>
      <c r="O15" s="18" t="n">
        <v>0</v>
      </c>
      <c r="P15" s="20" t="n">
        <v>0</v>
      </c>
      <c r="Q15" s="18" t="n">
        <v>0.53561514</v>
      </c>
      <c r="R15" s="20" t="n">
        <v>0.38077646</v>
      </c>
    </row>
    <row r="16" spans="1:18">
      <c r="A16" s="15" t="s">
        <v>576</v>
      </c>
      <c r="B16" s="17" t="n">
        <v>2997</v>
      </c>
      <c r="C16" s="18">
        <f>(2652.0/B16*100)</f>
        <v/>
      </c>
      <c r="D16" s="19" t="n">
        <v>345</v>
      </c>
      <c r="E16" s="18" t="n">
        <v>39.86865884</v>
      </c>
      <c r="F16" s="20" t="n">
        <v>2.39341601</v>
      </c>
      <c r="G16" s="18" t="n">
        <v>57.6344861</v>
      </c>
      <c r="H16" s="20" t="n">
        <v>2.36607455</v>
      </c>
      <c r="I16" s="18" t="s">
        <v>567</v>
      </c>
      <c r="J16" s="20" t="s">
        <v>567</v>
      </c>
      <c r="K16" s="18" t="n">
        <v>0.59884774</v>
      </c>
      <c r="L16" s="20" t="n">
        <v>0.43821547</v>
      </c>
      <c r="M16" s="18" t="n">
        <v>0</v>
      </c>
      <c r="N16" s="20" t="n">
        <v>0</v>
      </c>
      <c r="O16" s="18" t="n">
        <v>0</v>
      </c>
      <c r="P16" s="20" t="n">
        <v>0</v>
      </c>
      <c r="Q16" s="18" t="n">
        <v>1.89800732</v>
      </c>
      <c r="R16" s="20" t="n">
        <v>0.83529317</v>
      </c>
    </row>
    <row r="17" spans="1:18">
      <c r="A17" s="15" t="s">
        <v>577</v>
      </c>
      <c r="B17" s="17" t="n">
        <v>3307</v>
      </c>
      <c r="C17" s="18">
        <f>(2966.0/B17*100)</f>
        <v/>
      </c>
      <c r="D17" s="19" t="n">
        <v>341</v>
      </c>
      <c r="E17" s="18" t="n">
        <v>34.56934461</v>
      </c>
      <c r="F17" s="20" t="n">
        <v>2.70416708</v>
      </c>
      <c r="G17" s="18" t="n">
        <v>64.68239534</v>
      </c>
      <c r="H17" s="20" t="n">
        <v>2.66720592</v>
      </c>
      <c r="I17" s="18" t="s">
        <v>567</v>
      </c>
      <c r="J17" s="20" t="s">
        <v>567</v>
      </c>
      <c r="K17" s="18" t="n">
        <v>0.74826005</v>
      </c>
      <c r="L17" s="20" t="n">
        <v>0.46220955</v>
      </c>
      <c r="M17" s="18" t="n">
        <v>0</v>
      </c>
      <c r="N17" s="20" t="n">
        <v>0</v>
      </c>
      <c r="O17" s="18" t="n">
        <v>0</v>
      </c>
      <c r="P17" s="20" t="n">
        <v>0</v>
      </c>
      <c r="Q17" s="18" t="n">
        <v>0</v>
      </c>
      <c r="R17" s="20" t="n">
        <v>0</v>
      </c>
    </row>
    <row r="18" spans="1:18">
      <c r="A18" s="15" t="s">
        <v>578</v>
      </c>
      <c r="B18" s="17" t="n">
        <v>2826</v>
      </c>
      <c r="C18" s="18">
        <f>(2499.0/B18*100)</f>
        <v/>
      </c>
      <c r="D18" s="19" t="n">
        <v>327</v>
      </c>
      <c r="E18" s="18" t="n">
        <v>53.72470939</v>
      </c>
      <c r="F18" s="20" t="n">
        <v>3.40412568</v>
      </c>
      <c r="G18" s="18" t="n">
        <v>44.15618156</v>
      </c>
      <c r="H18" s="20" t="n">
        <v>3.16358576</v>
      </c>
      <c r="I18" s="18" t="s">
        <v>567</v>
      </c>
      <c r="J18" s="20" t="s">
        <v>567</v>
      </c>
      <c r="K18" s="18" t="n">
        <v>0.16769618</v>
      </c>
      <c r="L18" s="20" t="n">
        <v>0.17239313</v>
      </c>
      <c r="M18" s="18" t="n">
        <v>0</v>
      </c>
      <c r="N18" s="20" t="n">
        <v>0</v>
      </c>
      <c r="O18" s="18" t="n">
        <v>0</v>
      </c>
      <c r="P18" s="20" t="n">
        <v>0</v>
      </c>
      <c r="Q18" s="18" t="n">
        <v>1.95141287</v>
      </c>
      <c r="R18" s="20" t="n">
        <v>0.82762401</v>
      </c>
    </row>
    <row r="19" spans="1:18">
      <c r="A19" s="15" t="s">
        <v>579</v>
      </c>
      <c r="B19" s="17" t="n">
        <v>2808</v>
      </c>
      <c r="C19" s="18">
        <f>(2497.0/B19*100)</f>
        <v/>
      </c>
      <c r="D19" s="19" t="n">
        <v>311</v>
      </c>
      <c r="E19" s="18" t="n">
        <v>23.07081374</v>
      </c>
      <c r="F19" s="20" t="n">
        <v>2.85847624</v>
      </c>
      <c r="G19" s="18" t="n">
        <v>76.92918625999999</v>
      </c>
      <c r="H19" s="20" t="n">
        <v>2.85847624</v>
      </c>
      <c r="I19" s="18" t="s">
        <v>567</v>
      </c>
      <c r="J19" s="20" t="s">
        <v>567</v>
      </c>
      <c r="K19" s="18" t="n">
        <v>0</v>
      </c>
      <c r="L19" s="20" t="n">
        <v>0</v>
      </c>
      <c r="M19" s="18" t="n">
        <v>0</v>
      </c>
      <c r="N19" s="20" t="n">
        <v>0</v>
      </c>
      <c r="O19" s="18" t="n">
        <v>0</v>
      </c>
      <c r="P19" s="20" t="n">
        <v>0</v>
      </c>
      <c r="Q19" s="18" t="n">
        <v>0</v>
      </c>
      <c r="R19" s="20" t="n">
        <v>0</v>
      </c>
    </row>
    <row r="20" spans="1:18">
      <c r="A20" s="15" t="s">
        <v>580</v>
      </c>
      <c r="B20" s="17" t="n">
        <v>1630</v>
      </c>
      <c r="C20" s="18">
        <f>(1462.0/B20*100)</f>
        <v/>
      </c>
      <c r="D20" s="19" t="n">
        <v>168</v>
      </c>
      <c r="E20" s="18" t="n">
        <v>40.09867019</v>
      </c>
      <c r="F20" s="20" t="n">
        <v>3.83803817</v>
      </c>
      <c r="G20" s="18" t="n">
        <v>59.32425832</v>
      </c>
      <c r="H20" s="20" t="n">
        <v>3.88139265</v>
      </c>
      <c r="I20" s="18" t="s">
        <v>567</v>
      </c>
      <c r="J20" s="20" t="s">
        <v>567</v>
      </c>
      <c r="K20" s="18" t="n">
        <v>0</v>
      </c>
      <c r="L20" s="20" t="n">
        <v>0</v>
      </c>
      <c r="M20" s="18" t="n">
        <v>0</v>
      </c>
      <c r="N20" s="20" t="n">
        <v>0</v>
      </c>
      <c r="O20" s="18" t="n">
        <v>0</v>
      </c>
      <c r="P20" s="20" t="n">
        <v>0</v>
      </c>
      <c r="Q20" s="18" t="n">
        <v>0.57707148</v>
      </c>
      <c r="R20" s="20" t="n">
        <v>0.56868562</v>
      </c>
    </row>
    <row r="21" spans="1:18">
      <c r="A21" s="15" t="s">
        <v>581</v>
      </c>
      <c r="B21" s="17" t="n">
        <v>2908</v>
      </c>
      <c r="C21" s="18">
        <f>(2576.0/B21*100)</f>
        <v/>
      </c>
      <c r="D21" s="19" t="n">
        <v>332</v>
      </c>
      <c r="E21" s="18" t="n">
        <v>34.71303195</v>
      </c>
      <c r="F21" s="20" t="n">
        <v>2.91696831</v>
      </c>
      <c r="G21" s="18" t="n">
        <v>64.98825501</v>
      </c>
      <c r="H21" s="20" t="n">
        <v>2.92406636</v>
      </c>
      <c r="I21" s="18" t="s">
        <v>567</v>
      </c>
      <c r="J21" s="20" t="s">
        <v>567</v>
      </c>
      <c r="K21" s="18" t="n">
        <v>0</v>
      </c>
      <c r="L21" s="20" t="n">
        <v>0</v>
      </c>
      <c r="M21" s="18" t="n">
        <v>0</v>
      </c>
      <c r="N21" s="20" t="n">
        <v>0</v>
      </c>
      <c r="O21" s="18" t="n">
        <v>0</v>
      </c>
      <c r="P21" s="20" t="n">
        <v>0</v>
      </c>
      <c r="Q21" s="18" t="n">
        <v>0.29871304</v>
      </c>
      <c r="R21" s="20" t="n">
        <v>0.29996979</v>
      </c>
    </row>
    <row r="22" spans="1:18">
      <c r="A22" s="15" t="s">
        <v>582</v>
      </c>
      <c r="B22" s="17" t="n">
        <v>2931</v>
      </c>
      <c r="C22" s="18">
        <f>(2608.0/B22*100)</f>
        <v/>
      </c>
      <c r="D22" s="19" t="n">
        <v>323</v>
      </c>
      <c r="E22" s="18" t="n">
        <v>61.75612961</v>
      </c>
      <c r="F22" s="20" t="n">
        <v>2.41418822</v>
      </c>
      <c r="G22" s="18" t="n">
        <v>36.32372067</v>
      </c>
      <c r="H22" s="20" t="n">
        <v>2.26527064</v>
      </c>
      <c r="I22" s="18" t="s">
        <v>567</v>
      </c>
      <c r="J22" s="20" t="s">
        <v>567</v>
      </c>
      <c r="K22" s="18" t="n">
        <v>1.41002042</v>
      </c>
      <c r="L22" s="20" t="n">
        <v>0.88635659</v>
      </c>
      <c r="M22" s="18" t="n">
        <v>0</v>
      </c>
      <c r="N22" s="20" t="n">
        <v>0</v>
      </c>
      <c r="O22" s="18" t="n">
        <v>0</v>
      </c>
      <c r="P22" s="20" t="n">
        <v>0</v>
      </c>
      <c r="Q22" s="18" t="n">
        <v>0.51012929</v>
      </c>
      <c r="R22" s="20" t="n">
        <v>0.36627246</v>
      </c>
    </row>
    <row r="23" spans="1:18">
      <c r="A23" s="15" t="s">
        <v>583</v>
      </c>
      <c r="B23" s="17" t="n">
        <v>5791</v>
      </c>
      <c r="C23" s="18">
        <f>(5151.0/B23*100)</f>
        <v/>
      </c>
      <c r="D23" s="19" t="n">
        <v>640</v>
      </c>
      <c r="E23" s="18" t="n">
        <v>37.76347451</v>
      </c>
      <c r="F23" s="20" t="n">
        <v>2.48028003</v>
      </c>
      <c r="G23" s="18" t="n">
        <v>61.41929546</v>
      </c>
      <c r="H23" s="20" t="n">
        <v>2.503537</v>
      </c>
      <c r="I23" s="18" t="s">
        <v>567</v>
      </c>
      <c r="J23" s="20" t="s">
        <v>567</v>
      </c>
      <c r="K23" s="18" t="n">
        <v>0</v>
      </c>
      <c r="L23" s="20" t="n">
        <v>0</v>
      </c>
      <c r="M23" s="18" t="n">
        <v>0</v>
      </c>
      <c r="N23" s="20" t="n">
        <v>0</v>
      </c>
      <c r="O23" s="18" t="n">
        <v>0</v>
      </c>
      <c r="P23" s="20" t="n">
        <v>0</v>
      </c>
      <c r="Q23" s="18" t="n">
        <v>0.8172300300000001</v>
      </c>
      <c r="R23" s="20" t="n">
        <v>0.66999531</v>
      </c>
    </row>
    <row r="24" spans="1:18">
      <c r="A24" s="15" t="s">
        <v>584</v>
      </c>
      <c r="B24" s="17" t="n">
        <v>3338</v>
      </c>
      <c r="C24" s="18">
        <f>(2973.0/B24*100)</f>
        <v/>
      </c>
      <c r="D24" s="19" t="n">
        <v>365</v>
      </c>
      <c r="E24" s="18" t="n">
        <v>45.55035041</v>
      </c>
      <c r="F24" s="20" t="n">
        <v>2.69595409</v>
      </c>
      <c r="G24" s="18" t="n">
        <v>53.88979268</v>
      </c>
      <c r="H24" s="20" t="n">
        <v>2.70303</v>
      </c>
      <c r="I24" s="18" t="s">
        <v>567</v>
      </c>
      <c r="J24" s="20" t="s">
        <v>567</v>
      </c>
      <c r="K24" s="18" t="n">
        <v>0</v>
      </c>
      <c r="L24" s="20" t="n">
        <v>0</v>
      </c>
      <c r="M24" s="18" t="n">
        <v>0</v>
      </c>
      <c r="N24" s="20" t="n">
        <v>0</v>
      </c>
      <c r="O24" s="18" t="n">
        <v>0</v>
      </c>
      <c r="P24" s="20" t="n">
        <v>0</v>
      </c>
      <c r="Q24" s="18" t="n">
        <v>0.55985692</v>
      </c>
      <c r="R24" s="20" t="n">
        <v>0.38364286</v>
      </c>
    </row>
    <row r="25" spans="1:18">
      <c r="A25" s="15" t="s">
        <v>585</v>
      </c>
      <c r="B25" s="17" t="n">
        <v>2912</v>
      </c>
      <c r="C25" s="18">
        <f>(2607.0/B25*100)</f>
        <v/>
      </c>
      <c r="D25" s="19" t="n">
        <v>305</v>
      </c>
      <c r="E25" s="18" t="n">
        <v>52.54085444</v>
      </c>
      <c r="F25" s="20" t="n">
        <v>2.92304459</v>
      </c>
      <c r="G25" s="18" t="n">
        <v>47.10538298</v>
      </c>
      <c r="H25" s="20" t="n">
        <v>3.01513804</v>
      </c>
      <c r="I25" s="18" t="s">
        <v>567</v>
      </c>
      <c r="J25" s="20" t="s">
        <v>567</v>
      </c>
      <c r="K25" s="18" t="n">
        <v>0</v>
      </c>
      <c r="L25" s="20" t="n">
        <v>0</v>
      </c>
      <c r="M25" s="18" t="n">
        <v>0</v>
      </c>
      <c r="N25" s="20" t="n">
        <v>0</v>
      </c>
      <c r="O25" s="18" t="n">
        <v>0</v>
      </c>
      <c r="P25" s="20" t="n">
        <v>0</v>
      </c>
      <c r="Q25" s="18" t="n">
        <v>0.35376259</v>
      </c>
      <c r="R25" s="20" t="n">
        <v>0.35746444</v>
      </c>
    </row>
    <row r="26" spans="1:18">
      <c r="A26" s="15" t="s">
        <v>586</v>
      </c>
      <c r="B26" s="17" t="n">
        <v>2450</v>
      </c>
      <c r="C26" s="18">
        <f>(2178.0/B26*100)</f>
        <v/>
      </c>
      <c r="D26" s="19" t="n">
        <v>272</v>
      </c>
      <c r="E26" s="18" t="n">
        <v>36.11026713</v>
      </c>
      <c r="F26" s="20" t="n">
        <v>3.5360006</v>
      </c>
      <c r="G26" s="18" t="n">
        <v>63.62181025</v>
      </c>
      <c r="H26" s="20" t="n">
        <v>3.5483275</v>
      </c>
      <c r="I26" s="18" t="s">
        <v>567</v>
      </c>
      <c r="J26" s="20" t="s">
        <v>567</v>
      </c>
      <c r="K26" s="18" t="n">
        <v>0</v>
      </c>
      <c r="L26" s="20" t="n">
        <v>0</v>
      </c>
      <c r="M26" s="18" t="n">
        <v>0</v>
      </c>
      <c r="N26" s="20" t="n">
        <v>0</v>
      </c>
      <c r="O26" s="18" t="n">
        <v>0</v>
      </c>
      <c r="P26" s="20" t="n">
        <v>0</v>
      </c>
      <c r="Q26" s="18" t="n">
        <v>0.26792262</v>
      </c>
      <c r="R26" s="20" t="n">
        <v>0.27927688</v>
      </c>
    </row>
    <row r="27" spans="1:18">
      <c r="A27" s="15" t="s">
        <v>587</v>
      </c>
      <c r="B27" s="17" t="n">
        <v>2616</v>
      </c>
      <c r="C27" s="18">
        <f>(2317.0/B27*100)</f>
        <v/>
      </c>
      <c r="D27" s="19" t="n">
        <v>299</v>
      </c>
      <c r="E27" s="18" t="n">
        <v>44.15337081</v>
      </c>
      <c r="F27" s="20" t="n">
        <v>2.84721708</v>
      </c>
      <c r="G27" s="18" t="n">
        <v>54.08681208</v>
      </c>
      <c r="H27" s="20" t="n">
        <v>2.88314339</v>
      </c>
      <c r="I27" s="18" t="s">
        <v>567</v>
      </c>
      <c r="J27" s="20" t="s">
        <v>567</v>
      </c>
      <c r="K27" s="18" t="n">
        <v>0.35255678</v>
      </c>
      <c r="L27" s="20" t="n">
        <v>0.35624811</v>
      </c>
      <c r="M27" s="18" t="n">
        <v>0</v>
      </c>
      <c r="N27" s="20" t="n">
        <v>0</v>
      </c>
      <c r="O27" s="18" t="n">
        <v>0</v>
      </c>
      <c r="P27" s="20" t="n">
        <v>0</v>
      </c>
      <c r="Q27" s="18" t="n">
        <v>1.40726033</v>
      </c>
      <c r="R27" s="20" t="n">
        <v>0.71034959</v>
      </c>
    </row>
    <row r="28" spans="1:18">
      <c r="A28" s="15" t="s">
        <v>588</v>
      </c>
      <c r="B28" s="17" t="n">
        <v>3765</v>
      </c>
      <c r="C28" s="18">
        <f>(3378.0/B28*100)</f>
        <v/>
      </c>
      <c r="D28" s="19" t="n">
        <v>387</v>
      </c>
      <c r="E28" s="18" t="n">
        <v>55.86434932</v>
      </c>
      <c r="F28" s="20" t="n">
        <v>3.0703868</v>
      </c>
      <c r="G28" s="18" t="n">
        <v>43.46716466</v>
      </c>
      <c r="H28" s="20" t="n">
        <v>3.01969785</v>
      </c>
      <c r="I28" s="18" t="s">
        <v>567</v>
      </c>
      <c r="J28" s="20" t="s">
        <v>567</v>
      </c>
      <c r="K28" s="18" t="n">
        <v>0</v>
      </c>
      <c r="L28" s="20" t="n">
        <v>0</v>
      </c>
      <c r="M28" s="18" t="n">
        <v>0</v>
      </c>
      <c r="N28" s="20" t="n">
        <v>0</v>
      </c>
      <c r="O28" s="18" t="n">
        <v>0</v>
      </c>
      <c r="P28" s="20" t="n">
        <v>0</v>
      </c>
      <c r="Q28" s="18" t="n">
        <v>0.66848602</v>
      </c>
      <c r="R28" s="20" t="n">
        <v>0.49801875</v>
      </c>
    </row>
    <row r="29" spans="1:18">
      <c r="A29" s="15" t="s">
        <v>589</v>
      </c>
      <c r="B29" s="17" t="n">
        <v>2685</v>
      </c>
      <c r="C29" s="18">
        <f>(2404.0/B29*100)</f>
        <v/>
      </c>
      <c r="D29" s="19" t="n">
        <v>281</v>
      </c>
      <c r="E29" s="18" t="n">
        <v>34.71185505</v>
      </c>
      <c r="F29" s="20" t="n">
        <v>3.05049272</v>
      </c>
      <c r="G29" s="18" t="n">
        <v>64.267984</v>
      </c>
      <c r="H29" s="20" t="n">
        <v>3.11527621</v>
      </c>
      <c r="I29" s="18" t="s">
        <v>567</v>
      </c>
      <c r="J29" s="20" t="s">
        <v>567</v>
      </c>
      <c r="K29" s="18" t="n">
        <v>0.36807508</v>
      </c>
      <c r="L29" s="20" t="n">
        <v>0.36480756</v>
      </c>
      <c r="M29" s="18" t="n">
        <v>0</v>
      </c>
      <c r="N29" s="20" t="n">
        <v>0</v>
      </c>
      <c r="O29" s="18" t="n">
        <v>0</v>
      </c>
      <c r="P29" s="20" t="n">
        <v>0</v>
      </c>
      <c r="Q29" s="18" t="n">
        <v>0.65208586</v>
      </c>
      <c r="R29" s="20" t="n">
        <v>0.47601761</v>
      </c>
    </row>
    <row r="30" spans="1:18">
      <c r="A30" s="15" t="s">
        <v>590</v>
      </c>
      <c r="B30" s="17" t="n">
        <v>2263</v>
      </c>
      <c r="C30" s="18">
        <f>(1998.0/B30*100)</f>
        <v/>
      </c>
      <c r="D30" s="19" t="n">
        <v>265</v>
      </c>
      <c r="E30" s="18" t="n">
        <v>36.07756982</v>
      </c>
      <c r="F30" s="20" t="n">
        <v>3.13374198</v>
      </c>
      <c r="G30" s="18" t="n">
        <v>62.70751289</v>
      </c>
      <c r="H30" s="20" t="n">
        <v>2.94363618</v>
      </c>
      <c r="I30" s="18" t="s">
        <v>567</v>
      </c>
      <c r="J30" s="20" t="s">
        <v>567</v>
      </c>
      <c r="K30" s="18" t="n">
        <v>0</v>
      </c>
      <c r="L30" s="20" t="n">
        <v>0</v>
      </c>
      <c r="M30" s="18" t="n">
        <v>0</v>
      </c>
      <c r="N30" s="20" t="n">
        <v>0</v>
      </c>
      <c r="O30" s="18" t="n">
        <v>0</v>
      </c>
      <c r="P30" s="20" t="n">
        <v>0</v>
      </c>
      <c r="Q30" s="18" t="n">
        <v>1.21491729</v>
      </c>
      <c r="R30" s="20" t="n">
        <v>0.7783309899999999</v>
      </c>
    </row>
    <row r="31" spans="1:18">
      <c r="A31" s="15" t="s">
        <v>591</v>
      </c>
      <c r="B31" s="17" t="n">
        <v>2750</v>
      </c>
      <c r="C31" s="18">
        <f>(2451.0/B31*100)</f>
        <v/>
      </c>
      <c r="D31" s="19" t="n">
        <v>299</v>
      </c>
      <c r="E31" s="18" t="n">
        <v>42.90179778</v>
      </c>
      <c r="F31" s="20" t="n">
        <v>3.09185083</v>
      </c>
      <c r="G31" s="18" t="n">
        <v>56.19169689</v>
      </c>
      <c r="H31" s="20" t="n">
        <v>3.15676673</v>
      </c>
      <c r="I31" s="18" t="s">
        <v>567</v>
      </c>
      <c r="J31" s="20" t="s">
        <v>567</v>
      </c>
      <c r="K31" s="18" t="n">
        <v>0.28162006</v>
      </c>
      <c r="L31" s="20" t="n">
        <v>0.28355703</v>
      </c>
      <c r="M31" s="18" t="n">
        <v>0</v>
      </c>
      <c r="N31" s="20" t="n">
        <v>0</v>
      </c>
      <c r="O31" s="18" t="n">
        <v>0</v>
      </c>
      <c r="P31" s="20" t="n">
        <v>0</v>
      </c>
      <c r="Q31" s="18" t="n">
        <v>0.62488528</v>
      </c>
      <c r="R31" s="20" t="n">
        <v>0.44739406</v>
      </c>
    </row>
    <row r="32" spans="1:18">
      <c r="A32" s="15" t="s">
        <v>592</v>
      </c>
      <c r="B32" s="17" t="n">
        <v>2269</v>
      </c>
      <c r="C32" s="18">
        <f>(2023.0/B32*100)</f>
        <v/>
      </c>
      <c r="D32" s="19" t="n">
        <v>246</v>
      </c>
      <c r="E32" s="18" t="n">
        <v>56.59217759</v>
      </c>
      <c r="F32" s="20" t="n">
        <v>3.12511065</v>
      </c>
      <c r="G32" s="18" t="n">
        <v>42.64275657</v>
      </c>
      <c r="H32" s="20" t="n">
        <v>3.21697531</v>
      </c>
      <c r="I32" s="18" t="s">
        <v>567</v>
      </c>
      <c r="J32" s="20" t="s">
        <v>567</v>
      </c>
      <c r="K32" s="18" t="n">
        <v>0.36123409</v>
      </c>
      <c r="L32" s="20" t="n">
        <v>0.35288361</v>
      </c>
      <c r="M32" s="18" t="n">
        <v>0</v>
      </c>
      <c r="N32" s="20" t="n">
        <v>0</v>
      </c>
      <c r="O32" s="18" t="n">
        <v>0</v>
      </c>
      <c r="P32" s="20" t="n">
        <v>0</v>
      </c>
      <c r="Q32" s="18" t="n">
        <v>0.40383175</v>
      </c>
      <c r="R32" s="20" t="n">
        <v>0.43107215</v>
      </c>
    </row>
    <row r="33" spans="1:18">
      <c r="A33" s="15" t="s">
        <v>593</v>
      </c>
      <c r="B33" s="17" t="n">
        <v>3674</v>
      </c>
      <c r="C33" s="18">
        <f>(3278.0/B33*100)</f>
        <v/>
      </c>
      <c r="D33" s="19" t="n">
        <v>396</v>
      </c>
      <c r="E33" s="18" t="n">
        <v>44.45262769</v>
      </c>
      <c r="F33" s="20" t="n">
        <v>3.21377323</v>
      </c>
      <c r="G33" s="18" t="n">
        <v>55.14408117</v>
      </c>
      <c r="H33" s="20" t="n">
        <v>3.14283949</v>
      </c>
      <c r="I33" s="18" t="s">
        <v>567</v>
      </c>
      <c r="J33" s="20" t="s">
        <v>567</v>
      </c>
      <c r="K33" s="18" t="n">
        <v>0</v>
      </c>
      <c r="L33" s="20" t="n">
        <v>0</v>
      </c>
      <c r="M33" s="18" t="n">
        <v>0</v>
      </c>
      <c r="N33" s="20" t="n">
        <v>0</v>
      </c>
      <c r="O33" s="18" t="n">
        <v>0</v>
      </c>
      <c r="P33" s="20" t="n">
        <v>0</v>
      </c>
      <c r="Q33" s="18" t="n">
        <v>0.40329114</v>
      </c>
      <c r="R33" s="20" t="n">
        <v>0.31244337</v>
      </c>
    </row>
    <row r="34" spans="1:18">
      <c r="A34" s="15" t="s">
        <v>594</v>
      </c>
      <c r="B34" s="17" t="n">
        <v>3315</v>
      </c>
      <c r="C34" s="18">
        <f>(2972.0/B34*100)</f>
        <v/>
      </c>
      <c r="D34" s="19" t="n">
        <v>343</v>
      </c>
      <c r="E34" s="18" t="n">
        <v>45.65557092</v>
      </c>
      <c r="F34" s="20" t="n">
        <v>2.84159374</v>
      </c>
      <c r="G34" s="18" t="n">
        <v>53.63210656</v>
      </c>
      <c r="H34" s="20" t="n">
        <v>2.75114778</v>
      </c>
      <c r="I34" s="18" t="s">
        <v>567</v>
      </c>
      <c r="J34" s="20" t="s">
        <v>567</v>
      </c>
      <c r="K34" s="18" t="n">
        <v>0</v>
      </c>
      <c r="L34" s="20" t="n">
        <v>0</v>
      </c>
      <c r="M34" s="18" t="n">
        <v>0</v>
      </c>
      <c r="N34" s="20" t="n">
        <v>0</v>
      </c>
      <c r="O34" s="18" t="n">
        <v>0</v>
      </c>
      <c r="P34" s="20" t="n">
        <v>0</v>
      </c>
      <c r="Q34" s="18" t="n">
        <v>0.71232252</v>
      </c>
      <c r="R34" s="20" t="n">
        <v>0.51815945</v>
      </c>
    </row>
    <row r="35" spans="1:18">
      <c r="A35" s="15" t="s">
        <v>595</v>
      </c>
      <c r="B35" s="17" t="n">
        <v>3505</v>
      </c>
      <c r="C35" s="18">
        <f>(3120.0/B35*100)</f>
        <v/>
      </c>
      <c r="D35" s="19" t="n">
        <v>385</v>
      </c>
      <c r="E35" s="18" t="n">
        <v>54.32327876</v>
      </c>
      <c r="F35" s="20" t="n">
        <v>3.27368649</v>
      </c>
      <c r="G35" s="18" t="n">
        <v>45.011525</v>
      </c>
      <c r="H35" s="20" t="n">
        <v>3.24333047</v>
      </c>
      <c r="I35" s="18" t="s">
        <v>567</v>
      </c>
      <c r="J35" s="20" t="s">
        <v>567</v>
      </c>
      <c r="K35" s="18" t="n">
        <v>0</v>
      </c>
      <c r="L35" s="20" t="n">
        <v>0</v>
      </c>
      <c r="M35" s="18" t="n">
        <v>0</v>
      </c>
      <c r="N35" s="20" t="n">
        <v>0</v>
      </c>
      <c r="O35" s="18" t="n">
        <v>0</v>
      </c>
      <c r="P35" s="20" t="n">
        <v>0</v>
      </c>
      <c r="Q35" s="18" t="n">
        <v>0.66519624</v>
      </c>
      <c r="R35" s="20" t="n">
        <v>0.47102331</v>
      </c>
    </row>
    <row r="36" spans="1:18">
      <c r="A36" s="15" t="s">
        <v>596</v>
      </c>
      <c r="B36" s="17" t="n">
        <v>3332</v>
      </c>
      <c r="C36" s="18">
        <f>(2952.0/B36*100)</f>
        <v/>
      </c>
      <c r="D36" s="19" t="n">
        <v>380</v>
      </c>
      <c r="E36" s="18" t="n">
        <v>43.94795224</v>
      </c>
      <c r="F36" s="20" t="n">
        <v>2.66883184</v>
      </c>
      <c r="G36" s="18" t="n">
        <v>54.48277222</v>
      </c>
      <c r="H36" s="20" t="n">
        <v>2.61518305</v>
      </c>
      <c r="I36" s="18" t="s">
        <v>567</v>
      </c>
      <c r="J36" s="20" t="s">
        <v>567</v>
      </c>
      <c r="K36" s="18" t="n">
        <v>0.21615625</v>
      </c>
      <c r="L36" s="20" t="n">
        <v>0.1558792</v>
      </c>
      <c r="M36" s="18" t="n">
        <v>0</v>
      </c>
      <c r="N36" s="20" t="n">
        <v>0</v>
      </c>
      <c r="O36" s="18" t="n">
        <v>0</v>
      </c>
      <c r="P36" s="20" t="n">
        <v>0</v>
      </c>
      <c r="Q36" s="18" t="n">
        <v>1.35311929</v>
      </c>
      <c r="R36" s="20" t="n">
        <v>0.37235446</v>
      </c>
    </row>
    <row r="37" spans="1:18">
      <c r="A37" s="15" t="s">
        <v>597</v>
      </c>
      <c r="B37" s="17" t="n">
        <v>2727</v>
      </c>
      <c r="C37" s="18">
        <f>(2422.0/B37*100)</f>
        <v/>
      </c>
      <c r="D37" s="19" t="n">
        <v>305</v>
      </c>
      <c r="E37" s="18" t="n">
        <v>34.5060445</v>
      </c>
      <c r="F37" s="20" t="n">
        <v>2.79379367</v>
      </c>
      <c r="G37" s="18" t="n">
        <v>64.3430523</v>
      </c>
      <c r="H37" s="20" t="n">
        <v>2.67551962</v>
      </c>
      <c r="I37" s="18" t="s">
        <v>567</v>
      </c>
      <c r="J37" s="20" t="s">
        <v>567</v>
      </c>
      <c r="K37" s="18" t="n">
        <v>0</v>
      </c>
      <c r="L37" s="20" t="n">
        <v>0</v>
      </c>
      <c r="M37" s="18" t="n">
        <v>0</v>
      </c>
      <c r="N37" s="20" t="n">
        <v>0</v>
      </c>
      <c r="O37" s="18" t="n">
        <v>0</v>
      </c>
      <c r="P37" s="20" t="n">
        <v>0</v>
      </c>
      <c r="Q37" s="18" t="n">
        <v>1.15090319</v>
      </c>
      <c r="R37" s="20" t="n">
        <v>0.5760556</v>
      </c>
    </row>
    <row r="38" spans="1:18">
      <c r="A38" s="15" t="s">
        <v>598</v>
      </c>
      <c r="B38" s="17" t="n">
        <v>3053</v>
      </c>
      <c r="C38" s="18">
        <f>(2724.0/B38*100)</f>
        <v/>
      </c>
      <c r="D38" s="19" t="n">
        <v>329</v>
      </c>
      <c r="E38" s="18" t="n">
        <v>37.7741664</v>
      </c>
      <c r="F38" s="20" t="n">
        <v>3.14570592</v>
      </c>
      <c r="G38" s="18" t="n">
        <v>61.18268764</v>
      </c>
      <c r="H38" s="20" t="n">
        <v>3.2651281</v>
      </c>
      <c r="I38" s="18" t="s">
        <v>567</v>
      </c>
      <c r="J38" s="20" t="s">
        <v>567</v>
      </c>
      <c r="K38" s="18" t="n">
        <v>0.5188146</v>
      </c>
      <c r="L38" s="20" t="n">
        <v>0.45325673</v>
      </c>
      <c r="M38" s="18" t="n">
        <v>0</v>
      </c>
      <c r="N38" s="20" t="n">
        <v>0</v>
      </c>
      <c r="O38" s="18" t="n">
        <v>0</v>
      </c>
      <c r="P38" s="20" t="n">
        <v>0</v>
      </c>
      <c r="Q38" s="18" t="n">
        <v>0.52433136</v>
      </c>
      <c r="R38" s="20" t="n">
        <v>0.37194084</v>
      </c>
    </row>
    <row r="39" spans="1:18">
      <c r="A39" s="15" t="s">
        <v>599</v>
      </c>
      <c r="B39" s="17" t="n">
        <v>2957</v>
      </c>
      <c r="C39" s="18">
        <f>(2624.0/B39*100)</f>
        <v/>
      </c>
      <c r="D39" s="19" t="n">
        <v>333</v>
      </c>
      <c r="E39" s="18" t="n">
        <v>60.08248893</v>
      </c>
      <c r="F39" s="20" t="n">
        <v>2.94743122</v>
      </c>
      <c r="G39" s="18" t="n">
        <v>38.92016913</v>
      </c>
      <c r="H39" s="20" t="n">
        <v>2.82316087</v>
      </c>
      <c r="I39" s="18" t="s">
        <v>567</v>
      </c>
      <c r="J39" s="20" t="s">
        <v>567</v>
      </c>
      <c r="K39" s="18" t="n">
        <v>0.21263693</v>
      </c>
      <c r="L39" s="20" t="n">
        <v>0.22051977</v>
      </c>
      <c r="M39" s="18" t="n">
        <v>0</v>
      </c>
      <c r="N39" s="20" t="n">
        <v>0</v>
      </c>
      <c r="O39" s="18" t="n">
        <v>0</v>
      </c>
      <c r="P39" s="20" t="n">
        <v>0</v>
      </c>
      <c r="Q39" s="18" t="n">
        <v>0.78470501</v>
      </c>
      <c r="R39" s="20" t="n">
        <v>0.78532076</v>
      </c>
    </row>
    <row r="40" spans="1:18">
      <c r="A40" s="15" t="s">
        <v>600</v>
      </c>
      <c r="B40" s="17" t="n">
        <v>7235</v>
      </c>
      <c r="C40" s="18">
        <f>(6387.0/B40*100)</f>
        <v/>
      </c>
      <c r="D40" s="19" t="n">
        <v>848</v>
      </c>
      <c r="E40" s="18" t="n">
        <v>34.31646143</v>
      </c>
      <c r="F40" s="20" t="n">
        <v>2.5688155</v>
      </c>
      <c r="G40" s="18" t="n">
        <v>64.52031088</v>
      </c>
      <c r="H40" s="20" t="n">
        <v>2.57058404</v>
      </c>
      <c r="I40" s="18" t="s">
        <v>567</v>
      </c>
      <c r="J40" s="20" t="s">
        <v>567</v>
      </c>
      <c r="K40" s="18" t="n">
        <v>0.09862953000000001</v>
      </c>
      <c r="L40" s="20" t="n">
        <v>0.06603146</v>
      </c>
      <c r="M40" s="18" t="n">
        <v>0</v>
      </c>
      <c r="N40" s="20" t="n">
        <v>0</v>
      </c>
      <c r="O40" s="18" t="n">
        <v>0</v>
      </c>
      <c r="P40" s="20" t="n">
        <v>0</v>
      </c>
      <c r="Q40" s="18" t="n">
        <v>1.06459816</v>
      </c>
      <c r="R40" s="20" t="n">
        <v>0.59729946</v>
      </c>
    </row>
    <row r="41" spans="1:18">
      <c r="A41" s="15" t="s">
        <v>601</v>
      </c>
      <c r="B41" s="17" t="n">
        <v>2858</v>
      </c>
      <c r="C41" s="18">
        <f>(2528.0/B41*100)</f>
        <v/>
      </c>
      <c r="D41" s="19" t="n">
        <v>330</v>
      </c>
      <c r="E41" s="18" t="n">
        <v>42.24918607</v>
      </c>
      <c r="F41" s="20" t="n">
        <v>2.64798414</v>
      </c>
      <c r="G41" s="18" t="n">
        <v>57.24335895</v>
      </c>
      <c r="H41" s="20" t="n">
        <v>2.61212182</v>
      </c>
      <c r="I41" s="18" t="s">
        <v>567</v>
      </c>
      <c r="J41" s="20" t="s">
        <v>567</v>
      </c>
      <c r="K41" s="18" t="n">
        <v>0</v>
      </c>
      <c r="L41" s="20" t="n">
        <v>0</v>
      </c>
      <c r="M41" s="18" t="n">
        <v>0</v>
      </c>
      <c r="N41" s="20" t="n">
        <v>0</v>
      </c>
      <c r="O41" s="18" t="n">
        <v>0</v>
      </c>
      <c r="P41" s="20" t="n">
        <v>0</v>
      </c>
      <c r="Q41" s="18" t="n">
        <v>0.5074549699999999</v>
      </c>
      <c r="R41" s="20" t="n">
        <v>0.37621465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(10026.0/B46*100)</f>
        <v/>
      </c>
      <c r="D46" s="19" t="n">
        <v>1042</v>
      </c>
      <c r="E46" s="18" t="n">
        <v>60.93827025</v>
      </c>
      <c r="F46" s="20" t="n">
        <v>2.09698249</v>
      </c>
      <c r="G46" s="18" t="n">
        <v>37.80902633</v>
      </c>
      <c r="H46" s="20" t="n">
        <v>2.04480844</v>
      </c>
      <c r="I46" s="18" t="s">
        <v>567</v>
      </c>
      <c r="J46" s="20" t="s">
        <v>567</v>
      </c>
      <c r="K46" s="18" t="n">
        <v>0.31260608</v>
      </c>
      <c r="L46" s="20" t="n">
        <v>0.20422792</v>
      </c>
      <c r="M46" s="18" t="n">
        <v>0</v>
      </c>
      <c r="N46" s="20" t="n">
        <v>0</v>
      </c>
      <c r="O46" s="18" t="n">
        <v>0</v>
      </c>
      <c r="P46" s="20" t="n">
        <v>0</v>
      </c>
      <c r="Q46" s="18" t="n">
        <v>0.94009734</v>
      </c>
      <c r="R46" s="20" t="n">
        <v>0.31872915</v>
      </c>
    </row>
    <row r="47" spans="1:18">
      <c r="A47" s="15" t="s">
        <v>607</v>
      </c>
      <c r="B47" s="17" t="n">
        <v>3105</v>
      </c>
      <c r="C47" s="18">
        <f>(2759.0/B47*100)</f>
        <v/>
      </c>
      <c r="D47" s="19" t="n">
        <v>346</v>
      </c>
      <c r="E47" s="18" t="n">
        <v>55.54622505</v>
      </c>
      <c r="F47" s="20" t="n">
        <v>2.56970229</v>
      </c>
      <c r="G47" s="18" t="n">
        <v>43.89490797</v>
      </c>
      <c r="H47" s="20" t="n">
        <v>2.51238598</v>
      </c>
      <c r="I47" s="18" t="s">
        <v>567</v>
      </c>
      <c r="J47" s="20" t="s">
        <v>567</v>
      </c>
      <c r="K47" s="18" t="n">
        <v>0</v>
      </c>
      <c r="L47" s="20" t="n">
        <v>0</v>
      </c>
      <c r="M47" s="18" t="n">
        <v>0</v>
      </c>
      <c r="N47" s="20" t="n">
        <v>0</v>
      </c>
      <c r="O47" s="18" t="n">
        <v>0</v>
      </c>
      <c r="P47" s="20" t="n">
        <v>0</v>
      </c>
      <c r="Q47" s="18" t="n">
        <v>0.55886698</v>
      </c>
      <c r="R47" s="20" t="n">
        <v>0.34156655</v>
      </c>
    </row>
    <row r="48" spans="1:18">
      <c r="A48" s="15" t="s">
        <v>608</v>
      </c>
      <c r="B48" s="17" t="n">
        <v>5159</v>
      </c>
      <c r="C48" s="18">
        <f>(4607.0/B48*100)</f>
        <v/>
      </c>
      <c r="D48" s="19" t="n">
        <v>552</v>
      </c>
      <c r="E48" s="18" t="n">
        <v>28.01611675</v>
      </c>
      <c r="F48" s="20" t="n">
        <v>2.35625287</v>
      </c>
      <c r="G48" s="18" t="n">
        <v>71.32455623</v>
      </c>
      <c r="H48" s="20" t="n">
        <v>2.41542257</v>
      </c>
      <c r="I48" s="18" t="s">
        <v>567</v>
      </c>
      <c r="J48" s="20" t="s">
        <v>567</v>
      </c>
      <c r="K48" s="18" t="n">
        <v>0.65932702</v>
      </c>
      <c r="L48" s="20" t="n">
        <v>0.46718171</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(5033.0/B50*100)</f>
        <v/>
      </c>
      <c r="D50" s="19" t="n">
        <v>604</v>
      </c>
      <c r="E50" s="18" t="n">
        <v>65.31783455</v>
      </c>
      <c r="F50" s="20" t="n">
        <v>2.53919755</v>
      </c>
      <c r="G50" s="18" t="n">
        <v>33.78251828</v>
      </c>
      <c r="H50" s="20" t="n">
        <v>2.42951138</v>
      </c>
      <c r="I50" s="18" t="s">
        <v>567</v>
      </c>
      <c r="J50" s="20" t="s">
        <v>567</v>
      </c>
      <c r="K50" s="18" t="n">
        <v>0.77548385</v>
      </c>
      <c r="L50" s="20" t="n">
        <v>0.44604692</v>
      </c>
      <c r="M50" s="18" t="n">
        <v>0</v>
      </c>
      <c r="N50" s="20" t="n">
        <v>0</v>
      </c>
      <c r="O50" s="18" t="n">
        <v>0</v>
      </c>
      <c r="P50" s="20" t="n">
        <v>0</v>
      </c>
      <c r="Q50" s="18" t="n">
        <v>0.12416332</v>
      </c>
      <c r="R50" s="20" t="n">
        <v>0.09649636</v>
      </c>
    </row>
    <row r="51" spans="1:18">
      <c r="A51" s="15" t="s">
        <v>611</v>
      </c>
      <c r="B51" s="17" t="n">
        <v>3372</v>
      </c>
      <c r="C51" s="18">
        <f>(3033.0/B51*100)</f>
        <v/>
      </c>
      <c r="D51" s="19" t="n">
        <v>339</v>
      </c>
      <c r="E51" s="18" t="n">
        <v>56.02987035</v>
      </c>
      <c r="F51" s="20" t="n">
        <v>2.89287184</v>
      </c>
      <c r="G51" s="18" t="n">
        <v>42.82334939</v>
      </c>
      <c r="H51" s="20" t="n">
        <v>2.88751694</v>
      </c>
      <c r="I51" s="18" t="s">
        <v>567</v>
      </c>
      <c r="J51" s="20" t="s">
        <v>567</v>
      </c>
      <c r="K51" s="18" t="n">
        <v>0.74293319</v>
      </c>
      <c r="L51" s="20" t="n">
        <v>0.65672548</v>
      </c>
      <c r="M51" s="18" t="n">
        <v>0</v>
      </c>
      <c r="N51" s="20" t="n">
        <v>0</v>
      </c>
      <c r="O51" s="18" t="n">
        <v>0</v>
      </c>
      <c r="P51" s="20" t="n">
        <v>0</v>
      </c>
      <c r="Q51" s="18" t="n">
        <v>0.40384708</v>
      </c>
      <c r="R51" s="20" t="n">
        <v>0.23410839</v>
      </c>
    </row>
    <row r="52" spans="1:18">
      <c r="A52" s="15" t="s">
        <v>612</v>
      </c>
      <c r="B52" s="17" t="n">
        <v>2796</v>
      </c>
      <c r="C52" s="18">
        <f>(2515.0/B52*100)</f>
        <v/>
      </c>
      <c r="D52" s="19" t="n">
        <v>281</v>
      </c>
      <c r="E52" s="18" t="n">
        <v>56.39813125</v>
      </c>
      <c r="F52" s="20" t="n">
        <v>2.90977475</v>
      </c>
      <c r="G52" s="18" t="n">
        <v>43.60186875</v>
      </c>
      <c r="H52" s="20" t="n">
        <v>2.90977475</v>
      </c>
      <c r="I52" s="18" t="s">
        <v>567</v>
      </c>
      <c r="J52" s="20" t="s">
        <v>567</v>
      </c>
      <c r="K52" s="18" t="n">
        <v>0</v>
      </c>
      <c r="L52" s="20" t="n">
        <v>0</v>
      </c>
      <c r="M52" s="18" t="n">
        <v>0</v>
      </c>
      <c r="N52" s="20" t="n">
        <v>0</v>
      </c>
      <c r="O52" s="18" t="n">
        <v>0</v>
      </c>
      <c r="P52" s="20" t="n">
        <v>0</v>
      </c>
      <c r="Q52" s="18" t="n">
        <v>0</v>
      </c>
      <c r="R52" s="20" t="n">
        <v>0</v>
      </c>
    </row>
    <row r="53" spans="1:18">
      <c r="A53" s="15" t="s">
        <v>613</v>
      </c>
      <c r="B53" s="17" t="n">
        <v>2811</v>
      </c>
      <c r="C53" s="18">
        <f>(2521.0/B53*100)</f>
        <v/>
      </c>
      <c r="D53" s="19" t="n">
        <v>290</v>
      </c>
      <c r="E53" s="18" t="n">
        <v>48.54284349</v>
      </c>
      <c r="F53" s="20" t="n">
        <v>2.98461291</v>
      </c>
      <c r="G53" s="18" t="n">
        <v>50.22642822</v>
      </c>
      <c r="H53" s="20" t="n">
        <v>3.07180489</v>
      </c>
      <c r="I53" s="18" t="s">
        <v>567</v>
      </c>
      <c r="J53" s="20" t="s">
        <v>567</v>
      </c>
      <c r="K53" s="18" t="n">
        <v>0.23100431</v>
      </c>
      <c r="L53" s="20" t="n">
        <v>0.23349264</v>
      </c>
      <c r="M53" s="18" t="n">
        <v>0</v>
      </c>
      <c r="N53" s="20" t="n">
        <v>0</v>
      </c>
      <c r="O53" s="18" t="n">
        <v>0</v>
      </c>
      <c r="P53" s="20" t="n">
        <v>0</v>
      </c>
      <c r="Q53" s="18" t="n">
        <v>0.99972398</v>
      </c>
      <c r="R53" s="20" t="n">
        <v>0.58828124</v>
      </c>
    </row>
    <row r="54" spans="1:18">
      <c r="A54" s="15" t="s">
        <v>614</v>
      </c>
      <c r="B54" s="17" t="n">
        <v>2266</v>
      </c>
      <c r="C54" s="18">
        <f>(2015.0/B54*100)</f>
        <v/>
      </c>
      <c r="D54" s="19" t="n">
        <v>251</v>
      </c>
      <c r="E54" s="18" t="n">
        <v>66.78165490000001</v>
      </c>
      <c r="F54" s="20" t="n">
        <v>3.04745929</v>
      </c>
      <c r="G54" s="18" t="n">
        <v>23.63668512</v>
      </c>
      <c r="H54" s="20" t="n">
        <v>2.42542905</v>
      </c>
      <c r="I54" s="18" t="s">
        <v>567</v>
      </c>
      <c r="J54" s="20" t="s">
        <v>567</v>
      </c>
      <c r="K54" s="18" t="n">
        <v>6.20878678</v>
      </c>
      <c r="L54" s="20" t="n">
        <v>1.73903705</v>
      </c>
      <c r="M54" s="18" t="n">
        <v>0</v>
      </c>
      <c r="N54" s="20" t="n">
        <v>0</v>
      </c>
      <c r="O54" s="18" t="n">
        <v>0</v>
      </c>
      <c r="P54" s="20" t="n">
        <v>0</v>
      </c>
      <c r="Q54" s="18" t="n">
        <v>3.3728732</v>
      </c>
      <c r="R54" s="20" t="n">
        <v>1.16896815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(2392.0/B56*100)</f>
        <v/>
      </c>
      <c r="D56" s="19" t="n">
        <v>292</v>
      </c>
      <c r="E56" s="18" t="n">
        <v>28.59230219</v>
      </c>
      <c r="F56" s="20" t="n">
        <v>2.75625598</v>
      </c>
      <c r="G56" s="18" t="n">
        <v>71.40769781</v>
      </c>
      <c r="H56" s="20" t="n">
        <v>2.75625598</v>
      </c>
      <c r="I56" s="18" t="s">
        <v>567</v>
      </c>
      <c r="J56" s="20" t="s">
        <v>567</v>
      </c>
      <c r="K56" s="18" t="n">
        <v>0</v>
      </c>
      <c r="L56" s="20" t="n">
        <v>0</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(2994.0/B61*100)</f>
        <v/>
      </c>
      <c r="D61" s="19" t="n">
        <v>330</v>
      </c>
      <c r="E61" s="18" t="n">
        <v>50.84926667</v>
      </c>
      <c r="F61" s="20" t="n">
        <v>3.15427469</v>
      </c>
      <c r="G61" s="18" t="n">
        <v>47.69209304</v>
      </c>
      <c r="H61" s="20" t="n">
        <v>3.09714438</v>
      </c>
      <c r="I61" s="18" t="s">
        <v>567</v>
      </c>
      <c r="J61" s="20" t="s">
        <v>567</v>
      </c>
      <c r="K61" s="18" t="n">
        <v>0.42961692</v>
      </c>
      <c r="L61" s="20" t="n">
        <v>0.44849813</v>
      </c>
      <c r="M61" s="18" t="n">
        <v>0</v>
      </c>
      <c r="N61" s="20" t="n">
        <v>0</v>
      </c>
      <c r="O61" s="18" t="n">
        <v>0</v>
      </c>
      <c r="P61" s="20" t="n">
        <v>0</v>
      </c>
      <c r="Q61" s="18" t="n">
        <v>1.02902337</v>
      </c>
      <c r="R61" s="20" t="n">
        <v>0.62113852</v>
      </c>
    </row>
    <row r="62" spans="1:18">
      <c r="A62" s="15" t="s">
        <v>622</v>
      </c>
      <c r="B62" s="17" t="n">
        <v>2246</v>
      </c>
      <c r="C62" s="18">
        <f>(1993.0/B62*100)</f>
        <v/>
      </c>
      <c r="D62" s="19" t="n">
        <v>253</v>
      </c>
      <c r="E62" s="18" t="n">
        <v>39.21170079</v>
      </c>
      <c r="F62" s="20" t="n">
        <v>2.94169829</v>
      </c>
      <c r="G62" s="18" t="n">
        <v>60.78829921</v>
      </c>
      <c r="H62" s="20" t="n">
        <v>2.94169829</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(2596.0/B66*100)</f>
        <v/>
      </c>
      <c r="D66" s="19" t="n">
        <v>298</v>
      </c>
      <c r="E66" s="18" t="n">
        <v>70.58054099</v>
      </c>
      <c r="F66" s="20" t="n">
        <v>2.84847925</v>
      </c>
      <c r="G66" s="18" t="n">
        <v>28.79020015</v>
      </c>
      <c r="H66" s="20" t="n">
        <v>2.90189134</v>
      </c>
      <c r="I66" s="18" t="s">
        <v>567</v>
      </c>
      <c r="J66" s="20" t="s">
        <v>567</v>
      </c>
      <c r="K66" s="18" t="n">
        <v>0</v>
      </c>
      <c r="L66" s="20" t="n">
        <v>0</v>
      </c>
      <c r="M66" s="18" t="n">
        <v>0</v>
      </c>
      <c r="N66" s="20" t="n">
        <v>0</v>
      </c>
      <c r="O66" s="18" t="n">
        <v>0</v>
      </c>
      <c r="P66" s="20" t="n">
        <v>0</v>
      </c>
      <c r="Q66" s="18" t="n">
        <v>0.62925885</v>
      </c>
      <c r="R66" s="20" t="n">
        <v>0.4469248</v>
      </c>
    </row>
    <row r="67" spans="1:18">
      <c r="A67" s="15" t="s">
        <v>627</v>
      </c>
      <c r="B67" s="17" t="n">
        <v>3511</v>
      </c>
      <c r="C67" s="18">
        <f>(3156.0/B67*100)</f>
        <v/>
      </c>
      <c r="D67" s="19" t="n">
        <v>355</v>
      </c>
      <c r="E67" s="18" t="n">
        <v>71.70594129</v>
      </c>
      <c r="F67" s="20" t="n">
        <v>1.93734844</v>
      </c>
      <c r="G67" s="18" t="n">
        <v>27.38894069</v>
      </c>
      <c r="H67" s="20" t="n">
        <v>1.98404782</v>
      </c>
      <c r="I67" s="18" t="s">
        <v>567</v>
      </c>
      <c r="J67" s="20" t="s">
        <v>567</v>
      </c>
      <c r="K67" s="18" t="n">
        <v>0.28700077</v>
      </c>
      <c r="L67" s="20" t="n">
        <v>0.28504979</v>
      </c>
      <c r="M67" s="18" t="n">
        <v>0</v>
      </c>
      <c r="N67" s="20" t="n">
        <v>0</v>
      </c>
      <c r="O67" s="18" t="n">
        <v>0</v>
      </c>
      <c r="P67" s="20" t="n">
        <v>0</v>
      </c>
      <c r="Q67" s="18" t="n">
        <v>0.61811725</v>
      </c>
      <c r="R67" s="20" t="n">
        <v>0.61650574</v>
      </c>
    </row>
    <row r="68" spans="1:18">
      <c r="A68" s="15" t="s">
        <v>628</v>
      </c>
      <c r="B68" s="17" t="n">
        <v>6049</v>
      </c>
      <c r="C68" s="18">
        <f>(5390.0/B68*100)</f>
        <v/>
      </c>
      <c r="D68" s="19" t="n">
        <v>659</v>
      </c>
      <c r="E68" s="18" t="n">
        <v>57.92799557</v>
      </c>
      <c r="F68" s="20" t="n">
        <v>2.02703384</v>
      </c>
      <c r="G68" s="18" t="n">
        <v>37.94907141</v>
      </c>
      <c r="H68" s="20" t="n">
        <v>1.99371244</v>
      </c>
      <c r="I68" s="18" t="s">
        <v>567</v>
      </c>
      <c r="J68" s="20" t="s">
        <v>567</v>
      </c>
      <c r="K68" s="18" t="n">
        <v>2.29892276</v>
      </c>
      <c r="L68" s="20" t="n">
        <v>0.63589525</v>
      </c>
      <c r="M68" s="18" t="n">
        <v>0</v>
      </c>
      <c r="N68" s="20" t="n">
        <v>0</v>
      </c>
      <c r="O68" s="18" t="n">
        <v>0</v>
      </c>
      <c r="P68" s="20" t="n">
        <v>0</v>
      </c>
      <c r="Q68" s="18" t="n">
        <v>1.82401026</v>
      </c>
      <c r="R68" s="20" t="n">
        <v>0.5092956199999999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(2641.0/B70*100)</f>
        <v/>
      </c>
      <c r="D70" s="19" t="n">
        <v>288</v>
      </c>
      <c r="E70" s="18" t="n">
        <v>59.82138419</v>
      </c>
      <c r="F70" s="20" t="n">
        <v>2.92823206</v>
      </c>
      <c r="G70" s="18" t="n">
        <v>39.28260016</v>
      </c>
      <c r="H70" s="20" t="n">
        <v>2.79028825</v>
      </c>
      <c r="I70" s="18" t="s">
        <v>567</v>
      </c>
      <c r="J70" s="20" t="s">
        <v>567</v>
      </c>
      <c r="K70" s="18" t="n">
        <v>0.22389953</v>
      </c>
      <c r="L70" s="20" t="n">
        <v>0.19048144</v>
      </c>
      <c r="M70" s="18" t="n">
        <v>0</v>
      </c>
      <c r="N70" s="20" t="n">
        <v>0</v>
      </c>
      <c r="O70" s="18" t="n">
        <v>0</v>
      </c>
      <c r="P70" s="20" t="n">
        <v>0</v>
      </c>
      <c r="Q70" s="18" t="n">
        <v>0.67211612</v>
      </c>
      <c r="R70" s="20" t="n">
        <v>0.66658499</v>
      </c>
    </row>
    <row r="71" spans="1:18">
      <c r="A71" s="15" t="s">
        <v>631</v>
      </c>
      <c r="B71" s="17" t="n">
        <v>3142</v>
      </c>
      <c r="C71" s="18">
        <f>(2779.0/B71*100)</f>
        <v/>
      </c>
      <c r="D71" s="19" t="n">
        <v>363</v>
      </c>
      <c r="E71" s="18" t="n">
        <v>34.32353372</v>
      </c>
      <c r="F71" s="20" t="n">
        <v>2.77909894</v>
      </c>
      <c r="G71" s="18" t="n">
        <v>65.42947123</v>
      </c>
      <c r="H71" s="20" t="n">
        <v>2.80860332</v>
      </c>
      <c r="I71" s="18" t="s">
        <v>567</v>
      </c>
      <c r="J71" s="20" t="s">
        <v>567</v>
      </c>
      <c r="K71" s="18" t="n">
        <v>0</v>
      </c>
      <c r="L71" s="20" t="n">
        <v>0</v>
      </c>
      <c r="M71" s="18" t="n">
        <v>0</v>
      </c>
      <c r="N71" s="20" t="n">
        <v>0</v>
      </c>
      <c r="O71" s="18" t="n">
        <v>0</v>
      </c>
      <c r="P71" s="20" t="n">
        <v>0</v>
      </c>
      <c r="Q71" s="18" t="n">
        <v>0.24699505</v>
      </c>
      <c r="R71" s="20" t="n">
        <v>0.24474776</v>
      </c>
    </row>
    <row r="72" spans="1:18">
      <c r="A72" s="15" t="s">
        <v>632</v>
      </c>
      <c r="B72" s="17" t="n">
        <v>3889</v>
      </c>
      <c r="C72" s="18">
        <f>(3448.0/B72*100)</f>
        <v/>
      </c>
      <c r="D72" s="19" t="n">
        <v>441</v>
      </c>
      <c r="E72" s="18" t="n">
        <v>30.0595421</v>
      </c>
      <c r="F72" s="20" t="n">
        <v>2.02451876</v>
      </c>
      <c r="G72" s="18" t="n">
        <v>69.56766856</v>
      </c>
      <c r="H72" s="20" t="n">
        <v>2.06193189</v>
      </c>
      <c r="I72" s="18" t="s">
        <v>567</v>
      </c>
      <c r="J72" s="20" t="s">
        <v>567</v>
      </c>
      <c r="K72" s="18" t="n">
        <v>0</v>
      </c>
      <c r="L72" s="20" t="n">
        <v>0</v>
      </c>
      <c r="M72" s="18" t="n">
        <v>0</v>
      </c>
      <c r="N72" s="20" t="n">
        <v>0</v>
      </c>
      <c r="O72" s="18" t="n">
        <v>0</v>
      </c>
      <c r="P72" s="20" t="n">
        <v>0</v>
      </c>
      <c r="Q72" s="18" t="n">
        <v>0.37278934</v>
      </c>
      <c r="R72" s="20" t="n">
        <v>0.26391591</v>
      </c>
    </row>
    <row r="73" spans="1:18">
      <c r="A73" s="15" t="s">
        <v>633</v>
      </c>
      <c r="B73" s="17" t="n">
        <v>3597</v>
      </c>
      <c r="C73" s="18">
        <f>(3185.0/B73*100)</f>
        <v/>
      </c>
      <c r="D73" s="19" t="n">
        <v>412</v>
      </c>
      <c r="E73" s="18" t="n">
        <v>49.54483661</v>
      </c>
      <c r="F73" s="20" t="n">
        <v>2.76499751</v>
      </c>
      <c r="G73" s="18" t="n">
        <v>50.34797723</v>
      </c>
      <c r="H73" s="20" t="n">
        <v>2.77530442</v>
      </c>
      <c r="I73" s="18" t="s">
        <v>567</v>
      </c>
      <c r="J73" s="20" t="s">
        <v>567</v>
      </c>
      <c r="K73" s="18" t="n">
        <v>0</v>
      </c>
      <c r="L73" s="20" t="n">
        <v>0</v>
      </c>
      <c r="M73" s="18" t="n">
        <v>0</v>
      </c>
      <c r="N73" s="20" t="n">
        <v>0</v>
      </c>
      <c r="O73" s="18" t="n">
        <v>0</v>
      </c>
      <c r="P73" s="20" t="n">
        <v>0</v>
      </c>
      <c r="Q73" s="18" t="n">
        <v>0.10718616</v>
      </c>
      <c r="R73" s="20" t="n">
        <v>0.1019682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(2170.0/B75*100)</f>
        <v/>
      </c>
      <c r="D75" s="19" t="n">
        <v>236</v>
      </c>
      <c r="E75" s="18" t="n">
        <v>37.4994862</v>
      </c>
      <c r="F75" s="20" t="n">
        <v>3.13789826</v>
      </c>
      <c r="G75" s="18" t="n">
        <v>58.23611907</v>
      </c>
      <c r="H75" s="20" t="n">
        <v>3.15999412</v>
      </c>
      <c r="I75" s="18" t="s">
        <v>567</v>
      </c>
      <c r="J75" s="20" t="s">
        <v>567</v>
      </c>
      <c r="K75" s="18" t="n">
        <v>2.9206412</v>
      </c>
      <c r="L75" s="20" t="n">
        <v>0.98486098</v>
      </c>
      <c r="M75" s="18" t="n">
        <v>0</v>
      </c>
      <c r="N75" s="20" t="n">
        <v>0</v>
      </c>
      <c r="O75" s="18" t="n">
        <v>0</v>
      </c>
      <c r="P75" s="20" t="n">
        <v>0</v>
      </c>
      <c r="Q75" s="18" t="n">
        <v>1.34375353</v>
      </c>
      <c r="R75" s="20" t="n">
        <v>0.8671319199999999</v>
      </c>
    </row>
    <row r="76" spans="1:18">
      <c r="A76" s="15" t="s">
        <v>636</v>
      </c>
      <c r="B76" s="17" t="n">
        <v>7052</v>
      </c>
      <c r="C76" s="18">
        <f>(6275.0/B76*100)</f>
        <v/>
      </c>
      <c r="D76" s="19" t="n">
        <v>777</v>
      </c>
      <c r="E76" s="18" t="n">
        <v>56.4260723</v>
      </c>
      <c r="F76" s="20" t="n">
        <v>2.54912146</v>
      </c>
      <c r="G76" s="18" t="n">
        <v>41.6757313</v>
      </c>
      <c r="H76" s="20" t="n">
        <v>2.34226825</v>
      </c>
      <c r="I76" s="18" t="s">
        <v>567</v>
      </c>
      <c r="J76" s="20" t="s">
        <v>567</v>
      </c>
      <c r="K76" s="18" t="n">
        <v>0.8275037</v>
      </c>
      <c r="L76" s="20" t="n">
        <v>0.44993509</v>
      </c>
      <c r="M76" s="18" t="n">
        <v>0</v>
      </c>
      <c r="N76" s="20" t="n">
        <v>0</v>
      </c>
      <c r="O76" s="18" t="n">
        <v>0</v>
      </c>
      <c r="P76" s="20" t="n">
        <v>0</v>
      </c>
      <c r="Q76" s="18" t="n">
        <v>1.0706927</v>
      </c>
      <c r="R76" s="20" t="n">
        <v>0.41819389</v>
      </c>
    </row>
    <row r="77" spans="1:18">
      <c r="A77" s="15" t="s">
        <v>637</v>
      </c>
      <c r="B77" s="17" t="n">
        <v>2908</v>
      </c>
      <c r="C77" s="18">
        <f>(2610.0/B77*100)</f>
        <v/>
      </c>
      <c r="D77" s="19" t="n">
        <v>298</v>
      </c>
      <c r="E77" s="18" t="n">
        <v>56.97756235</v>
      </c>
      <c r="F77" s="20" t="n">
        <v>2.90025817</v>
      </c>
      <c r="G77" s="18" t="n">
        <v>42.07007091</v>
      </c>
      <c r="H77" s="20" t="n">
        <v>3.07074279</v>
      </c>
      <c r="I77" s="18" t="s">
        <v>567</v>
      </c>
      <c r="J77" s="20" t="s">
        <v>567</v>
      </c>
      <c r="K77" s="18" t="n">
        <v>0.58777687</v>
      </c>
      <c r="L77" s="20" t="n">
        <v>0.63244545</v>
      </c>
      <c r="M77" s="18" t="n">
        <v>0</v>
      </c>
      <c r="N77" s="20" t="n">
        <v>0</v>
      </c>
      <c r="O77" s="18" t="n">
        <v>0</v>
      </c>
      <c r="P77" s="20" t="n">
        <v>0</v>
      </c>
      <c r="Q77" s="18" t="n">
        <v>0.36458986</v>
      </c>
      <c r="R77" s="20" t="n">
        <v>0.36755249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(3710.0/B81*100)</f>
        <v/>
      </c>
      <c r="D81" s="19" t="n">
        <v>453</v>
      </c>
      <c r="E81" s="18" t="n">
        <v>52.38475573</v>
      </c>
      <c r="F81" s="20" t="n">
        <v>2.85363983</v>
      </c>
      <c r="G81" s="18" t="n">
        <v>46.61942751</v>
      </c>
      <c r="H81" s="20" t="n">
        <v>2.97227182</v>
      </c>
      <c r="I81" s="18" t="s">
        <v>567</v>
      </c>
      <c r="J81" s="20" t="s">
        <v>567</v>
      </c>
      <c r="K81" s="18" t="n">
        <v>0.38137958</v>
      </c>
      <c r="L81" s="20" t="n">
        <v>0.26283598</v>
      </c>
      <c r="M81" s="18" t="n">
        <v>0</v>
      </c>
      <c r="N81" s="20" t="n">
        <v>0</v>
      </c>
      <c r="O81" s="18" t="n">
        <v>0</v>
      </c>
      <c r="P81" s="20" t="n">
        <v>0</v>
      </c>
      <c r="Q81" s="18" t="n">
        <v>0.61443718</v>
      </c>
      <c r="R81" s="20" t="n">
        <v>0.43757606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(6558.0/B7*100)</f>
        <v/>
      </c>
      <c r="D7" s="19" t="n">
        <v>809</v>
      </c>
      <c r="E7" s="18" t="n">
        <v>12.49634834</v>
      </c>
      <c r="F7" s="20" t="n">
        <v>1.42311558</v>
      </c>
      <c r="G7" s="18" t="n">
        <v>86.36035105000001</v>
      </c>
      <c r="H7" s="20" t="n">
        <v>1.40643894</v>
      </c>
      <c r="I7" s="18" t="s">
        <v>567</v>
      </c>
      <c r="J7" s="20" t="s">
        <v>567</v>
      </c>
      <c r="K7" s="18" t="n">
        <v>0.37114993</v>
      </c>
      <c r="L7" s="20" t="n">
        <v>0.20769998</v>
      </c>
      <c r="M7" s="18" t="n">
        <v>0</v>
      </c>
      <c r="N7" s="20" t="n">
        <v>0</v>
      </c>
      <c r="O7" s="18" t="n">
        <v>0</v>
      </c>
      <c r="P7" s="20" t="n">
        <v>0</v>
      </c>
      <c r="Q7" s="18" t="n">
        <v>0.77215067</v>
      </c>
      <c r="R7" s="20" t="n">
        <v>0.30744945</v>
      </c>
    </row>
    <row r="8" spans="1:18">
      <c r="A8" s="15" t="s">
        <v>568</v>
      </c>
      <c r="B8" s="17" t="n">
        <v>3564</v>
      </c>
      <c r="C8" s="18">
        <f>(3179.0/B8*100)</f>
        <v/>
      </c>
      <c r="D8" s="19" t="n">
        <v>385</v>
      </c>
      <c r="E8" s="18" t="n">
        <v>8.02603877</v>
      </c>
      <c r="F8" s="20" t="n">
        <v>2.07181198</v>
      </c>
      <c r="G8" s="18" t="n">
        <v>90.57179757</v>
      </c>
      <c r="H8" s="20" t="n">
        <v>2.21255525</v>
      </c>
      <c r="I8" s="18" t="s">
        <v>567</v>
      </c>
      <c r="J8" s="20" t="s">
        <v>567</v>
      </c>
      <c r="K8" s="18" t="n">
        <v>0</v>
      </c>
      <c r="L8" s="20" t="n">
        <v>0</v>
      </c>
      <c r="M8" s="18" t="n">
        <v>0</v>
      </c>
      <c r="N8" s="20" t="n">
        <v>0</v>
      </c>
      <c r="O8" s="18" t="n">
        <v>0</v>
      </c>
      <c r="P8" s="20" t="n">
        <v>0</v>
      </c>
      <c r="Q8" s="18" t="n">
        <v>1.40216366</v>
      </c>
      <c r="R8" s="20" t="n">
        <v>0.65365052</v>
      </c>
    </row>
    <row r="9" spans="1:18">
      <c r="A9" s="15" t="s">
        <v>569</v>
      </c>
      <c r="B9" s="17" t="n">
        <v>4899</v>
      </c>
      <c r="C9" s="18">
        <f>(4347.0/B9*100)</f>
        <v/>
      </c>
      <c r="D9" s="19" t="n">
        <v>552</v>
      </c>
      <c r="E9" s="18" t="n">
        <v>11.93232676</v>
      </c>
      <c r="F9" s="20" t="n">
        <v>1.56929795</v>
      </c>
      <c r="G9" s="18" t="n">
        <v>88.06767324</v>
      </c>
      <c r="H9" s="20" t="n">
        <v>1.56929795</v>
      </c>
      <c r="I9" s="18" t="s">
        <v>567</v>
      </c>
      <c r="J9" s="20" t="s">
        <v>567</v>
      </c>
      <c r="K9" s="18" t="n">
        <v>0</v>
      </c>
      <c r="L9" s="20" t="n">
        <v>0</v>
      </c>
      <c r="M9" s="18" t="n">
        <v>0</v>
      </c>
      <c r="N9" s="20" t="n">
        <v>0</v>
      </c>
      <c r="O9" s="18" t="n">
        <v>0</v>
      </c>
      <c r="P9" s="20" t="n">
        <v>0</v>
      </c>
      <c r="Q9" s="18" t="n">
        <v>0</v>
      </c>
      <c r="R9" s="20" t="n">
        <v>0</v>
      </c>
    </row>
    <row r="10" spans="1:18">
      <c r="A10" s="15" t="s">
        <v>570</v>
      </c>
      <c r="B10" s="17" t="n">
        <v>10036</v>
      </c>
      <c r="C10" s="18">
        <f>(8909.0/B10*100)</f>
        <v/>
      </c>
      <c r="D10" s="19" t="n">
        <v>1127</v>
      </c>
      <c r="E10" s="18" t="n">
        <v>5.92506486</v>
      </c>
      <c r="F10" s="20" t="n">
        <v>0.91195255</v>
      </c>
      <c r="G10" s="18" t="n">
        <v>93.16492805</v>
      </c>
      <c r="H10" s="20" t="n">
        <v>0.968012</v>
      </c>
      <c r="I10" s="18" t="s">
        <v>567</v>
      </c>
      <c r="J10" s="20" t="s">
        <v>567</v>
      </c>
      <c r="K10" s="18" t="n">
        <v>0.55625135</v>
      </c>
      <c r="L10" s="20" t="n">
        <v>0.34224992</v>
      </c>
      <c r="M10" s="18" t="n">
        <v>0</v>
      </c>
      <c r="N10" s="20" t="n">
        <v>0</v>
      </c>
      <c r="O10" s="18" t="n">
        <v>0</v>
      </c>
      <c r="P10" s="20" t="n">
        <v>0</v>
      </c>
      <c r="Q10" s="18" t="n">
        <v>0.35375573</v>
      </c>
      <c r="R10" s="20" t="n">
        <v>0.25347636</v>
      </c>
    </row>
    <row r="11" spans="1:18">
      <c r="A11" s="15" t="s">
        <v>571</v>
      </c>
      <c r="B11" s="17" t="n">
        <v>3553</v>
      </c>
      <c r="C11" s="18">
        <f>(3165.0/B11*100)</f>
        <v/>
      </c>
      <c r="D11" s="19" t="n">
        <v>388</v>
      </c>
      <c r="E11" s="18" t="n">
        <v>9.58654321</v>
      </c>
      <c r="F11" s="20" t="n">
        <v>1.90909045</v>
      </c>
      <c r="G11" s="18" t="n">
        <v>88.50976601000001</v>
      </c>
      <c r="H11" s="20" t="n">
        <v>2.0069081</v>
      </c>
      <c r="I11" s="18" t="s">
        <v>567</v>
      </c>
      <c r="J11" s="20" t="s">
        <v>567</v>
      </c>
      <c r="K11" s="18" t="n">
        <v>0.8051574500000001</v>
      </c>
      <c r="L11" s="20" t="n">
        <v>0.73951809</v>
      </c>
      <c r="M11" s="18" t="n">
        <v>0</v>
      </c>
      <c r="N11" s="20" t="n">
        <v>0</v>
      </c>
      <c r="O11" s="18" t="n">
        <v>0</v>
      </c>
      <c r="P11" s="20" t="n">
        <v>0</v>
      </c>
      <c r="Q11" s="18" t="n">
        <v>1.09853332</v>
      </c>
      <c r="R11" s="20" t="n">
        <v>0.52649733</v>
      </c>
    </row>
    <row r="12" spans="1:18">
      <c r="A12" s="15" t="s">
        <v>572</v>
      </c>
      <c r="B12" s="17" t="n">
        <v>3472</v>
      </c>
      <c r="C12" s="18">
        <f>(3083.0/B12*100)</f>
        <v/>
      </c>
      <c r="D12" s="19" t="n">
        <v>389</v>
      </c>
      <c r="E12" s="18" t="n">
        <v>6.63957151</v>
      </c>
      <c r="F12" s="20" t="n">
        <v>1.30439026</v>
      </c>
      <c r="G12" s="18" t="n">
        <v>93.36042849</v>
      </c>
      <c r="H12" s="20" t="n">
        <v>1.30439026</v>
      </c>
      <c r="I12" s="18" t="s">
        <v>567</v>
      </c>
      <c r="J12" s="20" t="s">
        <v>567</v>
      </c>
      <c r="K12" s="18" t="n">
        <v>0</v>
      </c>
      <c r="L12" s="20" t="n">
        <v>0</v>
      </c>
      <c r="M12" s="18" t="n">
        <v>0</v>
      </c>
      <c r="N12" s="20" t="n">
        <v>0</v>
      </c>
      <c r="O12" s="18" t="n">
        <v>0</v>
      </c>
      <c r="P12" s="20" t="n">
        <v>0</v>
      </c>
      <c r="Q12" s="18" t="n">
        <v>0</v>
      </c>
      <c r="R12" s="20" t="n">
        <v>0</v>
      </c>
    </row>
    <row r="13" spans="1:18">
      <c r="A13" s="15" t="s">
        <v>573</v>
      </c>
      <c r="B13" s="17" t="n">
        <v>3559</v>
      </c>
      <c r="C13" s="18">
        <f>(3229.0/B13*100)</f>
        <v/>
      </c>
      <c r="D13" s="19" t="n">
        <v>330</v>
      </c>
      <c r="E13" s="18" t="n">
        <v>8.10531209</v>
      </c>
      <c r="F13" s="20" t="n">
        <v>1.88243354</v>
      </c>
      <c r="G13" s="18" t="n">
        <v>89.84060325</v>
      </c>
      <c r="H13" s="20" t="n">
        <v>2.09162988</v>
      </c>
      <c r="I13" s="18" t="s">
        <v>567</v>
      </c>
      <c r="J13" s="20" t="s">
        <v>567</v>
      </c>
      <c r="K13" s="18" t="n">
        <v>1.34578518</v>
      </c>
      <c r="L13" s="20" t="n">
        <v>0.85163217</v>
      </c>
      <c r="M13" s="18" t="n">
        <v>0</v>
      </c>
      <c r="N13" s="20" t="n">
        <v>0</v>
      </c>
      <c r="O13" s="18" t="n">
        <v>0</v>
      </c>
      <c r="P13" s="20" t="n">
        <v>0</v>
      </c>
      <c r="Q13" s="18" t="n">
        <v>0.70829948</v>
      </c>
      <c r="R13" s="20" t="n">
        <v>0.73061435</v>
      </c>
    </row>
    <row r="14" spans="1:18">
      <c r="A14" s="15" t="s">
        <v>574</v>
      </c>
      <c r="B14" s="17" t="n">
        <v>2799</v>
      </c>
      <c r="C14" s="18">
        <f>(2464.0/B14*100)</f>
        <v/>
      </c>
      <c r="D14" s="19" t="n">
        <v>335</v>
      </c>
      <c r="E14" s="18" t="n">
        <v>4.70248348</v>
      </c>
      <c r="F14" s="20" t="n">
        <v>1.3107204</v>
      </c>
      <c r="G14" s="18" t="n">
        <v>94.78981881</v>
      </c>
      <c r="H14" s="20" t="n">
        <v>1.35385186</v>
      </c>
      <c r="I14" s="18" t="s">
        <v>567</v>
      </c>
      <c r="J14" s="20" t="s">
        <v>567</v>
      </c>
      <c r="K14" s="18" t="n">
        <v>0.28134752</v>
      </c>
      <c r="L14" s="20" t="n">
        <v>0.28443054</v>
      </c>
      <c r="M14" s="18" t="n">
        <v>0</v>
      </c>
      <c r="N14" s="20" t="n">
        <v>0</v>
      </c>
      <c r="O14" s="18" t="n">
        <v>0</v>
      </c>
      <c r="P14" s="20" t="n">
        <v>0</v>
      </c>
      <c r="Q14" s="18" t="n">
        <v>0.22635019</v>
      </c>
      <c r="R14" s="20" t="n">
        <v>0.23097286</v>
      </c>
    </row>
    <row r="15" spans="1:18">
      <c r="A15" s="15" t="s">
        <v>575</v>
      </c>
      <c r="B15" s="17" t="n">
        <v>3019</v>
      </c>
      <c r="C15" s="18">
        <f>(2689.0/B15*100)</f>
        <v/>
      </c>
      <c r="D15" s="19" t="n">
        <v>330</v>
      </c>
      <c r="E15" s="18" t="n">
        <v>5.16244428</v>
      </c>
      <c r="F15" s="20" t="n">
        <v>1.3632154</v>
      </c>
      <c r="G15" s="18" t="n">
        <v>94.56816497</v>
      </c>
      <c r="H15" s="20" t="n">
        <v>1.3874538</v>
      </c>
      <c r="I15" s="18" t="s">
        <v>567</v>
      </c>
      <c r="J15" s="20" t="s">
        <v>567</v>
      </c>
      <c r="K15" s="18" t="n">
        <v>0</v>
      </c>
      <c r="L15" s="20" t="n">
        <v>0</v>
      </c>
      <c r="M15" s="18" t="n">
        <v>0</v>
      </c>
      <c r="N15" s="20" t="n">
        <v>0</v>
      </c>
      <c r="O15" s="18" t="n">
        <v>0</v>
      </c>
      <c r="P15" s="20" t="n">
        <v>0</v>
      </c>
      <c r="Q15" s="18" t="n">
        <v>0.26939075</v>
      </c>
      <c r="R15" s="20" t="n">
        <v>0.27038752</v>
      </c>
    </row>
    <row r="16" spans="1:18">
      <c r="A16" s="15" t="s">
        <v>576</v>
      </c>
      <c r="B16" s="17" t="n">
        <v>2997</v>
      </c>
      <c r="C16" s="18">
        <f>(2652.0/B16*100)</f>
        <v/>
      </c>
      <c r="D16" s="19" t="n">
        <v>345</v>
      </c>
      <c r="E16" s="18" t="n">
        <v>9.3577739</v>
      </c>
      <c r="F16" s="20" t="n">
        <v>1.98763123</v>
      </c>
      <c r="G16" s="18" t="n">
        <v>89.27858356</v>
      </c>
      <c r="H16" s="20" t="n">
        <v>2.1426271</v>
      </c>
      <c r="I16" s="18" t="s">
        <v>567</v>
      </c>
      <c r="J16" s="20" t="s">
        <v>567</v>
      </c>
      <c r="K16" s="18" t="n">
        <v>0.59884774</v>
      </c>
      <c r="L16" s="20" t="n">
        <v>0.43821547</v>
      </c>
      <c r="M16" s="18" t="n">
        <v>0</v>
      </c>
      <c r="N16" s="20" t="n">
        <v>0</v>
      </c>
      <c r="O16" s="18" t="n">
        <v>0</v>
      </c>
      <c r="P16" s="20" t="n">
        <v>0</v>
      </c>
      <c r="Q16" s="18" t="n">
        <v>0.7647948</v>
      </c>
      <c r="R16" s="20" t="n">
        <v>0.5232640200000001</v>
      </c>
    </row>
    <row r="17" spans="1:18">
      <c r="A17" s="15" t="s">
        <v>577</v>
      </c>
      <c r="B17" s="17" t="n">
        <v>3307</v>
      </c>
      <c r="C17" s="18">
        <f>(2966.0/B17*100)</f>
        <v/>
      </c>
      <c r="D17" s="19" t="n">
        <v>341</v>
      </c>
      <c r="E17" s="18" t="n">
        <v>4.67511143</v>
      </c>
      <c r="F17" s="20" t="n">
        <v>1.26487015</v>
      </c>
      <c r="G17" s="18" t="n">
        <v>94.28985428</v>
      </c>
      <c r="H17" s="20" t="n">
        <v>1.37803413</v>
      </c>
      <c r="I17" s="18" t="s">
        <v>567</v>
      </c>
      <c r="J17" s="20" t="s">
        <v>567</v>
      </c>
      <c r="K17" s="18" t="n">
        <v>0.74826005</v>
      </c>
      <c r="L17" s="20" t="n">
        <v>0.46220955</v>
      </c>
      <c r="M17" s="18" t="n">
        <v>0</v>
      </c>
      <c r="N17" s="20" t="n">
        <v>0</v>
      </c>
      <c r="O17" s="18" t="n">
        <v>0</v>
      </c>
      <c r="P17" s="20" t="n">
        <v>0</v>
      </c>
      <c r="Q17" s="18" t="n">
        <v>0.28677424</v>
      </c>
      <c r="R17" s="20" t="n">
        <v>0.28662189</v>
      </c>
    </row>
    <row r="18" spans="1:18">
      <c r="A18" s="15" t="s">
        <v>578</v>
      </c>
      <c r="B18" s="17" t="n">
        <v>2826</v>
      </c>
      <c r="C18" s="18">
        <f>(2499.0/B18*100)</f>
        <v/>
      </c>
      <c r="D18" s="19" t="n">
        <v>327</v>
      </c>
      <c r="E18" s="18" t="n">
        <v>17.72351817</v>
      </c>
      <c r="F18" s="20" t="n">
        <v>2.48762808</v>
      </c>
      <c r="G18" s="18" t="n">
        <v>80.61044806</v>
      </c>
      <c r="H18" s="20" t="n">
        <v>2.46637626</v>
      </c>
      <c r="I18" s="18" t="s">
        <v>567</v>
      </c>
      <c r="J18" s="20" t="s">
        <v>567</v>
      </c>
      <c r="K18" s="18" t="n">
        <v>0.16769618</v>
      </c>
      <c r="L18" s="20" t="n">
        <v>0.17239313</v>
      </c>
      <c r="M18" s="18" t="n">
        <v>0</v>
      </c>
      <c r="N18" s="20" t="n">
        <v>0</v>
      </c>
      <c r="O18" s="18" t="n">
        <v>0</v>
      </c>
      <c r="P18" s="20" t="n">
        <v>0</v>
      </c>
      <c r="Q18" s="18" t="n">
        <v>1.49833759</v>
      </c>
      <c r="R18" s="20" t="n">
        <v>0.71426124</v>
      </c>
    </row>
    <row r="19" spans="1:18">
      <c r="A19" s="15" t="s">
        <v>579</v>
      </c>
      <c r="B19" s="17" t="n">
        <v>2808</v>
      </c>
      <c r="C19" s="18">
        <f>(2497.0/B19*100)</f>
        <v/>
      </c>
      <c r="D19" s="19" t="n">
        <v>311</v>
      </c>
      <c r="E19" s="18" t="n">
        <v>11.25604132</v>
      </c>
      <c r="F19" s="20" t="n">
        <v>2.1465787</v>
      </c>
      <c r="G19" s="18" t="n">
        <v>87.75556784</v>
      </c>
      <c r="H19" s="20" t="n">
        <v>2.24631056</v>
      </c>
      <c r="I19" s="18" t="s">
        <v>567</v>
      </c>
      <c r="J19" s="20" t="s">
        <v>567</v>
      </c>
      <c r="K19" s="18" t="n">
        <v>0</v>
      </c>
      <c r="L19" s="20" t="n">
        <v>0</v>
      </c>
      <c r="M19" s="18" t="n">
        <v>0</v>
      </c>
      <c r="N19" s="20" t="n">
        <v>0</v>
      </c>
      <c r="O19" s="18" t="n">
        <v>0</v>
      </c>
      <c r="P19" s="20" t="n">
        <v>0</v>
      </c>
      <c r="Q19" s="18" t="n">
        <v>0.9883908300000001</v>
      </c>
      <c r="R19" s="20" t="n">
        <v>0.72337437</v>
      </c>
    </row>
    <row r="20" spans="1:18">
      <c r="A20" s="15" t="s">
        <v>580</v>
      </c>
      <c r="B20" s="17" t="n">
        <v>1630</v>
      </c>
      <c r="C20" s="18">
        <f>(1463.0/B20*100)</f>
        <v/>
      </c>
      <c r="D20" s="19" t="n">
        <v>167</v>
      </c>
      <c r="E20" s="18" t="n">
        <v>16.99211415</v>
      </c>
      <c r="F20" s="20" t="n">
        <v>2.94255588</v>
      </c>
      <c r="G20" s="18" t="n">
        <v>82.47737205999999</v>
      </c>
      <c r="H20" s="20" t="n">
        <v>2.97111759</v>
      </c>
      <c r="I20" s="18" t="s">
        <v>567</v>
      </c>
      <c r="J20" s="20" t="s">
        <v>567</v>
      </c>
      <c r="K20" s="18" t="n">
        <v>0</v>
      </c>
      <c r="L20" s="20" t="n">
        <v>0</v>
      </c>
      <c r="M20" s="18" t="n">
        <v>0</v>
      </c>
      <c r="N20" s="20" t="n">
        <v>0</v>
      </c>
      <c r="O20" s="18" t="n">
        <v>0</v>
      </c>
      <c r="P20" s="20" t="n">
        <v>0</v>
      </c>
      <c r="Q20" s="18" t="n">
        <v>0.53051378</v>
      </c>
      <c r="R20" s="20" t="n">
        <v>0.53385666</v>
      </c>
    </row>
    <row r="21" spans="1:18">
      <c r="A21" s="15" t="s">
        <v>581</v>
      </c>
      <c r="B21" s="17" t="n">
        <v>2908</v>
      </c>
      <c r="C21" s="18">
        <f>(2577.0/B21*100)</f>
        <v/>
      </c>
      <c r="D21" s="19" t="n">
        <v>331</v>
      </c>
      <c r="E21" s="18" t="n">
        <v>9.98724769</v>
      </c>
      <c r="F21" s="20" t="n">
        <v>1.77791753</v>
      </c>
      <c r="G21" s="18" t="n">
        <v>89.7873556</v>
      </c>
      <c r="H21" s="20" t="n">
        <v>1.756372</v>
      </c>
      <c r="I21" s="18" t="s">
        <v>567</v>
      </c>
      <c r="J21" s="20" t="s">
        <v>567</v>
      </c>
      <c r="K21" s="18" t="n">
        <v>0</v>
      </c>
      <c r="L21" s="20" t="n">
        <v>0</v>
      </c>
      <c r="M21" s="18" t="n">
        <v>0</v>
      </c>
      <c r="N21" s="20" t="n">
        <v>0</v>
      </c>
      <c r="O21" s="18" t="n">
        <v>0</v>
      </c>
      <c r="P21" s="20" t="n">
        <v>0</v>
      </c>
      <c r="Q21" s="18" t="n">
        <v>0.22539671</v>
      </c>
      <c r="R21" s="20" t="n">
        <v>0.22725827</v>
      </c>
    </row>
    <row r="22" spans="1:18">
      <c r="A22" s="15" t="s">
        <v>582</v>
      </c>
      <c r="B22" s="17" t="n">
        <v>2931</v>
      </c>
      <c r="C22" s="18">
        <f>(2608.0/B22*100)</f>
        <v/>
      </c>
      <c r="D22" s="19" t="n">
        <v>323</v>
      </c>
      <c r="E22" s="18" t="n">
        <v>21.14914927</v>
      </c>
      <c r="F22" s="20" t="n">
        <v>3.21038183</v>
      </c>
      <c r="G22" s="18" t="n">
        <v>77.1797162</v>
      </c>
      <c r="H22" s="20" t="n">
        <v>3.2759721</v>
      </c>
      <c r="I22" s="18" t="s">
        <v>567</v>
      </c>
      <c r="J22" s="20" t="s">
        <v>567</v>
      </c>
      <c r="K22" s="18" t="n">
        <v>1.41002042</v>
      </c>
      <c r="L22" s="20" t="n">
        <v>0.88635659</v>
      </c>
      <c r="M22" s="18" t="n">
        <v>0</v>
      </c>
      <c r="N22" s="20" t="n">
        <v>0</v>
      </c>
      <c r="O22" s="18" t="n">
        <v>0</v>
      </c>
      <c r="P22" s="20" t="n">
        <v>0</v>
      </c>
      <c r="Q22" s="18" t="n">
        <v>0.26111411</v>
      </c>
      <c r="R22" s="20" t="n">
        <v>0.26129982</v>
      </c>
    </row>
    <row r="23" spans="1:18">
      <c r="A23" s="15" t="s">
        <v>583</v>
      </c>
      <c r="B23" s="17" t="n">
        <v>5791</v>
      </c>
      <c r="C23" s="18">
        <f>(5150.0/B23*100)</f>
        <v/>
      </c>
      <c r="D23" s="19" t="n">
        <v>641</v>
      </c>
      <c r="E23" s="18" t="n">
        <v>7.55458302</v>
      </c>
      <c r="F23" s="20" t="n">
        <v>1.25557979</v>
      </c>
      <c r="G23" s="18" t="n">
        <v>92.29788006</v>
      </c>
      <c r="H23" s="20" t="n">
        <v>1.26085328</v>
      </c>
      <c r="I23" s="18" t="s">
        <v>567</v>
      </c>
      <c r="J23" s="20" t="s">
        <v>567</v>
      </c>
      <c r="K23" s="18" t="n">
        <v>0</v>
      </c>
      <c r="L23" s="20" t="n">
        <v>0</v>
      </c>
      <c r="M23" s="18" t="n">
        <v>0</v>
      </c>
      <c r="N23" s="20" t="n">
        <v>0</v>
      </c>
      <c r="O23" s="18" t="n">
        <v>0</v>
      </c>
      <c r="P23" s="20" t="n">
        <v>0</v>
      </c>
      <c r="Q23" s="18" t="n">
        <v>0.14753691</v>
      </c>
      <c r="R23" s="20" t="n">
        <v>0.14185628</v>
      </c>
    </row>
    <row r="24" spans="1:18">
      <c r="A24" s="15" t="s">
        <v>584</v>
      </c>
      <c r="B24" s="17" t="n">
        <v>3338</v>
      </c>
      <c r="C24" s="18">
        <f>(2973.0/B24*100)</f>
        <v/>
      </c>
      <c r="D24" s="19" t="n">
        <v>365</v>
      </c>
      <c r="E24" s="18" t="n">
        <v>17.6559908</v>
      </c>
      <c r="F24" s="20" t="n">
        <v>1.87124041</v>
      </c>
      <c r="G24" s="18" t="n">
        <v>81.50888116</v>
      </c>
      <c r="H24" s="20" t="n">
        <v>1.84119932</v>
      </c>
      <c r="I24" s="18" t="s">
        <v>567</v>
      </c>
      <c r="J24" s="20" t="s">
        <v>567</v>
      </c>
      <c r="K24" s="18" t="n">
        <v>0</v>
      </c>
      <c r="L24" s="20" t="n">
        <v>0</v>
      </c>
      <c r="M24" s="18" t="n">
        <v>0</v>
      </c>
      <c r="N24" s="20" t="n">
        <v>0</v>
      </c>
      <c r="O24" s="18" t="n">
        <v>0</v>
      </c>
      <c r="P24" s="20" t="n">
        <v>0</v>
      </c>
      <c r="Q24" s="18" t="n">
        <v>0.83512804</v>
      </c>
      <c r="R24" s="20" t="n">
        <v>0.42490924</v>
      </c>
    </row>
    <row r="25" spans="1:18">
      <c r="A25" s="15" t="s">
        <v>585</v>
      </c>
      <c r="B25" s="17" t="n">
        <v>2912</v>
      </c>
      <c r="C25" s="18">
        <f>(2606.0/B25*100)</f>
        <v/>
      </c>
      <c r="D25" s="19" t="n">
        <v>306</v>
      </c>
      <c r="E25" s="18" t="n">
        <v>19.8594098</v>
      </c>
      <c r="F25" s="20" t="n">
        <v>2.40158647</v>
      </c>
      <c r="G25" s="18" t="n">
        <v>79.51094585</v>
      </c>
      <c r="H25" s="20" t="n">
        <v>2.45226767</v>
      </c>
      <c r="I25" s="18" t="s">
        <v>567</v>
      </c>
      <c r="J25" s="20" t="s">
        <v>567</v>
      </c>
      <c r="K25" s="18" t="n">
        <v>0.2768612</v>
      </c>
      <c r="L25" s="20" t="n">
        <v>0.28087404</v>
      </c>
      <c r="M25" s="18" t="n">
        <v>0</v>
      </c>
      <c r="N25" s="20" t="n">
        <v>0</v>
      </c>
      <c r="O25" s="18" t="n">
        <v>0</v>
      </c>
      <c r="P25" s="20" t="n">
        <v>0</v>
      </c>
      <c r="Q25" s="18" t="n">
        <v>0.35278315</v>
      </c>
      <c r="R25" s="20" t="n">
        <v>0.35644805</v>
      </c>
    </row>
    <row r="26" spans="1:18">
      <c r="A26" s="15" t="s">
        <v>586</v>
      </c>
      <c r="B26" s="17" t="n">
        <v>2450</v>
      </c>
      <c r="C26" s="18">
        <f>(2178.0/B26*100)</f>
        <v/>
      </c>
      <c r="D26" s="19" t="n">
        <v>272</v>
      </c>
      <c r="E26" s="18" t="n">
        <v>9.270230079999999</v>
      </c>
      <c r="F26" s="20" t="n">
        <v>2.00066975</v>
      </c>
      <c r="G26" s="18" t="n">
        <v>90.72976992</v>
      </c>
      <c r="H26" s="20" t="n">
        <v>2.00066975</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(2317.0/B27*100)</f>
        <v/>
      </c>
      <c r="D27" s="19" t="n">
        <v>299</v>
      </c>
      <c r="E27" s="18" t="n">
        <v>14.52717568</v>
      </c>
      <c r="F27" s="20" t="n">
        <v>1.90283427</v>
      </c>
      <c r="G27" s="18" t="n">
        <v>84.70601151</v>
      </c>
      <c r="H27" s="20" t="n">
        <v>1.96902906</v>
      </c>
      <c r="I27" s="18" t="s">
        <v>567</v>
      </c>
      <c r="J27" s="20" t="s">
        <v>567</v>
      </c>
      <c r="K27" s="18" t="n">
        <v>0.35255678</v>
      </c>
      <c r="L27" s="20" t="n">
        <v>0.35624811</v>
      </c>
      <c r="M27" s="18" t="n">
        <v>0</v>
      </c>
      <c r="N27" s="20" t="n">
        <v>0</v>
      </c>
      <c r="O27" s="18" t="n">
        <v>0</v>
      </c>
      <c r="P27" s="20" t="n">
        <v>0</v>
      </c>
      <c r="Q27" s="18" t="n">
        <v>0.41425604</v>
      </c>
      <c r="R27" s="20" t="n">
        <v>0.41476364</v>
      </c>
    </row>
    <row r="28" spans="1:18">
      <c r="A28" s="15" t="s">
        <v>588</v>
      </c>
      <c r="B28" s="17" t="n">
        <v>3765</v>
      </c>
      <c r="C28" s="18">
        <f>(3379.0/B28*100)</f>
        <v/>
      </c>
      <c r="D28" s="19" t="n">
        <v>386</v>
      </c>
      <c r="E28" s="18" t="n">
        <v>16.05647569</v>
      </c>
      <c r="F28" s="20" t="n">
        <v>1.82141423</v>
      </c>
      <c r="G28" s="18" t="n">
        <v>83.16861966</v>
      </c>
      <c r="H28" s="20" t="n">
        <v>1.88404136</v>
      </c>
      <c r="I28" s="18" t="s">
        <v>567</v>
      </c>
      <c r="J28" s="20" t="s">
        <v>567</v>
      </c>
      <c r="K28" s="18" t="n">
        <v>0</v>
      </c>
      <c r="L28" s="20" t="n">
        <v>0</v>
      </c>
      <c r="M28" s="18" t="n">
        <v>0</v>
      </c>
      <c r="N28" s="20" t="n">
        <v>0</v>
      </c>
      <c r="O28" s="18" t="n">
        <v>0</v>
      </c>
      <c r="P28" s="20" t="n">
        <v>0</v>
      </c>
      <c r="Q28" s="18" t="n">
        <v>0.77490465</v>
      </c>
      <c r="R28" s="20" t="n">
        <v>0.49491499</v>
      </c>
    </row>
    <row r="29" spans="1:18">
      <c r="A29" s="15" t="s">
        <v>589</v>
      </c>
      <c r="B29" s="17" t="n">
        <v>2685</v>
      </c>
      <c r="C29" s="18">
        <f>(2404.0/B29*100)</f>
        <v/>
      </c>
      <c r="D29" s="19" t="n">
        <v>281</v>
      </c>
      <c r="E29" s="18" t="n">
        <v>20.8867451</v>
      </c>
      <c r="F29" s="20" t="n">
        <v>2.44923687</v>
      </c>
      <c r="G29" s="18" t="n">
        <v>76.91115831</v>
      </c>
      <c r="H29" s="20" t="n">
        <v>2.50108224</v>
      </c>
      <c r="I29" s="18" t="s">
        <v>567</v>
      </c>
      <c r="J29" s="20" t="s">
        <v>567</v>
      </c>
      <c r="K29" s="18" t="n">
        <v>0.36807508</v>
      </c>
      <c r="L29" s="20" t="n">
        <v>0.36480756</v>
      </c>
      <c r="M29" s="18" t="n">
        <v>0</v>
      </c>
      <c r="N29" s="20" t="n">
        <v>0</v>
      </c>
      <c r="O29" s="18" t="n">
        <v>0</v>
      </c>
      <c r="P29" s="20" t="n">
        <v>0</v>
      </c>
      <c r="Q29" s="18" t="n">
        <v>1.8340215</v>
      </c>
      <c r="R29" s="20" t="n">
        <v>0.82841036</v>
      </c>
    </row>
    <row r="30" spans="1:18">
      <c r="A30" s="15" t="s">
        <v>590</v>
      </c>
      <c r="B30" s="17" t="n">
        <v>2263</v>
      </c>
      <c r="C30" s="18">
        <f>(1998.0/B30*100)</f>
        <v/>
      </c>
      <c r="D30" s="19" t="n">
        <v>265</v>
      </c>
      <c r="E30" s="18" t="n">
        <v>11.33815692</v>
      </c>
      <c r="F30" s="20" t="n">
        <v>1.72909492</v>
      </c>
      <c r="G30" s="18" t="n">
        <v>87.03654888</v>
      </c>
      <c r="H30" s="20" t="n">
        <v>1.83008815</v>
      </c>
      <c r="I30" s="18" t="s">
        <v>567</v>
      </c>
      <c r="J30" s="20" t="s">
        <v>567</v>
      </c>
      <c r="K30" s="18" t="n">
        <v>0</v>
      </c>
      <c r="L30" s="20" t="n">
        <v>0</v>
      </c>
      <c r="M30" s="18" t="n">
        <v>0</v>
      </c>
      <c r="N30" s="20" t="n">
        <v>0</v>
      </c>
      <c r="O30" s="18" t="n">
        <v>0</v>
      </c>
      <c r="P30" s="20" t="n">
        <v>0</v>
      </c>
      <c r="Q30" s="18" t="n">
        <v>1.6252942</v>
      </c>
      <c r="R30" s="20" t="n">
        <v>0.88103673</v>
      </c>
    </row>
    <row r="31" spans="1:18">
      <c r="A31" s="15" t="s">
        <v>591</v>
      </c>
      <c r="B31" s="17" t="n">
        <v>2750</v>
      </c>
      <c r="C31" s="18">
        <f>(2451.0/B31*100)</f>
        <v/>
      </c>
      <c r="D31" s="19" t="n">
        <v>299</v>
      </c>
      <c r="E31" s="18" t="n">
        <v>15.08243222</v>
      </c>
      <c r="F31" s="20" t="n">
        <v>2.15998124</v>
      </c>
      <c r="G31" s="18" t="n">
        <v>83.68430696</v>
      </c>
      <c r="H31" s="20" t="n">
        <v>2.24071997</v>
      </c>
      <c r="I31" s="18" t="s">
        <v>567</v>
      </c>
      <c r="J31" s="20" t="s">
        <v>567</v>
      </c>
      <c r="K31" s="18" t="n">
        <v>0.28162006</v>
      </c>
      <c r="L31" s="20" t="n">
        <v>0.28355703</v>
      </c>
      <c r="M31" s="18" t="n">
        <v>0</v>
      </c>
      <c r="N31" s="20" t="n">
        <v>0</v>
      </c>
      <c r="O31" s="18" t="n">
        <v>0</v>
      </c>
      <c r="P31" s="20" t="n">
        <v>0</v>
      </c>
      <c r="Q31" s="18" t="n">
        <v>0.95164077</v>
      </c>
      <c r="R31" s="20" t="n">
        <v>0.57353072</v>
      </c>
    </row>
    <row r="32" spans="1:18">
      <c r="A32" s="15" t="s">
        <v>592</v>
      </c>
      <c r="B32" s="17" t="n">
        <v>2269</v>
      </c>
      <c r="C32" s="18">
        <f>(2023.0/B32*100)</f>
        <v/>
      </c>
      <c r="D32" s="19" t="n">
        <v>246</v>
      </c>
      <c r="E32" s="18" t="n">
        <v>4.67384985</v>
      </c>
      <c r="F32" s="20" t="n">
        <v>1.34090671</v>
      </c>
      <c r="G32" s="18" t="n">
        <v>94.18714658</v>
      </c>
      <c r="H32" s="20" t="n">
        <v>1.48926811</v>
      </c>
      <c r="I32" s="18" t="s">
        <v>567</v>
      </c>
      <c r="J32" s="20" t="s">
        <v>567</v>
      </c>
      <c r="K32" s="18" t="n">
        <v>0.36123409</v>
      </c>
      <c r="L32" s="20" t="n">
        <v>0.35288361</v>
      </c>
      <c r="M32" s="18" t="n">
        <v>0</v>
      </c>
      <c r="N32" s="20" t="n">
        <v>0</v>
      </c>
      <c r="O32" s="18" t="n">
        <v>0</v>
      </c>
      <c r="P32" s="20" t="n">
        <v>0</v>
      </c>
      <c r="Q32" s="18" t="n">
        <v>0.77776948</v>
      </c>
      <c r="R32" s="20" t="n">
        <v>0.56927003</v>
      </c>
    </row>
    <row r="33" spans="1:18">
      <c r="A33" s="15" t="s">
        <v>593</v>
      </c>
      <c r="B33" s="17" t="n">
        <v>3674</v>
      </c>
      <c r="C33" s="18">
        <f>(3279.0/B33*100)</f>
        <v/>
      </c>
      <c r="D33" s="19" t="n">
        <v>395</v>
      </c>
      <c r="E33" s="18" t="n">
        <v>8.38900286</v>
      </c>
      <c r="F33" s="20" t="n">
        <v>1.9160475</v>
      </c>
      <c r="G33" s="18" t="n">
        <v>91.04513582</v>
      </c>
      <c r="H33" s="20" t="n">
        <v>1.91224252</v>
      </c>
      <c r="I33" s="18" t="s">
        <v>567</v>
      </c>
      <c r="J33" s="20" t="s">
        <v>567</v>
      </c>
      <c r="K33" s="18" t="n">
        <v>0</v>
      </c>
      <c r="L33" s="20" t="n">
        <v>0</v>
      </c>
      <c r="M33" s="18" t="n">
        <v>0</v>
      </c>
      <c r="N33" s="20" t="n">
        <v>0</v>
      </c>
      <c r="O33" s="18" t="n">
        <v>0</v>
      </c>
      <c r="P33" s="20" t="n">
        <v>0</v>
      </c>
      <c r="Q33" s="18" t="n">
        <v>0.56586132</v>
      </c>
      <c r="R33" s="20" t="n">
        <v>0.44160505</v>
      </c>
    </row>
    <row r="34" spans="1:18">
      <c r="A34" s="15" t="s">
        <v>594</v>
      </c>
      <c r="B34" s="17" t="n">
        <v>3315</v>
      </c>
      <c r="C34" s="18">
        <f>(2973.0/B34*100)</f>
        <v/>
      </c>
      <c r="D34" s="19" t="n">
        <v>342</v>
      </c>
      <c r="E34" s="18" t="n">
        <v>9.930711629999999</v>
      </c>
      <c r="F34" s="20" t="n">
        <v>1.90176368</v>
      </c>
      <c r="G34" s="18" t="n">
        <v>89.25427971000001</v>
      </c>
      <c r="H34" s="20" t="n">
        <v>2.00007174</v>
      </c>
      <c r="I34" s="18" t="s">
        <v>567</v>
      </c>
      <c r="J34" s="20" t="s">
        <v>567</v>
      </c>
      <c r="K34" s="18" t="n">
        <v>0</v>
      </c>
      <c r="L34" s="20" t="n">
        <v>0</v>
      </c>
      <c r="M34" s="18" t="n">
        <v>0</v>
      </c>
      <c r="N34" s="20" t="n">
        <v>0</v>
      </c>
      <c r="O34" s="18" t="n">
        <v>0</v>
      </c>
      <c r="P34" s="20" t="n">
        <v>0</v>
      </c>
      <c r="Q34" s="18" t="n">
        <v>0.8150086600000001</v>
      </c>
      <c r="R34" s="20" t="n">
        <v>0.63588835</v>
      </c>
    </row>
    <row r="35" spans="1:18">
      <c r="A35" s="15" t="s">
        <v>595</v>
      </c>
      <c r="B35" s="17" t="n">
        <v>3505</v>
      </c>
      <c r="C35" s="18">
        <f>(3121.0/B35*100)</f>
        <v/>
      </c>
      <c r="D35" s="19" t="n">
        <v>384</v>
      </c>
      <c r="E35" s="18" t="n">
        <v>3.0821163</v>
      </c>
      <c r="F35" s="20" t="n">
        <v>0.7769764300000001</v>
      </c>
      <c r="G35" s="18" t="n">
        <v>96.07319029</v>
      </c>
      <c r="H35" s="20" t="n">
        <v>0.8710960599999999</v>
      </c>
      <c r="I35" s="18" t="s">
        <v>567</v>
      </c>
      <c r="J35" s="20" t="s">
        <v>567</v>
      </c>
      <c r="K35" s="18" t="n">
        <v>0</v>
      </c>
      <c r="L35" s="20" t="n">
        <v>0</v>
      </c>
      <c r="M35" s="18" t="n">
        <v>0</v>
      </c>
      <c r="N35" s="20" t="n">
        <v>0</v>
      </c>
      <c r="O35" s="18" t="n">
        <v>0</v>
      </c>
      <c r="P35" s="20" t="n">
        <v>0</v>
      </c>
      <c r="Q35" s="18" t="n">
        <v>0.84469342</v>
      </c>
      <c r="R35" s="20" t="n">
        <v>0.5023799</v>
      </c>
    </row>
    <row r="36" spans="1:18">
      <c r="A36" s="15" t="s">
        <v>596</v>
      </c>
      <c r="B36" s="17" t="n">
        <v>3332</v>
      </c>
      <c r="C36" s="18">
        <f>(2952.0/B36*100)</f>
        <v/>
      </c>
      <c r="D36" s="19" t="n">
        <v>380</v>
      </c>
      <c r="E36" s="18" t="n">
        <v>8.942699810000001</v>
      </c>
      <c r="F36" s="20" t="n">
        <v>1.57117837</v>
      </c>
      <c r="G36" s="18" t="n">
        <v>89.15180709000001</v>
      </c>
      <c r="H36" s="20" t="n">
        <v>1.66140585</v>
      </c>
      <c r="I36" s="18" t="s">
        <v>567</v>
      </c>
      <c r="J36" s="20" t="s">
        <v>567</v>
      </c>
      <c r="K36" s="18" t="n">
        <v>0.21615625</v>
      </c>
      <c r="L36" s="20" t="n">
        <v>0.1558792</v>
      </c>
      <c r="M36" s="18" t="n">
        <v>0</v>
      </c>
      <c r="N36" s="20" t="n">
        <v>0</v>
      </c>
      <c r="O36" s="18" t="n">
        <v>0</v>
      </c>
      <c r="P36" s="20" t="n">
        <v>0</v>
      </c>
      <c r="Q36" s="18" t="n">
        <v>1.68933685</v>
      </c>
      <c r="R36" s="20" t="n">
        <v>0.4889411</v>
      </c>
    </row>
    <row r="37" spans="1:18">
      <c r="A37" s="15" t="s">
        <v>597</v>
      </c>
      <c r="B37" s="17" t="n">
        <v>2727</v>
      </c>
      <c r="C37" s="18">
        <f>(2422.0/B37*100)</f>
        <v/>
      </c>
      <c r="D37" s="19" t="n">
        <v>305</v>
      </c>
      <c r="E37" s="18" t="n">
        <v>14.08203698</v>
      </c>
      <c r="F37" s="20" t="n">
        <v>2.46647676</v>
      </c>
      <c r="G37" s="18" t="n">
        <v>83.30028833999999</v>
      </c>
      <c r="H37" s="20" t="n">
        <v>2.65268782</v>
      </c>
      <c r="I37" s="18" t="s">
        <v>567</v>
      </c>
      <c r="J37" s="20" t="s">
        <v>567</v>
      </c>
      <c r="K37" s="18" t="n">
        <v>0</v>
      </c>
      <c r="L37" s="20" t="n">
        <v>0</v>
      </c>
      <c r="M37" s="18" t="n">
        <v>0</v>
      </c>
      <c r="N37" s="20" t="n">
        <v>0</v>
      </c>
      <c r="O37" s="18" t="n">
        <v>0</v>
      </c>
      <c r="P37" s="20" t="n">
        <v>0</v>
      </c>
      <c r="Q37" s="18" t="n">
        <v>2.61767468</v>
      </c>
      <c r="R37" s="20" t="n">
        <v>0.9352986599999999</v>
      </c>
    </row>
    <row r="38" spans="1:18">
      <c r="A38" s="15" t="s">
        <v>598</v>
      </c>
      <c r="B38" s="17" t="n">
        <v>3053</v>
      </c>
      <c r="C38" s="18">
        <f>(2724.0/B38*100)</f>
        <v/>
      </c>
      <c r="D38" s="19" t="n">
        <v>329</v>
      </c>
      <c r="E38" s="18" t="n">
        <v>10.80714248</v>
      </c>
      <c r="F38" s="20" t="n">
        <v>1.82168354</v>
      </c>
      <c r="G38" s="18" t="n">
        <v>87.18992504000001</v>
      </c>
      <c r="H38" s="20" t="n">
        <v>2.03077488</v>
      </c>
      <c r="I38" s="18" t="s">
        <v>567</v>
      </c>
      <c r="J38" s="20" t="s">
        <v>567</v>
      </c>
      <c r="K38" s="18" t="n">
        <v>0.8039906999999999</v>
      </c>
      <c r="L38" s="20" t="n">
        <v>0.53538054</v>
      </c>
      <c r="M38" s="18" t="n">
        <v>0</v>
      </c>
      <c r="N38" s="20" t="n">
        <v>0</v>
      </c>
      <c r="O38" s="18" t="n">
        <v>0</v>
      </c>
      <c r="P38" s="20" t="n">
        <v>0</v>
      </c>
      <c r="Q38" s="18" t="n">
        <v>1.19894178</v>
      </c>
      <c r="R38" s="20" t="n">
        <v>0.45297768</v>
      </c>
    </row>
    <row r="39" spans="1:18">
      <c r="A39" s="15" t="s">
        <v>599</v>
      </c>
      <c r="B39" s="17" t="n">
        <v>2957</v>
      </c>
      <c r="C39" s="18">
        <f>(2624.0/B39*100)</f>
        <v/>
      </c>
      <c r="D39" s="19" t="n">
        <v>333</v>
      </c>
      <c r="E39" s="18" t="n">
        <v>21.63721131</v>
      </c>
      <c r="F39" s="20" t="n">
        <v>2.85023066</v>
      </c>
      <c r="G39" s="18" t="n">
        <v>76.81753857</v>
      </c>
      <c r="H39" s="20" t="n">
        <v>2.96482178</v>
      </c>
      <c r="I39" s="18" t="s">
        <v>567</v>
      </c>
      <c r="J39" s="20" t="s">
        <v>567</v>
      </c>
      <c r="K39" s="18" t="n">
        <v>0.21263693</v>
      </c>
      <c r="L39" s="20" t="n">
        <v>0.22051977</v>
      </c>
      <c r="M39" s="18" t="n">
        <v>0</v>
      </c>
      <c r="N39" s="20" t="n">
        <v>0</v>
      </c>
      <c r="O39" s="18" t="n">
        <v>0</v>
      </c>
      <c r="P39" s="20" t="n">
        <v>0</v>
      </c>
      <c r="Q39" s="18" t="n">
        <v>1.33261318</v>
      </c>
      <c r="R39" s="20" t="n">
        <v>0.86573392</v>
      </c>
    </row>
    <row r="40" spans="1:18">
      <c r="A40" s="15" t="s">
        <v>600</v>
      </c>
      <c r="B40" s="17" t="n">
        <v>7235</v>
      </c>
      <c r="C40" s="18">
        <f>(6387.0/B40*100)</f>
        <v/>
      </c>
      <c r="D40" s="19" t="n">
        <v>848</v>
      </c>
      <c r="E40" s="18" t="n">
        <v>13.56630353</v>
      </c>
      <c r="F40" s="20" t="n">
        <v>1.54677381</v>
      </c>
      <c r="G40" s="18" t="n">
        <v>85.66526853000001</v>
      </c>
      <c r="H40" s="20" t="n">
        <v>1.55918934</v>
      </c>
      <c r="I40" s="18" t="s">
        <v>567</v>
      </c>
      <c r="J40" s="20" t="s">
        <v>567</v>
      </c>
      <c r="K40" s="18" t="n">
        <v>0.12736098</v>
      </c>
      <c r="L40" s="20" t="n">
        <v>0.07182218999999999</v>
      </c>
      <c r="M40" s="18" t="n">
        <v>0</v>
      </c>
      <c r="N40" s="20" t="n">
        <v>0</v>
      </c>
      <c r="O40" s="18" t="n">
        <v>0</v>
      </c>
      <c r="P40" s="20" t="n">
        <v>0</v>
      </c>
      <c r="Q40" s="18" t="n">
        <v>0.64106696</v>
      </c>
      <c r="R40" s="20" t="n">
        <v>0.44521983</v>
      </c>
    </row>
    <row r="41" spans="1:18">
      <c r="A41" s="15" t="s">
        <v>601</v>
      </c>
      <c r="B41" s="17" t="n">
        <v>2858</v>
      </c>
      <c r="C41" s="18">
        <f>(2528.0/B41*100)</f>
        <v/>
      </c>
      <c r="D41" s="19" t="n">
        <v>330</v>
      </c>
      <c r="E41" s="18" t="n">
        <v>15.42455115</v>
      </c>
      <c r="F41" s="20" t="n">
        <v>1.95999729</v>
      </c>
      <c r="G41" s="18" t="n">
        <v>84.06799387</v>
      </c>
      <c r="H41" s="20" t="n">
        <v>2.00825114</v>
      </c>
      <c r="I41" s="18" t="s">
        <v>567</v>
      </c>
      <c r="J41" s="20" t="s">
        <v>567</v>
      </c>
      <c r="K41" s="18" t="n">
        <v>0</v>
      </c>
      <c r="L41" s="20" t="n">
        <v>0</v>
      </c>
      <c r="M41" s="18" t="n">
        <v>0</v>
      </c>
      <c r="N41" s="20" t="n">
        <v>0</v>
      </c>
      <c r="O41" s="18" t="n">
        <v>0</v>
      </c>
      <c r="P41" s="20" t="n">
        <v>0</v>
      </c>
      <c r="Q41" s="18" t="n">
        <v>0.5074549699999999</v>
      </c>
      <c r="R41" s="20" t="n">
        <v>0.37621465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(10039.0/B46*100)</f>
        <v/>
      </c>
      <c r="D46" s="19" t="n">
        <v>1029</v>
      </c>
      <c r="E46" s="18" t="n">
        <v>27.59658324</v>
      </c>
      <c r="F46" s="20" t="n">
        <v>1.85531577</v>
      </c>
      <c r="G46" s="18" t="n">
        <v>70.23032486</v>
      </c>
      <c r="H46" s="20" t="n">
        <v>2.00111831</v>
      </c>
      <c r="I46" s="18" t="s">
        <v>567</v>
      </c>
      <c r="J46" s="20" t="s">
        <v>567</v>
      </c>
      <c r="K46" s="18" t="n">
        <v>0.3794623</v>
      </c>
      <c r="L46" s="20" t="n">
        <v>0.212553</v>
      </c>
      <c r="M46" s="18" t="n">
        <v>0</v>
      </c>
      <c r="N46" s="20" t="n">
        <v>0</v>
      </c>
      <c r="O46" s="18" t="n">
        <v>0</v>
      </c>
      <c r="P46" s="20" t="n">
        <v>0</v>
      </c>
      <c r="Q46" s="18" t="n">
        <v>1.7936296</v>
      </c>
      <c r="R46" s="20" t="n">
        <v>0.54114755</v>
      </c>
    </row>
    <row r="47" spans="1:18">
      <c r="A47" s="15" t="s">
        <v>607</v>
      </c>
      <c r="B47" s="17" t="n">
        <v>3105</v>
      </c>
      <c r="C47" s="18">
        <f>(2759.0/B47*100)</f>
        <v/>
      </c>
      <c r="D47" s="19" t="n">
        <v>346</v>
      </c>
      <c r="E47" s="18" t="n">
        <v>20.46332304</v>
      </c>
      <c r="F47" s="20" t="n">
        <v>2.32829342</v>
      </c>
      <c r="G47" s="18" t="n">
        <v>78.70066819</v>
      </c>
      <c r="H47" s="20" t="n">
        <v>2.37146304</v>
      </c>
      <c r="I47" s="18" t="s">
        <v>567</v>
      </c>
      <c r="J47" s="20" t="s">
        <v>567</v>
      </c>
      <c r="K47" s="18" t="n">
        <v>0</v>
      </c>
      <c r="L47" s="20" t="n">
        <v>0</v>
      </c>
      <c r="M47" s="18" t="n">
        <v>0</v>
      </c>
      <c r="N47" s="20" t="n">
        <v>0</v>
      </c>
      <c r="O47" s="18" t="n">
        <v>0</v>
      </c>
      <c r="P47" s="20" t="n">
        <v>0</v>
      </c>
      <c r="Q47" s="18" t="n">
        <v>0.83600877</v>
      </c>
      <c r="R47" s="20" t="n">
        <v>0.381724</v>
      </c>
    </row>
    <row r="48" spans="1:18">
      <c r="A48" s="15" t="s">
        <v>608</v>
      </c>
      <c r="B48" s="17" t="n">
        <v>5159</v>
      </c>
      <c r="C48" s="18">
        <f>(4607.0/B48*100)</f>
        <v/>
      </c>
      <c r="D48" s="19" t="n">
        <v>552</v>
      </c>
      <c r="E48" s="18" t="n">
        <v>8.70836117</v>
      </c>
      <c r="F48" s="20" t="n">
        <v>1.34595772</v>
      </c>
      <c r="G48" s="18" t="n">
        <v>90.32384082999999</v>
      </c>
      <c r="H48" s="20" t="n">
        <v>1.41441525</v>
      </c>
      <c r="I48" s="18" t="s">
        <v>567</v>
      </c>
      <c r="J48" s="20" t="s">
        <v>567</v>
      </c>
      <c r="K48" s="18" t="n">
        <v>0.65932702</v>
      </c>
      <c r="L48" s="20" t="n">
        <v>0.46718171</v>
      </c>
      <c r="M48" s="18" t="n">
        <v>0</v>
      </c>
      <c r="N48" s="20" t="n">
        <v>0</v>
      </c>
      <c r="O48" s="18" t="n">
        <v>0</v>
      </c>
      <c r="P48" s="20" t="n">
        <v>0</v>
      </c>
      <c r="Q48" s="18" t="n">
        <v>0.30847098</v>
      </c>
      <c r="R48" s="20" t="n">
        <v>0.3074526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(5033.0/B50*100)</f>
        <v/>
      </c>
      <c r="D50" s="19" t="n">
        <v>604</v>
      </c>
      <c r="E50" s="18" t="n">
        <v>17.73458975</v>
      </c>
      <c r="F50" s="20" t="n">
        <v>1.76480757</v>
      </c>
      <c r="G50" s="18" t="n">
        <v>81.30974406999999</v>
      </c>
      <c r="H50" s="20" t="n">
        <v>1.80487877</v>
      </c>
      <c r="I50" s="18" t="s">
        <v>567</v>
      </c>
      <c r="J50" s="20" t="s">
        <v>567</v>
      </c>
      <c r="K50" s="18" t="n">
        <v>0.77548385</v>
      </c>
      <c r="L50" s="20" t="n">
        <v>0.44604692</v>
      </c>
      <c r="M50" s="18" t="n">
        <v>0</v>
      </c>
      <c r="N50" s="20" t="n">
        <v>0</v>
      </c>
      <c r="O50" s="18" t="n">
        <v>0</v>
      </c>
      <c r="P50" s="20" t="n">
        <v>0</v>
      </c>
      <c r="Q50" s="18" t="n">
        <v>0.18018232</v>
      </c>
      <c r="R50" s="20" t="n">
        <v>0.1091739</v>
      </c>
    </row>
    <row r="51" spans="1:18">
      <c r="A51" s="15" t="s">
        <v>611</v>
      </c>
      <c r="B51" s="17" t="n">
        <v>3372</v>
      </c>
      <c r="C51" s="18">
        <f>(3033.0/B51*100)</f>
        <v/>
      </c>
      <c r="D51" s="19" t="n">
        <v>339</v>
      </c>
      <c r="E51" s="18" t="n">
        <v>13.5505318</v>
      </c>
      <c r="F51" s="20" t="n">
        <v>1.90316796</v>
      </c>
      <c r="G51" s="18" t="n">
        <v>84.73421205</v>
      </c>
      <c r="H51" s="20" t="n">
        <v>2.0607533</v>
      </c>
      <c r="I51" s="18" t="s">
        <v>567</v>
      </c>
      <c r="J51" s="20" t="s">
        <v>567</v>
      </c>
      <c r="K51" s="18" t="n">
        <v>0.74289994</v>
      </c>
      <c r="L51" s="20" t="n">
        <v>0.6566823000000001</v>
      </c>
      <c r="M51" s="18" t="n">
        <v>0</v>
      </c>
      <c r="N51" s="20" t="n">
        <v>0</v>
      </c>
      <c r="O51" s="18" t="n">
        <v>0</v>
      </c>
      <c r="P51" s="20" t="n">
        <v>0</v>
      </c>
      <c r="Q51" s="18" t="n">
        <v>0.9723562100000001</v>
      </c>
      <c r="R51" s="20" t="n">
        <v>0.44229963</v>
      </c>
    </row>
    <row r="52" spans="1:18">
      <c r="A52" s="15" t="s">
        <v>612</v>
      </c>
      <c r="B52" s="17" t="n">
        <v>2796</v>
      </c>
      <c r="C52" s="18">
        <f>(2515.0/B52*100)</f>
        <v/>
      </c>
      <c r="D52" s="19" t="n">
        <v>281</v>
      </c>
      <c r="E52" s="18" t="n">
        <v>5.53718608</v>
      </c>
      <c r="F52" s="20" t="n">
        <v>1.56461533</v>
      </c>
      <c r="G52" s="18" t="n">
        <v>94.46281392</v>
      </c>
      <c r="H52" s="20" t="n">
        <v>1.56461533</v>
      </c>
      <c r="I52" s="18" t="s">
        <v>567</v>
      </c>
      <c r="J52" s="20" t="s">
        <v>567</v>
      </c>
      <c r="K52" s="18" t="n">
        <v>0</v>
      </c>
      <c r="L52" s="20" t="n">
        <v>0</v>
      </c>
      <c r="M52" s="18" t="n">
        <v>0</v>
      </c>
      <c r="N52" s="20" t="n">
        <v>0</v>
      </c>
      <c r="O52" s="18" t="n">
        <v>0</v>
      </c>
      <c r="P52" s="20" t="n">
        <v>0</v>
      </c>
      <c r="Q52" s="18" t="n">
        <v>0</v>
      </c>
      <c r="R52" s="20" t="n">
        <v>0</v>
      </c>
    </row>
    <row r="53" spans="1:18">
      <c r="A53" s="15" t="s">
        <v>613</v>
      </c>
      <c r="B53" s="17" t="n">
        <v>2811</v>
      </c>
      <c r="C53" s="18">
        <f>(2522.0/B53*100)</f>
        <v/>
      </c>
      <c r="D53" s="19" t="n">
        <v>289</v>
      </c>
      <c r="E53" s="18" t="n">
        <v>25.63397239</v>
      </c>
      <c r="F53" s="20" t="n">
        <v>2.50430038</v>
      </c>
      <c r="G53" s="18" t="n">
        <v>72.92185956</v>
      </c>
      <c r="H53" s="20" t="n">
        <v>2.53853777</v>
      </c>
      <c r="I53" s="18" t="s">
        <v>567</v>
      </c>
      <c r="J53" s="20" t="s">
        <v>567</v>
      </c>
      <c r="K53" s="18" t="n">
        <v>0.23153512</v>
      </c>
      <c r="L53" s="20" t="n">
        <v>0.23404037</v>
      </c>
      <c r="M53" s="18" t="n">
        <v>0</v>
      </c>
      <c r="N53" s="20" t="n">
        <v>0</v>
      </c>
      <c r="O53" s="18" t="n">
        <v>0</v>
      </c>
      <c r="P53" s="20" t="n">
        <v>0</v>
      </c>
      <c r="Q53" s="18" t="n">
        <v>1.21263293</v>
      </c>
      <c r="R53" s="20" t="n">
        <v>0.72447888</v>
      </c>
    </row>
    <row r="54" spans="1:18">
      <c r="A54" s="15" t="s">
        <v>614</v>
      </c>
      <c r="B54" s="17" t="n">
        <v>2266</v>
      </c>
      <c r="C54" s="18">
        <f>(2015.0/B54*100)</f>
        <v/>
      </c>
      <c r="D54" s="19" t="n">
        <v>251</v>
      </c>
      <c r="E54" s="18" t="n">
        <v>40.95902488</v>
      </c>
      <c r="F54" s="20" t="n">
        <v>3.17636242</v>
      </c>
      <c r="G54" s="18" t="n">
        <v>49.83756968</v>
      </c>
      <c r="H54" s="20" t="n">
        <v>3.12607603</v>
      </c>
      <c r="I54" s="18" t="s">
        <v>567</v>
      </c>
      <c r="J54" s="20" t="s">
        <v>567</v>
      </c>
      <c r="K54" s="18" t="n">
        <v>6.25076776</v>
      </c>
      <c r="L54" s="20" t="n">
        <v>1.74058446</v>
      </c>
      <c r="M54" s="18" t="n">
        <v>0</v>
      </c>
      <c r="N54" s="20" t="n">
        <v>0</v>
      </c>
      <c r="O54" s="18" t="n">
        <v>0</v>
      </c>
      <c r="P54" s="20" t="n">
        <v>0</v>
      </c>
      <c r="Q54" s="18" t="n">
        <v>2.95263769</v>
      </c>
      <c r="R54" s="20" t="n">
        <v>1.16522125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(2392.0/B56*100)</f>
        <v/>
      </c>
      <c r="D56" s="19" t="n">
        <v>292</v>
      </c>
      <c r="E56" s="18" t="n">
        <v>10.06306876</v>
      </c>
      <c r="F56" s="20" t="n">
        <v>1.69915906</v>
      </c>
      <c r="G56" s="18" t="n">
        <v>89.60481833999999</v>
      </c>
      <c r="H56" s="20" t="n">
        <v>1.77364846</v>
      </c>
      <c r="I56" s="18" t="s">
        <v>567</v>
      </c>
      <c r="J56" s="20" t="s">
        <v>567</v>
      </c>
      <c r="K56" s="18" t="n">
        <v>0</v>
      </c>
      <c r="L56" s="20" t="n">
        <v>0</v>
      </c>
      <c r="M56" s="18" t="n">
        <v>0</v>
      </c>
      <c r="N56" s="20" t="n">
        <v>0</v>
      </c>
      <c r="O56" s="18" t="n">
        <v>0</v>
      </c>
      <c r="P56" s="20" t="n">
        <v>0</v>
      </c>
      <c r="Q56" s="18" t="n">
        <v>0.33211289</v>
      </c>
      <c r="R56" s="20" t="n">
        <v>0.33024269</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(2994.0/B61*100)</f>
        <v/>
      </c>
      <c r="D61" s="19" t="n">
        <v>330</v>
      </c>
      <c r="E61" s="18" t="n">
        <v>6.20525926</v>
      </c>
      <c r="F61" s="20" t="n">
        <v>1.19409379</v>
      </c>
      <c r="G61" s="18" t="n">
        <v>92.85224033</v>
      </c>
      <c r="H61" s="20" t="n">
        <v>1.28124237</v>
      </c>
      <c r="I61" s="18" t="s">
        <v>567</v>
      </c>
      <c r="J61" s="20" t="s">
        <v>567</v>
      </c>
      <c r="K61" s="18" t="n">
        <v>0.42961692</v>
      </c>
      <c r="L61" s="20" t="n">
        <v>0.44849813</v>
      </c>
      <c r="M61" s="18" t="n">
        <v>0</v>
      </c>
      <c r="N61" s="20" t="n">
        <v>0</v>
      </c>
      <c r="O61" s="18" t="n">
        <v>0</v>
      </c>
      <c r="P61" s="20" t="n">
        <v>0</v>
      </c>
      <c r="Q61" s="18" t="n">
        <v>0.5128834799999999</v>
      </c>
      <c r="R61" s="20" t="n">
        <v>0.28909312</v>
      </c>
    </row>
    <row r="62" spans="1:18">
      <c r="A62" s="15" t="s">
        <v>622</v>
      </c>
      <c r="B62" s="17" t="n">
        <v>2246</v>
      </c>
      <c r="C62" s="18">
        <f>(1993.0/B62*100)</f>
        <v/>
      </c>
      <c r="D62" s="19" t="n">
        <v>253</v>
      </c>
      <c r="E62" s="18" t="n">
        <v>9.867838130000001</v>
      </c>
      <c r="F62" s="20" t="n">
        <v>1.84439061</v>
      </c>
      <c r="G62" s="18" t="n">
        <v>90.13216187</v>
      </c>
      <c r="H62" s="20" t="n">
        <v>1.84439061</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(2596.0/B66*100)</f>
        <v/>
      </c>
      <c r="D66" s="19" t="n">
        <v>298</v>
      </c>
      <c r="E66" s="18" t="n">
        <v>15.51721221</v>
      </c>
      <c r="F66" s="20" t="n">
        <v>2.10470393</v>
      </c>
      <c r="G66" s="18" t="n">
        <v>79.01653496</v>
      </c>
      <c r="H66" s="20" t="n">
        <v>2.28782511</v>
      </c>
      <c r="I66" s="18" t="s">
        <v>567</v>
      </c>
      <c r="J66" s="20" t="s">
        <v>567</v>
      </c>
      <c r="K66" s="18" t="n">
        <v>0</v>
      </c>
      <c r="L66" s="20" t="n">
        <v>0</v>
      </c>
      <c r="M66" s="18" t="n">
        <v>0</v>
      </c>
      <c r="N66" s="20" t="n">
        <v>0</v>
      </c>
      <c r="O66" s="18" t="n">
        <v>0</v>
      </c>
      <c r="P66" s="20" t="n">
        <v>0</v>
      </c>
      <c r="Q66" s="18" t="n">
        <v>5.46625282</v>
      </c>
      <c r="R66" s="20" t="n">
        <v>1.27998888</v>
      </c>
    </row>
    <row r="67" spans="1:18">
      <c r="A67" s="15" t="s">
        <v>627</v>
      </c>
      <c r="B67" s="17" t="n">
        <v>3511</v>
      </c>
      <c r="C67" s="18">
        <f>(3156.0/B67*100)</f>
        <v/>
      </c>
      <c r="D67" s="19" t="n">
        <v>355</v>
      </c>
      <c r="E67" s="18" t="n">
        <v>21.69703115</v>
      </c>
      <c r="F67" s="20" t="n">
        <v>1.90084859</v>
      </c>
      <c r="G67" s="18" t="n">
        <v>77.39951574</v>
      </c>
      <c r="H67" s="20" t="n">
        <v>1.95215597</v>
      </c>
      <c r="I67" s="18" t="s">
        <v>567</v>
      </c>
      <c r="J67" s="20" t="s">
        <v>567</v>
      </c>
      <c r="K67" s="18" t="n">
        <v>0.28700077</v>
      </c>
      <c r="L67" s="20" t="n">
        <v>0.28504979</v>
      </c>
      <c r="M67" s="18" t="n">
        <v>0</v>
      </c>
      <c r="N67" s="20" t="n">
        <v>0</v>
      </c>
      <c r="O67" s="18" t="n">
        <v>0</v>
      </c>
      <c r="P67" s="20" t="n">
        <v>0</v>
      </c>
      <c r="Q67" s="18" t="n">
        <v>0.61645234</v>
      </c>
      <c r="R67" s="20" t="n">
        <v>0.43557133</v>
      </c>
    </row>
    <row r="68" spans="1:18">
      <c r="A68" s="15" t="s">
        <v>628</v>
      </c>
      <c r="B68" s="17" t="n">
        <v>6049</v>
      </c>
      <c r="C68" s="18">
        <f>(5391.0/B68*100)</f>
        <v/>
      </c>
      <c r="D68" s="19" t="n">
        <v>658</v>
      </c>
      <c r="E68" s="18" t="n">
        <v>28.31646081</v>
      </c>
      <c r="F68" s="20" t="n">
        <v>1.95895803</v>
      </c>
      <c r="G68" s="18" t="n">
        <v>66.92683395</v>
      </c>
      <c r="H68" s="20" t="n">
        <v>2.01404332</v>
      </c>
      <c r="I68" s="18" t="s">
        <v>567</v>
      </c>
      <c r="J68" s="20" t="s">
        <v>567</v>
      </c>
      <c r="K68" s="18" t="n">
        <v>2.46686322</v>
      </c>
      <c r="L68" s="20" t="n">
        <v>0.65361115</v>
      </c>
      <c r="M68" s="18" t="n">
        <v>0</v>
      </c>
      <c r="N68" s="20" t="n">
        <v>0</v>
      </c>
      <c r="O68" s="18" t="n">
        <v>0</v>
      </c>
      <c r="P68" s="20" t="n">
        <v>0</v>
      </c>
      <c r="Q68" s="18" t="n">
        <v>2.28984202</v>
      </c>
      <c r="R68" s="20" t="n">
        <v>0.61113625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(2642.0/B70*100)</f>
        <v/>
      </c>
      <c r="D70" s="19" t="n">
        <v>287</v>
      </c>
      <c r="E70" s="18" t="n">
        <v>6.1867949</v>
      </c>
      <c r="F70" s="20" t="n">
        <v>1.86860064</v>
      </c>
      <c r="G70" s="18" t="n">
        <v>93.58888367</v>
      </c>
      <c r="H70" s="20" t="n">
        <v>1.87102055</v>
      </c>
      <c r="I70" s="18" t="s">
        <v>567</v>
      </c>
      <c r="J70" s="20" t="s">
        <v>567</v>
      </c>
      <c r="K70" s="18" t="n">
        <v>0.22432143</v>
      </c>
      <c r="L70" s="20" t="n">
        <v>0.19084084</v>
      </c>
      <c r="M70" s="18" t="n">
        <v>0</v>
      </c>
      <c r="N70" s="20" t="n">
        <v>0</v>
      </c>
      <c r="O70" s="18" t="n">
        <v>0</v>
      </c>
      <c r="P70" s="20" t="n">
        <v>0</v>
      </c>
      <c r="Q70" s="18" t="n">
        <v>0</v>
      </c>
      <c r="R70" s="20" t="n">
        <v>0</v>
      </c>
    </row>
    <row r="71" spans="1:18">
      <c r="A71" s="15" t="s">
        <v>631</v>
      </c>
      <c r="B71" s="17" t="n">
        <v>3142</v>
      </c>
      <c r="C71" s="18">
        <f>(2779.0/B71*100)</f>
        <v/>
      </c>
      <c r="D71" s="19" t="n">
        <v>363</v>
      </c>
      <c r="E71" s="18" t="n">
        <v>10.22334279</v>
      </c>
      <c r="F71" s="20" t="n">
        <v>1.67313282</v>
      </c>
      <c r="G71" s="18" t="n">
        <v>88.93243581</v>
      </c>
      <c r="H71" s="20" t="n">
        <v>1.72840538</v>
      </c>
      <c r="I71" s="18" t="s">
        <v>567</v>
      </c>
      <c r="J71" s="20" t="s">
        <v>567</v>
      </c>
      <c r="K71" s="18" t="n">
        <v>0</v>
      </c>
      <c r="L71" s="20" t="n">
        <v>0</v>
      </c>
      <c r="M71" s="18" t="n">
        <v>0</v>
      </c>
      <c r="N71" s="20" t="n">
        <v>0</v>
      </c>
      <c r="O71" s="18" t="n">
        <v>0</v>
      </c>
      <c r="P71" s="20" t="n">
        <v>0</v>
      </c>
      <c r="Q71" s="18" t="n">
        <v>0.8442214</v>
      </c>
      <c r="R71" s="20" t="n">
        <v>0.48892561</v>
      </c>
    </row>
    <row r="72" spans="1:18">
      <c r="A72" s="15" t="s">
        <v>632</v>
      </c>
      <c r="B72" s="17" t="n">
        <v>3889</v>
      </c>
      <c r="C72" s="18">
        <f>(3448.0/B72*100)</f>
        <v/>
      </c>
      <c r="D72" s="19" t="n">
        <v>441</v>
      </c>
      <c r="E72" s="18" t="n">
        <v>9.662193070000001</v>
      </c>
      <c r="F72" s="20" t="n">
        <v>1.53348813</v>
      </c>
      <c r="G72" s="18" t="n">
        <v>89.67486366999999</v>
      </c>
      <c r="H72" s="20" t="n">
        <v>1.5809404</v>
      </c>
      <c r="I72" s="18" t="s">
        <v>567</v>
      </c>
      <c r="J72" s="20" t="s">
        <v>567</v>
      </c>
      <c r="K72" s="18" t="n">
        <v>0</v>
      </c>
      <c r="L72" s="20" t="n">
        <v>0</v>
      </c>
      <c r="M72" s="18" t="n">
        <v>0</v>
      </c>
      <c r="N72" s="20" t="n">
        <v>0</v>
      </c>
      <c r="O72" s="18" t="n">
        <v>0</v>
      </c>
      <c r="P72" s="20" t="n">
        <v>0</v>
      </c>
      <c r="Q72" s="18" t="n">
        <v>0.66294326</v>
      </c>
      <c r="R72" s="20" t="n">
        <v>0.39650617</v>
      </c>
    </row>
    <row r="73" spans="1:18">
      <c r="A73" s="15" t="s">
        <v>633</v>
      </c>
      <c r="B73" s="17" t="n">
        <v>3597</v>
      </c>
      <c r="C73" s="18">
        <f>(3186.0/B73*100)</f>
        <v/>
      </c>
      <c r="D73" s="19" t="n">
        <v>411</v>
      </c>
      <c r="E73" s="18" t="n">
        <v>34.26932022</v>
      </c>
      <c r="F73" s="20" t="n">
        <v>2.66905447</v>
      </c>
      <c r="G73" s="18" t="n">
        <v>65.62347484999999</v>
      </c>
      <c r="H73" s="20" t="n">
        <v>2.68276871</v>
      </c>
      <c r="I73" s="18" t="s">
        <v>567</v>
      </c>
      <c r="J73" s="20" t="s">
        <v>567</v>
      </c>
      <c r="K73" s="18" t="n">
        <v>0</v>
      </c>
      <c r="L73" s="20" t="n">
        <v>0</v>
      </c>
      <c r="M73" s="18" t="n">
        <v>0</v>
      </c>
      <c r="N73" s="20" t="n">
        <v>0</v>
      </c>
      <c r="O73" s="18" t="n">
        <v>0</v>
      </c>
      <c r="P73" s="20" t="n">
        <v>0</v>
      </c>
      <c r="Q73" s="18" t="n">
        <v>0.10720494</v>
      </c>
      <c r="R73" s="20" t="n">
        <v>0.10198523</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(2172.0/B75*100)</f>
        <v/>
      </c>
      <c r="D75" s="19" t="n">
        <v>234</v>
      </c>
      <c r="E75" s="18" t="n">
        <v>25.64218455</v>
      </c>
      <c r="F75" s="20" t="n">
        <v>3.04220112</v>
      </c>
      <c r="G75" s="18" t="n">
        <v>69.54551816999999</v>
      </c>
      <c r="H75" s="20" t="n">
        <v>3.13427752</v>
      </c>
      <c r="I75" s="18" t="s">
        <v>567</v>
      </c>
      <c r="J75" s="20" t="s">
        <v>567</v>
      </c>
      <c r="K75" s="18" t="n">
        <v>2.93776537</v>
      </c>
      <c r="L75" s="20" t="n">
        <v>0.99136453</v>
      </c>
      <c r="M75" s="18" t="n">
        <v>0</v>
      </c>
      <c r="N75" s="20" t="n">
        <v>0</v>
      </c>
      <c r="O75" s="18" t="n">
        <v>0</v>
      </c>
      <c r="P75" s="20" t="n">
        <v>0</v>
      </c>
      <c r="Q75" s="18" t="n">
        <v>1.87453191</v>
      </c>
      <c r="R75" s="20" t="n">
        <v>0.78674914</v>
      </c>
    </row>
    <row r="76" spans="1:18">
      <c r="A76" s="15" t="s">
        <v>636</v>
      </c>
      <c r="B76" s="17" t="n">
        <v>7052</v>
      </c>
      <c r="C76" s="18">
        <f>(6275.0/B76*100)</f>
        <v/>
      </c>
      <c r="D76" s="19" t="n">
        <v>777</v>
      </c>
      <c r="E76" s="18" t="n">
        <v>22.91246754</v>
      </c>
      <c r="F76" s="20" t="n">
        <v>1.82167527</v>
      </c>
      <c r="G76" s="18" t="n">
        <v>74.53819885</v>
      </c>
      <c r="H76" s="20" t="n">
        <v>1.80197068</v>
      </c>
      <c r="I76" s="18" t="s">
        <v>567</v>
      </c>
      <c r="J76" s="20" t="s">
        <v>567</v>
      </c>
      <c r="K76" s="18" t="n">
        <v>0.8275037</v>
      </c>
      <c r="L76" s="20" t="n">
        <v>0.44993509</v>
      </c>
      <c r="M76" s="18" t="n">
        <v>0</v>
      </c>
      <c r="N76" s="20" t="n">
        <v>0</v>
      </c>
      <c r="O76" s="18" t="n">
        <v>0</v>
      </c>
      <c r="P76" s="20" t="n">
        <v>0</v>
      </c>
      <c r="Q76" s="18" t="n">
        <v>1.72182992</v>
      </c>
      <c r="R76" s="20" t="n">
        <v>0.51641248</v>
      </c>
    </row>
    <row r="77" spans="1:18">
      <c r="A77" s="15" t="s">
        <v>637</v>
      </c>
      <c r="B77" s="17" t="n">
        <v>2908</v>
      </c>
      <c r="C77" s="18">
        <f>(2611.0/B77*100)</f>
        <v/>
      </c>
      <c r="D77" s="19" t="n">
        <v>297</v>
      </c>
      <c r="E77" s="18" t="n">
        <v>13.74290981</v>
      </c>
      <c r="F77" s="20" t="n">
        <v>1.89741914</v>
      </c>
      <c r="G77" s="18" t="n">
        <v>85.0868658</v>
      </c>
      <c r="H77" s="20" t="n">
        <v>2.03919431</v>
      </c>
      <c r="I77" s="18" t="s">
        <v>567</v>
      </c>
      <c r="J77" s="20" t="s">
        <v>567</v>
      </c>
      <c r="K77" s="18" t="n">
        <v>0.5889135</v>
      </c>
      <c r="L77" s="20" t="n">
        <v>0.63376728</v>
      </c>
      <c r="M77" s="18" t="n">
        <v>0</v>
      </c>
      <c r="N77" s="20" t="n">
        <v>0</v>
      </c>
      <c r="O77" s="18" t="n">
        <v>0</v>
      </c>
      <c r="P77" s="20" t="n">
        <v>0</v>
      </c>
      <c r="Q77" s="18" t="n">
        <v>0.58131089</v>
      </c>
      <c r="R77" s="20" t="n">
        <v>0.37011705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(3711.0/B81*100)</f>
        <v/>
      </c>
      <c r="D81" s="19" t="n">
        <v>452</v>
      </c>
      <c r="E81" s="18" t="n">
        <v>41.49928622</v>
      </c>
      <c r="F81" s="20" t="n">
        <v>3.04970665</v>
      </c>
      <c r="G81" s="18" t="n">
        <v>57.48285107</v>
      </c>
      <c r="H81" s="20" t="n">
        <v>2.99269429</v>
      </c>
      <c r="I81" s="18" t="s">
        <v>567</v>
      </c>
      <c r="J81" s="20" t="s">
        <v>567</v>
      </c>
      <c r="K81" s="18" t="n">
        <v>0.38281583</v>
      </c>
      <c r="L81" s="20" t="n">
        <v>0.26385386</v>
      </c>
      <c r="M81" s="18" t="n">
        <v>0</v>
      </c>
      <c r="N81" s="20" t="n">
        <v>0</v>
      </c>
      <c r="O81" s="18" t="n">
        <v>0</v>
      </c>
      <c r="P81" s="20" t="n">
        <v>0</v>
      </c>
      <c r="Q81" s="18" t="n">
        <v>0.63504688</v>
      </c>
      <c r="R81" s="20" t="n">
        <v>0.44674557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670</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7367</v>
      </c>
      <c r="C7" s="18">
        <f>(6565.0/B7*100)</f>
        <v/>
      </c>
      <c r="D7" s="19" t="n">
        <v>802</v>
      </c>
      <c r="E7" s="18" t="n">
        <v>43.66873095</v>
      </c>
      <c r="F7" s="20" t="n">
        <v>2.37253975</v>
      </c>
      <c r="G7" s="18" t="n">
        <v>26.02860241</v>
      </c>
      <c r="H7" s="20" t="n">
        <v>1.8567942</v>
      </c>
      <c r="I7" s="18" t="n">
        <v>23.26274031</v>
      </c>
      <c r="J7" s="20" t="n">
        <v>1.7467705</v>
      </c>
      <c r="K7" s="18" t="s">
        <v>567</v>
      </c>
      <c r="L7" s="20" t="s">
        <v>567</v>
      </c>
      <c r="M7" s="18" t="n">
        <v>0.37469902</v>
      </c>
      <c r="N7" s="20" t="n">
        <v>0.20972142</v>
      </c>
      <c r="O7" s="18" t="n">
        <v>0</v>
      </c>
      <c r="P7" s="20" t="n">
        <v>0</v>
      </c>
      <c r="Q7" s="18" t="n">
        <v>0</v>
      </c>
      <c r="R7" s="20" t="n">
        <v>0</v>
      </c>
      <c r="S7" s="18" t="n">
        <v>6.66522731</v>
      </c>
      <c r="T7" s="20" t="n">
        <v>0.94386588</v>
      </c>
    </row>
    <row r="8" spans="1:20">
      <c r="A8" s="15" t="s">
        <v>568</v>
      </c>
      <c r="B8" s="17" t="n">
        <v>3564</v>
      </c>
      <c r="C8" s="18">
        <f>(3182.0/B8*100)</f>
        <v/>
      </c>
      <c r="D8" s="19" t="n">
        <v>382</v>
      </c>
      <c r="E8" s="18" t="n">
        <v>51.65832048</v>
      </c>
      <c r="F8" s="20" t="n">
        <v>2.63205881</v>
      </c>
      <c r="G8" s="18" t="n">
        <v>22.34368254</v>
      </c>
      <c r="H8" s="20" t="n">
        <v>2.66879534</v>
      </c>
      <c r="I8" s="18" t="n">
        <v>17.78406596</v>
      </c>
      <c r="J8" s="20" t="n">
        <v>1.99681273</v>
      </c>
      <c r="K8" s="18" t="s">
        <v>567</v>
      </c>
      <c r="L8" s="20" t="s">
        <v>567</v>
      </c>
      <c r="M8" s="18" t="n">
        <v>0.98051535</v>
      </c>
      <c r="N8" s="20" t="n">
        <v>0.54489709</v>
      </c>
      <c r="O8" s="18" t="n">
        <v>0</v>
      </c>
      <c r="P8" s="20" t="n">
        <v>0</v>
      </c>
      <c r="Q8" s="18" t="n">
        <v>0</v>
      </c>
      <c r="R8" s="20" t="n">
        <v>0</v>
      </c>
      <c r="S8" s="18" t="n">
        <v>7.23341566</v>
      </c>
      <c r="T8" s="20" t="n">
        <v>1.19000732</v>
      </c>
    </row>
    <row r="9" spans="1:20">
      <c r="A9" s="15" t="s">
        <v>569</v>
      </c>
      <c r="B9" s="17" t="n">
        <v>4899</v>
      </c>
      <c r="C9" s="18">
        <f>(4352.0/B9*100)</f>
        <v/>
      </c>
      <c r="D9" s="19" t="n">
        <v>547</v>
      </c>
      <c r="E9" s="18" t="n">
        <v>47.02336818</v>
      </c>
      <c r="F9" s="20" t="n">
        <v>2.03706516</v>
      </c>
      <c r="G9" s="18" t="n">
        <v>21.28276224</v>
      </c>
      <c r="H9" s="20" t="n">
        <v>1.86610585</v>
      </c>
      <c r="I9" s="18" t="n">
        <v>25.09363991</v>
      </c>
      <c r="J9" s="20" t="n">
        <v>1.98959227</v>
      </c>
      <c r="K9" s="18" t="s">
        <v>567</v>
      </c>
      <c r="L9" s="20" t="s">
        <v>567</v>
      </c>
      <c r="M9" s="18" t="n">
        <v>0.15091259</v>
      </c>
      <c r="N9" s="20" t="n">
        <v>0.14979996</v>
      </c>
      <c r="O9" s="18" t="n">
        <v>0.18205731</v>
      </c>
      <c r="P9" s="20" t="n">
        <v>0.17740408</v>
      </c>
      <c r="Q9" s="18" t="n">
        <v>0</v>
      </c>
      <c r="R9" s="20" t="n">
        <v>0</v>
      </c>
      <c r="S9" s="18" t="n">
        <v>6.26725977</v>
      </c>
      <c r="T9" s="20" t="n">
        <v>0.92156562</v>
      </c>
    </row>
    <row r="10" spans="1:20">
      <c r="A10" s="15" t="s">
        <v>570</v>
      </c>
      <c r="B10" s="17" t="n">
        <v>10036</v>
      </c>
      <c r="C10" s="18">
        <f>(8914.0/B10*100)</f>
        <v/>
      </c>
      <c r="D10" s="19" t="n">
        <v>1122</v>
      </c>
      <c r="E10" s="18" t="n">
        <v>45.66814149</v>
      </c>
      <c r="F10" s="20" t="n">
        <v>2.00520557</v>
      </c>
      <c r="G10" s="18" t="n">
        <v>17.34755896</v>
      </c>
      <c r="H10" s="20" t="n">
        <v>1.27287311</v>
      </c>
      <c r="I10" s="18" t="n">
        <v>33.99038855</v>
      </c>
      <c r="J10" s="20" t="n">
        <v>2.03397061</v>
      </c>
      <c r="K10" s="18" t="s">
        <v>567</v>
      </c>
      <c r="L10" s="20" t="s">
        <v>567</v>
      </c>
      <c r="M10" s="18" t="n">
        <v>0.57228711</v>
      </c>
      <c r="N10" s="20" t="n">
        <v>0.344737</v>
      </c>
      <c r="O10" s="18" t="n">
        <v>0</v>
      </c>
      <c r="P10" s="20" t="n">
        <v>0</v>
      </c>
      <c r="Q10" s="18" t="n">
        <v>0</v>
      </c>
      <c r="R10" s="20" t="n">
        <v>0</v>
      </c>
      <c r="S10" s="18" t="n">
        <v>2.4216239</v>
      </c>
      <c r="T10" s="20" t="n">
        <v>0.58584386</v>
      </c>
    </row>
    <row r="11" spans="1:20">
      <c r="A11" s="15" t="s">
        <v>571</v>
      </c>
      <c r="B11" s="17" t="n">
        <v>3553</v>
      </c>
      <c r="C11" s="18">
        <f>(3170.0/B11*100)</f>
        <v/>
      </c>
      <c r="D11" s="19" t="n">
        <v>383</v>
      </c>
      <c r="E11" s="18" t="n">
        <v>58.80802775</v>
      </c>
      <c r="F11" s="20" t="n">
        <v>2.95555064</v>
      </c>
      <c r="G11" s="18" t="n">
        <v>16.15635399</v>
      </c>
      <c r="H11" s="20" t="n">
        <v>1.88909398</v>
      </c>
      <c r="I11" s="18" t="n">
        <v>12.78180805</v>
      </c>
      <c r="J11" s="20" t="n">
        <v>2.07352137</v>
      </c>
      <c r="K11" s="18" t="s">
        <v>567</v>
      </c>
      <c r="L11" s="20" t="s">
        <v>567</v>
      </c>
      <c r="M11" s="18" t="n">
        <v>0.88279113</v>
      </c>
      <c r="N11" s="20" t="n">
        <v>0.75122408</v>
      </c>
      <c r="O11" s="18" t="n">
        <v>0.03653776</v>
      </c>
      <c r="P11" s="20" t="n">
        <v>0.03687405</v>
      </c>
      <c r="Q11" s="18" t="n">
        <v>0</v>
      </c>
      <c r="R11" s="20" t="n">
        <v>0</v>
      </c>
      <c r="S11" s="18" t="n">
        <v>11.33448132</v>
      </c>
      <c r="T11" s="20" t="n">
        <v>1.90884646</v>
      </c>
    </row>
    <row r="12" spans="1:20">
      <c r="A12" s="15" t="s">
        <v>572</v>
      </c>
      <c r="B12" s="17" t="n">
        <v>3472</v>
      </c>
      <c r="C12" s="18">
        <f>(3084.0/B12*100)</f>
        <v/>
      </c>
      <c r="D12" s="19" t="n">
        <v>388</v>
      </c>
      <c r="E12" s="18" t="n">
        <v>53.52081955</v>
      </c>
      <c r="F12" s="20" t="n">
        <v>2.4159087</v>
      </c>
      <c r="G12" s="18" t="n">
        <v>27.15717797</v>
      </c>
      <c r="H12" s="20" t="n">
        <v>2.35324644</v>
      </c>
      <c r="I12" s="18" t="n">
        <v>13.99120354</v>
      </c>
      <c r="J12" s="20" t="n">
        <v>1.82314841</v>
      </c>
      <c r="K12" s="18" t="s">
        <v>567</v>
      </c>
      <c r="L12" s="20" t="s">
        <v>567</v>
      </c>
      <c r="M12" s="18" t="n">
        <v>0</v>
      </c>
      <c r="N12" s="20" t="n">
        <v>0</v>
      </c>
      <c r="O12" s="18" t="n">
        <v>0</v>
      </c>
      <c r="P12" s="20" t="n">
        <v>0</v>
      </c>
      <c r="Q12" s="18" t="n">
        <v>0</v>
      </c>
      <c r="R12" s="20" t="n">
        <v>0</v>
      </c>
      <c r="S12" s="18" t="n">
        <v>5.33079895</v>
      </c>
      <c r="T12" s="20" t="n">
        <v>1.34676514</v>
      </c>
    </row>
    <row r="13" spans="1:20">
      <c r="A13" s="15" t="s">
        <v>573</v>
      </c>
      <c r="B13" s="17" t="n">
        <v>3559</v>
      </c>
      <c r="C13" s="18">
        <f>(3233.0/B13*100)</f>
        <v/>
      </c>
      <c r="D13" s="19" t="n">
        <v>326</v>
      </c>
      <c r="E13" s="18" t="n">
        <v>52.34371694</v>
      </c>
      <c r="F13" s="20" t="n">
        <v>3.02242835</v>
      </c>
      <c r="G13" s="18" t="n">
        <v>22.54665478</v>
      </c>
      <c r="H13" s="20" t="n">
        <v>2.8642926</v>
      </c>
      <c r="I13" s="18" t="n">
        <v>16.29141095</v>
      </c>
      <c r="J13" s="20" t="n">
        <v>2.16218484</v>
      </c>
      <c r="K13" s="18" t="s">
        <v>567</v>
      </c>
      <c r="L13" s="20" t="s">
        <v>567</v>
      </c>
      <c r="M13" s="18" t="n">
        <v>1.96304395</v>
      </c>
      <c r="N13" s="20" t="n">
        <v>1.05583585</v>
      </c>
      <c r="O13" s="18" t="n">
        <v>0</v>
      </c>
      <c r="P13" s="20" t="n">
        <v>0</v>
      </c>
      <c r="Q13" s="18" t="n">
        <v>0</v>
      </c>
      <c r="R13" s="20" t="n">
        <v>0</v>
      </c>
      <c r="S13" s="18" t="n">
        <v>6.85517339</v>
      </c>
      <c r="T13" s="20" t="n">
        <v>1.63849072</v>
      </c>
    </row>
    <row r="14" spans="1:20">
      <c r="A14" s="15" t="s">
        <v>574</v>
      </c>
      <c r="B14" s="17" t="n">
        <v>2799</v>
      </c>
      <c r="C14" s="18">
        <f>(2464.0/B14*100)</f>
        <v/>
      </c>
      <c r="D14" s="19" t="n">
        <v>335</v>
      </c>
      <c r="E14" s="18" t="n">
        <v>31.12569673</v>
      </c>
      <c r="F14" s="20" t="n">
        <v>2.44281969</v>
      </c>
      <c r="G14" s="18" t="n">
        <v>22.4644316</v>
      </c>
      <c r="H14" s="20" t="n">
        <v>2.54778476</v>
      </c>
      <c r="I14" s="18" t="n">
        <v>43.09105515</v>
      </c>
      <c r="J14" s="20" t="n">
        <v>2.90265294</v>
      </c>
      <c r="K14" s="18" t="s">
        <v>567</v>
      </c>
      <c r="L14" s="20" t="s">
        <v>567</v>
      </c>
      <c r="M14" s="18" t="n">
        <v>0.28134752</v>
      </c>
      <c r="N14" s="20" t="n">
        <v>0.28443054</v>
      </c>
      <c r="O14" s="18" t="n">
        <v>0</v>
      </c>
      <c r="P14" s="20" t="n">
        <v>0</v>
      </c>
      <c r="Q14" s="18" t="n">
        <v>0</v>
      </c>
      <c r="R14" s="20" t="n">
        <v>0</v>
      </c>
      <c r="S14" s="18" t="n">
        <v>3.037469</v>
      </c>
      <c r="T14" s="20" t="n">
        <v>1.05438627</v>
      </c>
    </row>
    <row r="15" spans="1:20">
      <c r="A15" s="15" t="s">
        <v>575</v>
      </c>
      <c r="B15" s="17" t="n">
        <v>3019</v>
      </c>
      <c r="C15" s="18">
        <f>(2690.0/B15*100)</f>
        <v/>
      </c>
      <c r="D15" s="19" t="n">
        <v>329</v>
      </c>
      <c r="E15" s="18" t="n">
        <v>42.30098521</v>
      </c>
      <c r="F15" s="20" t="n">
        <v>2.86396043</v>
      </c>
      <c r="G15" s="18" t="n">
        <v>23.61150373</v>
      </c>
      <c r="H15" s="20" t="n">
        <v>2.55133289</v>
      </c>
      <c r="I15" s="18" t="n">
        <v>30.69971368</v>
      </c>
      <c r="J15" s="20" t="n">
        <v>2.65819973</v>
      </c>
      <c r="K15" s="18" t="s">
        <v>567</v>
      </c>
      <c r="L15" s="20" t="s">
        <v>567</v>
      </c>
      <c r="M15" s="18" t="n">
        <v>0.26693574</v>
      </c>
      <c r="N15" s="20" t="n">
        <v>0.26769983</v>
      </c>
      <c r="O15" s="18" t="n">
        <v>0</v>
      </c>
      <c r="P15" s="20" t="n">
        <v>0</v>
      </c>
      <c r="Q15" s="18" t="n">
        <v>0</v>
      </c>
      <c r="R15" s="20" t="n">
        <v>0</v>
      </c>
      <c r="S15" s="18" t="n">
        <v>3.12086164</v>
      </c>
      <c r="T15" s="20" t="n">
        <v>0.98564253</v>
      </c>
    </row>
    <row r="16" spans="1:20">
      <c r="A16" s="15" t="s">
        <v>576</v>
      </c>
      <c r="B16" s="17" t="n">
        <v>2997</v>
      </c>
      <c r="C16" s="18">
        <f>(2657.0/B16*100)</f>
        <v/>
      </c>
      <c r="D16" s="19" t="n">
        <v>340</v>
      </c>
      <c r="E16" s="18" t="n">
        <v>33.69908784</v>
      </c>
      <c r="F16" s="20" t="n">
        <v>2.36000433</v>
      </c>
      <c r="G16" s="18" t="n">
        <v>19.78305736</v>
      </c>
      <c r="H16" s="20" t="n">
        <v>2.13397559</v>
      </c>
      <c r="I16" s="18" t="n">
        <v>30.68093635</v>
      </c>
      <c r="J16" s="20" t="n">
        <v>2.67888338</v>
      </c>
      <c r="K16" s="18" t="s">
        <v>567</v>
      </c>
      <c r="L16" s="20" t="s">
        <v>567</v>
      </c>
      <c r="M16" s="18" t="n">
        <v>1.24736933</v>
      </c>
      <c r="N16" s="20" t="n">
        <v>0.59772113</v>
      </c>
      <c r="O16" s="18" t="n">
        <v>0</v>
      </c>
      <c r="P16" s="20" t="n">
        <v>0</v>
      </c>
      <c r="Q16" s="18" t="n">
        <v>0</v>
      </c>
      <c r="R16" s="20" t="n">
        <v>0</v>
      </c>
      <c r="S16" s="18" t="n">
        <v>14.58954911</v>
      </c>
      <c r="T16" s="20" t="n">
        <v>2.05588575</v>
      </c>
    </row>
    <row r="17" spans="1:20">
      <c r="A17" s="15" t="s">
        <v>577</v>
      </c>
      <c r="B17" s="17" t="n">
        <v>3307</v>
      </c>
      <c r="C17" s="18">
        <f>(2967.0/B17*100)</f>
        <v/>
      </c>
      <c r="D17" s="19" t="n">
        <v>340</v>
      </c>
      <c r="E17" s="18" t="n">
        <v>58.7050799</v>
      </c>
      <c r="F17" s="20" t="n">
        <v>2.38597902</v>
      </c>
      <c r="G17" s="18" t="n">
        <v>14.10024371</v>
      </c>
      <c r="H17" s="20" t="n">
        <v>2.02985363</v>
      </c>
      <c r="I17" s="18" t="n">
        <v>20.73284993</v>
      </c>
      <c r="J17" s="20" t="n">
        <v>2.22785594</v>
      </c>
      <c r="K17" s="18" t="s">
        <v>567</v>
      </c>
      <c r="L17" s="20" t="s">
        <v>567</v>
      </c>
      <c r="M17" s="18" t="n">
        <v>0.75047014</v>
      </c>
      <c r="N17" s="20" t="n">
        <v>0.46354088</v>
      </c>
      <c r="O17" s="18" t="n">
        <v>0</v>
      </c>
      <c r="P17" s="20" t="n">
        <v>0</v>
      </c>
      <c r="Q17" s="18" t="n">
        <v>0</v>
      </c>
      <c r="R17" s="20" t="n">
        <v>0</v>
      </c>
      <c r="S17" s="18" t="n">
        <v>5.71135631</v>
      </c>
      <c r="T17" s="20" t="n">
        <v>1.30934494</v>
      </c>
    </row>
    <row r="18" spans="1:20">
      <c r="A18" s="15" t="s">
        <v>578</v>
      </c>
      <c r="B18" s="17" t="n">
        <v>2826</v>
      </c>
      <c r="C18" s="18">
        <f>(2501.0/B18*100)</f>
        <v/>
      </c>
      <c r="D18" s="19" t="n">
        <v>325</v>
      </c>
      <c r="E18" s="18" t="n">
        <v>53.35110866</v>
      </c>
      <c r="F18" s="20" t="n">
        <v>3.2501842</v>
      </c>
      <c r="G18" s="18" t="n">
        <v>18.70670857</v>
      </c>
      <c r="H18" s="20" t="n">
        <v>2.17920964</v>
      </c>
      <c r="I18" s="18" t="n">
        <v>15.45186179</v>
      </c>
      <c r="J18" s="20" t="n">
        <v>2.06380878</v>
      </c>
      <c r="K18" s="18" t="s">
        <v>567</v>
      </c>
      <c r="L18" s="20" t="s">
        <v>567</v>
      </c>
      <c r="M18" s="18" t="n">
        <v>0.16886679</v>
      </c>
      <c r="N18" s="20" t="n">
        <v>0.17362169</v>
      </c>
      <c r="O18" s="18" t="n">
        <v>0</v>
      </c>
      <c r="P18" s="20" t="n">
        <v>0</v>
      </c>
      <c r="Q18" s="18" t="n">
        <v>0</v>
      </c>
      <c r="R18" s="20" t="n">
        <v>0</v>
      </c>
      <c r="S18" s="18" t="n">
        <v>12.3214542</v>
      </c>
      <c r="T18" s="20" t="n">
        <v>2.44701289</v>
      </c>
    </row>
    <row r="19" spans="1:20">
      <c r="A19" s="15" t="s">
        <v>579</v>
      </c>
      <c r="B19" s="17" t="n">
        <v>2808</v>
      </c>
      <c r="C19" s="18">
        <f>(2497.0/B19*100)</f>
        <v/>
      </c>
      <c r="D19" s="19" t="n">
        <v>311</v>
      </c>
      <c r="E19" s="18" t="n">
        <v>54.76865787</v>
      </c>
      <c r="F19" s="20" t="n">
        <v>3.10284855</v>
      </c>
      <c r="G19" s="18" t="n">
        <v>22.18351773</v>
      </c>
      <c r="H19" s="20" t="n">
        <v>2.7493025</v>
      </c>
      <c r="I19" s="18" t="n">
        <v>13.29099568</v>
      </c>
      <c r="J19" s="20" t="n">
        <v>1.67523918</v>
      </c>
      <c r="K19" s="18" t="s">
        <v>567</v>
      </c>
      <c r="L19" s="20" t="s">
        <v>567</v>
      </c>
      <c r="M19" s="18" t="n">
        <v>0</v>
      </c>
      <c r="N19" s="20" t="n">
        <v>0</v>
      </c>
      <c r="O19" s="18" t="n">
        <v>0.27367582</v>
      </c>
      <c r="P19" s="20" t="n">
        <v>0.27001121</v>
      </c>
      <c r="Q19" s="18" t="n">
        <v>0</v>
      </c>
      <c r="R19" s="20" t="n">
        <v>0</v>
      </c>
      <c r="S19" s="18" t="n">
        <v>9.4831529</v>
      </c>
      <c r="T19" s="20" t="n">
        <v>1.9371797</v>
      </c>
    </row>
    <row r="20" spans="1:20">
      <c r="A20" s="15" t="s">
        <v>580</v>
      </c>
      <c r="B20" s="17" t="n">
        <v>1630</v>
      </c>
      <c r="C20" s="18">
        <f>(1465.0/B20*100)</f>
        <v/>
      </c>
      <c r="D20" s="19" t="n">
        <v>165</v>
      </c>
      <c r="E20" s="18" t="n">
        <v>56.73953637</v>
      </c>
      <c r="F20" s="20" t="n">
        <v>4.09264636</v>
      </c>
      <c r="G20" s="18" t="n">
        <v>21.12908824</v>
      </c>
      <c r="H20" s="20" t="n">
        <v>3.23831586</v>
      </c>
      <c r="I20" s="18" t="n">
        <v>11.77011915</v>
      </c>
      <c r="J20" s="20" t="n">
        <v>2.67881206</v>
      </c>
      <c r="K20" s="18" t="s">
        <v>567</v>
      </c>
      <c r="L20" s="20" t="s">
        <v>567</v>
      </c>
      <c r="M20" s="18" t="n">
        <v>0</v>
      </c>
      <c r="N20" s="20" t="n">
        <v>0</v>
      </c>
      <c r="O20" s="18" t="n">
        <v>0</v>
      </c>
      <c r="P20" s="20" t="n">
        <v>0</v>
      </c>
      <c r="Q20" s="18" t="n">
        <v>0</v>
      </c>
      <c r="R20" s="20" t="n">
        <v>0</v>
      </c>
      <c r="S20" s="18" t="n">
        <v>10.36125624</v>
      </c>
      <c r="T20" s="20" t="n">
        <v>2.43434999</v>
      </c>
    </row>
    <row r="21" spans="1:20">
      <c r="A21" s="15" t="s">
        <v>581</v>
      </c>
      <c r="B21" s="17" t="n">
        <v>2908</v>
      </c>
      <c r="C21" s="18">
        <f>(2576.0/B21*100)</f>
        <v/>
      </c>
      <c r="D21" s="19" t="n">
        <v>332</v>
      </c>
      <c r="E21" s="18" t="n">
        <v>37.55006181</v>
      </c>
      <c r="F21" s="20" t="n">
        <v>2.55512687</v>
      </c>
      <c r="G21" s="18" t="n">
        <v>21.96706528</v>
      </c>
      <c r="H21" s="20" t="n">
        <v>2.1478301</v>
      </c>
      <c r="I21" s="18" t="n">
        <v>35.51705194</v>
      </c>
      <c r="J21" s="20" t="n">
        <v>2.63606528</v>
      </c>
      <c r="K21" s="18" t="s">
        <v>567</v>
      </c>
      <c r="L21" s="20" t="s">
        <v>567</v>
      </c>
      <c r="M21" s="18" t="n">
        <v>0</v>
      </c>
      <c r="N21" s="20" t="n">
        <v>0</v>
      </c>
      <c r="O21" s="18" t="n">
        <v>0</v>
      </c>
      <c r="P21" s="20" t="n">
        <v>0</v>
      </c>
      <c r="Q21" s="18" t="n">
        <v>0</v>
      </c>
      <c r="R21" s="20" t="n">
        <v>0</v>
      </c>
      <c r="S21" s="18" t="n">
        <v>4.96582097</v>
      </c>
      <c r="T21" s="20" t="n">
        <v>1.2735037</v>
      </c>
    </row>
    <row r="22" spans="1:20">
      <c r="A22" s="15" t="s">
        <v>582</v>
      </c>
      <c r="B22" s="17" t="n">
        <v>2931</v>
      </c>
      <c r="C22" s="18">
        <f>(2602.0/B22*100)</f>
        <v/>
      </c>
      <c r="D22" s="19" t="n">
        <v>329</v>
      </c>
      <c r="E22" s="18" t="n">
        <v>41.87592482</v>
      </c>
      <c r="F22" s="20" t="n">
        <v>2.96622937</v>
      </c>
      <c r="G22" s="18" t="n">
        <v>19.1777381</v>
      </c>
      <c r="H22" s="20" t="n">
        <v>2.32794005</v>
      </c>
      <c r="I22" s="18" t="n">
        <v>24.68353446</v>
      </c>
      <c r="J22" s="20" t="n">
        <v>2.54498632</v>
      </c>
      <c r="K22" s="18" t="s">
        <v>567</v>
      </c>
      <c r="L22" s="20" t="s">
        <v>567</v>
      </c>
      <c r="M22" s="18" t="n">
        <v>1.35855626</v>
      </c>
      <c r="N22" s="20" t="n">
        <v>0.85457174</v>
      </c>
      <c r="O22" s="18" t="n">
        <v>0</v>
      </c>
      <c r="P22" s="20" t="n">
        <v>0</v>
      </c>
      <c r="Q22" s="18" t="n">
        <v>0</v>
      </c>
      <c r="R22" s="20" t="n">
        <v>0</v>
      </c>
      <c r="S22" s="18" t="n">
        <v>12.90424637</v>
      </c>
      <c r="T22" s="20" t="n">
        <v>2.41869318</v>
      </c>
    </row>
    <row r="23" spans="1:20">
      <c r="A23" s="15" t="s">
        <v>583</v>
      </c>
      <c r="B23" s="17" t="n">
        <v>5791</v>
      </c>
      <c r="C23" s="18">
        <f>(5155.0/B23*100)</f>
        <v/>
      </c>
      <c r="D23" s="19" t="n">
        <v>636</v>
      </c>
      <c r="E23" s="18" t="n">
        <v>35.63265366</v>
      </c>
      <c r="F23" s="20" t="n">
        <v>2.58731682</v>
      </c>
      <c r="G23" s="18" t="n">
        <v>26.36537172</v>
      </c>
      <c r="H23" s="20" t="n">
        <v>2.56068888</v>
      </c>
      <c r="I23" s="18" t="n">
        <v>24.62900447</v>
      </c>
      <c r="J23" s="20" t="n">
        <v>2.58865396</v>
      </c>
      <c r="K23" s="18" t="s">
        <v>567</v>
      </c>
      <c r="L23" s="20" t="s">
        <v>567</v>
      </c>
      <c r="M23" s="18" t="n">
        <v>0.00481957</v>
      </c>
      <c r="N23" s="20" t="n">
        <v>0.00483536</v>
      </c>
      <c r="O23" s="18" t="n">
        <v>0.20424725</v>
      </c>
      <c r="P23" s="20" t="n">
        <v>0.21233996</v>
      </c>
      <c r="Q23" s="18" t="n">
        <v>0</v>
      </c>
      <c r="R23" s="20" t="n">
        <v>0</v>
      </c>
      <c r="S23" s="18" t="n">
        <v>13.16390333</v>
      </c>
      <c r="T23" s="20" t="n">
        <v>2.33813244</v>
      </c>
    </row>
    <row r="24" spans="1:20">
      <c r="A24" s="15" t="s">
        <v>584</v>
      </c>
      <c r="B24" s="17" t="n">
        <v>3338</v>
      </c>
      <c r="C24" s="18">
        <f>(2977.0/B24*100)</f>
        <v/>
      </c>
      <c r="D24" s="19" t="n">
        <v>361</v>
      </c>
      <c r="E24" s="18" t="n">
        <v>16.88263541</v>
      </c>
      <c r="F24" s="20" t="n">
        <v>1.92731799</v>
      </c>
      <c r="G24" s="18" t="n">
        <v>32.31067748</v>
      </c>
      <c r="H24" s="20" t="n">
        <v>2.64789324</v>
      </c>
      <c r="I24" s="18" t="n">
        <v>40.60307091</v>
      </c>
      <c r="J24" s="20" t="n">
        <v>2.33219817</v>
      </c>
      <c r="K24" s="18" t="s">
        <v>567</v>
      </c>
      <c r="L24" s="20" t="s">
        <v>567</v>
      </c>
      <c r="M24" s="18" t="n">
        <v>0</v>
      </c>
      <c r="N24" s="20" t="n">
        <v>0</v>
      </c>
      <c r="O24" s="18" t="n">
        <v>0</v>
      </c>
      <c r="P24" s="20" t="n">
        <v>0</v>
      </c>
      <c r="Q24" s="18" t="n">
        <v>0</v>
      </c>
      <c r="R24" s="20" t="n">
        <v>0</v>
      </c>
      <c r="S24" s="18" t="n">
        <v>10.2036162</v>
      </c>
      <c r="T24" s="20" t="n">
        <v>1.65486139</v>
      </c>
    </row>
    <row r="25" spans="1:20">
      <c r="A25" s="15" t="s">
        <v>585</v>
      </c>
      <c r="B25" s="17" t="n">
        <v>2912</v>
      </c>
      <c r="C25" s="18">
        <f>(2607.0/B25*100)</f>
        <v/>
      </c>
      <c r="D25" s="19" t="n">
        <v>305</v>
      </c>
      <c r="E25" s="18" t="n">
        <v>41.10715257</v>
      </c>
      <c r="F25" s="20" t="n">
        <v>2.54792891</v>
      </c>
      <c r="G25" s="18" t="n">
        <v>42.51789522</v>
      </c>
      <c r="H25" s="20" t="n">
        <v>2.74595826</v>
      </c>
      <c r="I25" s="18" t="n">
        <v>13.32810334</v>
      </c>
      <c r="J25" s="20" t="n">
        <v>1.95810957</v>
      </c>
      <c r="K25" s="18" t="s">
        <v>567</v>
      </c>
      <c r="L25" s="20" t="s">
        <v>567</v>
      </c>
      <c r="M25" s="18" t="n">
        <v>0.27779048</v>
      </c>
      <c r="N25" s="20" t="n">
        <v>0.28180144</v>
      </c>
      <c r="O25" s="18" t="n">
        <v>0</v>
      </c>
      <c r="P25" s="20" t="n">
        <v>0</v>
      </c>
      <c r="Q25" s="18" t="n">
        <v>0</v>
      </c>
      <c r="R25" s="20" t="n">
        <v>0</v>
      </c>
      <c r="S25" s="18" t="n">
        <v>2.76905839</v>
      </c>
      <c r="T25" s="20" t="n">
        <v>0.95249206</v>
      </c>
    </row>
    <row r="26" spans="1:20">
      <c r="A26" s="15" t="s">
        <v>586</v>
      </c>
      <c r="B26" s="17" t="n">
        <v>2450</v>
      </c>
      <c r="C26" s="18">
        <f>(2179.0/B26*100)</f>
        <v/>
      </c>
      <c r="D26" s="19" t="n">
        <v>271</v>
      </c>
      <c r="E26" s="18" t="n">
        <v>46.39727817</v>
      </c>
      <c r="F26" s="20" t="n">
        <v>3.3597715</v>
      </c>
      <c r="G26" s="18" t="n">
        <v>30.16264716</v>
      </c>
      <c r="H26" s="20" t="n">
        <v>2.71456561</v>
      </c>
      <c r="I26" s="18" t="n">
        <v>17.0661726</v>
      </c>
      <c r="J26" s="20" t="n">
        <v>2.01063268</v>
      </c>
      <c r="K26" s="18" t="s">
        <v>567</v>
      </c>
      <c r="L26" s="20" t="s">
        <v>567</v>
      </c>
      <c r="M26" s="18" t="n">
        <v>0</v>
      </c>
      <c r="N26" s="20" t="n">
        <v>0</v>
      </c>
      <c r="O26" s="18" t="n">
        <v>0</v>
      </c>
      <c r="P26" s="20" t="n">
        <v>0</v>
      </c>
      <c r="Q26" s="18" t="n">
        <v>0</v>
      </c>
      <c r="R26" s="20" t="n">
        <v>0</v>
      </c>
      <c r="S26" s="18" t="n">
        <v>6.37390207</v>
      </c>
      <c r="T26" s="20" t="n">
        <v>1.53806662</v>
      </c>
    </row>
    <row r="27" spans="1:20">
      <c r="A27" s="15" t="s">
        <v>587</v>
      </c>
      <c r="B27" s="17" t="n">
        <v>2616</v>
      </c>
      <c r="C27" s="18">
        <f>(2320.0/B27*100)</f>
        <v/>
      </c>
      <c r="D27" s="19" t="n">
        <v>296</v>
      </c>
      <c r="E27" s="18" t="n">
        <v>50.7468886</v>
      </c>
      <c r="F27" s="20" t="n">
        <v>2.98475554</v>
      </c>
      <c r="G27" s="18" t="n">
        <v>15.11170272</v>
      </c>
      <c r="H27" s="20" t="n">
        <v>2.18355523</v>
      </c>
      <c r="I27" s="18" t="n">
        <v>25.27776415</v>
      </c>
      <c r="J27" s="20" t="n">
        <v>2.49513153</v>
      </c>
      <c r="K27" s="18" t="s">
        <v>567</v>
      </c>
      <c r="L27" s="20" t="s">
        <v>567</v>
      </c>
      <c r="M27" s="18" t="n">
        <v>0.68848504</v>
      </c>
      <c r="N27" s="20" t="n">
        <v>0.49113091</v>
      </c>
      <c r="O27" s="18" t="n">
        <v>0</v>
      </c>
      <c r="P27" s="20" t="n">
        <v>0</v>
      </c>
      <c r="Q27" s="18" t="n">
        <v>0</v>
      </c>
      <c r="R27" s="20" t="n">
        <v>0</v>
      </c>
      <c r="S27" s="18" t="n">
        <v>8.17515949</v>
      </c>
      <c r="T27" s="20" t="n">
        <v>1.33105158</v>
      </c>
    </row>
    <row r="28" spans="1:20">
      <c r="A28" s="15" t="s">
        <v>588</v>
      </c>
      <c r="B28" s="17" t="n">
        <v>3765</v>
      </c>
      <c r="C28" s="18">
        <f>(3397.0/B28*100)</f>
        <v/>
      </c>
      <c r="D28" s="19" t="n">
        <v>368</v>
      </c>
      <c r="E28" s="18" t="n">
        <v>74.16003225999999</v>
      </c>
      <c r="F28" s="20" t="n">
        <v>2.59902278</v>
      </c>
      <c r="G28" s="18" t="n">
        <v>16.44093059</v>
      </c>
      <c r="H28" s="20" t="n">
        <v>2.36166085</v>
      </c>
      <c r="I28" s="18" t="n">
        <v>6.26627487</v>
      </c>
      <c r="J28" s="20" t="n">
        <v>1.2775724</v>
      </c>
      <c r="K28" s="18" t="s">
        <v>567</v>
      </c>
      <c r="L28" s="20" t="s">
        <v>567</v>
      </c>
      <c r="M28" s="18" t="n">
        <v>0</v>
      </c>
      <c r="N28" s="20" t="n">
        <v>0</v>
      </c>
      <c r="O28" s="18" t="n">
        <v>0</v>
      </c>
      <c r="P28" s="20" t="n">
        <v>0</v>
      </c>
      <c r="Q28" s="18" t="n">
        <v>0</v>
      </c>
      <c r="R28" s="20" t="n">
        <v>0</v>
      </c>
      <c r="S28" s="18" t="n">
        <v>3.13276229</v>
      </c>
      <c r="T28" s="20" t="n">
        <v>0.93650386</v>
      </c>
    </row>
    <row r="29" spans="1:20">
      <c r="A29" s="15" t="s">
        <v>589</v>
      </c>
      <c r="B29" s="17" t="n">
        <v>2685</v>
      </c>
      <c r="C29" s="18">
        <f>(2404.0/B29*100)</f>
        <v/>
      </c>
      <c r="D29" s="19" t="n">
        <v>281</v>
      </c>
      <c r="E29" s="18" t="n">
        <v>44.00519873</v>
      </c>
      <c r="F29" s="20" t="n">
        <v>2.67196458</v>
      </c>
      <c r="G29" s="18" t="n">
        <v>28.07114803</v>
      </c>
      <c r="H29" s="20" t="n">
        <v>2.69962114</v>
      </c>
      <c r="I29" s="18" t="n">
        <v>24.59653082</v>
      </c>
      <c r="J29" s="20" t="n">
        <v>2.68779504</v>
      </c>
      <c r="K29" s="18" t="s">
        <v>567</v>
      </c>
      <c r="L29" s="20" t="s">
        <v>567</v>
      </c>
      <c r="M29" s="18" t="n">
        <v>0.36807508</v>
      </c>
      <c r="N29" s="20" t="n">
        <v>0.36480756</v>
      </c>
      <c r="O29" s="18" t="n">
        <v>0</v>
      </c>
      <c r="P29" s="20" t="n">
        <v>0</v>
      </c>
      <c r="Q29" s="18" t="n">
        <v>0</v>
      </c>
      <c r="R29" s="20" t="n">
        <v>0</v>
      </c>
      <c r="S29" s="18" t="n">
        <v>2.95904733</v>
      </c>
      <c r="T29" s="20" t="n">
        <v>1.09951536</v>
      </c>
    </row>
    <row r="30" spans="1:20">
      <c r="A30" s="15" t="s">
        <v>590</v>
      </c>
      <c r="B30" s="17" t="n">
        <v>2263</v>
      </c>
      <c r="C30" s="18">
        <f>(2006.0/B30*100)</f>
        <v/>
      </c>
      <c r="D30" s="19" t="n">
        <v>257</v>
      </c>
      <c r="E30" s="18" t="n">
        <v>37.75538415</v>
      </c>
      <c r="F30" s="20" t="n">
        <v>3.28097641</v>
      </c>
      <c r="G30" s="18" t="n">
        <v>22.94577258</v>
      </c>
      <c r="H30" s="20" t="n">
        <v>2.71005149</v>
      </c>
      <c r="I30" s="18" t="n">
        <v>27.65649753</v>
      </c>
      <c r="J30" s="20" t="n">
        <v>3.39009006</v>
      </c>
      <c r="K30" s="18" t="s">
        <v>567</v>
      </c>
      <c r="L30" s="20" t="s">
        <v>567</v>
      </c>
      <c r="M30" s="18" t="n">
        <v>0</v>
      </c>
      <c r="N30" s="20" t="n">
        <v>0</v>
      </c>
      <c r="O30" s="18" t="n">
        <v>0.27953445</v>
      </c>
      <c r="P30" s="20" t="n">
        <v>0.28216214</v>
      </c>
      <c r="Q30" s="18" t="n">
        <v>0</v>
      </c>
      <c r="R30" s="20" t="n">
        <v>0</v>
      </c>
      <c r="S30" s="18" t="n">
        <v>11.36281129</v>
      </c>
      <c r="T30" s="20" t="n">
        <v>1.94196376</v>
      </c>
    </row>
    <row r="31" spans="1:20">
      <c r="A31" s="15" t="s">
        <v>591</v>
      </c>
      <c r="B31" s="17" t="n">
        <v>2750</v>
      </c>
      <c r="C31" s="18">
        <f>(2451.0/B31*100)</f>
        <v/>
      </c>
      <c r="D31" s="19" t="n">
        <v>299</v>
      </c>
      <c r="E31" s="18" t="n">
        <v>53.77031249</v>
      </c>
      <c r="F31" s="20" t="n">
        <v>2.98228658</v>
      </c>
      <c r="G31" s="18" t="n">
        <v>16.61165224</v>
      </c>
      <c r="H31" s="20" t="n">
        <v>2.49360166</v>
      </c>
      <c r="I31" s="18" t="n">
        <v>16.48021242</v>
      </c>
      <c r="J31" s="20" t="n">
        <v>2.07629638</v>
      </c>
      <c r="K31" s="18" t="s">
        <v>567</v>
      </c>
      <c r="L31" s="20" t="s">
        <v>567</v>
      </c>
      <c r="M31" s="18" t="n">
        <v>0.28170684</v>
      </c>
      <c r="N31" s="20" t="n">
        <v>0.28362391</v>
      </c>
      <c r="O31" s="18" t="n">
        <v>0.34500748</v>
      </c>
      <c r="P31" s="20" t="n">
        <v>0.37324952</v>
      </c>
      <c r="Q31" s="18" t="n">
        <v>0</v>
      </c>
      <c r="R31" s="20" t="n">
        <v>0</v>
      </c>
      <c r="S31" s="18" t="n">
        <v>12.51110853</v>
      </c>
      <c r="T31" s="20" t="n">
        <v>1.94651258</v>
      </c>
    </row>
    <row r="32" spans="1:20">
      <c r="A32" s="15" t="s">
        <v>592</v>
      </c>
      <c r="B32" s="17" t="n">
        <v>2269</v>
      </c>
      <c r="C32" s="18">
        <f>(2024.0/B32*100)</f>
        <v/>
      </c>
      <c r="D32" s="19" t="n">
        <v>245</v>
      </c>
      <c r="E32" s="18" t="n">
        <v>56.44402141</v>
      </c>
      <c r="F32" s="20" t="n">
        <v>3.01563823</v>
      </c>
      <c r="G32" s="18" t="n">
        <v>19.91250536</v>
      </c>
      <c r="H32" s="20" t="n">
        <v>2.65269245</v>
      </c>
      <c r="I32" s="18" t="n">
        <v>14.4568674</v>
      </c>
      <c r="J32" s="20" t="n">
        <v>2.31378205</v>
      </c>
      <c r="K32" s="18" t="s">
        <v>567</v>
      </c>
      <c r="L32" s="20" t="s">
        <v>567</v>
      </c>
      <c r="M32" s="18" t="n">
        <v>0.36279952</v>
      </c>
      <c r="N32" s="20" t="n">
        <v>0.35441736</v>
      </c>
      <c r="O32" s="18" t="n">
        <v>0</v>
      </c>
      <c r="P32" s="20" t="n">
        <v>0</v>
      </c>
      <c r="Q32" s="18" t="n">
        <v>0</v>
      </c>
      <c r="R32" s="20" t="n">
        <v>0</v>
      </c>
      <c r="S32" s="18" t="n">
        <v>8.82380631</v>
      </c>
      <c r="T32" s="20" t="n">
        <v>1.73287791</v>
      </c>
    </row>
    <row r="33" spans="1:20">
      <c r="A33" s="15" t="s">
        <v>593</v>
      </c>
      <c r="B33" s="17" t="n">
        <v>3674</v>
      </c>
      <c r="C33" s="18">
        <f>(3295.0/B33*100)</f>
        <v/>
      </c>
      <c r="D33" s="19" t="n">
        <v>379</v>
      </c>
      <c r="E33" s="18" t="n">
        <v>44.26877622</v>
      </c>
      <c r="F33" s="20" t="n">
        <v>3.61810673</v>
      </c>
      <c r="G33" s="18" t="n">
        <v>22.35238773</v>
      </c>
      <c r="H33" s="20" t="n">
        <v>2.37100372</v>
      </c>
      <c r="I33" s="18" t="n">
        <v>24.84569001</v>
      </c>
      <c r="J33" s="20" t="n">
        <v>2.82328125</v>
      </c>
      <c r="K33" s="18" t="s">
        <v>567</v>
      </c>
      <c r="L33" s="20" t="s">
        <v>567</v>
      </c>
      <c r="M33" s="18" t="n">
        <v>0.44798366</v>
      </c>
      <c r="N33" s="20" t="n">
        <v>0.4675156</v>
      </c>
      <c r="O33" s="18" t="n">
        <v>0</v>
      </c>
      <c r="P33" s="20" t="n">
        <v>0</v>
      </c>
      <c r="Q33" s="18" t="n">
        <v>0</v>
      </c>
      <c r="R33" s="20" t="n">
        <v>0</v>
      </c>
      <c r="S33" s="18" t="n">
        <v>8.08516238</v>
      </c>
      <c r="T33" s="20" t="n">
        <v>1.46543401</v>
      </c>
    </row>
    <row r="34" spans="1:20">
      <c r="A34" s="15" t="s">
        <v>594</v>
      </c>
      <c r="B34" s="17" t="n">
        <v>3315</v>
      </c>
      <c r="C34" s="18">
        <f>(2974.0/B34*100)</f>
        <v/>
      </c>
      <c r="D34" s="19" t="n">
        <v>341</v>
      </c>
      <c r="E34" s="18" t="n">
        <v>54.90564723</v>
      </c>
      <c r="F34" s="20" t="n">
        <v>3.24329328</v>
      </c>
      <c r="G34" s="18" t="n">
        <v>18.91872291</v>
      </c>
      <c r="H34" s="20" t="n">
        <v>2.35592077</v>
      </c>
      <c r="I34" s="18" t="n">
        <v>12.97467402</v>
      </c>
      <c r="J34" s="20" t="n">
        <v>2.00605161</v>
      </c>
      <c r="K34" s="18" t="s">
        <v>567</v>
      </c>
      <c r="L34" s="20" t="s">
        <v>567</v>
      </c>
      <c r="M34" s="18" t="n">
        <v>0.44617742</v>
      </c>
      <c r="N34" s="20" t="n">
        <v>0.4500379</v>
      </c>
      <c r="O34" s="18" t="n">
        <v>0.24538875</v>
      </c>
      <c r="P34" s="20" t="n">
        <v>0.24264027</v>
      </c>
      <c r="Q34" s="18" t="n">
        <v>0</v>
      </c>
      <c r="R34" s="20" t="n">
        <v>0</v>
      </c>
      <c r="S34" s="18" t="n">
        <v>12.50938967</v>
      </c>
      <c r="T34" s="20" t="n">
        <v>2.34324898</v>
      </c>
    </row>
    <row r="35" spans="1:20">
      <c r="A35" s="15" t="s">
        <v>595</v>
      </c>
      <c r="B35" s="17" t="n">
        <v>3505</v>
      </c>
      <c r="C35" s="18">
        <f>(3121.0/B35*100)</f>
        <v/>
      </c>
      <c r="D35" s="19" t="n">
        <v>384</v>
      </c>
      <c r="E35" s="18" t="n">
        <v>51.04465008</v>
      </c>
      <c r="F35" s="20" t="n">
        <v>3.33727966</v>
      </c>
      <c r="G35" s="18" t="n">
        <v>29.5188668</v>
      </c>
      <c r="H35" s="20" t="n">
        <v>2.69556788</v>
      </c>
      <c r="I35" s="18" t="n">
        <v>10.85480471</v>
      </c>
      <c r="J35" s="20" t="n">
        <v>1.94673668</v>
      </c>
      <c r="K35" s="18" t="s">
        <v>567</v>
      </c>
      <c r="L35" s="20" t="s">
        <v>567</v>
      </c>
      <c r="M35" s="18" t="n">
        <v>0</v>
      </c>
      <c r="N35" s="20" t="n">
        <v>0</v>
      </c>
      <c r="O35" s="18" t="n">
        <v>0.59528256</v>
      </c>
      <c r="P35" s="20" t="n">
        <v>0.47914293</v>
      </c>
      <c r="Q35" s="18" t="n">
        <v>0</v>
      </c>
      <c r="R35" s="20" t="n">
        <v>0</v>
      </c>
      <c r="S35" s="18" t="n">
        <v>7.98639585</v>
      </c>
      <c r="T35" s="20" t="n">
        <v>1.40333819</v>
      </c>
    </row>
    <row r="36" spans="1:20">
      <c r="A36" s="15" t="s">
        <v>596</v>
      </c>
      <c r="B36" s="17" t="n">
        <v>3332</v>
      </c>
      <c r="C36" s="18">
        <f>(2956.0/B36*100)</f>
        <v/>
      </c>
      <c r="D36" s="19" t="n">
        <v>376</v>
      </c>
      <c r="E36" s="18" t="n">
        <v>49.52790542</v>
      </c>
      <c r="F36" s="20" t="n">
        <v>3.01317546</v>
      </c>
      <c r="G36" s="18" t="n">
        <v>21.39793455</v>
      </c>
      <c r="H36" s="20" t="n">
        <v>2.29777167</v>
      </c>
      <c r="I36" s="18" t="n">
        <v>19.32024479</v>
      </c>
      <c r="J36" s="20" t="n">
        <v>2.16031708</v>
      </c>
      <c r="K36" s="18" t="s">
        <v>567</v>
      </c>
      <c r="L36" s="20" t="s">
        <v>567</v>
      </c>
      <c r="M36" s="18" t="n">
        <v>0.21855617</v>
      </c>
      <c r="N36" s="20" t="n">
        <v>0.15774122</v>
      </c>
      <c r="O36" s="18" t="n">
        <v>0</v>
      </c>
      <c r="P36" s="20" t="n">
        <v>0</v>
      </c>
      <c r="Q36" s="18" t="n">
        <v>0</v>
      </c>
      <c r="R36" s="20" t="n">
        <v>0</v>
      </c>
      <c r="S36" s="18" t="n">
        <v>9.53535907</v>
      </c>
      <c r="T36" s="20" t="n">
        <v>1.68819426</v>
      </c>
    </row>
    <row r="37" spans="1:20">
      <c r="A37" s="15" t="s">
        <v>597</v>
      </c>
      <c r="B37" s="17" t="n">
        <v>2727</v>
      </c>
      <c r="C37" s="18">
        <f>(2423.0/B37*100)</f>
        <v/>
      </c>
      <c r="D37" s="19" t="n">
        <v>304</v>
      </c>
      <c r="E37" s="18" t="n">
        <v>40.66331422</v>
      </c>
      <c r="F37" s="20" t="n">
        <v>2.75778641</v>
      </c>
      <c r="G37" s="18" t="n">
        <v>20.07831334</v>
      </c>
      <c r="H37" s="20" t="n">
        <v>2.43672031</v>
      </c>
      <c r="I37" s="18" t="n">
        <v>21.7791414</v>
      </c>
      <c r="J37" s="20" t="n">
        <v>2.74338879</v>
      </c>
      <c r="K37" s="18" t="s">
        <v>567</v>
      </c>
      <c r="L37" s="20" t="s">
        <v>567</v>
      </c>
      <c r="M37" s="18" t="n">
        <v>0</v>
      </c>
      <c r="N37" s="20" t="n">
        <v>0</v>
      </c>
      <c r="O37" s="18" t="n">
        <v>0</v>
      </c>
      <c r="P37" s="20" t="n">
        <v>0</v>
      </c>
      <c r="Q37" s="18" t="n">
        <v>0</v>
      </c>
      <c r="R37" s="20" t="n">
        <v>0</v>
      </c>
      <c r="S37" s="18" t="n">
        <v>17.47923104</v>
      </c>
      <c r="T37" s="20" t="n">
        <v>2.46122554</v>
      </c>
    </row>
    <row r="38" spans="1:20">
      <c r="A38" s="15" t="s">
        <v>598</v>
      </c>
      <c r="B38" s="17" t="n">
        <v>3053</v>
      </c>
      <c r="C38" s="18">
        <f>(2725.0/B38*100)</f>
        <v/>
      </c>
      <c r="D38" s="19" t="n">
        <v>328</v>
      </c>
      <c r="E38" s="18" t="n">
        <v>51.37663545</v>
      </c>
      <c r="F38" s="20" t="n">
        <v>3.56282857</v>
      </c>
      <c r="G38" s="18" t="n">
        <v>21.49346816</v>
      </c>
      <c r="H38" s="20" t="n">
        <v>2.81290302</v>
      </c>
      <c r="I38" s="18" t="n">
        <v>17.36448284</v>
      </c>
      <c r="J38" s="20" t="n">
        <v>2.58321783</v>
      </c>
      <c r="K38" s="18" t="s">
        <v>567</v>
      </c>
      <c r="L38" s="20" t="s">
        <v>567</v>
      </c>
      <c r="M38" s="18" t="n">
        <v>0.80423615</v>
      </c>
      <c r="N38" s="20" t="n">
        <v>0.535541</v>
      </c>
      <c r="O38" s="18" t="n">
        <v>3.46878443</v>
      </c>
      <c r="P38" s="20" t="n">
        <v>1.01542658</v>
      </c>
      <c r="Q38" s="18" t="n">
        <v>0</v>
      </c>
      <c r="R38" s="20" t="n">
        <v>0</v>
      </c>
      <c r="S38" s="18" t="n">
        <v>5.49239296</v>
      </c>
      <c r="T38" s="20" t="n">
        <v>1.4784425</v>
      </c>
    </row>
    <row r="39" spans="1:20">
      <c r="A39" s="15" t="s">
        <v>599</v>
      </c>
      <c r="B39" s="17" t="n">
        <v>2957</v>
      </c>
      <c r="C39" s="18">
        <f>(2625.0/B39*100)</f>
        <v/>
      </c>
      <c r="D39" s="19" t="n">
        <v>332</v>
      </c>
      <c r="E39" s="18" t="n">
        <v>65.30528218000001</v>
      </c>
      <c r="F39" s="20" t="n">
        <v>2.65861848</v>
      </c>
      <c r="G39" s="18" t="n">
        <v>11.12490802</v>
      </c>
      <c r="H39" s="20" t="n">
        <v>1.91577408</v>
      </c>
      <c r="I39" s="18" t="n">
        <v>13.56268588</v>
      </c>
      <c r="J39" s="20" t="n">
        <v>2.32593541</v>
      </c>
      <c r="K39" s="18" t="s">
        <v>567</v>
      </c>
      <c r="L39" s="20" t="s">
        <v>567</v>
      </c>
      <c r="M39" s="18" t="n">
        <v>0.21337635</v>
      </c>
      <c r="N39" s="20" t="n">
        <v>0.22128933</v>
      </c>
      <c r="O39" s="18" t="n">
        <v>0</v>
      </c>
      <c r="P39" s="20" t="n">
        <v>0</v>
      </c>
      <c r="Q39" s="18" t="n">
        <v>0</v>
      </c>
      <c r="R39" s="20" t="n">
        <v>0</v>
      </c>
      <c r="S39" s="18" t="n">
        <v>9.793747570000001</v>
      </c>
      <c r="T39" s="20" t="n">
        <v>2.44669323</v>
      </c>
    </row>
    <row r="40" spans="1:20">
      <c r="A40" s="15" t="s">
        <v>600</v>
      </c>
      <c r="B40" s="17" t="n">
        <v>7235</v>
      </c>
      <c r="C40" s="18">
        <f>(6392.0/B40*100)</f>
        <v/>
      </c>
      <c r="D40" s="19" t="n">
        <v>843</v>
      </c>
      <c r="E40" s="18" t="n">
        <v>38.8424377</v>
      </c>
      <c r="F40" s="20" t="n">
        <v>2.58583934</v>
      </c>
      <c r="G40" s="18" t="n">
        <v>18.66342923</v>
      </c>
      <c r="H40" s="20" t="n">
        <v>2.23859305</v>
      </c>
      <c r="I40" s="18" t="n">
        <v>34.56459218</v>
      </c>
      <c r="J40" s="20" t="n">
        <v>2.56518412</v>
      </c>
      <c r="K40" s="18" t="s">
        <v>567</v>
      </c>
      <c r="L40" s="20" t="s">
        <v>567</v>
      </c>
      <c r="M40" s="18" t="n">
        <v>0.36716106</v>
      </c>
      <c r="N40" s="20" t="n">
        <v>0.23417803</v>
      </c>
      <c r="O40" s="18" t="n">
        <v>0.09695094999999999</v>
      </c>
      <c r="P40" s="20" t="n">
        <v>0.09172118</v>
      </c>
      <c r="Q40" s="18" t="n">
        <v>0</v>
      </c>
      <c r="R40" s="20" t="n">
        <v>0</v>
      </c>
      <c r="S40" s="18" t="n">
        <v>7.46542888</v>
      </c>
      <c r="T40" s="20" t="n">
        <v>1.39634586</v>
      </c>
    </row>
    <row r="41" spans="1:20">
      <c r="A41" s="15" t="s">
        <v>601</v>
      </c>
      <c r="B41" s="17" t="n">
        <v>2858</v>
      </c>
      <c r="C41" s="18">
        <f>(2532.0/B41*100)</f>
        <v/>
      </c>
      <c r="D41" s="19" t="n">
        <v>326</v>
      </c>
      <c r="E41" s="18" t="n">
        <v>51.07559501</v>
      </c>
      <c r="F41" s="20" t="n">
        <v>3.00000194</v>
      </c>
      <c r="G41" s="18" t="n">
        <v>20.78193418</v>
      </c>
      <c r="H41" s="20" t="n">
        <v>2.26245817</v>
      </c>
      <c r="I41" s="18" t="n">
        <v>25.20140868</v>
      </c>
      <c r="J41" s="20" t="n">
        <v>2.43698645</v>
      </c>
      <c r="K41" s="18" t="s">
        <v>567</v>
      </c>
      <c r="L41" s="20" t="s">
        <v>567</v>
      </c>
      <c r="M41" s="18" t="n">
        <v>0</v>
      </c>
      <c r="N41" s="20" t="n">
        <v>0</v>
      </c>
      <c r="O41" s="18" t="n">
        <v>0</v>
      </c>
      <c r="P41" s="20" t="n">
        <v>0</v>
      </c>
      <c r="Q41" s="18" t="n">
        <v>0</v>
      </c>
      <c r="R41" s="20" t="n">
        <v>0</v>
      </c>
      <c r="S41" s="18" t="n">
        <v>2.94106213</v>
      </c>
      <c r="T41" s="20" t="n">
        <v>0.94774223</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11068</v>
      </c>
      <c r="C46" s="18">
        <f>(10122.0/B46*100)</f>
        <v/>
      </c>
      <c r="D46" s="19" t="n">
        <v>946</v>
      </c>
      <c r="E46" s="18" t="n">
        <v>55.38260501</v>
      </c>
      <c r="F46" s="20" t="n">
        <v>2.20912713</v>
      </c>
      <c r="G46" s="18" t="n">
        <v>19.22697062</v>
      </c>
      <c r="H46" s="20" t="n">
        <v>1.90995492</v>
      </c>
      <c r="I46" s="18" t="n">
        <v>7.33760211</v>
      </c>
      <c r="J46" s="20" t="n">
        <v>1.29594507</v>
      </c>
      <c r="K46" s="18" t="s">
        <v>567</v>
      </c>
      <c r="L46" s="20" t="s">
        <v>567</v>
      </c>
      <c r="M46" s="18" t="n">
        <v>0.7249487999999999</v>
      </c>
      <c r="N46" s="20" t="n">
        <v>0.32262815</v>
      </c>
      <c r="O46" s="18" t="n">
        <v>0.71297422</v>
      </c>
      <c r="P46" s="20" t="n">
        <v>0.35158833</v>
      </c>
      <c r="Q46" s="18" t="n">
        <v>0</v>
      </c>
      <c r="R46" s="20" t="n">
        <v>0</v>
      </c>
      <c r="S46" s="18" t="n">
        <v>16.61489923</v>
      </c>
      <c r="T46" s="20" t="n">
        <v>1.8010712</v>
      </c>
    </row>
    <row r="47" spans="1:20">
      <c r="A47" s="15" t="s">
        <v>607</v>
      </c>
      <c r="B47" s="17" t="n">
        <v>3105</v>
      </c>
      <c r="C47" s="18">
        <f>(2762.0/B47*100)</f>
        <v/>
      </c>
      <c r="D47" s="19" t="n">
        <v>343</v>
      </c>
      <c r="E47" s="18" t="n">
        <v>51.9477014</v>
      </c>
      <c r="F47" s="20" t="n">
        <v>2.81342826</v>
      </c>
      <c r="G47" s="18" t="n">
        <v>14.22106719</v>
      </c>
      <c r="H47" s="20" t="n">
        <v>1.71455465</v>
      </c>
      <c r="I47" s="18" t="n">
        <v>15.53870316</v>
      </c>
      <c r="J47" s="20" t="n">
        <v>2.04923035</v>
      </c>
      <c r="K47" s="18" t="s">
        <v>567</v>
      </c>
      <c r="L47" s="20" t="s">
        <v>567</v>
      </c>
      <c r="M47" s="18" t="n">
        <v>0</v>
      </c>
      <c r="N47" s="20" t="n">
        <v>0</v>
      </c>
      <c r="O47" s="18" t="n">
        <v>0</v>
      </c>
      <c r="P47" s="20" t="n">
        <v>0</v>
      </c>
      <c r="Q47" s="18" t="n">
        <v>0</v>
      </c>
      <c r="R47" s="20" t="n">
        <v>0</v>
      </c>
      <c r="S47" s="18" t="n">
        <v>18.29252825</v>
      </c>
      <c r="T47" s="20" t="n">
        <v>2.50104581</v>
      </c>
    </row>
    <row r="48" spans="1:20">
      <c r="A48" s="15" t="s">
        <v>608</v>
      </c>
      <c r="B48" s="17" t="n">
        <v>5159</v>
      </c>
      <c r="C48" s="18">
        <f>(4609.0/B48*100)</f>
        <v/>
      </c>
      <c r="D48" s="19" t="n">
        <v>550</v>
      </c>
      <c r="E48" s="18" t="n">
        <v>41.93602265</v>
      </c>
      <c r="F48" s="20" t="n">
        <v>2.82479282</v>
      </c>
      <c r="G48" s="18" t="n">
        <v>20.83879138</v>
      </c>
      <c r="H48" s="20" t="n">
        <v>2.3084065</v>
      </c>
      <c r="I48" s="18" t="n">
        <v>26.65172214</v>
      </c>
      <c r="J48" s="20" t="n">
        <v>2.62178259</v>
      </c>
      <c r="K48" s="18" t="s">
        <v>567</v>
      </c>
      <c r="L48" s="20" t="s">
        <v>567</v>
      </c>
      <c r="M48" s="18" t="n">
        <v>0.66146805</v>
      </c>
      <c r="N48" s="20" t="n">
        <v>0.46863771</v>
      </c>
      <c r="O48" s="18" t="n">
        <v>0</v>
      </c>
      <c r="P48" s="20" t="n">
        <v>0</v>
      </c>
      <c r="Q48" s="18" t="n">
        <v>0</v>
      </c>
      <c r="R48" s="20" t="n">
        <v>0</v>
      </c>
      <c r="S48" s="18" t="n">
        <v>9.91199578</v>
      </c>
      <c r="T48" s="20" t="n">
        <v>1.52447049</v>
      </c>
    </row>
    <row r="49" spans="1:20">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5637</v>
      </c>
      <c r="C50" s="18">
        <f>(5039.0/B50*100)</f>
        <v/>
      </c>
      <c r="D50" s="19" t="n">
        <v>598</v>
      </c>
      <c r="E50" s="18" t="n">
        <v>65.61574715</v>
      </c>
      <c r="F50" s="20" t="n">
        <v>2.87915253</v>
      </c>
      <c r="G50" s="18" t="n">
        <v>13.27943871</v>
      </c>
      <c r="H50" s="20" t="n">
        <v>2.00114399</v>
      </c>
      <c r="I50" s="18" t="n">
        <v>15.32244261</v>
      </c>
      <c r="J50" s="20" t="n">
        <v>1.95873534</v>
      </c>
      <c r="K50" s="18" t="s">
        <v>567</v>
      </c>
      <c r="L50" s="20" t="s">
        <v>567</v>
      </c>
      <c r="M50" s="18" t="n">
        <v>0.7889068</v>
      </c>
      <c r="N50" s="20" t="n">
        <v>0.4537284</v>
      </c>
      <c r="O50" s="18" t="n">
        <v>0.11031128</v>
      </c>
      <c r="P50" s="20" t="n">
        <v>0.11049751</v>
      </c>
      <c r="Q50" s="18" t="n">
        <v>0</v>
      </c>
      <c r="R50" s="20" t="n">
        <v>0</v>
      </c>
      <c r="S50" s="18" t="n">
        <v>4.88315345</v>
      </c>
      <c r="T50" s="20" t="n">
        <v>1.03821201</v>
      </c>
    </row>
    <row r="51" spans="1:20">
      <c r="A51" s="15" t="s">
        <v>611</v>
      </c>
      <c r="B51" s="17" t="n">
        <v>3372</v>
      </c>
      <c r="C51" s="18">
        <f>(3044.0/B51*100)</f>
        <v/>
      </c>
      <c r="D51" s="19" t="n">
        <v>328</v>
      </c>
      <c r="E51" s="18" t="n">
        <v>68.79007074</v>
      </c>
      <c r="F51" s="20" t="n">
        <v>2.53056947</v>
      </c>
      <c r="G51" s="18" t="n">
        <v>12.66333122</v>
      </c>
      <c r="H51" s="20" t="n">
        <v>2.00472542</v>
      </c>
      <c r="I51" s="18" t="n">
        <v>12.1272162</v>
      </c>
      <c r="J51" s="20" t="n">
        <v>1.65151435</v>
      </c>
      <c r="K51" s="18" t="s">
        <v>567</v>
      </c>
      <c r="L51" s="20" t="s">
        <v>567</v>
      </c>
      <c r="M51" s="18" t="n">
        <v>0.7663349699999999</v>
      </c>
      <c r="N51" s="20" t="n">
        <v>0.67424392</v>
      </c>
      <c r="O51" s="18" t="n">
        <v>0</v>
      </c>
      <c r="P51" s="20" t="n">
        <v>0</v>
      </c>
      <c r="Q51" s="18" t="n">
        <v>0</v>
      </c>
      <c r="R51" s="20" t="n">
        <v>0</v>
      </c>
      <c r="S51" s="18" t="n">
        <v>5.65304687</v>
      </c>
      <c r="T51" s="20" t="n">
        <v>1.4618057</v>
      </c>
    </row>
    <row r="52" spans="1:20">
      <c r="A52" s="15" t="s">
        <v>612</v>
      </c>
      <c r="B52" s="17" t="n">
        <v>2796</v>
      </c>
      <c r="C52" s="18">
        <f>(2516.0/B52*100)</f>
        <v/>
      </c>
      <c r="D52" s="19" t="n">
        <v>280</v>
      </c>
      <c r="E52" s="18" t="n">
        <v>46.14040962</v>
      </c>
      <c r="F52" s="20" t="n">
        <v>3.03186299</v>
      </c>
      <c r="G52" s="18" t="n">
        <v>32.49120132</v>
      </c>
      <c r="H52" s="20" t="n">
        <v>3.03731299</v>
      </c>
      <c r="I52" s="18" t="n">
        <v>12.77465227</v>
      </c>
      <c r="J52" s="20" t="n">
        <v>2.20257697</v>
      </c>
      <c r="K52" s="18" t="s">
        <v>567</v>
      </c>
      <c r="L52" s="20" t="s">
        <v>567</v>
      </c>
      <c r="M52" s="18" t="n">
        <v>0</v>
      </c>
      <c r="N52" s="20" t="n">
        <v>0</v>
      </c>
      <c r="O52" s="18" t="n">
        <v>0</v>
      </c>
      <c r="P52" s="20" t="n">
        <v>0</v>
      </c>
      <c r="Q52" s="18" t="n">
        <v>0</v>
      </c>
      <c r="R52" s="20" t="n">
        <v>0</v>
      </c>
      <c r="S52" s="18" t="n">
        <v>8.593736789999999</v>
      </c>
      <c r="T52" s="20" t="n">
        <v>1.62113832</v>
      </c>
    </row>
    <row r="53" spans="1:20">
      <c r="A53" s="15" t="s">
        <v>613</v>
      </c>
      <c r="B53" s="17" t="n">
        <v>2811</v>
      </c>
      <c r="C53" s="18">
        <f>(2522.0/B53*100)</f>
        <v/>
      </c>
      <c r="D53" s="19" t="n">
        <v>289</v>
      </c>
      <c r="E53" s="18" t="n">
        <v>56.58440076</v>
      </c>
      <c r="F53" s="20" t="n">
        <v>3.03502623</v>
      </c>
      <c r="G53" s="18" t="n">
        <v>16.16677553</v>
      </c>
      <c r="H53" s="20" t="n">
        <v>2.42040626</v>
      </c>
      <c r="I53" s="18" t="n">
        <v>11.63562881</v>
      </c>
      <c r="J53" s="20" t="n">
        <v>2.08909196</v>
      </c>
      <c r="K53" s="18" t="s">
        <v>567</v>
      </c>
      <c r="L53" s="20" t="s">
        <v>567</v>
      </c>
      <c r="M53" s="18" t="n">
        <v>0.2313773</v>
      </c>
      <c r="N53" s="20" t="n">
        <v>0.23389356</v>
      </c>
      <c r="O53" s="18" t="n">
        <v>0</v>
      </c>
      <c r="P53" s="20" t="n">
        <v>0</v>
      </c>
      <c r="Q53" s="18" t="n">
        <v>0</v>
      </c>
      <c r="R53" s="20" t="n">
        <v>0</v>
      </c>
      <c r="S53" s="18" t="n">
        <v>15.3818176</v>
      </c>
      <c r="T53" s="20" t="n">
        <v>2.09977546</v>
      </c>
    </row>
    <row r="54" spans="1:20">
      <c r="A54" s="15" t="s">
        <v>614</v>
      </c>
      <c r="B54" s="17" t="n">
        <v>2266</v>
      </c>
      <c r="C54" s="18">
        <f>(2016.0/B54*100)</f>
        <v/>
      </c>
      <c r="D54" s="19" t="n">
        <v>250</v>
      </c>
      <c r="E54" s="18" t="n">
        <v>62.53098447</v>
      </c>
      <c r="F54" s="20" t="n">
        <v>3.76120225</v>
      </c>
      <c r="G54" s="18" t="n">
        <v>4.33286777</v>
      </c>
      <c r="H54" s="20" t="n">
        <v>1.15576074</v>
      </c>
      <c r="I54" s="18" t="n">
        <v>3.72929193</v>
      </c>
      <c r="J54" s="20" t="n">
        <v>1.15668806</v>
      </c>
      <c r="K54" s="18" t="s">
        <v>567</v>
      </c>
      <c r="L54" s="20" t="s">
        <v>567</v>
      </c>
      <c r="M54" s="18" t="n">
        <v>7.35580796</v>
      </c>
      <c r="N54" s="20" t="n">
        <v>1.93278315</v>
      </c>
      <c r="O54" s="18" t="n">
        <v>0.39911725</v>
      </c>
      <c r="P54" s="20" t="n">
        <v>0.38098596</v>
      </c>
      <c r="Q54" s="18" t="n">
        <v>0</v>
      </c>
      <c r="R54" s="20" t="n">
        <v>0</v>
      </c>
      <c r="S54" s="18" t="n">
        <v>21.65193062</v>
      </c>
      <c r="T54" s="20" t="n">
        <v>3.32862618</v>
      </c>
    </row>
    <row r="55" spans="1:20">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2684</v>
      </c>
      <c r="C56" s="18">
        <f>(2392.0/B56*100)</f>
        <v/>
      </c>
      <c r="D56" s="19" t="n">
        <v>292</v>
      </c>
      <c r="E56" s="18" t="n">
        <v>36.9989272</v>
      </c>
      <c r="F56" s="20" t="n">
        <v>3.28977371</v>
      </c>
      <c r="G56" s="18" t="n">
        <v>26.30677651</v>
      </c>
      <c r="H56" s="20" t="n">
        <v>2.52909196</v>
      </c>
      <c r="I56" s="18" t="n">
        <v>27.1129436</v>
      </c>
      <c r="J56" s="20" t="n">
        <v>3.26568516</v>
      </c>
      <c r="K56" s="18" t="s">
        <v>567</v>
      </c>
      <c r="L56" s="20" t="s">
        <v>567</v>
      </c>
      <c r="M56" s="18" t="n">
        <v>0</v>
      </c>
      <c r="N56" s="20" t="n">
        <v>0</v>
      </c>
      <c r="O56" s="18" t="n">
        <v>0</v>
      </c>
      <c r="P56" s="20" t="n">
        <v>0</v>
      </c>
      <c r="Q56" s="18" t="n">
        <v>0</v>
      </c>
      <c r="R56" s="20" t="n">
        <v>0</v>
      </c>
      <c r="S56" s="18" t="n">
        <v>9.581352689999999</v>
      </c>
      <c r="T56" s="20" t="n">
        <v>1.89493006</v>
      </c>
    </row>
    <row r="57" spans="1:20">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3324</v>
      </c>
      <c r="C61" s="18">
        <f>(2995.0/B61*100)</f>
        <v/>
      </c>
      <c r="D61" s="19" t="n">
        <v>329</v>
      </c>
      <c r="E61" s="18" t="n">
        <v>54.60011004</v>
      </c>
      <c r="F61" s="20" t="n">
        <v>3.33061747</v>
      </c>
      <c r="G61" s="18" t="n">
        <v>23.19890589</v>
      </c>
      <c r="H61" s="20" t="n">
        <v>2.82907826</v>
      </c>
      <c r="I61" s="18" t="n">
        <v>12.83879051</v>
      </c>
      <c r="J61" s="20" t="n">
        <v>2.01296552</v>
      </c>
      <c r="K61" s="18" t="s">
        <v>567</v>
      </c>
      <c r="L61" s="20" t="s">
        <v>567</v>
      </c>
      <c r="M61" s="18" t="n">
        <v>0.43153567</v>
      </c>
      <c r="N61" s="20" t="n">
        <v>0.45049778</v>
      </c>
      <c r="O61" s="18" t="n">
        <v>0</v>
      </c>
      <c r="P61" s="20" t="n">
        <v>0</v>
      </c>
      <c r="Q61" s="18" t="n">
        <v>0</v>
      </c>
      <c r="R61" s="20" t="n">
        <v>0</v>
      </c>
      <c r="S61" s="18" t="n">
        <v>8.930657890000001</v>
      </c>
      <c r="T61" s="20" t="n">
        <v>1.51970909</v>
      </c>
    </row>
    <row r="62" spans="1:20">
      <c r="A62" s="15" t="s">
        <v>622</v>
      </c>
      <c r="B62" s="17" t="n">
        <v>2246</v>
      </c>
      <c r="C62" s="18">
        <f>(1996.0/B62*100)</f>
        <v/>
      </c>
      <c r="D62" s="19" t="n">
        <v>250</v>
      </c>
      <c r="E62" s="18" t="n">
        <v>38.81273437</v>
      </c>
      <c r="F62" s="20" t="n">
        <v>3.3020018</v>
      </c>
      <c r="G62" s="18" t="n">
        <v>29.96360795</v>
      </c>
      <c r="H62" s="20" t="n">
        <v>3.17487392</v>
      </c>
      <c r="I62" s="18" t="n">
        <v>27.62532574</v>
      </c>
      <c r="J62" s="20" t="n">
        <v>2.98993589</v>
      </c>
      <c r="K62" s="18" t="s">
        <v>567</v>
      </c>
      <c r="L62" s="20" t="s">
        <v>567</v>
      </c>
      <c r="M62" s="18" t="n">
        <v>0</v>
      </c>
      <c r="N62" s="20" t="n">
        <v>0</v>
      </c>
      <c r="O62" s="18" t="n">
        <v>0</v>
      </c>
      <c r="P62" s="20" t="n">
        <v>0</v>
      </c>
      <c r="Q62" s="18" t="n">
        <v>0</v>
      </c>
      <c r="R62" s="20" t="n">
        <v>0</v>
      </c>
      <c r="S62" s="18" t="n">
        <v>3.59833195</v>
      </c>
      <c r="T62" s="20" t="n">
        <v>1.19068538</v>
      </c>
    </row>
    <row r="63" spans="1:20">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2894</v>
      </c>
      <c r="C66" s="18">
        <f>(2604.0/B66*100)</f>
        <v/>
      </c>
      <c r="D66" s="19" t="n">
        <v>290</v>
      </c>
      <c r="E66" s="18" t="n">
        <v>42.87719162</v>
      </c>
      <c r="F66" s="20" t="n">
        <v>2.73141221</v>
      </c>
      <c r="G66" s="18" t="n">
        <v>21.46511608</v>
      </c>
      <c r="H66" s="20" t="n">
        <v>2.47091141</v>
      </c>
      <c r="I66" s="18" t="n">
        <v>13.59236469</v>
      </c>
      <c r="J66" s="20" t="n">
        <v>1.98089407</v>
      </c>
      <c r="K66" s="18" t="s">
        <v>567</v>
      </c>
      <c r="L66" s="20" t="s">
        <v>567</v>
      </c>
      <c r="M66" s="18" t="n">
        <v>0</v>
      </c>
      <c r="N66" s="20" t="n">
        <v>0</v>
      </c>
      <c r="O66" s="18" t="n">
        <v>0</v>
      </c>
      <c r="P66" s="20" t="n">
        <v>0</v>
      </c>
      <c r="Q66" s="18" t="n">
        <v>0</v>
      </c>
      <c r="R66" s="20" t="n">
        <v>0</v>
      </c>
      <c r="S66" s="18" t="n">
        <v>22.06532762</v>
      </c>
      <c r="T66" s="20" t="n">
        <v>2.38597638</v>
      </c>
    </row>
    <row r="67" spans="1:20">
      <c r="A67" s="15" t="s">
        <v>627</v>
      </c>
      <c r="B67" s="17" t="n">
        <v>3511</v>
      </c>
      <c r="C67" s="18">
        <f>(3168.0/B67*100)</f>
        <v/>
      </c>
      <c r="D67" s="19" t="n">
        <v>343</v>
      </c>
      <c r="E67" s="18" t="n">
        <v>67.61665446000001</v>
      </c>
      <c r="F67" s="20" t="n">
        <v>2.81271473</v>
      </c>
      <c r="G67" s="18" t="n">
        <v>8.20837682</v>
      </c>
      <c r="H67" s="20" t="n">
        <v>1.40042166</v>
      </c>
      <c r="I67" s="18" t="n">
        <v>13.69544763</v>
      </c>
      <c r="J67" s="20" t="n">
        <v>2.20077388</v>
      </c>
      <c r="K67" s="18" t="s">
        <v>567</v>
      </c>
      <c r="L67" s="20" t="s">
        <v>567</v>
      </c>
      <c r="M67" s="18" t="n">
        <v>0.29673875</v>
      </c>
      <c r="N67" s="20" t="n">
        <v>0.29462759</v>
      </c>
      <c r="O67" s="18" t="n">
        <v>0.5482675</v>
      </c>
      <c r="P67" s="20" t="n">
        <v>0.39916685</v>
      </c>
      <c r="Q67" s="18" t="n">
        <v>0</v>
      </c>
      <c r="R67" s="20" t="n">
        <v>0</v>
      </c>
      <c r="S67" s="18" t="n">
        <v>9.63451484</v>
      </c>
      <c r="T67" s="20" t="n">
        <v>1.88568583</v>
      </c>
    </row>
    <row r="68" spans="1:20">
      <c r="A68" s="15" t="s">
        <v>628</v>
      </c>
      <c r="B68" s="17" t="n">
        <v>6049</v>
      </c>
      <c r="C68" s="18">
        <f>(5390.0/B68*100)</f>
        <v/>
      </c>
      <c r="D68" s="19" t="n">
        <v>659</v>
      </c>
      <c r="E68" s="18" t="n">
        <v>50.01422114</v>
      </c>
      <c r="F68" s="20" t="n">
        <v>2.11057424</v>
      </c>
      <c r="G68" s="18" t="n">
        <v>11.79041638</v>
      </c>
      <c r="H68" s="20" t="n">
        <v>1.20826931</v>
      </c>
      <c r="I68" s="18" t="n">
        <v>13.34477645</v>
      </c>
      <c r="J68" s="20" t="n">
        <v>1.49801253</v>
      </c>
      <c r="K68" s="18" t="s">
        <v>567</v>
      </c>
      <c r="L68" s="20" t="s">
        <v>567</v>
      </c>
      <c r="M68" s="18" t="n">
        <v>3.39496576</v>
      </c>
      <c r="N68" s="20" t="n">
        <v>0.74410786</v>
      </c>
      <c r="O68" s="18" t="n">
        <v>0.15193237</v>
      </c>
      <c r="P68" s="20" t="n">
        <v>0.15170845</v>
      </c>
      <c r="Q68" s="18" t="n">
        <v>0</v>
      </c>
      <c r="R68" s="20" t="n">
        <v>0</v>
      </c>
      <c r="S68" s="18" t="n">
        <v>21.30368789</v>
      </c>
      <c r="T68" s="20" t="n">
        <v>1.63085839</v>
      </c>
    </row>
    <row r="69" spans="1:20">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2929</v>
      </c>
      <c r="C70" s="18">
        <f>(2652.0/B70*100)</f>
        <v/>
      </c>
      <c r="D70" s="19" t="n">
        <v>277</v>
      </c>
      <c r="E70" s="18" t="n">
        <v>34.8084815</v>
      </c>
      <c r="F70" s="20" t="n">
        <v>2.92976155</v>
      </c>
      <c r="G70" s="18" t="n">
        <v>38.54599007</v>
      </c>
      <c r="H70" s="20" t="n">
        <v>2.57696701</v>
      </c>
      <c r="I70" s="18" t="n">
        <v>15.92002996</v>
      </c>
      <c r="J70" s="20" t="n">
        <v>2.54704238</v>
      </c>
      <c r="K70" s="18" t="s">
        <v>567</v>
      </c>
      <c r="L70" s="20" t="s">
        <v>567</v>
      </c>
      <c r="M70" s="18" t="n">
        <v>0.23263042</v>
      </c>
      <c r="N70" s="20" t="n">
        <v>0.19790171</v>
      </c>
      <c r="O70" s="18" t="n">
        <v>0</v>
      </c>
      <c r="P70" s="20" t="n">
        <v>0</v>
      </c>
      <c r="Q70" s="18" t="n">
        <v>0</v>
      </c>
      <c r="R70" s="20" t="n">
        <v>0</v>
      </c>
      <c r="S70" s="18" t="n">
        <v>10.49286805</v>
      </c>
      <c r="T70" s="20" t="n">
        <v>1.7875872</v>
      </c>
    </row>
    <row r="71" spans="1:20">
      <c r="A71" s="15" t="s">
        <v>631</v>
      </c>
      <c r="B71" s="17" t="n">
        <v>3142</v>
      </c>
      <c r="C71" s="18">
        <f>(2780.0/B71*100)</f>
        <v/>
      </c>
      <c r="D71" s="19" t="n">
        <v>362</v>
      </c>
      <c r="E71" s="18" t="n">
        <v>20.70491355</v>
      </c>
      <c r="F71" s="20" t="n">
        <v>2.17731252</v>
      </c>
      <c r="G71" s="18" t="n">
        <v>26.37593361</v>
      </c>
      <c r="H71" s="20" t="n">
        <v>2.60701885</v>
      </c>
      <c r="I71" s="18" t="n">
        <v>50.50494316</v>
      </c>
      <c r="J71" s="20" t="n">
        <v>2.85663205</v>
      </c>
      <c r="K71" s="18" t="s">
        <v>567</v>
      </c>
      <c r="L71" s="20" t="s">
        <v>567</v>
      </c>
      <c r="M71" s="18" t="n">
        <v>0</v>
      </c>
      <c r="N71" s="20" t="n">
        <v>0</v>
      </c>
      <c r="O71" s="18" t="n">
        <v>0.1672037</v>
      </c>
      <c r="P71" s="20" t="n">
        <v>0.16730854</v>
      </c>
      <c r="Q71" s="18" t="n">
        <v>0</v>
      </c>
      <c r="R71" s="20" t="n">
        <v>0</v>
      </c>
      <c r="S71" s="18" t="n">
        <v>2.24700597</v>
      </c>
      <c r="T71" s="20" t="n">
        <v>0.77007201</v>
      </c>
    </row>
    <row r="72" spans="1:20">
      <c r="A72" s="15" t="s">
        <v>632</v>
      </c>
      <c r="B72" s="17" t="n">
        <v>3889</v>
      </c>
      <c r="C72" s="18">
        <f>(3449.0/B72*100)</f>
        <v/>
      </c>
      <c r="D72" s="19" t="n">
        <v>440</v>
      </c>
      <c r="E72" s="18" t="n">
        <v>60.93672176</v>
      </c>
      <c r="F72" s="20" t="n">
        <v>2.63867424</v>
      </c>
      <c r="G72" s="18" t="n">
        <v>13.07002915</v>
      </c>
      <c r="H72" s="20" t="n">
        <v>1.77856942</v>
      </c>
      <c r="I72" s="18" t="n">
        <v>17.71779153</v>
      </c>
      <c r="J72" s="20" t="n">
        <v>2.0416374</v>
      </c>
      <c r="K72" s="18" t="s">
        <v>567</v>
      </c>
      <c r="L72" s="20" t="s">
        <v>567</v>
      </c>
      <c r="M72" s="18" t="n">
        <v>0</v>
      </c>
      <c r="N72" s="20" t="n">
        <v>0</v>
      </c>
      <c r="O72" s="18" t="n">
        <v>0</v>
      </c>
      <c r="P72" s="20" t="n">
        <v>0</v>
      </c>
      <c r="Q72" s="18" t="n">
        <v>0</v>
      </c>
      <c r="R72" s="20" t="n">
        <v>0</v>
      </c>
      <c r="S72" s="18" t="n">
        <v>8.27545755</v>
      </c>
      <c r="T72" s="20" t="n">
        <v>1.34328125</v>
      </c>
    </row>
    <row r="73" spans="1:20">
      <c r="A73" s="15" t="s">
        <v>633</v>
      </c>
      <c r="B73" s="17" t="n">
        <v>3597</v>
      </c>
      <c r="C73" s="18">
        <f>(3196.0/B73*100)</f>
        <v/>
      </c>
      <c r="D73" s="19" t="n">
        <v>401</v>
      </c>
      <c r="E73" s="18" t="n">
        <v>75.22776131000001</v>
      </c>
      <c r="F73" s="20" t="n">
        <v>2.6234647</v>
      </c>
      <c r="G73" s="18" t="n">
        <v>13.55849189</v>
      </c>
      <c r="H73" s="20" t="n">
        <v>2.29193234</v>
      </c>
      <c r="I73" s="18" t="n">
        <v>6.22660655</v>
      </c>
      <c r="J73" s="20" t="n">
        <v>1.43742923</v>
      </c>
      <c r="K73" s="18" t="s">
        <v>567</v>
      </c>
      <c r="L73" s="20" t="s">
        <v>567</v>
      </c>
      <c r="M73" s="18" t="n">
        <v>0</v>
      </c>
      <c r="N73" s="20" t="n">
        <v>0</v>
      </c>
      <c r="O73" s="18" t="n">
        <v>0.55402976</v>
      </c>
      <c r="P73" s="20" t="n">
        <v>0.41170318</v>
      </c>
      <c r="Q73" s="18" t="n">
        <v>0</v>
      </c>
      <c r="R73" s="20" t="n">
        <v>0</v>
      </c>
      <c r="S73" s="18" t="n">
        <v>4.43311048</v>
      </c>
      <c r="T73" s="20" t="n">
        <v>1.31770276</v>
      </c>
    </row>
    <row r="74" spans="1:20">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2406</v>
      </c>
      <c r="C75" s="18">
        <f>(2175.0/B75*100)</f>
        <v/>
      </c>
      <c r="D75" s="19" t="n">
        <v>231</v>
      </c>
      <c r="E75" s="18" t="n">
        <v>58.97324215</v>
      </c>
      <c r="F75" s="20" t="n">
        <v>3.50552621</v>
      </c>
      <c r="G75" s="18" t="n">
        <v>5.89000954</v>
      </c>
      <c r="H75" s="20" t="n">
        <v>1.39588372</v>
      </c>
      <c r="I75" s="18" t="n">
        <v>3.5823355</v>
      </c>
      <c r="J75" s="20" t="n">
        <v>1.07377562</v>
      </c>
      <c r="K75" s="18" t="s">
        <v>567</v>
      </c>
      <c r="L75" s="20" t="s">
        <v>567</v>
      </c>
      <c r="M75" s="18" t="n">
        <v>3.75352245</v>
      </c>
      <c r="N75" s="20" t="n">
        <v>1.12857819</v>
      </c>
      <c r="O75" s="18" t="n">
        <v>0.44806899</v>
      </c>
      <c r="P75" s="20" t="n">
        <v>0.47500307</v>
      </c>
      <c r="Q75" s="18" t="n">
        <v>0</v>
      </c>
      <c r="R75" s="20" t="n">
        <v>0</v>
      </c>
      <c r="S75" s="18" t="n">
        <v>27.35282136</v>
      </c>
      <c r="T75" s="20" t="n">
        <v>3.01988085</v>
      </c>
    </row>
    <row r="76" spans="1:20">
      <c r="A76" s="15" t="s">
        <v>636</v>
      </c>
      <c r="B76" s="17" t="n">
        <v>7052</v>
      </c>
      <c r="C76" s="18">
        <f>(6276.0/B76*100)</f>
        <v/>
      </c>
      <c r="D76" s="19" t="n">
        <v>776</v>
      </c>
      <c r="E76" s="18" t="n">
        <v>60.8934456</v>
      </c>
      <c r="F76" s="20" t="n">
        <v>2.46376426</v>
      </c>
      <c r="G76" s="18" t="n">
        <v>12.75548367</v>
      </c>
      <c r="H76" s="20" t="n">
        <v>1.47730264</v>
      </c>
      <c r="I76" s="18" t="n">
        <v>11.72355223</v>
      </c>
      <c r="J76" s="20" t="n">
        <v>1.56586232</v>
      </c>
      <c r="K76" s="18" t="s">
        <v>567</v>
      </c>
      <c r="L76" s="20" t="s">
        <v>567</v>
      </c>
      <c r="M76" s="18" t="n">
        <v>0.8310595</v>
      </c>
      <c r="N76" s="20" t="n">
        <v>0.45170133</v>
      </c>
      <c r="O76" s="18" t="n">
        <v>0.04261456</v>
      </c>
      <c r="P76" s="20" t="n">
        <v>0.04273857</v>
      </c>
      <c r="Q76" s="18" t="n">
        <v>0</v>
      </c>
      <c r="R76" s="20" t="n">
        <v>0</v>
      </c>
      <c r="S76" s="18" t="n">
        <v>13.75384445</v>
      </c>
      <c r="T76" s="20" t="n">
        <v>1.62494843</v>
      </c>
    </row>
    <row r="77" spans="1:20">
      <c r="A77" s="15" t="s">
        <v>637</v>
      </c>
      <c r="B77" s="17" t="n">
        <v>2908</v>
      </c>
      <c r="C77" s="18">
        <f>(2614.0/B77*100)</f>
        <v/>
      </c>
      <c r="D77" s="19" t="n">
        <v>294</v>
      </c>
      <c r="E77" s="18" t="n">
        <v>42.13288222</v>
      </c>
      <c r="F77" s="20" t="n">
        <v>3.08181412</v>
      </c>
      <c r="G77" s="18" t="n">
        <v>17.64677648</v>
      </c>
      <c r="H77" s="20" t="n">
        <v>2.35502811</v>
      </c>
      <c r="I77" s="18" t="n">
        <v>20.38824562</v>
      </c>
      <c r="J77" s="20" t="n">
        <v>2.22874566</v>
      </c>
      <c r="K77" s="18" t="s">
        <v>567</v>
      </c>
      <c r="L77" s="20" t="s">
        <v>567</v>
      </c>
      <c r="M77" s="18" t="n">
        <v>1.25227371</v>
      </c>
      <c r="N77" s="20" t="n">
        <v>0.86834905</v>
      </c>
      <c r="O77" s="18" t="n">
        <v>0</v>
      </c>
      <c r="P77" s="20" t="n">
        <v>0</v>
      </c>
      <c r="Q77" s="18" t="n">
        <v>0</v>
      </c>
      <c r="R77" s="20" t="n">
        <v>0</v>
      </c>
      <c r="S77" s="18" t="n">
        <v>18.57982198</v>
      </c>
      <c r="T77" s="20" t="n">
        <v>2.59028727</v>
      </c>
    </row>
    <row r="78" spans="1:20">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4163</v>
      </c>
      <c r="C81" s="18">
        <f>(3712.0/B81*100)</f>
        <v/>
      </c>
      <c r="D81" s="19" t="n">
        <v>451</v>
      </c>
      <c r="E81" s="18" t="n">
        <v>59.6216049</v>
      </c>
      <c r="F81" s="20" t="n">
        <v>3.18361122</v>
      </c>
      <c r="G81" s="18" t="n">
        <v>20.68324022</v>
      </c>
      <c r="H81" s="20" t="n">
        <v>2.55415722</v>
      </c>
      <c r="I81" s="18" t="n">
        <v>15.11120987</v>
      </c>
      <c r="J81" s="20" t="n">
        <v>1.93840889</v>
      </c>
      <c r="K81" s="18" t="s">
        <v>567</v>
      </c>
      <c r="L81" s="20" t="s">
        <v>567</v>
      </c>
      <c r="M81" s="18" t="n">
        <v>0.38431303</v>
      </c>
      <c r="N81" s="20" t="n">
        <v>0.26488178</v>
      </c>
      <c r="O81" s="18" t="n">
        <v>0</v>
      </c>
      <c r="P81" s="20" t="n">
        <v>0</v>
      </c>
      <c r="Q81" s="18" t="n">
        <v>0</v>
      </c>
      <c r="R81" s="20" t="n">
        <v>0</v>
      </c>
      <c r="S81" s="18" t="n">
        <v>4.19963197</v>
      </c>
      <c r="T81" s="20" t="n">
        <v>1.71819075</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(6564.0/B7*100)</f>
        <v/>
      </c>
      <c r="D7" s="19" t="n">
        <v>803</v>
      </c>
      <c r="E7" s="18" t="n">
        <v>37.96929639</v>
      </c>
      <c r="F7" s="20" t="n">
        <v>1.94790917</v>
      </c>
      <c r="G7" s="18" t="n">
        <v>60.86677355</v>
      </c>
      <c r="H7" s="20" t="n">
        <v>1.9977449</v>
      </c>
      <c r="I7" s="18" t="s">
        <v>567</v>
      </c>
      <c r="J7" s="20" t="s">
        <v>567</v>
      </c>
      <c r="K7" s="18" t="n">
        <v>0.37384681</v>
      </c>
      <c r="L7" s="20" t="n">
        <v>0.20924971</v>
      </c>
      <c r="M7" s="18" t="n">
        <v>0</v>
      </c>
      <c r="N7" s="20" t="n">
        <v>0</v>
      </c>
      <c r="O7" s="18" t="n">
        <v>0</v>
      </c>
      <c r="P7" s="20" t="n">
        <v>0</v>
      </c>
      <c r="Q7" s="18" t="n">
        <v>0.79008325</v>
      </c>
      <c r="R7" s="20" t="n">
        <v>0.32589768</v>
      </c>
    </row>
    <row r="8" spans="1:18">
      <c r="A8" s="15" t="s">
        <v>568</v>
      </c>
      <c r="B8" s="17" t="n">
        <v>3564</v>
      </c>
      <c r="C8" s="18">
        <f>(3180.0/B8*100)</f>
        <v/>
      </c>
      <c r="D8" s="19" t="n">
        <v>384</v>
      </c>
      <c r="E8" s="18" t="n">
        <v>49.26022639</v>
      </c>
      <c r="F8" s="20" t="n">
        <v>2.78059847</v>
      </c>
      <c r="G8" s="18" t="n">
        <v>48.07481709</v>
      </c>
      <c r="H8" s="20" t="n">
        <v>3.12132632</v>
      </c>
      <c r="I8" s="18" t="s">
        <v>567</v>
      </c>
      <c r="J8" s="20" t="s">
        <v>567</v>
      </c>
      <c r="K8" s="18" t="n">
        <v>0.97686499</v>
      </c>
      <c r="L8" s="20" t="n">
        <v>0.5428500000000001</v>
      </c>
      <c r="M8" s="18" t="n">
        <v>0</v>
      </c>
      <c r="N8" s="20" t="n">
        <v>0</v>
      </c>
      <c r="O8" s="18" t="n">
        <v>0</v>
      </c>
      <c r="P8" s="20" t="n">
        <v>0</v>
      </c>
      <c r="Q8" s="18" t="n">
        <v>1.68809153</v>
      </c>
      <c r="R8" s="20" t="n">
        <v>0.57532212</v>
      </c>
    </row>
    <row r="9" spans="1:18">
      <c r="A9" s="15" t="s">
        <v>569</v>
      </c>
      <c r="B9" s="17" t="n">
        <v>4899</v>
      </c>
      <c r="C9" s="18">
        <f>(4350.0/B9*100)</f>
        <v/>
      </c>
      <c r="D9" s="19" t="n">
        <v>549</v>
      </c>
      <c r="E9" s="18" t="n">
        <v>50.97065244</v>
      </c>
      <c r="F9" s="20" t="n">
        <v>2.3751333</v>
      </c>
      <c r="G9" s="18" t="n">
        <v>48.76211957</v>
      </c>
      <c r="H9" s="20" t="n">
        <v>2.3637216</v>
      </c>
      <c r="I9" s="18" t="s">
        <v>567</v>
      </c>
      <c r="J9" s="20" t="s">
        <v>567</v>
      </c>
      <c r="K9" s="18" t="n">
        <v>0.15032545</v>
      </c>
      <c r="L9" s="20" t="n">
        <v>0.14922892</v>
      </c>
      <c r="M9" s="18" t="n">
        <v>0</v>
      </c>
      <c r="N9" s="20" t="n">
        <v>0</v>
      </c>
      <c r="O9" s="18" t="n">
        <v>0</v>
      </c>
      <c r="P9" s="20" t="n">
        <v>0</v>
      </c>
      <c r="Q9" s="18" t="n">
        <v>0.11690253</v>
      </c>
      <c r="R9" s="20" t="n">
        <v>0.11582666</v>
      </c>
    </row>
    <row r="10" spans="1:18">
      <c r="A10" s="15" t="s">
        <v>570</v>
      </c>
      <c r="B10" s="17" t="n">
        <v>10036</v>
      </c>
      <c r="C10" s="18">
        <f>(8911.0/B10*100)</f>
        <v/>
      </c>
      <c r="D10" s="19" t="n">
        <v>1125</v>
      </c>
      <c r="E10" s="18" t="n">
        <v>43.63033945</v>
      </c>
      <c r="F10" s="20" t="n">
        <v>2.21541986</v>
      </c>
      <c r="G10" s="18" t="n">
        <v>55.41571265</v>
      </c>
      <c r="H10" s="20" t="n">
        <v>2.16302545</v>
      </c>
      <c r="I10" s="18" t="s">
        <v>567</v>
      </c>
      <c r="J10" s="20" t="s">
        <v>567</v>
      </c>
      <c r="K10" s="18" t="n">
        <v>0.56966503</v>
      </c>
      <c r="L10" s="20" t="n">
        <v>0.34316219</v>
      </c>
      <c r="M10" s="18" t="n">
        <v>0</v>
      </c>
      <c r="N10" s="20" t="n">
        <v>0</v>
      </c>
      <c r="O10" s="18" t="n">
        <v>0</v>
      </c>
      <c r="P10" s="20" t="n">
        <v>0</v>
      </c>
      <c r="Q10" s="18" t="n">
        <v>0.38428287</v>
      </c>
      <c r="R10" s="20" t="n">
        <v>0.2549662</v>
      </c>
    </row>
    <row r="11" spans="1:18">
      <c r="A11" s="15" t="s">
        <v>571</v>
      </c>
      <c r="B11" s="17" t="n">
        <v>3553</v>
      </c>
      <c r="C11" s="18">
        <f>(3169.0/B11*100)</f>
        <v/>
      </c>
      <c r="D11" s="19" t="n">
        <v>384</v>
      </c>
      <c r="E11" s="18" t="n">
        <v>54.62647685</v>
      </c>
      <c r="F11" s="20" t="n">
        <v>2.76647318</v>
      </c>
      <c r="G11" s="18" t="n">
        <v>42.26356187</v>
      </c>
      <c r="H11" s="20" t="n">
        <v>2.68186181</v>
      </c>
      <c r="I11" s="18" t="s">
        <v>567</v>
      </c>
      <c r="J11" s="20" t="s">
        <v>567</v>
      </c>
      <c r="K11" s="18" t="n">
        <v>0.95532984</v>
      </c>
      <c r="L11" s="20" t="n">
        <v>0.75152937</v>
      </c>
      <c r="M11" s="18" t="n">
        <v>0</v>
      </c>
      <c r="N11" s="20" t="n">
        <v>0</v>
      </c>
      <c r="O11" s="18" t="n">
        <v>0</v>
      </c>
      <c r="P11" s="20" t="n">
        <v>0</v>
      </c>
      <c r="Q11" s="18" t="n">
        <v>2.15463144</v>
      </c>
      <c r="R11" s="20" t="n">
        <v>0.95481083</v>
      </c>
    </row>
    <row r="12" spans="1:18">
      <c r="A12" s="15" t="s">
        <v>572</v>
      </c>
      <c r="B12" s="17" t="n">
        <v>3472</v>
      </c>
      <c r="C12" s="18">
        <f>(3083.0/B12*100)</f>
        <v/>
      </c>
      <c r="D12" s="19" t="n">
        <v>389</v>
      </c>
      <c r="E12" s="18" t="n">
        <v>41.0404386</v>
      </c>
      <c r="F12" s="20" t="n">
        <v>2.549094</v>
      </c>
      <c r="G12" s="18" t="n">
        <v>58.75137081</v>
      </c>
      <c r="H12" s="20" t="n">
        <v>2.54256417</v>
      </c>
      <c r="I12" s="18" t="s">
        <v>567</v>
      </c>
      <c r="J12" s="20" t="s">
        <v>567</v>
      </c>
      <c r="K12" s="18" t="n">
        <v>0.20819059</v>
      </c>
      <c r="L12" s="20" t="n">
        <v>0.28178995</v>
      </c>
      <c r="M12" s="18" t="n">
        <v>0</v>
      </c>
      <c r="N12" s="20" t="n">
        <v>0</v>
      </c>
      <c r="O12" s="18" t="n">
        <v>0</v>
      </c>
      <c r="P12" s="20" t="n">
        <v>0</v>
      </c>
      <c r="Q12" s="18" t="n">
        <v>0</v>
      </c>
      <c r="R12" s="20" t="n">
        <v>0</v>
      </c>
    </row>
    <row r="13" spans="1:18">
      <c r="A13" s="15" t="s">
        <v>573</v>
      </c>
      <c r="B13" s="17" t="n">
        <v>3559</v>
      </c>
      <c r="C13" s="18">
        <f>(3233.0/B13*100)</f>
        <v/>
      </c>
      <c r="D13" s="19" t="n">
        <v>326</v>
      </c>
      <c r="E13" s="18" t="n">
        <v>44.75188417</v>
      </c>
      <c r="F13" s="20" t="n">
        <v>3.58847291</v>
      </c>
      <c r="G13" s="18" t="n">
        <v>52.5182167</v>
      </c>
      <c r="H13" s="20" t="n">
        <v>3.65913653</v>
      </c>
      <c r="I13" s="18" t="s">
        <v>567</v>
      </c>
      <c r="J13" s="20" t="s">
        <v>567</v>
      </c>
      <c r="K13" s="18" t="n">
        <v>1.96304395</v>
      </c>
      <c r="L13" s="20" t="n">
        <v>1.05583585</v>
      </c>
      <c r="M13" s="18" t="n">
        <v>0</v>
      </c>
      <c r="N13" s="20" t="n">
        <v>0</v>
      </c>
      <c r="O13" s="18" t="n">
        <v>0</v>
      </c>
      <c r="P13" s="20" t="n">
        <v>0</v>
      </c>
      <c r="Q13" s="18" t="n">
        <v>0.76685518</v>
      </c>
      <c r="R13" s="20" t="n">
        <v>0.73978079</v>
      </c>
    </row>
    <row r="14" spans="1:18">
      <c r="A14" s="15" t="s">
        <v>574</v>
      </c>
      <c r="B14" s="17" t="n">
        <v>2799</v>
      </c>
      <c r="C14" s="18">
        <f>(2464.0/B14*100)</f>
        <v/>
      </c>
      <c r="D14" s="19" t="n">
        <v>335</v>
      </c>
      <c r="E14" s="18" t="n">
        <v>30.47824023</v>
      </c>
      <c r="F14" s="20" t="n">
        <v>2.71348401</v>
      </c>
      <c r="G14" s="18" t="n">
        <v>68.91109791</v>
      </c>
      <c r="H14" s="20" t="n">
        <v>2.69821979</v>
      </c>
      <c r="I14" s="18" t="s">
        <v>567</v>
      </c>
      <c r="J14" s="20" t="s">
        <v>567</v>
      </c>
      <c r="K14" s="18" t="n">
        <v>0.28134752</v>
      </c>
      <c r="L14" s="20" t="n">
        <v>0.28443054</v>
      </c>
      <c r="M14" s="18" t="n">
        <v>0</v>
      </c>
      <c r="N14" s="20" t="n">
        <v>0</v>
      </c>
      <c r="O14" s="18" t="n">
        <v>0</v>
      </c>
      <c r="P14" s="20" t="n">
        <v>0</v>
      </c>
      <c r="Q14" s="18" t="n">
        <v>0.32931433</v>
      </c>
      <c r="R14" s="20" t="n">
        <v>0.32974612</v>
      </c>
    </row>
    <row r="15" spans="1:18">
      <c r="A15" s="15" t="s">
        <v>575</v>
      </c>
      <c r="B15" s="17" t="n">
        <v>3019</v>
      </c>
      <c r="C15" s="18">
        <f>(2690.0/B15*100)</f>
        <v/>
      </c>
      <c r="D15" s="19" t="n">
        <v>329</v>
      </c>
      <c r="E15" s="18" t="n">
        <v>40.11025055</v>
      </c>
      <c r="F15" s="20" t="n">
        <v>2.92673569</v>
      </c>
      <c r="G15" s="18" t="n">
        <v>59.09501759</v>
      </c>
      <c r="H15" s="20" t="n">
        <v>2.88565356</v>
      </c>
      <c r="I15" s="18" t="s">
        <v>567</v>
      </c>
      <c r="J15" s="20" t="s">
        <v>567</v>
      </c>
      <c r="K15" s="18" t="n">
        <v>0.26693574</v>
      </c>
      <c r="L15" s="20" t="n">
        <v>0.26769983</v>
      </c>
      <c r="M15" s="18" t="n">
        <v>0</v>
      </c>
      <c r="N15" s="20" t="n">
        <v>0</v>
      </c>
      <c r="O15" s="18" t="n">
        <v>0</v>
      </c>
      <c r="P15" s="20" t="n">
        <v>0</v>
      </c>
      <c r="Q15" s="18" t="n">
        <v>0.52779612</v>
      </c>
      <c r="R15" s="20" t="n">
        <v>0.37220732</v>
      </c>
    </row>
    <row r="16" spans="1:18">
      <c r="A16" s="15" t="s">
        <v>576</v>
      </c>
      <c r="B16" s="17" t="n">
        <v>2997</v>
      </c>
      <c r="C16" s="18">
        <f>(2654.0/B16*100)</f>
        <v/>
      </c>
      <c r="D16" s="19" t="n">
        <v>343</v>
      </c>
      <c r="E16" s="18" t="n">
        <v>0</v>
      </c>
      <c r="F16" s="20" t="n">
        <v>0</v>
      </c>
      <c r="G16" s="18" t="n">
        <v>0</v>
      </c>
      <c r="H16" s="20" t="n">
        <v>0</v>
      </c>
      <c r="I16" s="18" t="s">
        <v>567</v>
      </c>
      <c r="J16" s="20" t="s">
        <v>567</v>
      </c>
      <c r="K16" s="18" t="n">
        <v>0</v>
      </c>
      <c r="L16" s="20" t="n">
        <v>0</v>
      </c>
      <c r="M16" s="18" t="n">
        <v>100</v>
      </c>
      <c r="N16" s="20" t="n">
        <v>0</v>
      </c>
      <c r="O16" s="18" t="n">
        <v>0</v>
      </c>
      <c r="P16" s="20" t="n">
        <v>0</v>
      </c>
      <c r="Q16" s="18" t="n">
        <v>0</v>
      </c>
      <c r="R16" s="20" t="n">
        <v>0</v>
      </c>
    </row>
    <row r="17" spans="1:18">
      <c r="A17" s="15" t="s">
        <v>577</v>
      </c>
      <c r="B17" s="17" t="n">
        <v>3307</v>
      </c>
      <c r="C17" s="18">
        <f>(2967.0/B17*100)</f>
        <v/>
      </c>
      <c r="D17" s="19" t="n">
        <v>340</v>
      </c>
      <c r="E17" s="18" t="n">
        <v>42.01470021</v>
      </c>
      <c r="F17" s="20" t="n">
        <v>2.80580758</v>
      </c>
      <c r="G17" s="18" t="n">
        <v>56.99150562</v>
      </c>
      <c r="H17" s="20" t="n">
        <v>2.86853096</v>
      </c>
      <c r="I17" s="18" t="s">
        <v>567</v>
      </c>
      <c r="J17" s="20" t="s">
        <v>567</v>
      </c>
      <c r="K17" s="18" t="n">
        <v>0.75047014</v>
      </c>
      <c r="L17" s="20" t="n">
        <v>0.46354088</v>
      </c>
      <c r="M17" s="18" t="n">
        <v>0</v>
      </c>
      <c r="N17" s="20" t="n">
        <v>0</v>
      </c>
      <c r="O17" s="18" t="n">
        <v>0</v>
      </c>
      <c r="P17" s="20" t="n">
        <v>0</v>
      </c>
      <c r="Q17" s="18" t="n">
        <v>0.24332403</v>
      </c>
      <c r="R17" s="20" t="n">
        <v>0.22559686</v>
      </c>
    </row>
    <row r="18" spans="1:18">
      <c r="A18" s="15" t="s">
        <v>578</v>
      </c>
      <c r="B18" s="17" t="n">
        <v>2826</v>
      </c>
      <c r="C18" s="18">
        <f>(2499.0/B18*100)</f>
        <v/>
      </c>
      <c r="D18" s="19" t="n">
        <v>327</v>
      </c>
      <c r="E18" s="18" t="n">
        <v>51.99549835</v>
      </c>
      <c r="F18" s="20" t="n">
        <v>3.00196363</v>
      </c>
      <c r="G18" s="18" t="n">
        <v>45.98659669</v>
      </c>
      <c r="H18" s="20" t="n">
        <v>3.02492879</v>
      </c>
      <c r="I18" s="18" t="s">
        <v>567</v>
      </c>
      <c r="J18" s="20" t="s">
        <v>567</v>
      </c>
      <c r="K18" s="18" t="n">
        <v>0.16769618</v>
      </c>
      <c r="L18" s="20" t="n">
        <v>0.17239313</v>
      </c>
      <c r="M18" s="18" t="n">
        <v>0</v>
      </c>
      <c r="N18" s="20" t="n">
        <v>0</v>
      </c>
      <c r="O18" s="18" t="n">
        <v>0</v>
      </c>
      <c r="P18" s="20" t="n">
        <v>0</v>
      </c>
      <c r="Q18" s="18" t="n">
        <v>1.85020878</v>
      </c>
      <c r="R18" s="20" t="n">
        <v>0.74304258</v>
      </c>
    </row>
    <row r="19" spans="1:18">
      <c r="A19" s="15" t="s">
        <v>579</v>
      </c>
      <c r="B19" s="17" t="n">
        <v>2808</v>
      </c>
      <c r="C19" s="18">
        <f>(2497.0/B19*100)</f>
        <v/>
      </c>
      <c r="D19" s="19" t="n">
        <v>311</v>
      </c>
      <c r="E19" s="18" t="n">
        <v>41.1465059</v>
      </c>
      <c r="F19" s="20" t="n">
        <v>3.19838998</v>
      </c>
      <c r="G19" s="18" t="n">
        <v>58.8534941</v>
      </c>
      <c r="H19" s="20" t="n">
        <v>3.19838998</v>
      </c>
      <c r="I19" s="18" t="s">
        <v>567</v>
      </c>
      <c r="J19" s="20" t="s">
        <v>567</v>
      </c>
      <c r="K19" s="18" t="n">
        <v>0</v>
      </c>
      <c r="L19" s="20" t="n">
        <v>0</v>
      </c>
      <c r="M19" s="18" t="n">
        <v>0</v>
      </c>
      <c r="N19" s="20" t="n">
        <v>0</v>
      </c>
      <c r="O19" s="18" t="n">
        <v>0</v>
      </c>
      <c r="P19" s="20" t="n">
        <v>0</v>
      </c>
      <c r="Q19" s="18" t="n">
        <v>0</v>
      </c>
      <c r="R19" s="20" t="n">
        <v>0</v>
      </c>
    </row>
    <row r="20" spans="1:18">
      <c r="A20" s="15" t="s">
        <v>580</v>
      </c>
      <c r="B20" s="17" t="n">
        <v>1630</v>
      </c>
      <c r="C20" s="18">
        <f>(1464.0/B20*100)</f>
        <v/>
      </c>
      <c r="D20" s="19" t="n">
        <v>166</v>
      </c>
      <c r="E20" s="18" t="n">
        <v>65.49838607</v>
      </c>
      <c r="F20" s="20" t="n">
        <v>3.6564294</v>
      </c>
      <c r="G20" s="18" t="n">
        <v>33.23085213</v>
      </c>
      <c r="H20" s="20" t="n">
        <v>3.66730618</v>
      </c>
      <c r="I20" s="18" t="s">
        <v>567</v>
      </c>
      <c r="J20" s="20" t="s">
        <v>567</v>
      </c>
      <c r="K20" s="18" t="n">
        <v>0</v>
      </c>
      <c r="L20" s="20" t="n">
        <v>0</v>
      </c>
      <c r="M20" s="18" t="n">
        <v>0</v>
      </c>
      <c r="N20" s="20" t="n">
        <v>0</v>
      </c>
      <c r="O20" s="18" t="n">
        <v>0</v>
      </c>
      <c r="P20" s="20" t="n">
        <v>0</v>
      </c>
      <c r="Q20" s="18" t="n">
        <v>1.2707618</v>
      </c>
      <c r="R20" s="20" t="n">
        <v>0.89880947</v>
      </c>
    </row>
    <row r="21" spans="1:18">
      <c r="A21" s="15" t="s">
        <v>581</v>
      </c>
      <c r="B21" s="17" t="n">
        <v>2908</v>
      </c>
      <c r="C21" s="18">
        <f>(2576.0/B21*100)</f>
        <v/>
      </c>
      <c r="D21" s="19" t="n">
        <v>332</v>
      </c>
      <c r="E21" s="18" t="n">
        <v>52.89512745</v>
      </c>
      <c r="F21" s="20" t="n">
        <v>2.91833456</v>
      </c>
      <c r="G21" s="18" t="n">
        <v>46.06527464</v>
      </c>
      <c r="H21" s="20" t="n">
        <v>2.8852018</v>
      </c>
      <c r="I21" s="18" t="s">
        <v>567</v>
      </c>
      <c r="J21" s="20" t="s">
        <v>567</v>
      </c>
      <c r="K21" s="18" t="n">
        <v>0</v>
      </c>
      <c r="L21" s="20" t="n">
        <v>0</v>
      </c>
      <c r="M21" s="18" t="n">
        <v>0</v>
      </c>
      <c r="N21" s="20" t="n">
        <v>0</v>
      </c>
      <c r="O21" s="18" t="n">
        <v>0</v>
      </c>
      <c r="P21" s="20" t="n">
        <v>0</v>
      </c>
      <c r="Q21" s="18" t="n">
        <v>1.0395979</v>
      </c>
      <c r="R21" s="20" t="n">
        <v>0.57255826</v>
      </c>
    </row>
    <row r="22" spans="1:18">
      <c r="A22" s="15" t="s">
        <v>582</v>
      </c>
      <c r="B22" s="17" t="n">
        <v>2931</v>
      </c>
      <c r="C22" s="18">
        <f>(2602.0/B22*100)</f>
        <v/>
      </c>
      <c r="D22" s="19" t="n">
        <v>329</v>
      </c>
      <c r="E22" s="18" t="n">
        <v>46.04099854</v>
      </c>
      <c r="F22" s="20" t="n">
        <v>2.70890714</v>
      </c>
      <c r="G22" s="18" t="n">
        <v>52.34775734</v>
      </c>
      <c r="H22" s="20" t="n">
        <v>2.53357181</v>
      </c>
      <c r="I22" s="18" t="s">
        <v>567</v>
      </c>
      <c r="J22" s="20" t="s">
        <v>567</v>
      </c>
      <c r="K22" s="18" t="n">
        <v>1.35948787</v>
      </c>
      <c r="L22" s="20" t="n">
        <v>0.85495211</v>
      </c>
      <c r="M22" s="18" t="n">
        <v>0</v>
      </c>
      <c r="N22" s="20" t="n">
        <v>0</v>
      </c>
      <c r="O22" s="18" t="n">
        <v>0</v>
      </c>
      <c r="P22" s="20" t="n">
        <v>0</v>
      </c>
      <c r="Q22" s="18" t="n">
        <v>0.25175625</v>
      </c>
      <c r="R22" s="20" t="n">
        <v>0.25184301</v>
      </c>
    </row>
    <row r="23" spans="1:18">
      <c r="A23" s="15" t="s">
        <v>583</v>
      </c>
      <c r="B23" s="17" t="n">
        <v>5791</v>
      </c>
      <c r="C23" s="18">
        <f>(5152.0/B23*100)</f>
        <v/>
      </c>
      <c r="D23" s="19" t="n">
        <v>639</v>
      </c>
      <c r="E23" s="18" t="n">
        <v>52.36418698</v>
      </c>
      <c r="F23" s="20" t="n">
        <v>2.44409992</v>
      </c>
      <c r="G23" s="18" t="n">
        <v>46.9559977</v>
      </c>
      <c r="H23" s="20" t="n">
        <v>2.39975433</v>
      </c>
      <c r="I23" s="18" t="s">
        <v>567</v>
      </c>
      <c r="J23" s="20" t="s">
        <v>567</v>
      </c>
      <c r="K23" s="18" t="n">
        <v>0.00480695</v>
      </c>
      <c r="L23" s="20" t="n">
        <v>0.00481882</v>
      </c>
      <c r="M23" s="18" t="n">
        <v>0</v>
      </c>
      <c r="N23" s="20" t="n">
        <v>0</v>
      </c>
      <c r="O23" s="18" t="n">
        <v>0</v>
      </c>
      <c r="P23" s="20" t="n">
        <v>0</v>
      </c>
      <c r="Q23" s="18" t="n">
        <v>0.67500836</v>
      </c>
      <c r="R23" s="20" t="n">
        <v>0.40125548</v>
      </c>
    </row>
    <row r="24" spans="1:18">
      <c r="A24" s="15" t="s">
        <v>584</v>
      </c>
      <c r="B24" s="17" t="n">
        <v>3338</v>
      </c>
      <c r="C24" s="18">
        <f>(2976.0/B24*100)</f>
        <v/>
      </c>
      <c r="D24" s="19" t="n">
        <v>362</v>
      </c>
      <c r="E24" s="18" t="n">
        <v>43.19344538</v>
      </c>
      <c r="F24" s="20" t="n">
        <v>2.272409</v>
      </c>
      <c r="G24" s="18" t="n">
        <v>55.96095853</v>
      </c>
      <c r="H24" s="20" t="n">
        <v>2.24864502</v>
      </c>
      <c r="I24" s="18" t="s">
        <v>567</v>
      </c>
      <c r="J24" s="20" t="s">
        <v>567</v>
      </c>
      <c r="K24" s="18" t="n">
        <v>0</v>
      </c>
      <c r="L24" s="20" t="n">
        <v>0</v>
      </c>
      <c r="M24" s="18" t="n">
        <v>0</v>
      </c>
      <c r="N24" s="20" t="n">
        <v>0</v>
      </c>
      <c r="O24" s="18" t="n">
        <v>0</v>
      </c>
      <c r="P24" s="20" t="n">
        <v>0</v>
      </c>
      <c r="Q24" s="18" t="n">
        <v>0.8455961</v>
      </c>
      <c r="R24" s="20" t="n">
        <v>0.43805927</v>
      </c>
    </row>
    <row r="25" spans="1:18">
      <c r="A25" s="15" t="s">
        <v>585</v>
      </c>
      <c r="B25" s="17" t="n">
        <v>2912</v>
      </c>
      <c r="C25" s="18">
        <f>(2606.0/B25*100)</f>
        <v/>
      </c>
      <c r="D25" s="19" t="n">
        <v>306</v>
      </c>
      <c r="E25" s="18" t="n">
        <v>62.48073892</v>
      </c>
      <c r="F25" s="20" t="n">
        <v>2.60693265</v>
      </c>
      <c r="G25" s="18" t="n">
        <v>36.88961673</v>
      </c>
      <c r="H25" s="20" t="n">
        <v>2.6218974</v>
      </c>
      <c r="I25" s="18" t="s">
        <v>567</v>
      </c>
      <c r="J25" s="20" t="s">
        <v>567</v>
      </c>
      <c r="K25" s="18" t="n">
        <v>0.2768612</v>
      </c>
      <c r="L25" s="20" t="n">
        <v>0.28087404</v>
      </c>
      <c r="M25" s="18" t="n">
        <v>0</v>
      </c>
      <c r="N25" s="20" t="n">
        <v>0</v>
      </c>
      <c r="O25" s="18" t="n">
        <v>0</v>
      </c>
      <c r="P25" s="20" t="n">
        <v>0</v>
      </c>
      <c r="Q25" s="18" t="n">
        <v>0.35278315</v>
      </c>
      <c r="R25" s="20" t="n">
        <v>0.35644805</v>
      </c>
    </row>
    <row r="26" spans="1:18">
      <c r="A26" s="15" t="s">
        <v>586</v>
      </c>
      <c r="B26" s="17" t="n">
        <v>2450</v>
      </c>
      <c r="C26" s="18">
        <f>(2179.0/B26*100)</f>
        <v/>
      </c>
      <c r="D26" s="19" t="n">
        <v>271</v>
      </c>
      <c r="E26" s="18" t="n">
        <v>54.53831591</v>
      </c>
      <c r="F26" s="20" t="n">
        <v>2.78409839</v>
      </c>
      <c r="G26" s="18" t="n">
        <v>45.46168409</v>
      </c>
      <c r="H26" s="20" t="n">
        <v>2.78409839</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(2320.0/B27*100)</f>
        <v/>
      </c>
      <c r="D27" s="19" t="n">
        <v>296</v>
      </c>
      <c r="E27" s="18" t="n">
        <v>45.62835149</v>
      </c>
      <c r="F27" s="20" t="n">
        <v>2.9153204</v>
      </c>
      <c r="G27" s="18" t="n">
        <v>53.02696483</v>
      </c>
      <c r="H27" s="20" t="n">
        <v>2.88734323</v>
      </c>
      <c r="I27" s="18" t="s">
        <v>567</v>
      </c>
      <c r="J27" s="20" t="s">
        <v>567</v>
      </c>
      <c r="K27" s="18" t="n">
        <v>0.68848504</v>
      </c>
      <c r="L27" s="20" t="n">
        <v>0.49113091</v>
      </c>
      <c r="M27" s="18" t="n">
        <v>0</v>
      </c>
      <c r="N27" s="20" t="n">
        <v>0</v>
      </c>
      <c r="O27" s="18" t="n">
        <v>0</v>
      </c>
      <c r="P27" s="20" t="n">
        <v>0</v>
      </c>
      <c r="Q27" s="18" t="n">
        <v>0.6561986400000001</v>
      </c>
      <c r="R27" s="20" t="n">
        <v>0.4746062</v>
      </c>
    </row>
    <row r="28" spans="1:18">
      <c r="A28" s="15" t="s">
        <v>588</v>
      </c>
      <c r="B28" s="17" t="n">
        <v>3765</v>
      </c>
      <c r="C28" s="18">
        <f>(3389.0/B28*100)</f>
        <v/>
      </c>
      <c r="D28" s="19" t="n">
        <v>376</v>
      </c>
      <c r="E28" s="18" t="n">
        <v>53.42397273</v>
      </c>
      <c r="F28" s="20" t="n">
        <v>2.68699721</v>
      </c>
      <c r="G28" s="18" t="n">
        <v>46.12762471</v>
      </c>
      <c r="H28" s="20" t="n">
        <v>2.73327109</v>
      </c>
      <c r="I28" s="18" t="s">
        <v>567</v>
      </c>
      <c r="J28" s="20" t="s">
        <v>567</v>
      </c>
      <c r="K28" s="18" t="n">
        <v>0</v>
      </c>
      <c r="L28" s="20" t="n">
        <v>0</v>
      </c>
      <c r="M28" s="18" t="n">
        <v>0</v>
      </c>
      <c r="N28" s="20" t="n">
        <v>0</v>
      </c>
      <c r="O28" s="18" t="n">
        <v>0</v>
      </c>
      <c r="P28" s="20" t="n">
        <v>0</v>
      </c>
      <c r="Q28" s="18" t="n">
        <v>0.44840257</v>
      </c>
      <c r="R28" s="20" t="n">
        <v>0.3179193</v>
      </c>
    </row>
    <row r="29" spans="1:18">
      <c r="A29" s="15" t="s">
        <v>589</v>
      </c>
      <c r="B29" s="17" t="n">
        <v>2685</v>
      </c>
      <c r="C29" s="18">
        <f>(2404.0/B29*100)</f>
        <v/>
      </c>
      <c r="D29" s="19" t="n">
        <v>281</v>
      </c>
      <c r="E29" s="18" t="n">
        <v>44.81451651</v>
      </c>
      <c r="F29" s="20" t="n">
        <v>2.93366485</v>
      </c>
      <c r="G29" s="18" t="n">
        <v>53.9274145</v>
      </c>
      <c r="H29" s="20" t="n">
        <v>3.04548126</v>
      </c>
      <c r="I29" s="18" t="s">
        <v>567</v>
      </c>
      <c r="J29" s="20" t="s">
        <v>567</v>
      </c>
      <c r="K29" s="18" t="n">
        <v>0.36807508</v>
      </c>
      <c r="L29" s="20" t="n">
        <v>0.36480756</v>
      </c>
      <c r="M29" s="18" t="n">
        <v>0</v>
      </c>
      <c r="N29" s="20" t="n">
        <v>0</v>
      </c>
      <c r="O29" s="18" t="n">
        <v>0</v>
      </c>
      <c r="P29" s="20" t="n">
        <v>0</v>
      </c>
      <c r="Q29" s="18" t="n">
        <v>0.8899939100000001</v>
      </c>
      <c r="R29" s="20" t="n">
        <v>0.61644867</v>
      </c>
    </row>
    <row r="30" spans="1:18">
      <c r="A30" s="15" t="s">
        <v>590</v>
      </c>
      <c r="B30" s="17" t="n">
        <v>2263</v>
      </c>
      <c r="C30" s="18">
        <f>(2002.0/B30*100)</f>
        <v/>
      </c>
      <c r="D30" s="19" t="n">
        <v>261</v>
      </c>
      <c r="E30" s="18" t="n">
        <v>42.45046122</v>
      </c>
      <c r="F30" s="20" t="n">
        <v>2.78260042</v>
      </c>
      <c r="G30" s="18" t="n">
        <v>56.49676188</v>
      </c>
      <c r="H30" s="20" t="n">
        <v>2.71967247</v>
      </c>
      <c r="I30" s="18" t="s">
        <v>567</v>
      </c>
      <c r="J30" s="20" t="s">
        <v>567</v>
      </c>
      <c r="K30" s="18" t="n">
        <v>0</v>
      </c>
      <c r="L30" s="20" t="n">
        <v>0</v>
      </c>
      <c r="M30" s="18" t="n">
        <v>0</v>
      </c>
      <c r="N30" s="20" t="n">
        <v>0</v>
      </c>
      <c r="O30" s="18" t="n">
        <v>0</v>
      </c>
      <c r="P30" s="20" t="n">
        <v>0</v>
      </c>
      <c r="Q30" s="18" t="n">
        <v>1.05277691</v>
      </c>
      <c r="R30" s="20" t="n">
        <v>0.69616076</v>
      </c>
    </row>
    <row r="31" spans="1:18">
      <c r="A31" s="15" t="s">
        <v>591</v>
      </c>
      <c r="B31" s="17" t="n">
        <v>2750</v>
      </c>
      <c r="C31" s="18">
        <f>(2452.0/B31*100)</f>
        <v/>
      </c>
      <c r="D31" s="19" t="n">
        <v>298</v>
      </c>
      <c r="E31" s="18" t="n">
        <v>47.72248544</v>
      </c>
      <c r="F31" s="20" t="n">
        <v>3.0456976</v>
      </c>
      <c r="G31" s="18" t="n">
        <v>50.32357014</v>
      </c>
      <c r="H31" s="20" t="n">
        <v>2.9731423</v>
      </c>
      <c r="I31" s="18" t="s">
        <v>567</v>
      </c>
      <c r="J31" s="20" t="s">
        <v>567</v>
      </c>
      <c r="K31" s="18" t="n">
        <v>0.28260233</v>
      </c>
      <c r="L31" s="20" t="n">
        <v>0.28454682</v>
      </c>
      <c r="M31" s="18" t="n">
        <v>0</v>
      </c>
      <c r="N31" s="20" t="n">
        <v>0</v>
      </c>
      <c r="O31" s="18" t="n">
        <v>0</v>
      </c>
      <c r="P31" s="20" t="n">
        <v>0</v>
      </c>
      <c r="Q31" s="18" t="n">
        <v>1.6713421</v>
      </c>
      <c r="R31" s="20" t="n">
        <v>0.60523589</v>
      </c>
    </row>
    <row r="32" spans="1:18">
      <c r="A32" s="15" t="s">
        <v>592</v>
      </c>
      <c r="B32" s="17" t="n">
        <v>2269</v>
      </c>
      <c r="C32" s="18">
        <f>(2024.0/B32*100)</f>
        <v/>
      </c>
      <c r="D32" s="19" t="n">
        <v>245</v>
      </c>
      <c r="E32" s="18" t="n">
        <v>37.30121862</v>
      </c>
      <c r="F32" s="20" t="n">
        <v>2.93276307</v>
      </c>
      <c r="G32" s="18" t="n">
        <v>61.52626677</v>
      </c>
      <c r="H32" s="20" t="n">
        <v>3.0106358</v>
      </c>
      <c r="I32" s="18" t="s">
        <v>567</v>
      </c>
      <c r="J32" s="20" t="s">
        <v>567</v>
      </c>
      <c r="K32" s="18" t="n">
        <v>0.36279952</v>
      </c>
      <c r="L32" s="20" t="n">
        <v>0.35441736</v>
      </c>
      <c r="M32" s="18" t="n">
        <v>0</v>
      </c>
      <c r="N32" s="20" t="n">
        <v>0</v>
      </c>
      <c r="O32" s="18" t="n">
        <v>0</v>
      </c>
      <c r="P32" s="20" t="n">
        <v>0</v>
      </c>
      <c r="Q32" s="18" t="n">
        <v>0.80971509</v>
      </c>
      <c r="R32" s="20" t="n">
        <v>0.5689251400000001</v>
      </c>
    </row>
    <row r="33" spans="1:18">
      <c r="A33" s="15" t="s">
        <v>593</v>
      </c>
      <c r="B33" s="17" t="n">
        <v>3674</v>
      </c>
      <c r="C33" s="18">
        <f>(3287.0/B33*100)</f>
        <v/>
      </c>
      <c r="D33" s="19" t="n">
        <v>387</v>
      </c>
      <c r="E33" s="18" t="n">
        <v>48.25861075</v>
      </c>
      <c r="F33" s="20" t="n">
        <v>3.04006458</v>
      </c>
      <c r="G33" s="18" t="n">
        <v>50.76210594</v>
      </c>
      <c r="H33" s="20" t="n">
        <v>2.99368005</v>
      </c>
      <c r="I33" s="18" t="s">
        <v>567</v>
      </c>
      <c r="J33" s="20" t="s">
        <v>567</v>
      </c>
      <c r="K33" s="18" t="n">
        <v>0.43786545</v>
      </c>
      <c r="L33" s="20" t="n">
        <v>0.4567999</v>
      </c>
      <c r="M33" s="18" t="n">
        <v>0</v>
      </c>
      <c r="N33" s="20" t="n">
        <v>0</v>
      </c>
      <c r="O33" s="18" t="n">
        <v>0</v>
      </c>
      <c r="P33" s="20" t="n">
        <v>0</v>
      </c>
      <c r="Q33" s="18" t="n">
        <v>0.54141786</v>
      </c>
      <c r="R33" s="20" t="n">
        <v>0.10447242</v>
      </c>
    </row>
    <row r="34" spans="1:18">
      <c r="A34" s="15" t="s">
        <v>594</v>
      </c>
      <c r="B34" s="17" t="n">
        <v>3315</v>
      </c>
      <c r="C34" s="18">
        <f>(2973.0/B34*100)</f>
        <v/>
      </c>
      <c r="D34" s="19" t="n">
        <v>342</v>
      </c>
      <c r="E34" s="18" t="n">
        <v>44.18354966</v>
      </c>
      <c r="F34" s="20" t="n">
        <v>3.01041307</v>
      </c>
      <c r="G34" s="18" t="n">
        <v>55.1594267</v>
      </c>
      <c r="H34" s="20" t="n">
        <v>3.01098419</v>
      </c>
      <c r="I34" s="18" t="s">
        <v>567</v>
      </c>
      <c r="J34" s="20" t="s">
        <v>567</v>
      </c>
      <c r="K34" s="18" t="n">
        <v>0.44490904</v>
      </c>
      <c r="L34" s="20" t="n">
        <v>0.44881036</v>
      </c>
      <c r="M34" s="18" t="n">
        <v>0</v>
      </c>
      <c r="N34" s="20" t="n">
        <v>0</v>
      </c>
      <c r="O34" s="18" t="n">
        <v>0</v>
      </c>
      <c r="P34" s="20" t="n">
        <v>0</v>
      </c>
      <c r="Q34" s="18" t="n">
        <v>0.2121146</v>
      </c>
      <c r="R34" s="20" t="n">
        <v>0.21061236</v>
      </c>
    </row>
    <row r="35" spans="1:18">
      <c r="A35" s="15" t="s">
        <v>595</v>
      </c>
      <c r="B35" s="17" t="n">
        <v>3505</v>
      </c>
      <c r="C35" s="18">
        <f>(3121.0/B35*100)</f>
        <v/>
      </c>
      <c r="D35" s="19" t="n">
        <v>384</v>
      </c>
      <c r="E35" s="18" t="n">
        <v>36.89255333</v>
      </c>
      <c r="F35" s="20" t="n">
        <v>2.70149318</v>
      </c>
      <c r="G35" s="18" t="n">
        <v>61.30166213</v>
      </c>
      <c r="H35" s="20" t="n">
        <v>2.76167316</v>
      </c>
      <c r="I35" s="18" t="s">
        <v>567</v>
      </c>
      <c r="J35" s="20" t="s">
        <v>567</v>
      </c>
      <c r="K35" s="18" t="n">
        <v>0</v>
      </c>
      <c r="L35" s="20" t="n">
        <v>0</v>
      </c>
      <c r="M35" s="18" t="n">
        <v>0</v>
      </c>
      <c r="N35" s="20" t="n">
        <v>0</v>
      </c>
      <c r="O35" s="18" t="n">
        <v>0</v>
      </c>
      <c r="P35" s="20" t="n">
        <v>0</v>
      </c>
      <c r="Q35" s="18" t="n">
        <v>1.80578454</v>
      </c>
      <c r="R35" s="20" t="n">
        <v>0.75249942</v>
      </c>
    </row>
    <row r="36" spans="1:18">
      <c r="A36" s="15" t="s">
        <v>596</v>
      </c>
      <c r="B36" s="17" t="n">
        <v>3332</v>
      </c>
      <c r="C36" s="18">
        <f>(2953.0/B36*100)</f>
        <v/>
      </c>
      <c r="D36" s="19" t="n">
        <v>379</v>
      </c>
      <c r="E36" s="18" t="n">
        <v>43.979303</v>
      </c>
      <c r="F36" s="20" t="n">
        <v>2.21544573</v>
      </c>
      <c r="G36" s="18" t="n">
        <v>54.4044121</v>
      </c>
      <c r="H36" s="20" t="n">
        <v>2.23218007</v>
      </c>
      <c r="I36" s="18" t="s">
        <v>567</v>
      </c>
      <c r="J36" s="20" t="s">
        <v>567</v>
      </c>
      <c r="K36" s="18" t="n">
        <v>0.48587278</v>
      </c>
      <c r="L36" s="20" t="n">
        <v>0.32059135</v>
      </c>
      <c r="M36" s="18" t="n">
        <v>0</v>
      </c>
      <c r="N36" s="20" t="n">
        <v>0</v>
      </c>
      <c r="O36" s="18" t="n">
        <v>0</v>
      </c>
      <c r="P36" s="20" t="n">
        <v>0</v>
      </c>
      <c r="Q36" s="18" t="n">
        <v>1.13041212</v>
      </c>
      <c r="R36" s="20" t="n">
        <v>0.27743217</v>
      </c>
    </row>
    <row r="37" spans="1:18">
      <c r="A37" s="15" t="s">
        <v>597</v>
      </c>
      <c r="B37" s="17" t="n">
        <v>2727</v>
      </c>
      <c r="C37" s="18">
        <f>(2423.0/B37*100)</f>
        <v/>
      </c>
      <c r="D37" s="19" t="n">
        <v>304</v>
      </c>
      <c r="E37" s="18" t="n">
        <v>53.7391415</v>
      </c>
      <c r="F37" s="20" t="n">
        <v>3.11945698</v>
      </c>
      <c r="G37" s="18" t="n">
        <v>44.42519475</v>
      </c>
      <c r="H37" s="20" t="n">
        <v>3.12976028</v>
      </c>
      <c r="I37" s="18" t="s">
        <v>567</v>
      </c>
      <c r="J37" s="20" t="s">
        <v>567</v>
      </c>
      <c r="K37" s="18" t="n">
        <v>0</v>
      </c>
      <c r="L37" s="20" t="n">
        <v>0</v>
      </c>
      <c r="M37" s="18" t="n">
        <v>0</v>
      </c>
      <c r="N37" s="20" t="n">
        <v>0</v>
      </c>
      <c r="O37" s="18" t="n">
        <v>0</v>
      </c>
      <c r="P37" s="20" t="n">
        <v>0</v>
      </c>
      <c r="Q37" s="18" t="n">
        <v>1.83566376</v>
      </c>
      <c r="R37" s="20" t="n">
        <v>0.74049774</v>
      </c>
    </row>
    <row r="38" spans="1:18">
      <c r="A38" s="15" t="s">
        <v>598</v>
      </c>
      <c r="B38" s="17" t="n">
        <v>3053</v>
      </c>
      <c r="C38" s="18">
        <f>(2725.0/B38*100)</f>
        <v/>
      </c>
      <c r="D38" s="19" t="n">
        <v>328</v>
      </c>
      <c r="E38" s="18" t="n">
        <v>49.87690242</v>
      </c>
      <c r="F38" s="20" t="n">
        <v>3.20504893</v>
      </c>
      <c r="G38" s="18" t="n">
        <v>49.05867945</v>
      </c>
      <c r="H38" s="20" t="n">
        <v>3.26874811</v>
      </c>
      <c r="I38" s="18" t="s">
        <v>567</v>
      </c>
      <c r="J38" s="20" t="s">
        <v>567</v>
      </c>
      <c r="K38" s="18" t="n">
        <v>0.80423615</v>
      </c>
      <c r="L38" s="20" t="n">
        <v>0.535541</v>
      </c>
      <c r="M38" s="18" t="n">
        <v>0</v>
      </c>
      <c r="N38" s="20" t="n">
        <v>0</v>
      </c>
      <c r="O38" s="18" t="n">
        <v>0</v>
      </c>
      <c r="P38" s="20" t="n">
        <v>0</v>
      </c>
      <c r="Q38" s="18" t="n">
        <v>0.26018197</v>
      </c>
      <c r="R38" s="20" t="n">
        <v>0.26133392</v>
      </c>
    </row>
    <row r="39" spans="1:18">
      <c r="A39" s="15" t="s">
        <v>599</v>
      </c>
      <c r="B39" s="17" t="n">
        <v>2957</v>
      </c>
      <c r="C39" s="18">
        <f>(2624.0/B39*100)</f>
        <v/>
      </c>
      <c r="D39" s="19" t="n">
        <v>333</v>
      </c>
      <c r="E39" s="18" t="n">
        <v>69.59354619</v>
      </c>
      <c r="F39" s="20" t="n">
        <v>2.92647765</v>
      </c>
      <c r="G39" s="18" t="n">
        <v>28.79075006</v>
      </c>
      <c r="H39" s="20" t="n">
        <v>2.66291459</v>
      </c>
      <c r="I39" s="18" t="s">
        <v>567</v>
      </c>
      <c r="J39" s="20" t="s">
        <v>567</v>
      </c>
      <c r="K39" s="18" t="n">
        <v>0.21263693</v>
      </c>
      <c r="L39" s="20" t="n">
        <v>0.22051977</v>
      </c>
      <c r="M39" s="18" t="n">
        <v>0</v>
      </c>
      <c r="N39" s="20" t="n">
        <v>0</v>
      </c>
      <c r="O39" s="18" t="n">
        <v>0</v>
      </c>
      <c r="P39" s="20" t="n">
        <v>0</v>
      </c>
      <c r="Q39" s="18" t="n">
        <v>1.40306682</v>
      </c>
      <c r="R39" s="20" t="n">
        <v>0.86168461</v>
      </c>
    </row>
    <row r="40" spans="1:18">
      <c r="A40" s="15" t="s">
        <v>600</v>
      </c>
      <c r="B40" s="17" t="n">
        <v>7235</v>
      </c>
      <c r="C40" s="18">
        <f>(6391.0/B40*100)</f>
        <v/>
      </c>
      <c r="D40" s="19" t="n">
        <v>844</v>
      </c>
      <c r="E40" s="18" t="n">
        <v>48.07869599</v>
      </c>
      <c r="F40" s="20" t="n">
        <v>2.29693099</v>
      </c>
      <c r="G40" s="18" t="n">
        <v>50.81822115</v>
      </c>
      <c r="H40" s="20" t="n">
        <v>2.34225246</v>
      </c>
      <c r="I40" s="18" t="s">
        <v>567</v>
      </c>
      <c r="J40" s="20" t="s">
        <v>567</v>
      </c>
      <c r="K40" s="18" t="n">
        <v>0.4119817</v>
      </c>
      <c r="L40" s="20" t="n">
        <v>0.23788936</v>
      </c>
      <c r="M40" s="18" t="n">
        <v>0</v>
      </c>
      <c r="N40" s="20" t="n">
        <v>0</v>
      </c>
      <c r="O40" s="18" t="n">
        <v>0</v>
      </c>
      <c r="P40" s="20" t="n">
        <v>0</v>
      </c>
      <c r="Q40" s="18" t="n">
        <v>0.69110116</v>
      </c>
      <c r="R40" s="20" t="n">
        <v>0.45546701</v>
      </c>
    </row>
    <row r="41" spans="1:18">
      <c r="A41" s="15" t="s">
        <v>601</v>
      </c>
      <c r="B41" s="17" t="n">
        <v>2858</v>
      </c>
      <c r="C41" s="18">
        <f>(2529.0/B41*100)</f>
        <v/>
      </c>
      <c r="D41" s="19" t="n">
        <v>329</v>
      </c>
      <c r="E41" s="18" t="n">
        <v>45.02998977</v>
      </c>
      <c r="F41" s="20" t="n">
        <v>2.7464476</v>
      </c>
      <c r="G41" s="18" t="n">
        <v>53.92447367</v>
      </c>
      <c r="H41" s="20" t="n">
        <v>2.70201457</v>
      </c>
      <c r="I41" s="18" t="s">
        <v>567</v>
      </c>
      <c r="J41" s="20" t="s">
        <v>567</v>
      </c>
      <c r="K41" s="18" t="n">
        <v>0</v>
      </c>
      <c r="L41" s="20" t="n">
        <v>0</v>
      </c>
      <c r="M41" s="18" t="n">
        <v>0</v>
      </c>
      <c r="N41" s="20" t="n">
        <v>0</v>
      </c>
      <c r="O41" s="18" t="n">
        <v>0</v>
      </c>
      <c r="P41" s="20" t="n">
        <v>0</v>
      </c>
      <c r="Q41" s="18" t="n">
        <v>1.04553656</v>
      </c>
      <c r="R41" s="20" t="n">
        <v>0.56327476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(10101.0/B46*100)</f>
        <v/>
      </c>
      <c r="D46" s="19" t="n">
        <v>967</v>
      </c>
      <c r="E46" s="18" t="n">
        <v>46.75160161</v>
      </c>
      <c r="F46" s="20" t="n">
        <v>2.09966845</v>
      </c>
      <c r="G46" s="18" t="n">
        <v>50.41619225</v>
      </c>
      <c r="H46" s="20" t="n">
        <v>2.09284134</v>
      </c>
      <c r="I46" s="18" t="s">
        <v>567</v>
      </c>
      <c r="J46" s="20" t="s">
        <v>567</v>
      </c>
      <c r="K46" s="18" t="n">
        <v>0.70678142</v>
      </c>
      <c r="L46" s="20" t="n">
        <v>0.31485126</v>
      </c>
      <c r="M46" s="18" t="n">
        <v>0</v>
      </c>
      <c r="N46" s="20" t="n">
        <v>0</v>
      </c>
      <c r="O46" s="18" t="n">
        <v>0</v>
      </c>
      <c r="P46" s="20" t="n">
        <v>0</v>
      </c>
      <c r="Q46" s="18" t="n">
        <v>2.12542472</v>
      </c>
      <c r="R46" s="20" t="n">
        <v>0.45409507</v>
      </c>
    </row>
    <row r="47" spans="1:18">
      <c r="A47" s="15" t="s">
        <v>607</v>
      </c>
      <c r="B47" s="17" t="n">
        <v>3105</v>
      </c>
      <c r="C47" s="18">
        <f>(2760.0/B47*100)</f>
        <v/>
      </c>
      <c r="D47" s="19" t="n">
        <v>345</v>
      </c>
      <c r="E47" s="18" t="n">
        <v>53.25441792</v>
      </c>
      <c r="F47" s="20" t="n">
        <v>3.27663938</v>
      </c>
      <c r="G47" s="18" t="n">
        <v>45.34420072</v>
      </c>
      <c r="H47" s="20" t="n">
        <v>3.30163032</v>
      </c>
      <c r="I47" s="18" t="s">
        <v>567</v>
      </c>
      <c r="J47" s="20" t="s">
        <v>567</v>
      </c>
      <c r="K47" s="18" t="n">
        <v>0.28479129</v>
      </c>
      <c r="L47" s="20" t="n">
        <v>0.2021059</v>
      </c>
      <c r="M47" s="18" t="n">
        <v>0</v>
      </c>
      <c r="N47" s="20" t="n">
        <v>0</v>
      </c>
      <c r="O47" s="18" t="n">
        <v>0</v>
      </c>
      <c r="P47" s="20" t="n">
        <v>0</v>
      </c>
      <c r="Q47" s="18" t="n">
        <v>1.11659007</v>
      </c>
      <c r="R47" s="20" t="n">
        <v>0.69154935</v>
      </c>
    </row>
    <row r="48" spans="1:18">
      <c r="A48" s="15" t="s">
        <v>608</v>
      </c>
      <c r="B48" s="17" t="n">
        <v>5159</v>
      </c>
      <c r="C48" s="18">
        <f>(4608.0/B48*100)</f>
        <v/>
      </c>
      <c r="D48" s="19" t="n">
        <v>551</v>
      </c>
      <c r="E48" s="18" t="n">
        <v>48.93750881</v>
      </c>
      <c r="F48" s="20" t="n">
        <v>2.7068452</v>
      </c>
      <c r="G48" s="18" t="n">
        <v>49.52300444</v>
      </c>
      <c r="H48" s="20" t="n">
        <v>2.67944965</v>
      </c>
      <c r="I48" s="18" t="s">
        <v>567</v>
      </c>
      <c r="J48" s="20" t="s">
        <v>567</v>
      </c>
      <c r="K48" s="18" t="n">
        <v>0.66117504</v>
      </c>
      <c r="L48" s="20" t="n">
        <v>0.4684565</v>
      </c>
      <c r="M48" s="18" t="n">
        <v>0</v>
      </c>
      <c r="N48" s="20" t="n">
        <v>0</v>
      </c>
      <c r="O48" s="18" t="n">
        <v>0</v>
      </c>
      <c r="P48" s="20" t="n">
        <v>0</v>
      </c>
      <c r="Q48" s="18" t="n">
        <v>0.87831171</v>
      </c>
      <c r="R48" s="20" t="n">
        <v>0.41011231</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(5035.0/B50*100)</f>
        <v/>
      </c>
      <c r="D50" s="19" t="n">
        <v>602</v>
      </c>
      <c r="E50" s="18" t="n">
        <v>49.29052734</v>
      </c>
      <c r="F50" s="20" t="n">
        <v>2.72117196</v>
      </c>
      <c r="G50" s="18" t="n">
        <v>49.51280892</v>
      </c>
      <c r="H50" s="20" t="n">
        <v>2.7412761</v>
      </c>
      <c r="I50" s="18" t="s">
        <v>567</v>
      </c>
      <c r="J50" s="20" t="s">
        <v>567</v>
      </c>
      <c r="K50" s="18" t="n">
        <v>0.78017092</v>
      </c>
      <c r="L50" s="20" t="n">
        <v>0.44865432</v>
      </c>
      <c r="M50" s="18" t="n">
        <v>0</v>
      </c>
      <c r="N50" s="20" t="n">
        <v>0</v>
      </c>
      <c r="O50" s="18" t="n">
        <v>0</v>
      </c>
      <c r="P50" s="20" t="n">
        <v>0</v>
      </c>
      <c r="Q50" s="18" t="n">
        <v>0.41649281</v>
      </c>
      <c r="R50" s="20" t="n">
        <v>0.280067</v>
      </c>
    </row>
    <row r="51" spans="1:18">
      <c r="A51" s="15" t="s">
        <v>611</v>
      </c>
      <c r="B51" s="17" t="n">
        <v>3372</v>
      </c>
      <c r="C51" s="18">
        <f>(3039.0/B51*100)</f>
        <v/>
      </c>
      <c r="D51" s="19" t="n">
        <v>333</v>
      </c>
      <c r="E51" s="18" t="n">
        <v>60.97326397</v>
      </c>
      <c r="F51" s="20" t="n">
        <v>2.74090374</v>
      </c>
      <c r="G51" s="18" t="n">
        <v>37.47161667</v>
      </c>
      <c r="H51" s="20" t="n">
        <v>2.61339081</v>
      </c>
      <c r="I51" s="18" t="s">
        <v>567</v>
      </c>
      <c r="J51" s="20" t="s">
        <v>567</v>
      </c>
      <c r="K51" s="18" t="n">
        <v>0.75674381</v>
      </c>
      <c r="L51" s="20" t="n">
        <v>0.66584426</v>
      </c>
      <c r="M51" s="18" t="n">
        <v>0</v>
      </c>
      <c r="N51" s="20" t="n">
        <v>0</v>
      </c>
      <c r="O51" s="18" t="n">
        <v>0</v>
      </c>
      <c r="P51" s="20" t="n">
        <v>0</v>
      </c>
      <c r="Q51" s="18" t="n">
        <v>0.79837555</v>
      </c>
      <c r="R51" s="20" t="n">
        <v>0.42231401</v>
      </c>
    </row>
    <row r="52" spans="1:18">
      <c r="A52" s="15" t="s">
        <v>612</v>
      </c>
      <c r="B52" s="17" t="n">
        <v>2796</v>
      </c>
      <c r="C52" s="18">
        <f>(2515.0/B52*100)</f>
        <v/>
      </c>
      <c r="D52" s="19" t="n">
        <v>281</v>
      </c>
      <c r="E52" s="18" t="n">
        <v>54.71144465</v>
      </c>
      <c r="F52" s="20" t="n">
        <v>2.81755241</v>
      </c>
      <c r="G52" s="18" t="n">
        <v>44.45010963</v>
      </c>
      <c r="H52" s="20" t="n">
        <v>2.76610406</v>
      </c>
      <c r="I52" s="18" t="s">
        <v>567</v>
      </c>
      <c r="J52" s="20" t="s">
        <v>567</v>
      </c>
      <c r="K52" s="18" t="n">
        <v>0</v>
      </c>
      <c r="L52" s="20" t="n">
        <v>0</v>
      </c>
      <c r="M52" s="18" t="n">
        <v>0</v>
      </c>
      <c r="N52" s="20" t="n">
        <v>0</v>
      </c>
      <c r="O52" s="18" t="n">
        <v>0</v>
      </c>
      <c r="P52" s="20" t="n">
        <v>0</v>
      </c>
      <c r="Q52" s="18" t="n">
        <v>0.8384457199999999</v>
      </c>
      <c r="R52" s="20" t="n">
        <v>0.59365974</v>
      </c>
    </row>
    <row r="53" spans="1:18">
      <c r="A53" s="15" t="s">
        <v>613</v>
      </c>
      <c r="B53" s="17" t="n">
        <v>2811</v>
      </c>
      <c r="C53" s="18">
        <f>(2522.0/B53*100)</f>
        <v/>
      </c>
      <c r="D53" s="19" t="n">
        <v>289</v>
      </c>
      <c r="E53" s="18" t="n">
        <v>46.29831632</v>
      </c>
      <c r="F53" s="20" t="n">
        <v>2.93807738</v>
      </c>
      <c r="G53" s="18" t="n">
        <v>52.42104042</v>
      </c>
      <c r="H53" s="20" t="n">
        <v>2.8740151</v>
      </c>
      <c r="I53" s="18" t="s">
        <v>567</v>
      </c>
      <c r="J53" s="20" t="s">
        <v>567</v>
      </c>
      <c r="K53" s="18" t="n">
        <v>0.23153512</v>
      </c>
      <c r="L53" s="20" t="n">
        <v>0.23404037</v>
      </c>
      <c r="M53" s="18" t="n">
        <v>0</v>
      </c>
      <c r="N53" s="20" t="n">
        <v>0</v>
      </c>
      <c r="O53" s="18" t="n">
        <v>0</v>
      </c>
      <c r="P53" s="20" t="n">
        <v>0</v>
      </c>
      <c r="Q53" s="18" t="n">
        <v>1.04910814</v>
      </c>
      <c r="R53" s="20" t="n">
        <v>0.51840177</v>
      </c>
    </row>
    <row r="54" spans="1:18">
      <c r="A54" s="15" t="s">
        <v>614</v>
      </c>
      <c r="B54" s="17" t="n">
        <v>2266</v>
      </c>
      <c r="C54" s="18">
        <f>(2016.0/B54*100)</f>
        <v/>
      </c>
      <c r="D54" s="19" t="n">
        <v>250</v>
      </c>
      <c r="E54" s="18" t="n">
        <v>53.69986334</v>
      </c>
      <c r="F54" s="20" t="n">
        <v>3.56087247</v>
      </c>
      <c r="G54" s="18" t="n">
        <v>32.55462672</v>
      </c>
      <c r="H54" s="20" t="n">
        <v>3.23646178</v>
      </c>
      <c r="I54" s="18" t="s">
        <v>567</v>
      </c>
      <c r="J54" s="20" t="s">
        <v>567</v>
      </c>
      <c r="K54" s="18" t="n">
        <v>8.56400826</v>
      </c>
      <c r="L54" s="20" t="n">
        <v>2.05157972</v>
      </c>
      <c r="M54" s="18" t="n">
        <v>0</v>
      </c>
      <c r="N54" s="20" t="n">
        <v>0</v>
      </c>
      <c r="O54" s="18" t="n">
        <v>0</v>
      </c>
      <c r="P54" s="20" t="n">
        <v>0</v>
      </c>
      <c r="Q54" s="18" t="n">
        <v>5.18150168</v>
      </c>
      <c r="R54" s="20" t="n">
        <v>1.59840196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(2392.0/B56*100)</f>
        <v/>
      </c>
      <c r="D56" s="19" t="n">
        <v>292</v>
      </c>
      <c r="E56" s="18" t="n">
        <v>50.76574943</v>
      </c>
      <c r="F56" s="20" t="n">
        <v>3.65604009</v>
      </c>
      <c r="G56" s="18" t="n">
        <v>48.95633118</v>
      </c>
      <c r="H56" s="20" t="n">
        <v>3.65677089</v>
      </c>
      <c r="I56" s="18" t="s">
        <v>567</v>
      </c>
      <c r="J56" s="20" t="s">
        <v>567</v>
      </c>
      <c r="K56" s="18" t="n">
        <v>0</v>
      </c>
      <c r="L56" s="20" t="n">
        <v>0</v>
      </c>
      <c r="M56" s="18" t="n">
        <v>0</v>
      </c>
      <c r="N56" s="20" t="n">
        <v>0</v>
      </c>
      <c r="O56" s="18" t="n">
        <v>0</v>
      </c>
      <c r="P56" s="20" t="n">
        <v>0</v>
      </c>
      <c r="Q56" s="18" t="n">
        <v>0.27791939</v>
      </c>
      <c r="R56" s="20" t="n">
        <v>0.28314762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(2995.0/B61*100)</f>
        <v/>
      </c>
      <c r="D61" s="19" t="n">
        <v>329</v>
      </c>
      <c r="E61" s="18" t="n">
        <v>55.36881037</v>
      </c>
      <c r="F61" s="20" t="n">
        <v>3.08432468</v>
      </c>
      <c r="G61" s="18" t="n">
        <v>43.37158898</v>
      </c>
      <c r="H61" s="20" t="n">
        <v>2.9957153</v>
      </c>
      <c r="I61" s="18" t="s">
        <v>567</v>
      </c>
      <c r="J61" s="20" t="s">
        <v>567</v>
      </c>
      <c r="K61" s="18" t="n">
        <v>0.43153567</v>
      </c>
      <c r="L61" s="20" t="n">
        <v>0.45049778</v>
      </c>
      <c r="M61" s="18" t="n">
        <v>0</v>
      </c>
      <c r="N61" s="20" t="n">
        <v>0</v>
      </c>
      <c r="O61" s="18" t="n">
        <v>0</v>
      </c>
      <c r="P61" s="20" t="n">
        <v>0</v>
      </c>
      <c r="Q61" s="18" t="n">
        <v>0.82806498</v>
      </c>
      <c r="R61" s="20" t="n">
        <v>0.42616044</v>
      </c>
    </row>
    <row r="62" spans="1:18">
      <c r="A62" s="15" t="s">
        <v>622</v>
      </c>
      <c r="B62" s="17" t="n">
        <v>2246</v>
      </c>
      <c r="C62" s="18">
        <f>(1995.0/B62*100)</f>
        <v/>
      </c>
      <c r="D62" s="19" t="n">
        <v>251</v>
      </c>
      <c r="E62" s="18" t="n">
        <v>56.92408265</v>
      </c>
      <c r="F62" s="20" t="n">
        <v>2.99767791</v>
      </c>
      <c r="G62" s="18" t="n">
        <v>43.07591735</v>
      </c>
      <c r="H62" s="20" t="n">
        <v>2.99767791</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(2604.0/B66*100)</f>
        <v/>
      </c>
      <c r="D66" s="19" t="n">
        <v>290</v>
      </c>
      <c r="E66" s="18" t="n">
        <v>65.53410753</v>
      </c>
      <c r="F66" s="20" t="n">
        <v>3.01083551</v>
      </c>
      <c r="G66" s="18" t="n">
        <v>32.05985265</v>
      </c>
      <c r="H66" s="20" t="n">
        <v>3.00992338</v>
      </c>
      <c r="I66" s="18" t="s">
        <v>567</v>
      </c>
      <c r="J66" s="20" t="s">
        <v>567</v>
      </c>
      <c r="K66" s="18" t="n">
        <v>0</v>
      </c>
      <c r="L66" s="20" t="n">
        <v>0</v>
      </c>
      <c r="M66" s="18" t="n">
        <v>0</v>
      </c>
      <c r="N66" s="20" t="n">
        <v>0</v>
      </c>
      <c r="O66" s="18" t="n">
        <v>0</v>
      </c>
      <c r="P66" s="20" t="n">
        <v>0</v>
      </c>
      <c r="Q66" s="18" t="n">
        <v>2.40603982</v>
      </c>
      <c r="R66" s="20" t="n">
        <v>1.00031337</v>
      </c>
    </row>
    <row r="67" spans="1:18">
      <c r="A67" s="15" t="s">
        <v>627</v>
      </c>
      <c r="B67" s="17" t="n">
        <v>3511</v>
      </c>
      <c r="C67" s="18">
        <f>(3165.0/B67*100)</f>
        <v/>
      </c>
      <c r="D67" s="19" t="n">
        <v>346</v>
      </c>
      <c r="E67" s="18" t="n">
        <v>46.73675913</v>
      </c>
      <c r="F67" s="20" t="n">
        <v>2.50111728</v>
      </c>
      <c r="G67" s="18" t="n">
        <v>52.37964468</v>
      </c>
      <c r="H67" s="20" t="n">
        <v>2.52018132</v>
      </c>
      <c r="I67" s="18" t="s">
        <v>567</v>
      </c>
      <c r="J67" s="20" t="s">
        <v>567</v>
      </c>
      <c r="K67" s="18" t="n">
        <v>0.29417949</v>
      </c>
      <c r="L67" s="20" t="n">
        <v>0.29210707</v>
      </c>
      <c r="M67" s="18" t="n">
        <v>0</v>
      </c>
      <c r="N67" s="20" t="n">
        <v>0</v>
      </c>
      <c r="O67" s="18" t="n">
        <v>0</v>
      </c>
      <c r="P67" s="20" t="n">
        <v>0</v>
      </c>
      <c r="Q67" s="18" t="n">
        <v>0.58941671</v>
      </c>
      <c r="R67" s="20" t="n">
        <v>0.41917523</v>
      </c>
    </row>
    <row r="68" spans="1:18">
      <c r="A68" s="15" t="s">
        <v>628</v>
      </c>
      <c r="B68" s="17" t="n">
        <v>6049</v>
      </c>
      <c r="C68" s="18">
        <f>(5391.0/B68*100)</f>
        <v/>
      </c>
      <c r="D68" s="19" t="n">
        <v>658</v>
      </c>
      <c r="E68" s="18" t="n">
        <v>45.92273128</v>
      </c>
      <c r="F68" s="20" t="n">
        <v>1.76325578</v>
      </c>
      <c r="G68" s="18" t="n">
        <v>45.95649729</v>
      </c>
      <c r="H68" s="20" t="n">
        <v>1.74604043</v>
      </c>
      <c r="I68" s="18" t="s">
        <v>567</v>
      </c>
      <c r="J68" s="20" t="s">
        <v>567</v>
      </c>
      <c r="K68" s="18" t="n">
        <v>3.56432844</v>
      </c>
      <c r="L68" s="20" t="n">
        <v>0.75695268</v>
      </c>
      <c r="M68" s="18" t="n">
        <v>0</v>
      </c>
      <c r="N68" s="20" t="n">
        <v>0</v>
      </c>
      <c r="O68" s="18" t="n">
        <v>0</v>
      </c>
      <c r="P68" s="20" t="n">
        <v>0</v>
      </c>
      <c r="Q68" s="18" t="n">
        <v>4.55644299</v>
      </c>
      <c r="R68" s="20" t="n">
        <v>0.88640851</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(2649.0/B70*100)</f>
        <v/>
      </c>
      <c r="D70" s="19" t="n">
        <v>280</v>
      </c>
      <c r="E70" s="18" t="n">
        <v>48.1898189</v>
      </c>
      <c r="F70" s="20" t="n">
        <v>3.24776087</v>
      </c>
      <c r="G70" s="18" t="n">
        <v>50.6338174</v>
      </c>
      <c r="H70" s="20" t="n">
        <v>3.49667703</v>
      </c>
      <c r="I70" s="18" t="s">
        <v>567</v>
      </c>
      <c r="J70" s="20" t="s">
        <v>567</v>
      </c>
      <c r="K70" s="18" t="n">
        <v>0.23055828</v>
      </c>
      <c r="L70" s="20" t="n">
        <v>0.19609389</v>
      </c>
      <c r="M70" s="18" t="n">
        <v>0</v>
      </c>
      <c r="N70" s="20" t="n">
        <v>0</v>
      </c>
      <c r="O70" s="18" t="n">
        <v>0</v>
      </c>
      <c r="P70" s="20" t="n">
        <v>0</v>
      </c>
      <c r="Q70" s="18" t="n">
        <v>0.94580542</v>
      </c>
      <c r="R70" s="20" t="n">
        <v>1.33946877</v>
      </c>
    </row>
    <row r="71" spans="1:18">
      <c r="A71" s="15" t="s">
        <v>631</v>
      </c>
      <c r="B71" s="17" t="n">
        <v>3142</v>
      </c>
      <c r="C71" s="18">
        <f>(2779.0/B71*100)</f>
        <v/>
      </c>
      <c r="D71" s="19" t="n">
        <v>363</v>
      </c>
      <c r="E71" s="18" t="n">
        <v>40.47681161</v>
      </c>
      <c r="F71" s="20" t="n">
        <v>2.79963705</v>
      </c>
      <c r="G71" s="18" t="n">
        <v>59.28125324</v>
      </c>
      <c r="H71" s="20" t="n">
        <v>2.81411514</v>
      </c>
      <c r="I71" s="18" t="s">
        <v>567</v>
      </c>
      <c r="J71" s="20" t="s">
        <v>567</v>
      </c>
      <c r="K71" s="18" t="n">
        <v>0</v>
      </c>
      <c r="L71" s="20" t="n">
        <v>0</v>
      </c>
      <c r="M71" s="18" t="n">
        <v>0</v>
      </c>
      <c r="N71" s="20" t="n">
        <v>0</v>
      </c>
      <c r="O71" s="18" t="n">
        <v>0</v>
      </c>
      <c r="P71" s="20" t="n">
        <v>0</v>
      </c>
      <c r="Q71" s="18" t="n">
        <v>0.24193515</v>
      </c>
      <c r="R71" s="20" t="n">
        <v>0.24290271</v>
      </c>
    </row>
    <row r="72" spans="1:18">
      <c r="A72" s="15" t="s">
        <v>632</v>
      </c>
      <c r="B72" s="17" t="n">
        <v>3889</v>
      </c>
      <c r="C72" s="18">
        <f>(3449.0/B72*100)</f>
        <v/>
      </c>
      <c r="D72" s="19" t="n">
        <v>440</v>
      </c>
      <c r="E72" s="18" t="n">
        <v>61.33806795</v>
      </c>
      <c r="F72" s="20" t="n">
        <v>2.44722002</v>
      </c>
      <c r="G72" s="18" t="n">
        <v>38.27833216</v>
      </c>
      <c r="H72" s="20" t="n">
        <v>2.45246496</v>
      </c>
      <c r="I72" s="18" t="s">
        <v>567</v>
      </c>
      <c r="J72" s="20" t="s">
        <v>567</v>
      </c>
      <c r="K72" s="18" t="n">
        <v>0</v>
      </c>
      <c r="L72" s="20" t="n">
        <v>0</v>
      </c>
      <c r="M72" s="18" t="n">
        <v>0</v>
      </c>
      <c r="N72" s="20" t="n">
        <v>0</v>
      </c>
      <c r="O72" s="18" t="n">
        <v>0</v>
      </c>
      <c r="P72" s="20" t="n">
        <v>0</v>
      </c>
      <c r="Q72" s="18" t="n">
        <v>0.38359989</v>
      </c>
      <c r="R72" s="20" t="n">
        <v>0.2295245</v>
      </c>
    </row>
    <row r="73" spans="1:18">
      <c r="A73" s="15" t="s">
        <v>633</v>
      </c>
      <c r="B73" s="17" t="n">
        <v>3597</v>
      </c>
      <c r="C73" s="18">
        <f>(3191.0/B73*100)</f>
        <v/>
      </c>
      <c r="D73" s="19" t="n">
        <v>406</v>
      </c>
      <c r="E73" s="18" t="n">
        <v>55.13167628</v>
      </c>
      <c r="F73" s="20" t="n">
        <v>2.18867345</v>
      </c>
      <c r="G73" s="18" t="n">
        <v>44.5042066</v>
      </c>
      <c r="H73" s="20" t="n">
        <v>2.10075805</v>
      </c>
      <c r="I73" s="18" t="s">
        <v>567</v>
      </c>
      <c r="J73" s="20" t="s">
        <v>567</v>
      </c>
      <c r="K73" s="18" t="n">
        <v>0</v>
      </c>
      <c r="L73" s="20" t="n">
        <v>0</v>
      </c>
      <c r="M73" s="18" t="n">
        <v>0</v>
      </c>
      <c r="N73" s="20" t="n">
        <v>0</v>
      </c>
      <c r="O73" s="18" t="n">
        <v>0</v>
      </c>
      <c r="P73" s="20" t="n">
        <v>0</v>
      </c>
      <c r="Q73" s="18" t="n">
        <v>0.36411711</v>
      </c>
      <c r="R73" s="20" t="n">
        <v>0.36406919</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(2175.0/B75*100)</f>
        <v/>
      </c>
      <c r="D75" s="19" t="n">
        <v>231</v>
      </c>
      <c r="E75" s="18" t="n">
        <v>50.43018511</v>
      </c>
      <c r="F75" s="20" t="n">
        <v>2.93742206</v>
      </c>
      <c r="G75" s="18" t="n">
        <v>43.71893875</v>
      </c>
      <c r="H75" s="20" t="n">
        <v>3.29840089</v>
      </c>
      <c r="I75" s="18" t="s">
        <v>567</v>
      </c>
      <c r="J75" s="20" t="s">
        <v>567</v>
      </c>
      <c r="K75" s="18" t="n">
        <v>3.75352245</v>
      </c>
      <c r="L75" s="20" t="n">
        <v>1.12857819</v>
      </c>
      <c r="M75" s="18" t="n">
        <v>0</v>
      </c>
      <c r="N75" s="20" t="n">
        <v>0</v>
      </c>
      <c r="O75" s="18" t="n">
        <v>0</v>
      </c>
      <c r="P75" s="20" t="n">
        <v>0</v>
      </c>
      <c r="Q75" s="18" t="n">
        <v>2.09735368</v>
      </c>
      <c r="R75" s="20" t="n">
        <v>0.91671558</v>
      </c>
    </row>
    <row r="76" spans="1:18">
      <c r="A76" s="15" t="s">
        <v>636</v>
      </c>
      <c r="B76" s="17" t="n">
        <v>7052</v>
      </c>
      <c r="C76" s="18">
        <f>(6277.0/B76*100)</f>
        <v/>
      </c>
      <c r="D76" s="19" t="n">
        <v>775</v>
      </c>
      <c r="E76" s="18" t="n">
        <v>49.15212525</v>
      </c>
      <c r="F76" s="20" t="n">
        <v>1.89249034</v>
      </c>
      <c r="G76" s="18" t="n">
        <v>48.73832494</v>
      </c>
      <c r="H76" s="20" t="n">
        <v>1.88188837</v>
      </c>
      <c r="I76" s="18" t="s">
        <v>567</v>
      </c>
      <c r="J76" s="20" t="s">
        <v>567</v>
      </c>
      <c r="K76" s="18" t="n">
        <v>0.83147534</v>
      </c>
      <c r="L76" s="20" t="n">
        <v>0.45192624</v>
      </c>
      <c r="M76" s="18" t="n">
        <v>0</v>
      </c>
      <c r="N76" s="20" t="n">
        <v>0</v>
      </c>
      <c r="O76" s="18" t="n">
        <v>0</v>
      </c>
      <c r="P76" s="20" t="n">
        <v>0</v>
      </c>
      <c r="Q76" s="18" t="n">
        <v>1.27807446</v>
      </c>
      <c r="R76" s="20" t="n">
        <v>0.40975441</v>
      </c>
    </row>
    <row r="77" spans="1:18">
      <c r="A77" s="15" t="s">
        <v>637</v>
      </c>
      <c r="B77" s="17" t="n">
        <v>2908</v>
      </c>
      <c r="C77" s="18">
        <f>(2612.0/B77*100)</f>
        <v/>
      </c>
      <c r="D77" s="19" t="n">
        <v>296</v>
      </c>
      <c r="E77" s="18" t="n">
        <v>54.07002384</v>
      </c>
      <c r="F77" s="20" t="n">
        <v>2.93587744</v>
      </c>
      <c r="G77" s="18" t="n">
        <v>42.08032094</v>
      </c>
      <c r="H77" s="20" t="n">
        <v>2.87303886</v>
      </c>
      <c r="I77" s="18" t="s">
        <v>567</v>
      </c>
      <c r="J77" s="20" t="s">
        <v>567</v>
      </c>
      <c r="K77" s="18" t="n">
        <v>1.24246041</v>
      </c>
      <c r="L77" s="20" t="n">
        <v>0.86210237</v>
      </c>
      <c r="M77" s="18" t="n">
        <v>0</v>
      </c>
      <c r="N77" s="20" t="n">
        <v>0</v>
      </c>
      <c r="O77" s="18" t="n">
        <v>0</v>
      </c>
      <c r="P77" s="20" t="n">
        <v>0</v>
      </c>
      <c r="Q77" s="18" t="n">
        <v>2.60719481</v>
      </c>
      <c r="R77" s="20" t="n">
        <v>0.96035701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(3712.0/B81*100)</f>
        <v/>
      </c>
      <c r="D81" s="19" t="n">
        <v>451</v>
      </c>
      <c r="E81" s="18" t="n">
        <v>52.14114871</v>
      </c>
      <c r="F81" s="20" t="n">
        <v>2.57819122</v>
      </c>
      <c r="G81" s="18" t="n">
        <v>47.16279765</v>
      </c>
      <c r="H81" s="20" t="n">
        <v>2.57847358</v>
      </c>
      <c r="I81" s="18" t="s">
        <v>567</v>
      </c>
      <c r="J81" s="20" t="s">
        <v>567</v>
      </c>
      <c r="K81" s="18" t="n">
        <v>0.38431303</v>
      </c>
      <c r="L81" s="20" t="n">
        <v>0.26488178</v>
      </c>
      <c r="M81" s="18" t="n">
        <v>0</v>
      </c>
      <c r="N81" s="20" t="n">
        <v>0</v>
      </c>
      <c r="O81" s="18" t="n">
        <v>0</v>
      </c>
      <c r="P81" s="20" t="n">
        <v>0</v>
      </c>
      <c r="Q81" s="18" t="n">
        <v>0.31174061</v>
      </c>
      <c r="R81" s="20" t="n">
        <v>0.32309687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(6565.0/B7*100)</f>
        <v/>
      </c>
      <c r="D7" s="19" t="n">
        <v>802</v>
      </c>
      <c r="E7" s="18" t="n">
        <v>67.70885828999999</v>
      </c>
      <c r="F7" s="20" t="n">
        <v>2.05788385</v>
      </c>
      <c r="G7" s="18" t="n">
        <v>23.11528286</v>
      </c>
      <c r="H7" s="20" t="n">
        <v>1.86793124</v>
      </c>
      <c r="I7" s="18" t="s">
        <v>567</v>
      </c>
      <c r="J7" s="20" t="s">
        <v>567</v>
      </c>
      <c r="K7" s="18" t="n">
        <v>0.50862093</v>
      </c>
      <c r="L7" s="20" t="n">
        <v>0.2358261</v>
      </c>
      <c r="M7" s="18" t="n">
        <v>0.17367554</v>
      </c>
      <c r="N7" s="20" t="n">
        <v>0.15882743</v>
      </c>
      <c r="O7" s="18" t="n">
        <v>0</v>
      </c>
      <c r="P7" s="20" t="n">
        <v>0</v>
      </c>
      <c r="Q7" s="18" t="n">
        <v>8.49356238</v>
      </c>
      <c r="R7" s="20" t="n">
        <v>1.0677257</v>
      </c>
    </row>
    <row r="8" spans="1:18">
      <c r="A8" s="15" t="s">
        <v>568</v>
      </c>
      <c r="B8" s="17" t="n">
        <v>3564</v>
      </c>
      <c r="C8" s="18">
        <f>(3182.0/B8*100)</f>
        <v/>
      </c>
      <c r="D8" s="19" t="n">
        <v>382</v>
      </c>
      <c r="E8" s="18" t="n">
        <v>57.48515879</v>
      </c>
      <c r="F8" s="20" t="n">
        <v>2.66997746</v>
      </c>
      <c r="G8" s="18" t="n">
        <v>27.61627571</v>
      </c>
      <c r="H8" s="20" t="n">
        <v>2.31455037</v>
      </c>
      <c r="I8" s="18" t="s">
        <v>567</v>
      </c>
      <c r="J8" s="20" t="s">
        <v>567</v>
      </c>
      <c r="K8" s="18" t="n">
        <v>0.98051535</v>
      </c>
      <c r="L8" s="20" t="n">
        <v>0.54489709</v>
      </c>
      <c r="M8" s="18" t="n">
        <v>0</v>
      </c>
      <c r="N8" s="20" t="n">
        <v>0</v>
      </c>
      <c r="O8" s="18" t="n">
        <v>0</v>
      </c>
      <c r="P8" s="20" t="n">
        <v>0</v>
      </c>
      <c r="Q8" s="18" t="n">
        <v>13.91805014</v>
      </c>
      <c r="R8" s="20" t="n">
        <v>1.70596054</v>
      </c>
    </row>
    <row r="9" spans="1:18">
      <c r="A9" s="15" t="s">
        <v>569</v>
      </c>
      <c r="B9" s="17" t="n">
        <v>4899</v>
      </c>
      <c r="C9" s="18">
        <f>(4352.0/B9*100)</f>
        <v/>
      </c>
      <c r="D9" s="19" t="n">
        <v>547</v>
      </c>
      <c r="E9" s="18" t="n">
        <v>57.09109323</v>
      </c>
      <c r="F9" s="20" t="n">
        <v>2.31932699</v>
      </c>
      <c r="G9" s="18" t="n">
        <v>33.78578739</v>
      </c>
      <c r="H9" s="20" t="n">
        <v>2.22456207</v>
      </c>
      <c r="I9" s="18" t="s">
        <v>567</v>
      </c>
      <c r="J9" s="20" t="s">
        <v>567</v>
      </c>
      <c r="K9" s="18" t="n">
        <v>0.43584178</v>
      </c>
      <c r="L9" s="20" t="n">
        <v>0.23323815</v>
      </c>
      <c r="M9" s="18" t="n">
        <v>0.18205731</v>
      </c>
      <c r="N9" s="20" t="n">
        <v>0.17740408</v>
      </c>
      <c r="O9" s="18" t="n">
        <v>0</v>
      </c>
      <c r="P9" s="20" t="n">
        <v>0</v>
      </c>
      <c r="Q9" s="18" t="n">
        <v>8.50522029</v>
      </c>
      <c r="R9" s="20" t="n">
        <v>0.9606281</v>
      </c>
    </row>
    <row r="10" spans="1:18">
      <c r="A10" s="15" t="s">
        <v>570</v>
      </c>
      <c r="B10" s="17" t="n">
        <v>10036</v>
      </c>
      <c r="C10" s="18">
        <f>(8914.0/B10*100)</f>
        <v/>
      </c>
      <c r="D10" s="19" t="n">
        <v>1122</v>
      </c>
      <c r="E10" s="18" t="n">
        <v>68.66045665</v>
      </c>
      <c r="F10" s="20" t="n">
        <v>2.0091645</v>
      </c>
      <c r="G10" s="18" t="n">
        <v>27.44404017</v>
      </c>
      <c r="H10" s="20" t="n">
        <v>1.86256684</v>
      </c>
      <c r="I10" s="18" t="s">
        <v>567</v>
      </c>
      <c r="J10" s="20" t="s">
        <v>567</v>
      </c>
      <c r="K10" s="18" t="n">
        <v>0.58667434</v>
      </c>
      <c r="L10" s="20" t="n">
        <v>0.34512051</v>
      </c>
      <c r="M10" s="18" t="n">
        <v>0</v>
      </c>
      <c r="N10" s="20" t="n">
        <v>0</v>
      </c>
      <c r="O10" s="18" t="n">
        <v>0</v>
      </c>
      <c r="P10" s="20" t="n">
        <v>0</v>
      </c>
      <c r="Q10" s="18" t="n">
        <v>3.30882884</v>
      </c>
      <c r="R10" s="20" t="n">
        <v>0.62294714</v>
      </c>
    </row>
    <row r="11" spans="1:18">
      <c r="A11" s="15" t="s">
        <v>571</v>
      </c>
      <c r="B11" s="17" t="n">
        <v>3553</v>
      </c>
      <c r="C11" s="18">
        <f>(3170.0/B11*100)</f>
        <v/>
      </c>
      <c r="D11" s="19" t="n">
        <v>383</v>
      </c>
      <c r="E11" s="18" t="n">
        <v>69.67527188</v>
      </c>
      <c r="F11" s="20" t="n">
        <v>3.01918023</v>
      </c>
      <c r="G11" s="18" t="n">
        <v>16.69305746</v>
      </c>
      <c r="H11" s="20" t="n">
        <v>2.22026407</v>
      </c>
      <c r="I11" s="18" t="s">
        <v>567</v>
      </c>
      <c r="J11" s="20" t="s">
        <v>567</v>
      </c>
      <c r="K11" s="18" t="n">
        <v>0.95838711</v>
      </c>
      <c r="L11" s="20" t="n">
        <v>0.75378908</v>
      </c>
      <c r="M11" s="18" t="n">
        <v>0.03653776</v>
      </c>
      <c r="N11" s="20" t="n">
        <v>0.03687405</v>
      </c>
      <c r="O11" s="18" t="n">
        <v>0</v>
      </c>
      <c r="P11" s="20" t="n">
        <v>0</v>
      </c>
      <c r="Q11" s="18" t="n">
        <v>12.63674579</v>
      </c>
      <c r="R11" s="20" t="n">
        <v>2.15178833</v>
      </c>
    </row>
    <row r="12" spans="1:18">
      <c r="A12" s="15" t="s">
        <v>572</v>
      </c>
      <c r="B12" s="17" t="n">
        <v>3472</v>
      </c>
      <c r="C12" s="18">
        <f>(3084.0/B12*100)</f>
        <v/>
      </c>
      <c r="D12" s="19" t="n">
        <v>388</v>
      </c>
      <c r="E12" s="18" t="n">
        <v>60.32671569</v>
      </c>
      <c r="F12" s="20" t="n">
        <v>2.76434813</v>
      </c>
      <c r="G12" s="18" t="n">
        <v>25.75136702</v>
      </c>
      <c r="H12" s="20" t="n">
        <v>2.24896359</v>
      </c>
      <c r="I12" s="18" t="s">
        <v>567</v>
      </c>
      <c r="J12" s="20" t="s">
        <v>567</v>
      </c>
      <c r="K12" s="18" t="n">
        <v>0.20881778</v>
      </c>
      <c r="L12" s="20" t="n">
        <v>0.28263515</v>
      </c>
      <c r="M12" s="18" t="n">
        <v>0</v>
      </c>
      <c r="N12" s="20" t="n">
        <v>0</v>
      </c>
      <c r="O12" s="18" t="n">
        <v>0</v>
      </c>
      <c r="P12" s="20" t="n">
        <v>0</v>
      </c>
      <c r="Q12" s="18" t="n">
        <v>13.7130995</v>
      </c>
      <c r="R12" s="20" t="n">
        <v>1.90750943</v>
      </c>
    </row>
    <row r="13" spans="1:18">
      <c r="A13" s="15" t="s">
        <v>573</v>
      </c>
      <c r="B13" s="17" t="n">
        <v>3559</v>
      </c>
      <c r="C13" s="18">
        <f>(3233.0/B13*100)</f>
        <v/>
      </c>
      <c r="D13" s="19" t="n">
        <v>326</v>
      </c>
      <c r="E13" s="18" t="n">
        <v>58.73567938</v>
      </c>
      <c r="F13" s="20" t="n">
        <v>3.52368885</v>
      </c>
      <c r="G13" s="18" t="n">
        <v>33.95023698</v>
      </c>
      <c r="H13" s="20" t="n">
        <v>3.21628948</v>
      </c>
      <c r="I13" s="18" t="s">
        <v>567</v>
      </c>
      <c r="J13" s="20" t="s">
        <v>567</v>
      </c>
      <c r="K13" s="18" t="n">
        <v>1.96304395</v>
      </c>
      <c r="L13" s="20" t="n">
        <v>1.05583585</v>
      </c>
      <c r="M13" s="18" t="n">
        <v>0</v>
      </c>
      <c r="N13" s="20" t="n">
        <v>0</v>
      </c>
      <c r="O13" s="18" t="n">
        <v>0</v>
      </c>
      <c r="P13" s="20" t="n">
        <v>0</v>
      </c>
      <c r="Q13" s="18" t="n">
        <v>5.35103969</v>
      </c>
      <c r="R13" s="20" t="n">
        <v>1.21624436</v>
      </c>
    </row>
    <row r="14" spans="1:18">
      <c r="A14" s="15" t="s">
        <v>574</v>
      </c>
      <c r="B14" s="17" t="n">
        <v>2799</v>
      </c>
      <c r="C14" s="18">
        <f>(2464.0/B14*100)</f>
        <v/>
      </c>
      <c r="D14" s="19" t="n">
        <v>335</v>
      </c>
      <c r="E14" s="18" t="n">
        <v>76.3415778</v>
      </c>
      <c r="F14" s="20" t="n">
        <v>2.22262302</v>
      </c>
      <c r="G14" s="18" t="n">
        <v>18.7032129</v>
      </c>
      <c r="H14" s="20" t="n">
        <v>2.2811964</v>
      </c>
      <c r="I14" s="18" t="s">
        <v>567</v>
      </c>
      <c r="J14" s="20" t="s">
        <v>567</v>
      </c>
      <c r="K14" s="18" t="n">
        <v>0.28134752</v>
      </c>
      <c r="L14" s="20" t="n">
        <v>0.28443054</v>
      </c>
      <c r="M14" s="18" t="n">
        <v>0</v>
      </c>
      <c r="N14" s="20" t="n">
        <v>0</v>
      </c>
      <c r="O14" s="18" t="n">
        <v>0</v>
      </c>
      <c r="P14" s="20" t="n">
        <v>0</v>
      </c>
      <c r="Q14" s="18" t="n">
        <v>4.67386178</v>
      </c>
      <c r="R14" s="20" t="n">
        <v>1.3657237</v>
      </c>
    </row>
    <row r="15" spans="1:18">
      <c r="A15" s="15" t="s">
        <v>575</v>
      </c>
      <c r="B15" s="17" t="n">
        <v>3019</v>
      </c>
      <c r="C15" s="18">
        <f>(2690.0/B15*100)</f>
        <v/>
      </c>
      <c r="D15" s="19" t="n">
        <v>329</v>
      </c>
      <c r="E15" s="18" t="n">
        <v>60.64360661</v>
      </c>
      <c r="F15" s="20" t="n">
        <v>3.03008671</v>
      </c>
      <c r="G15" s="18" t="n">
        <v>29.6462118</v>
      </c>
      <c r="H15" s="20" t="n">
        <v>3.08929531</v>
      </c>
      <c r="I15" s="18" t="s">
        <v>567</v>
      </c>
      <c r="J15" s="20" t="s">
        <v>567</v>
      </c>
      <c r="K15" s="18" t="n">
        <v>0.5370463</v>
      </c>
      <c r="L15" s="20" t="n">
        <v>0.38180815</v>
      </c>
      <c r="M15" s="18" t="n">
        <v>0</v>
      </c>
      <c r="N15" s="20" t="n">
        <v>0</v>
      </c>
      <c r="O15" s="18" t="n">
        <v>0</v>
      </c>
      <c r="P15" s="20" t="n">
        <v>0</v>
      </c>
      <c r="Q15" s="18" t="n">
        <v>9.173135289999999</v>
      </c>
      <c r="R15" s="20" t="n">
        <v>1.52438052</v>
      </c>
    </row>
    <row r="16" spans="1:18">
      <c r="A16" s="15" t="s">
        <v>576</v>
      </c>
      <c r="B16" s="17" t="n">
        <v>2997</v>
      </c>
      <c r="C16" s="18">
        <f>(2657.0/B16*100)</f>
        <v/>
      </c>
      <c r="D16" s="19" t="n">
        <v>340</v>
      </c>
      <c r="E16" s="18" t="n">
        <v>50.1615253</v>
      </c>
      <c r="F16" s="20" t="n">
        <v>3.1308102</v>
      </c>
      <c r="G16" s="18" t="n">
        <v>32.66441985</v>
      </c>
      <c r="H16" s="20" t="n">
        <v>2.79521258</v>
      </c>
      <c r="I16" s="18" t="s">
        <v>567</v>
      </c>
      <c r="J16" s="20" t="s">
        <v>567</v>
      </c>
      <c r="K16" s="18" t="n">
        <v>1.95255342</v>
      </c>
      <c r="L16" s="20" t="n">
        <v>0.79446569</v>
      </c>
      <c r="M16" s="18" t="n">
        <v>0</v>
      </c>
      <c r="N16" s="20" t="n">
        <v>0</v>
      </c>
      <c r="O16" s="18" t="n">
        <v>0</v>
      </c>
      <c r="P16" s="20" t="n">
        <v>0</v>
      </c>
      <c r="Q16" s="18" t="n">
        <v>15.22150143</v>
      </c>
      <c r="R16" s="20" t="n">
        <v>2.20651596</v>
      </c>
    </row>
    <row r="17" spans="1:18">
      <c r="A17" s="15" t="s">
        <v>577</v>
      </c>
      <c r="B17" s="17" t="n">
        <v>3307</v>
      </c>
      <c r="C17" s="18">
        <f>(2967.0/B17*100)</f>
        <v/>
      </c>
      <c r="D17" s="19" t="n">
        <v>340</v>
      </c>
      <c r="E17" s="18" t="n">
        <v>53.69155782</v>
      </c>
      <c r="F17" s="20" t="n">
        <v>2.68451056</v>
      </c>
      <c r="G17" s="18" t="n">
        <v>35.56597808</v>
      </c>
      <c r="H17" s="20" t="n">
        <v>2.55373175</v>
      </c>
      <c r="I17" s="18" t="s">
        <v>567</v>
      </c>
      <c r="J17" s="20" t="s">
        <v>567</v>
      </c>
      <c r="K17" s="18" t="n">
        <v>0.75047014</v>
      </c>
      <c r="L17" s="20" t="n">
        <v>0.46354088</v>
      </c>
      <c r="M17" s="18" t="n">
        <v>0</v>
      </c>
      <c r="N17" s="20" t="n">
        <v>0</v>
      </c>
      <c r="O17" s="18" t="n">
        <v>0</v>
      </c>
      <c r="P17" s="20" t="n">
        <v>0</v>
      </c>
      <c r="Q17" s="18" t="n">
        <v>9.99199396</v>
      </c>
      <c r="R17" s="20" t="n">
        <v>1.77964543</v>
      </c>
    </row>
    <row r="18" spans="1:18">
      <c r="A18" s="15" t="s">
        <v>578</v>
      </c>
      <c r="B18" s="17" t="n">
        <v>2826</v>
      </c>
      <c r="C18" s="18">
        <f>(2501.0/B18*100)</f>
        <v/>
      </c>
      <c r="D18" s="19" t="n">
        <v>325</v>
      </c>
      <c r="E18" s="18" t="n">
        <v>57.20603317</v>
      </c>
      <c r="F18" s="20" t="n">
        <v>3.00094597</v>
      </c>
      <c r="G18" s="18" t="n">
        <v>26.98249787</v>
      </c>
      <c r="H18" s="20" t="n">
        <v>2.66267299</v>
      </c>
      <c r="I18" s="18" t="s">
        <v>567</v>
      </c>
      <c r="J18" s="20" t="s">
        <v>567</v>
      </c>
      <c r="K18" s="18" t="n">
        <v>0.16886679</v>
      </c>
      <c r="L18" s="20" t="n">
        <v>0.17362169</v>
      </c>
      <c r="M18" s="18" t="n">
        <v>0</v>
      </c>
      <c r="N18" s="20" t="n">
        <v>0</v>
      </c>
      <c r="O18" s="18" t="n">
        <v>0</v>
      </c>
      <c r="P18" s="20" t="n">
        <v>0</v>
      </c>
      <c r="Q18" s="18" t="n">
        <v>15.64260217</v>
      </c>
      <c r="R18" s="20" t="n">
        <v>2.45918289</v>
      </c>
    </row>
    <row r="19" spans="1:18">
      <c r="A19" s="15" t="s">
        <v>579</v>
      </c>
      <c r="B19" s="17" t="n">
        <v>2808</v>
      </c>
      <c r="C19" s="18">
        <f>(2497.0/B19*100)</f>
        <v/>
      </c>
      <c r="D19" s="19" t="n">
        <v>311</v>
      </c>
      <c r="E19" s="18" t="n">
        <v>47.43297167</v>
      </c>
      <c r="F19" s="20" t="n">
        <v>3.40918047</v>
      </c>
      <c r="G19" s="18" t="n">
        <v>36.0320884</v>
      </c>
      <c r="H19" s="20" t="n">
        <v>3.17542412</v>
      </c>
      <c r="I19" s="18" t="s">
        <v>567</v>
      </c>
      <c r="J19" s="20" t="s">
        <v>567</v>
      </c>
      <c r="K19" s="18" t="n">
        <v>0</v>
      </c>
      <c r="L19" s="20" t="n">
        <v>0</v>
      </c>
      <c r="M19" s="18" t="n">
        <v>0.27367582</v>
      </c>
      <c r="N19" s="20" t="n">
        <v>0.27001121</v>
      </c>
      <c r="O19" s="18" t="n">
        <v>0</v>
      </c>
      <c r="P19" s="20" t="n">
        <v>0</v>
      </c>
      <c r="Q19" s="18" t="n">
        <v>16.26126411</v>
      </c>
      <c r="R19" s="20" t="n">
        <v>2.23993729</v>
      </c>
    </row>
    <row r="20" spans="1:18">
      <c r="A20" s="15" t="s">
        <v>580</v>
      </c>
      <c r="B20" s="17" t="n">
        <v>1630</v>
      </c>
      <c r="C20" s="18">
        <f>(1465.0/B20*100)</f>
        <v/>
      </c>
      <c r="D20" s="19" t="n">
        <v>165</v>
      </c>
      <c r="E20" s="18" t="n">
        <v>59.01016214</v>
      </c>
      <c r="F20" s="20" t="n">
        <v>3.73486552</v>
      </c>
      <c r="G20" s="18" t="n">
        <v>29.49410589</v>
      </c>
      <c r="H20" s="20" t="n">
        <v>3.72865565</v>
      </c>
      <c r="I20" s="18" t="s">
        <v>567</v>
      </c>
      <c r="J20" s="20" t="s">
        <v>567</v>
      </c>
      <c r="K20" s="18" t="n">
        <v>0</v>
      </c>
      <c r="L20" s="20" t="n">
        <v>0</v>
      </c>
      <c r="M20" s="18" t="n">
        <v>0</v>
      </c>
      <c r="N20" s="20" t="n">
        <v>0</v>
      </c>
      <c r="O20" s="18" t="n">
        <v>0</v>
      </c>
      <c r="P20" s="20" t="n">
        <v>0</v>
      </c>
      <c r="Q20" s="18" t="n">
        <v>11.49573197</v>
      </c>
      <c r="R20" s="20" t="n">
        <v>2.07745324</v>
      </c>
    </row>
    <row r="21" spans="1:18">
      <c r="A21" s="15" t="s">
        <v>581</v>
      </c>
      <c r="B21" s="17" t="n">
        <v>2908</v>
      </c>
      <c r="C21" s="18">
        <f>(2576.0/B21*100)</f>
        <v/>
      </c>
      <c r="D21" s="19" t="n">
        <v>332</v>
      </c>
      <c r="E21" s="18" t="n">
        <v>64.23424017000001</v>
      </c>
      <c r="F21" s="20" t="n">
        <v>2.50957092</v>
      </c>
      <c r="G21" s="18" t="n">
        <v>28.72565189</v>
      </c>
      <c r="H21" s="20" t="n">
        <v>2.43821341</v>
      </c>
      <c r="I21" s="18" t="s">
        <v>567</v>
      </c>
      <c r="J21" s="20" t="s">
        <v>567</v>
      </c>
      <c r="K21" s="18" t="n">
        <v>0.35173113</v>
      </c>
      <c r="L21" s="20" t="n">
        <v>0.35566084</v>
      </c>
      <c r="M21" s="18" t="n">
        <v>0</v>
      </c>
      <c r="N21" s="20" t="n">
        <v>0</v>
      </c>
      <c r="O21" s="18" t="n">
        <v>0</v>
      </c>
      <c r="P21" s="20" t="n">
        <v>0</v>
      </c>
      <c r="Q21" s="18" t="n">
        <v>6.68837681</v>
      </c>
      <c r="R21" s="20" t="n">
        <v>1.53192042</v>
      </c>
    </row>
    <row r="22" spans="1:18">
      <c r="A22" s="15" t="s">
        <v>582</v>
      </c>
      <c r="B22" s="17" t="n">
        <v>2931</v>
      </c>
      <c r="C22" s="18">
        <f>(2602.0/B22*100)</f>
        <v/>
      </c>
      <c r="D22" s="19" t="n">
        <v>329</v>
      </c>
      <c r="E22" s="18" t="n">
        <v>65.98167334999999</v>
      </c>
      <c r="F22" s="20" t="n">
        <v>3.49142961</v>
      </c>
      <c r="G22" s="18" t="n">
        <v>14.77835185</v>
      </c>
      <c r="H22" s="20" t="n">
        <v>2.00844261</v>
      </c>
      <c r="I22" s="18" t="s">
        <v>567</v>
      </c>
      <c r="J22" s="20" t="s">
        <v>567</v>
      </c>
      <c r="K22" s="18" t="n">
        <v>1.35855626</v>
      </c>
      <c r="L22" s="20" t="n">
        <v>0.85457174</v>
      </c>
      <c r="M22" s="18" t="n">
        <v>0</v>
      </c>
      <c r="N22" s="20" t="n">
        <v>0</v>
      </c>
      <c r="O22" s="18" t="n">
        <v>0</v>
      </c>
      <c r="P22" s="20" t="n">
        <v>0</v>
      </c>
      <c r="Q22" s="18" t="n">
        <v>17.88141854</v>
      </c>
      <c r="R22" s="20" t="n">
        <v>3.61731494</v>
      </c>
    </row>
    <row r="23" spans="1:18">
      <c r="A23" s="15" t="s">
        <v>583</v>
      </c>
      <c r="B23" s="17" t="n">
        <v>5791</v>
      </c>
      <c r="C23" s="18">
        <f>(5155.0/B23*100)</f>
        <v/>
      </c>
      <c r="D23" s="19" t="n">
        <v>636</v>
      </c>
      <c r="E23" s="18" t="n">
        <v>61.23732988</v>
      </c>
      <c r="F23" s="20" t="n">
        <v>2.98374209</v>
      </c>
      <c r="G23" s="18" t="n">
        <v>24.71685504</v>
      </c>
      <c r="H23" s="20" t="n">
        <v>2.56660783</v>
      </c>
      <c r="I23" s="18" t="s">
        <v>567</v>
      </c>
      <c r="J23" s="20" t="s">
        <v>567</v>
      </c>
      <c r="K23" s="18" t="n">
        <v>0.00923094</v>
      </c>
      <c r="L23" s="20" t="n">
        <v>0.00655958</v>
      </c>
      <c r="M23" s="18" t="n">
        <v>0.20424725</v>
      </c>
      <c r="N23" s="20" t="n">
        <v>0.21233996</v>
      </c>
      <c r="O23" s="18" t="n">
        <v>0</v>
      </c>
      <c r="P23" s="20" t="n">
        <v>0</v>
      </c>
      <c r="Q23" s="18" t="n">
        <v>13.83233689</v>
      </c>
      <c r="R23" s="20" t="n">
        <v>2.35736768</v>
      </c>
    </row>
    <row r="24" spans="1:18">
      <c r="A24" s="15" t="s">
        <v>584</v>
      </c>
      <c r="B24" s="17" t="n">
        <v>3338</v>
      </c>
      <c r="C24" s="18">
        <f>(2977.0/B24*100)</f>
        <v/>
      </c>
      <c r="D24" s="19" t="n">
        <v>361</v>
      </c>
      <c r="E24" s="18" t="n">
        <v>43.52494667</v>
      </c>
      <c r="F24" s="20" t="n">
        <v>2.87199519</v>
      </c>
      <c r="G24" s="18" t="n">
        <v>41.29537542</v>
      </c>
      <c r="H24" s="20" t="n">
        <v>2.76839055</v>
      </c>
      <c r="I24" s="18" t="s">
        <v>567</v>
      </c>
      <c r="J24" s="20" t="s">
        <v>567</v>
      </c>
      <c r="K24" s="18" t="n">
        <v>0.22713138</v>
      </c>
      <c r="L24" s="20" t="n">
        <v>0.22770518</v>
      </c>
      <c r="M24" s="18" t="n">
        <v>0</v>
      </c>
      <c r="N24" s="20" t="n">
        <v>0</v>
      </c>
      <c r="O24" s="18" t="n">
        <v>0</v>
      </c>
      <c r="P24" s="20" t="n">
        <v>0</v>
      </c>
      <c r="Q24" s="18" t="n">
        <v>14.95254654</v>
      </c>
      <c r="R24" s="20" t="n">
        <v>1.91725912</v>
      </c>
    </row>
    <row r="25" spans="1:18">
      <c r="A25" s="15" t="s">
        <v>585</v>
      </c>
      <c r="B25" s="17" t="n">
        <v>2912</v>
      </c>
      <c r="C25" s="18">
        <f>(2607.0/B25*100)</f>
        <v/>
      </c>
      <c r="D25" s="19" t="n">
        <v>305</v>
      </c>
      <c r="E25" s="18" t="n">
        <v>72.22170482</v>
      </c>
      <c r="F25" s="20" t="n">
        <v>2.74302326</v>
      </c>
      <c r="G25" s="18" t="n">
        <v>14.89930771</v>
      </c>
      <c r="H25" s="20" t="n">
        <v>2.0704704</v>
      </c>
      <c r="I25" s="18" t="s">
        <v>567</v>
      </c>
      <c r="J25" s="20" t="s">
        <v>567</v>
      </c>
      <c r="K25" s="18" t="n">
        <v>0.27779048</v>
      </c>
      <c r="L25" s="20" t="n">
        <v>0.28180144</v>
      </c>
      <c r="M25" s="18" t="n">
        <v>0</v>
      </c>
      <c r="N25" s="20" t="n">
        <v>0</v>
      </c>
      <c r="O25" s="18" t="n">
        <v>0</v>
      </c>
      <c r="P25" s="20" t="n">
        <v>0</v>
      </c>
      <c r="Q25" s="18" t="n">
        <v>12.60119699</v>
      </c>
      <c r="R25" s="20" t="n">
        <v>2.08261263</v>
      </c>
    </row>
    <row r="26" spans="1:18">
      <c r="A26" s="15" t="s">
        <v>586</v>
      </c>
      <c r="B26" s="17" t="n">
        <v>2450</v>
      </c>
      <c r="C26" s="18">
        <f>(2179.0/B26*100)</f>
        <v/>
      </c>
      <c r="D26" s="19" t="n">
        <v>271</v>
      </c>
      <c r="E26" s="18" t="n">
        <v>67.73950569</v>
      </c>
      <c r="F26" s="20" t="n">
        <v>3.11723202</v>
      </c>
      <c r="G26" s="18" t="n">
        <v>24.84029778</v>
      </c>
      <c r="H26" s="20" t="n">
        <v>2.86700701</v>
      </c>
      <c r="I26" s="18" t="s">
        <v>567</v>
      </c>
      <c r="J26" s="20" t="s">
        <v>567</v>
      </c>
      <c r="K26" s="18" t="n">
        <v>0</v>
      </c>
      <c r="L26" s="20" t="n">
        <v>0</v>
      </c>
      <c r="M26" s="18" t="n">
        <v>0</v>
      </c>
      <c r="N26" s="20" t="n">
        <v>0</v>
      </c>
      <c r="O26" s="18" t="n">
        <v>0</v>
      </c>
      <c r="P26" s="20" t="n">
        <v>0</v>
      </c>
      <c r="Q26" s="18" t="n">
        <v>7.42019653</v>
      </c>
      <c r="R26" s="20" t="n">
        <v>1.72982574</v>
      </c>
    </row>
    <row r="27" spans="1:18">
      <c r="A27" s="15" t="s">
        <v>587</v>
      </c>
      <c r="B27" s="17" t="n">
        <v>2616</v>
      </c>
      <c r="C27" s="18">
        <f>(2320.0/B27*100)</f>
        <v/>
      </c>
      <c r="D27" s="19" t="n">
        <v>296</v>
      </c>
      <c r="E27" s="18" t="n">
        <v>57.91629315</v>
      </c>
      <c r="F27" s="20" t="n">
        <v>2.68617455</v>
      </c>
      <c r="G27" s="18" t="n">
        <v>28.45204591</v>
      </c>
      <c r="H27" s="20" t="n">
        <v>2.4876185</v>
      </c>
      <c r="I27" s="18" t="s">
        <v>567</v>
      </c>
      <c r="J27" s="20" t="s">
        <v>567</v>
      </c>
      <c r="K27" s="18" t="n">
        <v>0.68848504</v>
      </c>
      <c r="L27" s="20" t="n">
        <v>0.49113091</v>
      </c>
      <c r="M27" s="18" t="n">
        <v>0</v>
      </c>
      <c r="N27" s="20" t="n">
        <v>0</v>
      </c>
      <c r="O27" s="18" t="n">
        <v>0</v>
      </c>
      <c r="P27" s="20" t="n">
        <v>0</v>
      </c>
      <c r="Q27" s="18" t="n">
        <v>12.9431759</v>
      </c>
      <c r="R27" s="20" t="n">
        <v>1.74496667</v>
      </c>
    </row>
    <row r="28" spans="1:18">
      <c r="A28" s="15" t="s">
        <v>588</v>
      </c>
      <c r="B28" s="17" t="n">
        <v>3765</v>
      </c>
      <c r="C28" s="18">
        <f>(3397.0/B28*100)</f>
        <v/>
      </c>
      <c r="D28" s="19" t="n">
        <v>368</v>
      </c>
      <c r="E28" s="18" t="n">
        <v>83.34086837</v>
      </c>
      <c r="F28" s="20" t="n">
        <v>2.03590964</v>
      </c>
      <c r="G28" s="18" t="n">
        <v>11.52932352</v>
      </c>
      <c r="H28" s="20" t="n">
        <v>1.60160932</v>
      </c>
      <c r="I28" s="18" t="s">
        <v>567</v>
      </c>
      <c r="J28" s="20" t="s">
        <v>567</v>
      </c>
      <c r="K28" s="18" t="n">
        <v>0.17287718</v>
      </c>
      <c r="L28" s="20" t="n">
        <v>0.17449192</v>
      </c>
      <c r="M28" s="18" t="n">
        <v>0</v>
      </c>
      <c r="N28" s="20" t="n">
        <v>0</v>
      </c>
      <c r="O28" s="18" t="n">
        <v>0</v>
      </c>
      <c r="P28" s="20" t="n">
        <v>0</v>
      </c>
      <c r="Q28" s="18" t="n">
        <v>4.95693093</v>
      </c>
      <c r="R28" s="20" t="n">
        <v>1.18355522</v>
      </c>
    </row>
    <row r="29" spans="1:18">
      <c r="A29" s="15" t="s">
        <v>589</v>
      </c>
      <c r="B29" s="17" t="n">
        <v>2685</v>
      </c>
      <c r="C29" s="18">
        <f>(2404.0/B29*100)</f>
        <v/>
      </c>
      <c r="D29" s="19" t="n">
        <v>281</v>
      </c>
      <c r="E29" s="18" t="n">
        <v>71.1307551</v>
      </c>
      <c r="F29" s="20" t="n">
        <v>2.66268964</v>
      </c>
      <c r="G29" s="18" t="n">
        <v>24.66649475</v>
      </c>
      <c r="H29" s="20" t="n">
        <v>2.74536447</v>
      </c>
      <c r="I29" s="18" t="s">
        <v>567</v>
      </c>
      <c r="J29" s="20" t="s">
        <v>567</v>
      </c>
      <c r="K29" s="18" t="n">
        <v>0.36807508</v>
      </c>
      <c r="L29" s="20" t="n">
        <v>0.36480756</v>
      </c>
      <c r="M29" s="18" t="n">
        <v>0</v>
      </c>
      <c r="N29" s="20" t="n">
        <v>0</v>
      </c>
      <c r="O29" s="18" t="n">
        <v>0</v>
      </c>
      <c r="P29" s="20" t="n">
        <v>0</v>
      </c>
      <c r="Q29" s="18" t="n">
        <v>3.83467507</v>
      </c>
      <c r="R29" s="20" t="n">
        <v>1.21697182</v>
      </c>
    </row>
    <row r="30" spans="1:18">
      <c r="A30" s="15" t="s">
        <v>590</v>
      </c>
      <c r="B30" s="17" t="n">
        <v>2263</v>
      </c>
      <c r="C30" s="18">
        <f>(2006.0/B30*100)</f>
        <v/>
      </c>
      <c r="D30" s="19" t="n">
        <v>257</v>
      </c>
      <c r="E30" s="18" t="n">
        <v>62.29320275</v>
      </c>
      <c r="F30" s="20" t="n">
        <v>3.08152796</v>
      </c>
      <c r="G30" s="18" t="n">
        <v>24.05335892</v>
      </c>
      <c r="H30" s="20" t="n">
        <v>2.63127991</v>
      </c>
      <c r="I30" s="18" t="s">
        <v>567</v>
      </c>
      <c r="J30" s="20" t="s">
        <v>567</v>
      </c>
      <c r="K30" s="18" t="n">
        <v>0</v>
      </c>
      <c r="L30" s="20" t="n">
        <v>0</v>
      </c>
      <c r="M30" s="18" t="n">
        <v>0</v>
      </c>
      <c r="N30" s="20" t="n">
        <v>0</v>
      </c>
      <c r="O30" s="18" t="n">
        <v>0</v>
      </c>
      <c r="P30" s="20" t="n">
        <v>0</v>
      </c>
      <c r="Q30" s="18" t="n">
        <v>13.65343833</v>
      </c>
      <c r="R30" s="20" t="n">
        <v>2.19833147</v>
      </c>
    </row>
    <row r="31" spans="1:18">
      <c r="A31" s="15" t="s">
        <v>591</v>
      </c>
      <c r="B31" s="17" t="n">
        <v>2750</v>
      </c>
      <c r="C31" s="18">
        <f>(2451.0/B31*100)</f>
        <v/>
      </c>
      <c r="D31" s="19" t="n">
        <v>299</v>
      </c>
      <c r="E31" s="18" t="n">
        <v>66.54657887</v>
      </c>
      <c r="F31" s="20" t="n">
        <v>2.73378741</v>
      </c>
      <c r="G31" s="18" t="n">
        <v>18.49844395</v>
      </c>
      <c r="H31" s="20" t="n">
        <v>2.03543004</v>
      </c>
      <c r="I31" s="18" t="s">
        <v>567</v>
      </c>
      <c r="J31" s="20" t="s">
        <v>567</v>
      </c>
      <c r="K31" s="18" t="n">
        <v>0.28170684</v>
      </c>
      <c r="L31" s="20" t="n">
        <v>0.28362391</v>
      </c>
      <c r="M31" s="18" t="n">
        <v>0</v>
      </c>
      <c r="N31" s="20" t="n">
        <v>0</v>
      </c>
      <c r="O31" s="18" t="n">
        <v>0</v>
      </c>
      <c r="P31" s="20" t="n">
        <v>0</v>
      </c>
      <c r="Q31" s="18" t="n">
        <v>14.67327034</v>
      </c>
      <c r="R31" s="20" t="n">
        <v>2.13860678</v>
      </c>
    </row>
    <row r="32" spans="1:18">
      <c r="A32" s="15" t="s">
        <v>592</v>
      </c>
      <c r="B32" s="17" t="n">
        <v>2269</v>
      </c>
      <c r="C32" s="18">
        <f>(2024.0/B32*100)</f>
        <v/>
      </c>
      <c r="D32" s="19" t="n">
        <v>245</v>
      </c>
      <c r="E32" s="18" t="n">
        <v>61.6901302</v>
      </c>
      <c r="F32" s="20" t="n">
        <v>2.95304618</v>
      </c>
      <c r="G32" s="18" t="n">
        <v>28.55998784</v>
      </c>
      <c r="H32" s="20" t="n">
        <v>3.00824492</v>
      </c>
      <c r="I32" s="18" t="s">
        <v>567</v>
      </c>
      <c r="J32" s="20" t="s">
        <v>567</v>
      </c>
      <c r="K32" s="18" t="n">
        <v>0.36279952</v>
      </c>
      <c r="L32" s="20" t="n">
        <v>0.35441736</v>
      </c>
      <c r="M32" s="18" t="n">
        <v>0</v>
      </c>
      <c r="N32" s="20" t="n">
        <v>0</v>
      </c>
      <c r="O32" s="18" t="n">
        <v>0</v>
      </c>
      <c r="P32" s="20" t="n">
        <v>0</v>
      </c>
      <c r="Q32" s="18" t="n">
        <v>9.38708243</v>
      </c>
      <c r="R32" s="20" t="n">
        <v>1.71640623</v>
      </c>
    </row>
    <row r="33" spans="1:18">
      <c r="A33" s="15" t="s">
        <v>593</v>
      </c>
      <c r="B33" s="17" t="n">
        <v>3674</v>
      </c>
      <c r="C33" s="18">
        <f>(3295.0/B33*100)</f>
        <v/>
      </c>
      <c r="D33" s="19" t="n">
        <v>379</v>
      </c>
      <c r="E33" s="18" t="n">
        <v>59.76127375</v>
      </c>
      <c r="F33" s="20" t="n">
        <v>2.84192022</v>
      </c>
      <c r="G33" s="18" t="n">
        <v>25.90803166</v>
      </c>
      <c r="H33" s="20" t="n">
        <v>2.21634285</v>
      </c>
      <c r="I33" s="18" t="s">
        <v>567</v>
      </c>
      <c r="J33" s="20" t="s">
        <v>567</v>
      </c>
      <c r="K33" s="18" t="n">
        <v>0.44798366</v>
      </c>
      <c r="L33" s="20" t="n">
        <v>0.4675156</v>
      </c>
      <c r="M33" s="18" t="n">
        <v>0</v>
      </c>
      <c r="N33" s="20" t="n">
        <v>0</v>
      </c>
      <c r="O33" s="18" t="n">
        <v>0</v>
      </c>
      <c r="P33" s="20" t="n">
        <v>0</v>
      </c>
      <c r="Q33" s="18" t="n">
        <v>13.88271094</v>
      </c>
      <c r="R33" s="20" t="n">
        <v>2.0424579</v>
      </c>
    </row>
    <row r="34" spans="1:18">
      <c r="A34" s="15" t="s">
        <v>594</v>
      </c>
      <c r="B34" s="17" t="n">
        <v>3315</v>
      </c>
      <c r="C34" s="18">
        <f>(2975.0/B34*100)</f>
        <v/>
      </c>
      <c r="D34" s="19" t="n">
        <v>340</v>
      </c>
      <c r="E34" s="18" t="n">
        <v>65.4914811</v>
      </c>
      <c r="F34" s="20" t="n">
        <v>2.70900076</v>
      </c>
      <c r="G34" s="18" t="n">
        <v>20.24206685</v>
      </c>
      <c r="H34" s="20" t="n">
        <v>2.25090234</v>
      </c>
      <c r="I34" s="18" t="s">
        <v>567</v>
      </c>
      <c r="J34" s="20" t="s">
        <v>567</v>
      </c>
      <c r="K34" s="18" t="n">
        <v>0.44730684</v>
      </c>
      <c r="L34" s="20" t="n">
        <v>0.45116788</v>
      </c>
      <c r="M34" s="18" t="n">
        <v>0.2460099</v>
      </c>
      <c r="N34" s="20" t="n">
        <v>0.24325068</v>
      </c>
      <c r="O34" s="18" t="n">
        <v>0</v>
      </c>
      <c r="P34" s="20" t="n">
        <v>0</v>
      </c>
      <c r="Q34" s="18" t="n">
        <v>13.5731353</v>
      </c>
      <c r="R34" s="20" t="n">
        <v>1.95703341</v>
      </c>
    </row>
    <row r="35" spans="1:18">
      <c r="A35" s="15" t="s">
        <v>595</v>
      </c>
      <c r="B35" s="17" t="n">
        <v>3505</v>
      </c>
      <c r="C35" s="18">
        <f>(3121.0/B35*100)</f>
        <v/>
      </c>
      <c r="D35" s="19" t="n">
        <v>384</v>
      </c>
      <c r="E35" s="18" t="n">
        <v>56.41925909</v>
      </c>
      <c r="F35" s="20" t="n">
        <v>3.02090368</v>
      </c>
      <c r="G35" s="18" t="n">
        <v>30.03387116</v>
      </c>
      <c r="H35" s="20" t="n">
        <v>2.79624175</v>
      </c>
      <c r="I35" s="18" t="s">
        <v>567</v>
      </c>
      <c r="J35" s="20" t="s">
        <v>567</v>
      </c>
      <c r="K35" s="18" t="n">
        <v>0</v>
      </c>
      <c r="L35" s="20" t="n">
        <v>0</v>
      </c>
      <c r="M35" s="18" t="n">
        <v>0.59528256</v>
      </c>
      <c r="N35" s="20" t="n">
        <v>0.47914293</v>
      </c>
      <c r="O35" s="18" t="n">
        <v>0</v>
      </c>
      <c r="P35" s="20" t="n">
        <v>0</v>
      </c>
      <c r="Q35" s="18" t="n">
        <v>12.95158718</v>
      </c>
      <c r="R35" s="20" t="n">
        <v>2.03343409</v>
      </c>
    </row>
    <row r="36" spans="1:18">
      <c r="A36" s="15" t="s">
        <v>596</v>
      </c>
      <c r="B36" s="17" t="n">
        <v>3332</v>
      </c>
      <c r="C36" s="18">
        <f>(2956.0/B36*100)</f>
        <v/>
      </c>
      <c r="D36" s="19" t="n">
        <v>376</v>
      </c>
      <c r="E36" s="18" t="n">
        <v>68.57752091</v>
      </c>
      <c r="F36" s="20" t="n">
        <v>2.44089199</v>
      </c>
      <c r="G36" s="18" t="n">
        <v>18.25727789</v>
      </c>
      <c r="H36" s="20" t="n">
        <v>1.99220237</v>
      </c>
      <c r="I36" s="18" t="s">
        <v>567</v>
      </c>
      <c r="J36" s="20" t="s">
        <v>567</v>
      </c>
      <c r="K36" s="18" t="n">
        <v>0.48947539</v>
      </c>
      <c r="L36" s="20" t="n">
        <v>0.3230615</v>
      </c>
      <c r="M36" s="18" t="n">
        <v>0</v>
      </c>
      <c r="N36" s="20" t="n">
        <v>0</v>
      </c>
      <c r="O36" s="18" t="n">
        <v>0</v>
      </c>
      <c r="P36" s="20" t="n">
        <v>0</v>
      </c>
      <c r="Q36" s="18" t="n">
        <v>12.67572581</v>
      </c>
      <c r="R36" s="20" t="n">
        <v>1.87265178</v>
      </c>
    </row>
    <row r="37" spans="1:18">
      <c r="A37" s="15" t="s">
        <v>597</v>
      </c>
      <c r="B37" s="17" t="n">
        <v>2727</v>
      </c>
      <c r="C37" s="18">
        <f>(2423.0/B37*100)</f>
        <v/>
      </c>
      <c r="D37" s="19" t="n">
        <v>304</v>
      </c>
      <c r="E37" s="18" t="n">
        <v>59.66415622</v>
      </c>
      <c r="F37" s="20" t="n">
        <v>3.02447318</v>
      </c>
      <c r="G37" s="18" t="n">
        <v>21.33797265</v>
      </c>
      <c r="H37" s="20" t="n">
        <v>2.50349627</v>
      </c>
      <c r="I37" s="18" t="s">
        <v>567</v>
      </c>
      <c r="J37" s="20" t="s">
        <v>567</v>
      </c>
      <c r="K37" s="18" t="n">
        <v>0</v>
      </c>
      <c r="L37" s="20" t="n">
        <v>0</v>
      </c>
      <c r="M37" s="18" t="n">
        <v>0</v>
      </c>
      <c r="N37" s="20" t="n">
        <v>0</v>
      </c>
      <c r="O37" s="18" t="n">
        <v>0</v>
      </c>
      <c r="P37" s="20" t="n">
        <v>0</v>
      </c>
      <c r="Q37" s="18" t="n">
        <v>18.99787114</v>
      </c>
      <c r="R37" s="20" t="n">
        <v>2.50016029</v>
      </c>
    </row>
    <row r="38" spans="1:18">
      <c r="A38" s="15" t="s">
        <v>598</v>
      </c>
      <c r="B38" s="17" t="n">
        <v>3053</v>
      </c>
      <c r="C38" s="18">
        <f>(2725.0/B38*100)</f>
        <v/>
      </c>
      <c r="D38" s="19" t="n">
        <v>328</v>
      </c>
      <c r="E38" s="18" t="n">
        <v>57.45442794</v>
      </c>
      <c r="F38" s="20" t="n">
        <v>3.32438115</v>
      </c>
      <c r="G38" s="18" t="n">
        <v>26.24402285</v>
      </c>
      <c r="H38" s="20" t="n">
        <v>2.7884671</v>
      </c>
      <c r="I38" s="18" t="s">
        <v>567</v>
      </c>
      <c r="J38" s="20" t="s">
        <v>567</v>
      </c>
      <c r="K38" s="18" t="n">
        <v>0.80423615</v>
      </c>
      <c r="L38" s="20" t="n">
        <v>0.535541</v>
      </c>
      <c r="M38" s="18" t="n">
        <v>2.03222536</v>
      </c>
      <c r="N38" s="20" t="n">
        <v>0.8209717600000001</v>
      </c>
      <c r="O38" s="18" t="n">
        <v>0</v>
      </c>
      <c r="P38" s="20" t="n">
        <v>0</v>
      </c>
      <c r="Q38" s="18" t="n">
        <v>13.4650877</v>
      </c>
      <c r="R38" s="20" t="n">
        <v>2.01966388</v>
      </c>
    </row>
    <row r="39" spans="1:18">
      <c r="A39" s="15" t="s">
        <v>599</v>
      </c>
      <c r="B39" s="17" t="n">
        <v>2957</v>
      </c>
      <c r="C39" s="18">
        <f>(2625.0/B39*100)</f>
        <v/>
      </c>
      <c r="D39" s="19" t="n">
        <v>332</v>
      </c>
      <c r="E39" s="18" t="n">
        <v>63.90168271</v>
      </c>
      <c r="F39" s="20" t="n">
        <v>2.83122244</v>
      </c>
      <c r="G39" s="18" t="n">
        <v>24.02069331</v>
      </c>
      <c r="H39" s="20" t="n">
        <v>2.03868508</v>
      </c>
      <c r="I39" s="18" t="s">
        <v>567</v>
      </c>
      <c r="J39" s="20" t="s">
        <v>567</v>
      </c>
      <c r="K39" s="18" t="n">
        <v>0.21337635</v>
      </c>
      <c r="L39" s="20" t="n">
        <v>0.22128933</v>
      </c>
      <c r="M39" s="18" t="n">
        <v>0</v>
      </c>
      <c r="N39" s="20" t="n">
        <v>0</v>
      </c>
      <c r="O39" s="18" t="n">
        <v>0</v>
      </c>
      <c r="P39" s="20" t="n">
        <v>0</v>
      </c>
      <c r="Q39" s="18" t="n">
        <v>11.86424763</v>
      </c>
      <c r="R39" s="20" t="n">
        <v>2.52588879</v>
      </c>
    </row>
    <row r="40" spans="1:18">
      <c r="A40" s="15" t="s">
        <v>600</v>
      </c>
      <c r="B40" s="17" t="n">
        <v>7235</v>
      </c>
      <c r="C40" s="18">
        <f>(6392.0/B40*100)</f>
        <v/>
      </c>
      <c r="D40" s="19" t="n">
        <v>843</v>
      </c>
      <c r="E40" s="18" t="n">
        <v>69.15867249</v>
      </c>
      <c r="F40" s="20" t="n">
        <v>2.66815043</v>
      </c>
      <c r="G40" s="18" t="n">
        <v>22.52482216</v>
      </c>
      <c r="H40" s="20" t="n">
        <v>2.5711176</v>
      </c>
      <c r="I40" s="18" t="s">
        <v>567</v>
      </c>
      <c r="J40" s="20" t="s">
        <v>567</v>
      </c>
      <c r="K40" s="18" t="n">
        <v>0.41208154</v>
      </c>
      <c r="L40" s="20" t="n">
        <v>0.23785463</v>
      </c>
      <c r="M40" s="18" t="n">
        <v>0.09695094999999999</v>
      </c>
      <c r="N40" s="20" t="n">
        <v>0.09172118</v>
      </c>
      <c r="O40" s="18" t="n">
        <v>0</v>
      </c>
      <c r="P40" s="20" t="n">
        <v>0</v>
      </c>
      <c r="Q40" s="18" t="n">
        <v>7.80747286</v>
      </c>
      <c r="R40" s="20" t="n">
        <v>1.29280999</v>
      </c>
    </row>
    <row r="41" spans="1:18">
      <c r="A41" s="15" t="s">
        <v>601</v>
      </c>
      <c r="B41" s="17" t="n">
        <v>2858</v>
      </c>
      <c r="C41" s="18">
        <f>(2532.0/B41*100)</f>
        <v/>
      </c>
      <c r="D41" s="19" t="n">
        <v>326</v>
      </c>
      <c r="E41" s="18" t="n">
        <v>76.89997562000001</v>
      </c>
      <c r="F41" s="20" t="n">
        <v>2.47304844</v>
      </c>
      <c r="G41" s="18" t="n">
        <v>18.89024776</v>
      </c>
      <c r="H41" s="20" t="n">
        <v>2.31043034</v>
      </c>
      <c r="I41" s="18" t="s">
        <v>567</v>
      </c>
      <c r="J41" s="20" t="s">
        <v>567</v>
      </c>
      <c r="K41" s="18" t="n">
        <v>0.29470197</v>
      </c>
      <c r="L41" s="20" t="n">
        <v>0.31066466</v>
      </c>
      <c r="M41" s="18" t="n">
        <v>0</v>
      </c>
      <c r="N41" s="20" t="n">
        <v>0</v>
      </c>
      <c r="O41" s="18" t="n">
        <v>0</v>
      </c>
      <c r="P41" s="20" t="n">
        <v>0</v>
      </c>
      <c r="Q41" s="18" t="n">
        <v>3.91507465</v>
      </c>
      <c r="R41" s="20" t="n">
        <v>1.16571777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(10122.0/B46*100)</f>
        <v/>
      </c>
      <c r="D46" s="19" t="n">
        <v>946</v>
      </c>
      <c r="E46" s="18" t="n">
        <v>59.56556255</v>
      </c>
      <c r="F46" s="20" t="n">
        <v>2.46389468</v>
      </c>
      <c r="G46" s="18" t="n">
        <v>8.994021010000001</v>
      </c>
      <c r="H46" s="20" t="n">
        <v>1.34010955</v>
      </c>
      <c r="I46" s="18" t="s">
        <v>567</v>
      </c>
      <c r="J46" s="20" t="s">
        <v>567</v>
      </c>
      <c r="K46" s="18" t="n">
        <v>1.16254274</v>
      </c>
      <c r="L46" s="20" t="n">
        <v>0.56172039</v>
      </c>
      <c r="M46" s="18" t="n">
        <v>0.71297422</v>
      </c>
      <c r="N46" s="20" t="n">
        <v>0.35158833</v>
      </c>
      <c r="O46" s="18" t="n">
        <v>0</v>
      </c>
      <c r="P46" s="20" t="n">
        <v>0</v>
      </c>
      <c r="Q46" s="18" t="n">
        <v>29.56489948</v>
      </c>
      <c r="R46" s="20" t="n">
        <v>2.27190415</v>
      </c>
    </row>
    <row r="47" spans="1:18">
      <c r="A47" s="15" t="s">
        <v>607</v>
      </c>
      <c r="B47" s="17" t="n">
        <v>3105</v>
      </c>
      <c r="C47" s="18">
        <f>(2762.0/B47*100)</f>
        <v/>
      </c>
      <c r="D47" s="19" t="n">
        <v>343</v>
      </c>
      <c r="E47" s="18" t="n">
        <v>62.62958243</v>
      </c>
      <c r="F47" s="20" t="n">
        <v>3.13493474</v>
      </c>
      <c r="G47" s="18" t="n">
        <v>12.42581654</v>
      </c>
      <c r="H47" s="20" t="n">
        <v>1.90112991</v>
      </c>
      <c r="I47" s="18" t="s">
        <v>567</v>
      </c>
      <c r="J47" s="20" t="s">
        <v>567</v>
      </c>
      <c r="K47" s="18" t="n">
        <v>0.28634904</v>
      </c>
      <c r="L47" s="20" t="n">
        <v>0.2032145</v>
      </c>
      <c r="M47" s="18" t="n">
        <v>0</v>
      </c>
      <c r="N47" s="20" t="n">
        <v>0</v>
      </c>
      <c r="O47" s="18" t="n">
        <v>0</v>
      </c>
      <c r="P47" s="20" t="n">
        <v>0</v>
      </c>
      <c r="Q47" s="18" t="n">
        <v>24.65825199</v>
      </c>
      <c r="R47" s="20" t="n">
        <v>2.66584136</v>
      </c>
    </row>
    <row r="48" spans="1:18">
      <c r="A48" s="15" t="s">
        <v>608</v>
      </c>
      <c r="B48" s="17" t="n">
        <v>5159</v>
      </c>
      <c r="C48" s="18">
        <f>(4609.0/B48*100)</f>
        <v/>
      </c>
      <c r="D48" s="19" t="n">
        <v>550</v>
      </c>
      <c r="E48" s="18" t="n">
        <v>36.11150112</v>
      </c>
      <c r="F48" s="20" t="n">
        <v>2.56844264</v>
      </c>
      <c r="G48" s="18" t="n">
        <v>51.90192096</v>
      </c>
      <c r="H48" s="20" t="n">
        <v>2.73068837</v>
      </c>
      <c r="I48" s="18" t="s">
        <v>567</v>
      </c>
      <c r="J48" s="20" t="s">
        <v>567</v>
      </c>
      <c r="K48" s="18" t="n">
        <v>0.66146805</v>
      </c>
      <c r="L48" s="20" t="n">
        <v>0.46863771</v>
      </c>
      <c r="M48" s="18" t="n">
        <v>0</v>
      </c>
      <c r="N48" s="20" t="n">
        <v>0</v>
      </c>
      <c r="O48" s="18" t="n">
        <v>0</v>
      </c>
      <c r="P48" s="20" t="n">
        <v>0</v>
      </c>
      <c r="Q48" s="18" t="n">
        <v>11.32510987</v>
      </c>
      <c r="R48" s="20" t="n">
        <v>1.71722746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(5039.0/B50*100)</f>
        <v/>
      </c>
      <c r="D50" s="19" t="n">
        <v>598</v>
      </c>
      <c r="E50" s="18" t="n">
        <v>77.44223841</v>
      </c>
      <c r="F50" s="20" t="n">
        <v>2.67981673</v>
      </c>
      <c r="G50" s="18" t="n">
        <v>10.7842852</v>
      </c>
      <c r="H50" s="20" t="n">
        <v>1.67141715</v>
      </c>
      <c r="I50" s="18" t="s">
        <v>567</v>
      </c>
      <c r="J50" s="20" t="s">
        <v>567</v>
      </c>
      <c r="K50" s="18" t="n">
        <v>1.00065239</v>
      </c>
      <c r="L50" s="20" t="n">
        <v>0.49867536</v>
      </c>
      <c r="M50" s="18" t="n">
        <v>0.11031128</v>
      </c>
      <c r="N50" s="20" t="n">
        <v>0.11049751</v>
      </c>
      <c r="O50" s="18" t="n">
        <v>0</v>
      </c>
      <c r="P50" s="20" t="n">
        <v>0</v>
      </c>
      <c r="Q50" s="18" t="n">
        <v>10.66251272</v>
      </c>
      <c r="R50" s="20" t="n">
        <v>2.17023816</v>
      </c>
    </row>
    <row r="51" spans="1:18">
      <c r="A51" s="15" t="s">
        <v>611</v>
      </c>
      <c r="B51" s="17" t="n">
        <v>3372</v>
      </c>
      <c r="C51" s="18">
        <f>(3044.0/B51*100)</f>
        <v/>
      </c>
      <c r="D51" s="19" t="n">
        <v>328</v>
      </c>
      <c r="E51" s="18" t="n">
        <v>69.14470897</v>
      </c>
      <c r="F51" s="20" t="n">
        <v>2.6820246</v>
      </c>
      <c r="G51" s="18" t="n">
        <v>20.60360314</v>
      </c>
      <c r="H51" s="20" t="n">
        <v>2.33448819</v>
      </c>
      <c r="I51" s="18" t="s">
        <v>567</v>
      </c>
      <c r="J51" s="20" t="s">
        <v>567</v>
      </c>
      <c r="K51" s="18" t="n">
        <v>1.09895979</v>
      </c>
      <c r="L51" s="20" t="n">
        <v>0.76729152</v>
      </c>
      <c r="M51" s="18" t="n">
        <v>0</v>
      </c>
      <c r="N51" s="20" t="n">
        <v>0</v>
      </c>
      <c r="O51" s="18" t="n">
        <v>0</v>
      </c>
      <c r="P51" s="20" t="n">
        <v>0</v>
      </c>
      <c r="Q51" s="18" t="n">
        <v>9.152728099999999</v>
      </c>
      <c r="R51" s="20" t="n">
        <v>1.92442233</v>
      </c>
    </row>
    <row r="52" spans="1:18">
      <c r="A52" s="15" t="s">
        <v>612</v>
      </c>
      <c r="B52" s="17" t="n">
        <v>2796</v>
      </c>
      <c r="C52" s="18">
        <f>(2516.0/B52*100)</f>
        <v/>
      </c>
      <c r="D52" s="19" t="n">
        <v>280</v>
      </c>
      <c r="E52" s="18" t="n">
        <v>63.49449915</v>
      </c>
      <c r="F52" s="20" t="n">
        <v>2.88958819</v>
      </c>
      <c r="G52" s="18" t="n">
        <v>24.64715855</v>
      </c>
      <c r="H52" s="20" t="n">
        <v>2.76291328</v>
      </c>
      <c r="I52" s="18" t="s">
        <v>567</v>
      </c>
      <c r="J52" s="20" t="s">
        <v>567</v>
      </c>
      <c r="K52" s="18" t="n">
        <v>0</v>
      </c>
      <c r="L52" s="20" t="n">
        <v>0</v>
      </c>
      <c r="M52" s="18" t="n">
        <v>0</v>
      </c>
      <c r="N52" s="20" t="n">
        <v>0</v>
      </c>
      <c r="O52" s="18" t="n">
        <v>0</v>
      </c>
      <c r="P52" s="20" t="n">
        <v>0</v>
      </c>
      <c r="Q52" s="18" t="n">
        <v>11.8583423</v>
      </c>
      <c r="R52" s="20" t="n">
        <v>1.79497284</v>
      </c>
    </row>
    <row r="53" spans="1:18">
      <c r="A53" s="15" t="s">
        <v>613</v>
      </c>
      <c r="B53" s="17" t="n">
        <v>2811</v>
      </c>
      <c r="C53" s="18">
        <f>(2522.0/B53*100)</f>
        <v/>
      </c>
      <c r="D53" s="19" t="n">
        <v>289</v>
      </c>
      <c r="E53" s="18" t="n">
        <v>62.04707276</v>
      </c>
      <c r="F53" s="20" t="n">
        <v>2.91605344</v>
      </c>
      <c r="G53" s="18" t="n">
        <v>14.99412805</v>
      </c>
      <c r="H53" s="20" t="n">
        <v>2.40992429</v>
      </c>
      <c r="I53" s="18" t="s">
        <v>567</v>
      </c>
      <c r="J53" s="20" t="s">
        <v>567</v>
      </c>
      <c r="K53" s="18" t="n">
        <v>0.2313773</v>
      </c>
      <c r="L53" s="20" t="n">
        <v>0.23389356</v>
      </c>
      <c r="M53" s="18" t="n">
        <v>0</v>
      </c>
      <c r="N53" s="20" t="n">
        <v>0</v>
      </c>
      <c r="O53" s="18" t="n">
        <v>0</v>
      </c>
      <c r="P53" s="20" t="n">
        <v>0</v>
      </c>
      <c r="Q53" s="18" t="n">
        <v>22.72742189</v>
      </c>
      <c r="R53" s="20" t="n">
        <v>2.89903009</v>
      </c>
    </row>
    <row r="54" spans="1:18">
      <c r="A54" s="15" t="s">
        <v>614</v>
      </c>
      <c r="B54" s="17" t="n">
        <v>2266</v>
      </c>
      <c r="C54" s="18">
        <f>(2016.0/B54*100)</f>
        <v/>
      </c>
      <c r="D54" s="19" t="n">
        <v>250</v>
      </c>
      <c r="E54" s="18" t="n">
        <v>65.01979817</v>
      </c>
      <c r="F54" s="20" t="n">
        <v>3.4593638</v>
      </c>
      <c r="G54" s="18" t="n">
        <v>3.68745836</v>
      </c>
      <c r="H54" s="20" t="n">
        <v>1.18279702</v>
      </c>
      <c r="I54" s="18" t="s">
        <v>567</v>
      </c>
      <c r="J54" s="20" t="s">
        <v>567</v>
      </c>
      <c r="K54" s="18" t="n">
        <v>10.71764042</v>
      </c>
      <c r="L54" s="20" t="n">
        <v>2.26915308</v>
      </c>
      <c r="M54" s="18" t="n">
        <v>0.39911725</v>
      </c>
      <c r="N54" s="20" t="n">
        <v>0.38098596</v>
      </c>
      <c r="O54" s="18" t="n">
        <v>0</v>
      </c>
      <c r="P54" s="20" t="n">
        <v>0</v>
      </c>
      <c r="Q54" s="18" t="n">
        <v>20.1759858</v>
      </c>
      <c r="R54" s="20" t="n">
        <v>3.0236729</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(2392.0/B56*100)</f>
        <v/>
      </c>
      <c r="D56" s="19" t="n">
        <v>292</v>
      </c>
      <c r="E56" s="18" t="n">
        <v>44.29212329</v>
      </c>
      <c r="F56" s="20" t="n">
        <v>2.89709923</v>
      </c>
      <c r="G56" s="18" t="n">
        <v>45.93576635</v>
      </c>
      <c r="H56" s="20" t="n">
        <v>2.64588049</v>
      </c>
      <c r="I56" s="18" t="s">
        <v>567</v>
      </c>
      <c r="J56" s="20" t="s">
        <v>567</v>
      </c>
      <c r="K56" s="18" t="n">
        <v>0</v>
      </c>
      <c r="L56" s="20" t="n">
        <v>0</v>
      </c>
      <c r="M56" s="18" t="n">
        <v>0</v>
      </c>
      <c r="N56" s="20" t="n">
        <v>0</v>
      </c>
      <c r="O56" s="18" t="n">
        <v>0</v>
      </c>
      <c r="P56" s="20" t="n">
        <v>0</v>
      </c>
      <c r="Q56" s="18" t="n">
        <v>9.77211035</v>
      </c>
      <c r="R56" s="20" t="n">
        <v>2.13685239</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(2995.0/B61*100)</f>
        <v/>
      </c>
      <c r="D61" s="19" t="n">
        <v>329</v>
      </c>
      <c r="E61" s="18" t="n">
        <v>66.75330221999999</v>
      </c>
      <c r="F61" s="20" t="n">
        <v>2.82890127</v>
      </c>
      <c r="G61" s="18" t="n">
        <v>16.26667501</v>
      </c>
      <c r="H61" s="20" t="n">
        <v>2.45827668</v>
      </c>
      <c r="I61" s="18" t="s">
        <v>567</v>
      </c>
      <c r="J61" s="20" t="s">
        <v>567</v>
      </c>
      <c r="K61" s="18" t="n">
        <v>0.43153567</v>
      </c>
      <c r="L61" s="20" t="n">
        <v>0.45049778</v>
      </c>
      <c r="M61" s="18" t="n">
        <v>0</v>
      </c>
      <c r="N61" s="20" t="n">
        <v>0</v>
      </c>
      <c r="O61" s="18" t="n">
        <v>0</v>
      </c>
      <c r="P61" s="20" t="n">
        <v>0</v>
      </c>
      <c r="Q61" s="18" t="n">
        <v>16.5484871</v>
      </c>
      <c r="R61" s="20" t="n">
        <v>2.09944479</v>
      </c>
    </row>
    <row r="62" spans="1:18">
      <c r="A62" s="15" t="s">
        <v>622</v>
      </c>
      <c r="B62" s="17" t="n">
        <v>2246</v>
      </c>
      <c r="C62" s="18">
        <f>(1996.0/B62*100)</f>
        <v/>
      </c>
      <c r="D62" s="19" t="n">
        <v>250</v>
      </c>
      <c r="E62" s="18" t="n">
        <v>66.4671998</v>
      </c>
      <c r="F62" s="20" t="n">
        <v>2.72334695</v>
      </c>
      <c r="G62" s="18" t="n">
        <v>28.73859655</v>
      </c>
      <c r="H62" s="20" t="n">
        <v>2.54208365</v>
      </c>
      <c r="I62" s="18" t="s">
        <v>567</v>
      </c>
      <c r="J62" s="20" t="s">
        <v>567</v>
      </c>
      <c r="K62" s="18" t="n">
        <v>0</v>
      </c>
      <c r="L62" s="20" t="n">
        <v>0</v>
      </c>
      <c r="M62" s="18" t="n">
        <v>0</v>
      </c>
      <c r="N62" s="20" t="n">
        <v>0</v>
      </c>
      <c r="O62" s="18" t="n">
        <v>0</v>
      </c>
      <c r="P62" s="20" t="n">
        <v>0</v>
      </c>
      <c r="Q62" s="18" t="n">
        <v>4.79420365</v>
      </c>
      <c r="R62" s="20" t="n">
        <v>1.24622287</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(2604.0/B66*100)</f>
        <v/>
      </c>
      <c r="D66" s="19" t="n">
        <v>290</v>
      </c>
      <c r="E66" s="18" t="n">
        <v>64.02382054</v>
      </c>
      <c r="F66" s="20" t="n">
        <v>2.89168678</v>
      </c>
      <c r="G66" s="18" t="n">
        <v>6.0535718</v>
      </c>
      <c r="H66" s="20" t="n">
        <v>1.20325719</v>
      </c>
      <c r="I66" s="18" t="s">
        <v>567</v>
      </c>
      <c r="J66" s="20" t="s">
        <v>567</v>
      </c>
      <c r="K66" s="18" t="n">
        <v>0</v>
      </c>
      <c r="L66" s="20" t="n">
        <v>0</v>
      </c>
      <c r="M66" s="18" t="n">
        <v>0</v>
      </c>
      <c r="N66" s="20" t="n">
        <v>0</v>
      </c>
      <c r="O66" s="18" t="n">
        <v>0</v>
      </c>
      <c r="P66" s="20" t="n">
        <v>0</v>
      </c>
      <c r="Q66" s="18" t="n">
        <v>29.92260765</v>
      </c>
      <c r="R66" s="20" t="n">
        <v>2.5632824</v>
      </c>
    </row>
    <row r="67" spans="1:18">
      <c r="A67" s="15" t="s">
        <v>627</v>
      </c>
      <c r="B67" s="17" t="n">
        <v>3511</v>
      </c>
      <c r="C67" s="18">
        <f>(3168.0/B67*100)</f>
        <v/>
      </c>
      <c r="D67" s="19" t="n">
        <v>343</v>
      </c>
      <c r="E67" s="18" t="n">
        <v>66.90098942</v>
      </c>
      <c r="F67" s="20" t="n">
        <v>2.38406763</v>
      </c>
      <c r="G67" s="18" t="n">
        <v>20.03268006</v>
      </c>
      <c r="H67" s="20" t="n">
        <v>2.20626764</v>
      </c>
      <c r="I67" s="18" t="s">
        <v>567</v>
      </c>
      <c r="J67" s="20" t="s">
        <v>567</v>
      </c>
      <c r="K67" s="18" t="n">
        <v>0.29673875</v>
      </c>
      <c r="L67" s="20" t="n">
        <v>0.29462759</v>
      </c>
      <c r="M67" s="18" t="n">
        <v>0.5482675</v>
      </c>
      <c r="N67" s="20" t="n">
        <v>0.39916685</v>
      </c>
      <c r="O67" s="18" t="n">
        <v>0</v>
      </c>
      <c r="P67" s="20" t="n">
        <v>0</v>
      </c>
      <c r="Q67" s="18" t="n">
        <v>12.22132427</v>
      </c>
      <c r="R67" s="20" t="n">
        <v>1.73339572</v>
      </c>
    </row>
    <row r="68" spans="1:18">
      <c r="A68" s="15" t="s">
        <v>628</v>
      </c>
      <c r="B68" s="17" t="n">
        <v>6049</v>
      </c>
      <c r="C68" s="18">
        <f>(5390.0/B68*100)</f>
        <v/>
      </c>
      <c r="D68" s="19" t="n">
        <v>659</v>
      </c>
      <c r="E68" s="18" t="n">
        <v>56.05668587</v>
      </c>
      <c r="F68" s="20" t="n">
        <v>1.92186567</v>
      </c>
      <c r="G68" s="18" t="n">
        <v>15.29405502</v>
      </c>
      <c r="H68" s="20" t="n">
        <v>1.26492763</v>
      </c>
      <c r="I68" s="18" t="s">
        <v>567</v>
      </c>
      <c r="J68" s="20" t="s">
        <v>567</v>
      </c>
      <c r="K68" s="18" t="n">
        <v>4.75294874</v>
      </c>
      <c r="L68" s="20" t="n">
        <v>0.89122428</v>
      </c>
      <c r="M68" s="18" t="n">
        <v>0.15193237</v>
      </c>
      <c r="N68" s="20" t="n">
        <v>0.15170845</v>
      </c>
      <c r="O68" s="18" t="n">
        <v>0</v>
      </c>
      <c r="P68" s="20" t="n">
        <v>0</v>
      </c>
      <c r="Q68" s="18" t="n">
        <v>23.74437799</v>
      </c>
      <c r="R68" s="20" t="n">
        <v>1.61905689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(2652.0/B70*100)</f>
        <v/>
      </c>
      <c r="D70" s="19" t="n">
        <v>277</v>
      </c>
      <c r="E70" s="18" t="n">
        <v>54.74361645</v>
      </c>
      <c r="F70" s="20" t="n">
        <v>3.81620405</v>
      </c>
      <c r="G70" s="18" t="n">
        <v>30.94243787</v>
      </c>
      <c r="H70" s="20" t="n">
        <v>3.07734951</v>
      </c>
      <c r="I70" s="18" t="s">
        <v>567</v>
      </c>
      <c r="J70" s="20" t="s">
        <v>567</v>
      </c>
      <c r="K70" s="18" t="n">
        <v>0.23263042</v>
      </c>
      <c r="L70" s="20" t="n">
        <v>0.19790171</v>
      </c>
      <c r="M70" s="18" t="n">
        <v>0</v>
      </c>
      <c r="N70" s="20" t="n">
        <v>0</v>
      </c>
      <c r="O70" s="18" t="n">
        <v>0</v>
      </c>
      <c r="P70" s="20" t="n">
        <v>0</v>
      </c>
      <c r="Q70" s="18" t="n">
        <v>14.08131526</v>
      </c>
      <c r="R70" s="20" t="n">
        <v>2.16463854</v>
      </c>
    </row>
    <row r="71" spans="1:18">
      <c r="A71" s="15" t="s">
        <v>631</v>
      </c>
      <c r="B71" s="17" t="n">
        <v>3142</v>
      </c>
      <c r="C71" s="18">
        <f>(2780.0/B71*100)</f>
        <v/>
      </c>
      <c r="D71" s="19" t="n">
        <v>362</v>
      </c>
      <c r="E71" s="18" t="n">
        <v>62.14453494</v>
      </c>
      <c r="F71" s="20" t="n">
        <v>2.48038898</v>
      </c>
      <c r="G71" s="18" t="n">
        <v>32.09449583</v>
      </c>
      <c r="H71" s="20" t="n">
        <v>2.29757151</v>
      </c>
      <c r="I71" s="18" t="s">
        <v>567</v>
      </c>
      <c r="J71" s="20" t="s">
        <v>567</v>
      </c>
      <c r="K71" s="18" t="n">
        <v>0</v>
      </c>
      <c r="L71" s="20" t="n">
        <v>0</v>
      </c>
      <c r="M71" s="18" t="n">
        <v>0.1672037</v>
      </c>
      <c r="N71" s="20" t="n">
        <v>0.16730854</v>
      </c>
      <c r="O71" s="18" t="n">
        <v>0</v>
      </c>
      <c r="P71" s="20" t="n">
        <v>0</v>
      </c>
      <c r="Q71" s="18" t="n">
        <v>5.59376553</v>
      </c>
      <c r="R71" s="20" t="n">
        <v>1.25525134</v>
      </c>
    </row>
    <row r="72" spans="1:18">
      <c r="A72" s="15" t="s">
        <v>632</v>
      </c>
      <c r="B72" s="17" t="n">
        <v>3889</v>
      </c>
      <c r="C72" s="18">
        <f>(3449.0/B72*100)</f>
        <v/>
      </c>
      <c r="D72" s="19" t="n">
        <v>440</v>
      </c>
      <c r="E72" s="18" t="n">
        <v>61.71801969</v>
      </c>
      <c r="F72" s="20" t="n">
        <v>2.05525597</v>
      </c>
      <c r="G72" s="18" t="n">
        <v>29.30930953</v>
      </c>
      <c r="H72" s="20" t="n">
        <v>1.94768972</v>
      </c>
      <c r="I72" s="18" t="s">
        <v>567</v>
      </c>
      <c r="J72" s="20" t="s">
        <v>567</v>
      </c>
      <c r="K72" s="18" t="n">
        <v>0</v>
      </c>
      <c r="L72" s="20" t="n">
        <v>0</v>
      </c>
      <c r="M72" s="18" t="n">
        <v>0</v>
      </c>
      <c r="N72" s="20" t="n">
        <v>0</v>
      </c>
      <c r="O72" s="18" t="n">
        <v>0</v>
      </c>
      <c r="P72" s="20" t="n">
        <v>0</v>
      </c>
      <c r="Q72" s="18" t="n">
        <v>8.97267078</v>
      </c>
      <c r="R72" s="20" t="n">
        <v>1.38241176</v>
      </c>
    </row>
    <row r="73" spans="1:18">
      <c r="A73" s="15" t="s">
        <v>633</v>
      </c>
      <c r="B73" s="17" t="n">
        <v>3597</v>
      </c>
      <c r="C73" s="18">
        <f>(3196.0/B73*100)</f>
        <v/>
      </c>
      <c r="D73" s="19" t="n">
        <v>401</v>
      </c>
      <c r="E73" s="18" t="n">
        <v>89.90507676</v>
      </c>
      <c r="F73" s="20" t="n">
        <v>1.51169148</v>
      </c>
      <c r="G73" s="18" t="n">
        <v>5.26297799</v>
      </c>
      <c r="H73" s="20" t="n">
        <v>1.05942778</v>
      </c>
      <c r="I73" s="18" t="s">
        <v>567</v>
      </c>
      <c r="J73" s="20" t="s">
        <v>567</v>
      </c>
      <c r="K73" s="18" t="n">
        <v>0</v>
      </c>
      <c r="L73" s="20" t="n">
        <v>0</v>
      </c>
      <c r="M73" s="18" t="n">
        <v>0.40211031</v>
      </c>
      <c r="N73" s="20" t="n">
        <v>0.37977506</v>
      </c>
      <c r="O73" s="18" t="n">
        <v>0</v>
      </c>
      <c r="P73" s="20" t="n">
        <v>0</v>
      </c>
      <c r="Q73" s="18" t="n">
        <v>4.42983494</v>
      </c>
      <c r="R73" s="20" t="n">
        <v>1.32376856</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(2176.0/B75*100)</f>
        <v/>
      </c>
      <c r="D75" s="19" t="n">
        <v>230</v>
      </c>
      <c r="E75" s="18" t="n">
        <v>57.66482643</v>
      </c>
      <c r="F75" s="20" t="n">
        <v>3.56514679</v>
      </c>
      <c r="G75" s="18" t="n">
        <v>9.897188659999999</v>
      </c>
      <c r="H75" s="20" t="n">
        <v>1.97381758</v>
      </c>
      <c r="I75" s="18" t="s">
        <v>567</v>
      </c>
      <c r="J75" s="20" t="s">
        <v>567</v>
      </c>
      <c r="K75" s="18" t="n">
        <v>3.77041652</v>
      </c>
      <c r="L75" s="20" t="n">
        <v>1.13338641</v>
      </c>
      <c r="M75" s="18" t="n">
        <v>0</v>
      </c>
      <c r="N75" s="20" t="n">
        <v>0</v>
      </c>
      <c r="O75" s="18" t="n">
        <v>0</v>
      </c>
      <c r="P75" s="20" t="n">
        <v>0</v>
      </c>
      <c r="Q75" s="18" t="n">
        <v>28.66756839</v>
      </c>
      <c r="R75" s="20" t="n">
        <v>3.24692457</v>
      </c>
    </row>
    <row r="76" spans="1:18">
      <c r="A76" s="15" t="s">
        <v>636</v>
      </c>
      <c r="B76" s="17" t="n">
        <v>7052</v>
      </c>
      <c r="C76" s="18">
        <f>(6276.0/B76*100)</f>
        <v/>
      </c>
      <c r="D76" s="19" t="n">
        <v>776</v>
      </c>
      <c r="E76" s="18" t="n">
        <v>68.5847144</v>
      </c>
      <c r="F76" s="20" t="n">
        <v>2.11600869</v>
      </c>
      <c r="G76" s="18" t="n">
        <v>13.00133017</v>
      </c>
      <c r="H76" s="20" t="n">
        <v>1.59772063</v>
      </c>
      <c r="I76" s="18" t="s">
        <v>567</v>
      </c>
      <c r="J76" s="20" t="s">
        <v>567</v>
      </c>
      <c r="K76" s="18" t="n">
        <v>0.9092924999999999</v>
      </c>
      <c r="L76" s="20" t="n">
        <v>0.45775525</v>
      </c>
      <c r="M76" s="18" t="n">
        <v>0.04261456</v>
      </c>
      <c r="N76" s="20" t="n">
        <v>0.04273857</v>
      </c>
      <c r="O76" s="18" t="n">
        <v>0</v>
      </c>
      <c r="P76" s="20" t="n">
        <v>0</v>
      </c>
      <c r="Q76" s="18" t="n">
        <v>17.46204836</v>
      </c>
      <c r="R76" s="20" t="n">
        <v>1.48476027</v>
      </c>
    </row>
    <row r="77" spans="1:18">
      <c r="A77" s="15" t="s">
        <v>637</v>
      </c>
      <c r="B77" s="17" t="n">
        <v>2908</v>
      </c>
      <c r="C77" s="18">
        <f>(2614.0/B77*100)</f>
        <v/>
      </c>
      <c r="D77" s="19" t="n">
        <v>294</v>
      </c>
      <c r="E77" s="18" t="n">
        <v>54.28461978</v>
      </c>
      <c r="F77" s="20" t="n">
        <v>3.43250337</v>
      </c>
      <c r="G77" s="18" t="n">
        <v>12.73096678</v>
      </c>
      <c r="H77" s="20" t="n">
        <v>2.09264139</v>
      </c>
      <c r="I77" s="18" t="s">
        <v>567</v>
      </c>
      <c r="J77" s="20" t="s">
        <v>567</v>
      </c>
      <c r="K77" s="18" t="n">
        <v>2.00823104</v>
      </c>
      <c r="L77" s="20" t="n">
        <v>1.00778452</v>
      </c>
      <c r="M77" s="18" t="n">
        <v>0</v>
      </c>
      <c r="N77" s="20" t="n">
        <v>0</v>
      </c>
      <c r="O77" s="18" t="n">
        <v>0</v>
      </c>
      <c r="P77" s="20" t="n">
        <v>0</v>
      </c>
      <c r="Q77" s="18" t="n">
        <v>30.97618241</v>
      </c>
      <c r="R77" s="20" t="n">
        <v>2.75943375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(3713.0/B81*100)</f>
        <v/>
      </c>
      <c r="D81" s="19" t="n">
        <v>450</v>
      </c>
      <c r="E81" s="18" t="n">
        <v>86.49098755999999</v>
      </c>
      <c r="F81" s="20" t="n">
        <v>1.97789153</v>
      </c>
      <c r="G81" s="18" t="n">
        <v>7.22393817</v>
      </c>
      <c r="H81" s="20" t="n">
        <v>1.29193377</v>
      </c>
      <c r="I81" s="18" t="s">
        <v>567</v>
      </c>
      <c r="J81" s="20" t="s">
        <v>567</v>
      </c>
      <c r="K81" s="18" t="n">
        <v>0.3852737</v>
      </c>
      <c r="L81" s="20" t="n">
        <v>0.26554711</v>
      </c>
      <c r="M81" s="18" t="n">
        <v>0</v>
      </c>
      <c r="N81" s="20" t="n">
        <v>0</v>
      </c>
      <c r="O81" s="18" t="n">
        <v>0</v>
      </c>
      <c r="P81" s="20" t="n">
        <v>0</v>
      </c>
      <c r="Q81" s="18" t="n">
        <v>5.89980057</v>
      </c>
      <c r="R81" s="20" t="n">
        <v>1.58817451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(6576.0/B7*100)</f>
        <v/>
      </c>
      <c r="D7" s="19" t="n">
        <v>791</v>
      </c>
      <c r="E7" s="18" t="n">
        <v>78.32103203</v>
      </c>
      <c r="F7" s="20" t="n">
        <v>2.02951002</v>
      </c>
      <c r="G7" s="18" t="n">
        <v>20.09085689</v>
      </c>
      <c r="H7" s="20" t="n">
        <v>2.02022423</v>
      </c>
      <c r="I7" s="18" t="s">
        <v>567</v>
      </c>
      <c r="J7" s="20" t="s">
        <v>567</v>
      </c>
      <c r="K7" s="18" t="n">
        <v>0.51443573</v>
      </c>
      <c r="L7" s="20" t="n">
        <v>0.23853687</v>
      </c>
      <c r="M7" s="18" t="n">
        <v>0</v>
      </c>
      <c r="N7" s="20" t="n">
        <v>0</v>
      </c>
      <c r="O7" s="18" t="n">
        <v>0</v>
      </c>
      <c r="P7" s="20" t="n">
        <v>0</v>
      </c>
      <c r="Q7" s="18" t="n">
        <v>1.07367535</v>
      </c>
      <c r="R7" s="20" t="n">
        <v>0.41080575</v>
      </c>
    </row>
    <row r="8" spans="1:18">
      <c r="A8" s="15" t="s">
        <v>568</v>
      </c>
      <c r="B8" s="17" t="n">
        <v>3564</v>
      </c>
      <c r="C8" s="18">
        <f>(3183.0/B8*100)</f>
        <v/>
      </c>
      <c r="D8" s="19" t="n">
        <v>381</v>
      </c>
      <c r="E8" s="18" t="n">
        <v>81.54962583</v>
      </c>
      <c r="F8" s="20" t="n">
        <v>1.9810269</v>
      </c>
      <c r="G8" s="18" t="n">
        <v>16.60732242</v>
      </c>
      <c r="H8" s="20" t="n">
        <v>1.9947426</v>
      </c>
      <c r="I8" s="18" t="s">
        <v>567</v>
      </c>
      <c r="J8" s="20" t="s">
        <v>567</v>
      </c>
      <c r="K8" s="18" t="n">
        <v>0.98200185</v>
      </c>
      <c r="L8" s="20" t="n">
        <v>0.54572636</v>
      </c>
      <c r="M8" s="18" t="n">
        <v>0</v>
      </c>
      <c r="N8" s="20" t="n">
        <v>0</v>
      </c>
      <c r="O8" s="18" t="n">
        <v>0</v>
      </c>
      <c r="P8" s="20" t="n">
        <v>0</v>
      </c>
      <c r="Q8" s="18" t="n">
        <v>0.8610499</v>
      </c>
      <c r="R8" s="20" t="n">
        <v>0.44918841</v>
      </c>
    </row>
    <row r="9" spans="1:18">
      <c r="A9" s="15" t="s">
        <v>569</v>
      </c>
      <c r="B9" s="17" t="n">
        <v>4899</v>
      </c>
      <c r="C9" s="18">
        <f>(4352.0/B9*100)</f>
        <v/>
      </c>
      <c r="D9" s="19" t="n">
        <v>547</v>
      </c>
      <c r="E9" s="18" t="n">
        <v>84.55365811999999</v>
      </c>
      <c r="F9" s="20" t="n">
        <v>1.72211291</v>
      </c>
      <c r="G9" s="18" t="n">
        <v>14.38914958</v>
      </c>
      <c r="H9" s="20" t="n">
        <v>1.67429984</v>
      </c>
      <c r="I9" s="18" t="s">
        <v>567</v>
      </c>
      <c r="J9" s="20" t="s">
        <v>567</v>
      </c>
      <c r="K9" s="18" t="n">
        <v>0.43584178</v>
      </c>
      <c r="L9" s="20" t="n">
        <v>0.23323815</v>
      </c>
      <c r="M9" s="18" t="n">
        <v>0</v>
      </c>
      <c r="N9" s="20" t="n">
        <v>0</v>
      </c>
      <c r="O9" s="18" t="n">
        <v>0</v>
      </c>
      <c r="P9" s="20" t="n">
        <v>0</v>
      </c>
      <c r="Q9" s="18" t="n">
        <v>0.62135051</v>
      </c>
      <c r="R9" s="20" t="n">
        <v>0.32660426</v>
      </c>
    </row>
    <row r="10" spans="1:18">
      <c r="A10" s="15" t="s">
        <v>570</v>
      </c>
      <c r="B10" s="17" t="n">
        <v>10036</v>
      </c>
      <c r="C10" s="18">
        <f>(8915.0/B10*100)</f>
        <v/>
      </c>
      <c r="D10" s="19" t="n">
        <v>1121</v>
      </c>
      <c r="E10" s="18" t="n">
        <v>81.10767477</v>
      </c>
      <c r="F10" s="20" t="n">
        <v>1.58970584</v>
      </c>
      <c r="G10" s="18" t="n">
        <v>18.08234474</v>
      </c>
      <c r="H10" s="20" t="n">
        <v>1.53850592</v>
      </c>
      <c r="I10" s="18" t="s">
        <v>567</v>
      </c>
      <c r="J10" s="20" t="s">
        <v>567</v>
      </c>
      <c r="K10" s="18" t="n">
        <v>0.6176812</v>
      </c>
      <c r="L10" s="20" t="n">
        <v>0.3464291</v>
      </c>
      <c r="M10" s="18" t="n">
        <v>0</v>
      </c>
      <c r="N10" s="20" t="n">
        <v>0</v>
      </c>
      <c r="O10" s="18" t="n">
        <v>0</v>
      </c>
      <c r="P10" s="20" t="n">
        <v>0</v>
      </c>
      <c r="Q10" s="18" t="n">
        <v>0.19229929</v>
      </c>
      <c r="R10" s="20" t="n">
        <v>0.09602027</v>
      </c>
    </row>
    <row r="11" spans="1:18">
      <c r="A11" s="15" t="s">
        <v>571</v>
      </c>
      <c r="B11" s="17" t="n">
        <v>3553</v>
      </c>
      <c r="C11" s="18">
        <f>(3174.0/B11*100)</f>
        <v/>
      </c>
      <c r="D11" s="19" t="n">
        <v>379</v>
      </c>
      <c r="E11" s="18" t="n">
        <v>85.05040571000001</v>
      </c>
      <c r="F11" s="20" t="n">
        <v>1.90964989</v>
      </c>
      <c r="G11" s="18" t="n">
        <v>13.51925998</v>
      </c>
      <c r="H11" s="20" t="n">
        <v>1.79839872</v>
      </c>
      <c r="I11" s="18" t="s">
        <v>567</v>
      </c>
      <c r="J11" s="20" t="s">
        <v>567</v>
      </c>
      <c r="K11" s="18" t="n">
        <v>0.9678537</v>
      </c>
      <c r="L11" s="20" t="n">
        <v>0.76105337</v>
      </c>
      <c r="M11" s="18" t="n">
        <v>0</v>
      </c>
      <c r="N11" s="20" t="n">
        <v>0</v>
      </c>
      <c r="O11" s="18" t="n">
        <v>0</v>
      </c>
      <c r="P11" s="20" t="n">
        <v>0</v>
      </c>
      <c r="Q11" s="18" t="n">
        <v>0.46248061</v>
      </c>
      <c r="R11" s="20" t="n">
        <v>0.3546878</v>
      </c>
    </row>
    <row r="12" spans="1:18">
      <c r="A12" s="15" t="s">
        <v>572</v>
      </c>
      <c r="B12" s="17" t="n">
        <v>3472</v>
      </c>
      <c r="C12" s="18">
        <f>(3085.0/B12*100)</f>
        <v/>
      </c>
      <c r="D12" s="19" t="n">
        <v>387</v>
      </c>
      <c r="E12" s="18" t="n">
        <v>77.33942067</v>
      </c>
      <c r="F12" s="20" t="n">
        <v>2.29461017</v>
      </c>
      <c r="G12" s="18" t="n">
        <v>21.69098102</v>
      </c>
      <c r="H12" s="20" t="n">
        <v>2.25410334</v>
      </c>
      <c r="I12" s="18" t="s">
        <v>567</v>
      </c>
      <c r="J12" s="20" t="s">
        <v>567</v>
      </c>
      <c r="K12" s="18" t="n">
        <v>0.20905205</v>
      </c>
      <c r="L12" s="20" t="n">
        <v>0.28295567</v>
      </c>
      <c r="M12" s="18" t="n">
        <v>0</v>
      </c>
      <c r="N12" s="20" t="n">
        <v>0</v>
      </c>
      <c r="O12" s="18" t="n">
        <v>0</v>
      </c>
      <c r="P12" s="20" t="n">
        <v>0</v>
      </c>
      <c r="Q12" s="18" t="n">
        <v>0.76054625</v>
      </c>
      <c r="R12" s="20" t="n">
        <v>0.67934085</v>
      </c>
    </row>
    <row r="13" spans="1:18">
      <c r="A13" s="15" t="s">
        <v>573</v>
      </c>
      <c r="B13" s="17" t="n">
        <v>3559</v>
      </c>
      <c r="C13" s="18">
        <f>(3233.0/B13*100)</f>
        <v/>
      </c>
      <c r="D13" s="19" t="n">
        <v>326</v>
      </c>
      <c r="E13" s="18" t="n">
        <v>75.80622178</v>
      </c>
      <c r="F13" s="20" t="n">
        <v>2.94459289</v>
      </c>
      <c r="G13" s="18" t="n">
        <v>20.5092434</v>
      </c>
      <c r="H13" s="20" t="n">
        <v>2.56807353</v>
      </c>
      <c r="I13" s="18" t="s">
        <v>567</v>
      </c>
      <c r="J13" s="20" t="s">
        <v>567</v>
      </c>
      <c r="K13" s="18" t="n">
        <v>1.96304395</v>
      </c>
      <c r="L13" s="20" t="n">
        <v>1.05583585</v>
      </c>
      <c r="M13" s="18" t="n">
        <v>0</v>
      </c>
      <c r="N13" s="20" t="n">
        <v>0</v>
      </c>
      <c r="O13" s="18" t="n">
        <v>0</v>
      </c>
      <c r="P13" s="20" t="n">
        <v>0</v>
      </c>
      <c r="Q13" s="18" t="n">
        <v>1.72149087</v>
      </c>
      <c r="R13" s="20" t="n">
        <v>0.86990782</v>
      </c>
    </row>
    <row r="14" spans="1:18">
      <c r="A14" s="15" t="s">
        <v>574</v>
      </c>
      <c r="B14" s="17" t="n">
        <v>2799</v>
      </c>
      <c r="C14" s="18">
        <f>(2468.0/B14*100)</f>
        <v/>
      </c>
      <c r="D14" s="19" t="n">
        <v>331</v>
      </c>
      <c r="E14" s="18" t="n">
        <v>77.40239637000001</v>
      </c>
      <c r="F14" s="20" t="n">
        <v>2.16011195</v>
      </c>
      <c r="G14" s="18" t="n">
        <v>21.86527303</v>
      </c>
      <c r="H14" s="20" t="n">
        <v>2.1367066</v>
      </c>
      <c r="I14" s="18" t="s">
        <v>567</v>
      </c>
      <c r="J14" s="20" t="s">
        <v>567</v>
      </c>
      <c r="K14" s="18" t="n">
        <v>0.50825072</v>
      </c>
      <c r="L14" s="20" t="n">
        <v>0.365243</v>
      </c>
      <c r="M14" s="18" t="n">
        <v>0</v>
      </c>
      <c r="N14" s="20" t="n">
        <v>0</v>
      </c>
      <c r="O14" s="18" t="n">
        <v>0</v>
      </c>
      <c r="P14" s="20" t="n">
        <v>0</v>
      </c>
      <c r="Q14" s="18" t="n">
        <v>0.22407988</v>
      </c>
      <c r="R14" s="20" t="n">
        <v>0.22449214</v>
      </c>
    </row>
    <row r="15" spans="1:18">
      <c r="A15" s="15" t="s">
        <v>575</v>
      </c>
      <c r="B15" s="17" t="n">
        <v>3019</v>
      </c>
      <c r="C15" s="18">
        <f>(2690.0/B15*100)</f>
        <v/>
      </c>
      <c r="D15" s="19" t="n">
        <v>329</v>
      </c>
      <c r="E15" s="18" t="n">
        <v>75.86409607</v>
      </c>
      <c r="F15" s="20" t="n">
        <v>2.39058919</v>
      </c>
      <c r="G15" s="18" t="n">
        <v>22.7258261</v>
      </c>
      <c r="H15" s="20" t="n">
        <v>2.3932253</v>
      </c>
      <c r="I15" s="18" t="s">
        <v>567</v>
      </c>
      <c r="J15" s="20" t="s">
        <v>567</v>
      </c>
      <c r="K15" s="18" t="n">
        <v>0.83619409</v>
      </c>
      <c r="L15" s="20" t="n">
        <v>0.4841962</v>
      </c>
      <c r="M15" s="18" t="n">
        <v>0</v>
      </c>
      <c r="N15" s="20" t="n">
        <v>0</v>
      </c>
      <c r="O15" s="18" t="n">
        <v>0</v>
      </c>
      <c r="P15" s="20" t="n">
        <v>0</v>
      </c>
      <c r="Q15" s="18" t="n">
        <v>0.57388375</v>
      </c>
      <c r="R15" s="20" t="n">
        <v>0.43530596</v>
      </c>
    </row>
    <row r="16" spans="1:18">
      <c r="A16" s="15" t="s">
        <v>576</v>
      </c>
      <c r="B16" s="17" t="n">
        <v>2997</v>
      </c>
      <c r="C16" s="18">
        <f>(2658.0/B16*100)</f>
        <v/>
      </c>
      <c r="D16" s="19" t="n">
        <v>339</v>
      </c>
      <c r="E16" s="18" t="n">
        <v>83.89325044</v>
      </c>
      <c r="F16" s="20" t="n">
        <v>2.05338315</v>
      </c>
      <c r="G16" s="18" t="n">
        <v>13.19585317</v>
      </c>
      <c r="H16" s="20" t="n">
        <v>1.75745572</v>
      </c>
      <c r="I16" s="18" t="s">
        <v>567</v>
      </c>
      <c r="J16" s="20" t="s">
        <v>567</v>
      </c>
      <c r="K16" s="18" t="n">
        <v>1.95753999</v>
      </c>
      <c r="L16" s="20" t="n">
        <v>0.7965430999999999</v>
      </c>
      <c r="M16" s="18" t="n">
        <v>0</v>
      </c>
      <c r="N16" s="20" t="n">
        <v>0</v>
      </c>
      <c r="O16" s="18" t="n">
        <v>0</v>
      </c>
      <c r="P16" s="20" t="n">
        <v>0</v>
      </c>
      <c r="Q16" s="18" t="n">
        <v>0.9533564</v>
      </c>
      <c r="R16" s="20" t="n">
        <v>0.5254604</v>
      </c>
    </row>
    <row r="17" spans="1:18">
      <c r="A17" s="15" t="s">
        <v>577</v>
      </c>
      <c r="B17" s="17" t="n">
        <v>3307</v>
      </c>
      <c r="C17" s="18">
        <f>(2969.0/B17*100)</f>
        <v/>
      </c>
      <c r="D17" s="19" t="n">
        <v>338</v>
      </c>
      <c r="E17" s="18" t="n">
        <v>77.87358976</v>
      </c>
      <c r="F17" s="20" t="n">
        <v>2.18546717</v>
      </c>
      <c r="G17" s="18" t="n">
        <v>20.91373243</v>
      </c>
      <c r="H17" s="20" t="n">
        <v>2.20058041</v>
      </c>
      <c r="I17" s="18" t="s">
        <v>567</v>
      </c>
      <c r="J17" s="20" t="s">
        <v>567</v>
      </c>
      <c r="K17" s="18" t="n">
        <v>0.7547309</v>
      </c>
      <c r="L17" s="20" t="n">
        <v>0.46611804</v>
      </c>
      <c r="M17" s="18" t="n">
        <v>0</v>
      </c>
      <c r="N17" s="20" t="n">
        <v>0</v>
      </c>
      <c r="O17" s="18" t="n">
        <v>0</v>
      </c>
      <c r="P17" s="20" t="n">
        <v>0</v>
      </c>
      <c r="Q17" s="18" t="n">
        <v>0.45794692</v>
      </c>
      <c r="R17" s="20" t="n">
        <v>0.32534285</v>
      </c>
    </row>
    <row r="18" spans="1:18">
      <c r="A18" s="15" t="s">
        <v>578</v>
      </c>
      <c r="B18" s="17" t="n">
        <v>2826</v>
      </c>
      <c r="C18" s="18">
        <f>(2501.0/B18*100)</f>
        <v/>
      </c>
      <c r="D18" s="19" t="n">
        <v>325</v>
      </c>
      <c r="E18" s="18" t="n">
        <v>88.07450651000001</v>
      </c>
      <c r="F18" s="20" t="n">
        <v>2.07813149</v>
      </c>
      <c r="G18" s="18" t="n">
        <v>9.617442499999999</v>
      </c>
      <c r="H18" s="20" t="n">
        <v>1.80839321</v>
      </c>
      <c r="I18" s="18" t="s">
        <v>567</v>
      </c>
      <c r="J18" s="20" t="s">
        <v>567</v>
      </c>
      <c r="K18" s="18" t="n">
        <v>0.45038823</v>
      </c>
      <c r="L18" s="20" t="n">
        <v>0.33329876</v>
      </c>
      <c r="M18" s="18" t="n">
        <v>0</v>
      </c>
      <c r="N18" s="20" t="n">
        <v>0</v>
      </c>
      <c r="O18" s="18" t="n">
        <v>0</v>
      </c>
      <c r="P18" s="20" t="n">
        <v>0</v>
      </c>
      <c r="Q18" s="18" t="n">
        <v>1.85766275</v>
      </c>
      <c r="R18" s="20" t="n">
        <v>1.0438196</v>
      </c>
    </row>
    <row r="19" spans="1:18">
      <c r="A19" s="15" t="s">
        <v>579</v>
      </c>
      <c r="B19" s="17" t="n">
        <v>2808</v>
      </c>
      <c r="C19" s="18">
        <f>(2498.0/B19*100)</f>
        <v/>
      </c>
      <c r="D19" s="19" t="n">
        <v>310</v>
      </c>
      <c r="E19" s="18" t="n">
        <v>90.56748757</v>
      </c>
      <c r="F19" s="20" t="n">
        <v>1.65334425</v>
      </c>
      <c r="G19" s="18" t="n">
        <v>9.14054488</v>
      </c>
      <c r="H19" s="20" t="n">
        <v>1.63189179</v>
      </c>
      <c r="I19" s="18" t="s">
        <v>567</v>
      </c>
      <c r="J19" s="20" t="s">
        <v>567</v>
      </c>
      <c r="K19" s="18" t="n">
        <v>0</v>
      </c>
      <c r="L19" s="20" t="n">
        <v>0</v>
      </c>
      <c r="M19" s="18" t="n">
        <v>0</v>
      </c>
      <c r="N19" s="20" t="n">
        <v>0</v>
      </c>
      <c r="O19" s="18" t="n">
        <v>0</v>
      </c>
      <c r="P19" s="20" t="n">
        <v>0</v>
      </c>
      <c r="Q19" s="18" t="n">
        <v>0.29196755</v>
      </c>
      <c r="R19" s="20" t="n">
        <v>0.27930562</v>
      </c>
    </row>
    <row r="20" spans="1:18">
      <c r="A20" s="15" t="s">
        <v>580</v>
      </c>
      <c r="B20" s="17" t="n">
        <v>1630</v>
      </c>
      <c r="C20" s="18">
        <f>(1465.0/B20*100)</f>
        <v/>
      </c>
      <c r="D20" s="19" t="n">
        <v>165</v>
      </c>
      <c r="E20" s="18" t="n">
        <v>84.35140013</v>
      </c>
      <c r="F20" s="20" t="n">
        <v>2.52170151</v>
      </c>
      <c r="G20" s="18" t="n">
        <v>14.45849813</v>
      </c>
      <c r="H20" s="20" t="n">
        <v>2.550668</v>
      </c>
      <c r="I20" s="18" t="s">
        <v>567</v>
      </c>
      <c r="J20" s="20" t="s">
        <v>567</v>
      </c>
      <c r="K20" s="18" t="n">
        <v>0</v>
      </c>
      <c r="L20" s="20" t="n">
        <v>0</v>
      </c>
      <c r="M20" s="18" t="n">
        <v>0</v>
      </c>
      <c r="N20" s="20" t="n">
        <v>0</v>
      </c>
      <c r="O20" s="18" t="n">
        <v>0</v>
      </c>
      <c r="P20" s="20" t="n">
        <v>0</v>
      </c>
      <c r="Q20" s="18" t="n">
        <v>1.19010174</v>
      </c>
      <c r="R20" s="20" t="n">
        <v>0.82929594</v>
      </c>
    </row>
    <row r="21" spans="1:18">
      <c r="A21" s="15" t="s">
        <v>581</v>
      </c>
      <c r="B21" s="17" t="n">
        <v>2908</v>
      </c>
      <c r="C21" s="18">
        <f>(2577.0/B21*100)</f>
        <v/>
      </c>
      <c r="D21" s="19" t="n">
        <v>331</v>
      </c>
      <c r="E21" s="18" t="n">
        <v>79.65536996</v>
      </c>
      <c r="F21" s="20" t="n">
        <v>2.2267376</v>
      </c>
      <c r="G21" s="18" t="n">
        <v>19.45625918</v>
      </c>
      <c r="H21" s="20" t="n">
        <v>2.29874534</v>
      </c>
      <c r="I21" s="18" t="s">
        <v>567</v>
      </c>
      <c r="J21" s="20" t="s">
        <v>567</v>
      </c>
      <c r="K21" s="18" t="n">
        <v>0.62778312</v>
      </c>
      <c r="L21" s="20" t="n">
        <v>0.4548612</v>
      </c>
      <c r="M21" s="18" t="n">
        <v>0</v>
      </c>
      <c r="N21" s="20" t="n">
        <v>0</v>
      </c>
      <c r="O21" s="18" t="n">
        <v>0</v>
      </c>
      <c r="P21" s="20" t="n">
        <v>0</v>
      </c>
      <c r="Q21" s="18" t="n">
        <v>0.26058774</v>
      </c>
      <c r="R21" s="20" t="n">
        <v>0.23708573</v>
      </c>
    </row>
    <row r="22" spans="1:18">
      <c r="A22" s="15" t="s">
        <v>582</v>
      </c>
      <c r="B22" s="17" t="n">
        <v>2931</v>
      </c>
      <c r="C22" s="18">
        <f>(2609.0/B22*100)</f>
        <v/>
      </c>
      <c r="D22" s="19" t="n">
        <v>322</v>
      </c>
      <c r="E22" s="18" t="n">
        <v>88.3977503</v>
      </c>
      <c r="F22" s="20" t="n">
        <v>1.6974335</v>
      </c>
      <c r="G22" s="18" t="n">
        <v>9.59022989</v>
      </c>
      <c r="H22" s="20" t="n">
        <v>1.55967392</v>
      </c>
      <c r="I22" s="18" t="s">
        <v>567</v>
      </c>
      <c r="J22" s="20" t="s">
        <v>567</v>
      </c>
      <c r="K22" s="18" t="n">
        <v>1.4132152</v>
      </c>
      <c r="L22" s="20" t="n">
        <v>0.88843167</v>
      </c>
      <c r="M22" s="18" t="n">
        <v>0</v>
      </c>
      <c r="N22" s="20" t="n">
        <v>0</v>
      </c>
      <c r="O22" s="18" t="n">
        <v>0</v>
      </c>
      <c r="P22" s="20" t="n">
        <v>0</v>
      </c>
      <c r="Q22" s="18" t="n">
        <v>0.59880461</v>
      </c>
      <c r="R22" s="20" t="n">
        <v>0.40566897</v>
      </c>
    </row>
    <row r="23" spans="1:18">
      <c r="A23" s="15" t="s">
        <v>583</v>
      </c>
      <c r="B23" s="17" t="n">
        <v>5791</v>
      </c>
      <c r="C23" s="18">
        <f>(5157.0/B23*100)</f>
        <v/>
      </c>
      <c r="D23" s="19" t="n">
        <v>634</v>
      </c>
      <c r="E23" s="18" t="n">
        <v>85.32445087000001</v>
      </c>
      <c r="F23" s="20" t="n">
        <v>1.92988972</v>
      </c>
      <c r="G23" s="18" t="n">
        <v>14.13290235</v>
      </c>
      <c r="H23" s="20" t="n">
        <v>1.88574955</v>
      </c>
      <c r="I23" s="18" t="s">
        <v>567</v>
      </c>
      <c r="J23" s="20" t="s">
        <v>567</v>
      </c>
      <c r="K23" s="18" t="n">
        <v>0.00932932</v>
      </c>
      <c r="L23" s="20" t="n">
        <v>0.00663099</v>
      </c>
      <c r="M23" s="18" t="n">
        <v>0</v>
      </c>
      <c r="N23" s="20" t="n">
        <v>0</v>
      </c>
      <c r="O23" s="18" t="n">
        <v>0</v>
      </c>
      <c r="P23" s="20" t="n">
        <v>0</v>
      </c>
      <c r="Q23" s="18" t="n">
        <v>0.53331745</v>
      </c>
      <c r="R23" s="20" t="n">
        <v>0.48965623</v>
      </c>
    </row>
    <row r="24" spans="1:18">
      <c r="A24" s="15" t="s">
        <v>584</v>
      </c>
      <c r="B24" s="17" t="n">
        <v>3338</v>
      </c>
      <c r="C24" s="18">
        <f>(2978.0/B24*100)</f>
        <v/>
      </c>
      <c r="D24" s="19" t="n">
        <v>360</v>
      </c>
      <c r="E24" s="18" t="n">
        <v>78.94246599</v>
      </c>
      <c r="F24" s="20" t="n">
        <v>1.97028581</v>
      </c>
      <c r="G24" s="18" t="n">
        <v>20.55341332</v>
      </c>
      <c r="H24" s="20" t="n">
        <v>2.03866511</v>
      </c>
      <c r="I24" s="18" t="s">
        <v>567</v>
      </c>
      <c r="J24" s="20" t="s">
        <v>567</v>
      </c>
      <c r="K24" s="18" t="n">
        <v>0.22770404</v>
      </c>
      <c r="L24" s="20" t="n">
        <v>0.2282961</v>
      </c>
      <c r="M24" s="18" t="n">
        <v>0</v>
      </c>
      <c r="N24" s="20" t="n">
        <v>0</v>
      </c>
      <c r="O24" s="18" t="n">
        <v>0</v>
      </c>
      <c r="P24" s="20" t="n">
        <v>0</v>
      </c>
      <c r="Q24" s="18" t="n">
        <v>0.27641665</v>
      </c>
      <c r="R24" s="20" t="n">
        <v>0.27345859</v>
      </c>
    </row>
    <row r="25" spans="1:18">
      <c r="A25" s="15" t="s">
        <v>585</v>
      </c>
      <c r="B25" s="17" t="n">
        <v>2912</v>
      </c>
      <c r="C25" s="18">
        <f>(2607.0/B25*100)</f>
        <v/>
      </c>
      <c r="D25" s="19" t="n">
        <v>305</v>
      </c>
      <c r="E25" s="18" t="n">
        <v>90.56959976</v>
      </c>
      <c r="F25" s="20" t="n">
        <v>1.5833619</v>
      </c>
      <c r="G25" s="18" t="n">
        <v>8.7986425</v>
      </c>
      <c r="H25" s="20" t="n">
        <v>1.49184205</v>
      </c>
      <c r="I25" s="18" t="s">
        <v>567</v>
      </c>
      <c r="J25" s="20" t="s">
        <v>567</v>
      </c>
      <c r="K25" s="18" t="n">
        <v>0.27779048</v>
      </c>
      <c r="L25" s="20" t="n">
        <v>0.28180144</v>
      </c>
      <c r="M25" s="18" t="n">
        <v>0</v>
      </c>
      <c r="N25" s="20" t="n">
        <v>0</v>
      </c>
      <c r="O25" s="18" t="n">
        <v>0</v>
      </c>
      <c r="P25" s="20" t="n">
        <v>0</v>
      </c>
      <c r="Q25" s="18" t="n">
        <v>0.35396727</v>
      </c>
      <c r="R25" s="20" t="n">
        <v>0.35765584</v>
      </c>
    </row>
    <row r="26" spans="1:18">
      <c r="A26" s="15" t="s">
        <v>586</v>
      </c>
      <c r="B26" s="17" t="n">
        <v>2450</v>
      </c>
      <c r="C26" s="18">
        <f>(2180.0/B26*100)</f>
        <v/>
      </c>
      <c r="D26" s="19" t="n">
        <v>270</v>
      </c>
      <c r="E26" s="18" t="n">
        <v>85.38333427000001</v>
      </c>
      <c r="F26" s="20" t="n">
        <v>2.14269818</v>
      </c>
      <c r="G26" s="18" t="n">
        <v>14.61666573</v>
      </c>
      <c r="H26" s="20" t="n">
        <v>2.14269818</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(2320.0/B27*100)</f>
        <v/>
      </c>
      <c r="D27" s="19" t="n">
        <v>296</v>
      </c>
      <c r="E27" s="18" t="n">
        <v>85.01404989</v>
      </c>
      <c r="F27" s="20" t="n">
        <v>2.18694365</v>
      </c>
      <c r="G27" s="18" t="n">
        <v>14.29746507</v>
      </c>
      <c r="H27" s="20" t="n">
        <v>2.17920745</v>
      </c>
      <c r="I27" s="18" t="s">
        <v>567</v>
      </c>
      <c r="J27" s="20" t="s">
        <v>567</v>
      </c>
      <c r="K27" s="18" t="n">
        <v>0.68848504</v>
      </c>
      <c r="L27" s="20" t="n">
        <v>0.49113091</v>
      </c>
      <c r="M27" s="18" t="n">
        <v>0</v>
      </c>
      <c r="N27" s="20" t="n">
        <v>0</v>
      </c>
      <c r="O27" s="18" t="n">
        <v>0</v>
      </c>
      <c r="P27" s="20" t="n">
        <v>0</v>
      </c>
      <c r="Q27" s="18" t="n">
        <v>0</v>
      </c>
      <c r="R27" s="20" t="n">
        <v>0</v>
      </c>
    </row>
    <row r="28" spans="1:18">
      <c r="A28" s="15" t="s">
        <v>588</v>
      </c>
      <c r="B28" s="17" t="n">
        <v>3765</v>
      </c>
      <c r="C28" s="18">
        <f>(3402.0/B28*100)</f>
        <v/>
      </c>
      <c r="D28" s="19" t="n">
        <v>363</v>
      </c>
      <c r="E28" s="18" t="n">
        <v>93.87003321</v>
      </c>
      <c r="F28" s="20" t="n">
        <v>1.29673793</v>
      </c>
      <c r="G28" s="18" t="n">
        <v>4.94773186</v>
      </c>
      <c r="H28" s="20" t="n">
        <v>1.12783221</v>
      </c>
      <c r="I28" s="18" t="s">
        <v>567</v>
      </c>
      <c r="J28" s="20" t="s">
        <v>567</v>
      </c>
      <c r="K28" s="18" t="n">
        <v>0.64740931</v>
      </c>
      <c r="L28" s="20" t="n">
        <v>0.52196288</v>
      </c>
      <c r="M28" s="18" t="n">
        <v>0</v>
      </c>
      <c r="N28" s="20" t="n">
        <v>0</v>
      </c>
      <c r="O28" s="18" t="n">
        <v>0</v>
      </c>
      <c r="P28" s="20" t="n">
        <v>0</v>
      </c>
      <c r="Q28" s="18" t="n">
        <v>0.53482562</v>
      </c>
      <c r="R28" s="20" t="n">
        <v>0.38529569</v>
      </c>
    </row>
    <row r="29" spans="1:18">
      <c r="A29" s="15" t="s">
        <v>589</v>
      </c>
      <c r="B29" s="17" t="n">
        <v>2685</v>
      </c>
      <c r="C29" s="18">
        <f>(2404.0/B29*100)</f>
        <v/>
      </c>
      <c r="D29" s="19" t="n">
        <v>281</v>
      </c>
      <c r="E29" s="18" t="n">
        <v>86.96139118000001</v>
      </c>
      <c r="F29" s="20" t="n">
        <v>2.04175128</v>
      </c>
      <c r="G29" s="18" t="n">
        <v>11.47963669</v>
      </c>
      <c r="H29" s="20" t="n">
        <v>1.92369914</v>
      </c>
      <c r="I29" s="18" t="s">
        <v>567</v>
      </c>
      <c r="J29" s="20" t="s">
        <v>567</v>
      </c>
      <c r="K29" s="18" t="n">
        <v>0.36807508</v>
      </c>
      <c r="L29" s="20" t="n">
        <v>0.36480756</v>
      </c>
      <c r="M29" s="18" t="n">
        <v>0</v>
      </c>
      <c r="N29" s="20" t="n">
        <v>0</v>
      </c>
      <c r="O29" s="18" t="n">
        <v>0</v>
      </c>
      <c r="P29" s="20" t="n">
        <v>0</v>
      </c>
      <c r="Q29" s="18" t="n">
        <v>1.19089706</v>
      </c>
      <c r="R29" s="20" t="n">
        <v>0.72054474</v>
      </c>
    </row>
    <row r="30" spans="1:18">
      <c r="A30" s="15" t="s">
        <v>590</v>
      </c>
      <c r="B30" s="17" t="n">
        <v>2263</v>
      </c>
      <c r="C30" s="18">
        <f>(2007.0/B30*100)</f>
        <v/>
      </c>
      <c r="D30" s="19" t="n">
        <v>256</v>
      </c>
      <c r="E30" s="18" t="n">
        <v>79.43634204</v>
      </c>
      <c r="F30" s="20" t="n">
        <v>2.57307917</v>
      </c>
      <c r="G30" s="18" t="n">
        <v>18.89431913</v>
      </c>
      <c r="H30" s="20" t="n">
        <v>2.50786209</v>
      </c>
      <c r="I30" s="18" t="s">
        <v>567</v>
      </c>
      <c r="J30" s="20" t="s">
        <v>567</v>
      </c>
      <c r="K30" s="18" t="n">
        <v>0.41393446</v>
      </c>
      <c r="L30" s="20" t="n">
        <v>0.43377122</v>
      </c>
      <c r="M30" s="18" t="n">
        <v>0</v>
      </c>
      <c r="N30" s="20" t="n">
        <v>0</v>
      </c>
      <c r="O30" s="18" t="n">
        <v>0</v>
      </c>
      <c r="P30" s="20" t="n">
        <v>0</v>
      </c>
      <c r="Q30" s="18" t="n">
        <v>1.25540437</v>
      </c>
      <c r="R30" s="20" t="n">
        <v>0.71785801</v>
      </c>
    </row>
    <row r="31" spans="1:18">
      <c r="A31" s="15" t="s">
        <v>591</v>
      </c>
      <c r="B31" s="17" t="n">
        <v>2750</v>
      </c>
      <c r="C31" s="18">
        <f>(2453.0/B31*100)</f>
        <v/>
      </c>
      <c r="D31" s="19" t="n">
        <v>297</v>
      </c>
      <c r="E31" s="18" t="n">
        <v>81.25057212</v>
      </c>
      <c r="F31" s="20" t="n">
        <v>2.61008709</v>
      </c>
      <c r="G31" s="18" t="n">
        <v>16.77704736</v>
      </c>
      <c r="H31" s="20" t="n">
        <v>2.43977084</v>
      </c>
      <c r="I31" s="18" t="s">
        <v>567</v>
      </c>
      <c r="J31" s="20" t="s">
        <v>567</v>
      </c>
      <c r="K31" s="18" t="n">
        <v>0.61739135</v>
      </c>
      <c r="L31" s="20" t="n">
        <v>0.42433316</v>
      </c>
      <c r="M31" s="18" t="n">
        <v>0</v>
      </c>
      <c r="N31" s="20" t="n">
        <v>0</v>
      </c>
      <c r="O31" s="18" t="n">
        <v>0</v>
      </c>
      <c r="P31" s="20" t="n">
        <v>0</v>
      </c>
      <c r="Q31" s="18" t="n">
        <v>1.35498917</v>
      </c>
      <c r="R31" s="20" t="n">
        <v>0.69165269</v>
      </c>
    </row>
    <row r="32" spans="1:18">
      <c r="A32" s="15" t="s">
        <v>592</v>
      </c>
      <c r="B32" s="17" t="n">
        <v>2269</v>
      </c>
      <c r="C32" s="18">
        <f>(2025.0/B32*100)</f>
        <v/>
      </c>
      <c r="D32" s="19" t="n">
        <v>244</v>
      </c>
      <c r="E32" s="18" t="n">
        <v>82.12502205</v>
      </c>
      <c r="F32" s="20" t="n">
        <v>2.47847116</v>
      </c>
      <c r="G32" s="18" t="n">
        <v>16.75011362</v>
      </c>
      <c r="H32" s="20" t="n">
        <v>2.44718384</v>
      </c>
      <c r="I32" s="18" t="s">
        <v>567</v>
      </c>
      <c r="J32" s="20" t="s">
        <v>567</v>
      </c>
      <c r="K32" s="18" t="n">
        <v>0.36446772</v>
      </c>
      <c r="L32" s="20" t="n">
        <v>0.35600902</v>
      </c>
      <c r="M32" s="18" t="n">
        <v>0</v>
      </c>
      <c r="N32" s="20" t="n">
        <v>0</v>
      </c>
      <c r="O32" s="18" t="n">
        <v>0</v>
      </c>
      <c r="P32" s="20" t="n">
        <v>0</v>
      </c>
      <c r="Q32" s="18" t="n">
        <v>0.76039661</v>
      </c>
      <c r="R32" s="20" t="n">
        <v>0.55939781</v>
      </c>
    </row>
    <row r="33" spans="1:18">
      <c r="A33" s="15" t="s">
        <v>593</v>
      </c>
      <c r="B33" s="17" t="n">
        <v>3674</v>
      </c>
      <c r="C33" s="18">
        <f>(3302.0/B33*100)</f>
        <v/>
      </c>
      <c r="D33" s="19" t="n">
        <v>372</v>
      </c>
      <c r="E33" s="18" t="n">
        <v>86.10294254</v>
      </c>
      <c r="F33" s="20" t="n">
        <v>2.13221447</v>
      </c>
      <c r="G33" s="18" t="n">
        <v>13.41873352</v>
      </c>
      <c r="H33" s="20" t="n">
        <v>2.06937471</v>
      </c>
      <c r="I33" s="18" t="s">
        <v>567</v>
      </c>
      <c r="J33" s="20" t="s">
        <v>567</v>
      </c>
      <c r="K33" s="18" t="n">
        <v>0.45563597</v>
      </c>
      <c r="L33" s="20" t="n">
        <v>0.47570127</v>
      </c>
      <c r="M33" s="18" t="n">
        <v>0</v>
      </c>
      <c r="N33" s="20" t="n">
        <v>0</v>
      </c>
      <c r="O33" s="18" t="n">
        <v>0</v>
      </c>
      <c r="P33" s="20" t="n">
        <v>0</v>
      </c>
      <c r="Q33" s="18" t="n">
        <v>0.02268798</v>
      </c>
      <c r="R33" s="20" t="n">
        <v>0.02249072</v>
      </c>
    </row>
    <row r="34" spans="1:18">
      <c r="A34" s="15" t="s">
        <v>594</v>
      </c>
      <c r="B34" s="17" t="n">
        <v>3315</v>
      </c>
      <c r="C34" s="18">
        <f>(2976.0/B34*100)</f>
        <v/>
      </c>
      <c r="D34" s="19" t="n">
        <v>339</v>
      </c>
      <c r="E34" s="18" t="n">
        <v>88.61217477</v>
      </c>
      <c r="F34" s="20" t="n">
        <v>1.54101607</v>
      </c>
      <c r="G34" s="18" t="n">
        <v>10.5093161</v>
      </c>
      <c r="H34" s="20" t="n">
        <v>1.38219099</v>
      </c>
      <c r="I34" s="18" t="s">
        <v>567</v>
      </c>
      <c r="J34" s="20" t="s">
        <v>567</v>
      </c>
      <c r="K34" s="18" t="n">
        <v>0.44934684</v>
      </c>
      <c r="L34" s="20" t="n">
        <v>0.45322687</v>
      </c>
      <c r="M34" s="18" t="n">
        <v>0</v>
      </c>
      <c r="N34" s="20" t="n">
        <v>0</v>
      </c>
      <c r="O34" s="18" t="n">
        <v>0</v>
      </c>
      <c r="P34" s="20" t="n">
        <v>0</v>
      </c>
      <c r="Q34" s="18" t="n">
        <v>0.42916229</v>
      </c>
      <c r="R34" s="20" t="n">
        <v>0.4357813</v>
      </c>
    </row>
    <row r="35" spans="1:18">
      <c r="A35" s="15" t="s">
        <v>595</v>
      </c>
      <c r="B35" s="17" t="n">
        <v>3505</v>
      </c>
      <c r="C35" s="18">
        <f>(3121.0/B35*100)</f>
        <v/>
      </c>
      <c r="D35" s="19" t="n">
        <v>384</v>
      </c>
      <c r="E35" s="18" t="n">
        <v>82.63395951</v>
      </c>
      <c r="F35" s="20" t="n">
        <v>2.48972492</v>
      </c>
      <c r="G35" s="18" t="n">
        <v>16.59225856</v>
      </c>
      <c r="H35" s="20" t="n">
        <v>2.48811079</v>
      </c>
      <c r="I35" s="18" t="s">
        <v>567</v>
      </c>
      <c r="J35" s="20" t="s">
        <v>567</v>
      </c>
      <c r="K35" s="18" t="n">
        <v>0</v>
      </c>
      <c r="L35" s="20" t="n">
        <v>0</v>
      </c>
      <c r="M35" s="18" t="n">
        <v>0</v>
      </c>
      <c r="N35" s="20" t="n">
        <v>0</v>
      </c>
      <c r="O35" s="18" t="n">
        <v>0</v>
      </c>
      <c r="P35" s="20" t="n">
        <v>0</v>
      </c>
      <c r="Q35" s="18" t="n">
        <v>0.77378193</v>
      </c>
      <c r="R35" s="20" t="n">
        <v>0.59364091</v>
      </c>
    </row>
    <row r="36" spans="1:18">
      <c r="A36" s="15" t="s">
        <v>596</v>
      </c>
      <c r="B36" s="17" t="n">
        <v>3332</v>
      </c>
      <c r="C36" s="18">
        <f>(2959.0/B36*100)</f>
        <v/>
      </c>
      <c r="D36" s="19" t="n">
        <v>373</v>
      </c>
      <c r="E36" s="18" t="n">
        <v>86.38962506</v>
      </c>
      <c r="F36" s="20" t="n">
        <v>1.64494664</v>
      </c>
      <c r="G36" s="18" t="n">
        <v>11.44568657</v>
      </c>
      <c r="H36" s="20" t="n">
        <v>1.54011998</v>
      </c>
      <c r="I36" s="18" t="s">
        <v>567</v>
      </c>
      <c r="J36" s="20" t="s">
        <v>567</v>
      </c>
      <c r="K36" s="18" t="n">
        <v>0.69126787</v>
      </c>
      <c r="L36" s="20" t="n">
        <v>0.38097854</v>
      </c>
      <c r="M36" s="18" t="n">
        <v>0</v>
      </c>
      <c r="N36" s="20" t="n">
        <v>0</v>
      </c>
      <c r="O36" s="18" t="n">
        <v>0</v>
      </c>
      <c r="P36" s="20" t="n">
        <v>0</v>
      </c>
      <c r="Q36" s="18" t="n">
        <v>1.4734205</v>
      </c>
      <c r="R36" s="20" t="n">
        <v>0.44892884</v>
      </c>
    </row>
    <row r="37" spans="1:18">
      <c r="A37" s="15" t="s">
        <v>597</v>
      </c>
      <c r="B37" s="17" t="n">
        <v>2727</v>
      </c>
      <c r="C37" s="18">
        <f>(2424.0/B37*100)</f>
        <v/>
      </c>
      <c r="D37" s="19" t="n">
        <v>303</v>
      </c>
      <c r="E37" s="18" t="n">
        <v>76.5017933</v>
      </c>
      <c r="F37" s="20" t="n">
        <v>2.62810745</v>
      </c>
      <c r="G37" s="18" t="n">
        <v>21.46127172</v>
      </c>
      <c r="H37" s="20" t="n">
        <v>2.64373673</v>
      </c>
      <c r="I37" s="18" t="s">
        <v>567</v>
      </c>
      <c r="J37" s="20" t="s">
        <v>567</v>
      </c>
      <c r="K37" s="18" t="n">
        <v>0</v>
      </c>
      <c r="L37" s="20" t="n">
        <v>0</v>
      </c>
      <c r="M37" s="18" t="n">
        <v>0</v>
      </c>
      <c r="N37" s="20" t="n">
        <v>0</v>
      </c>
      <c r="O37" s="18" t="n">
        <v>0</v>
      </c>
      <c r="P37" s="20" t="n">
        <v>0</v>
      </c>
      <c r="Q37" s="18" t="n">
        <v>2.03693498</v>
      </c>
      <c r="R37" s="20" t="n">
        <v>0.75408762</v>
      </c>
    </row>
    <row r="38" spans="1:18">
      <c r="A38" s="15" t="s">
        <v>598</v>
      </c>
      <c r="B38" s="17" t="n">
        <v>3053</v>
      </c>
      <c r="C38" s="18">
        <f>(2726.0/B38*100)</f>
        <v/>
      </c>
      <c r="D38" s="19" t="n">
        <v>327</v>
      </c>
      <c r="E38" s="18" t="n">
        <v>85.35776903999999</v>
      </c>
      <c r="F38" s="20" t="n">
        <v>2.39739315</v>
      </c>
      <c r="G38" s="18" t="n">
        <v>12.93921755</v>
      </c>
      <c r="H38" s="20" t="n">
        <v>2.21883668</v>
      </c>
      <c r="I38" s="18" t="s">
        <v>567</v>
      </c>
      <c r="J38" s="20" t="s">
        <v>567</v>
      </c>
      <c r="K38" s="18" t="n">
        <v>0.8120782</v>
      </c>
      <c r="L38" s="20" t="n">
        <v>0.5406196</v>
      </c>
      <c r="M38" s="18" t="n">
        <v>0</v>
      </c>
      <c r="N38" s="20" t="n">
        <v>0</v>
      </c>
      <c r="O38" s="18" t="n">
        <v>0</v>
      </c>
      <c r="P38" s="20" t="n">
        <v>0</v>
      </c>
      <c r="Q38" s="18" t="n">
        <v>0.89093521</v>
      </c>
      <c r="R38" s="20" t="n">
        <v>0.64984891</v>
      </c>
    </row>
    <row r="39" spans="1:18">
      <c r="A39" s="15" t="s">
        <v>599</v>
      </c>
      <c r="B39" s="17" t="n">
        <v>2957</v>
      </c>
      <c r="C39" s="18">
        <f>(2625.0/B39*100)</f>
        <v/>
      </c>
      <c r="D39" s="19" t="n">
        <v>332</v>
      </c>
      <c r="E39" s="18" t="n">
        <v>91.86153292</v>
      </c>
      <c r="F39" s="20" t="n">
        <v>1.79372479</v>
      </c>
      <c r="G39" s="18" t="n">
        <v>6.25016658</v>
      </c>
      <c r="H39" s="20" t="n">
        <v>1.51932638</v>
      </c>
      <c r="I39" s="18" t="s">
        <v>567</v>
      </c>
      <c r="J39" s="20" t="s">
        <v>567</v>
      </c>
      <c r="K39" s="18" t="n">
        <v>0.40841813</v>
      </c>
      <c r="L39" s="20" t="n">
        <v>0.26465323</v>
      </c>
      <c r="M39" s="18" t="n">
        <v>0</v>
      </c>
      <c r="N39" s="20" t="n">
        <v>0</v>
      </c>
      <c r="O39" s="18" t="n">
        <v>0</v>
      </c>
      <c r="P39" s="20" t="n">
        <v>0</v>
      </c>
      <c r="Q39" s="18" t="n">
        <v>1.47988237</v>
      </c>
      <c r="R39" s="20" t="n">
        <v>0.95058727</v>
      </c>
    </row>
    <row r="40" spans="1:18">
      <c r="A40" s="15" t="s">
        <v>600</v>
      </c>
      <c r="B40" s="17" t="n">
        <v>7235</v>
      </c>
      <c r="C40" s="18">
        <f>(6396.0/B40*100)</f>
        <v/>
      </c>
      <c r="D40" s="19" t="n">
        <v>839</v>
      </c>
      <c r="E40" s="18" t="n">
        <v>84.5660764</v>
      </c>
      <c r="F40" s="20" t="n">
        <v>1.68294288</v>
      </c>
      <c r="G40" s="18" t="n">
        <v>12.94062462</v>
      </c>
      <c r="H40" s="20" t="n">
        <v>1.51623089</v>
      </c>
      <c r="I40" s="18" t="s">
        <v>567</v>
      </c>
      <c r="J40" s="20" t="s">
        <v>567</v>
      </c>
      <c r="K40" s="18" t="n">
        <v>0.45763055</v>
      </c>
      <c r="L40" s="20" t="n">
        <v>0.24341324</v>
      </c>
      <c r="M40" s="18" t="n">
        <v>0</v>
      </c>
      <c r="N40" s="20" t="n">
        <v>0</v>
      </c>
      <c r="O40" s="18" t="n">
        <v>0</v>
      </c>
      <c r="P40" s="20" t="n">
        <v>0</v>
      </c>
      <c r="Q40" s="18" t="n">
        <v>2.03566843</v>
      </c>
      <c r="R40" s="20" t="n">
        <v>0.73463999</v>
      </c>
    </row>
    <row r="41" spans="1:18">
      <c r="A41" s="15" t="s">
        <v>601</v>
      </c>
      <c r="B41" s="17" t="n">
        <v>2858</v>
      </c>
      <c r="C41" s="18">
        <f>(2536.0/B41*100)</f>
        <v/>
      </c>
      <c r="D41" s="19" t="n">
        <v>322</v>
      </c>
      <c r="E41" s="18" t="n">
        <v>81.37809317999999</v>
      </c>
      <c r="F41" s="20" t="n">
        <v>2.39405861</v>
      </c>
      <c r="G41" s="18" t="n">
        <v>18.32365606</v>
      </c>
      <c r="H41" s="20" t="n">
        <v>2.3552162</v>
      </c>
      <c r="I41" s="18" t="s">
        <v>567</v>
      </c>
      <c r="J41" s="20" t="s">
        <v>567</v>
      </c>
      <c r="K41" s="18" t="n">
        <v>0.29825076</v>
      </c>
      <c r="L41" s="20" t="n">
        <v>0.31472682</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(10158.0/B46*100)</f>
        <v/>
      </c>
      <c r="D46" s="19" t="n">
        <v>910</v>
      </c>
      <c r="E46" s="18" t="n">
        <v>91.26128108</v>
      </c>
      <c r="F46" s="20" t="n">
        <v>1.30080544</v>
      </c>
      <c r="G46" s="18" t="n">
        <v>5.76948123</v>
      </c>
      <c r="H46" s="20" t="n">
        <v>1.00746587</v>
      </c>
      <c r="I46" s="18" t="s">
        <v>567</v>
      </c>
      <c r="J46" s="20" t="s">
        <v>567</v>
      </c>
      <c r="K46" s="18" t="n">
        <v>1.50534084</v>
      </c>
      <c r="L46" s="20" t="n">
        <v>0.62658092</v>
      </c>
      <c r="M46" s="18" t="n">
        <v>0</v>
      </c>
      <c r="N46" s="20" t="n">
        <v>0</v>
      </c>
      <c r="O46" s="18" t="n">
        <v>0</v>
      </c>
      <c r="P46" s="20" t="n">
        <v>0</v>
      </c>
      <c r="Q46" s="18" t="n">
        <v>1.46389685</v>
      </c>
      <c r="R46" s="20" t="n">
        <v>0.59045179</v>
      </c>
    </row>
    <row r="47" spans="1:18">
      <c r="A47" s="15" t="s">
        <v>607</v>
      </c>
      <c r="B47" s="17" t="n">
        <v>3105</v>
      </c>
      <c r="C47" s="18">
        <f>(2764.0/B47*100)</f>
        <v/>
      </c>
      <c r="D47" s="19" t="n">
        <v>341</v>
      </c>
      <c r="E47" s="18" t="n">
        <v>88.12383067</v>
      </c>
      <c r="F47" s="20" t="n">
        <v>1.644707</v>
      </c>
      <c r="G47" s="18" t="n">
        <v>10.75347114</v>
      </c>
      <c r="H47" s="20" t="n">
        <v>1.65381164</v>
      </c>
      <c r="I47" s="18" t="s">
        <v>567</v>
      </c>
      <c r="J47" s="20" t="s">
        <v>567</v>
      </c>
      <c r="K47" s="18" t="n">
        <v>0.28795117</v>
      </c>
      <c r="L47" s="20" t="n">
        <v>0.20435237</v>
      </c>
      <c r="M47" s="18" t="n">
        <v>0</v>
      </c>
      <c r="N47" s="20" t="n">
        <v>0</v>
      </c>
      <c r="O47" s="18" t="n">
        <v>0</v>
      </c>
      <c r="P47" s="20" t="n">
        <v>0</v>
      </c>
      <c r="Q47" s="18" t="n">
        <v>0.83474702</v>
      </c>
      <c r="R47" s="20" t="n">
        <v>0.57987451</v>
      </c>
    </row>
    <row r="48" spans="1:18">
      <c r="A48" s="15" t="s">
        <v>608</v>
      </c>
      <c r="B48" s="17" t="n">
        <v>5159</v>
      </c>
      <c r="C48" s="18">
        <f>(4611.0/B48*100)</f>
        <v/>
      </c>
      <c r="D48" s="19" t="n">
        <v>548</v>
      </c>
      <c r="E48" s="18" t="n">
        <v>85.90365849</v>
      </c>
      <c r="F48" s="20" t="n">
        <v>1.9350519</v>
      </c>
      <c r="G48" s="18" t="n">
        <v>13.10335226</v>
      </c>
      <c r="H48" s="20" t="n">
        <v>1.78556303</v>
      </c>
      <c r="I48" s="18" t="s">
        <v>567</v>
      </c>
      <c r="J48" s="20" t="s">
        <v>567</v>
      </c>
      <c r="K48" s="18" t="n">
        <v>0.66365012</v>
      </c>
      <c r="L48" s="20" t="n">
        <v>0.46996062</v>
      </c>
      <c r="M48" s="18" t="n">
        <v>0</v>
      </c>
      <c r="N48" s="20" t="n">
        <v>0</v>
      </c>
      <c r="O48" s="18" t="n">
        <v>0</v>
      </c>
      <c r="P48" s="20" t="n">
        <v>0</v>
      </c>
      <c r="Q48" s="18" t="n">
        <v>0.32933913</v>
      </c>
      <c r="R48" s="20" t="n">
        <v>0.34106212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(5045.0/B50*100)</f>
        <v/>
      </c>
      <c r="D50" s="19" t="n">
        <v>592</v>
      </c>
      <c r="E50" s="18" t="n">
        <v>91.36397433</v>
      </c>
      <c r="F50" s="20" t="n">
        <v>1.54097837</v>
      </c>
      <c r="G50" s="18" t="n">
        <v>7.27366078</v>
      </c>
      <c r="H50" s="20" t="n">
        <v>1.43393525</v>
      </c>
      <c r="I50" s="18" t="s">
        <v>567</v>
      </c>
      <c r="J50" s="20" t="s">
        <v>567</v>
      </c>
      <c r="K50" s="18" t="n">
        <v>1.01552354</v>
      </c>
      <c r="L50" s="20" t="n">
        <v>0.50598796</v>
      </c>
      <c r="M50" s="18" t="n">
        <v>0</v>
      </c>
      <c r="N50" s="20" t="n">
        <v>0</v>
      </c>
      <c r="O50" s="18" t="n">
        <v>0</v>
      </c>
      <c r="P50" s="20" t="n">
        <v>0</v>
      </c>
      <c r="Q50" s="18" t="n">
        <v>0.34684136</v>
      </c>
      <c r="R50" s="20" t="n">
        <v>0.25916015</v>
      </c>
    </row>
    <row r="51" spans="1:18">
      <c r="A51" s="15" t="s">
        <v>611</v>
      </c>
      <c r="B51" s="17" t="n">
        <v>3372</v>
      </c>
      <c r="C51" s="18">
        <f>(3048.0/B51*100)</f>
        <v/>
      </c>
      <c r="D51" s="19" t="n">
        <v>324</v>
      </c>
      <c r="E51" s="18" t="n">
        <v>84.84519252</v>
      </c>
      <c r="F51" s="20" t="n">
        <v>2.35143264</v>
      </c>
      <c r="G51" s="18" t="n">
        <v>12.61013708</v>
      </c>
      <c r="H51" s="20" t="n">
        <v>2.02664188</v>
      </c>
      <c r="I51" s="18" t="s">
        <v>567</v>
      </c>
      <c r="J51" s="20" t="s">
        <v>567</v>
      </c>
      <c r="K51" s="18" t="n">
        <v>1.52146594</v>
      </c>
      <c r="L51" s="20" t="n">
        <v>0.88045903</v>
      </c>
      <c r="M51" s="18" t="n">
        <v>0</v>
      </c>
      <c r="N51" s="20" t="n">
        <v>0</v>
      </c>
      <c r="O51" s="18" t="n">
        <v>0</v>
      </c>
      <c r="P51" s="20" t="n">
        <v>0</v>
      </c>
      <c r="Q51" s="18" t="n">
        <v>1.02320446</v>
      </c>
      <c r="R51" s="20" t="n">
        <v>0.57322469</v>
      </c>
    </row>
    <row r="52" spans="1:18">
      <c r="A52" s="15" t="s">
        <v>612</v>
      </c>
      <c r="B52" s="17" t="n">
        <v>2796</v>
      </c>
      <c r="C52" s="18">
        <f>(2516.0/B52*100)</f>
        <v/>
      </c>
      <c r="D52" s="19" t="n">
        <v>280</v>
      </c>
      <c r="E52" s="18" t="n">
        <v>89.02108397000001</v>
      </c>
      <c r="F52" s="20" t="n">
        <v>1.91427279</v>
      </c>
      <c r="G52" s="18" t="n">
        <v>9.89559588</v>
      </c>
      <c r="H52" s="20" t="n">
        <v>1.96438476</v>
      </c>
      <c r="I52" s="18" t="s">
        <v>567</v>
      </c>
      <c r="J52" s="20" t="s">
        <v>567</v>
      </c>
      <c r="K52" s="18" t="n">
        <v>0</v>
      </c>
      <c r="L52" s="20" t="n">
        <v>0</v>
      </c>
      <c r="M52" s="18" t="n">
        <v>0</v>
      </c>
      <c r="N52" s="20" t="n">
        <v>0</v>
      </c>
      <c r="O52" s="18" t="n">
        <v>0</v>
      </c>
      <c r="P52" s="20" t="n">
        <v>0</v>
      </c>
      <c r="Q52" s="18" t="n">
        <v>1.08332015</v>
      </c>
      <c r="R52" s="20" t="n">
        <v>0.60708937</v>
      </c>
    </row>
    <row r="53" spans="1:18">
      <c r="A53" s="15" t="s">
        <v>613</v>
      </c>
      <c r="B53" s="17" t="n">
        <v>2811</v>
      </c>
      <c r="C53" s="18">
        <f>(2525.0/B53*100)</f>
        <v/>
      </c>
      <c r="D53" s="19" t="n">
        <v>286</v>
      </c>
      <c r="E53" s="18" t="n">
        <v>92.35128195</v>
      </c>
      <c r="F53" s="20" t="n">
        <v>1.69069223</v>
      </c>
      <c r="G53" s="18" t="n">
        <v>6.31494173</v>
      </c>
      <c r="H53" s="20" t="n">
        <v>1.73658434</v>
      </c>
      <c r="I53" s="18" t="s">
        <v>567</v>
      </c>
      <c r="J53" s="20" t="s">
        <v>567</v>
      </c>
      <c r="K53" s="18" t="n">
        <v>0.48380964</v>
      </c>
      <c r="L53" s="20" t="n">
        <v>0.34549397</v>
      </c>
      <c r="M53" s="18" t="n">
        <v>0</v>
      </c>
      <c r="N53" s="20" t="n">
        <v>0</v>
      </c>
      <c r="O53" s="18" t="n">
        <v>0</v>
      </c>
      <c r="P53" s="20" t="n">
        <v>0</v>
      </c>
      <c r="Q53" s="18" t="n">
        <v>0.84996669</v>
      </c>
      <c r="R53" s="20" t="n">
        <v>0.48856607</v>
      </c>
    </row>
    <row r="54" spans="1:18">
      <c r="A54" s="15" t="s">
        <v>614</v>
      </c>
      <c r="B54" s="17" t="n">
        <v>2266</v>
      </c>
      <c r="C54" s="18">
        <f>(2016.0/B54*100)</f>
        <v/>
      </c>
      <c r="D54" s="19" t="n">
        <v>250</v>
      </c>
      <c r="E54" s="18" t="n">
        <v>84.88655237</v>
      </c>
      <c r="F54" s="20" t="n">
        <v>2.36807291</v>
      </c>
      <c r="G54" s="18" t="n">
        <v>1.24699077</v>
      </c>
      <c r="H54" s="20" t="n">
        <v>0.72401293</v>
      </c>
      <c r="I54" s="18" t="s">
        <v>567</v>
      </c>
      <c r="J54" s="20" t="s">
        <v>567</v>
      </c>
      <c r="K54" s="18" t="n">
        <v>11.86779751</v>
      </c>
      <c r="L54" s="20" t="n">
        <v>2.26671436</v>
      </c>
      <c r="M54" s="18" t="n">
        <v>0</v>
      </c>
      <c r="N54" s="20" t="n">
        <v>0</v>
      </c>
      <c r="O54" s="18" t="n">
        <v>0</v>
      </c>
      <c r="P54" s="20" t="n">
        <v>0</v>
      </c>
      <c r="Q54" s="18" t="n">
        <v>1.99865936</v>
      </c>
      <c r="R54" s="20" t="n">
        <v>1.10918349</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(2392.0/B56*100)</f>
        <v/>
      </c>
      <c r="D56" s="19" t="n">
        <v>292</v>
      </c>
      <c r="E56" s="18" t="n">
        <v>82.83034203</v>
      </c>
      <c r="F56" s="20" t="n">
        <v>2.30675976</v>
      </c>
      <c r="G56" s="18" t="n">
        <v>17.16965797</v>
      </c>
      <c r="H56" s="20" t="n">
        <v>2.30675976</v>
      </c>
      <c r="I56" s="18" t="s">
        <v>567</v>
      </c>
      <c r="J56" s="20" t="s">
        <v>567</v>
      </c>
      <c r="K56" s="18" t="n">
        <v>0</v>
      </c>
      <c r="L56" s="20" t="n">
        <v>0</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(2996.0/B61*100)</f>
        <v/>
      </c>
      <c r="D61" s="19" t="n">
        <v>328</v>
      </c>
      <c r="E61" s="18" t="n">
        <v>90.02248025</v>
      </c>
      <c r="F61" s="20" t="n">
        <v>1.6605259</v>
      </c>
      <c r="G61" s="18" t="n">
        <v>8.738703750000001</v>
      </c>
      <c r="H61" s="20" t="n">
        <v>1.58339045</v>
      </c>
      <c r="I61" s="18" t="s">
        <v>567</v>
      </c>
      <c r="J61" s="20" t="s">
        <v>567</v>
      </c>
      <c r="K61" s="18" t="n">
        <v>0.4318452</v>
      </c>
      <c r="L61" s="20" t="n">
        <v>0.45081979</v>
      </c>
      <c r="M61" s="18" t="n">
        <v>0</v>
      </c>
      <c r="N61" s="20" t="n">
        <v>0</v>
      </c>
      <c r="O61" s="18" t="n">
        <v>0</v>
      </c>
      <c r="P61" s="20" t="n">
        <v>0</v>
      </c>
      <c r="Q61" s="18" t="n">
        <v>0.8069708</v>
      </c>
      <c r="R61" s="20" t="n">
        <v>0.45940879</v>
      </c>
    </row>
    <row r="62" spans="1:18">
      <c r="A62" s="15" t="s">
        <v>622</v>
      </c>
      <c r="B62" s="17" t="n">
        <v>2246</v>
      </c>
      <c r="C62" s="18">
        <f>(1996.0/B62*100)</f>
        <v/>
      </c>
      <c r="D62" s="19" t="n">
        <v>250</v>
      </c>
      <c r="E62" s="18" t="n">
        <v>87.21020973</v>
      </c>
      <c r="F62" s="20" t="n">
        <v>2.18179309</v>
      </c>
      <c r="G62" s="18" t="n">
        <v>12.78979027</v>
      </c>
      <c r="H62" s="20" t="n">
        <v>2.18179309</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(2605.0/B66*100)</f>
        <v/>
      </c>
      <c r="D66" s="19" t="n">
        <v>289</v>
      </c>
      <c r="E66" s="18" t="n">
        <v>90.28656875</v>
      </c>
      <c r="F66" s="20" t="n">
        <v>1.75084456</v>
      </c>
      <c r="G66" s="18" t="n">
        <v>5.46376275</v>
      </c>
      <c r="H66" s="20" t="n">
        <v>1.52003647</v>
      </c>
      <c r="I66" s="18" t="s">
        <v>567</v>
      </c>
      <c r="J66" s="20" t="s">
        <v>567</v>
      </c>
      <c r="K66" s="18" t="n">
        <v>0.37877719</v>
      </c>
      <c r="L66" s="20" t="n">
        <v>0.38246076</v>
      </c>
      <c r="M66" s="18" t="n">
        <v>0</v>
      </c>
      <c r="N66" s="20" t="n">
        <v>0</v>
      </c>
      <c r="O66" s="18" t="n">
        <v>0</v>
      </c>
      <c r="P66" s="20" t="n">
        <v>0</v>
      </c>
      <c r="Q66" s="18" t="n">
        <v>3.8708913</v>
      </c>
      <c r="R66" s="20" t="n">
        <v>1.1414009</v>
      </c>
    </row>
    <row r="67" spans="1:18">
      <c r="A67" s="15" t="s">
        <v>627</v>
      </c>
      <c r="B67" s="17" t="n">
        <v>3511</v>
      </c>
      <c r="C67" s="18">
        <f>(3177.0/B67*100)</f>
        <v/>
      </c>
      <c r="D67" s="19" t="n">
        <v>334</v>
      </c>
      <c r="E67" s="18" t="n">
        <v>88.90523519</v>
      </c>
      <c r="F67" s="20" t="n">
        <v>1.86307626</v>
      </c>
      <c r="G67" s="18" t="n">
        <v>9.842278159999999</v>
      </c>
      <c r="H67" s="20" t="n">
        <v>1.87115664</v>
      </c>
      <c r="I67" s="18" t="s">
        <v>567</v>
      </c>
      <c r="J67" s="20" t="s">
        <v>567</v>
      </c>
      <c r="K67" s="18" t="n">
        <v>0.30439106</v>
      </c>
      <c r="L67" s="20" t="n">
        <v>0.3030603</v>
      </c>
      <c r="M67" s="18" t="n">
        <v>0</v>
      </c>
      <c r="N67" s="20" t="n">
        <v>0</v>
      </c>
      <c r="O67" s="18" t="n">
        <v>0</v>
      </c>
      <c r="P67" s="20" t="n">
        <v>0</v>
      </c>
      <c r="Q67" s="18" t="n">
        <v>0.9480956</v>
      </c>
      <c r="R67" s="20" t="n">
        <v>0.6310722600000001</v>
      </c>
    </row>
    <row r="68" spans="1:18">
      <c r="A68" s="15" t="s">
        <v>628</v>
      </c>
      <c r="B68" s="17" t="n">
        <v>6049</v>
      </c>
      <c r="C68" s="18">
        <f>(5392.0/B68*100)</f>
        <v/>
      </c>
      <c r="D68" s="19" t="n">
        <v>657</v>
      </c>
      <c r="E68" s="18" t="n">
        <v>87.20446176</v>
      </c>
      <c r="F68" s="20" t="n">
        <v>1.39834451</v>
      </c>
      <c r="G68" s="18" t="n">
        <v>6.35305301</v>
      </c>
      <c r="H68" s="20" t="n">
        <v>0.9852736600000001</v>
      </c>
      <c r="I68" s="18" t="s">
        <v>567</v>
      </c>
      <c r="J68" s="20" t="s">
        <v>567</v>
      </c>
      <c r="K68" s="18" t="n">
        <v>4.92240946</v>
      </c>
      <c r="L68" s="20" t="n">
        <v>0.85460907</v>
      </c>
      <c r="M68" s="18" t="n">
        <v>0</v>
      </c>
      <c r="N68" s="20" t="n">
        <v>0</v>
      </c>
      <c r="O68" s="18" t="n">
        <v>0</v>
      </c>
      <c r="P68" s="20" t="n">
        <v>0</v>
      </c>
      <c r="Q68" s="18" t="n">
        <v>1.52007577</v>
      </c>
      <c r="R68" s="20" t="n">
        <v>0.48166396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(2654.0/B70*100)</f>
        <v/>
      </c>
      <c r="D70" s="19" t="n">
        <v>275</v>
      </c>
      <c r="E70" s="18" t="n">
        <v>84.34455745</v>
      </c>
      <c r="F70" s="20" t="n">
        <v>1.97608451</v>
      </c>
      <c r="G70" s="18" t="n">
        <v>15.21389906</v>
      </c>
      <c r="H70" s="20" t="n">
        <v>1.9276662</v>
      </c>
      <c r="I70" s="18" t="s">
        <v>567</v>
      </c>
      <c r="J70" s="20" t="s">
        <v>567</v>
      </c>
      <c r="K70" s="18" t="n">
        <v>0.23519079</v>
      </c>
      <c r="L70" s="20" t="n">
        <v>0.20000983</v>
      </c>
      <c r="M70" s="18" t="n">
        <v>0</v>
      </c>
      <c r="N70" s="20" t="n">
        <v>0</v>
      </c>
      <c r="O70" s="18" t="n">
        <v>0</v>
      </c>
      <c r="P70" s="20" t="n">
        <v>0</v>
      </c>
      <c r="Q70" s="18" t="n">
        <v>0.20635271</v>
      </c>
      <c r="R70" s="20" t="n">
        <v>0.21114851</v>
      </c>
    </row>
    <row r="71" spans="1:18">
      <c r="A71" s="15" t="s">
        <v>631</v>
      </c>
      <c r="B71" s="17" t="n">
        <v>3142</v>
      </c>
      <c r="C71" s="18">
        <f>(2781.0/B71*100)</f>
        <v/>
      </c>
      <c r="D71" s="19" t="n">
        <v>361</v>
      </c>
      <c r="E71" s="18" t="n">
        <v>73.56306881</v>
      </c>
      <c r="F71" s="20" t="n">
        <v>2.49599858</v>
      </c>
      <c r="G71" s="18" t="n">
        <v>26.19365332</v>
      </c>
      <c r="H71" s="20" t="n">
        <v>2.53112809</v>
      </c>
      <c r="I71" s="18" t="s">
        <v>567</v>
      </c>
      <c r="J71" s="20" t="s">
        <v>567</v>
      </c>
      <c r="K71" s="18" t="n">
        <v>0</v>
      </c>
      <c r="L71" s="20" t="n">
        <v>0</v>
      </c>
      <c r="M71" s="18" t="n">
        <v>0</v>
      </c>
      <c r="N71" s="20" t="n">
        <v>0</v>
      </c>
      <c r="O71" s="18" t="n">
        <v>0</v>
      </c>
      <c r="P71" s="20" t="n">
        <v>0</v>
      </c>
      <c r="Q71" s="18" t="n">
        <v>0.24327788</v>
      </c>
      <c r="R71" s="20" t="n">
        <v>0.24420369</v>
      </c>
    </row>
    <row r="72" spans="1:18">
      <c r="A72" s="15" t="s">
        <v>632</v>
      </c>
      <c r="B72" s="17" t="n">
        <v>3889</v>
      </c>
      <c r="C72" s="18">
        <f>(3450.0/B72*100)</f>
        <v/>
      </c>
      <c r="D72" s="19" t="n">
        <v>439</v>
      </c>
      <c r="E72" s="18" t="n">
        <v>86.27397428</v>
      </c>
      <c r="F72" s="20" t="n">
        <v>1.59422164</v>
      </c>
      <c r="G72" s="18" t="n">
        <v>13.72602572</v>
      </c>
      <c r="H72" s="20" t="n">
        <v>1.59422164</v>
      </c>
      <c r="I72" s="18" t="s">
        <v>567</v>
      </c>
      <c r="J72" s="20" t="s">
        <v>567</v>
      </c>
      <c r="K72" s="18" t="n">
        <v>0</v>
      </c>
      <c r="L72" s="20" t="n">
        <v>0</v>
      </c>
      <c r="M72" s="18" t="n">
        <v>0</v>
      </c>
      <c r="N72" s="20" t="n">
        <v>0</v>
      </c>
      <c r="O72" s="18" t="n">
        <v>0</v>
      </c>
      <c r="P72" s="20" t="n">
        <v>0</v>
      </c>
      <c r="Q72" s="18" t="n">
        <v>0</v>
      </c>
      <c r="R72" s="20" t="n">
        <v>0</v>
      </c>
    </row>
    <row r="73" spans="1:18">
      <c r="A73" s="15" t="s">
        <v>633</v>
      </c>
      <c r="B73" s="17" t="n">
        <v>3597</v>
      </c>
      <c r="C73" s="18">
        <f>(3198.0/B73*100)</f>
        <v/>
      </c>
      <c r="D73" s="19" t="n">
        <v>399</v>
      </c>
      <c r="E73" s="18" t="n">
        <v>91.58434146</v>
      </c>
      <c r="F73" s="20" t="n">
        <v>1.62399939</v>
      </c>
      <c r="G73" s="18" t="n">
        <v>8.305772940000001</v>
      </c>
      <c r="H73" s="20" t="n">
        <v>1.62275933</v>
      </c>
      <c r="I73" s="18" t="s">
        <v>567</v>
      </c>
      <c r="J73" s="20" t="s">
        <v>567</v>
      </c>
      <c r="K73" s="18" t="n">
        <v>0</v>
      </c>
      <c r="L73" s="20" t="n">
        <v>0</v>
      </c>
      <c r="M73" s="18" t="n">
        <v>0</v>
      </c>
      <c r="N73" s="20" t="n">
        <v>0</v>
      </c>
      <c r="O73" s="18" t="n">
        <v>0</v>
      </c>
      <c r="P73" s="20" t="n">
        <v>0</v>
      </c>
      <c r="Q73" s="18" t="n">
        <v>0.1098856</v>
      </c>
      <c r="R73" s="20" t="n">
        <v>0.10450175</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(2177.0/B75*100)</f>
        <v/>
      </c>
      <c r="D75" s="19" t="n">
        <v>229</v>
      </c>
      <c r="E75" s="18" t="n">
        <v>90.72383822</v>
      </c>
      <c r="F75" s="20" t="n">
        <v>2.04809783</v>
      </c>
      <c r="G75" s="18" t="n">
        <v>2.77590189</v>
      </c>
      <c r="H75" s="20" t="n">
        <v>1.08918249</v>
      </c>
      <c r="I75" s="18" t="s">
        <v>567</v>
      </c>
      <c r="J75" s="20" t="s">
        <v>567</v>
      </c>
      <c r="K75" s="18" t="n">
        <v>3.78700122</v>
      </c>
      <c r="L75" s="20" t="n">
        <v>1.13784551</v>
      </c>
      <c r="M75" s="18" t="n">
        <v>0</v>
      </c>
      <c r="N75" s="20" t="n">
        <v>0</v>
      </c>
      <c r="O75" s="18" t="n">
        <v>0</v>
      </c>
      <c r="P75" s="20" t="n">
        <v>0</v>
      </c>
      <c r="Q75" s="18" t="n">
        <v>2.71325868</v>
      </c>
      <c r="R75" s="20" t="n">
        <v>1.17568528</v>
      </c>
    </row>
    <row r="76" spans="1:18">
      <c r="A76" s="15" t="s">
        <v>636</v>
      </c>
      <c r="B76" s="17" t="n">
        <v>7052</v>
      </c>
      <c r="C76" s="18">
        <f>(6280.0/B76*100)</f>
        <v/>
      </c>
      <c r="D76" s="19" t="n">
        <v>772</v>
      </c>
      <c r="E76" s="18" t="n">
        <v>90.77954382999999</v>
      </c>
      <c r="F76" s="20" t="n">
        <v>1.23271818</v>
      </c>
      <c r="G76" s="18" t="n">
        <v>7.46213442</v>
      </c>
      <c r="H76" s="20" t="n">
        <v>1.21432651</v>
      </c>
      <c r="I76" s="18" t="s">
        <v>567</v>
      </c>
      <c r="J76" s="20" t="s">
        <v>567</v>
      </c>
      <c r="K76" s="18" t="n">
        <v>0.91448775</v>
      </c>
      <c r="L76" s="20" t="n">
        <v>0.4602038</v>
      </c>
      <c r="M76" s="18" t="n">
        <v>0</v>
      </c>
      <c r="N76" s="20" t="n">
        <v>0</v>
      </c>
      <c r="O76" s="18" t="n">
        <v>0</v>
      </c>
      <c r="P76" s="20" t="n">
        <v>0</v>
      </c>
      <c r="Q76" s="18" t="n">
        <v>0.84383399</v>
      </c>
      <c r="R76" s="20" t="n">
        <v>0.32717251</v>
      </c>
    </row>
    <row r="77" spans="1:18">
      <c r="A77" s="15" t="s">
        <v>637</v>
      </c>
      <c r="B77" s="17" t="n">
        <v>2908</v>
      </c>
      <c r="C77" s="18">
        <f>(2618.0/B77*100)</f>
        <v/>
      </c>
      <c r="D77" s="19" t="n">
        <v>290</v>
      </c>
      <c r="E77" s="18" t="n">
        <v>85.62582784999999</v>
      </c>
      <c r="F77" s="20" t="n">
        <v>1.9555185</v>
      </c>
      <c r="G77" s="18" t="n">
        <v>10.37490007</v>
      </c>
      <c r="H77" s="20" t="n">
        <v>1.4355659</v>
      </c>
      <c r="I77" s="18" t="s">
        <v>567</v>
      </c>
      <c r="J77" s="20" t="s">
        <v>567</v>
      </c>
      <c r="K77" s="18" t="n">
        <v>2.03452862</v>
      </c>
      <c r="L77" s="20" t="n">
        <v>1.02078749</v>
      </c>
      <c r="M77" s="18" t="n">
        <v>0</v>
      </c>
      <c r="N77" s="20" t="n">
        <v>0</v>
      </c>
      <c r="O77" s="18" t="n">
        <v>0</v>
      </c>
      <c r="P77" s="20" t="n">
        <v>0</v>
      </c>
      <c r="Q77" s="18" t="n">
        <v>1.96474345</v>
      </c>
      <c r="R77" s="20" t="n">
        <v>0.89468952</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(3714.0/B81*100)</f>
        <v/>
      </c>
      <c r="D81" s="19" t="n">
        <v>449</v>
      </c>
      <c r="E81" s="18" t="n">
        <v>92.84881609</v>
      </c>
      <c r="F81" s="20" t="n">
        <v>1.39980297</v>
      </c>
      <c r="G81" s="18" t="n">
        <v>5.75338596</v>
      </c>
      <c r="H81" s="20" t="n">
        <v>1.22512405</v>
      </c>
      <c r="I81" s="18" t="s">
        <v>567</v>
      </c>
      <c r="J81" s="20" t="s">
        <v>567</v>
      </c>
      <c r="K81" s="18" t="n">
        <v>0.38592733</v>
      </c>
      <c r="L81" s="20" t="n">
        <v>0.26602049</v>
      </c>
      <c r="M81" s="18" t="n">
        <v>0</v>
      </c>
      <c r="N81" s="20" t="n">
        <v>0</v>
      </c>
      <c r="O81" s="18" t="n">
        <v>0</v>
      </c>
      <c r="P81" s="20" t="n">
        <v>0</v>
      </c>
      <c r="Q81" s="18" t="n">
        <v>1.01187061</v>
      </c>
      <c r="R81" s="20" t="n">
        <v>0.5940373799999999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(6574.0/B7*100)</f>
        <v/>
      </c>
      <c r="D7" s="19" t="n">
        <v>793</v>
      </c>
      <c r="E7" s="18" t="n">
        <v>40.45480161</v>
      </c>
      <c r="F7" s="20" t="n">
        <v>2.28258572</v>
      </c>
      <c r="G7" s="18" t="n">
        <v>58.04245094</v>
      </c>
      <c r="H7" s="20" t="n">
        <v>2.342117</v>
      </c>
      <c r="I7" s="18" t="s">
        <v>567</v>
      </c>
      <c r="J7" s="20" t="s">
        <v>567</v>
      </c>
      <c r="K7" s="18" t="n">
        <v>0.5532755499999999</v>
      </c>
      <c r="L7" s="20" t="n">
        <v>0.24214261</v>
      </c>
      <c r="M7" s="18" t="n">
        <v>0</v>
      </c>
      <c r="N7" s="20" t="n">
        <v>0</v>
      </c>
      <c r="O7" s="18" t="n">
        <v>0</v>
      </c>
      <c r="P7" s="20" t="n">
        <v>0</v>
      </c>
      <c r="Q7" s="18" t="n">
        <v>0.94947189</v>
      </c>
      <c r="R7" s="20" t="n">
        <v>0.41982223</v>
      </c>
    </row>
    <row r="8" spans="1:18">
      <c r="A8" s="15" t="s">
        <v>568</v>
      </c>
      <c r="B8" s="17" t="n">
        <v>3564</v>
      </c>
      <c r="C8" s="18">
        <f>(3184.0/B8*100)</f>
        <v/>
      </c>
      <c r="D8" s="19" t="n">
        <v>380</v>
      </c>
      <c r="E8" s="18" t="n">
        <v>40.80084646</v>
      </c>
      <c r="F8" s="20" t="n">
        <v>2.61024982</v>
      </c>
      <c r="G8" s="18" t="n">
        <v>57.38882344</v>
      </c>
      <c r="H8" s="20" t="n">
        <v>2.71707479</v>
      </c>
      <c r="I8" s="18" t="s">
        <v>567</v>
      </c>
      <c r="J8" s="20" t="s">
        <v>567</v>
      </c>
      <c r="K8" s="18" t="n">
        <v>0.98447271</v>
      </c>
      <c r="L8" s="20" t="n">
        <v>0.54708751</v>
      </c>
      <c r="M8" s="18" t="n">
        <v>0</v>
      </c>
      <c r="N8" s="20" t="n">
        <v>0</v>
      </c>
      <c r="O8" s="18" t="n">
        <v>0</v>
      </c>
      <c r="P8" s="20" t="n">
        <v>0</v>
      </c>
      <c r="Q8" s="18" t="n">
        <v>0.82585739</v>
      </c>
      <c r="R8" s="20" t="n">
        <v>0.45387431</v>
      </c>
    </row>
    <row r="9" spans="1:18">
      <c r="A9" s="15" t="s">
        <v>569</v>
      </c>
      <c r="B9" s="17" t="n">
        <v>4899</v>
      </c>
      <c r="C9" s="18">
        <f>(4354.0/B9*100)</f>
        <v/>
      </c>
      <c r="D9" s="19" t="n">
        <v>545</v>
      </c>
      <c r="E9" s="18" t="n">
        <v>41.35136213</v>
      </c>
      <c r="F9" s="20" t="n">
        <v>1.86306294</v>
      </c>
      <c r="G9" s="18" t="n">
        <v>57.21634377</v>
      </c>
      <c r="H9" s="20" t="n">
        <v>1.97547936</v>
      </c>
      <c r="I9" s="18" t="s">
        <v>567</v>
      </c>
      <c r="J9" s="20" t="s">
        <v>567</v>
      </c>
      <c r="K9" s="18" t="n">
        <v>0.43830262</v>
      </c>
      <c r="L9" s="20" t="n">
        <v>0.23454129</v>
      </c>
      <c r="M9" s="18" t="n">
        <v>0</v>
      </c>
      <c r="N9" s="20" t="n">
        <v>0</v>
      </c>
      <c r="O9" s="18" t="n">
        <v>0</v>
      </c>
      <c r="P9" s="20" t="n">
        <v>0</v>
      </c>
      <c r="Q9" s="18" t="n">
        <v>0.99399148</v>
      </c>
      <c r="R9" s="20" t="n">
        <v>0.39950557</v>
      </c>
    </row>
    <row r="10" spans="1:18">
      <c r="A10" s="15" t="s">
        <v>570</v>
      </c>
      <c r="B10" s="17" t="n">
        <v>10036</v>
      </c>
      <c r="C10" s="18">
        <f>(8916.0/B10*100)</f>
        <v/>
      </c>
      <c r="D10" s="19" t="n">
        <v>1120</v>
      </c>
      <c r="E10" s="18" t="n">
        <v>28.67693923</v>
      </c>
      <c r="F10" s="20" t="n">
        <v>2.24878756</v>
      </c>
      <c r="G10" s="18" t="n">
        <v>70.27337253</v>
      </c>
      <c r="H10" s="20" t="n">
        <v>2.18051374</v>
      </c>
      <c r="I10" s="18" t="s">
        <v>567</v>
      </c>
      <c r="J10" s="20" t="s">
        <v>567</v>
      </c>
      <c r="K10" s="18" t="n">
        <v>0.6182043699999999</v>
      </c>
      <c r="L10" s="20" t="n">
        <v>0.34677436</v>
      </c>
      <c r="M10" s="18" t="n">
        <v>0</v>
      </c>
      <c r="N10" s="20" t="n">
        <v>0</v>
      </c>
      <c r="O10" s="18" t="n">
        <v>0</v>
      </c>
      <c r="P10" s="20" t="n">
        <v>0</v>
      </c>
      <c r="Q10" s="18" t="n">
        <v>0.43148387</v>
      </c>
      <c r="R10" s="20" t="n">
        <v>0.19911771</v>
      </c>
    </row>
    <row r="11" spans="1:18">
      <c r="A11" s="15" t="s">
        <v>571</v>
      </c>
      <c r="B11" s="17" t="n">
        <v>3553</v>
      </c>
      <c r="C11" s="18">
        <f>(3174.0/B11*100)</f>
        <v/>
      </c>
      <c r="D11" s="19" t="n">
        <v>379</v>
      </c>
      <c r="E11" s="18" t="n">
        <v>62.1637383</v>
      </c>
      <c r="F11" s="20" t="n">
        <v>2.76674997</v>
      </c>
      <c r="G11" s="18" t="n">
        <v>35.00533993</v>
      </c>
      <c r="H11" s="20" t="n">
        <v>2.70064734</v>
      </c>
      <c r="I11" s="18" t="s">
        <v>567</v>
      </c>
      <c r="J11" s="20" t="s">
        <v>567</v>
      </c>
      <c r="K11" s="18" t="n">
        <v>1.73400276</v>
      </c>
      <c r="L11" s="20" t="n">
        <v>1.51138041</v>
      </c>
      <c r="M11" s="18" t="n">
        <v>0</v>
      </c>
      <c r="N11" s="20" t="n">
        <v>0</v>
      </c>
      <c r="O11" s="18" t="n">
        <v>0</v>
      </c>
      <c r="P11" s="20" t="n">
        <v>0</v>
      </c>
      <c r="Q11" s="18" t="n">
        <v>1.09691901</v>
      </c>
      <c r="R11" s="20" t="n">
        <v>0.5665107</v>
      </c>
    </row>
    <row r="12" spans="1:18">
      <c r="A12" s="15" t="s">
        <v>572</v>
      </c>
      <c r="B12" s="17" t="n">
        <v>3472</v>
      </c>
      <c r="C12" s="18">
        <f>(3086.0/B12*100)</f>
        <v/>
      </c>
      <c r="D12" s="19" t="n">
        <v>386</v>
      </c>
      <c r="E12" s="18" t="n">
        <v>41.70538065</v>
      </c>
      <c r="F12" s="20" t="n">
        <v>2.84511916</v>
      </c>
      <c r="G12" s="18" t="n">
        <v>57.44805702</v>
      </c>
      <c r="H12" s="20" t="n">
        <v>2.85241883</v>
      </c>
      <c r="I12" s="18" t="s">
        <v>567</v>
      </c>
      <c r="J12" s="20" t="s">
        <v>567</v>
      </c>
      <c r="K12" s="18" t="n">
        <v>0.20956731</v>
      </c>
      <c r="L12" s="20" t="n">
        <v>0.28362434</v>
      </c>
      <c r="M12" s="18" t="n">
        <v>0</v>
      </c>
      <c r="N12" s="20" t="n">
        <v>0</v>
      </c>
      <c r="O12" s="18" t="n">
        <v>0</v>
      </c>
      <c r="P12" s="20" t="n">
        <v>0</v>
      </c>
      <c r="Q12" s="18" t="n">
        <v>0.63699501</v>
      </c>
      <c r="R12" s="20" t="n">
        <v>0.6693560200000001</v>
      </c>
    </row>
    <row r="13" spans="1:18">
      <c r="A13" s="15" t="s">
        <v>573</v>
      </c>
      <c r="B13" s="17" t="n">
        <v>3559</v>
      </c>
      <c r="C13" s="18">
        <f>(3233.0/B13*100)</f>
        <v/>
      </c>
      <c r="D13" s="19" t="n">
        <v>326</v>
      </c>
      <c r="E13" s="18" t="n">
        <v>48.40731691</v>
      </c>
      <c r="F13" s="20" t="n">
        <v>2.95805846</v>
      </c>
      <c r="G13" s="18" t="n">
        <v>47.79131998</v>
      </c>
      <c r="H13" s="20" t="n">
        <v>3.06772927</v>
      </c>
      <c r="I13" s="18" t="s">
        <v>567</v>
      </c>
      <c r="J13" s="20" t="s">
        <v>567</v>
      </c>
      <c r="K13" s="18" t="n">
        <v>1.96304395</v>
      </c>
      <c r="L13" s="20" t="n">
        <v>1.05583585</v>
      </c>
      <c r="M13" s="18" t="n">
        <v>0</v>
      </c>
      <c r="N13" s="20" t="n">
        <v>0</v>
      </c>
      <c r="O13" s="18" t="n">
        <v>0</v>
      </c>
      <c r="P13" s="20" t="n">
        <v>0</v>
      </c>
      <c r="Q13" s="18" t="n">
        <v>1.83831916</v>
      </c>
      <c r="R13" s="20" t="n">
        <v>0.96722346</v>
      </c>
    </row>
    <row r="14" spans="1:18">
      <c r="A14" s="15" t="s">
        <v>574</v>
      </c>
      <c r="B14" s="17" t="n">
        <v>2799</v>
      </c>
      <c r="C14" s="18">
        <f>(2468.0/B14*100)</f>
        <v/>
      </c>
      <c r="D14" s="19" t="n">
        <v>331</v>
      </c>
      <c r="E14" s="18" t="n">
        <v>38.85913372</v>
      </c>
      <c r="F14" s="20" t="n">
        <v>2.78330052</v>
      </c>
      <c r="G14" s="18" t="n">
        <v>60.17523675</v>
      </c>
      <c r="H14" s="20" t="n">
        <v>2.77573222</v>
      </c>
      <c r="I14" s="18" t="s">
        <v>567</v>
      </c>
      <c r="J14" s="20" t="s">
        <v>567</v>
      </c>
      <c r="K14" s="18" t="n">
        <v>0.74154964</v>
      </c>
      <c r="L14" s="20" t="n">
        <v>0.44035684</v>
      </c>
      <c r="M14" s="18" t="n">
        <v>0</v>
      </c>
      <c r="N14" s="20" t="n">
        <v>0</v>
      </c>
      <c r="O14" s="18" t="n">
        <v>0</v>
      </c>
      <c r="P14" s="20" t="n">
        <v>0</v>
      </c>
      <c r="Q14" s="18" t="n">
        <v>0.22407988</v>
      </c>
      <c r="R14" s="20" t="n">
        <v>0.22449214</v>
      </c>
    </row>
    <row r="15" spans="1:18">
      <c r="A15" s="15" t="s">
        <v>575</v>
      </c>
      <c r="B15" s="17" t="n">
        <v>3019</v>
      </c>
      <c r="C15" s="18">
        <f>(2690.0/B15*100)</f>
        <v/>
      </c>
      <c r="D15" s="19" t="n">
        <v>329</v>
      </c>
      <c r="E15" s="18" t="n">
        <v>42.53739511</v>
      </c>
      <c r="F15" s="20" t="n">
        <v>3.03495307</v>
      </c>
      <c r="G15" s="18" t="n">
        <v>56.36574492</v>
      </c>
      <c r="H15" s="20" t="n">
        <v>3.02661021</v>
      </c>
      <c r="I15" s="18" t="s">
        <v>567</v>
      </c>
      <c r="J15" s="20" t="s">
        <v>567</v>
      </c>
      <c r="K15" s="18" t="n">
        <v>0.83619409</v>
      </c>
      <c r="L15" s="20" t="n">
        <v>0.4841962</v>
      </c>
      <c r="M15" s="18" t="n">
        <v>0</v>
      </c>
      <c r="N15" s="20" t="n">
        <v>0</v>
      </c>
      <c r="O15" s="18" t="n">
        <v>0</v>
      </c>
      <c r="P15" s="20" t="n">
        <v>0</v>
      </c>
      <c r="Q15" s="18" t="n">
        <v>0.26066588</v>
      </c>
      <c r="R15" s="20" t="n">
        <v>0.26574801</v>
      </c>
    </row>
    <row r="16" spans="1:18">
      <c r="A16" s="15" t="s">
        <v>576</v>
      </c>
      <c r="B16" s="17" t="n">
        <v>2997</v>
      </c>
      <c r="C16" s="18">
        <f>(2658.0/B16*100)</f>
        <v/>
      </c>
      <c r="D16" s="19" t="n">
        <v>339</v>
      </c>
      <c r="E16" s="18" t="n">
        <v>44.33098087</v>
      </c>
      <c r="F16" s="20" t="n">
        <v>2.90411913</v>
      </c>
      <c r="G16" s="18" t="n">
        <v>51.61540934</v>
      </c>
      <c r="H16" s="20" t="n">
        <v>2.89293793</v>
      </c>
      <c r="I16" s="18" t="s">
        <v>567</v>
      </c>
      <c r="J16" s="20" t="s">
        <v>567</v>
      </c>
      <c r="K16" s="18" t="n">
        <v>2.47765046</v>
      </c>
      <c r="L16" s="20" t="n">
        <v>0.87116045</v>
      </c>
      <c r="M16" s="18" t="n">
        <v>0</v>
      </c>
      <c r="N16" s="20" t="n">
        <v>0</v>
      </c>
      <c r="O16" s="18" t="n">
        <v>0</v>
      </c>
      <c r="P16" s="20" t="n">
        <v>0</v>
      </c>
      <c r="Q16" s="18" t="n">
        <v>1.57595932</v>
      </c>
      <c r="R16" s="20" t="n">
        <v>0.71478491</v>
      </c>
    </row>
    <row r="17" spans="1:18">
      <c r="A17" s="15" t="s">
        <v>577</v>
      </c>
      <c r="B17" s="17" t="n">
        <v>3307</v>
      </c>
      <c r="C17" s="18">
        <f>(2971.0/B17*100)</f>
        <v/>
      </c>
      <c r="D17" s="19" t="n">
        <v>336</v>
      </c>
      <c r="E17" s="18" t="n">
        <v>37.40979866</v>
      </c>
      <c r="F17" s="20" t="n">
        <v>2.69980318</v>
      </c>
      <c r="G17" s="18" t="n">
        <v>61.33663052</v>
      </c>
      <c r="H17" s="20" t="n">
        <v>2.77942038</v>
      </c>
      <c r="I17" s="18" t="s">
        <v>567</v>
      </c>
      <c r="J17" s="20" t="s">
        <v>567</v>
      </c>
      <c r="K17" s="18" t="n">
        <v>1.04967481</v>
      </c>
      <c r="L17" s="20" t="n">
        <v>0.5473811200000001</v>
      </c>
      <c r="M17" s="18" t="n">
        <v>0</v>
      </c>
      <c r="N17" s="20" t="n">
        <v>0</v>
      </c>
      <c r="O17" s="18" t="n">
        <v>0</v>
      </c>
      <c r="P17" s="20" t="n">
        <v>0</v>
      </c>
      <c r="Q17" s="18" t="n">
        <v>0.20389601</v>
      </c>
      <c r="R17" s="20" t="n">
        <v>0.20313808</v>
      </c>
    </row>
    <row r="18" spans="1:18">
      <c r="A18" s="15" t="s">
        <v>578</v>
      </c>
      <c r="B18" s="17" t="n">
        <v>2826</v>
      </c>
      <c r="C18" s="18">
        <f>(2502.0/B18*100)</f>
        <v/>
      </c>
      <c r="D18" s="19" t="n">
        <v>324</v>
      </c>
      <c r="E18" s="18" t="n">
        <v>57.62492121</v>
      </c>
      <c r="F18" s="20" t="n">
        <v>2.84504704</v>
      </c>
      <c r="G18" s="18" t="n">
        <v>40.13603702</v>
      </c>
      <c r="H18" s="20" t="n">
        <v>2.96565603</v>
      </c>
      <c r="I18" s="18" t="s">
        <v>567</v>
      </c>
      <c r="J18" s="20" t="s">
        <v>567</v>
      </c>
      <c r="K18" s="18" t="n">
        <v>0.74827764</v>
      </c>
      <c r="L18" s="20" t="n">
        <v>0.44929011</v>
      </c>
      <c r="M18" s="18" t="n">
        <v>0</v>
      </c>
      <c r="N18" s="20" t="n">
        <v>0</v>
      </c>
      <c r="O18" s="18" t="n">
        <v>0</v>
      </c>
      <c r="P18" s="20" t="n">
        <v>0</v>
      </c>
      <c r="Q18" s="18" t="n">
        <v>1.49076413</v>
      </c>
      <c r="R18" s="20" t="n">
        <v>0.9812243899999999</v>
      </c>
    </row>
    <row r="19" spans="1:18">
      <c r="A19" s="15" t="s">
        <v>579</v>
      </c>
      <c r="B19" s="17" t="n">
        <v>2808</v>
      </c>
      <c r="C19" s="18">
        <f>(2499.0/B19*100)</f>
        <v/>
      </c>
      <c r="D19" s="19" t="n">
        <v>309</v>
      </c>
      <c r="E19" s="18" t="n">
        <v>54.60960257</v>
      </c>
      <c r="F19" s="20" t="n">
        <v>3.23940098</v>
      </c>
      <c r="G19" s="18" t="n">
        <v>45.04415756</v>
      </c>
      <c r="H19" s="20" t="n">
        <v>3.1612821</v>
      </c>
      <c r="I19" s="18" t="s">
        <v>567</v>
      </c>
      <c r="J19" s="20" t="s">
        <v>567</v>
      </c>
      <c r="K19" s="18" t="n">
        <v>0</v>
      </c>
      <c r="L19" s="20" t="n">
        <v>0</v>
      </c>
      <c r="M19" s="18" t="n">
        <v>0</v>
      </c>
      <c r="N19" s="20" t="n">
        <v>0</v>
      </c>
      <c r="O19" s="18" t="n">
        <v>0</v>
      </c>
      <c r="P19" s="20" t="n">
        <v>0</v>
      </c>
      <c r="Q19" s="18" t="n">
        <v>0.34623988</v>
      </c>
      <c r="R19" s="20" t="n">
        <v>0.34514962</v>
      </c>
    </row>
    <row r="20" spans="1:18">
      <c r="A20" s="15" t="s">
        <v>580</v>
      </c>
      <c r="B20" s="17" t="n">
        <v>1630</v>
      </c>
      <c r="C20" s="18">
        <f>(1465.0/B20*100)</f>
        <v/>
      </c>
      <c r="D20" s="19" t="n">
        <v>165</v>
      </c>
      <c r="E20" s="18" t="n">
        <v>40.49555281</v>
      </c>
      <c r="F20" s="20" t="n">
        <v>4.1618348</v>
      </c>
      <c r="G20" s="18" t="n">
        <v>57.8045103</v>
      </c>
      <c r="H20" s="20" t="n">
        <v>4.0490866</v>
      </c>
      <c r="I20" s="18" t="s">
        <v>567</v>
      </c>
      <c r="J20" s="20" t="s">
        <v>567</v>
      </c>
      <c r="K20" s="18" t="n">
        <v>0.51202147</v>
      </c>
      <c r="L20" s="20" t="n">
        <v>0.51344866</v>
      </c>
      <c r="M20" s="18" t="n">
        <v>0</v>
      </c>
      <c r="N20" s="20" t="n">
        <v>0</v>
      </c>
      <c r="O20" s="18" t="n">
        <v>0</v>
      </c>
      <c r="P20" s="20" t="n">
        <v>0</v>
      </c>
      <c r="Q20" s="18" t="n">
        <v>1.18791541</v>
      </c>
      <c r="R20" s="20" t="n">
        <v>0.83422717</v>
      </c>
    </row>
    <row r="21" spans="1:18">
      <c r="A21" s="15" t="s">
        <v>581</v>
      </c>
      <c r="B21" s="17" t="n">
        <v>2908</v>
      </c>
      <c r="C21" s="18">
        <f>(2577.0/B21*100)</f>
        <v/>
      </c>
      <c r="D21" s="19" t="n">
        <v>331</v>
      </c>
      <c r="E21" s="18" t="n">
        <v>35.95260556</v>
      </c>
      <c r="F21" s="20" t="n">
        <v>2.88727936</v>
      </c>
      <c r="G21" s="18" t="n">
        <v>62.28322356</v>
      </c>
      <c r="H21" s="20" t="n">
        <v>2.73790252</v>
      </c>
      <c r="I21" s="18" t="s">
        <v>567</v>
      </c>
      <c r="J21" s="20" t="s">
        <v>567</v>
      </c>
      <c r="K21" s="18" t="n">
        <v>0.86914622</v>
      </c>
      <c r="L21" s="20" t="n">
        <v>0.48692623</v>
      </c>
      <c r="M21" s="18" t="n">
        <v>0</v>
      </c>
      <c r="N21" s="20" t="n">
        <v>0</v>
      </c>
      <c r="O21" s="18" t="n">
        <v>0</v>
      </c>
      <c r="P21" s="20" t="n">
        <v>0</v>
      </c>
      <c r="Q21" s="18" t="n">
        <v>0.89502466</v>
      </c>
      <c r="R21" s="20" t="n">
        <v>0.48668887</v>
      </c>
    </row>
    <row r="22" spans="1:18">
      <c r="A22" s="15" t="s">
        <v>582</v>
      </c>
      <c r="B22" s="17" t="n">
        <v>2931</v>
      </c>
      <c r="C22" s="18">
        <f>(2609.0/B22*100)</f>
        <v/>
      </c>
      <c r="D22" s="19" t="n">
        <v>322</v>
      </c>
      <c r="E22" s="18" t="n">
        <v>55.9792241</v>
      </c>
      <c r="F22" s="20" t="n">
        <v>2.6022764</v>
      </c>
      <c r="G22" s="18" t="n">
        <v>42.01273629</v>
      </c>
      <c r="H22" s="20" t="n">
        <v>2.72988798</v>
      </c>
      <c r="I22" s="18" t="s">
        <v>567</v>
      </c>
      <c r="J22" s="20" t="s">
        <v>567</v>
      </c>
      <c r="K22" s="18" t="n">
        <v>1.67492094</v>
      </c>
      <c r="L22" s="20" t="n">
        <v>0.9226105</v>
      </c>
      <c r="M22" s="18" t="n">
        <v>0</v>
      </c>
      <c r="N22" s="20" t="n">
        <v>0</v>
      </c>
      <c r="O22" s="18" t="n">
        <v>0</v>
      </c>
      <c r="P22" s="20" t="n">
        <v>0</v>
      </c>
      <c r="Q22" s="18" t="n">
        <v>0.33311868</v>
      </c>
      <c r="R22" s="20" t="n">
        <v>0.30781144</v>
      </c>
    </row>
    <row r="23" spans="1:18">
      <c r="A23" s="15" t="s">
        <v>583</v>
      </c>
      <c r="B23" s="17" t="n">
        <v>5791</v>
      </c>
      <c r="C23" s="18">
        <f>(5157.0/B23*100)</f>
        <v/>
      </c>
      <c r="D23" s="19" t="n">
        <v>634</v>
      </c>
      <c r="E23" s="18" t="n">
        <v>40.31073298</v>
      </c>
      <c r="F23" s="20" t="n">
        <v>2.40846376</v>
      </c>
      <c r="G23" s="18" t="n">
        <v>58.76476468</v>
      </c>
      <c r="H23" s="20" t="n">
        <v>2.39706095</v>
      </c>
      <c r="I23" s="18" t="s">
        <v>567</v>
      </c>
      <c r="J23" s="20" t="s">
        <v>567</v>
      </c>
      <c r="K23" s="18" t="n">
        <v>0.34862523</v>
      </c>
      <c r="L23" s="20" t="n">
        <v>0.33175182</v>
      </c>
      <c r="M23" s="18" t="n">
        <v>0</v>
      </c>
      <c r="N23" s="20" t="n">
        <v>0</v>
      </c>
      <c r="O23" s="18" t="n">
        <v>0</v>
      </c>
      <c r="P23" s="20" t="n">
        <v>0</v>
      </c>
      <c r="Q23" s="18" t="n">
        <v>0.57587711</v>
      </c>
      <c r="R23" s="20" t="n">
        <v>0.505923</v>
      </c>
    </row>
    <row r="24" spans="1:18">
      <c r="A24" s="15" t="s">
        <v>584</v>
      </c>
      <c r="B24" s="17" t="n">
        <v>3338</v>
      </c>
      <c r="C24" s="18">
        <f>(2979.0/B24*100)</f>
        <v/>
      </c>
      <c r="D24" s="19" t="n">
        <v>359</v>
      </c>
      <c r="E24" s="18" t="n">
        <v>28.94382402</v>
      </c>
      <c r="F24" s="20" t="n">
        <v>2.58992842</v>
      </c>
      <c r="G24" s="18" t="n">
        <v>70.55080586</v>
      </c>
      <c r="H24" s="20" t="n">
        <v>2.54435772</v>
      </c>
      <c r="I24" s="18" t="s">
        <v>567</v>
      </c>
      <c r="J24" s="20" t="s">
        <v>567</v>
      </c>
      <c r="K24" s="18" t="n">
        <v>0.22826839</v>
      </c>
      <c r="L24" s="20" t="n">
        <v>0.22885642</v>
      </c>
      <c r="M24" s="18" t="n">
        <v>0</v>
      </c>
      <c r="N24" s="20" t="n">
        <v>0</v>
      </c>
      <c r="O24" s="18" t="n">
        <v>0</v>
      </c>
      <c r="P24" s="20" t="n">
        <v>0</v>
      </c>
      <c r="Q24" s="18" t="n">
        <v>0.27710173</v>
      </c>
      <c r="R24" s="20" t="n">
        <v>0.2741407</v>
      </c>
    </row>
    <row r="25" spans="1:18">
      <c r="A25" s="15" t="s">
        <v>585</v>
      </c>
      <c r="B25" s="17" t="n">
        <v>2912</v>
      </c>
      <c r="C25" s="18">
        <f>(2607.0/B25*100)</f>
        <v/>
      </c>
      <c r="D25" s="19" t="n">
        <v>305</v>
      </c>
      <c r="E25" s="18" t="n">
        <v>31.93828097</v>
      </c>
      <c r="F25" s="20" t="n">
        <v>2.70690614</v>
      </c>
      <c r="G25" s="18" t="n">
        <v>67.42996128999999</v>
      </c>
      <c r="H25" s="20" t="n">
        <v>2.80482785</v>
      </c>
      <c r="I25" s="18" t="s">
        <v>567</v>
      </c>
      <c r="J25" s="20" t="s">
        <v>567</v>
      </c>
      <c r="K25" s="18" t="n">
        <v>0.27779048</v>
      </c>
      <c r="L25" s="20" t="n">
        <v>0.28180144</v>
      </c>
      <c r="M25" s="18" t="n">
        <v>0</v>
      </c>
      <c r="N25" s="20" t="n">
        <v>0</v>
      </c>
      <c r="O25" s="18" t="n">
        <v>0</v>
      </c>
      <c r="P25" s="20" t="n">
        <v>0</v>
      </c>
      <c r="Q25" s="18" t="n">
        <v>0.35396727</v>
      </c>
      <c r="R25" s="20" t="n">
        <v>0.35765584</v>
      </c>
    </row>
    <row r="26" spans="1:18">
      <c r="A26" s="15" t="s">
        <v>586</v>
      </c>
      <c r="B26" s="17" t="n">
        <v>2450</v>
      </c>
      <c r="C26" s="18">
        <f>(2180.0/B26*100)</f>
        <v/>
      </c>
      <c r="D26" s="19" t="n">
        <v>270</v>
      </c>
      <c r="E26" s="18" t="n">
        <v>53.1294857</v>
      </c>
      <c r="F26" s="20" t="n">
        <v>3.65573731</v>
      </c>
      <c r="G26" s="18" t="n">
        <v>46.8705143</v>
      </c>
      <c r="H26" s="20" t="n">
        <v>3.65573731</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(2323.0/B27*100)</f>
        <v/>
      </c>
      <c r="D27" s="19" t="n">
        <v>293</v>
      </c>
      <c r="E27" s="18" t="n">
        <v>48.70575905</v>
      </c>
      <c r="F27" s="20" t="n">
        <v>2.85866959</v>
      </c>
      <c r="G27" s="18" t="n">
        <v>50.26277326</v>
      </c>
      <c r="H27" s="20" t="n">
        <v>2.81792761</v>
      </c>
      <c r="I27" s="18" t="s">
        <v>567</v>
      </c>
      <c r="J27" s="20" t="s">
        <v>567</v>
      </c>
      <c r="K27" s="18" t="n">
        <v>0.69556151</v>
      </c>
      <c r="L27" s="20" t="n">
        <v>0.49441728</v>
      </c>
      <c r="M27" s="18" t="n">
        <v>0</v>
      </c>
      <c r="N27" s="20" t="n">
        <v>0</v>
      </c>
      <c r="O27" s="18" t="n">
        <v>0</v>
      </c>
      <c r="P27" s="20" t="n">
        <v>0</v>
      </c>
      <c r="Q27" s="18" t="n">
        <v>0.33590618</v>
      </c>
      <c r="R27" s="20" t="n">
        <v>0.33629858</v>
      </c>
    </row>
    <row r="28" spans="1:18">
      <c r="A28" s="15" t="s">
        <v>588</v>
      </c>
      <c r="B28" s="17" t="n">
        <v>3765</v>
      </c>
      <c r="C28" s="18">
        <f>(3403.0/B28*100)</f>
        <v/>
      </c>
      <c r="D28" s="19" t="n">
        <v>362</v>
      </c>
      <c r="E28" s="18" t="n">
        <v>59.15240877</v>
      </c>
      <c r="F28" s="20" t="n">
        <v>3.10500994</v>
      </c>
      <c r="G28" s="18" t="n">
        <v>39.72565406</v>
      </c>
      <c r="H28" s="20" t="n">
        <v>3.20470309</v>
      </c>
      <c r="I28" s="18" t="s">
        <v>567</v>
      </c>
      <c r="J28" s="20" t="s">
        <v>567</v>
      </c>
      <c r="K28" s="18" t="n">
        <v>0.64905731</v>
      </c>
      <c r="L28" s="20" t="n">
        <v>0.52332532</v>
      </c>
      <c r="M28" s="18" t="n">
        <v>0</v>
      </c>
      <c r="N28" s="20" t="n">
        <v>0</v>
      </c>
      <c r="O28" s="18" t="n">
        <v>0</v>
      </c>
      <c r="P28" s="20" t="n">
        <v>0</v>
      </c>
      <c r="Q28" s="18" t="n">
        <v>0.47287986</v>
      </c>
      <c r="R28" s="20" t="n">
        <v>0.34930725</v>
      </c>
    </row>
    <row r="29" spans="1:18">
      <c r="A29" s="15" t="s">
        <v>589</v>
      </c>
      <c r="B29" s="17" t="n">
        <v>2685</v>
      </c>
      <c r="C29" s="18">
        <f>(2404.0/B29*100)</f>
        <v/>
      </c>
      <c r="D29" s="19" t="n">
        <v>281</v>
      </c>
      <c r="E29" s="18" t="n">
        <v>36.1376607</v>
      </c>
      <c r="F29" s="20" t="n">
        <v>3.13591381</v>
      </c>
      <c r="G29" s="18" t="n">
        <v>62.73559944</v>
      </c>
      <c r="H29" s="20" t="n">
        <v>3.20545836</v>
      </c>
      <c r="I29" s="18" t="s">
        <v>567</v>
      </c>
      <c r="J29" s="20" t="s">
        <v>567</v>
      </c>
      <c r="K29" s="18" t="n">
        <v>0.36807508</v>
      </c>
      <c r="L29" s="20" t="n">
        <v>0.36480756</v>
      </c>
      <c r="M29" s="18" t="n">
        <v>0</v>
      </c>
      <c r="N29" s="20" t="n">
        <v>0</v>
      </c>
      <c r="O29" s="18" t="n">
        <v>0</v>
      </c>
      <c r="P29" s="20" t="n">
        <v>0</v>
      </c>
      <c r="Q29" s="18" t="n">
        <v>0.75866478</v>
      </c>
      <c r="R29" s="20" t="n">
        <v>0.54534672</v>
      </c>
    </row>
    <row r="30" spans="1:18">
      <c r="A30" s="15" t="s">
        <v>590</v>
      </c>
      <c r="B30" s="17" t="n">
        <v>2263</v>
      </c>
      <c r="C30" s="18">
        <f>(2008.0/B30*100)</f>
        <v/>
      </c>
      <c r="D30" s="19" t="n">
        <v>255</v>
      </c>
      <c r="E30" s="18" t="n">
        <v>42.00790761</v>
      </c>
      <c r="F30" s="20" t="n">
        <v>2.98350898</v>
      </c>
      <c r="G30" s="18" t="n">
        <v>56.31334353</v>
      </c>
      <c r="H30" s="20" t="n">
        <v>3.07814083</v>
      </c>
      <c r="I30" s="18" t="s">
        <v>567</v>
      </c>
      <c r="J30" s="20" t="s">
        <v>567</v>
      </c>
      <c r="K30" s="18" t="n">
        <v>0.41626779</v>
      </c>
      <c r="L30" s="20" t="n">
        <v>0.4361056</v>
      </c>
      <c r="M30" s="18" t="n">
        <v>0</v>
      </c>
      <c r="N30" s="20" t="n">
        <v>0</v>
      </c>
      <c r="O30" s="18" t="n">
        <v>0</v>
      </c>
      <c r="P30" s="20" t="n">
        <v>0</v>
      </c>
      <c r="Q30" s="18" t="n">
        <v>1.26248106</v>
      </c>
      <c r="R30" s="20" t="n">
        <v>0.72213902</v>
      </c>
    </row>
    <row r="31" spans="1:18">
      <c r="A31" s="15" t="s">
        <v>591</v>
      </c>
      <c r="B31" s="17" t="n">
        <v>2750</v>
      </c>
      <c r="C31" s="18">
        <f>(2453.0/B31*100)</f>
        <v/>
      </c>
      <c r="D31" s="19" t="n">
        <v>297</v>
      </c>
      <c r="E31" s="18" t="n">
        <v>30.31833418</v>
      </c>
      <c r="F31" s="20" t="n">
        <v>2.60114229</v>
      </c>
      <c r="G31" s="18" t="n">
        <v>68.02906629</v>
      </c>
      <c r="H31" s="20" t="n">
        <v>2.72195536</v>
      </c>
      <c r="I31" s="18" t="s">
        <v>567</v>
      </c>
      <c r="J31" s="20" t="s">
        <v>567</v>
      </c>
      <c r="K31" s="18" t="n">
        <v>0.61739135</v>
      </c>
      <c r="L31" s="20" t="n">
        <v>0.42433316</v>
      </c>
      <c r="M31" s="18" t="n">
        <v>0</v>
      </c>
      <c r="N31" s="20" t="n">
        <v>0</v>
      </c>
      <c r="O31" s="18" t="n">
        <v>0</v>
      </c>
      <c r="P31" s="20" t="n">
        <v>0</v>
      </c>
      <c r="Q31" s="18" t="n">
        <v>1.03520818</v>
      </c>
      <c r="R31" s="20" t="n">
        <v>0.61105517</v>
      </c>
    </row>
    <row r="32" spans="1:18">
      <c r="A32" s="15" t="s">
        <v>592</v>
      </c>
      <c r="B32" s="17" t="n">
        <v>2269</v>
      </c>
      <c r="C32" s="18">
        <f>(2026.0/B32*100)</f>
        <v/>
      </c>
      <c r="D32" s="19" t="n">
        <v>243</v>
      </c>
      <c r="E32" s="18" t="n">
        <v>46.91765007</v>
      </c>
      <c r="F32" s="20" t="n">
        <v>3.08423198</v>
      </c>
      <c r="G32" s="18" t="n">
        <v>52.30689832</v>
      </c>
      <c r="H32" s="20" t="n">
        <v>3.05917725</v>
      </c>
      <c r="I32" s="18" t="s">
        <v>567</v>
      </c>
      <c r="J32" s="20" t="s">
        <v>567</v>
      </c>
      <c r="K32" s="18" t="n">
        <v>0.36613784</v>
      </c>
      <c r="L32" s="20" t="n">
        <v>0.35763378</v>
      </c>
      <c r="M32" s="18" t="n">
        <v>0</v>
      </c>
      <c r="N32" s="20" t="n">
        <v>0</v>
      </c>
      <c r="O32" s="18" t="n">
        <v>0</v>
      </c>
      <c r="P32" s="20" t="n">
        <v>0</v>
      </c>
      <c r="Q32" s="18" t="n">
        <v>0.40931377</v>
      </c>
      <c r="R32" s="20" t="n">
        <v>0.43687409</v>
      </c>
    </row>
    <row r="33" spans="1:18">
      <c r="A33" s="15" t="s">
        <v>593</v>
      </c>
      <c r="B33" s="17" t="n">
        <v>3674</v>
      </c>
      <c r="C33" s="18">
        <f>(3303.0/B33*100)</f>
        <v/>
      </c>
      <c r="D33" s="19" t="n">
        <v>371</v>
      </c>
      <c r="E33" s="18" t="n">
        <v>34.6775974</v>
      </c>
      <c r="F33" s="20" t="n">
        <v>3.05745082</v>
      </c>
      <c r="G33" s="18" t="n">
        <v>64.64548688000001</v>
      </c>
      <c r="H33" s="20" t="n">
        <v>2.95335618</v>
      </c>
      <c r="I33" s="18" t="s">
        <v>567</v>
      </c>
      <c r="J33" s="20" t="s">
        <v>567</v>
      </c>
      <c r="K33" s="18" t="n">
        <v>0.45764783</v>
      </c>
      <c r="L33" s="20" t="n">
        <v>0.47778072</v>
      </c>
      <c r="M33" s="18" t="n">
        <v>0</v>
      </c>
      <c r="N33" s="20" t="n">
        <v>0</v>
      </c>
      <c r="O33" s="18" t="n">
        <v>0</v>
      </c>
      <c r="P33" s="20" t="n">
        <v>0</v>
      </c>
      <c r="Q33" s="18" t="n">
        <v>0.21926789</v>
      </c>
      <c r="R33" s="20" t="n">
        <v>0.25917773</v>
      </c>
    </row>
    <row r="34" spans="1:18">
      <c r="A34" s="15" t="s">
        <v>594</v>
      </c>
      <c r="B34" s="17" t="n">
        <v>3315</v>
      </c>
      <c r="C34" s="18">
        <f>(2976.0/B34*100)</f>
        <v/>
      </c>
      <c r="D34" s="19" t="n">
        <v>339</v>
      </c>
      <c r="E34" s="18" t="n">
        <v>52.45194905</v>
      </c>
      <c r="F34" s="20" t="n">
        <v>2.79680167</v>
      </c>
      <c r="G34" s="18" t="n">
        <v>46.80768027</v>
      </c>
      <c r="H34" s="20" t="n">
        <v>2.79108921</v>
      </c>
      <c r="I34" s="18" t="s">
        <v>567</v>
      </c>
      <c r="J34" s="20" t="s">
        <v>567</v>
      </c>
      <c r="K34" s="18" t="n">
        <v>0.44934684</v>
      </c>
      <c r="L34" s="20" t="n">
        <v>0.45322687</v>
      </c>
      <c r="M34" s="18" t="n">
        <v>0</v>
      </c>
      <c r="N34" s="20" t="n">
        <v>0</v>
      </c>
      <c r="O34" s="18" t="n">
        <v>0</v>
      </c>
      <c r="P34" s="20" t="n">
        <v>0</v>
      </c>
      <c r="Q34" s="18" t="n">
        <v>0.29102383</v>
      </c>
      <c r="R34" s="20" t="n">
        <v>0.28366242</v>
      </c>
    </row>
    <row r="35" spans="1:18">
      <c r="A35" s="15" t="s">
        <v>595</v>
      </c>
      <c r="B35" s="17" t="n">
        <v>3505</v>
      </c>
      <c r="C35" s="18">
        <f>(3122.0/B35*100)</f>
        <v/>
      </c>
      <c r="D35" s="19" t="n">
        <v>383</v>
      </c>
      <c r="E35" s="18" t="n">
        <v>43.33478089</v>
      </c>
      <c r="F35" s="20" t="n">
        <v>3.09791474</v>
      </c>
      <c r="G35" s="18" t="n">
        <v>56.16934807</v>
      </c>
      <c r="H35" s="20" t="n">
        <v>3.09556305</v>
      </c>
      <c r="I35" s="18" t="s">
        <v>567</v>
      </c>
      <c r="J35" s="20" t="s">
        <v>567</v>
      </c>
      <c r="K35" s="18" t="n">
        <v>0</v>
      </c>
      <c r="L35" s="20" t="n">
        <v>0</v>
      </c>
      <c r="M35" s="18" t="n">
        <v>0</v>
      </c>
      <c r="N35" s="20" t="n">
        <v>0</v>
      </c>
      <c r="O35" s="18" t="n">
        <v>0</v>
      </c>
      <c r="P35" s="20" t="n">
        <v>0</v>
      </c>
      <c r="Q35" s="18" t="n">
        <v>0.49587104</v>
      </c>
      <c r="R35" s="20" t="n">
        <v>0.35631921</v>
      </c>
    </row>
    <row r="36" spans="1:18">
      <c r="A36" s="15" t="s">
        <v>596</v>
      </c>
      <c r="B36" s="17" t="n">
        <v>3332</v>
      </c>
      <c r="C36" s="18">
        <f>(2959.0/B36*100)</f>
        <v/>
      </c>
      <c r="D36" s="19" t="n">
        <v>373</v>
      </c>
      <c r="E36" s="18" t="n">
        <v>39.92268675</v>
      </c>
      <c r="F36" s="20" t="n">
        <v>2.9548907</v>
      </c>
      <c r="G36" s="18" t="n">
        <v>58.227424</v>
      </c>
      <c r="H36" s="20" t="n">
        <v>2.97529623</v>
      </c>
      <c r="I36" s="18" t="s">
        <v>567</v>
      </c>
      <c r="J36" s="20" t="s">
        <v>567</v>
      </c>
      <c r="K36" s="18" t="n">
        <v>0.69126787</v>
      </c>
      <c r="L36" s="20" t="n">
        <v>0.38097854</v>
      </c>
      <c r="M36" s="18" t="n">
        <v>0</v>
      </c>
      <c r="N36" s="20" t="n">
        <v>0</v>
      </c>
      <c r="O36" s="18" t="n">
        <v>0</v>
      </c>
      <c r="P36" s="20" t="n">
        <v>0</v>
      </c>
      <c r="Q36" s="18" t="n">
        <v>1.15862138</v>
      </c>
      <c r="R36" s="20" t="n">
        <v>0.33520502</v>
      </c>
    </row>
    <row r="37" spans="1:18">
      <c r="A37" s="15" t="s">
        <v>597</v>
      </c>
      <c r="B37" s="17" t="n">
        <v>2727</v>
      </c>
      <c r="C37" s="18">
        <f>(2425.0/B37*100)</f>
        <v/>
      </c>
      <c r="D37" s="19" t="n">
        <v>302</v>
      </c>
      <c r="E37" s="18" t="n">
        <v>32.17170623</v>
      </c>
      <c r="F37" s="20" t="n">
        <v>3.04513302</v>
      </c>
      <c r="G37" s="18" t="n">
        <v>64.88382684</v>
      </c>
      <c r="H37" s="20" t="n">
        <v>3.05682971</v>
      </c>
      <c r="I37" s="18" t="s">
        <v>567</v>
      </c>
      <c r="J37" s="20" t="s">
        <v>567</v>
      </c>
      <c r="K37" s="18" t="n">
        <v>0</v>
      </c>
      <c r="L37" s="20" t="n">
        <v>0</v>
      </c>
      <c r="M37" s="18" t="n">
        <v>0</v>
      </c>
      <c r="N37" s="20" t="n">
        <v>0</v>
      </c>
      <c r="O37" s="18" t="n">
        <v>0</v>
      </c>
      <c r="P37" s="20" t="n">
        <v>0</v>
      </c>
      <c r="Q37" s="18" t="n">
        <v>2.94446693</v>
      </c>
      <c r="R37" s="20" t="n">
        <v>1.17977435</v>
      </c>
    </row>
    <row r="38" spans="1:18">
      <c r="A38" s="15" t="s">
        <v>598</v>
      </c>
      <c r="B38" s="17" t="n">
        <v>3053</v>
      </c>
      <c r="C38" s="18">
        <f>(2726.0/B38*100)</f>
        <v/>
      </c>
      <c r="D38" s="19" t="n">
        <v>327</v>
      </c>
      <c r="E38" s="18" t="n">
        <v>44.2711741</v>
      </c>
      <c r="F38" s="20" t="n">
        <v>3.18099854</v>
      </c>
      <c r="G38" s="18" t="n">
        <v>54.88766454</v>
      </c>
      <c r="H38" s="20" t="n">
        <v>3.25671833</v>
      </c>
      <c r="I38" s="18" t="s">
        <v>567</v>
      </c>
      <c r="J38" s="20" t="s">
        <v>567</v>
      </c>
      <c r="K38" s="18" t="n">
        <v>0.8120782</v>
      </c>
      <c r="L38" s="20" t="n">
        <v>0.5406196</v>
      </c>
      <c r="M38" s="18" t="n">
        <v>0</v>
      </c>
      <c r="N38" s="20" t="n">
        <v>0</v>
      </c>
      <c r="O38" s="18" t="n">
        <v>0</v>
      </c>
      <c r="P38" s="20" t="n">
        <v>0</v>
      </c>
      <c r="Q38" s="18" t="n">
        <v>0.02908315</v>
      </c>
      <c r="R38" s="20" t="n">
        <v>0.02921103</v>
      </c>
    </row>
    <row r="39" spans="1:18">
      <c r="A39" s="15" t="s">
        <v>599</v>
      </c>
      <c r="B39" s="17" t="n">
        <v>2957</v>
      </c>
      <c r="C39" s="18">
        <f>(2625.0/B39*100)</f>
        <v/>
      </c>
      <c r="D39" s="19" t="n">
        <v>332</v>
      </c>
      <c r="E39" s="18" t="n">
        <v>51.69250391</v>
      </c>
      <c r="F39" s="20" t="n">
        <v>3.72655816</v>
      </c>
      <c r="G39" s="18" t="n">
        <v>46.91387656</v>
      </c>
      <c r="H39" s="20" t="n">
        <v>3.68987403</v>
      </c>
      <c r="I39" s="18" t="s">
        <v>567</v>
      </c>
      <c r="J39" s="20" t="s">
        <v>567</v>
      </c>
      <c r="K39" s="18" t="n">
        <v>0.40841813</v>
      </c>
      <c r="L39" s="20" t="n">
        <v>0.26465323</v>
      </c>
      <c r="M39" s="18" t="n">
        <v>0</v>
      </c>
      <c r="N39" s="20" t="n">
        <v>0</v>
      </c>
      <c r="O39" s="18" t="n">
        <v>0</v>
      </c>
      <c r="P39" s="20" t="n">
        <v>0</v>
      </c>
      <c r="Q39" s="18" t="n">
        <v>0.9852014</v>
      </c>
      <c r="R39" s="20" t="n">
        <v>0.81353055</v>
      </c>
    </row>
    <row r="40" spans="1:18">
      <c r="A40" s="15" t="s">
        <v>600</v>
      </c>
      <c r="B40" s="17" t="n">
        <v>7235</v>
      </c>
      <c r="C40" s="18">
        <f>(6398.0/B40*100)</f>
        <v/>
      </c>
      <c r="D40" s="19" t="n">
        <v>837</v>
      </c>
      <c r="E40" s="18" t="n">
        <v>36.54258406</v>
      </c>
      <c r="F40" s="20" t="n">
        <v>2.49702944</v>
      </c>
      <c r="G40" s="18" t="n">
        <v>61.17913206</v>
      </c>
      <c r="H40" s="20" t="n">
        <v>2.59325396</v>
      </c>
      <c r="I40" s="18" t="s">
        <v>567</v>
      </c>
      <c r="J40" s="20" t="s">
        <v>567</v>
      </c>
      <c r="K40" s="18" t="n">
        <v>0.48444598</v>
      </c>
      <c r="L40" s="20" t="n">
        <v>0.24606179</v>
      </c>
      <c r="M40" s="18" t="n">
        <v>0</v>
      </c>
      <c r="N40" s="20" t="n">
        <v>0</v>
      </c>
      <c r="O40" s="18" t="n">
        <v>0</v>
      </c>
      <c r="P40" s="20" t="n">
        <v>0</v>
      </c>
      <c r="Q40" s="18" t="n">
        <v>1.7938379</v>
      </c>
      <c r="R40" s="20" t="n">
        <v>0.73490345</v>
      </c>
    </row>
    <row r="41" spans="1:18">
      <c r="A41" s="15" t="s">
        <v>601</v>
      </c>
      <c r="B41" s="17" t="n">
        <v>2858</v>
      </c>
      <c r="C41" s="18">
        <f>(2537.0/B41*100)</f>
        <v/>
      </c>
      <c r="D41" s="19" t="n">
        <v>321</v>
      </c>
      <c r="E41" s="18" t="n">
        <v>36.20670118</v>
      </c>
      <c r="F41" s="20" t="n">
        <v>2.8221882</v>
      </c>
      <c r="G41" s="18" t="n">
        <v>63.49495344</v>
      </c>
      <c r="H41" s="20" t="n">
        <v>2.84134202</v>
      </c>
      <c r="I41" s="18" t="s">
        <v>567</v>
      </c>
      <c r="J41" s="20" t="s">
        <v>567</v>
      </c>
      <c r="K41" s="18" t="n">
        <v>0.29834537</v>
      </c>
      <c r="L41" s="20" t="n">
        <v>0.31481688</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(10170.0/B46*100)</f>
        <v/>
      </c>
      <c r="D46" s="19" t="n">
        <v>898</v>
      </c>
      <c r="E46" s="18" t="n">
        <v>59.22952773</v>
      </c>
      <c r="F46" s="20" t="n">
        <v>2.24397266</v>
      </c>
      <c r="G46" s="18" t="n">
        <v>36.84794085</v>
      </c>
      <c r="H46" s="20" t="n">
        <v>2.32989659</v>
      </c>
      <c r="I46" s="18" t="s">
        <v>567</v>
      </c>
      <c r="J46" s="20" t="s">
        <v>567</v>
      </c>
      <c r="K46" s="18" t="n">
        <v>1.86690672</v>
      </c>
      <c r="L46" s="20" t="n">
        <v>0.66378938</v>
      </c>
      <c r="M46" s="18" t="n">
        <v>0</v>
      </c>
      <c r="N46" s="20" t="n">
        <v>0</v>
      </c>
      <c r="O46" s="18" t="n">
        <v>0</v>
      </c>
      <c r="P46" s="20" t="n">
        <v>0</v>
      </c>
      <c r="Q46" s="18" t="n">
        <v>2.0556247</v>
      </c>
      <c r="R46" s="20" t="n">
        <v>0.6305039099999999</v>
      </c>
    </row>
    <row r="47" spans="1:18">
      <c r="A47" s="15" t="s">
        <v>607</v>
      </c>
      <c r="B47" s="17" t="n">
        <v>3105</v>
      </c>
      <c r="C47" s="18">
        <f>(2764.0/B47*100)</f>
        <v/>
      </c>
      <c r="D47" s="19" t="n">
        <v>341</v>
      </c>
      <c r="E47" s="18" t="n">
        <v>63.11831449</v>
      </c>
      <c r="F47" s="20" t="n">
        <v>2.44878219</v>
      </c>
      <c r="G47" s="18" t="n">
        <v>36.05194709</v>
      </c>
      <c r="H47" s="20" t="n">
        <v>2.50323926</v>
      </c>
      <c r="I47" s="18" t="s">
        <v>567</v>
      </c>
      <c r="J47" s="20" t="s">
        <v>567</v>
      </c>
      <c r="K47" s="18" t="n">
        <v>0.28795117</v>
      </c>
      <c r="L47" s="20" t="n">
        <v>0.20435237</v>
      </c>
      <c r="M47" s="18" t="n">
        <v>0</v>
      </c>
      <c r="N47" s="20" t="n">
        <v>0</v>
      </c>
      <c r="O47" s="18" t="n">
        <v>0</v>
      </c>
      <c r="P47" s="20" t="n">
        <v>0</v>
      </c>
      <c r="Q47" s="18" t="n">
        <v>0.5417872500000001</v>
      </c>
      <c r="R47" s="20" t="n">
        <v>0.36842417</v>
      </c>
    </row>
    <row r="48" spans="1:18">
      <c r="A48" s="15" t="s">
        <v>608</v>
      </c>
      <c r="B48" s="17" t="n">
        <v>5159</v>
      </c>
      <c r="C48" s="18">
        <f>(4612.0/B48*100)</f>
        <v/>
      </c>
      <c r="D48" s="19" t="n">
        <v>547</v>
      </c>
      <c r="E48" s="18" t="n">
        <v>41.97317256</v>
      </c>
      <c r="F48" s="20" t="n">
        <v>2.61546418</v>
      </c>
      <c r="G48" s="18" t="n">
        <v>57.03379875</v>
      </c>
      <c r="H48" s="20" t="n">
        <v>2.61688214</v>
      </c>
      <c r="I48" s="18" t="s">
        <v>567</v>
      </c>
      <c r="J48" s="20" t="s">
        <v>567</v>
      </c>
      <c r="K48" s="18" t="n">
        <v>0.66367648</v>
      </c>
      <c r="L48" s="20" t="n">
        <v>0.46997951</v>
      </c>
      <c r="M48" s="18" t="n">
        <v>0</v>
      </c>
      <c r="N48" s="20" t="n">
        <v>0</v>
      </c>
      <c r="O48" s="18" t="n">
        <v>0</v>
      </c>
      <c r="P48" s="20" t="n">
        <v>0</v>
      </c>
      <c r="Q48" s="18" t="n">
        <v>0.32935221</v>
      </c>
      <c r="R48" s="20" t="n">
        <v>0.34107574</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(5051.0/B50*100)</f>
        <v/>
      </c>
      <c r="D50" s="19" t="n">
        <v>586</v>
      </c>
      <c r="E50" s="18" t="n">
        <v>69.22626249</v>
      </c>
      <c r="F50" s="20" t="n">
        <v>2.6962757</v>
      </c>
      <c r="G50" s="18" t="n">
        <v>28.87804435</v>
      </c>
      <c r="H50" s="20" t="n">
        <v>2.56164413</v>
      </c>
      <c r="I50" s="18" t="s">
        <v>567</v>
      </c>
      <c r="J50" s="20" t="s">
        <v>567</v>
      </c>
      <c r="K50" s="18" t="n">
        <v>1.32324051</v>
      </c>
      <c r="L50" s="20" t="n">
        <v>0.58857483</v>
      </c>
      <c r="M50" s="18" t="n">
        <v>0</v>
      </c>
      <c r="N50" s="20" t="n">
        <v>0</v>
      </c>
      <c r="O50" s="18" t="n">
        <v>0</v>
      </c>
      <c r="P50" s="20" t="n">
        <v>0</v>
      </c>
      <c r="Q50" s="18" t="n">
        <v>0.57245264</v>
      </c>
      <c r="R50" s="20" t="n">
        <v>0.37130472</v>
      </c>
    </row>
    <row r="51" spans="1:18">
      <c r="A51" s="15" t="s">
        <v>611</v>
      </c>
      <c r="B51" s="17" t="n">
        <v>3372</v>
      </c>
      <c r="C51" s="18">
        <f>(3049.0/B51*100)</f>
        <v/>
      </c>
      <c r="D51" s="19" t="n">
        <v>323</v>
      </c>
      <c r="E51" s="18" t="n">
        <v>67.77976934</v>
      </c>
      <c r="F51" s="20" t="n">
        <v>3.18044155</v>
      </c>
      <c r="G51" s="18" t="n">
        <v>29.48232736</v>
      </c>
      <c r="H51" s="20" t="n">
        <v>3.04005534</v>
      </c>
      <c r="I51" s="18" t="s">
        <v>567</v>
      </c>
      <c r="J51" s="20" t="s">
        <v>567</v>
      </c>
      <c r="K51" s="18" t="n">
        <v>2.09625352</v>
      </c>
      <c r="L51" s="20" t="n">
        <v>1.11328363</v>
      </c>
      <c r="M51" s="18" t="n">
        <v>0</v>
      </c>
      <c r="N51" s="20" t="n">
        <v>0</v>
      </c>
      <c r="O51" s="18" t="n">
        <v>0</v>
      </c>
      <c r="P51" s="20" t="n">
        <v>0</v>
      </c>
      <c r="Q51" s="18" t="n">
        <v>0.64164979</v>
      </c>
      <c r="R51" s="20" t="n">
        <v>0.45282026</v>
      </c>
    </row>
    <row r="52" spans="1:18">
      <c r="A52" s="15" t="s">
        <v>612</v>
      </c>
      <c r="B52" s="17" t="n">
        <v>2796</v>
      </c>
      <c r="C52" s="18">
        <f>(2516.0/B52*100)</f>
        <v/>
      </c>
      <c r="D52" s="19" t="n">
        <v>280</v>
      </c>
      <c r="E52" s="18" t="n">
        <v>35.79963749</v>
      </c>
      <c r="F52" s="20" t="n">
        <v>3.24981233</v>
      </c>
      <c r="G52" s="18" t="n">
        <v>63.11579048</v>
      </c>
      <c r="H52" s="20" t="n">
        <v>3.26995835</v>
      </c>
      <c r="I52" s="18" t="s">
        <v>567</v>
      </c>
      <c r="J52" s="20" t="s">
        <v>567</v>
      </c>
      <c r="K52" s="18" t="n">
        <v>0</v>
      </c>
      <c r="L52" s="20" t="n">
        <v>0</v>
      </c>
      <c r="M52" s="18" t="n">
        <v>0</v>
      </c>
      <c r="N52" s="20" t="n">
        <v>0</v>
      </c>
      <c r="O52" s="18" t="n">
        <v>0</v>
      </c>
      <c r="P52" s="20" t="n">
        <v>0</v>
      </c>
      <c r="Q52" s="18" t="n">
        <v>1.08457204</v>
      </c>
      <c r="R52" s="20" t="n">
        <v>0.61593029</v>
      </c>
    </row>
    <row r="53" spans="1:18">
      <c r="A53" s="15" t="s">
        <v>613</v>
      </c>
      <c r="B53" s="17" t="n">
        <v>2811</v>
      </c>
      <c r="C53" s="18">
        <f>(2525.0/B53*100)</f>
        <v/>
      </c>
      <c r="D53" s="19" t="n">
        <v>286</v>
      </c>
      <c r="E53" s="18" t="n">
        <v>63.28995162</v>
      </c>
      <c r="F53" s="20" t="n">
        <v>2.80789827</v>
      </c>
      <c r="G53" s="18" t="n">
        <v>34.17405455</v>
      </c>
      <c r="H53" s="20" t="n">
        <v>2.73192619</v>
      </c>
      <c r="I53" s="18" t="s">
        <v>567</v>
      </c>
      <c r="J53" s="20" t="s">
        <v>567</v>
      </c>
      <c r="K53" s="18" t="n">
        <v>0.77772634</v>
      </c>
      <c r="L53" s="20" t="n">
        <v>0.45792553</v>
      </c>
      <c r="M53" s="18" t="n">
        <v>0</v>
      </c>
      <c r="N53" s="20" t="n">
        <v>0</v>
      </c>
      <c r="O53" s="18" t="n">
        <v>0</v>
      </c>
      <c r="P53" s="20" t="n">
        <v>0</v>
      </c>
      <c r="Q53" s="18" t="n">
        <v>1.75826749</v>
      </c>
      <c r="R53" s="20" t="n">
        <v>0.81096925</v>
      </c>
    </row>
    <row r="54" spans="1:18">
      <c r="A54" s="15" t="s">
        <v>614</v>
      </c>
      <c r="B54" s="17" t="n">
        <v>2266</v>
      </c>
      <c r="C54" s="18">
        <f>(2016.0/B54*100)</f>
        <v/>
      </c>
      <c r="D54" s="19" t="n">
        <v>250</v>
      </c>
      <c r="E54" s="18" t="n">
        <v>66.96646382</v>
      </c>
      <c r="F54" s="20" t="n">
        <v>3.4603835</v>
      </c>
      <c r="G54" s="18" t="n">
        <v>18.64759143</v>
      </c>
      <c r="H54" s="20" t="n">
        <v>2.79944637</v>
      </c>
      <c r="I54" s="18" t="s">
        <v>567</v>
      </c>
      <c r="J54" s="20" t="s">
        <v>567</v>
      </c>
      <c r="K54" s="18" t="n">
        <v>12.8338927</v>
      </c>
      <c r="L54" s="20" t="n">
        <v>2.38948167</v>
      </c>
      <c r="M54" s="18" t="n">
        <v>0</v>
      </c>
      <c r="N54" s="20" t="n">
        <v>0</v>
      </c>
      <c r="O54" s="18" t="n">
        <v>0</v>
      </c>
      <c r="P54" s="20" t="n">
        <v>0</v>
      </c>
      <c r="Q54" s="18" t="n">
        <v>1.55205205</v>
      </c>
      <c r="R54" s="20" t="n">
        <v>1.06717892</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(2393.0/B56*100)</f>
        <v/>
      </c>
      <c r="D56" s="19" t="n">
        <v>291</v>
      </c>
      <c r="E56" s="18" t="n">
        <v>51.05609971</v>
      </c>
      <c r="F56" s="20" t="n">
        <v>3.31426646</v>
      </c>
      <c r="G56" s="18" t="n">
        <v>48.94390029</v>
      </c>
      <c r="H56" s="20" t="n">
        <v>3.31426646</v>
      </c>
      <c r="I56" s="18" t="s">
        <v>567</v>
      </c>
      <c r="J56" s="20" t="s">
        <v>567</v>
      </c>
      <c r="K56" s="18" t="n">
        <v>0</v>
      </c>
      <c r="L56" s="20" t="n">
        <v>0</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(2996.0/B61*100)</f>
        <v/>
      </c>
      <c r="D61" s="19" t="n">
        <v>328</v>
      </c>
      <c r="E61" s="18" t="n">
        <v>52.75396987</v>
      </c>
      <c r="F61" s="20" t="n">
        <v>3.14423475</v>
      </c>
      <c r="G61" s="18" t="n">
        <v>46.2986413</v>
      </c>
      <c r="H61" s="20" t="n">
        <v>3.06198436</v>
      </c>
      <c r="I61" s="18" t="s">
        <v>567</v>
      </c>
      <c r="J61" s="20" t="s">
        <v>567</v>
      </c>
      <c r="K61" s="18" t="n">
        <v>0.4318452</v>
      </c>
      <c r="L61" s="20" t="n">
        <v>0.45081979</v>
      </c>
      <c r="M61" s="18" t="n">
        <v>0</v>
      </c>
      <c r="N61" s="20" t="n">
        <v>0</v>
      </c>
      <c r="O61" s="18" t="n">
        <v>0</v>
      </c>
      <c r="P61" s="20" t="n">
        <v>0</v>
      </c>
      <c r="Q61" s="18" t="n">
        <v>0.51554364</v>
      </c>
      <c r="R61" s="20" t="n">
        <v>0.29063545</v>
      </c>
    </row>
    <row r="62" spans="1:18">
      <c r="A62" s="15" t="s">
        <v>622</v>
      </c>
      <c r="B62" s="17" t="n">
        <v>2246</v>
      </c>
      <c r="C62" s="18">
        <f>(1997.0/B62*100)</f>
        <v/>
      </c>
      <c r="D62" s="19" t="n">
        <v>249</v>
      </c>
      <c r="E62" s="18" t="n">
        <v>49.78415392</v>
      </c>
      <c r="F62" s="20" t="n">
        <v>2.986223</v>
      </c>
      <c r="G62" s="18" t="n">
        <v>50.21584608</v>
      </c>
      <c r="H62" s="20" t="n">
        <v>2.986223</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(2605.0/B66*100)</f>
        <v/>
      </c>
      <c r="D66" s="19" t="n">
        <v>289</v>
      </c>
      <c r="E66" s="18" t="n">
        <v>63.23340789</v>
      </c>
      <c r="F66" s="20" t="n">
        <v>2.70194764</v>
      </c>
      <c r="G66" s="18" t="n">
        <v>33.28183444</v>
      </c>
      <c r="H66" s="20" t="n">
        <v>3.00805642</v>
      </c>
      <c r="I66" s="18" t="s">
        <v>567</v>
      </c>
      <c r="J66" s="20" t="s">
        <v>567</v>
      </c>
      <c r="K66" s="18" t="n">
        <v>0.99304677</v>
      </c>
      <c r="L66" s="20" t="n">
        <v>0.57650477</v>
      </c>
      <c r="M66" s="18" t="n">
        <v>0</v>
      </c>
      <c r="N66" s="20" t="n">
        <v>0</v>
      </c>
      <c r="O66" s="18" t="n">
        <v>0</v>
      </c>
      <c r="P66" s="20" t="n">
        <v>0</v>
      </c>
      <c r="Q66" s="18" t="n">
        <v>2.4917109</v>
      </c>
      <c r="R66" s="20" t="n">
        <v>0.91100389</v>
      </c>
    </row>
    <row r="67" spans="1:18">
      <c r="A67" s="15" t="s">
        <v>627</v>
      </c>
      <c r="B67" s="17" t="n">
        <v>3511</v>
      </c>
      <c r="C67" s="18">
        <f>(3185.0/B67*100)</f>
        <v/>
      </c>
      <c r="D67" s="19" t="n">
        <v>326</v>
      </c>
      <c r="E67" s="18" t="n">
        <v>66.43662658</v>
      </c>
      <c r="F67" s="20" t="n">
        <v>2.3970336</v>
      </c>
      <c r="G67" s="18" t="n">
        <v>32.41302401</v>
      </c>
      <c r="H67" s="20" t="n">
        <v>2.34329304</v>
      </c>
      <c r="I67" s="18" t="s">
        <v>567</v>
      </c>
      <c r="J67" s="20" t="s">
        <v>567</v>
      </c>
      <c r="K67" s="18" t="n">
        <v>0.31214823</v>
      </c>
      <c r="L67" s="20" t="n">
        <v>0.31077856</v>
      </c>
      <c r="M67" s="18" t="n">
        <v>0</v>
      </c>
      <c r="N67" s="20" t="n">
        <v>0</v>
      </c>
      <c r="O67" s="18" t="n">
        <v>0</v>
      </c>
      <c r="P67" s="20" t="n">
        <v>0</v>
      </c>
      <c r="Q67" s="18" t="n">
        <v>0.8382011700000001</v>
      </c>
      <c r="R67" s="20" t="n">
        <v>0.61951269</v>
      </c>
    </row>
    <row r="68" spans="1:18">
      <c r="A68" s="15" t="s">
        <v>628</v>
      </c>
      <c r="B68" s="17" t="n">
        <v>6049</v>
      </c>
      <c r="C68" s="18">
        <f>(5392.0/B68*100)</f>
        <v/>
      </c>
      <c r="D68" s="19" t="n">
        <v>657</v>
      </c>
      <c r="E68" s="18" t="n">
        <v>52.82129829</v>
      </c>
      <c r="F68" s="20" t="n">
        <v>2.02003869</v>
      </c>
      <c r="G68" s="18" t="n">
        <v>39.83791548</v>
      </c>
      <c r="H68" s="20" t="n">
        <v>2.11294323</v>
      </c>
      <c r="I68" s="18" t="s">
        <v>567</v>
      </c>
      <c r="J68" s="20" t="s">
        <v>567</v>
      </c>
      <c r="K68" s="18" t="n">
        <v>5.50334984</v>
      </c>
      <c r="L68" s="20" t="n">
        <v>0.87259325</v>
      </c>
      <c r="M68" s="18" t="n">
        <v>0</v>
      </c>
      <c r="N68" s="20" t="n">
        <v>0</v>
      </c>
      <c r="O68" s="18" t="n">
        <v>0</v>
      </c>
      <c r="P68" s="20" t="n">
        <v>0</v>
      </c>
      <c r="Q68" s="18" t="n">
        <v>1.83743639</v>
      </c>
      <c r="R68" s="20" t="n">
        <v>0.48650995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(2654.0/B70*100)</f>
        <v/>
      </c>
      <c r="D70" s="19" t="n">
        <v>275</v>
      </c>
      <c r="E70" s="18" t="n">
        <v>54.2961114</v>
      </c>
      <c r="F70" s="20" t="n">
        <v>2.64599248</v>
      </c>
      <c r="G70" s="18" t="n">
        <v>44.81197102</v>
      </c>
      <c r="H70" s="20" t="n">
        <v>2.60450087</v>
      </c>
      <c r="I70" s="18" t="s">
        <v>567</v>
      </c>
      <c r="J70" s="20" t="s">
        <v>567</v>
      </c>
      <c r="K70" s="18" t="n">
        <v>0.23519079</v>
      </c>
      <c r="L70" s="20" t="n">
        <v>0.20000983</v>
      </c>
      <c r="M70" s="18" t="n">
        <v>0</v>
      </c>
      <c r="N70" s="20" t="n">
        <v>0</v>
      </c>
      <c r="O70" s="18" t="n">
        <v>0</v>
      </c>
      <c r="P70" s="20" t="n">
        <v>0</v>
      </c>
      <c r="Q70" s="18" t="n">
        <v>0.65672679</v>
      </c>
      <c r="R70" s="20" t="n">
        <v>0.47601399</v>
      </c>
    </row>
    <row r="71" spans="1:18">
      <c r="A71" s="15" t="s">
        <v>631</v>
      </c>
      <c r="B71" s="17" t="n">
        <v>3142</v>
      </c>
      <c r="C71" s="18">
        <f>(2782.0/B71*100)</f>
        <v/>
      </c>
      <c r="D71" s="19" t="n">
        <v>360</v>
      </c>
      <c r="E71" s="18" t="n">
        <v>53.27567006</v>
      </c>
      <c r="F71" s="20" t="n">
        <v>3.06040648</v>
      </c>
      <c r="G71" s="18" t="n">
        <v>46.37172015</v>
      </c>
      <c r="H71" s="20" t="n">
        <v>3.03242082</v>
      </c>
      <c r="I71" s="18" t="s">
        <v>567</v>
      </c>
      <c r="J71" s="20" t="s">
        <v>567</v>
      </c>
      <c r="K71" s="18" t="n">
        <v>0</v>
      </c>
      <c r="L71" s="20" t="n">
        <v>0</v>
      </c>
      <c r="M71" s="18" t="n">
        <v>0</v>
      </c>
      <c r="N71" s="20" t="n">
        <v>0</v>
      </c>
      <c r="O71" s="18" t="n">
        <v>0</v>
      </c>
      <c r="P71" s="20" t="n">
        <v>0</v>
      </c>
      <c r="Q71" s="18" t="n">
        <v>0.35260979</v>
      </c>
      <c r="R71" s="20" t="n">
        <v>0.2726204</v>
      </c>
    </row>
    <row r="72" spans="1:18">
      <c r="A72" s="15" t="s">
        <v>632</v>
      </c>
      <c r="B72" s="17" t="n">
        <v>3889</v>
      </c>
      <c r="C72" s="18">
        <f>(3451.0/B72*100)</f>
        <v/>
      </c>
      <c r="D72" s="19" t="n">
        <v>438</v>
      </c>
      <c r="E72" s="18" t="n">
        <v>29.47381752</v>
      </c>
      <c r="F72" s="20" t="n">
        <v>2.27029045</v>
      </c>
      <c r="G72" s="18" t="n">
        <v>70.30266342</v>
      </c>
      <c r="H72" s="20" t="n">
        <v>2.294936</v>
      </c>
      <c r="I72" s="18" t="s">
        <v>567</v>
      </c>
      <c r="J72" s="20" t="s">
        <v>567</v>
      </c>
      <c r="K72" s="18" t="n">
        <v>0</v>
      </c>
      <c r="L72" s="20" t="n">
        <v>0</v>
      </c>
      <c r="M72" s="18" t="n">
        <v>0</v>
      </c>
      <c r="N72" s="20" t="n">
        <v>0</v>
      </c>
      <c r="O72" s="18" t="n">
        <v>0</v>
      </c>
      <c r="P72" s="20" t="n">
        <v>0</v>
      </c>
      <c r="Q72" s="18" t="n">
        <v>0.22351907</v>
      </c>
      <c r="R72" s="20" t="n">
        <v>0.15944379</v>
      </c>
    </row>
    <row r="73" spans="1:18">
      <c r="A73" s="15" t="s">
        <v>633</v>
      </c>
      <c r="B73" s="17" t="n">
        <v>3597</v>
      </c>
      <c r="C73" s="18">
        <f>(3199.0/B73*100)</f>
        <v/>
      </c>
      <c r="D73" s="19" t="n">
        <v>398</v>
      </c>
      <c r="E73" s="18" t="n">
        <v>54.08561991</v>
      </c>
      <c r="F73" s="20" t="n">
        <v>3.08371794</v>
      </c>
      <c r="G73" s="18" t="n">
        <v>45.91438009</v>
      </c>
      <c r="H73" s="20" t="n">
        <v>3.08371794</v>
      </c>
      <c r="I73" s="18" t="s">
        <v>567</v>
      </c>
      <c r="J73" s="20" t="s">
        <v>567</v>
      </c>
      <c r="K73" s="18" t="n">
        <v>0</v>
      </c>
      <c r="L73" s="20" t="n">
        <v>0</v>
      </c>
      <c r="M73" s="18" t="n">
        <v>0</v>
      </c>
      <c r="N73" s="20" t="n">
        <v>0</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(2178.0/B75*100)</f>
        <v/>
      </c>
      <c r="D75" s="19" t="n">
        <v>228</v>
      </c>
      <c r="E75" s="18" t="n">
        <v>66.85583339999999</v>
      </c>
      <c r="F75" s="20" t="n">
        <v>2.90044791</v>
      </c>
      <c r="G75" s="18" t="n">
        <v>25.15986846</v>
      </c>
      <c r="H75" s="20" t="n">
        <v>2.92116463</v>
      </c>
      <c r="I75" s="18" t="s">
        <v>567</v>
      </c>
      <c r="J75" s="20" t="s">
        <v>567</v>
      </c>
      <c r="K75" s="18" t="n">
        <v>4.66810435</v>
      </c>
      <c r="L75" s="20" t="n">
        <v>1.31628855</v>
      </c>
      <c r="M75" s="18" t="n">
        <v>0</v>
      </c>
      <c r="N75" s="20" t="n">
        <v>0</v>
      </c>
      <c r="O75" s="18" t="n">
        <v>0</v>
      </c>
      <c r="P75" s="20" t="n">
        <v>0</v>
      </c>
      <c r="Q75" s="18" t="n">
        <v>3.31619379</v>
      </c>
      <c r="R75" s="20" t="n">
        <v>1.2443201</v>
      </c>
    </row>
    <row r="76" spans="1:18">
      <c r="A76" s="15" t="s">
        <v>636</v>
      </c>
      <c r="B76" s="17" t="n">
        <v>7052</v>
      </c>
      <c r="C76" s="18">
        <f>(6280.0/B76*100)</f>
        <v/>
      </c>
      <c r="D76" s="19" t="n">
        <v>772</v>
      </c>
      <c r="E76" s="18" t="n">
        <v>52.25901843</v>
      </c>
      <c r="F76" s="20" t="n">
        <v>1.86415472</v>
      </c>
      <c r="G76" s="18" t="n">
        <v>46.03116225</v>
      </c>
      <c r="H76" s="20" t="n">
        <v>1.91720844</v>
      </c>
      <c r="I76" s="18" t="s">
        <v>567</v>
      </c>
      <c r="J76" s="20" t="s">
        <v>567</v>
      </c>
      <c r="K76" s="18" t="n">
        <v>0.91448775</v>
      </c>
      <c r="L76" s="20" t="n">
        <v>0.4602038</v>
      </c>
      <c r="M76" s="18" t="n">
        <v>0</v>
      </c>
      <c r="N76" s="20" t="n">
        <v>0</v>
      </c>
      <c r="O76" s="18" t="n">
        <v>0</v>
      </c>
      <c r="P76" s="20" t="n">
        <v>0</v>
      </c>
      <c r="Q76" s="18" t="n">
        <v>0.79533157</v>
      </c>
      <c r="R76" s="20" t="n">
        <v>0.31516805</v>
      </c>
    </row>
    <row r="77" spans="1:18">
      <c r="A77" s="15" t="s">
        <v>637</v>
      </c>
      <c r="B77" s="17" t="n">
        <v>2908</v>
      </c>
      <c r="C77" s="18">
        <f>(2621.0/B77*100)</f>
        <v/>
      </c>
      <c r="D77" s="19" t="n">
        <v>287</v>
      </c>
      <c r="E77" s="18" t="n">
        <v>60.92669236</v>
      </c>
      <c r="F77" s="20" t="n">
        <v>3.08258789</v>
      </c>
      <c r="G77" s="18" t="n">
        <v>34.23767686</v>
      </c>
      <c r="H77" s="20" t="n">
        <v>3.19651229</v>
      </c>
      <c r="I77" s="18" t="s">
        <v>567</v>
      </c>
      <c r="J77" s="20" t="s">
        <v>567</v>
      </c>
      <c r="K77" s="18" t="n">
        <v>2.5416773</v>
      </c>
      <c r="L77" s="20" t="n">
        <v>1.11636091</v>
      </c>
      <c r="M77" s="18" t="n">
        <v>0</v>
      </c>
      <c r="N77" s="20" t="n">
        <v>0</v>
      </c>
      <c r="O77" s="18" t="n">
        <v>0</v>
      </c>
      <c r="P77" s="20" t="n">
        <v>0</v>
      </c>
      <c r="Q77" s="18" t="n">
        <v>2.29395348</v>
      </c>
      <c r="R77" s="20" t="n">
        <v>1.08945269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(3714.0/B81*100)</f>
        <v/>
      </c>
      <c r="D81" s="19" t="n">
        <v>449</v>
      </c>
      <c r="E81" s="18" t="n">
        <v>52.22165548</v>
      </c>
      <c r="F81" s="20" t="n">
        <v>3.29640553</v>
      </c>
      <c r="G81" s="18" t="n">
        <v>46.85099943</v>
      </c>
      <c r="H81" s="20" t="n">
        <v>3.26506971</v>
      </c>
      <c r="I81" s="18" t="s">
        <v>567</v>
      </c>
      <c r="J81" s="20" t="s">
        <v>567</v>
      </c>
      <c r="K81" s="18" t="n">
        <v>0.61429502</v>
      </c>
      <c r="L81" s="20" t="n">
        <v>0.35099358</v>
      </c>
      <c r="M81" s="18" t="n">
        <v>0</v>
      </c>
      <c r="N81" s="20" t="n">
        <v>0</v>
      </c>
      <c r="O81" s="18" t="n">
        <v>0</v>
      </c>
      <c r="P81" s="20" t="n">
        <v>0</v>
      </c>
      <c r="Q81" s="18" t="n">
        <v>0.31305007</v>
      </c>
      <c r="R81" s="20" t="n">
        <v>0.32446401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(6574.0/B7*100)</f>
        <v/>
      </c>
      <c r="D7" s="19" t="n">
        <v>793</v>
      </c>
      <c r="E7" s="18" t="n">
        <v>40.84559706</v>
      </c>
      <c r="F7" s="20" t="n">
        <v>2.17756922</v>
      </c>
      <c r="G7" s="18" t="n">
        <v>57.19318735</v>
      </c>
      <c r="H7" s="20" t="n">
        <v>2.13635237</v>
      </c>
      <c r="I7" s="18" t="s">
        <v>567</v>
      </c>
      <c r="J7" s="20" t="s">
        <v>567</v>
      </c>
      <c r="K7" s="18" t="n">
        <v>0.56243835</v>
      </c>
      <c r="L7" s="20" t="n">
        <v>0.24256797</v>
      </c>
      <c r="M7" s="18" t="n">
        <v>0</v>
      </c>
      <c r="N7" s="20" t="n">
        <v>0</v>
      </c>
      <c r="O7" s="18" t="n">
        <v>0</v>
      </c>
      <c r="P7" s="20" t="n">
        <v>0</v>
      </c>
      <c r="Q7" s="18" t="n">
        <v>1.39877724</v>
      </c>
      <c r="R7" s="20" t="n">
        <v>0.48938247</v>
      </c>
    </row>
    <row r="8" spans="1:18">
      <c r="A8" s="15" t="s">
        <v>568</v>
      </c>
      <c r="B8" s="17" t="n">
        <v>3564</v>
      </c>
      <c r="C8" s="18">
        <f>(3185.0/B8*100)</f>
        <v/>
      </c>
      <c r="D8" s="19" t="n">
        <v>379</v>
      </c>
      <c r="E8" s="18" t="n">
        <v>35.14951181</v>
      </c>
      <c r="F8" s="20" t="n">
        <v>3.06106199</v>
      </c>
      <c r="G8" s="18" t="n">
        <v>62.4803891</v>
      </c>
      <c r="H8" s="20" t="n">
        <v>3.39962093</v>
      </c>
      <c r="I8" s="18" t="s">
        <v>567</v>
      </c>
      <c r="J8" s="20" t="s">
        <v>567</v>
      </c>
      <c r="K8" s="18" t="n">
        <v>1.11947373</v>
      </c>
      <c r="L8" s="20" t="n">
        <v>0.5617379300000001</v>
      </c>
      <c r="M8" s="18" t="n">
        <v>0</v>
      </c>
      <c r="N8" s="20" t="n">
        <v>0</v>
      </c>
      <c r="O8" s="18" t="n">
        <v>0</v>
      </c>
      <c r="P8" s="20" t="n">
        <v>0</v>
      </c>
      <c r="Q8" s="18" t="n">
        <v>1.25062536</v>
      </c>
      <c r="R8" s="20" t="n">
        <v>0.60922993</v>
      </c>
    </row>
    <row r="9" spans="1:18">
      <c r="A9" s="15" t="s">
        <v>569</v>
      </c>
      <c r="B9" s="17" t="n">
        <v>4899</v>
      </c>
      <c r="C9" s="18">
        <f>(4353.0/B9*100)</f>
        <v/>
      </c>
      <c r="D9" s="19" t="n">
        <v>546</v>
      </c>
      <c r="E9" s="18" t="n">
        <v>43.25862237</v>
      </c>
      <c r="F9" s="20" t="n">
        <v>2.04078303</v>
      </c>
      <c r="G9" s="18" t="n">
        <v>55.62626715</v>
      </c>
      <c r="H9" s="20" t="n">
        <v>1.9633807</v>
      </c>
      <c r="I9" s="18" t="s">
        <v>567</v>
      </c>
      <c r="J9" s="20" t="s">
        <v>567</v>
      </c>
      <c r="K9" s="18" t="n">
        <v>0.43733646</v>
      </c>
      <c r="L9" s="20" t="n">
        <v>0.23404366</v>
      </c>
      <c r="M9" s="18" t="n">
        <v>0</v>
      </c>
      <c r="N9" s="20" t="n">
        <v>0</v>
      </c>
      <c r="O9" s="18" t="n">
        <v>0</v>
      </c>
      <c r="P9" s="20" t="n">
        <v>0</v>
      </c>
      <c r="Q9" s="18" t="n">
        <v>0.67777402</v>
      </c>
      <c r="R9" s="20" t="n">
        <v>0.36178636</v>
      </c>
    </row>
    <row r="10" spans="1:18">
      <c r="A10" s="15" t="s">
        <v>570</v>
      </c>
      <c r="B10" s="17" t="n">
        <v>10036</v>
      </c>
      <c r="C10" s="18">
        <f>(8917.0/B10*100)</f>
        <v/>
      </c>
      <c r="D10" s="19" t="n">
        <v>1119</v>
      </c>
      <c r="E10" s="18" t="n">
        <v>32.72619946</v>
      </c>
      <c r="F10" s="20" t="n">
        <v>2.1705671</v>
      </c>
      <c r="G10" s="18" t="n">
        <v>66.18643358</v>
      </c>
      <c r="H10" s="20" t="n">
        <v>2.15588754</v>
      </c>
      <c r="I10" s="18" t="s">
        <v>567</v>
      </c>
      <c r="J10" s="20" t="s">
        <v>567</v>
      </c>
      <c r="K10" s="18" t="n">
        <v>0.61856797</v>
      </c>
      <c r="L10" s="20" t="n">
        <v>0.34697798</v>
      </c>
      <c r="M10" s="18" t="n">
        <v>0</v>
      </c>
      <c r="N10" s="20" t="n">
        <v>0</v>
      </c>
      <c r="O10" s="18" t="n">
        <v>0</v>
      </c>
      <c r="P10" s="20" t="n">
        <v>0</v>
      </c>
      <c r="Q10" s="18" t="n">
        <v>0.46879898</v>
      </c>
      <c r="R10" s="20" t="n">
        <v>0.26169586</v>
      </c>
    </row>
    <row r="11" spans="1:18">
      <c r="A11" s="15" t="s">
        <v>571</v>
      </c>
      <c r="B11" s="17" t="n">
        <v>3553</v>
      </c>
      <c r="C11" s="18">
        <f>(3175.0/B11*100)</f>
        <v/>
      </c>
      <c r="D11" s="19" t="n">
        <v>378</v>
      </c>
      <c r="E11" s="18" t="n">
        <v>60.66758039</v>
      </c>
      <c r="F11" s="20" t="n">
        <v>3.05643761</v>
      </c>
      <c r="G11" s="18" t="n">
        <v>35.78630886</v>
      </c>
      <c r="H11" s="20" t="n">
        <v>3.01296813</v>
      </c>
      <c r="I11" s="18" t="s">
        <v>567</v>
      </c>
      <c r="J11" s="20" t="s">
        <v>567</v>
      </c>
      <c r="K11" s="18" t="n">
        <v>1.74527162</v>
      </c>
      <c r="L11" s="20" t="n">
        <v>1.52091519</v>
      </c>
      <c r="M11" s="18" t="n">
        <v>0</v>
      </c>
      <c r="N11" s="20" t="n">
        <v>0</v>
      </c>
      <c r="O11" s="18" t="n">
        <v>0</v>
      </c>
      <c r="P11" s="20" t="n">
        <v>0</v>
      </c>
      <c r="Q11" s="18" t="n">
        <v>1.80083913</v>
      </c>
      <c r="R11" s="20" t="n">
        <v>0.68658493</v>
      </c>
    </row>
    <row r="12" spans="1:18">
      <c r="A12" s="15" t="s">
        <v>572</v>
      </c>
      <c r="B12" s="17" t="n">
        <v>3472</v>
      </c>
      <c r="C12" s="18">
        <f>(3087.0/B12*100)</f>
        <v/>
      </c>
      <c r="D12" s="19" t="n">
        <v>385</v>
      </c>
      <c r="E12" s="18" t="n">
        <v>37.40510958</v>
      </c>
      <c r="F12" s="20" t="n">
        <v>2.74386094</v>
      </c>
      <c r="G12" s="18" t="n">
        <v>61.74733968</v>
      </c>
      <c r="H12" s="20" t="n">
        <v>2.77282331</v>
      </c>
      <c r="I12" s="18" t="s">
        <v>567</v>
      </c>
      <c r="J12" s="20" t="s">
        <v>567</v>
      </c>
      <c r="K12" s="18" t="n">
        <v>0.209812</v>
      </c>
      <c r="L12" s="20" t="n">
        <v>0.28395557</v>
      </c>
      <c r="M12" s="18" t="n">
        <v>0</v>
      </c>
      <c r="N12" s="20" t="n">
        <v>0</v>
      </c>
      <c r="O12" s="18" t="n">
        <v>0</v>
      </c>
      <c r="P12" s="20" t="n">
        <v>0</v>
      </c>
      <c r="Q12" s="18" t="n">
        <v>0.63773875</v>
      </c>
      <c r="R12" s="20" t="n">
        <v>0.67011202</v>
      </c>
    </row>
    <row r="13" spans="1:18">
      <c r="A13" s="15" t="s">
        <v>573</v>
      </c>
      <c r="B13" s="17" t="n">
        <v>3559</v>
      </c>
      <c r="C13" s="18">
        <f>(3234.0/B13*100)</f>
        <v/>
      </c>
      <c r="D13" s="19" t="n">
        <v>325</v>
      </c>
      <c r="E13" s="18" t="n">
        <v>35.69225857</v>
      </c>
      <c r="F13" s="20" t="n">
        <v>3.13919227</v>
      </c>
      <c r="G13" s="18" t="n">
        <v>61.02795233</v>
      </c>
      <c r="H13" s="20" t="n">
        <v>2.94716301</v>
      </c>
      <c r="I13" s="18" t="s">
        <v>567</v>
      </c>
      <c r="J13" s="20" t="s">
        <v>567</v>
      </c>
      <c r="K13" s="18" t="n">
        <v>1.96741816</v>
      </c>
      <c r="L13" s="20" t="n">
        <v>1.05788744</v>
      </c>
      <c r="M13" s="18" t="n">
        <v>0</v>
      </c>
      <c r="N13" s="20" t="n">
        <v>0</v>
      </c>
      <c r="O13" s="18" t="n">
        <v>0</v>
      </c>
      <c r="P13" s="20" t="n">
        <v>0</v>
      </c>
      <c r="Q13" s="18" t="n">
        <v>1.31237094</v>
      </c>
      <c r="R13" s="20" t="n">
        <v>0.80557399</v>
      </c>
    </row>
    <row r="14" spans="1:18">
      <c r="A14" s="15" t="s">
        <v>574</v>
      </c>
      <c r="B14" s="17" t="n">
        <v>2799</v>
      </c>
      <c r="C14" s="18">
        <f>(2469.0/B14*100)</f>
        <v/>
      </c>
      <c r="D14" s="19" t="n">
        <v>330</v>
      </c>
      <c r="E14" s="18" t="n">
        <v>47.50536513</v>
      </c>
      <c r="F14" s="20" t="n">
        <v>3.30020595</v>
      </c>
      <c r="G14" s="18" t="n">
        <v>51.52619546</v>
      </c>
      <c r="H14" s="20" t="n">
        <v>3.34543309</v>
      </c>
      <c r="I14" s="18" t="s">
        <v>567</v>
      </c>
      <c r="J14" s="20" t="s">
        <v>567</v>
      </c>
      <c r="K14" s="18" t="n">
        <v>0.74370747</v>
      </c>
      <c r="L14" s="20" t="n">
        <v>0.44159566</v>
      </c>
      <c r="M14" s="18" t="n">
        <v>0</v>
      </c>
      <c r="N14" s="20" t="n">
        <v>0</v>
      </c>
      <c r="O14" s="18" t="n">
        <v>0</v>
      </c>
      <c r="P14" s="20" t="n">
        <v>0</v>
      </c>
      <c r="Q14" s="18" t="n">
        <v>0.22473193</v>
      </c>
      <c r="R14" s="20" t="n">
        <v>0.22514212</v>
      </c>
    </row>
    <row r="15" spans="1:18">
      <c r="A15" s="15" t="s">
        <v>575</v>
      </c>
      <c r="B15" s="17" t="n">
        <v>3019</v>
      </c>
      <c r="C15" s="18">
        <f>(2692.0/B15*100)</f>
        <v/>
      </c>
      <c r="D15" s="19" t="n">
        <v>327</v>
      </c>
      <c r="E15" s="18" t="n">
        <v>32.45144158</v>
      </c>
      <c r="F15" s="20" t="n">
        <v>2.73237058</v>
      </c>
      <c r="G15" s="18" t="n">
        <v>66.70744606</v>
      </c>
      <c r="H15" s="20" t="n">
        <v>2.64554279</v>
      </c>
      <c r="I15" s="18" t="s">
        <v>567</v>
      </c>
      <c r="J15" s="20" t="s">
        <v>567</v>
      </c>
      <c r="K15" s="18" t="n">
        <v>0.8411123700000001</v>
      </c>
      <c r="L15" s="20" t="n">
        <v>0.48679388</v>
      </c>
      <c r="M15" s="18" t="n">
        <v>0</v>
      </c>
      <c r="N15" s="20" t="n">
        <v>0</v>
      </c>
      <c r="O15" s="18" t="n">
        <v>0</v>
      </c>
      <c r="P15" s="20" t="n">
        <v>0</v>
      </c>
      <c r="Q15" s="18" t="n">
        <v>0</v>
      </c>
      <c r="R15" s="20" t="n">
        <v>0</v>
      </c>
    </row>
    <row r="16" spans="1:18">
      <c r="A16" s="15" t="s">
        <v>576</v>
      </c>
      <c r="B16" s="17" t="n">
        <v>2997</v>
      </c>
      <c r="C16" s="18">
        <f>(2658.0/B16*100)</f>
        <v/>
      </c>
      <c r="D16" s="19" t="n">
        <v>339</v>
      </c>
      <c r="E16" s="18" t="n">
        <v>34.91449793</v>
      </c>
      <c r="F16" s="20" t="n">
        <v>2.7538129</v>
      </c>
      <c r="G16" s="18" t="n">
        <v>60.13503344</v>
      </c>
      <c r="H16" s="20" t="n">
        <v>2.62097353</v>
      </c>
      <c r="I16" s="18" t="s">
        <v>567</v>
      </c>
      <c r="J16" s="20" t="s">
        <v>567</v>
      </c>
      <c r="K16" s="18" t="n">
        <v>3.4174437</v>
      </c>
      <c r="L16" s="20" t="n">
        <v>1.00573211</v>
      </c>
      <c r="M16" s="18" t="n">
        <v>0</v>
      </c>
      <c r="N16" s="20" t="n">
        <v>0</v>
      </c>
      <c r="O16" s="18" t="n">
        <v>0</v>
      </c>
      <c r="P16" s="20" t="n">
        <v>0</v>
      </c>
      <c r="Q16" s="18" t="n">
        <v>1.53302493</v>
      </c>
      <c r="R16" s="20" t="n">
        <v>0.70002665</v>
      </c>
    </row>
    <row r="17" spans="1:18">
      <c r="A17" s="15" t="s">
        <v>577</v>
      </c>
      <c r="B17" s="17" t="n">
        <v>3307</v>
      </c>
      <c r="C17" s="18">
        <f>(2971.0/B17*100)</f>
        <v/>
      </c>
      <c r="D17" s="19" t="n">
        <v>336</v>
      </c>
      <c r="E17" s="18" t="n">
        <v>30.73593465</v>
      </c>
      <c r="F17" s="20" t="n">
        <v>2.38248322</v>
      </c>
      <c r="G17" s="18" t="n">
        <v>67.74863587</v>
      </c>
      <c r="H17" s="20" t="n">
        <v>2.33170464</v>
      </c>
      <c r="I17" s="18" t="s">
        <v>567</v>
      </c>
      <c r="J17" s="20" t="s">
        <v>567</v>
      </c>
      <c r="K17" s="18" t="n">
        <v>1.04967481</v>
      </c>
      <c r="L17" s="20" t="n">
        <v>0.5473811200000001</v>
      </c>
      <c r="M17" s="18" t="n">
        <v>0</v>
      </c>
      <c r="N17" s="20" t="n">
        <v>0</v>
      </c>
      <c r="O17" s="18" t="n">
        <v>0</v>
      </c>
      <c r="P17" s="20" t="n">
        <v>0</v>
      </c>
      <c r="Q17" s="18" t="n">
        <v>0.46575468</v>
      </c>
      <c r="R17" s="20" t="n">
        <v>0.3324918</v>
      </c>
    </row>
    <row r="18" spans="1:18">
      <c r="A18" s="15" t="s">
        <v>578</v>
      </c>
      <c r="B18" s="17" t="n">
        <v>2826</v>
      </c>
      <c r="C18" s="18">
        <f>(2502.0/B18*100)</f>
        <v/>
      </c>
      <c r="D18" s="19" t="n">
        <v>324</v>
      </c>
      <c r="E18" s="18" t="n">
        <v>57.88401888</v>
      </c>
      <c r="F18" s="20" t="n">
        <v>2.5383713</v>
      </c>
      <c r="G18" s="18" t="n">
        <v>40.16494691</v>
      </c>
      <c r="H18" s="20" t="n">
        <v>2.58436721</v>
      </c>
      <c r="I18" s="18" t="s">
        <v>567</v>
      </c>
      <c r="J18" s="20" t="s">
        <v>567</v>
      </c>
      <c r="K18" s="18" t="n">
        <v>0.74827764</v>
      </c>
      <c r="L18" s="20" t="n">
        <v>0.44929011</v>
      </c>
      <c r="M18" s="18" t="n">
        <v>0</v>
      </c>
      <c r="N18" s="20" t="n">
        <v>0</v>
      </c>
      <c r="O18" s="18" t="n">
        <v>0</v>
      </c>
      <c r="P18" s="20" t="n">
        <v>0</v>
      </c>
      <c r="Q18" s="18" t="n">
        <v>1.20275656</v>
      </c>
      <c r="R18" s="20" t="n">
        <v>0.96201981</v>
      </c>
    </row>
    <row r="19" spans="1:18">
      <c r="A19" s="15" t="s">
        <v>579</v>
      </c>
      <c r="B19" s="17" t="n">
        <v>2808</v>
      </c>
      <c r="C19" s="18">
        <f>(2500.0/B19*100)</f>
        <v/>
      </c>
      <c r="D19" s="19" t="n">
        <v>308</v>
      </c>
      <c r="E19" s="18" t="n">
        <v>41.58678906</v>
      </c>
      <c r="F19" s="20" t="n">
        <v>2.75606892</v>
      </c>
      <c r="G19" s="18" t="n">
        <v>58.1195654</v>
      </c>
      <c r="H19" s="20" t="n">
        <v>2.76035017</v>
      </c>
      <c r="I19" s="18" t="s">
        <v>567</v>
      </c>
      <c r="J19" s="20" t="s">
        <v>567</v>
      </c>
      <c r="K19" s="18" t="n">
        <v>0</v>
      </c>
      <c r="L19" s="20" t="n">
        <v>0</v>
      </c>
      <c r="M19" s="18" t="n">
        <v>0</v>
      </c>
      <c r="N19" s="20" t="n">
        <v>0</v>
      </c>
      <c r="O19" s="18" t="n">
        <v>0</v>
      </c>
      <c r="P19" s="20" t="n">
        <v>0</v>
      </c>
      <c r="Q19" s="18" t="n">
        <v>0.29364554</v>
      </c>
      <c r="R19" s="20" t="n">
        <v>0.28093756</v>
      </c>
    </row>
    <row r="20" spans="1:18">
      <c r="A20" s="15" t="s">
        <v>580</v>
      </c>
      <c r="B20" s="17" t="n">
        <v>1630</v>
      </c>
      <c r="C20" s="18">
        <f>(1466.0/B20*100)</f>
        <v/>
      </c>
      <c r="D20" s="19" t="n">
        <v>164</v>
      </c>
      <c r="E20" s="18" t="n">
        <v>54.53510967</v>
      </c>
      <c r="F20" s="20" t="n">
        <v>4.13963521</v>
      </c>
      <c r="G20" s="18" t="n">
        <v>43.09663153</v>
      </c>
      <c r="H20" s="20" t="n">
        <v>4.05345908</v>
      </c>
      <c r="I20" s="18" t="s">
        <v>567</v>
      </c>
      <c r="J20" s="20" t="s">
        <v>567</v>
      </c>
      <c r="K20" s="18" t="n">
        <v>0.51483327</v>
      </c>
      <c r="L20" s="20" t="n">
        <v>0.51640139</v>
      </c>
      <c r="M20" s="18" t="n">
        <v>0</v>
      </c>
      <c r="N20" s="20" t="n">
        <v>0</v>
      </c>
      <c r="O20" s="18" t="n">
        <v>0</v>
      </c>
      <c r="P20" s="20" t="n">
        <v>0</v>
      </c>
      <c r="Q20" s="18" t="n">
        <v>1.85342553</v>
      </c>
      <c r="R20" s="20" t="n">
        <v>1.07116742</v>
      </c>
    </row>
    <row r="21" spans="1:18">
      <c r="A21" s="15" t="s">
        <v>581</v>
      </c>
      <c r="B21" s="17" t="n">
        <v>2908</v>
      </c>
      <c r="C21" s="18">
        <f>(2578.0/B21*100)</f>
        <v/>
      </c>
      <c r="D21" s="19" t="n">
        <v>330</v>
      </c>
      <c r="E21" s="18" t="n">
        <v>38.49842227</v>
      </c>
      <c r="F21" s="20" t="n">
        <v>2.43205341</v>
      </c>
      <c r="G21" s="18" t="n">
        <v>60.30488759</v>
      </c>
      <c r="H21" s="20" t="n">
        <v>2.36749917</v>
      </c>
      <c r="I21" s="18" t="s">
        <v>567</v>
      </c>
      <c r="J21" s="20" t="s">
        <v>567</v>
      </c>
      <c r="K21" s="18" t="n">
        <v>0.87197563</v>
      </c>
      <c r="L21" s="20" t="n">
        <v>0.48638755</v>
      </c>
      <c r="M21" s="18" t="n">
        <v>0</v>
      </c>
      <c r="N21" s="20" t="n">
        <v>0</v>
      </c>
      <c r="O21" s="18" t="n">
        <v>0</v>
      </c>
      <c r="P21" s="20" t="n">
        <v>0</v>
      </c>
      <c r="Q21" s="18" t="n">
        <v>0.32471452</v>
      </c>
      <c r="R21" s="20" t="n">
        <v>0.36211699</v>
      </c>
    </row>
    <row r="22" spans="1:18">
      <c r="A22" s="15" t="s">
        <v>582</v>
      </c>
      <c r="B22" s="17" t="n">
        <v>2931</v>
      </c>
      <c r="C22" s="18">
        <f>(2609.0/B22*100)</f>
        <v/>
      </c>
      <c r="D22" s="19" t="n">
        <v>322</v>
      </c>
      <c r="E22" s="18" t="n">
        <v>62.27949249</v>
      </c>
      <c r="F22" s="20" t="n">
        <v>2.69865837</v>
      </c>
      <c r="G22" s="18" t="n">
        <v>35.45792264</v>
      </c>
      <c r="H22" s="20" t="n">
        <v>2.74037022</v>
      </c>
      <c r="I22" s="18" t="s">
        <v>567</v>
      </c>
      <c r="J22" s="20" t="s">
        <v>567</v>
      </c>
      <c r="K22" s="18" t="n">
        <v>1.92946619</v>
      </c>
      <c r="L22" s="20" t="n">
        <v>0.95381939</v>
      </c>
      <c r="M22" s="18" t="n">
        <v>0</v>
      </c>
      <c r="N22" s="20" t="n">
        <v>0</v>
      </c>
      <c r="O22" s="18" t="n">
        <v>0</v>
      </c>
      <c r="P22" s="20" t="n">
        <v>0</v>
      </c>
      <c r="Q22" s="18" t="n">
        <v>0.33311868</v>
      </c>
      <c r="R22" s="20" t="n">
        <v>0.30781144</v>
      </c>
    </row>
    <row r="23" spans="1:18">
      <c r="A23" s="15" t="s">
        <v>583</v>
      </c>
      <c r="B23" s="17" t="n">
        <v>5791</v>
      </c>
      <c r="C23" s="18">
        <f>(5159.0/B23*100)</f>
        <v/>
      </c>
      <c r="D23" s="19" t="n">
        <v>632</v>
      </c>
      <c r="E23" s="18" t="n">
        <v>34.47007923</v>
      </c>
      <c r="F23" s="20" t="n">
        <v>2.78785756</v>
      </c>
      <c r="G23" s="18" t="n">
        <v>64.08646429</v>
      </c>
      <c r="H23" s="20" t="n">
        <v>2.80285121</v>
      </c>
      <c r="I23" s="18" t="s">
        <v>567</v>
      </c>
      <c r="J23" s="20" t="s">
        <v>567</v>
      </c>
      <c r="K23" s="18" t="n">
        <v>0.49279225</v>
      </c>
      <c r="L23" s="20" t="n">
        <v>0.36201273</v>
      </c>
      <c r="M23" s="18" t="n">
        <v>0</v>
      </c>
      <c r="N23" s="20" t="n">
        <v>0</v>
      </c>
      <c r="O23" s="18" t="n">
        <v>0</v>
      </c>
      <c r="P23" s="20" t="n">
        <v>0</v>
      </c>
      <c r="Q23" s="18" t="n">
        <v>0.95066424</v>
      </c>
      <c r="R23" s="20" t="n">
        <v>0.57148569</v>
      </c>
    </row>
    <row r="24" spans="1:18">
      <c r="A24" s="15" t="s">
        <v>584</v>
      </c>
      <c r="B24" s="17" t="n">
        <v>3338</v>
      </c>
      <c r="C24" s="18">
        <f>(2979.0/B24*100)</f>
        <v/>
      </c>
      <c r="D24" s="19" t="n">
        <v>359</v>
      </c>
      <c r="E24" s="18" t="n">
        <v>31.4337775</v>
      </c>
      <c r="F24" s="20" t="n">
        <v>2.80665519</v>
      </c>
      <c r="G24" s="18" t="n">
        <v>67.7573247</v>
      </c>
      <c r="H24" s="20" t="n">
        <v>2.88584298</v>
      </c>
      <c r="I24" s="18" t="s">
        <v>567</v>
      </c>
      <c r="J24" s="20" t="s">
        <v>567</v>
      </c>
      <c r="K24" s="18" t="n">
        <v>0.22826839</v>
      </c>
      <c r="L24" s="20" t="n">
        <v>0.22885642</v>
      </c>
      <c r="M24" s="18" t="n">
        <v>0</v>
      </c>
      <c r="N24" s="20" t="n">
        <v>0</v>
      </c>
      <c r="O24" s="18" t="n">
        <v>0</v>
      </c>
      <c r="P24" s="20" t="n">
        <v>0</v>
      </c>
      <c r="Q24" s="18" t="n">
        <v>0.5806294</v>
      </c>
      <c r="R24" s="20" t="n">
        <v>0.40607187</v>
      </c>
    </row>
    <row r="25" spans="1:18">
      <c r="A25" s="15" t="s">
        <v>585</v>
      </c>
      <c r="B25" s="17" t="n">
        <v>2912</v>
      </c>
      <c r="C25" s="18">
        <f>(2607.0/B25*100)</f>
        <v/>
      </c>
      <c r="D25" s="19" t="n">
        <v>305</v>
      </c>
      <c r="E25" s="18" t="n">
        <v>53.99104299</v>
      </c>
      <c r="F25" s="20" t="n">
        <v>2.88511865</v>
      </c>
      <c r="G25" s="18" t="n">
        <v>45.37719926</v>
      </c>
      <c r="H25" s="20" t="n">
        <v>2.88959659</v>
      </c>
      <c r="I25" s="18" t="s">
        <v>567</v>
      </c>
      <c r="J25" s="20" t="s">
        <v>567</v>
      </c>
      <c r="K25" s="18" t="n">
        <v>0.27779048</v>
      </c>
      <c r="L25" s="20" t="n">
        <v>0.28180144</v>
      </c>
      <c r="M25" s="18" t="n">
        <v>0</v>
      </c>
      <c r="N25" s="20" t="n">
        <v>0</v>
      </c>
      <c r="O25" s="18" t="n">
        <v>0</v>
      </c>
      <c r="P25" s="20" t="n">
        <v>0</v>
      </c>
      <c r="Q25" s="18" t="n">
        <v>0.35396727</v>
      </c>
      <c r="R25" s="20" t="n">
        <v>0.35765584</v>
      </c>
    </row>
    <row r="26" spans="1:18">
      <c r="A26" s="15" t="s">
        <v>586</v>
      </c>
      <c r="B26" s="17" t="n">
        <v>2450</v>
      </c>
      <c r="C26" s="18">
        <f>(2182.0/B26*100)</f>
        <v/>
      </c>
      <c r="D26" s="19" t="n">
        <v>268</v>
      </c>
      <c r="E26" s="18" t="n">
        <v>45.71412876</v>
      </c>
      <c r="F26" s="20" t="n">
        <v>3.68229288</v>
      </c>
      <c r="G26" s="18" t="n">
        <v>53.92268097</v>
      </c>
      <c r="H26" s="20" t="n">
        <v>3.70004068</v>
      </c>
      <c r="I26" s="18" t="s">
        <v>567</v>
      </c>
      <c r="J26" s="20" t="s">
        <v>567</v>
      </c>
      <c r="K26" s="18" t="n">
        <v>0</v>
      </c>
      <c r="L26" s="20" t="n">
        <v>0</v>
      </c>
      <c r="M26" s="18" t="n">
        <v>0</v>
      </c>
      <c r="N26" s="20" t="n">
        <v>0</v>
      </c>
      <c r="O26" s="18" t="n">
        <v>0</v>
      </c>
      <c r="P26" s="20" t="n">
        <v>0</v>
      </c>
      <c r="Q26" s="18" t="n">
        <v>0.36319027</v>
      </c>
      <c r="R26" s="20" t="n">
        <v>0.3636905</v>
      </c>
    </row>
    <row r="27" spans="1:18">
      <c r="A27" s="15" t="s">
        <v>587</v>
      </c>
      <c r="B27" s="17" t="n">
        <v>2616</v>
      </c>
      <c r="C27" s="18">
        <f>(2325.0/B27*100)</f>
        <v/>
      </c>
      <c r="D27" s="19" t="n">
        <v>291</v>
      </c>
      <c r="E27" s="18" t="n">
        <v>40.40781615</v>
      </c>
      <c r="F27" s="20" t="n">
        <v>2.84181879</v>
      </c>
      <c r="G27" s="18" t="n">
        <v>57.88374642</v>
      </c>
      <c r="H27" s="20" t="n">
        <v>2.79930213</v>
      </c>
      <c r="I27" s="18" t="s">
        <v>567</v>
      </c>
      <c r="J27" s="20" t="s">
        <v>567</v>
      </c>
      <c r="K27" s="18" t="n">
        <v>1.02651836</v>
      </c>
      <c r="L27" s="20" t="n">
        <v>0.59337721</v>
      </c>
      <c r="M27" s="18" t="n">
        <v>0</v>
      </c>
      <c r="N27" s="20" t="n">
        <v>0</v>
      </c>
      <c r="O27" s="18" t="n">
        <v>0</v>
      </c>
      <c r="P27" s="20" t="n">
        <v>0</v>
      </c>
      <c r="Q27" s="18" t="n">
        <v>0.68191906</v>
      </c>
      <c r="R27" s="20" t="n">
        <v>0.47716035</v>
      </c>
    </row>
    <row r="28" spans="1:18">
      <c r="A28" s="15" t="s">
        <v>588</v>
      </c>
      <c r="B28" s="17" t="n">
        <v>3765</v>
      </c>
      <c r="C28" s="18">
        <f>(3405.0/B28*100)</f>
        <v/>
      </c>
      <c r="D28" s="19" t="n">
        <v>360</v>
      </c>
      <c r="E28" s="18" t="n">
        <v>62.37373941</v>
      </c>
      <c r="F28" s="20" t="n">
        <v>2.9081702</v>
      </c>
      <c r="G28" s="18" t="n">
        <v>36.11451641</v>
      </c>
      <c r="H28" s="20" t="n">
        <v>2.80970352</v>
      </c>
      <c r="I28" s="18" t="s">
        <v>567</v>
      </c>
      <c r="J28" s="20" t="s">
        <v>567</v>
      </c>
      <c r="K28" s="18" t="n">
        <v>1.2042939</v>
      </c>
      <c r="L28" s="20" t="n">
        <v>0.75069698</v>
      </c>
      <c r="M28" s="18" t="n">
        <v>0</v>
      </c>
      <c r="N28" s="20" t="n">
        <v>0</v>
      </c>
      <c r="O28" s="18" t="n">
        <v>0</v>
      </c>
      <c r="P28" s="20" t="n">
        <v>0</v>
      </c>
      <c r="Q28" s="18" t="n">
        <v>0.30745027</v>
      </c>
      <c r="R28" s="20" t="n">
        <v>0.30520001</v>
      </c>
    </row>
    <row r="29" spans="1:18">
      <c r="A29" s="15" t="s">
        <v>589</v>
      </c>
      <c r="B29" s="17" t="n">
        <v>2685</v>
      </c>
      <c r="C29" s="18">
        <f>(2404.0/B29*100)</f>
        <v/>
      </c>
      <c r="D29" s="19" t="n">
        <v>281</v>
      </c>
      <c r="E29" s="18" t="n">
        <v>43.48202536</v>
      </c>
      <c r="F29" s="20" t="n">
        <v>3.11062823</v>
      </c>
      <c r="G29" s="18" t="n">
        <v>55.06401046</v>
      </c>
      <c r="H29" s="20" t="n">
        <v>3.13252939</v>
      </c>
      <c r="I29" s="18" t="s">
        <v>567</v>
      </c>
      <c r="J29" s="20" t="s">
        <v>567</v>
      </c>
      <c r="K29" s="18" t="n">
        <v>0.36807508</v>
      </c>
      <c r="L29" s="20" t="n">
        <v>0.36480756</v>
      </c>
      <c r="M29" s="18" t="n">
        <v>0</v>
      </c>
      <c r="N29" s="20" t="n">
        <v>0</v>
      </c>
      <c r="O29" s="18" t="n">
        <v>0</v>
      </c>
      <c r="P29" s="20" t="n">
        <v>0</v>
      </c>
      <c r="Q29" s="18" t="n">
        <v>1.0858891</v>
      </c>
      <c r="R29" s="20" t="n">
        <v>0.63721755</v>
      </c>
    </row>
    <row r="30" spans="1:18">
      <c r="A30" s="15" t="s">
        <v>590</v>
      </c>
      <c r="B30" s="17" t="n">
        <v>2263</v>
      </c>
      <c r="C30" s="18">
        <f>(2010.0/B30*100)</f>
        <v/>
      </c>
      <c r="D30" s="19" t="n">
        <v>253</v>
      </c>
      <c r="E30" s="18" t="n">
        <v>36.97409777</v>
      </c>
      <c r="F30" s="20" t="n">
        <v>3.02128128</v>
      </c>
      <c r="G30" s="18" t="n">
        <v>61.00761462</v>
      </c>
      <c r="H30" s="20" t="n">
        <v>3.10408218</v>
      </c>
      <c r="I30" s="18" t="s">
        <v>567</v>
      </c>
      <c r="J30" s="20" t="s">
        <v>567</v>
      </c>
      <c r="K30" s="18" t="n">
        <v>0.41958249</v>
      </c>
      <c r="L30" s="20" t="n">
        <v>0.43959082</v>
      </c>
      <c r="M30" s="18" t="n">
        <v>0</v>
      </c>
      <c r="N30" s="20" t="n">
        <v>0</v>
      </c>
      <c r="O30" s="18" t="n">
        <v>0</v>
      </c>
      <c r="P30" s="20" t="n">
        <v>0</v>
      </c>
      <c r="Q30" s="18" t="n">
        <v>1.59870511</v>
      </c>
      <c r="R30" s="20" t="n">
        <v>0.83020191</v>
      </c>
    </row>
    <row r="31" spans="1:18">
      <c r="A31" s="15" t="s">
        <v>591</v>
      </c>
      <c r="B31" s="17" t="n">
        <v>2750</v>
      </c>
      <c r="C31" s="18">
        <f>(2454.0/B31*100)</f>
        <v/>
      </c>
      <c r="D31" s="19" t="n">
        <v>296</v>
      </c>
      <c r="E31" s="18" t="n">
        <v>41.41811164</v>
      </c>
      <c r="F31" s="20" t="n">
        <v>3.07505376</v>
      </c>
      <c r="G31" s="18" t="n">
        <v>56.35144939</v>
      </c>
      <c r="H31" s="20" t="n">
        <v>2.97397983</v>
      </c>
      <c r="I31" s="18" t="s">
        <v>567</v>
      </c>
      <c r="J31" s="20" t="s">
        <v>567</v>
      </c>
      <c r="K31" s="18" t="n">
        <v>0.61932273</v>
      </c>
      <c r="L31" s="20" t="n">
        <v>0.42564299</v>
      </c>
      <c r="M31" s="18" t="n">
        <v>0</v>
      </c>
      <c r="N31" s="20" t="n">
        <v>0</v>
      </c>
      <c r="O31" s="18" t="n">
        <v>0</v>
      </c>
      <c r="P31" s="20" t="n">
        <v>0</v>
      </c>
      <c r="Q31" s="18" t="n">
        <v>1.61111624</v>
      </c>
      <c r="R31" s="20" t="n">
        <v>0.71110333</v>
      </c>
    </row>
    <row r="32" spans="1:18">
      <c r="A32" s="15" t="s">
        <v>592</v>
      </c>
      <c r="B32" s="17" t="n">
        <v>2269</v>
      </c>
      <c r="C32" s="18">
        <f>(2026.0/B32*100)</f>
        <v/>
      </c>
      <c r="D32" s="19" t="n">
        <v>243</v>
      </c>
      <c r="E32" s="18" t="n">
        <v>42.24724236</v>
      </c>
      <c r="F32" s="20" t="n">
        <v>3.06652381</v>
      </c>
      <c r="G32" s="18" t="n">
        <v>56.611109</v>
      </c>
      <c r="H32" s="20" t="n">
        <v>3.1388734</v>
      </c>
      <c r="I32" s="18" t="s">
        <v>567</v>
      </c>
      <c r="J32" s="20" t="s">
        <v>567</v>
      </c>
      <c r="K32" s="18" t="n">
        <v>0.36613784</v>
      </c>
      <c r="L32" s="20" t="n">
        <v>0.35763378</v>
      </c>
      <c r="M32" s="18" t="n">
        <v>0</v>
      </c>
      <c r="N32" s="20" t="n">
        <v>0</v>
      </c>
      <c r="O32" s="18" t="n">
        <v>0</v>
      </c>
      <c r="P32" s="20" t="n">
        <v>0</v>
      </c>
      <c r="Q32" s="18" t="n">
        <v>0.77551079</v>
      </c>
      <c r="R32" s="20" t="n">
        <v>0.5699066</v>
      </c>
    </row>
    <row r="33" spans="1:18">
      <c r="A33" s="15" t="s">
        <v>593</v>
      </c>
      <c r="B33" s="17" t="n">
        <v>3674</v>
      </c>
      <c r="C33" s="18">
        <f>(3303.0/B33*100)</f>
        <v/>
      </c>
      <c r="D33" s="19" t="n">
        <v>371</v>
      </c>
      <c r="E33" s="18" t="n">
        <v>36.85334058</v>
      </c>
      <c r="F33" s="20" t="n">
        <v>2.71962755</v>
      </c>
      <c r="G33" s="18" t="n">
        <v>61.62815694</v>
      </c>
      <c r="H33" s="20" t="n">
        <v>2.93481888</v>
      </c>
      <c r="I33" s="18" t="s">
        <v>567</v>
      </c>
      <c r="J33" s="20" t="s">
        <v>567</v>
      </c>
      <c r="K33" s="18" t="n">
        <v>1.2366203</v>
      </c>
      <c r="L33" s="20" t="n">
        <v>0.98847262</v>
      </c>
      <c r="M33" s="18" t="n">
        <v>0</v>
      </c>
      <c r="N33" s="20" t="n">
        <v>0</v>
      </c>
      <c r="O33" s="18" t="n">
        <v>0</v>
      </c>
      <c r="P33" s="20" t="n">
        <v>0</v>
      </c>
      <c r="Q33" s="18" t="n">
        <v>0.28188218</v>
      </c>
      <c r="R33" s="20" t="n">
        <v>0.25091236</v>
      </c>
    </row>
    <row r="34" spans="1:18">
      <c r="A34" s="15" t="s">
        <v>594</v>
      </c>
      <c r="B34" s="17" t="n">
        <v>3315</v>
      </c>
      <c r="C34" s="18">
        <f>(2977.0/B34*100)</f>
        <v/>
      </c>
      <c r="D34" s="19" t="n">
        <v>338</v>
      </c>
      <c r="E34" s="18" t="n">
        <v>51.36746538</v>
      </c>
      <c r="F34" s="20" t="n">
        <v>2.94207997</v>
      </c>
      <c r="G34" s="18" t="n">
        <v>47.88966811</v>
      </c>
      <c r="H34" s="20" t="n">
        <v>2.90740121</v>
      </c>
      <c r="I34" s="18" t="s">
        <v>567</v>
      </c>
      <c r="J34" s="20" t="s">
        <v>567</v>
      </c>
      <c r="K34" s="18" t="n">
        <v>0.45086162</v>
      </c>
      <c r="L34" s="20" t="n">
        <v>0.4547334</v>
      </c>
      <c r="M34" s="18" t="n">
        <v>0</v>
      </c>
      <c r="N34" s="20" t="n">
        <v>0</v>
      </c>
      <c r="O34" s="18" t="n">
        <v>0</v>
      </c>
      <c r="P34" s="20" t="n">
        <v>0</v>
      </c>
      <c r="Q34" s="18" t="n">
        <v>0.29200489</v>
      </c>
      <c r="R34" s="20" t="n">
        <v>0.28458952</v>
      </c>
    </row>
    <row r="35" spans="1:18">
      <c r="A35" s="15" t="s">
        <v>595</v>
      </c>
      <c r="B35" s="17" t="n">
        <v>3505</v>
      </c>
      <c r="C35" s="18">
        <f>(3122.0/B35*100)</f>
        <v/>
      </c>
      <c r="D35" s="19" t="n">
        <v>383</v>
      </c>
      <c r="E35" s="18" t="n">
        <v>33.4095575</v>
      </c>
      <c r="F35" s="20" t="n">
        <v>2.56363304</v>
      </c>
      <c r="G35" s="18" t="n">
        <v>65.97602538</v>
      </c>
      <c r="H35" s="20" t="n">
        <v>2.67749188</v>
      </c>
      <c r="I35" s="18" t="s">
        <v>567</v>
      </c>
      <c r="J35" s="20" t="s">
        <v>567</v>
      </c>
      <c r="K35" s="18" t="n">
        <v>0</v>
      </c>
      <c r="L35" s="20" t="n">
        <v>0</v>
      </c>
      <c r="M35" s="18" t="n">
        <v>0</v>
      </c>
      <c r="N35" s="20" t="n">
        <v>0</v>
      </c>
      <c r="O35" s="18" t="n">
        <v>0</v>
      </c>
      <c r="P35" s="20" t="n">
        <v>0</v>
      </c>
      <c r="Q35" s="18" t="n">
        <v>0.61441712</v>
      </c>
      <c r="R35" s="20" t="n">
        <v>0.37957488</v>
      </c>
    </row>
    <row r="36" spans="1:18">
      <c r="A36" s="15" t="s">
        <v>596</v>
      </c>
      <c r="B36" s="17" t="n">
        <v>3332</v>
      </c>
      <c r="C36" s="18">
        <f>(2963.0/B36*100)</f>
        <v/>
      </c>
      <c r="D36" s="19" t="n">
        <v>369</v>
      </c>
      <c r="E36" s="18" t="n">
        <v>45.45282588</v>
      </c>
      <c r="F36" s="20" t="n">
        <v>3.03938032</v>
      </c>
      <c r="G36" s="18" t="n">
        <v>51.61360921</v>
      </c>
      <c r="H36" s="20" t="n">
        <v>3.01813697</v>
      </c>
      <c r="I36" s="18" t="s">
        <v>567</v>
      </c>
      <c r="J36" s="20" t="s">
        <v>567</v>
      </c>
      <c r="K36" s="18" t="n">
        <v>0.69806009</v>
      </c>
      <c r="L36" s="20" t="n">
        <v>0.38475395</v>
      </c>
      <c r="M36" s="18" t="n">
        <v>0</v>
      </c>
      <c r="N36" s="20" t="n">
        <v>0</v>
      </c>
      <c r="O36" s="18" t="n">
        <v>0</v>
      </c>
      <c r="P36" s="20" t="n">
        <v>0</v>
      </c>
      <c r="Q36" s="18" t="n">
        <v>2.23550482</v>
      </c>
      <c r="R36" s="20" t="n">
        <v>0.47086604</v>
      </c>
    </row>
    <row r="37" spans="1:18">
      <c r="A37" s="15" t="s">
        <v>597</v>
      </c>
      <c r="B37" s="17" t="n">
        <v>2727</v>
      </c>
      <c r="C37" s="18">
        <f>(2425.0/B37*100)</f>
        <v/>
      </c>
      <c r="D37" s="19" t="n">
        <v>302</v>
      </c>
      <c r="E37" s="18" t="n">
        <v>43.20194924</v>
      </c>
      <c r="F37" s="20" t="n">
        <v>2.66033186</v>
      </c>
      <c r="G37" s="18" t="n">
        <v>53.17883658</v>
      </c>
      <c r="H37" s="20" t="n">
        <v>2.6187408</v>
      </c>
      <c r="I37" s="18" t="s">
        <v>567</v>
      </c>
      <c r="J37" s="20" t="s">
        <v>567</v>
      </c>
      <c r="K37" s="18" t="n">
        <v>0.54992991</v>
      </c>
      <c r="L37" s="20" t="n">
        <v>0.54791981</v>
      </c>
      <c r="M37" s="18" t="n">
        <v>0</v>
      </c>
      <c r="N37" s="20" t="n">
        <v>0</v>
      </c>
      <c r="O37" s="18" t="n">
        <v>0</v>
      </c>
      <c r="P37" s="20" t="n">
        <v>0</v>
      </c>
      <c r="Q37" s="18" t="n">
        <v>3.06928427</v>
      </c>
      <c r="R37" s="20" t="n">
        <v>0.96301086</v>
      </c>
    </row>
    <row r="38" spans="1:18">
      <c r="A38" s="15" t="s">
        <v>598</v>
      </c>
      <c r="B38" s="17" t="n">
        <v>3053</v>
      </c>
      <c r="C38" s="18">
        <f>(2726.0/B38*100)</f>
        <v/>
      </c>
      <c r="D38" s="19" t="n">
        <v>327</v>
      </c>
      <c r="E38" s="18" t="n">
        <v>35.69285013</v>
      </c>
      <c r="F38" s="20" t="n">
        <v>2.99666394</v>
      </c>
      <c r="G38" s="18" t="n">
        <v>63.46598852</v>
      </c>
      <c r="H38" s="20" t="n">
        <v>3.05287952</v>
      </c>
      <c r="I38" s="18" t="s">
        <v>567</v>
      </c>
      <c r="J38" s="20" t="s">
        <v>567</v>
      </c>
      <c r="K38" s="18" t="n">
        <v>0.8120782</v>
      </c>
      <c r="L38" s="20" t="n">
        <v>0.5406196</v>
      </c>
      <c r="M38" s="18" t="n">
        <v>0</v>
      </c>
      <c r="N38" s="20" t="n">
        <v>0</v>
      </c>
      <c r="O38" s="18" t="n">
        <v>0</v>
      </c>
      <c r="P38" s="20" t="n">
        <v>0</v>
      </c>
      <c r="Q38" s="18" t="n">
        <v>0.02908315</v>
      </c>
      <c r="R38" s="20" t="n">
        <v>0.02921103</v>
      </c>
    </row>
    <row r="39" spans="1:18">
      <c r="A39" s="15" t="s">
        <v>599</v>
      </c>
      <c r="B39" s="17" t="n">
        <v>2957</v>
      </c>
      <c r="C39" s="18">
        <f>(2625.0/B39*100)</f>
        <v/>
      </c>
      <c r="D39" s="19" t="n">
        <v>332</v>
      </c>
      <c r="E39" s="18" t="n">
        <v>60.09799113</v>
      </c>
      <c r="F39" s="20" t="n">
        <v>2.99286683</v>
      </c>
      <c r="G39" s="18" t="n">
        <v>37.71446205</v>
      </c>
      <c r="H39" s="20" t="n">
        <v>2.9404804</v>
      </c>
      <c r="I39" s="18" t="s">
        <v>567</v>
      </c>
      <c r="J39" s="20" t="s">
        <v>567</v>
      </c>
      <c r="K39" s="18" t="n">
        <v>0.61992133</v>
      </c>
      <c r="L39" s="20" t="n">
        <v>0.3318051</v>
      </c>
      <c r="M39" s="18" t="n">
        <v>0</v>
      </c>
      <c r="N39" s="20" t="n">
        <v>0</v>
      </c>
      <c r="O39" s="18" t="n">
        <v>0</v>
      </c>
      <c r="P39" s="20" t="n">
        <v>0</v>
      </c>
      <c r="Q39" s="18" t="n">
        <v>1.56762549</v>
      </c>
      <c r="R39" s="20" t="n">
        <v>0.90949917</v>
      </c>
    </row>
    <row r="40" spans="1:18">
      <c r="A40" s="15" t="s">
        <v>600</v>
      </c>
      <c r="B40" s="17" t="n">
        <v>7235</v>
      </c>
      <c r="C40" s="18">
        <f>(6399.0/B40*100)</f>
        <v/>
      </c>
      <c r="D40" s="19" t="n">
        <v>836</v>
      </c>
      <c r="E40" s="18" t="n">
        <v>39.23248774</v>
      </c>
      <c r="F40" s="20" t="n">
        <v>2.29795307</v>
      </c>
      <c r="G40" s="18" t="n">
        <v>58.94220521</v>
      </c>
      <c r="H40" s="20" t="n">
        <v>2.43773282</v>
      </c>
      <c r="I40" s="18" t="s">
        <v>567</v>
      </c>
      <c r="J40" s="20" t="s">
        <v>567</v>
      </c>
      <c r="K40" s="18" t="n">
        <v>0.4845551</v>
      </c>
      <c r="L40" s="20" t="n">
        <v>0.24612058</v>
      </c>
      <c r="M40" s="18" t="n">
        <v>0</v>
      </c>
      <c r="N40" s="20" t="n">
        <v>0</v>
      </c>
      <c r="O40" s="18" t="n">
        <v>0</v>
      </c>
      <c r="P40" s="20" t="n">
        <v>0</v>
      </c>
      <c r="Q40" s="18" t="n">
        <v>1.34075195</v>
      </c>
      <c r="R40" s="20" t="n">
        <v>0.60667333</v>
      </c>
    </row>
    <row r="41" spans="1:18">
      <c r="A41" s="15" t="s">
        <v>601</v>
      </c>
      <c r="B41" s="17" t="n">
        <v>2858</v>
      </c>
      <c r="C41" s="18">
        <f>(2538.0/B41*100)</f>
        <v/>
      </c>
      <c r="D41" s="19" t="n">
        <v>320</v>
      </c>
      <c r="E41" s="18" t="n">
        <v>47.60582729</v>
      </c>
      <c r="F41" s="20" t="n">
        <v>2.85860991</v>
      </c>
      <c r="G41" s="18" t="n">
        <v>52.09503103</v>
      </c>
      <c r="H41" s="20" t="n">
        <v>2.83347179</v>
      </c>
      <c r="I41" s="18" t="s">
        <v>567</v>
      </c>
      <c r="J41" s="20" t="s">
        <v>567</v>
      </c>
      <c r="K41" s="18" t="n">
        <v>0.29914168</v>
      </c>
      <c r="L41" s="20" t="n">
        <v>0.31572464</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(10187.0/B46*100)</f>
        <v/>
      </c>
      <c r="D46" s="19" t="n">
        <v>881</v>
      </c>
      <c r="E46" s="18" t="n">
        <v>67.51454489</v>
      </c>
      <c r="F46" s="20" t="n">
        <v>2.17271138</v>
      </c>
      <c r="G46" s="18" t="n">
        <v>27.74832458</v>
      </c>
      <c r="H46" s="20" t="n">
        <v>2.04703807</v>
      </c>
      <c r="I46" s="18" t="s">
        <v>567</v>
      </c>
      <c r="J46" s="20" t="s">
        <v>567</v>
      </c>
      <c r="K46" s="18" t="n">
        <v>2.0743182</v>
      </c>
      <c r="L46" s="20" t="n">
        <v>0.66708304</v>
      </c>
      <c r="M46" s="18" t="n">
        <v>0</v>
      </c>
      <c r="N46" s="20" t="n">
        <v>0</v>
      </c>
      <c r="O46" s="18" t="n">
        <v>0</v>
      </c>
      <c r="P46" s="20" t="n">
        <v>0</v>
      </c>
      <c r="Q46" s="18" t="n">
        <v>2.66281233</v>
      </c>
      <c r="R46" s="20" t="n">
        <v>0.6585072</v>
      </c>
    </row>
    <row r="47" spans="1:18">
      <c r="A47" s="15" t="s">
        <v>607</v>
      </c>
      <c r="B47" s="17" t="n">
        <v>3105</v>
      </c>
      <c r="C47" s="18">
        <f>(2766.0/B47*100)</f>
        <v/>
      </c>
      <c r="D47" s="19" t="n">
        <v>339</v>
      </c>
      <c r="E47" s="18" t="n">
        <v>57.44458194</v>
      </c>
      <c r="F47" s="20" t="n">
        <v>2.6158803</v>
      </c>
      <c r="G47" s="18" t="n">
        <v>40.22624037</v>
      </c>
      <c r="H47" s="20" t="n">
        <v>2.53821165</v>
      </c>
      <c r="I47" s="18" t="s">
        <v>567</v>
      </c>
      <c r="J47" s="20" t="s">
        <v>567</v>
      </c>
      <c r="K47" s="18" t="n">
        <v>0.61262404</v>
      </c>
      <c r="L47" s="20" t="n">
        <v>0.37422569</v>
      </c>
      <c r="M47" s="18" t="n">
        <v>0</v>
      </c>
      <c r="N47" s="20" t="n">
        <v>0</v>
      </c>
      <c r="O47" s="18" t="n">
        <v>0</v>
      </c>
      <c r="P47" s="20" t="n">
        <v>0</v>
      </c>
      <c r="Q47" s="18" t="n">
        <v>1.71655365</v>
      </c>
      <c r="R47" s="20" t="n">
        <v>0.68004631</v>
      </c>
    </row>
    <row r="48" spans="1:18">
      <c r="A48" s="15" t="s">
        <v>608</v>
      </c>
      <c r="B48" s="17" t="n">
        <v>5159</v>
      </c>
      <c r="C48" s="18">
        <f>(4614.0/B48*100)</f>
        <v/>
      </c>
      <c r="D48" s="19" t="n">
        <v>545</v>
      </c>
      <c r="E48" s="18" t="n">
        <v>47.18180092</v>
      </c>
      <c r="F48" s="20" t="n">
        <v>2.80480686</v>
      </c>
      <c r="G48" s="18" t="n">
        <v>51.8185817</v>
      </c>
      <c r="H48" s="20" t="n">
        <v>2.81343058</v>
      </c>
      <c r="I48" s="18" t="s">
        <v>567</v>
      </c>
      <c r="J48" s="20" t="s">
        <v>567</v>
      </c>
      <c r="K48" s="18" t="n">
        <v>0.66807994</v>
      </c>
      <c r="L48" s="20" t="n">
        <v>0.47324164</v>
      </c>
      <c r="M48" s="18" t="n">
        <v>0</v>
      </c>
      <c r="N48" s="20" t="n">
        <v>0</v>
      </c>
      <c r="O48" s="18" t="n">
        <v>0</v>
      </c>
      <c r="P48" s="20" t="n">
        <v>0</v>
      </c>
      <c r="Q48" s="18" t="n">
        <v>0.33153744</v>
      </c>
      <c r="R48" s="20" t="n">
        <v>0.34333192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(5051.0/B50*100)</f>
        <v/>
      </c>
      <c r="D50" s="19" t="n">
        <v>586</v>
      </c>
      <c r="E50" s="18" t="n">
        <v>63.61288025</v>
      </c>
      <c r="F50" s="20" t="n">
        <v>3.02312953</v>
      </c>
      <c r="G50" s="18" t="n">
        <v>33.85670093</v>
      </c>
      <c r="H50" s="20" t="n">
        <v>2.94400783</v>
      </c>
      <c r="I50" s="18" t="s">
        <v>567</v>
      </c>
      <c r="J50" s="20" t="s">
        <v>567</v>
      </c>
      <c r="K50" s="18" t="n">
        <v>1.36905629</v>
      </c>
      <c r="L50" s="20" t="n">
        <v>0.59192481</v>
      </c>
      <c r="M50" s="18" t="n">
        <v>0</v>
      </c>
      <c r="N50" s="20" t="n">
        <v>0</v>
      </c>
      <c r="O50" s="18" t="n">
        <v>0</v>
      </c>
      <c r="P50" s="20" t="n">
        <v>0</v>
      </c>
      <c r="Q50" s="18" t="n">
        <v>1.16136253</v>
      </c>
      <c r="R50" s="20" t="n">
        <v>0.54137008</v>
      </c>
    </row>
    <row r="51" spans="1:18">
      <c r="A51" s="15" t="s">
        <v>611</v>
      </c>
      <c r="B51" s="17" t="n">
        <v>3372</v>
      </c>
      <c r="C51" s="18">
        <f>(3053.0/B51*100)</f>
        <v/>
      </c>
      <c r="D51" s="19" t="n">
        <v>319</v>
      </c>
      <c r="E51" s="18" t="n">
        <v>58.81477089</v>
      </c>
      <c r="F51" s="20" t="n">
        <v>2.92323007</v>
      </c>
      <c r="G51" s="18" t="n">
        <v>38.20397814</v>
      </c>
      <c r="H51" s="20" t="n">
        <v>3.12208095</v>
      </c>
      <c r="I51" s="18" t="s">
        <v>567</v>
      </c>
      <c r="J51" s="20" t="s">
        <v>567</v>
      </c>
      <c r="K51" s="18" t="n">
        <v>2.49975743</v>
      </c>
      <c r="L51" s="20" t="n">
        <v>1.18600157</v>
      </c>
      <c r="M51" s="18" t="n">
        <v>0</v>
      </c>
      <c r="N51" s="20" t="n">
        <v>0</v>
      </c>
      <c r="O51" s="18" t="n">
        <v>0</v>
      </c>
      <c r="P51" s="20" t="n">
        <v>0</v>
      </c>
      <c r="Q51" s="18" t="n">
        <v>0.48149355</v>
      </c>
      <c r="R51" s="20" t="n">
        <v>0.34113516</v>
      </c>
    </row>
    <row r="52" spans="1:18">
      <c r="A52" s="15" t="s">
        <v>612</v>
      </c>
      <c r="B52" s="17" t="n">
        <v>2796</v>
      </c>
      <c r="C52" s="18">
        <f>(2517.0/B52*100)</f>
        <v/>
      </c>
      <c r="D52" s="19" t="n">
        <v>279</v>
      </c>
      <c r="E52" s="18" t="n">
        <v>43.32982629</v>
      </c>
      <c r="F52" s="20" t="n">
        <v>2.84293097</v>
      </c>
      <c r="G52" s="18" t="n">
        <v>55.93841779</v>
      </c>
      <c r="H52" s="20" t="n">
        <v>2.8568167</v>
      </c>
      <c r="I52" s="18" t="s">
        <v>567</v>
      </c>
      <c r="J52" s="20" t="s">
        <v>567</v>
      </c>
      <c r="K52" s="18" t="n">
        <v>0</v>
      </c>
      <c r="L52" s="20" t="n">
        <v>0</v>
      </c>
      <c r="M52" s="18" t="n">
        <v>0</v>
      </c>
      <c r="N52" s="20" t="n">
        <v>0</v>
      </c>
      <c r="O52" s="18" t="n">
        <v>0</v>
      </c>
      <c r="P52" s="20" t="n">
        <v>0</v>
      </c>
      <c r="Q52" s="18" t="n">
        <v>0.73175591</v>
      </c>
      <c r="R52" s="20" t="n">
        <v>0.49889173</v>
      </c>
    </row>
    <row r="53" spans="1:18">
      <c r="A53" s="15" t="s">
        <v>613</v>
      </c>
      <c r="B53" s="17" t="n">
        <v>2811</v>
      </c>
      <c r="C53" s="18">
        <f>(2526.0/B53*100)</f>
        <v/>
      </c>
      <c r="D53" s="19" t="n">
        <v>285</v>
      </c>
      <c r="E53" s="18" t="n">
        <v>55.43699905</v>
      </c>
      <c r="F53" s="20" t="n">
        <v>3.20764595</v>
      </c>
      <c r="G53" s="18" t="n">
        <v>42.17694949</v>
      </c>
      <c r="H53" s="20" t="n">
        <v>3.24730084</v>
      </c>
      <c r="I53" s="18" t="s">
        <v>567</v>
      </c>
      <c r="J53" s="20" t="s">
        <v>567</v>
      </c>
      <c r="K53" s="18" t="n">
        <v>0.7806355</v>
      </c>
      <c r="L53" s="20" t="n">
        <v>0.45969033</v>
      </c>
      <c r="M53" s="18" t="n">
        <v>0</v>
      </c>
      <c r="N53" s="20" t="n">
        <v>0</v>
      </c>
      <c r="O53" s="18" t="n">
        <v>0</v>
      </c>
      <c r="P53" s="20" t="n">
        <v>0</v>
      </c>
      <c r="Q53" s="18" t="n">
        <v>1.60541596</v>
      </c>
      <c r="R53" s="20" t="n">
        <v>0.72079195</v>
      </c>
    </row>
    <row r="54" spans="1:18">
      <c r="A54" s="15" t="s">
        <v>614</v>
      </c>
      <c r="B54" s="17" t="n">
        <v>2266</v>
      </c>
      <c r="C54" s="18">
        <f>(2016.0/B54*100)</f>
        <v/>
      </c>
      <c r="D54" s="19" t="n">
        <v>250</v>
      </c>
      <c r="E54" s="18" t="n">
        <v>65.20759169999999</v>
      </c>
      <c r="F54" s="20" t="n">
        <v>3.56482892</v>
      </c>
      <c r="G54" s="18" t="n">
        <v>15.78128118</v>
      </c>
      <c r="H54" s="20" t="n">
        <v>2.37423716</v>
      </c>
      <c r="I54" s="18" t="s">
        <v>567</v>
      </c>
      <c r="J54" s="20" t="s">
        <v>567</v>
      </c>
      <c r="K54" s="18" t="n">
        <v>16.5949753</v>
      </c>
      <c r="L54" s="20" t="n">
        <v>2.81987641</v>
      </c>
      <c r="M54" s="18" t="n">
        <v>0</v>
      </c>
      <c r="N54" s="20" t="n">
        <v>0</v>
      </c>
      <c r="O54" s="18" t="n">
        <v>0</v>
      </c>
      <c r="P54" s="20" t="n">
        <v>0</v>
      </c>
      <c r="Q54" s="18" t="n">
        <v>2.41615182</v>
      </c>
      <c r="R54" s="20" t="n">
        <v>1.15681325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(2394.0/B56*100)</f>
        <v/>
      </c>
      <c r="D56" s="19" t="n">
        <v>290</v>
      </c>
      <c r="E56" s="18" t="n">
        <v>44.69064058</v>
      </c>
      <c r="F56" s="20" t="n">
        <v>2.76688969</v>
      </c>
      <c r="G56" s="18" t="n">
        <v>55.30935942</v>
      </c>
      <c r="H56" s="20" t="n">
        <v>2.76688969</v>
      </c>
      <c r="I56" s="18" t="s">
        <v>567</v>
      </c>
      <c r="J56" s="20" t="s">
        <v>567</v>
      </c>
      <c r="K56" s="18" t="n">
        <v>0</v>
      </c>
      <c r="L56" s="20" t="n">
        <v>0</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(2996.0/B61*100)</f>
        <v/>
      </c>
      <c r="D61" s="19" t="n">
        <v>328</v>
      </c>
      <c r="E61" s="18" t="n">
        <v>56.7538371</v>
      </c>
      <c r="F61" s="20" t="n">
        <v>3.19361586</v>
      </c>
      <c r="G61" s="18" t="n">
        <v>42.29877407</v>
      </c>
      <c r="H61" s="20" t="n">
        <v>3.2218887</v>
      </c>
      <c r="I61" s="18" t="s">
        <v>567</v>
      </c>
      <c r="J61" s="20" t="s">
        <v>567</v>
      </c>
      <c r="K61" s="18" t="n">
        <v>0.4318452</v>
      </c>
      <c r="L61" s="20" t="n">
        <v>0.45081979</v>
      </c>
      <c r="M61" s="18" t="n">
        <v>0</v>
      </c>
      <c r="N61" s="20" t="n">
        <v>0</v>
      </c>
      <c r="O61" s="18" t="n">
        <v>0</v>
      </c>
      <c r="P61" s="20" t="n">
        <v>0</v>
      </c>
      <c r="Q61" s="18" t="n">
        <v>0.51554364</v>
      </c>
      <c r="R61" s="20" t="n">
        <v>0.29063545</v>
      </c>
    </row>
    <row r="62" spans="1:18">
      <c r="A62" s="15" t="s">
        <v>622</v>
      </c>
      <c r="B62" s="17" t="n">
        <v>2246</v>
      </c>
      <c r="C62" s="18">
        <f>(1998.0/B62*100)</f>
        <v/>
      </c>
      <c r="D62" s="19" t="n">
        <v>248</v>
      </c>
      <c r="E62" s="18" t="n">
        <v>50.32765203</v>
      </c>
      <c r="F62" s="20" t="n">
        <v>3.73087001</v>
      </c>
      <c r="G62" s="18" t="n">
        <v>49.67234797</v>
      </c>
      <c r="H62" s="20" t="n">
        <v>3.73087001</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(2606.0/B66*100)</f>
        <v/>
      </c>
      <c r="D66" s="19" t="n">
        <v>288</v>
      </c>
      <c r="E66" s="18" t="n">
        <v>56.06436847</v>
      </c>
      <c r="F66" s="20" t="n">
        <v>2.63242699</v>
      </c>
      <c r="G66" s="18" t="n">
        <v>37.77475681</v>
      </c>
      <c r="H66" s="20" t="n">
        <v>3.00653534</v>
      </c>
      <c r="I66" s="18" t="s">
        <v>567</v>
      </c>
      <c r="J66" s="20" t="s">
        <v>567</v>
      </c>
      <c r="K66" s="18" t="n">
        <v>0.9970904</v>
      </c>
      <c r="L66" s="20" t="n">
        <v>0.57888674</v>
      </c>
      <c r="M66" s="18" t="n">
        <v>0</v>
      </c>
      <c r="N66" s="20" t="n">
        <v>0</v>
      </c>
      <c r="O66" s="18" t="n">
        <v>0</v>
      </c>
      <c r="P66" s="20" t="n">
        <v>0</v>
      </c>
      <c r="Q66" s="18" t="n">
        <v>5.16378432</v>
      </c>
      <c r="R66" s="20" t="n">
        <v>1.23830662</v>
      </c>
    </row>
    <row r="67" spans="1:18">
      <c r="A67" s="15" t="s">
        <v>627</v>
      </c>
      <c r="B67" s="17" t="n">
        <v>3511</v>
      </c>
      <c r="C67" s="18">
        <f>(3190.0/B67*100)</f>
        <v/>
      </c>
      <c r="D67" s="19" t="n">
        <v>321</v>
      </c>
      <c r="E67" s="18" t="n">
        <v>67.42559445000001</v>
      </c>
      <c r="F67" s="20" t="n">
        <v>2.65102957</v>
      </c>
      <c r="G67" s="18" t="n">
        <v>31.68835513</v>
      </c>
      <c r="H67" s="20" t="n">
        <v>2.63201405</v>
      </c>
      <c r="I67" s="18" t="s">
        <v>567</v>
      </c>
      <c r="J67" s="20" t="s">
        <v>567</v>
      </c>
      <c r="K67" s="18" t="n">
        <v>0.31731036</v>
      </c>
      <c r="L67" s="20" t="n">
        <v>0.31588761</v>
      </c>
      <c r="M67" s="18" t="n">
        <v>0</v>
      </c>
      <c r="N67" s="20" t="n">
        <v>0</v>
      </c>
      <c r="O67" s="18" t="n">
        <v>0</v>
      </c>
      <c r="P67" s="20" t="n">
        <v>0</v>
      </c>
      <c r="Q67" s="18" t="n">
        <v>0.5687400500000001</v>
      </c>
      <c r="R67" s="20" t="n">
        <v>0.56620724</v>
      </c>
    </row>
    <row r="68" spans="1:18">
      <c r="A68" s="15" t="s">
        <v>628</v>
      </c>
      <c r="B68" s="17" t="n">
        <v>6049</v>
      </c>
      <c r="C68" s="18">
        <f>(5392.0/B68*100)</f>
        <v/>
      </c>
      <c r="D68" s="19" t="n">
        <v>657</v>
      </c>
      <c r="E68" s="18" t="n">
        <v>55.04528234</v>
      </c>
      <c r="F68" s="20" t="n">
        <v>1.98993182</v>
      </c>
      <c r="G68" s="18" t="n">
        <v>37.32499561</v>
      </c>
      <c r="H68" s="20" t="n">
        <v>2.07316656</v>
      </c>
      <c r="I68" s="18" t="s">
        <v>567</v>
      </c>
      <c r="J68" s="20" t="s">
        <v>567</v>
      </c>
      <c r="K68" s="18" t="n">
        <v>5.66801367</v>
      </c>
      <c r="L68" s="20" t="n">
        <v>0.88445083</v>
      </c>
      <c r="M68" s="18" t="n">
        <v>0</v>
      </c>
      <c r="N68" s="20" t="n">
        <v>0</v>
      </c>
      <c r="O68" s="18" t="n">
        <v>0</v>
      </c>
      <c r="P68" s="20" t="n">
        <v>0</v>
      </c>
      <c r="Q68" s="18" t="n">
        <v>1.96170838</v>
      </c>
      <c r="R68" s="20" t="n">
        <v>0.5587936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(2656.0/B70*100)</f>
        <v/>
      </c>
      <c r="D70" s="19" t="n">
        <v>273</v>
      </c>
      <c r="E70" s="18" t="n">
        <v>41.16275445</v>
      </c>
      <c r="F70" s="20" t="n">
        <v>2.88053105</v>
      </c>
      <c r="G70" s="18" t="n">
        <v>57.53121981</v>
      </c>
      <c r="H70" s="20" t="n">
        <v>2.86926348</v>
      </c>
      <c r="I70" s="18" t="s">
        <v>567</v>
      </c>
      <c r="J70" s="20" t="s">
        <v>567</v>
      </c>
      <c r="K70" s="18" t="n">
        <v>0.43892203</v>
      </c>
      <c r="L70" s="20" t="n">
        <v>0.40461267</v>
      </c>
      <c r="M70" s="18" t="n">
        <v>0</v>
      </c>
      <c r="N70" s="20" t="n">
        <v>0</v>
      </c>
      <c r="O70" s="18" t="n">
        <v>0</v>
      </c>
      <c r="P70" s="20" t="n">
        <v>0</v>
      </c>
      <c r="Q70" s="18" t="n">
        <v>0.86710372</v>
      </c>
      <c r="R70" s="20" t="n">
        <v>0.58375109</v>
      </c>
    </row>
    <row r="71" spans="1:18">
      <c r="A71" s="15" t="s">
        <v>631</v>
      </c>
      <c r="B71" s="17" t="n">
        <v>3142</v>
      </c>
      <c r="C71" s="18">
        <f>(2782.0/B71*100)</f>
        <v/>
      </c>
      <c r="D71" s="19" t="n">
        <v>360</v>
      </c>
      <c r="E71" s="18" t="n">
        <v>37.43706586</v>
      </c>
      <c r="F71" s="20" t="n">
        <v>2.58172337</v>
      </c>
      <c r="G71" s="18" t="n">
        <v>62.21032435</v>
      </c>
      <c r="H71" s="20" t="n">
        <v>2.59648833</v>
      </c>
      <c r="I71" s="18" t="s">
        <v>567</v>
      </c>
      <c r="J71" s="20" t="s">
        <v>567</v>
      </c>
      <c r="K71" s="18" t="n">
        <v>0</v>
      </c>
      <c r="L71" s="20" t="n">
        <v>0</v>
      </c>
      <c r="M71" s="18" t="n">
        <v>0</v>
      </c>
      <c r="N71" s="20" t="n">
        <v>0</v>
      </c>
      <c r="O71" s="18" t="n">
        <v>0</v>
      </c>
      <c r="P71" s="20" t="n">
        <v>0</v>
      </c>
      <c r="Q71" s="18" t="n">
        <v>0.35260979</v>
      </c>
      <c r="R71" s="20" t="n">
        <v>0.2726204</v>
      </c>
    </row>
    <row r="72" spans="1:18">
      <c r="A72" s="15" t="s">
        <v>632</v>
      </c>
      <c r="B72" s="17" t="n">
        <v>3889</v>
      </c>
      <c r="C72" s="18">
        <f>(3451.0/B72*100)</f>
        <v/>
      </c>
      <c r="D72" s="19" t="n">
        <v>438</v>
      </c>
      <c r="E72" s="18" t="n">
        <v>53.28794315</v>
      </c>
      <c r="F72" s="20" t="n">
        <v>2.58925284</v>
      </c>
      <c r="G72" s="18" t="n">
        <v>46.48853779</v>
      </c>
      <c r="H72" s="20" t="n">
        <v>2.59232787</v>
      </c>
      <c r="I72" s="18" t="s">
        <v>567</v>
      </c>
      <c r="J72" s="20" t="s">
        <v>567</v>
      </c>
      <c r="K72" s="18" t="n">
        <v>0</v>
      </c>
      <c r="L72" s="20" t="n">
        <v>0</v>
      </c>
      <c r="M72" s="18" t="n">
        <v>0</v>
      </c>
      <c r="N72" s="20" t="n">
        <v>0</v>
      </c>
      <c r="O72" s="18" t="n">
        <v>0</v>
      </c>
      <c r="P72" s="20" t="n">
        <v>0</v>
      </c>
      <c r="Q72" s="18" t="n">
        <v>0.22351907</v>
      </c>
      <c r="R72" s="20" t="n">
        <v>0.15944379</v>
      </c>
    </row>
    <row r="73" spans="1:18">
      <c r="A73" s="15" t="s">
        <v>633</v>
      </c>
      <c r="B73" s="17" t="n">
        <v>3597</v>
      </c>
      <c r="C73" s="18">
        <f>(3200.0/B73*100)</f>
        <v/>
      </c>
      <c r="D73" s="19" t="n">
        <v>397</v>
      </c>
      <c r="E73" s="18" t="n">
        <v>62.4564924</v>
      </c>
      <c r="F73" s="20" t="n">
        <v>3.29079085</v>
      </c>
      <c r="G73" s="18" t="n">
        <v>37.43319945</v>
      </c>
      <c r="H73" s="20" t="n">
        <v>3.27835385</v>
      </c>
      <c r="I73" s="18" t="s">
        <v>567</v>
      </c>
      <c r="J73" s="20" t="s">
        <v>567</v>
      </c>
      <c r="K73" s="18" t="n">
        <v>0.11030815</v>
      </c>
      <c r="L73" s="20" t="n">
        <v>0.10490264</v>
      </c>
      <c r="M73" s="18" t="n">
        <v>0</v>
      </c>
      <c r="N73" s="20" t="n">
        <v>0</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(2180.0/B75*100)</f>
        <v/>
      </c>
      <c r="D75" s="19" t="n">
        <v>226</v>
      </c>
      <c r="E75" s="18" t="n">
        <v>59.21410911</v>
      </c>
      <c r="F75" s="20" t="n">
        <v>3.06340897</v>
      </c>
      <c r="G75" s="18" t="n">
        <v>31.90877397</v>
      </c>
      <c r="H75" s="20" t="n">
        <v>3.18166134</v>
      </c>
      <c r="I75" s="18" t="s">
        <v>567</v>
      </c>
      <c r="J75" s="20" t="s">
        <v>567</v>
      </c>
      <c r="K75" s="18" t="n">
        <v>5.55486322</v>
      </c>
      <c r="L75" s="20" t="n">
        <v>1.53394353</v>
      </c>
      <c r="M75" s="18" t="n">
        <v>0</v>
      </c>
      <c r="N75" s="20" t="n">
        <v>0</v>
      </c>
      <c r="O75" s="18" t="n">
        <v>0</v>
      </c>
      <c r="P75" s="20" t="n">
        <v>0</v>
      </c>
      <c r="Q75" s="18" t="n">
        <v>3.3222537</v>
      </c>
      <c r="R75" s="20" t="n">
        <v>1.2341413</v>
      </c>
    </row>
    <row r="76" spans="1:18">
      <c r="A76" s="15" t="s">
        <v>636</v>
      </c>
      <c r="B76" s="17" t="n">
        <v>7052</v>
      </c>
      <c r="C76" s="18">
        <f>(6280.0/B76*100)</f>
        <v/>
      </c>
      <c r="D76" s="19" t="n">
        <v>772</v>
      </c>
      <c r="E76" s="18" t="n">
        <v>56.26922263</v>
      </c>
      <c r="F76" s="20" t="n">
        <v>2.50599599</v>
      </c>
      <c r="G76" s="18" t="n">
        <v>41.91526036</v>
      </c>
      <c r="H76" s="20" t="n">
        <v>2.4011241</v>
      </c>
      <c r="I76" s="18" t="s">
        <v>567</v>
      </c>
      <c r="J76" s="20" t="s">
        <v>567</v>
      </c>
      <c r="K76" s="18" t="n">
        <v>0.91448775</v>
      </c>
      <c r="L76" s="20" t="n">
        <v>0.4602038</v>
      </c>
      <c r="M76" s="18" t="n">
        <v>0</v>
      </c>
      <c r="N76" s="20" t="n">
        <v>0</v>
      </c>
      <c r="O76" s="18" t="n">
        <v>0</v>
      </c>
      <c r="P76" s="20" t="n">
        <v>0</v>
      </c>
      <c r="Q76" s="18" t="n">
        <v>0.90102925</v>
      </c>
      <c r="R76" s="20" t="n">
        <v>0.33271803</v>
      </c>
    </row>
    <row r="77" spans="1:18">
      <c r="A77" s="15" t="s">
        <v>637</v>
      </c>
      <c r="B77" s="17" t="n">
        <v>2908</v>
      </c>
      <c r="C77" s="18">
        <f>(2626.0/B77*100)</f>
        <v/>
      </c>
      <c r="D77" s="19" t="n">
        <v>282</v>
      </c>
      <c r="E77" s="18" t="n">
        <v>52.67979197</v>
      </c>
      <c r="F77" s="20" t="n">
        <v>3.66076053</v>
      </c>
      <c r="G77" s="18" t="n">
        <v>40.61456499</v>
      </c>
      <c r="H77" s="20" t="n">
        <v>3.11804789</v>
      </c>
      <c r="I77" s="18" t="s">
        <v>567</v>
      </c>
      <c r="J77" s="20" t="s">
        <v>567</v>
      </c>
      <c r="K77" s="18" t="n">
        <v>2.935786</v>
      </c>
      <c r="L77" s="20" t="n">
        <v>1.18557672</v>
      </c>
      <c r="M77" s="18" t="n">
        <v>0</v>
      </c>
      <c r="N77" s="20" t="n">
        <v>0</v>
      </c>
      <c r="O77" s="18" t="n">
        <v>0</v>
      </c>
      <c r="P77" s="20" t="n">
        <v>0</v>
      </c>
      <c r="Q77" s="18" t="n">
        <v>3.76985703</v>
      </c>
      <c r="R77" s="20" t="n">
        <v>1.36793516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(3714.0/B81*100)</f>
        <v/>
      </c>
      <c r="D81" s="19" t="n">
        <v>449</v>
      </c>
      <c r="E81" s="18" t="n">
        <v>55.4737718</v>
      </c>
      <c r="F81" s="20" t="n">
        <v>3.13766804</v>
      </c>
      <c r="G81" s="18" t="n">
        <v>43.21857044</v>
      </c>
      <c r="H81" s="20" t="n">
        <v>3.09256445</v>
      </c>
      <c r="I81" s="18" t="s">
        <v>567</v>
      </c>
      <c r="J81" s="20" t="s">
        <v>567</v>
      </c>
      <c r="K81" s="18" t="n">
        <v>0.61429502</v>
      </c>
      <c r="L81" s="20" t="n">
        <v>0.35099358</v>
      </c>
      <c r="M81" s="18" t="n">
        <v>0</v>
      </c>
      <c r="N81" s="20" t="n">
        <v>0</v>
      </c>
      <c r="O81" s="18" t="n">
        <v>0</v>
      </c>
      <c r="P81" s="20" t="n">
        <v>0</v>
      </c>
      <c r="Q81" s="18" t="n">
        <v>0.69336275</v>
      </c>
      <c r="R81" s="20" t="n">
        <v>0.61296702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(6585.0/B7*100)</f>
        <v/>
      </c>
      <c r="D7" s="19" t="n">
        <v>782</v>
      </c>
      <c r="E7" s="18" t="n">
        <v>30.85318106</v>
      </c>
      <c r="F7" s="20" t="n">
        <v>2.07003466</v>
      </c>
      <c r="G7" s="18" t="n">
        <v>67.58436458</v>
      </c>
      <c r="H7" s="20" t="n">
        <v>2.0676687</v>
      </c>
      <c r="I7" s="18" t="s">
        <v>567</v>
      </c>
      <c r="J7" s="20" t="s">
        <v>567</v>
      </c>
      <c r="K7" s="18" t="n">
        <v>0.80252463</v>
      </c>
      <c r="L7" s="20" t="n">
        <v>0.32134489</v>
      </c>
      <c r="M7" s="18" t="n">
        <v>0</v>
      </c>
      <c r="N7" s="20" t="n">
        <v>0</v>
      </c>
      <c r="O7" s="18" t="n">
        <v>0</v>
      </c>
      <c r="P7" s="20" t="n">
        <v>0</v>
      </c>
      <c r="Q7" s="18" t="n">
        <v>0.75992973</v>
      </c>
      <c r="R7" s="20" t="n">
        <v>0.37323571</v>
      </c>
    </row>
    <row r="8" spans="1:18">
      <c r="A8" s="15" t="s">
        <v>568</v>
      </c>
      <c r="B8" s="17" t="n">
        <v>3564</v>
      </c>
      <c r="C8" s="18">
        <f>(3180.0/B8*100)</f>
        <v/>
      </c>
      <c r="D8" s="19" t="n">
        <v>384</v>
      </c>
      <c r="E8" s="18" t="n">
        <v>29.44865181</v>
      </c>
      <c r="F8" s="20" t="n">
        <v>2.75937328</v>
      </c>
      <c r="G8" s="18" t="n">
        <v>69.47755522</v>
      </c>
      <c r="H8" s="20" t="n">
        <v>2.72974768</v>
      </c>
      <c r="I8" s="18" t="s">
        <v>567</v>
      </c>
      <c r="J8" s="20" t="s">
        <v>567</v>
      </c>
      <c r="K8" s="18" t="n">
        <v>1.07379297</v>
      </c>
      <c r="L8" s="20" t="n">
        <v>0.53827103</v>
      </c>
      <c r="M8" s="18" t="n">
        <v>0</v>
      </c>
      <c r="N8" s="20" t="n">
        <v>0</v>
      </c>
      <c r="O8" s="18" t="n">
        <v>0</v>
      </c>
      <c r="P8" s="20" t="n">
        <v>0</v>
      </c>
      <c r="Q8" s="18" t="n">
        <v>0</v>
      </c>
      <c r="R8" s="20" t="n">
        <v>0</v>
      </c>
    </row>
    <row r="9" spans="1:18">
      <c r="A9" s="15" t="s">
        <v>569</v>
      </c>
      <c r="B9" s="17" t="n">
        <v>4899</v>
      </c>
      <c r="C9" s="18">
        <f>(4198.0/B9*100)</f>
        <v/>
      </c>
      <c r="D9" s="19" t="n">
        <v>701</v>
      </c>
      <c r="E9" s="18" t="n">
        <v>32.20233804</v>
      </c>
      <c r="F9" s="20" t="n">
        <v>1.71154713</v>
      </c>
      <c r="G9" s="18" t="n">
        <v>66.52598973000001</v>
      </c>
      <c r="H9" s="20" t="n">
        <v>1.71152481</v>
      </c>
      <c r="I9" s="18" t="s">
        <v>567</v>
      </c>
      <c r="J9" s="20" t="s">
        <v>567</v>
      </c>
      <c r="K9" s="18" t="n">
        <v>0.84873317</v>
      </c>
      <c r="L9" s="20" t="n">
        <v>0.29048024</v>
      </c>
      <c r="M9" s="18" t="n">
        <v>0</v>
      </c>
      <c r="N9" s="20" t="n">
        <v>0</v>
      </c>
      <c r="O9" s="18" t="n">
        <v>0</v>
      </c>
      <c r="P9" s="20" t="n">
        <v>0</v>
      </c>
      <c r="Q9" s="18" t="n">
        <v>0.42293907</v>
      </c>
      <c r="R9" s="20" t="n">
        <v>0.32822714</v>
      </c>
    </row>
    <row r="10" spans="1:18">
      <c r="A10" s="15" t="s">
        <v>570</v>
      </c>
      <c r="B10" s="17" t="n">
        <v>10036</v>
      </c>
      <c r="C10" s="18">
        <f>(8918.0/B10*100)</f>
        <v/>
      </c>
      <c r="D10" s="19" t="n">
        <v>1118</v>
      </c>
      <c r="E10" s="18" t="n">
        <v>26.81138363</v>
      </c>
      <c r="F10" s="20" t="n">
        <v>2.32230762</v>
      </c>
      <c r="G10" s="18" t="n">
        <v>72.19088701</v>
      </c>
      <c r="H10" s="20" t="n">
        <v>2.25351088</v>
      </c>
      <c r="I10" s="18" t="s">
        <v>567</v>
      </c>
      <c r="J10" s="20" t="s">
        <v>567</v>
      </c>
      <c r="K10" s="18" t="n">
        <v>0.77827042</v>
      </c>
      <c r="L10" s="20" t="n">
        <v>0.36602446</v>
      </c>
      <c r="M10" s="18" t="n">
        <v>0</v>
      </c>
      <c r="N10" s="20" t="n">
        <v>0</v>
      </c>
      <c r="O10" s="18" t="n">
        <v>0</v>
      </c>
      <c r="P10" s="20" t="n">
        <v>0</v>
      </c>
      <c r="Q10" s="18" t="n">
        <v>0.21945894</v>
      </c>
      <c r="R10" s="20" t="n">
        <v>0.21875764</v>
      </c>
    </row>
    <row r="11" spans="1:18">
      <c r="A11" s="15" t="s">
        <v>571</v>
      </c>
      <c r="B11" s="17" t="n">
        <v>3553</v>
      </c>
      <c r="C11" s="18">
        <f>(3178.0/B11*100)</f>
        <v/>
      </c>
      <c r="D11" s="19" t="n">
        <v>375</v>
      </c>
      <c r="E11" s="18" t="n">
        <v>37.09764561</v>
      </c>
      <c r="F11" s="20" t="n">
        <v>2.46113906</v>
      </c>
      <c r="G11" s="18" t="n">
        <v>60.3374624</v>
      </c>
      <c r="H11" s="20" t="n">
        <v>2.59633812</v>
      </c>
      <c r="I11" s="18" t="s">
        <v>567</v>
      </c>
      <c r="J11" s="20" t="s">
        <v>567</v>
      </c>
      <c r="K11" s="18" t="n">
        <v>2.07237328</v>
      </c>
      <c r="L11" s="20" t="n">
        <v>1.55674097</v>
      </c>
      <c r="M11" s="18" t="n">
        <v>0</v>
      </c>
      <c r="N11" s="20" t="n">
        <v>0</v>
      </c>
      <c r="O11" s="18" t="n">
        <v>0</v>
      </c>
      <c r="P11" s="20" t="n">
        <v>0</v>
      </c>
      <c r="Q11" s="18" t="n">
        <v>0.49251871</v>
      </c>
      <c r="R11" s="20" t="n">
        <v>0.39603852</v>
      </c>
    </row>
    <row r="12" spans="1:18">
      <c r="A12" s="15" t="s">
        <v>572</v>
      </c>
      <c r="B12" s="17" t="n">
        <v>3472</v>
      </c>
      <c r="C12" s="18">
        <f>(3045.0/B12*100)</f>
        <v/>
      </c>
      <c r="D12" s="19" t="n">
        <v>427</v>
      </c>
      <c r="E12" s="18" t="n">
        <v>30.54546556</v>
      </c>
      <c r="F12" s="20" t="n">
        <v>3.90458468</v>
      </c>
      <c r="G12" s="18" t="n">
        <v>68.42531338000001</v>
      </c>
      <c r="H12" s="20" t="n">
        <v>4.1805595</v>
      </c>
      <c r="I12" s="18" t="s">
        <v>567</v>
      </c>
      <c r="J12" s="20" t="s">
        <v>567</v>
      </c>
      <c r="K12" s="18" t="n">
        <v>0.60050777</v>
      </c>
      <c r="L12" s="20" t="n">
        <v>0.52467404</v>
      </c>
      <c r="M12" s="18" t="n">
        <v>0</v>
      </c>
      <c r="N12" s="20" t="n">
        <v>0</v>
      </c>
      <c r="O12" s="18" t="n">
        <v>0</v>
      </c>
      <c r="P12" s="20" t="n">
        <v>0</v>
      </c>
      <c r="Q12" s="18" t="n">
        <v>0.42871328</v>
      </c>
      <c r="R12" s="20" t="n">
        <v>0.47429918</v>
      </c>
    </row>
    <row r="13" spans="1:18">
      <c r="A13" s="15" t="s">
        <v>573</v>
      </c>
      <c r="B13" s="17" t="n">
        <v>3559</v>
      </c>
      <c r="C13" s="18">
        <f>(3039.0/B13*100)</f>
        <v/>
      </c>
      <c r="D13" s="19" t="n">
        <v>520</v>
      </c>
      <c r="E13" s="18" t="n">
        <v>23.97103298</v>
      </c>
      <c r="F13" s="20" t="n">
        <v>2.07334837</v>
      </c>
      <c r="G13" s="18" t="n">
        <v>74.13862342</v>
      </c>
      <c r="H13" s="20" t="n">
        <v>2.06799677</v>
      </c>
      <c r="I13" s="18" t="s">
        <v>567</v>
      </c>
      <c r="J13" s="20" t="s">
        <v>567</v>
      </c>
      <c r="K13" s="18" t="n">
        <v>1.62396877</v>
      </c>
      <c r="L13" s="20" t="n">
        <v>0.75781843</v>
      </c>
      <c r="M13" s="18" t="n">
        <v>0</v>
      </c>
      <c r="N13" s="20" t="n">
        <v>0</v>
      </c>
      <c r="O13" s="18" t="n">
        <v>0</v>
      </c>
      <c r="P13" s="20" t="n">
        <v>0</v>
      </c>
      <c r="Q13" s="18" t="n">
        <v>0.26637483</v>
      </c>
      <c r="R13" s="20" t="n">
        <v>0.17820162</v>
      </c>
    </row>
    <row r="14" spans="1:18">
      <c r="A14" s="15" t="s">
        <v>574</v>
      </c>
      <c r="B14" s="17" t="n">
        <v>2799</v>
      </c>
      <c r="C14" s="18">
        <f>(2469.0/B14*100)</f>
        <v/>
      </c>
      <c r="D14" s="19" t="n">
        <v>330</v>
      </c>
      <c r="E14" s="18" t="n">
        <v>23.35371367</v>
      </c>
      <c r="F14" s="20" t="n">
        <v>2.27738866</v>
      </c>
      <c r="G14" s="18" t="n">
        <v>75.32374993000001</v>
      </c>
      <c r="H14" s="20" t="n">
        <v>2.24224004</v>
      </c>
      <c r="I14" s="18" t="s">
        <v>567</v>
      </c>
      <c r="J14" s="20" t="s">
        <v>567</v>
      </c>
      <c r="K14" s="18" t="n">
        <v>1.08527421</v>
      </c>
      <c r="L14" s="20" t="n">
        <v>0.5611157</v>
      </c>
      <c r="M14" s="18" t="n">
        <v>0</v>
      </c>
      <c r="N14" s="20" t="n">
        <v>0</v>
      </c>
      <c r="O14" s="18" t="n">
        <v>0</v>
      </c>
      <c r="P14" s="20" t="n">
        <v>0</v>
      </c>
      <c r="Q14" s="18" t="n">
        <v>0.23726219</v>
      </c>
      <c r="R14" s="20" t="n">
        <v>0.2350073</v>
      </c>
    </row>
    <row r="15" spans="1:18">
      <c r="A15" s="15" t="s">
        <v>575</v>
      </c>
      <c r="B15" s="17" t="n">
        <v>3019</v>
      </c>
      <c r="C15" s="18">
        <f>(2675.0/B15*100)</f>
        <v/>
      </c>
      <c r="D15" s="19" t="n">
        <v>344</v>
      </c>
      <c r="E15" s="18" t="n">
        <v>23.28145946</v>
      </c>
      <c r="F15" s="20" t="n">
        <v>2.26205761</v>
      </c>
      <c r="G15" s="18" t="n">
        <v>75.42092234</v>
      </c>
      <c r="H15" s="20" t="n">
        <v>2.45574833</v>
      </c>
      <c r="I15" s="18" t="s">
        <v>567</v>
      </c>
      <c r="J15" s="20" t="s">
        <v>567</v>
      </c>
      <c r="K15" s="18" t="n">
        <v>0.76167493</v>
      </c>
      <c r="L15" s="20" t="n">
        <v>0.44203958</v>
      </c>
      <c r="M15" s="18" t="n">
        <v>0</v>
      </c>
      <c r="N15" s="20" t="n">
        <v>0</v>
      </c>
      <c r="O15" s="18" t="n">
        <v>0</v>
      </c>
      <c r="P15" s="20" t="n">
        <v>0</v>
      </c>
      <c r="Q15" s="18" t="n">
        <v>0.53594328</v>
      </c>
      <c r="R15" s="20" t="n">
        <v>0.49830395</v>
      </c>
    </row>
    <row r="16" spans="1:18">
      <c r="A16" s="15" t="s">
        <v>576</v>
      </c>
      <c r="B16" s="17" t="n">
        <v>2997</v>
      </c>
      <c r="C16" s="18">
        <f>(2660.0/B16*100)</f>
        <v/>
      </c>
      <c r="D16" s="19" t="n">
        <v>337</v>
      </c>
      <c r="E16" s="18" t="n">
        <v>29.08009885</v>
      </c>
      <c r="F16" s="20" t="n">
        <v>2.89791611</v>
      </c>
      <c r="G16" s="18" t="n">
        <v>66.33650398</v>
      </c>
      <c r="H16" s="20" t="n">
        <v>2.7936429</v>
      </c>
      <c r="I16" s="18" t="s">
        <v>567</v>
      </c>
      <c r="J16" s="20" t="s">
        <v>567</v>
      </c>
      <c r="K16" s="18" t="n">
        <v>3.96428607</v>
      </c>
      <c r="L16" s="20" t="n">
        <v>1.06223892</v>
      </c>
      <c r="M16" s="18" t="n">
        <v>0</v>
      </c>
      <c r="N16" s="20" t="n">
        <v>0</v>
      </c>
      <c r="O16" s="18" t="n">
        <v>0</v>
      </c>
      <c r="P16" s="20" t="n">
        <v>0</v>
      </c>
      <c r="Q16" s="18" t="n">
        <v>0.61911111</v>
      </c>
      <c r="R16" s="20" t="n">
        <v>0.48339258</v>
      </c>
    </row>
    <row r="17" spans="1:18">
      <c r="A17" s="15" t="s">
        <v>577</v>
      </c>
      <c r="B17" s="17" t="n">
        <v>3307</v>
      </c>
      <c r="C17" s="18">
        <f>(2889.0/B17*100)</f>
        <v/>
      </c>
      <c r="D17" s="19" t="n">
        <v>418</v>
      </c>
      <c r="E17" s="18" t="n">
        <v>29.30859948</v>
      </c>
      <c r="F17" s="20" t="n">
        <v>2.1360211</v>
      </c>
      <c r="G17" s="18" t="n">
        <v>68.86157496</v>
      </c>
      <c r="H17" s="20" t="n">
        <v>2.28487732</v>
      </c>
      <c r="I17" s="18" t="s">
        <v>567</v>
      </c>
      <c r="J17" s="20" t="s">
        <v>567</v>
      </c>
      <c r="K17" s="18" t="n">
        <v>1.3726013</v>
      </c>
      <c r="L17" s="20" t="n">
        <v>0.55312353</v>
      </c>
      <c r="M17" s="18" t="n">
        <v>0</v>
      </c>
      <c r="N17" s="20" t="n">
        <v>0</v>
      </c>
      <c r="O17" s="18" t="n">
        <v>0</v>
      </c>
      <c r="P17" s="20" t="n">
        <v>0</v>
      </c>
      <c r="Q17" s="18" t="n">
        <v>0.45722426</v>
      </c>
      <c r="R17" s="20" t="n">
        <v>0.30461091</v>
      </c>
    </row>
    <row r="18" spans="1:18">
      <c r="A18" s="15" t="s">
        <v>578</v>
      </c>
      <c r="B18" s="17" t="n">
        <v>2826</v>
      </c>
      <c r="C18" s="18">
        <f>(2505.0/B18*100)</f>
        <v/>
      </c>
      <c r="D18" s="19" t="n">
        <v>321</v>
      </c>
      <c r="E18" s="18" t="n">
        <v>41.28378099</v>
      </c>
      <c r="F18" s="20" t="n">
        <v>3.01034202</v>
      </c>
      <c r="G18" s="18" t="n">
        <v>56.15501246</v>
      </c>
      <c r="H18" s="20" t="n">
        <v>3.18588072</v>
      </c>
      <c r="I18" s="18" t="s">
        <v>567</v>
      </c>
      <c r="J18" s="20" t="s">
        <v>567</v>
      </c>
      <c r="K18" s="18" t="n">
        <v>1.34691781</v>
      </c>
      <c r="L18" s="20" t="n">
        <v>0.58910909</v>
      </c>
      <c r="M18" s="18" t="n">
        <v>0</v>
      </c>
      <c r="N18" s="20" t="n">
        <v>0</v>
      </c>
      <c r="O18" s="18" t="n">
        <v>0</v>
      </c>
      <c r="P18" s="20" t="n">
        <v>0</v>
      </c>
      <c r="Q18" s="18" t="n">
        <v>1.21428873</v>
      </c>
      <c r="R18" s="20" t="n">
        <v>0.97121037</v>
      </c>
    </row>
    <row r="19" spans="1:18">
      <c r="A19" s="15" t="s">
        <v>579</v>
      </c>
      <c r="B19" s="17" t="n">
        <v>2808</v>
      </c>
      <c r="C19" s="18">
        <f>(2502.0/B19*100)</f>
        <v/>
      </c>
      <c r="D19" s="19" t="n">
        <v>306</v>
      </c>
      <c r="E19" s="18" t="n">
        <v>29.8904947</v>
      </c>
      <c r="F19" s="20" t="n">
        <v>3.27658946</v>
      </c>
      <c r="G19" s="18" t="n">
        <v>70.1095053</v>
      </c>
      <c r="H19" s="20" t="n">
        <v>3.27658946</v>
      </c>
      <c r="I19" s="18" t="s">
        <v>567</v>
      </c>
      <c r="J19" s="20" t="s">
        <v>567</v>
      </c>
      <c r="K19" s="18" t="n">
        <v>0</v>
      </c>
      <c r="L19" s="20" t="n">
        <v>0</v>
      </c>
      <c r="M19" s="18" t="n">
        <v>0</v>
      </c>
      <c r="N19" s="20" t="n">
        <v>0</v>
      </c>
      <c r="O19" s="18" t="n">
        <v>0</v>
      </c>
      <c r="P19" s="20" t="n">
        <v>0</v>
      </c>
      <c r="Q19" s="18" t="n">
        <v>0</v>
      </c>
      <c r="R19" s="20" t="n">
        <v>0</v>
      </c>
    </row>
    <row r="20" spans="1:18">
      <c r="A20" s="15" t="s">
        <v>580</v>
      </c>
      <c r="B20" s="17" t="n">
        <v>1630</v>
      </c>
      <c r="C20" s="18">
        <f>(1467.0/B20*100)</f>
        <v/>
      </c>
      <c r="D20" s="19" t="n">
        <v>163</v>
      </c>
      <c r="E20" s="18" t="n">
        <v>29.03452315</v>
      </c>
      <c r="F20" s="20" t="n">
        <v>3.4990874</v>
      </c>
      <c r="G20" s="18" t="n">
        <v>70.44780072</v>
      </c>
      <c r="H20" s="20" t="n">
        <v>3.4528694</v>
      </c>
      <c r="I20" s="18" t="s">
        <v>567</v>
      </c>
      <c r="J20" s="20" t="s">
        <v>567</v>
      </c>
      <c r="K20" s="18" t="n">
        <v>0.51767613</v>
      </c>
      <c r="L20" s="20" t="n">
        <v>0.5193366</v>
      </c>
      <c r="M20" s="18" t="n">
        <v>0</v>
      </c>
      <c r="N20" s="20" t="n">
        <v>0</v>
      </c>
      <c r="O20" s="18" t="n">
        <v>0</v>
      </c>
      <c r="P20" s="20" t="n">
        <v>0</v>
      </c>
      <c r="Q20" s="18" t="n">
        <v>0</v>
      </c>
      <c r="R20" s="20" t="n">
        <v>0</v>
      </c>
    </row>
    <row r="21" spans="1:18">
      <c r="A21" s="15" t="s">
        <v>581</v>
      </c>
      <c r="B21" s="17" t="n">
        <v>2908</v>
      </c>
      <c r="C21" s="18">
        <f>(2578.0/B21*100)</f>
        <v/>
      </c>
      <c r="D21" s="19" t="n">
        <v>330</v>
      </c>
      <c r="E21" s="18" t="n">
        <v>30.87453106</v>
      </c>
      <c r="F21" s="20" t="n">
        <v>2.65732946</v>
      </c>
      <c r="G21" s="18" t="n">
        <v>67.99205726</v>
      </c>
      <c r="H21" s="20" t="n">
        <v>2.67023639</v>
      </c>
      <c r="I21" s="18" t="s">
        <v>567</v>
      </c>
      <c r="J21" s="20" t="s">
        <v>567</v>
      </c>
      <c r="K21" s="18" t="n">
        <v>0.87197563</v>
      </c>
      <c r="L21" s="20" t="n">
        <v>0.48638755</v>
      </c>
      <c r="M21" s="18" t="n">
        <v>0</v>
      </c>
      <c r="N21" s="20" t="n">
        <v>0</v>
      </c>
      <c r="O21" s="18" t="n">
        <v>0</v>
      </c>
      <c r="P21" s="20" t="n">
        <v>0</v>
      </c>
      <c r="Q21" s="18" t="n">
        <v>0.26143605</v>
      </c>
      <c r="R21" s="20" t="n">
        <v>0.23786241</v>
      </c>
    </row>
    <row r="22" spans="1:18">
      <c r="A22" s="15" t="s">
        <v>582</v>
      </c>
      <c r="B22" s="17" t="n">
        <v>2931</v>
      </c>
      <c r="C22" s="18">
        <f>(2604.0/B22*100)</f>
        <v/>
      </c>
      <c r="D22" s="19" t="n">
        <v>327</v>
      </c>
      <c r="E22" s="18" t="n">
        <v>44.15284228</v>
      </c>
      <c r="F22" s="20" t="n">
        <v>3.40068045</v>
      </c>
      <c r="G22" s="18" t="n">
        <v>53.15583462</v>
      </c>
      <c r="H22" s="20" t="n">
        <v>3.13633011</v>
      </c>
      <c r="I22" s="18" t="s">
        <v>567</v>
      </c>
      <c r="J22" s="20" t="s">
        <v>567</v>
      </c>
      <c r="K22" s="18" t="n">
        <v>1.86806896</v>
      </c>
      <c r="L22" s="20" t="n">
        <v>0.9239581</v>
      </c>
      <c r="M22" s="18" t="n">
        <v>0</v>
      </c>
      <c r="N22" s="20" t="n">
        <v>0</v>
      </c>
      <c r="O22" s="18" t="n">
        <v>0</v>
      </c>
      <c r="P22" s="20" t="n">
        <v>0</v>
      </c>
      <c r="Q22" s="18" t="n">
        <v>0.82325414</v>
      </c>
      <c r="R22" s="20" t="n">
        <v>0.65001999</v>
      </c>
    </row>
    <row r="23" spans="1:18">
      <c r="A23" s="15" t="s">
        <v>583</v>
      </c>
      <c r="B23" s="17" t="n">
        <v>5791</v>
      </c>
      <c r="C23" s="18">
        <f>(5161.0/B23*100)</f>
        <v/>
      </c>
      <c r="D23" s="19" t="n">
        <v>630</v>
      </c>
      <c r="E23" s="18" t="n">
        <v>32.2167948</v>
      </c>
      <c r="F23" s="20" t="n">
        <v>3.18035104</v>
      </c>
      <c r="G23" s="18" t="n">
        <v>66.07884884000001</v>
      </c>
      <c r="H23" s="20" t="n">
        <v>3.34031852</v>
      </c>
      <c r="I23" s="18" t="s">
        <v>567</v>
      </c>
      <c r="J23" s="20" t="s">
        <v>567</v>
      </c>
      <c r="K23" s="18" t="n">
        <v>1.0057014</v>
      </c>
      <c r="L23" s="20" t="n">
        <v>0.58492378</v>
      </c>
      <c r="M23" s="18" t="n">
        <v>0</v>
      </c>
      <c r="N23" s="20" t="n">
        <v>0</v>
      </c>
      <c r="O23" s="18" t="n">
        <v>0</v>
      </c>
      <c r="P23" s="20" t="n">
        <v>0</v>
      </c>
      <c r="Q23" s="18" t="n">
        <v>0.69865496</v>
      </c>
      <c r="R23" s="20" t="n">
        <v>0.60599845</v>
      </c>
    </row>
    <row r="24" spans="1:18">
      <c r="A24" s="15" t="s">
        <v>584</v>
      </c>
      <c r="B24" s="17" t="n">
        <v>3338</v>
      </c>
      <c r="C24" s="18">
        <f>(2980.0/B24*100)</f>
        <v/>
      </c>
      <c r="D24" s="19" t="n">
        <v>358</v>
      </c>
      <c r="E24" s="18" t="n">
        <v>35.79605832</v>
      </c>
      <c r="F24" s="20" t="n">
        <v>3.01385122</v>
      </c>
      <c r="G24" s="18" t="n">
        <v>63.06785367</v>
      </c>
      <c r="H24" s="20" t="n">
        <v>2.99632539</v>
      </c>
      <c r="I24" s="18" t="s">
        <v>567</v>
      </c>
      <c r="J24" s="20" t="s">
        <v>567</v>
      </c>
      <c r="K24" s="18" t="n">
        <v>0.85819114</v>
      </c>
      <c r="L24" s="20" t="n">
        <v>0.49339866</v>
      </c>
      <c r="M24" s="18" t="n">
        <v>0</v>
      </c>
      <c r="N24" s="20" t="n">
        <v>0</v>
      </c>
      <c r="O24" s="18" t="n">
        <v>0</v>
      </c>
      <c r="P24" s="20" t="n">
        <v>0</v>
      </c>
      <c r="Q24" s="18" t="n">
        <v>0.27789687</v>
      </c>
      <c r="R24" s="20" t="n">
        <v>0.27491159</v>
      </c>
    </row>
    <row r="25" spans="1:18">
      <c r="A25" s="15" t="s">
        <v>585</v>
      </c>
      <c r="B25" s="17" t="n">
        <v>2912</v>
      </c>
      <c r="C25" s="18">
        <f>(2607.0/B25*100)</f>
        <v/>
      </c>
      <c r="D25" s="19" t="n">
        <v>305</v>
      </c>
      <c r="E25" s="18" t="n">
        <v>38.30180036</v>
      </c>
      <c r="F25" s="20" t="n">
        <v>3.17095195</v>
      </c>
      <c r="G25" s="18" t="n">
        <v>61.05416599</v>
      </c>
      <c r="H25" s="20" t="n">
        <v>3.02907581</v>
      </c>
      <c r="I25" s="18" t="s">
        <v>567</v>
      </c>
      <c r="J25" s="20" t="s">
        <v>567</v>
      </c>
      <c r="K25" s="18" t="n">
        <v>0.27779048</v>
      </c>
      <c r="L25" s="20" t="n">
        <v>0.28180144</v>
      </c>
      <c r="M25" s="18" t="n">
        <v>0</v>
      </c>
      <c r="N25" s="20" t="n">
        <v>0</v>
      </c>
      <c r="O25" s="18" t="n">
        <v>0</v>
      </c>
      <c r="P25" s="20" t="n">
        <v>0</v>
      </c>
      <c r="Q25" s="18" t="n">
        <v>0.36624317</v>
      </c>
      <c r="R25" s="20" t="n">
        <v>0.36302423</v>
      </c>
    </row>
    <row r="26" spans="1:18">
      <c r="A26" s="15" t="s">
        <v>586</v>
      </c>
      <c r="B26" s="17" t="n">
        <v>2450</v>
      </c>
      <c r="C26" s="18">
        <f>(2183.0/B26*100)</f>
        <v/>
      </c>
      <c r="D26" s="19" t="n">
        <v>267</v>
      </c>
      <c r="E26" s="18" t="n">
        <v>26.50953601</v>
      </c>
      <c r="F26" s="20" t="n">
        <v>3.27236017</v>
      </c>
      <c r="G26" s="18" t="n">
        <v>73.06040243</v>
      </c>
      <c r="H26" s="20" t="n">
        <v>3.3670286</v>
      </c>
      <c r="I26" s="18" t="s">
        <v>567</v>
      </c>
      <c r="J26" s="20" t="s">
        <v>567</v>
      </c>
      <c r="K26" s="18" t="n">
        <v>0.43006156</v>
      </c>
      <c r="L26" s="20" t="n">
        <v>0.43114325</v>
      </c>
      <c r="M26" s="18" t="n">
        <v>0</v>
      </c>
      <c r="N26" s="20" t="n">
        <v>0</v>
      </c>
      <c r="O26" s="18" t="n">
        <v>0</v>
      </c>
      <c r="P26" s="20" t="n">
        <v>0</v>
      </c>
      <c r="Q26" s="18" t="n">
        <v>0</v>
      </c>
      <c r="R26" s="20" t="n">
        <v>0</v>
      </c>
    </row>
    <row r="27" spans="1:18">
      <c r="A27" s="15" t="s">
        <v>587</v>
      </c>
      <c r="B27" s="17" t="n">
        <v>2616</v>
      </c>
      <c r="C27" s="18">
        <f>(2328.0/B27*100)</f>
        <v/>
      </c>
      <c r="D27" s="19" t="n">
        <v>288</v>
      </c>
      <c r="E27" s="18" t="n">
        <v>32.67844111</v>
      </c>
      <c r="F27" s="20" t="n">
        <v>2.696621</v>
      </c>
      <c r="G27" s="18" t="n">
        <v>65.59372501999999</v>
      </c>
      <c r="H27" s="20" t="n">
        <v>2.83873552</v>
      </c>
      <c r="I27" s="18" t="s">
        <v>567</v>
      </c>
      <c r="J27" s="20" t="s">
        <v>567</v>
      </c>
      <c r="K27" s="18" t="n">
        <v>1.38063329</v>
      </c>
      <c r="L27" s="20" t="n">
        <v>0.69394872</v>
      </c>
      <c r="M27" s="18" t="n">
        <v>0</v>
      </c>
      <c r="N27" s="20" t="n">
        <v>0</v>
      </c>
      <c r="O27" s="18" t="n">
        <v>0</v>
      </c>
      <c r="P27" s="20" t="n">
        <v>0</v>
      </c>
      <c r="Q27" s="18" t="n">
        <v>0.34720058</v>
      </c>
      <c r="R27" s="20" t="n">
        <v>0.34669549</v>
      </c>
    </row>
    <row r="28" spans="1:18">
      <c r="A28" s="15" t="s">
        <v>588</v>
      </c>
      <c r="B28" s="17" t="n">
        <v>3765</v>
      </c>
      <c r="C28" s="18">
        <f>(3412.0/B28*100)</f>
        <v/>
      </c>
      <c r="D28" s="19" t="n">
        <v>353</v>
      </c>
      <c r="E28" s="18" t="n">
        <v>42.06996035</v>
      </c>
      <c r="F28" s="20" t="n">
        <v>2.69624796</v>
      </c>
      <c r="G28" s="18" t="n">
        <v>56.23806744</v>
      </c>
      <c r="H28" s="20" t="n">
        <v>2.79916027</v>
      </c>
      <c r="I28" s="18" t="s">
        <v>567</v>
      </c>
      <c r="J28" s="20" t="s">
        <v>567</v>
      </c>
      <c r="K28" s="18" t="n">
        <v>1.69197221</v>
      </c>
      <c r="L28" s="20" t="n">
        <v>0.83746289</v>
      </c>
      <c r="M28" s="18" t="n">
        <v>0</v>
      </c>
      <c r="N28" s="20" t="n">
        <v>0</v>
      </c>
      <c r="O28" s="18" t="n">
        <v>0</v>
      </c>
      <c r="P28" s="20" t="n">
        <v>0</v>
      </c>
      <c r="Q28" s="18" t="n">
        <v>0</v>
      </c>
      <c r="R28" s="20" t="n">
        <v>0</v>
      </c>
    </row>
    <row r="29" spans="1:18">
      <c r="A29" s="15" t="s">
        <v>589</v>
      </c>
      <c r="B29" s="17" t="n">
        <v>2685</v>
      </c>
      <c r="C29" s="18">
        <f>(2315.0/B29*100)</f>
        <v/>
      </c>
      <c r="D29" s="19" t="n">
        <v>370</v>
      </c>
      <c r="E29" s="18" t="n">
        <v>37.40408988</v>
      </c>
      <c r="F29" s="20" t="n">
        <v>2.69958021</v>
      </c>
      <c r="G29" s="18" t="n">
        <v>61.27558405</v>
      </c>
      <c r="H29" s="20" t="n">
        <v>2.6036692</v>
      </c>
      <c r="I29" s="18" t="s">
        <v>567</v>
      </c>
      <c r="J29" s="20" t="s">
        <v>567</v>
      </c>
      <c r="K29" s="18" t="n">
        <v>0.7872018</v>
      </c>
      <c r="L29" s="20" t="n">
        <v>0.4385251</v>
      </c>
      <c r="M29" s="18" t="n">
        <v>0</v>
      </c>
      <c r="N29" s="20" t="n">
        <v>0</v>
      </c>
      <c r="O29" s="18" t="n">
        <v>0</v>
      </c>
      <c r="P29" s="20" t="n">
        <v>0</v>
      </c>
      <c r="Q29" s="18" t="n">
        <v>0.53312426</v>
      </c>
      <c r="R29" s="20" t="n">
        <v>0.38779656</v>
      </c>
    </row>
    <row r="30" spans="1:18">
      <c r="A30" s="15" t="s">
        <v>590</v>
      </c>
      <c r="B30" s="17" t="n">
        <v>2263</v>
      </c>
      <c r="C30" s="18">
        <f>(2014.0/B30*100)</f>
        <v/>
      </c>
      <c r="D30" s="19" t="n">
        <v>249</v>
      </c>
      <c r="E30" s="18" t="n">
        <v>27.0359101</v>
      </c>
      <c r="F30" s="20" t="n">
        <v>2.87696971</v>
      </c>
      <c r="G30" s="18" t="n">
        <v>72.15395937</v>
      </c>
      <c r="H30" s="20" t="n">
        <v>2.94700771</v>
      </c>
      <c r="I30" s="18" t="s">
        <v>567</v>
      </c>
      <c r="J30" s="20" t="s">
        <v>567</v>
      </c>
      <c r="K30" s="18" t="n">
        <v>0.42603126</v>
      </c>
      <c r="L30" s="20" t="n">
        <v>0.44618438</v>
      </c>
      <c r="M30" s="18" t="n">
        <v>0</v>
      </c>
      <c r="N30" s="20" t="n">
        <v>0</v>
      </c>
      <c r="O30" s="18" t="n">
        <v>0</v>
      </c>
      <c r="P30" s="20" t="n">
        <v>0</v>
      </c>
      <c r="Q30" s="18" t="n">
        <v>0.38409927</v>
      </c>
      <c r="R30" s="20" t="n">
        <v>0.42196895</v>
      </c>
    </row>
    <row r="31" spans="1:18">
      <c r="A31" s="15" t="s">
        <v>591</v>
      </c>
      <c r="B31" s="17" t="n">
        <v>2750</v>
      </c>
      <c r="C31" s="18">
        <f>(2455.0/B31*100)</f>
        <v/>
      </c>
      <c r="D31" s="19" t="n">
        <v>295</v>
      </c>
      <c r="E31" s="18" t="n">
        <v>24.26310448</v>
      </c>
      <c r="F31" s="20" t="n">
        <v>2.9405196</v>
      </c>
      <c r="G31" s="18" t="n">
        <v>73.64959618</v>
      </c>
      <c r="H31" s="20" t="n">
        <v>3.11077677</v>
      </c>
      <c r="I31" s="18" t="s">
        <v>567</v>
      </c>
      <c r="J31" s="20" t="s">
        <v>567</v>
      </c>
      <c r="K31" s="18" t="n">
        <v>1.27059078</v>
      </c>
      <c r="L31" s="20" t="n">
        <v>0.64128418</v>
      </c>
      <c r="M31" s="18" t="n">
        <v>0</v>
      </c>
      <c r="N31" s="20" t="n">
        <v>0</v>
      </c>
      <c r="O31" s="18" t="n">
        <v>0</v>
      </c>
      <c r="P31" s="20" t="n">
        <v>0</v>
      </c>
      <c r="Q31" s="18" t="n">
        <v>0.81670856</v>
      </c>
      <c r="R31" s="20" t="n">
        <v>0.47860612</v>
      </c>
    </row>
    <row r="32" spans="1:18">
      <c r="A32" s="15" t="s">
        <v>592</v>
      </c>
      <c r="B32" s="17" t="n">
        <v>2269</v>
      </c>
      <c r="C32" s="18">
        <f>(2026.0/B32*100)</f>
        <v/>
      </c>
      <c r="D32" s="19" t="n">
        <v>243</v>
      </c>
      <c r="E32" s="18" t="n">
        <v>25.96073847</v>
      </c>
      <c r="F32" s="20" t="n">
        <v>2.56638279</v>
      </c>
      <c r="G32" s="18" t="n">
        <v>72.90924266</v>
      </c>
      <c r="H32" s="20" t="n">
        <v>2.62899879</v>
      </c>
      <c r="I32" s="18" t="s">
        <v>567</v>
      </c>
      <c r="J32" s="20" t="s">
        <v>567</v>
      </c>
      <c r="K32" s="18" t="n">
        <v>0.36613784</v>
      </c>
      <c r="L32" s="20" t="n">
        <v>0.35763378</v>
      </c>
      <c r="M32" s="18" t="n">
        <v>0</v>
      </c>
      <c r="N32" s="20" t="n">
        <v>0</v>
      </c>
      <c r="O32" s="18" t="n">
        <v>0</v>
      </c>
      <c r="P32" s="20" t="n">
        <v>0</v>
      </c>
      <c r="Q32" s="18" t="n">
        <v>0.76388103</v>
      </c>
      <c r="R32" s="20" t="n">
        <v>0.5618314599999999</v>
      </c>
    </row>
    <row r="33" spans="1:18">
      <c r="A33" s="15" t="s">
        <v>593</v>
      </c>
      <c r="B33" s="17" t="n">
        <v>3674</v>
      </c>
      <c r="C33" s="18">
        <f>(3305.0/B33*100)</f>
        <v/>
      </c>
      <c r="D33" s="19" t="n">
        <v>369</v>
      </c>
      <c r="E33" s="18" t="n">
        <v>23.30798324</v>
      </c>
      <c r="F33" s="20" t="n">
        <v>2.96696588</v>
      </c>
      <c r="G33" s="18" t="n">
        <v>74.68404815</v>
      </c>
      <c r="H33" s="20" t="n">
        <v>3.48571761</v>
      </c>
      <c r="I33" s="18" t="s">
        <v>567</v>
      </c>
      <c r="J33" s="20" t="s">
        <v>567</v>
      </c>
      <c r="K33" s="18" t="n">
        <v>1.58275492</v>
      </c>
      <c r="L33" s="20" t="n">
        <v>1.03299648</v>
      </c>
      <c r="M33" s="18" t="n">
        <v>0</v>
      </c>
      <c r="N33" s="20" t="n">
        <v>0</v>
      </c>
      <c r="O33" s="18" t="n">
        <v>0</v>
      </c>
      <c r="P33" s="20" t="n">
        <v>0</v>
      </c>
      <c r="Q33" s="18" t="n">
        <v>0.42521369</v>
      </c>
      <c r="R33" s="20" t="n">
        <v>0.23719601</v>
      </c>
    </row>
    <row r="34" spans="1:18">
      <c r="A34" s="15" t="s">
        <v>594</v>
      </c>
      <c r="B34" s="17" t="n">
        <v>3315</v>
      </c>
      <c r="C34" s="18">
        <f>(2907.0/B34*100)</f>
        <v/>
      </c>
      <c r="D34" s="19" t="n">
        <v>408</v>
      </c>
      <c r="E34" s="18" t="n">
        <v>46.29109921</v>
      </c>
      <c r="F34" s="20" t="n">
        <v>2.99445472</v>
      </c>
      <c r="G34" s="18" t="n">
        <v>52.39092101</v>
      </c>
      <c r="H34" s="20" t="n">
        <v>3.00100874</v>
      </c>
      <c r="I34" s="18" t="s">
        <v>567</v>
      </c>
      <c r="J34" s="20" t="s">
        <v>567</v>
      </c>
      <c r="K34" s="18" t="n">
        <v>0.5505335099999999</v>
      </c>
      <c r="L34" s="20" t="n">
        <v>0.4068095</v>
      </c>
      <c r="M34" s="18" t="n">
        <v>0</v>
      </c>
      <c r="N34" s="20" t="n">
        <v>0</v>
      </c>
      <c r="O34" s="18" t="n">
        <v>0</v>
      </c>
      <c r="P34" s="20" t="n">
        <v>0</v>
      </c>
      <c r="Q34" s="18" t="n">
        <v>0.76744627</v>
      </c>
      <c r="R34" s="20" t="n">
        <v>0.45826993</v>
      </c>
    </row>
    <row r="35" spans="1:18">
      <c r="A35" s="15" t="s">
        <v>595</v>
      </c>
      <c r="B35" s="17" t="n">
        <v>3505</v>
      </c>
      <c r="C35" s="18">
        <f>(3019.0/B35*100)</f>
        <v/>
      </c>
      <c r="D35" s="19" t="n">
        <v>486</v>
      </c>
      <c r="E35" s="18" t="n">
        <v>24.45871082</v>
      </c>
      <c r="F35" s="20" t="n">
        <v>2.15506464</v>
      </c>
      <c r="G35" s="18" t="n">
        <v>74.98748051</v>
      </c>
      <c r="H35" s="20" t="n">
        <v>2.17559795</v>
      </c>
      <c r="I35" s="18" t="s">
        <v>567</v>
      </c>
      <c r="J35" s="20" t="s">
        <v>567</v>
      </c>
      <c r="K35" s="18" t="n">
        <v>0</v>
      </c>
      <c r="L35" s="20" t="n">
        <v>0</v>
      </c>
      <c r="M35" s="18" t="n">
        <v>0</v>
      </c>
      <c r="N35" s="20" t="n">
        <v>0</v>
      </c>
      <c r="O35" s="18" t="n">
        <v>0</v>
      </c>
      <c r="P35" s="20" t="n">
        <v>0</v>
      </c>
      <c r="Q35" s="18" t="n">
        <v>0.5538086800000001</v>
      </c>
      <c r="R35" s="20" t="n">
        <v>0.3359569</v>
      </c>
    </row>
    <row r="36" spans="1:18">
      <c r="A36" s="15" t="s">
        <v>596</v>
      </c>
      <c r="B36" s="17" t="n">
        <v>3332</v>
      </c>
      <c r="C36" s="18">
        <f>(2966.0/B36*100)</f>
        <v/>
      </c>
      <c r="D36" s="19" t="n">
        <v>366</v>
      </c>
      <c r="E36" s="18" t="n">
        <v>31.44013217</v>
      </c>
      <c r="F36" s="20" t="n">
        <v>2.66570867</v>
      </c>
      <c r="G36" s="18" t="n">
        <v>67.11462756</v>
      </c>
      <c r="H36" s="20" t="n">
        <v>2.76738012</v>
      </c>
      <c r="I36" s="18" t="s">
        <v>567</v>
      </c>
      <c r="J36" s="20" t="s">
        <v>567</v>
      </c>
      <c r="K36" s="18" t="n">
        <v>0.98626051</v>
      </c>
      <c r="L36" s="20" t="n">
        <v>0.54175708</v>
      </c>
      <c r="M36" s="18" t="n">
        <v>0</v>
      </c>
      <c r="N36" s="20" t="n">
        <v>0</v>
      </c>
      <c r="O36" s="18" t="n">
        <v>0</v>
      </c>
      <c r="P36" s="20" t="n">
        <v>0</v>
      </c>
      <c r="Q36" s="18" t="n">
        <v>0.45897975</v>
      </c>
      <c r="R36" s="20" t="n">
        <v>0.45151094</v>
      </c>
    </row>
    <row r="37" spans="1:18">
      <c r="A37" s="15" t="s">
        <v>597</v>
      </c>
      <c r="B37" s="17" t="n">
        <v>2727</v>
      </c>
      <c r="C37" s="18">
        <f>(2428.0/B37*100)</f>
        <v/>
      </c>
      <c r="D37" s="19" t="n">
        <v>299</v>
      </c>
      <c r="E37" s="18" t="n">
        <v>26.62706208</v>
      </c>
      <c r="F37" s="20" t="n">
        <v>2.61656281</v>
      </c>
      <c r="G37" s="18" t="n">
        <v>70.3725553</v>
      </c>
      <c r="H37" s="20" t="n">
        <v>2.84367661</v>
      </c>
      <c r="I37" s="18" t="s">
        <v>567</v>
      </c>
      <c r="J37" s="20" t="s">
        <v>567</v>
      </c>
      <c r="K37" s="18" t="n">
        <v>1.51386559</v>
      </c>
      <c r="L37" s="20" t="n">
        <v>0.9077290099999999</v>
      </c>
      <c r="M37" s="18" t="n">
        <v>0</v>
      </c>
      <c r="N37" s="20" t="n">
        <v>0</v>
      </c>
      <c r="O37" s="18" t="n">
        <v>0</v>
      </c>
      <c r="P37" s="20" t="n">
        <v>0</v>
      </c>
      <c r="Q37" s="18" t="n">
        <v>1.48651703</v>
      </c>
      <c r="R37" s="20" t="n">
        <v>0.64819112</v>
      </c>
    </row>
    <row r="38" spans="1:18">
      <c r="A38" s="15" t="s">
        <v>598</v>
      </c>
      <c r="B38" s="17" t="n">
        <v>3053</v>
      </c>
      <c r="C38" s="18">
        <f>(2727.0/B38*100)</f>
        <v/>
      </c>
      <c r="D38" s="19" t="n">
        <v>326</v>
      </c>
      <c r="E38" s="18" t="n">
        <v>29.11638454</v>
      </c>
      <c r="F38" s="20" t="n">
        <v>3.0235899</v>
      </c>
      <c r="G38" s="18" t="n">
        <v>69.61055983</v>
      </c>
      <c r="H38" s="20" t="n">
        <v>3.05044369</v>
      </c>
      <c r="I38" s="18" t="s">
        <v>567</v>
      </c>
      <c r="J38" s="20" t="s">
        <v>567</v>
      </c>
      <c r="K38" s="18" t="n">
        <v>0.8154425</v>
      </c>
      <c r="L38" s="20" t="n">
        <v>0.54275795</v>
      </c>
      <c r="M38" s="18" t="n">
        <v>0</v>
      </c>
      <c r="N38" s="20" t="n">
        <v>0</v>
      </c>
      <c r="O38" s="18" t="n">
        <v>0</v>
      </c>
      <c r="P38" s="20" t="n">
        <v>0</v>
      </c>
      <c r="Q38" s="18" t="n">
        <v>0.45761314</v>
      </c>
      <c r="R38" s="20" t="n">
        <v>0.33258902</v>
      </c>
    </row>
    <row r="39" spans="1:18">
      <c r="A39" s="15" t="s">
        <v>599</v>
      </c>
      <c r="B39" s="17" t="n">
        <v>2957</v>
      </c>
      <c r="C39" s="18">
        <f>(2625.0/B39*100)</f>
        <v/>
      </c>
      <c r="D39" s="19" t="n">
        <v>332</v>
      </c>
      <c r="E39" s="18" t="n">
        <v>40.364433</v>
      </c>
      <c r="F39" s="20" t="n">
        <v>2.87968111</v>
      </c>
      <c r="G39" s="18" t="n">
        <v>57.37065725</v>
      </c>
      <c r="H39" s="20" t="n">
        <v>3.04747752</v>
      </c>
      <c r="I39" s="18" t="s">
        <v>567</v>
      </c>
      <c r="J39" s="20" t="s">
        <v>567</v>
      </c>
      <c r="K39" s="18" t="n">
        <v>0.61992133</v>
      </c>
      <c r="L39" s="20" t="n">
        <v>0.3318051</v>
      </c>
      <c r="M39" s="18" t="n">
        <v>0</v>
      </c>
      <c r="N39" s="20" t="n">
        <v>0</v>
      </c>
      <c r="O39" s="18" t="n">
        <v>0</v>
      </c>
      <c r="P39" s="20" t="n">
        <v>0</v>
      </c>
      <c r="Q39" s="18" t="n">
        <v>1.64498841</v>
      </c>
      <c r="R39" s="20" t="n">
        <v>1.23858687</v>
      </c>
    </row>
    <row r="40" spans="1:18">
      <c r="A40" s="15" t="s">
        <v>600</v>
      </c>
      <c r="B40" s="17" t="n">
        <v>7235</v>
      </c>
      <c r="C40" s="18">
        <f>(6402.0/B40*100)</f>
        <v/>
      </c>
      <c r="D40" s="19" t="n">
        <v>833</v>
      </c>
      <c r="E40" s="18" t="n">
        <v>35.04497857</v>
      </c>
      <c r="F40" s="20" t="n">
        <v>2.61132111</v>
      </c>
      <c r="G40" s="18" t="n">
        <v>63.93357082</v>
      </c>
      <c r="H40" s="20" t="n">
        <v>2.70164719</v>
      </c>
      <c r="I40" s="18" t="s">
        <v>567</v>
      </c>
      <c r="J40" s="20" t="s">
        <v>567</v>
      </c>
      <c r="K40" s="18" t="n">
        <v>0.53258326</v>
      </c>
      <c r="L40" s="20" t="n">
        <v>0.25251703</v>
      </c>
      <c r="M40" s="18" t="n">
        <v>0</v>
      </c>
      <c r="N40" s="20" t="n">
        <v>0</v>
      </c>
      <c r="O40" s="18" t="n">
        <v>0</v>
      </c>
      <c r="P40" s="20" t="n">
        <v>0</v>
      </c>
      <c r="Q40" s="18" t="n">
        <v>0.48886734</v>
      </c>
      <c r="R40" s="20" t="n">
        <v>0.44980679</v>
      </c>
    </row>
    <row r="41" spans="1:18">
      <c r="A41" s="15" t="s">
        <v>601</v>
      </c>
      <c r="B41" s="17" t="n">
        <v>2858</v>
      </c>
      <c r="C41" s="18">
        <f>(2514.0/B41*100)</f>
        <v/>
      </c>
      <c r="D41" s="19" t="n">
        <v>344</v>
      </c>
      <c r="E41" s="18" t="n">
        <v>40.44565063</v>
      </c>
      <c r="F41" s="20" t="n">
        <v>2.4879271</v>
      </c>
      <c r="G41" s="18" t="n">
        <v>59.27572384</v>
      </c>
      <c r="H41" s="20" t="n">
        <v>2.46234725</v>
      </c>
      <c r="I41" s="18" t="s">
        <v>567</v>
      </c>
      <c r="J41" s="20" t="s">
        <v>567</v>
      </c>
      <c r="K41" s="18" t="n">
        <v>0.27862553</v>
      </c>
      <c r="L41" s="20" t="n">
        <v>0.29384357</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(10221.0/B46*100)</f>
        <v/>
      </c>
      <c r="D46" s="19" t="n">
        <v>847</v>
      </c>
      <c r="E46" s="18" t="n">
        <v>50.50227026</v>
      </c>
      <c r="F46" s="20" t="n">
        <v>2.37470162</v>
      </c>
      <c r="G46" s="18" t="n">
        <v>46.24203123</v>
      </c>
      <c r="H46" s="20" t="n">
        <v>2.26904676</v>
      </c>
      <c r="I46" s="18" t="s">
        <v>567</v>
      </c>
      <c r="J46" s="20" t="s">
        <v>567</v>
      </c>
      <c r="K46" s="18" t="n">
        <v>2.43717848</v>
      </c>
      <c r="L46" s="20" t="n">
        <v>0.73907632</v>
      </c>
      <c r="M46" s="18" t="n">
        <v>0</v>
      </c>
      <c r="N46" s="20" t="n">
        <v>0</v>
      </c>
      <c r="O46" s="18" t="n">
        <v>0</v>
      </c>
      <c r="P46" s="20" t="n">
        <v>0</v>
      </c>
      <c r="Q46" s="18" t="n">
        <v>0.81852004</v>
      </c>
      <c r="R46" s="20" t="n">
        <v>0.4130391</v>
      </c>
    </row>
    <row r="47" spans="1:18">
      <c r="A47" s="15" t="s">
        <v>607</v>
      </c>
      <c r="B47" s="17" t="n">
        <v>3105</v>
      </c>
      <c r="C47" s="18">
        <f>(2769.0/B47*100)</f>
        <v/>
      </c>
      <c r="D47" s="19" t="n">
        <v>336</v>
      </c>
      <c r="E47" s="18" t="n">
        <v>50.04028561</v>
      </c>
      <c r="F47" s="20" t="n">
        <v>2.80472921</v>
      </c>
      <c r="G47" s="18" t="n">
        <v>48.39474615</v>
      </c>
      <c r="H47" s="20" t="n">
        <v>2.80947809</v>
      </c>
      <c r="I47" s="18" t="s">
        <v>567</v>
      </c>
      <c r="J47" s="20" t="s">
        <v>567</v>
      </c>
      <c r="K47" s="18" t="n">
        <v>1.23906716</v>
      </c>
      <c r="L47" s="20" t="n">
        <v>0.58941823</v>
      </c>
      <c r="M47" s="18" t="n">
        <v>0</v>
      </c>
      <c r="N47" s="20" t="n">
        <v>0</v>
      </c>
      <c r="O47" s="18" t="n">
        <v>0</v>
      </c>
      <c r="P47" s="20" t="n">
        <v>0</v>
      </c>
      <c r="Q47" s="18" t="n">
        <v>0.32590108</v>
      </c>
      <c r="R47" s="20" t="n">
        <v>0.32955941</v>
      </c>
    </row>
    <row r="48" spans="1:18">
      <c r="A48" s="15" t="s">
        <v>608</v>
      </c>
      <c r="B48" s="17" t="n">
        <v>5159</v>
      </c>
      <c r="C48" s="18">
        <f>(4615.0/B48*100)</f>
        <v/>
      </c>
      <c r="D48" s="19" t="n">
        <v>544</v>
      </c>
      <c r="E48" s="18" t="n">
        <v>37.87414109</v>
      </c>
      <c r="F48" s="20" t="n">
        <v>2.38191372</v>
      </c>
      <c r="G48" s="18" t="n">
        <v>60.80247192</v>
      </c>
      <c r="H48" s="20" t="n">
        <v>2.48765525</v>
      </c>
      <c r="I48" s="18" t="s">
        <v>567</v>
      </c>
      <c r="J48" s="20" t="s">
        <v>567</v>
      </c>
      <c r="K48" s="18" t="n">
        <v>0.67015687</v>
      </c>
      <c r="L48" s="20" t="n">
        <v>0.47461385</v>
      </c>
      <c r="M48" s="18" t="n">
        <v>0</v>
      </c>
      <c r="N48" s="20" t="n">
        <v>0</v>
      </c>
      <c r="O48" s="18" t="n">
        <v>0</v>
      </c>
      <c r="P48" s="20" t="n">
        <v>0</v>
      </c>
      <c r="Q48" s="18" t="n">
        <v>0.65323011</v>
      </c>
      <c r="R48" s="20" t="n">
        <v>0.47057431</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(5057.0/B50*100)</f>
        <v/>
      </c>
      <c r="D50" s="19" t="n">
        <v>580</v>
      </c>
      <c r="E50" s="18" t="n">
        <v>44.3891625</v>
      </c>
      <c r="F50" s="20" t="n">
        <v>3.10421268</v>
      </c>
      <c r="G50" s="18" t="n">
        <v>54.07021967</v>
      </c>
      <c r="H50" s="20" t="n">
        <v>3.04694923</v>
      </c>
      <c r="I50" s="18" t="s">
        <v>567</v>
      </c>
      <c r="J50" s="20" t="s">
        <v>567</v>
      </c>
      <c r="K50" s="18" t="n">
        <v>1.54061783</v>
      </c>
      <c r="L50" s="20" t="n">
        <v>0.62096855</v>
      </c>
      <c r="M50" s="18" t="n">
        <v>0</v>
      </c>
      <c r="N50" s="20" t="n">
        <v>0</v>
      </c>
      <c r="O50" s="18" t="n">
        <v>0</v>
      </c>
      <c r="P50" s="20" t="n">
        <v>0</v>
      </c>
      <c r="Q50" s="18" t="n">
        <v>0</v>
      </c>
      <c r="R50" s="20" t="n">
        <v>0</v>
      </c>
    </row>
    <row r="51" spans="1:18">
      <c r="A51" s="15" t="s">
        <v>611</v>
      </c>
      <c r="B51" s="17" t="n">
        <v>3372</v>
      </c>
      <c r="C51" s="18">
        <f>(2693.0/B51*100)</f>
        <v/>
      </c>
      <c r="D51" s="19" t="n">
        <v>679</v>
      </c>
      <c r="E51" s="18" t="n">
        <v>37.29865488</v>
      </c>
      <c r="F51" s="20" t="n">
        <v>2.04773353</v>
      </c>
      <c r="G51" s="18" t="n">
        <v>61.15645694</v>
      </c>
      <c r="H51" s="20" t="n">
        <v>2.1535041</v>
      </c>
      <c r="I51" s="18" t="s">
        <v>567</v>
      </c>
      <c r="J51" s="20" t="s">
        <v>567</v>
      </c>
      <c r="K51" s="18" t="n">
        <v>1.12828267</v>
      </c>
      <c r="L51" s="20" t="n">
        <v>0.52783761</v>
      </c>
      <c r="M51" s="18" t="n">
        <v>0</v>
      </c>
      <c r="N51" s="20" t="n">
        <v>0</v>
      </c>
      <c r="O51" s="18" t="n">
        <v>0</v>
      </c>
      <c r="P51" s="20" t="n">
        <v>0</v>
      </c>
      <c r="Q51" s="18" t="n">
        <v>0.41660551</v>
      </c>
      <c r="R51" s="20" t="n">
        <v>0.22841754</v>
      </c>
    </row>
    <row r="52" spans="1:18">
      <c r="A52" s="15" t="s">
        <v>612</v>
      </c>
      <c r="B52" s="17" t="n">
        <v>2796</v>
      </c>
      <c r="C52" s="18">
        <f>(2518.0/B52*100)</f>
        <v/>
      </c>
      <c r="D52" s="19" t="n">
        <v>278</v>
      </c>
      <c r="E52" s="18" t="n">
        <v>29.86721917</v>
      </c>
      <c r="F52" s="20" t="n">
        <v>2.70390848</v>
      </c>
      <c r="G52" s="18" t="n">
        <v>70.13278083</v>
      </c>
      <c r="H52" s="20" t="n">
        <v>2.70390848</v>
      </c>
      <c r="I52" s="18" t="s">
        <v>567</v>
      </c>
      <c r="J52" s="20" t="s">
        <v>567</v>
      </c>
      <c r="K52" s="18" t="n">
        <v>0</v>
      </c>
      <c r="L52" s="20" t="n">
        <v>0</v>
      </c>
      <c r="M52" s="18" t="n">
        <v>0</v>
      </c>
      <c r="N52" s="20" t="n">
        <v>0</v>
      </c>
      <c r="O52" s="18" t="n">
        <v>0</v>
      </c>
      <c r="P52" s="20" t="n">
        <v>0</v>
      </c>
      <c r="Q52" s="18" t="n">
        <v>0</v>
      </c>
      <c r="R52" s="20" t="n">
        <v>0</v>
      </c>
    </row>
    <row r="53" spans="1:18">
      <c r="A53" s="15" t="s">
        <v>613</v>
      </c>
      <c r="B53" s="17" t="n">
        <v>2811</v>
      </c>
      <c r="C53" s="18">
        <f>(2531.0/B53*100)</f>
        <v/>
      </c>
      <c r="D53" s="19" t="n">
        <v>280</v>
      </c>
      <c r="E53" s="18" t="n">
        <v>49.14631126</v>
      </c>
      <c r="F53" s="20" t="n">
        <v>3.27159757</v>
      </c>
      <c r="G53" s="18" t="n">
        <v>49.69625291</v>
      </c>
      <c r="H53" s="20" t="n">
        <v>3.3092045</v>
      </c>
      <c r="I53" s="18" t="s">
        <v>567</v>
      </c>
      <c r="J53" s="20" t="s">
        <v>567</v>
      </c>
      <c r="K53" s="18" t="n">
        <v>0.79331905</v>
      </c>
      <c r="L53" s="20" t="n">
        <v>0.46977339</v>
      </c>
      <c r="M53" s="18" t="n">
        <v>0</v>
      </c>
      <c r="N53" s="20" t="n">
        <v>0</v>
      </c>
      <c r="O53" s="18" t="n">
        <v>0</v>
      </c>
      <c r="P53" s="20" t="n">
        <v>0</v>
      </c>
      <c r="Q53" s="18" t="n">
        <v>0.36411678</v>
      </c>
      <c r="R53" s="20" t="n">
        <v>0.3638104</v>
      </c>
    </row>
    <row r="54" spans="1:18">
      <c r="A54" s="15" t="s">
        <v>614</v>
      </c>
      <c r="B54" s="17" t="n">
        <v>2266</v>
      </c>
      <c r="C54" s="18">
        <f>(2016.0/B54*100)</f>
        <v/>
      </c>
      <c r="D54" s="19" t="n">
        <v>250</v>
      </c>
      <c r="E54" s="18" t="n">
        <v>56.44760322</v>
      </c>
      <c r="F54" s="20" t="n">
        <v>3.51760705</v>
      </c>
      <c r="G54" s="18" t="n">
        <v>25.82599248</v>
      </c>
      <c r="H54" s="20" t="n">
        <v>3.2616646</v>
      </c>
      <c r="I54" s="18" t="s">
        <v>567</v>
      </c>
      <c r="J54" s="20" t="s">
        <v>567</v>
      </c>
      <c r="K54" s="18" t="n">
        <v>16.5949753</v>
      </c>
      <c r="L54" s="20" t="n">
        <v>2.81987641</v>
      </c>
      <c r="M54" s="18" t="n">
        <v>0</v>
      </c>
      <c r="N54" s="20" t="n">
        <v>0</v>
      </c>
      <c r="O54" s="18" t="n">
        <v>0</v>
      </c>
      <c r="P54" s="20" t="n">
        <v>0</v>
      </c>
      <c r="Q54" s="18" t="n">
        <v>1.13142901</v>
      </c>
      <c r="R54" s="20" t="n">
        <v>0.83903498</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(2395.0/B56*100)</f>
        <v/>
      </c>
      <c r="D56" s="19" t="n">
        <v>289</v>
      </c>
      <c r="E56" s="18" t="n">
        <v>24.10020227</v>
      </c>
      <c r="F56" s="20" t="n">
        <v>2.38304228</v>
      </c>
      <c r="G56" s="18" t="n">
        <v>75.89979773</v>
      </c>
      <c r="H56" s="20" t="n">
        <v>2.38304228</v>
      </c>
      <c r="I56" s="18" t="s">
        <v>567</v>
      </c>
      <c r="J56" s="20" t="s">
        <v>567</v>
      </c>
      <c r="K56" s="18" t="n">
        <v>0</v>
      </c>
      <c r="L56" s="20" t="n">
        <v>0</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(2997.0/B61*100)</f>
        <v/>
      </c>
      <c r="D61" s="19" t="n">
        <v>327</v>
      </c>
      <c r="E61" s="18" t="n">
        <v>34.54956068</v>
      </c>
      <c r="F61" s="20" t="n">
        <v>2.78530372</v>
      </c>
      <c r="G61" s="18" t="n">
        <v>64.78349959000001</v>
      </c>
      <c r="H61" s="20" t="n">
        <v>2.85082973</v>
      </c>
      <c r="I61" s="18" t="s">
        <v>567</v>
      </c>
      <c r="J61" s="20" t="s">
        <v>567</v>
      </c>
      <c r="K61" s="18" t="n">
        <v>0.43214224</v>
      </c>
      <c r="L61" s="20" t="n">
        <v>0.45111914</v>
      </c>
      <c r="M61" s="18" t="n">
        <v>0</v>
      </c>
      <c r="N61" s="20" t="n">
        <v>0</v>
      </c>
      <c r="O61" s="18" t="n">
        <v>0</v>
      </c>
      <c r="P61" s="20" t="n">
        <v>0</v>
      </c>
      <c r="Q61" s="18" t="n">
        <v>0.23479748</v>
      </c>
      <c r="R61" s="20" t="n">
        <v>0.2441206</v>
      </c>
    </row>
    <row r="62" spans="1:18">
      <c r="A62" s="15" t="s">
        <v>622</v>
      </c>
      <c r="B62" s="17" t="n">
        <v>2246</v>
      </c>
      <c r="C62" s="18">
        <f>(1999.0/B62*100)</f>
        <v/>
      </c>
      <c r="D62" s="19" t="n">
        <v>247</v>
      </c>
      <c r="E62" s="18" t="n">
        <v>28.41069985</v>
      </c>
      <c r="F62" s="20" t="n">
        <v>2.86406338</v>
      </c>
      <c r="G62" s="18" t="n">
        <v>71.58930015</v>
      </c>
      <c r="H62" s="20" t="n">
        <v>2.86406338</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(2608.0/B66*100)</f>
        <v/>
      </c>
      <c r="D66" s="19" t="n">
        <v>286</v>
      </c>
      <c r="E66" s="18" t="n">
        <v>47.97242818</v>
      </c>
      <c r="F66" s="20" t="n">
        <v>3.1589158</v>
      </c>
      <c r="G66" s="18" t="n">
        <v>49.64190976</v>
      </c>
      <c r="H66" s="20" t="n">
        <v>3.23058998</v>
      </c>
      <c r="I66" s="18" t="s">
        <v>567</v>
      </c>
      <c r="J66" s="20" t="s">
        <v>567</v>
      </c>
      <c r="K66" s="18" t="n">
        <v>1.00339976</v>
      </c>
      <c r="L66" s="20" t="n">
        <v>0.58263267</v>
      </c>
      <c r="M66" s="18" t="n">
        <v>0</v>
      </c>
      <c r="N66" s="20" t="n">
        <v>0</v>
      </c>
      <c r="O66" s="18" t="n">
        <v>0</v>
      </c>
      <c r="P66" s="20" t="n">
        <v>0</v>
      </c>
      <c r="Q66" s="18" t="n">
        <v>1.38226229</v>
      </c>
      <c r="R66" s="20" t="n">
        <v>0.8584404</v>
      </c>
    </row>
    <row r="67" spans="1:18">
      <c r="A67" s="15" t="s">
        <v>627</v>
      </c>
      <c r="B67" s="17" t="n">
        <v>3511</v>
      </c>
      <c r="C67" s="18">
        <f>(3200.0/B67*100)</f>
        <v/>
      </c>
      <c r="D67" s="19" t="n">
        <v>311</v>
      </c>
      <c r="E67" s="18" t="n">
        <v>49.9535278</v>
      </c>
      <c r="F67" s="20" t="n">
        <v>3.35280434</v>
      </c>
      <c r="G67" s="18" t="n">
        <v>49.71896133</v>
      </c>
      <c r="H67" s="20" t="n">
        <v>3.37347573</v>
      </c>
      <c r="I67" s="18" t="s">
        <v>567</v>
      </c>
      <c r="J67" s="20" t="s">
        <v>567</v>
      </c>
      <c r="K67" s="18" t="n">
        <v>0.32751087</v>
      </c>
      <c r="L67" s="20" t="n">
        <v>0.32610123</v>
      </c>
      <c r="M67" s="18" t="n">
        <v>0</v>
      </c>
      <c r="N67" s="20" t="n">
        <v>0</v>
      </c>
      <c r="O67" s="18" t="n">
        <v>0</v>
      </c>
      <c r="P67" s="20" t="n">
        <v>0</v>
      </c>
      <c r="Q67" s="18" t="n">
        <v>0</v>
      </c>
      <c r="R67" s="20" t="n">
        <v>0</v>
      </c>
    </row>
    <row r="68" spans="1:18">
      <c r="A68" s="15" t="s">
        <v>628</v>
      </c>
      <c r="B68" s="17" t="n">
        <v>6049</v>
      </c>
      <c r="C68" s="18">
        <f>(5393.0/B68*100)</f>
        <v/>
      </c>
      <c r="D68" s="19" t="n">
        <v>656</v>
      </c>
      <c r="E68" s="18" t="n">
        <v>50.57873335</v>
      </c>
      <c r="F68" s="20" t="n">
        <v>2.04390775</v>
      </c>
      <c r="G68" s="18" t="n">
        <v>43.28143501</v>
      </c>
      <c r="H68" s="20" t="n">
        <v>2.10715055</v>
      </c>
      <c r="I68" s="18" t="s">
        <v>567</v>
      </c>
      <c r="J68" s="20" t="s">
        <v>567</v>
      </c>
      <c r="K68" s="18" t="n">
        <v>5.82934958</v>
      </c>
      <c r="L68" s="20" t="n">
        <v>0.9011456</v>
      </c>
      <c r="M68" s="18" t="n">
        <v>0</v>
      </c>
      <c r="N68" s="20" t="n">
        <v>0</v>
      </c>
      <c r="O68" s="18" t="n">
        <v>0</v>
      </c>
      <c r="P68" s="20" t="n">
        <v>0</v>
      </c>
      <c r="Q68" s="18" t="n">
        <v>0.31048206</v>
      </c>
      <c r="R68" s="20" t="n">
        <v>0.21898063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(2658.0/B70*100)</f>
        <v/>
      </c>
      <c r="D70" s="19" t="n">
        <v>271</v>
      </c>
      <c r="E70" s="18" t="n">
        <v>28.71453264</v>
      </c>
      <c r="F70" s="20" t="n">
        <v>2.80051638</v>
      </c>
      <c r="G70" s="18" t="n">
        <v>70.24712275</v>
      </c>
      <c r="H70" s="20" t="n">
        <v>2.85097312</v>
      </c>
      <c r="I70" s="18" t="s">
        <v>567</v>
      </c>
      <c r="J70" s="20" t="s">
        <v>567</v>
      </c>
      <c r="K70" s="18" t="n">
        <v>0.8279063800000001</v>
      </c>
      <c r="L70" s="20" t="n">
        <v>0.47193735</v>
      </c>
      <c r="M70" s="18" t="n">
        <v>0</v>
      </c>
      <c r="N70" s="20" t="n">
        <v>0</v>
      </c>
      <c r="O70" s="18" t="n">
        <v>0</v>
      </c>
      <c r="P70" s="20" t="n">
        <v>0</v>
      </c>
      <c r="Q70" s="18" t="n">
        <v>0.21043822</v>
      </c>
      <c r="R70" s="20" t="n">
        <v>0.21526332</v>
      </c>
    </row>
    <row r="71" spans="1:18">
      <c r="A71" s="15" t="s">
        <v>631</v>
      </c>
      <c r="B71" s="17" t="n">
        <v>3142</v>
      </c>
      <c r="C71" s="18">
        <f>(2782.0/B71*100)</f>
        <v/>
      </c>
      <c r="D71" s="19" t="n">
        <v>360</v>
      </c>
      <c r="E71" s="18" t="n">
        <v>25.54816943</v>
      </c>
      <c r="F71" s="20" t="n">
        <v>2.05107227</v>
      </c>
      <c r="G71" s="18" t="n">
        <v>74.09922078</v>
      </c>
      <c r="H71" s="20" t="n">
        <v>2.00435548</v>
      </c>
      <c r="I71" s="18" t="s">
        <v>567</v>
      </c>
      <c r="J71" s="20" t="s">
        <v>567</v>
      </c>
      <c r="K71" s="18" t="n">
        <v>0</v>
      </c>
      <c r="L71" s="20" t="n">
        <v>0</v>
      </c>
      <c r="M71" s="18" t="n">
        <v>0</v>
      </c>
      <c r="N71" s="20" t="n">
        <v>0</v>
      </c>
      <c r="O71" s="18" t="n">
        <v>0</v>
      </c>
      <c r="P71" s="20" t="n">
        <v>0</v>
      </c>
      <c r="Q71" s="18" t="n">
        <v>0.35260979</v>
      </c>
      <c r="R71" s="20" t="n">
        <v>0.2726204</v>
      </c>
    </row>
    <row r="72" spans="1:18">
      <c r="A72" s="15" t="s">
        <v>632</v>
      </c>
      <c r="B72" s="17" t="n">
        <v>3889</v>
      </c>
      <c r="C72" s="18">
        <f>(3451.0/B72*100)</f>
        <v/>
      </c>
      <c r="D72" s="19" t="n">
        <v>438</v>
      </c>
      <c r="E72" s="18" t="n">
        <v>31.066439</v>
      </c>
      <c r="F72" s="20" t="n">
        <v>2.69779281</v>
      </c>
      <c r="G72" s="18" t="n">
        <v>68.933561</v>
      </c>
      <c r="H72" s="20" t="n">
        <v>2.69779281</v>
      </c>
      <c r="I72" s="18" t="s">
        <v>567</v>
      </c>
      <c r="J72" s="20" t="s">
        <v>567</v>
      </c>
      <c r="K72" s="18" t="n">
        <v>0</v>
      </c>
      <c r="L72" s="20" t="n">
        <v>0</v>
      </c>
      <c r="M72" s="18" t="n">
        <v>0</v>
      </c>
      <c r="N72" s="20" t="n">
        <v>0</v>
      </c>
      <c r="O72" s="18" t="n">
        <v>0</v>
      </c>
      <c r="P72" s="20" t="n">
        <v>0</v>
      </c>
      <c r="Q72" s="18" t="n">
        <v>0</v>
      </c>
      <c r="R72" s="20" t="n">
        <v>0</v>
      </c>
    </row>
    <row r="73" spans="1:18">
      <c r="A73" s="15" t="s">
        <v>633</v>
      </c>
      <c r="B73" s="17" t="n">
        <v>3597</v>
      </c>
      <c r="C73" s="18">
        <f>(3202.0/B73*100)</f>
        <v/>
      </c>
      <c r="D73" s="19" t="n">
        <v>395</v>
      </c>
      <c r="E73" s="18" t="n">
        <v>54.19930536</v>
      </c>
      <c r="F73" s="20" t="n">
        <v>3.2156301</v>
      </c>
      <c r="G73" s="18" t="n">
        <v>45.68985159</v>
      </c>
      <c r="H73" s="20" t="n">
        <v>3.22091315</v>
      </c>
      <c r="I73" s="18" t="s">
        <v>567</v>
      </c>
      <c r="J73" s="20" t="s">
        <v>567</v>
      </c>
      <c r="K73" s="18" t="n">
        <v>0.11084305</v>
      </c>
      <c r="L73" s="20" t="n">
        <v>0.10540894</v>
      </c>
      <c r="M73" s="18" t="n">
        <v>0</v>
      </c>
      <c r="N73" s="20" t="n">
        <v>0</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(2183.0/B75*100)</f>
        <v/>
      </c>
      <c r="D75" s="19" t="n">
        <v>223</v>
      </c>
      <c r="E75" s="18" t="n">
        <v>55.95680277</v>
      </c>
      <c r="F75" s="20" t="n">
        <v>2.83181644</v>
      </c>
      <c r="G75" s="18" t="n">
        <v>35.9108247</v>
      </c>
      <c r="H75" s="20" t="n">
        <v>2.81590666</v>
      </c>
      <c r="I75" s="18" t="s">
        <v>567</v>
      </c>
      <c r="J75" s="20" t="s">
        <v>567</v>
      </c>
      <c r="K75" s="18" t="n">
        <v>6.57883352</v>
      </c>
      <c r="L75" s="20" t="n">
        <v>1.64973486</v>
      </c>
      <c r="M75" s="18" t="n">
        <v>0</v>
      </c>
      <c r="N75" s="20" t="n">
        <v>0</v>
      </c>
      <c r="O75" s="18" t="n">
        <v>0</v>
      </c>
      <c r="P75" s="20" t="n">
        <v>0</v>
      </c>
      <c r="Q75" s="18" t="n">
        <v>1.55353902</v>
      </c>
      <c r="R75" s="20" t="n">
        <v>0.86510214</v>
      </c>
    </row>
    <row r="76" spans="1:18">
      <c r="A76" s="15" t="s">
        <v>636</v>
      </c>
      <c r="B76" s="17" t="n">
        <v>7052</v>
      </c>
      <c r="C76" s="18">
        <f>(6280.0/B76*100)</f>
        <v/>
      </c>
      <c r="D76" s="19" t="n">
        <v>772</v>
      </c>
      <c r="E76" s="18" t="n">
        <v>49.95582787</v>
      </c>
      <c r="F76" s="20" t="n">
        <v>2.47927295</v>
      </c>
      <c r="G76" s="18" t="n">
        <v>48.5469978</v>
      </c>
      <c r="H76" s="20" t="n">
        <v>2.4212728</v>
      </c>
      <c r="I76" s="18" t="s">
        <v>567</v>
      </c>
      <c r="J76" s="20" t="s">
        <v>567</v>
      </c>
      <c r="K76" s="18" t="n">
        <v>0.91448775</v>
      </c>
      <c r="L76" s="20" t="n">
        <v>0.4602038</v>
      </c>
      <c r="M76" s="18" t="n">
        <v>0</v>
      </c>
      <c r="N76" s="20" t="n">
        <v>0</v>
      </c>
      <c r="O76" s="18" t="n">
        <v>0</v>
      </c>
      <c r="P76" s="20" t="n">
        <v>0</v>
      </c>
      <c r="Q76" s="18" t="n">
        <v>0.58268658</v>
      </c>
      <c r="R76" s="20" t="n">
        <v>0.28788675</v>
      </c>
    </row>
    <row r="77" spans="1:18">
      <c r="A77" s="15" t="s">
        <v>637</v>
      </c>
      <c r="B77" s="17" t="n">
        <v>2908</v>
      </c>
      <c r="C77" s="18">
        <f>(2631.0/B77*100)</f>
        <v/>
      </c>
      <c r="D77" s="19" t="n">
        <v>277</v>
      </c>
      <c r="E77" s="18" t="n">
        <v>36.20453458</v>
      </c>
      <c r="F77" s="20" t="n">
        <v>3.6710947</v>
      </c>
      <c r="G77" s="18" t="n">
        <v>58.67578509</v>
      </c>
      <c r="H77" s="20" t="n">
        <v>3.87157185</v>
      </c>
      <c r="I77" s="18" t="s">
        <v>567</v>
      </c>
      <c r="J77" s="20" t="s">
        <v>567</v>
      </c>
      <c r="K77" s="18" t="n">
        <v>4.05675786</v>
      </c>
      <c r="L77" s="20" t="n">
        <v>1.28873908</v>
      </c>
      <c r="M77" s="18" t="n">
        <v>0</v>
      </c>
      <c r="N77" s="20" t="n">
        <v>0</v>
      </c>
      <c r="O77" s="18" t="n">
        <v>0</v>
      </c>
      <c r="P77" s="20" t="n">
        <v>0</v>
      </c>
      <c r="Q77" s="18" t="n">
        <v>1.06292246</v>
      </c>
      <c r="R77" s="20" t="n">
        <v>0.6100793799999999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(3716.0/B81*100)</f>
        <v/>
      </c>
      <c r="D81" s="19" t="n">
        <v>447</v>
      </c>
      <c r="E81" s="18" t="n">
        <v>39.80905507</v>
      </c>
      <c r="F81" s="20" t="n">
        <v>2.81509937</v>
      </c>
      <c r="G81" s="18" t="n">
        <v>59.21009306</v>
      </c>
      <c r="H81" s="20" t="n">
        <v>2.82456649</v>
      </c>
      <c r="I81" s="18" t="s">
        <v>567</v>
      </c>
      <c r="J81" s="20" t="s">
        <v>567</v>
      </c>
      <c r="K81" s="18" t="n">
        <v>0.98085186</v>
      </c>
      <c r="L81" s="20" t="n">
        <v>0.50799106</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(6586.0/B7*100)</f>
        <v/>
      </c>
      <c r="D7" s="19" t="n">
        <v>781</v>
      </c>
      <c r="E7" s="18" t="n">
        <v>27.36631896</v>
      </c>
      <c r="F7" s="20" t="n">
        <v>1.63391399</v>
      </c>
      <c r="G7" s="18" t="n">
        <v>71.17800013999999</v>
      </c>
      <c r="H7" s="20" t="n">
        <v>1.67606119</v>
      </c>
      <c r="I7" s="18" t="s">
        <v>567</v>
      </c>
      <c r="J7" s="20" t="s">
        <v>567</v>
      </c>
      <c r="K7" s="18" t="n">
        <v>1.09066299</v>
      </c>
      <c r="L7" s="20" t="n">
        <v>0.37744591</v>
      </c>
      <c r="M7" s="18" t="n">
        <v>0</v>
      </c>
      <c r="N7" s="20" t="n">
        <v>0</v>
      </c>
      <c r="O7" s="18" t="n">
        <v>0</v>
      </c>
      <c r="P7" s="20" t="n">
        <v>0</v>
      </c>
      <c r="Q7" s="18" t="n">
        <v>0.3650179</v>
      </c>
      <c r="R7" s="20" t="n">
        <v>0.25932447</v>
      </c>
    </row>
    <row r="8" spans="1:18">
      <c r="A8" s="15" t="s">
        <v>568</v>
      </c>
      <c r="B8" s="17" t="n">
        <v>3564</v>
      </c>
      <c r="C8" s="18">
        <f>(3180.0/B8*100)</f>
        <v/>
      </c>
      <c r="D8" s="19" t="n">
        <v>384</v>
      </c>
      <c r="E8" s="18" t="n">
        <v>24.96054585</v>
      </c>
      <c r="F8" s="20" t="n">
        <v>3.07548772</v>
      </c>
      <c r="G8" s="18" t="n">
        <v>73.67458152</v>
      </c>
      <c r="H8" s="20" t="n">
        <v>3.25986344</v>
      </c>
      <c r="I8" s="18" t="s">
        <v>567</v>
      </c>
      <c r="J8" s="20" t="s">
        <v>567</v>
      </c>
      <c r="K8" s="18" t="n">
        <v>1.07379297</v>
      </c>
      <c r="L8" s="20" t="n">
        <v>0.53827103</v>
      </c>
      <c r="M8" s="18" t="n">
        <v>0</v>
      </c>
      <c r="N8" s="20" t="n">
        <v>0</v>
      </c>
      <c r="O8" s="18" t="n">
        <v>0</v>
      </c>
      <c r="P8" s="20" t="n">
        <v>0</v>
      </c>
      <c r="Q8" s="18" t="n">
        <v>0.29107966</v>
      </c>
      <c r="R8" s="20" t="n">
        <v>0.22974172</v>
      </c>
    </row>
    <row r="9" spans="1:18">
      <c r="A9" s="15" t="s">
        <v>569</v>
      </c>
      <c r="B9" s="17" t="n">
        <v>4899</v>
      </c>
      <c r="C9" s="18">
        <f>(4201.0/B9*100)</f>
        <v/>
      </c>
      <c r="D9" s="19" t="n">
        <v>698</v>
      </c>
      <c r="E9" s="18" t="n">
        <v>41.52685941</v>
      </c>
      <c r="F9" s="20" t="n">
        <v>2.56885212</v>
      </c>
      <c r="G9" s="18" t="n">
        <v>56.5911685</v>
      </c>
      <c r="H9" s="20" t="n">
        <v>2.5374991</v>
      </c>
      <c r="I9" s="18" t="s">
        <v>567</v>
      </c>
      <c r="J9" s="20" t="s">
        <v>567</v>
      </c>
      <c r="K9" s="18" t="n">
        <v>1.28049806</v>
      </c>
      <c r="L9" s="20" t="n">
        <v>0.35277574</v>
      </c>
      <c r="M9" s="18" t="n">
        <v>0</v>
      </c>
      <c r="N9" s="20" t="n">
        <v>0</v>
      </c>
      <c r="O9" s="18" t="n">
        <v>0</v>
      </c>
      <c r="P9" s="20" t="n">
        <v>0</v>
      </c>
      <c r="Q9" s="18" t="n">
        <v>0.60147403</v>
      </c>
      <c r="R9" s="20" t="n">
        <v>0.34387541</v>
      </c>
    </row>
    <row r="10" spans="1:18">
      <c r="A10" s="15" t="s">
        <v>570</v>
      </c>
      <c r="B10" s="17" t="n">
        <v>10036</v>
      </c>
      <c r="C10" s="18">
        <f>(8918.0/B10*100)</f>
        <v/>
      </c>
      <c r="D10" s="19" t="n">
        <v>1118</v>
      </c>
      <c r="E10" s="18" t="n">
        <v>25.91847353</v>
      </c>
      <c r="F10" s="20" t="n">
        <v>1.8017817</v>
      </c>
      <c r="G10" s="18" t="n">
        <v>72.94223886</v>
      </c>
      <c r="H10" s="20" t="n">
        <v>1.82548496</v>
      </c>
      <c r="I10" s="18" t="s">
        <v>567</v>
      </c>
      <c r="J10" s="20" t="s">
        <v>567</v>
      </c>
      <c r="K10" s="18" t="n">
        <v>0.90084424</v>
      </c>
      <c r="L10" s="20" t="n">
        <v>0.37749048</v>
      </c>
      <c r="M10" s="18" t="n">
        <v>0</v>
      </c>
      <c r="N10" s="20" t="n">
        <v>0</v>
      </c>
      <c r="O10" s="18" t="n">
        <v>0</v>
      </c>
      <c r="P10" s="20" t="n">
        <v>0</v>
      </c>
      <c r="Q10" s="18" t="n">
        <v>0.23844338</v>
      </c>
      <c r="R10" s="20" t="n">
        <v>0.21974686</v>
      </c>
    </row>
    <row r="11" spans="1:18">
      <c r="A11" s="15" t="s">
        <v>571</v>
      </c>
      <c r="B11" s="17" t="n">
        <v>3553</v>
      </c>
      <c r="C11" s="18">
        <f>(3179.0/B11*100)</f>
        <v/>
      </c>
      <c r="D11" s="19" t="n">
        <v>374</v>
      </c>
      <c r="E11" s="18" t="n">
        <v>63.36482795</v>
      </c>
      <c r="F11" s="20" t="n">
        <v>2.69202218</v>
      </c>
      <c r="G11" s="18" t="n">
        <v>34.19185379</v>
      </c>
      <c r="H11" s="20" t="n">
        <v>2.58776114</v>
      </c>
      <c r="I11" s="18" t="s">
        <v>567</v>
      </c>
      <c r="J11" s="20" t="s">
        <v>567</v>
      </c>
      <c r="K11" s="18" t="n">
        <v>2.07989858</v>
      </c>
      <c r="L11" s="20" t="n">
        <v>1.56211667</v>
      </c>
      <c r="M11" s="18" t="n">
        <v>0</v>
      </c>
      <c r="N11" s="20" t="n">
        <v>0</v>
      </c>
      <c r="O11" s="18" t="n">
        <v>0</v>
      </c>
      <c r="P11" s="20" t="n">
        <v>0</v>
      </c>
      <c r="Q11" s="18" t="n">
        <v>0.36341968</v>
      </c>
      <c r="R11" s="20" t="n">
        <v>0.26565603</v>
      </c>
    </row>
    <row r="12" spans="1:18">
      <c r="A12" s="15" t="s">
        <v>572</v>
      </c>
      <c r="B12" s="17" t="n">
        <v>3472</v>
      </c>
      <c r="C12" s="18">
        <f>(3045.0/B12*100)</f>
        <v/>
      </c>
      <c r="D12" s="19" t="n">
        <v>427</v>
      </c>
      <c r="E12" s="18" t="n">
        <v>30.28532239</v>
      </c>
      <c r="F12" s="20" t="n">
        <v>3.13090883</v>
      </c>
      <c r="G12" s="18" t="n">
        <v>68.72261779999999</v>
      </c>
      <c r="H12" s="20" t="n">
        <v>3.50908725</v>
      </c>
      <c r="I12" s="18" t="s">
        <v>567</v>
      </c>
      <c r="J12" s="20" t="s">
        <v>567</v>
      </c>
      <c r="K12" s="18" t="n">
        <v>0.60050777</v>
      </c>
      <c r="L12" s="20" t="n">
        <v>0.52467404</v>
      </c>
      <c r="M12" s="18" t="n">
        <v>0</v>
      </c>
      <c r="N12" s="20" t="n">
        <v>0</v>
      </c>
      <c r="O12" s="18" t="n">
        <v>0</v>
      </c>
      <c r="P12" s="20" t="n">
        <v>0</v>
      </c>
      <c r="Q12" s="18" t="n">
        <v>0.39155203</v>
      </c>
      <c r="R12" s="20" t="n">
        <v>0.38433523</v>
      </c>
    </row>
    <row r="13" spans="1:18">
      <c r="A13" s="15" t="s">
        <v>573</v>
      </c>
      <c r="B13" s="17" t="n">
        <v>3559</v>
      </c>
      <c r="C13" s="18">
        <f>(3039.0/B13*100)</f>
        <v/>
      </c>
      <c r="D13" s="19" t="n">
        <v>520</v>
      </c>
      <c r="E13" s="18" t="n">
        <v>24.5085336</v>
      </c>
      <c r="F13" s="20" t="n">
        <v>2.06886937</v>
      </c>
      <c r="G13" s="18" t="n">
        <v>73.62521904</v>
      </c>
      <c r="H13" s="20" t="n">
        <v>2.19101274</v>
      </c>
      <c r="I13" s="18" t="s">
        <v>567</v>
      </c>
      <c r="J13" s="20" t="s">
        <v>567</v>
      </c>
      <c r="K13" s="18" t="n">
        <v>1.62396877</v>
      </c>
      <c r="L13" s="20" t="n">
        <v>0.75781843</v>
      </c>
      <c r="M13" s="18" t="n">
        <v>0</v>
      </c>
      <c r="N13" s="20" t="n">
        <v>0</v>
      </c>
      <c r="O13" s="18" t="n">
        <v>0</v>
      </c>
      <c r="P13" s="20" t="n">
        <v>0</v>
      </c>
      <c r="Q13" s="18" t="n">
        <v>0.2422786</v>
      </c>
      <c r="R13" s="20" t="n">
        <v>0.17020441</v>
      </c>
    </row>
    <row r="14" spans="1:18">
      <c r="A14" s="15" t="s">
        <v>574</v>
      </c>
      <c r="B14" s="17" t="n">
        <v>2799</v>
      </c>
      <c r="C14" s="18">
        <f>(2469.0/B14*100)</f>
        <v/>
      </c>
      <c r="D14" s="19" t="n">
        <v>330</v>
      </c>
      <c r="E14" s="18" t="n">
        <v>37.00128434</v>
      </c>
      <c r="F14" s="20" t="n">
        <v>2.76654165</v>
      </c>
      <c r="G14" s="18" t="n">
        <v>61.91344145</v>
      </c>
      <c r="H14" s="20" t="n">
        <v>2.7901912</v>
      </c>
      <c r="I14" s="18" t="s">
        <v>567</v>
      </c>
      <c r="J14" s="20" t="s">
        <v>567</v>
      </c>
      <c r="K14" s="18" t="n">
        <v>1.08527421</v>
      </c>
      <c r="L14" s="20" t="n">
        <v>0.5611157</v>
      </c>
      <c r="M14" s="18" t="n">
        <v>0</v>
      </c>
      <c r="N14" s="20" t="n">
        <v>0</v>
      </c>
      <c r="O14" s="18" t="n">
        <v>0</v>
      </c>
      <c r="P14" s="20" t="n">
        <v>0</v>
      </c>
      <c r="Q14" s="18" t="n">
        <v>0</v>
      </c>
      <c r="R14" s="20" t="n">
        <v>0</v>
      </c>
    </row>
    <row r="15" spans="1:18">
      <c r="A15" s="15" t="s">
        <v>575</v>
      </c>
      <c r="B15" s="17" t="n">
        <v>3019</v>
      </c>
      <c r="C15" s="18">
        <f>(2674.0/B15*100)</f>
        <v/>
      </c>
      <c r="D15" s="19" t="n">
        <v>345</v>
      </c>
      <c r="E15" s="18" t="n">
        <v>33.36199955</v>
      </c>
      <c r="F15" s="20" t="n">
        <v>3.26530825</v>
      </c>
      <c r="G15" s="18" t="n">
        <v>65.33203107</v>
      </c>
      <c r="H15" s="20" t="n">
        <v>3.25252879</v>
      </c>
      <c r="I15" s="18" t="s">
        <v>567</v>
      </c>
      <c r="J15" s="20" t="s">
        <v>567</v>
      </c>
      <c r="K15" s="18" t="n">
        <v>1.30596938</v>
      </c>
      <c r="L15" s="20" t="n">
        <v>0.60551224</v>
      </c>
      <c r="M15" s="18" t="n">
        <v>0</v>
      </c>
      <c r="N15" s="20" t="n">
        <v>0</v>
      </c>
      <c r="O15" s="18" t="n">
        <v>0</v>
      </c>
      <c r="P15" s="20" t="n">
        <v>0</v>
      </c>
      <c r="Q15" s="18" t="n">
        <v>0</v>
      </c>
      <c r="R15" s="20" t="n">
        <v>0</v>
      </c>
    </row>
    <row r="16" spans="1:18">
      <c r="A16" s="15" t="s">
        <v>576</v>
      </c>
      <c r="B16" s="17" t="n">
        <v>2997</v>
      </c>
      <c r="C16" s="18">
        <f>(2660.0/B16*100)</f>
        <v/>
      </c>
      <c r="D16" s="19" t="n">
        <v>337</v>
      </c>
      <c r="E16" s="18" t="n">
        <v>31.06720073</v>
      </c>
      <c r="F16" s="20" t="n">
        <v>2.58501399</v>
      </c>
      <c r="G16" s="18" t="n">
        <v>64.06884906000001</v>
      </c>
      <c r="H16" s="20" t="n">
        <v>2.66343475</v>
      </c>
      <c r="I16" s="18" t="s">
        <v>567</v>
      </c>
      <c r="J16" s="20" t="s">
        <v>567</v>
      </c>
      <c r="K16" s="18" t="n">
        <v>3.96428607</v>
      </c>
      <c r="L16" s="20" t="n">
        <v>1.06223892</v>
      </c>
      <c r="M16" s="18" t="n">
        <v>0</v>
      </c>
      <c r="N16" s="20" t="n">
        <v>0</v>
      </c>
      <c r="O16" s="18" t="n">
        <v>0</v>
      </c>
      <c r="P16" s="20" t="n">
        <v>0</v>
      </c>
      <c r="Q16" s="18" t="n">
        <v>0.8996641399999999</v>
      </c>
      <c r="R16" s="20" t="n">
        <v>0.52224136</v>
      </c>
    </row>
    <row r="17" spans="1:18">
      <c r="A17" s="15" t="s">
        <v>577</v>
      </c>
      <c r="B17" s="17" t="n">
        <v>3307</v>
      </c>
      <c r="C17" s="18">
        <f>(2890.0/B17*100)</f>
        <v/>
      </c>
      <c r="D17" s="19" t="n">
        <v>417</v>
      </c>
      <c r="E17" s="18" t="n">
        <v>22.29711658</v>
      </c>
      <c r="F17" s="20" t="n">
        <v>1.84263861</v>
      </c>
      <c r="G17" s="18" t="n">
        <v>73.33083411</v>
      </c>
      <c r="H17" s="20" t="n">
        <v>2.1335546</v>
      </c>
      <c r="I17" s="18" t="s">
        <v>567</v>
      </c>
      <c r="J17" s="20" t="s">
        <v>567</v>
      </c>
      <c r="K17" s="18" t="n">
        <v>3.216846</v>
      </c>
      <c r="L17" s="20" t="n">
        <v>1.1587819</v>
      </c>
      <c r="M17" s="18" t="n">
        <v>0</v>
      </c>
      <c r="N17" s="20" t="n">
        <v>0</v>
      </c>
      <c r="O17" s="18" t="n">
        <v>0</v>
      </c>
      <c r="P17" s="20" t="n">
        <v>0</v>
      </c>
      <c r="Q17" s="18" t="n">
        <v>1.15520331</v>
      </c>
      <c r="R17" s="20" t="n">
        <v>0.6126832</v>
      </c>
    </row>
    <row r="18" spans="1:18">
      <c r="A18" s="15" t="s">
        <v>578</v>
      </c>
      <c r="B18" s="17" t="n">
        <v>2826</v>
      </c>
      <c r="C18" s="18">
        <f>(2505.0/B18*100)</f>
        <v/>
      </c>
      <c r="D18" s="19" t="n">
        <v>321</v>
      </c>
      <c r="E18" s="18" t="n">
        <v>37.73835154</v>
      </c>
      <c r="F18" s="20" t="n">
        <v>2.79076234</v>
      </c>
      <c r="G18" s="18" t="n">
        <v>60.62396162</v>
      </c>
      <c r="H18" s="20" t="n">
        <v>2.85181297</v>
      </c>
      <c r="I18" s="18" t="s">
        <v>567</v>
      </c>
      <c r="J18" s="20" t="s">
        <v>567</v>
      </c>
      <c r="K18" s="18" t="n">
        <v>1.34691781</v>
      </c>
      <c r="L18" s="20" t="n">
        <v>0.58910909</v>
      </c>
      <c r="M18" s="18" t="n">
        <v>0</v>
      </c>
      <c r="N18" s="20" t="n">
        <v>0</v>
      </c>
      <c r="O18" s="18" t="n">
        <v>0</v>
      </c>
      <c r="P18" s="20" t="n">
        <v>0</v>
      </c>
      <c r="Q18" s="18" t="n">
        <v>0.29076902</v>
      </c>
      <c r="R18" s="20" t="n">
        <v>0.29180418</v>
      </c>
    </row>
    <row r="19" spans="1:18">
      <c r="A19" s="15" t="s">
        <v>579</v>
      </c>
      <c r="B19" s="17" t="n">
        <v>2808</v>
      </c>
      <c r="C19" s="18">
        <f>(2503.0/B19*100)</f>
        <v/>
      </c>
      <c r="D19" s="19" t="n">
        <v>305</v>
      </c>
      <c r="E19" s="18" t="n">
        <v>31.22164533</v>
      </c>
      <c r="F19" s="20" t="n">
        <v>2.73247982</v>
      </c>
      <c r="G19" s="18" t="n">
        <v>68.77835467</v>
      </c>
      <c r="H19" s="20" t="n">
        <v>2.73247982</v>
      </c>
      <c r="I19" s="18" t="s">
        <v>567</v>
      </c>
      <c r="J19" s="20" t="s">
        <v>567</v>
      </c>
      <c r="K19" s="18" t="n">
        <v>0</v>
      </c>
      <c r="L19" s="20" t="n">
        <v>0</v>
      </c>
      <c r="M19" s="18" t="n">
        <v>0</v>
      </c>
      <c r="N19" s="20" t="n">
        <v>0</v>
      </c>
      <c r="O19" s="18" t="n">
        <v>0</v>
      </c>
      <c r="P19" s="20" t="n">
        <v>0</v>
      </c>
      <c r="Q19" s="18" t="n">
        <v>0</v>
      </c>
      <c r="R19" s="20" t="n">
        <v>0</v>
      </c>
    </row>
    <row r="20" spans="1:18">
      <c r="A20" s="15" t="s">
        <v>580</v>
      </c>
      <c r="B20" s="17" t="n">
        <v>1630</v>
      </c>
      <c r="C20" s="18">
        <f>(1469.0/B20*100)</f>
        <v/>
      </c>
      <c r="D20" s="19" t="n">
        <v>161</v>
      </c>
      <c r="E20" s="18" t="n">
        <v>48.71864306</v>
      </c>
      <c r="F20" s="20" t="n">
        <v>3.65467128</v>
      </c>
      <c r="G20" s="18" t="n">
        <v>50.75727278</v>
      </c>
      <c r="H20" s="20" t="n">
        <v>3.54578038</v>
      </c>
      <c r="I20" s="18" t="s">
        <v>567</v>
      </c>
      <c r="J20" s="20" t="s">
        <v>567</v>
      </c>
      <c r="K20" s="18" t="n">
        <v>0.52408416</v>
      </c>
      <c r="L20" s="20" t="n">
        <v>0.52583496</v>
      </c>
      <c r="M20" s="18" t="n">
        <v>0</v>
      </c>
      <c r="N20" s="20" t="n">
        <v>0</v>
      </c>
      <c r="O20" s="18" t="n">
        <v>0</v>
      </c>
      <c r="P20" s="20" t="n">
        <v>0</v>
      </c>
      <c r="Q20" s="18" t="n">
        <v>0</v>
      </c>
      <c r="R20" s="20" t="n">
        <v>0</v>
      </c>
    </row>
    <row r="21" spans="1:18">
      <c r="A21" s="15" t="s">
        <v>581</v>
      </c>
      <c r="B21" s="17" t="n">
        <v>2908</v>
      </c>
      <c r="C21" s="18">
        <f>(2579.0/B21*100)</f>
        <v/>
      </c>
      <c r="D21" s="19" t="n">
        <v>329</v>
      </c>
      <c r="E21" s="18" t="n">
        <v>30.27345116</v>
      </c>
      <c r="F21" s="20" t="n">
        <v>2.58814331</v>
      </c>
      <c r="G21" s="18" t="n">
        <v>68.21409302000001</v>
      </c>
      <c r="H21" s="20" t="n">
        <v>2.69242966</v>
      </c>
      <c r="I21" s="18" t="s">
        <v>567</v>
      </c>
      <c r="J21" s="20" t="s">
        <v>567</v>
      </c>
      <c r="K21" s="18" t="n">
        <v>1.19977542</v>
      </c>
      <c r="L21" s="20" t="n">
        <v>0.60509231</v>
      </c>
      <c r="M21" s="18" t="n">
        <v>0</v>
      </c>
      <c r="N21" s="20" t="n">
        <v>0</v>
      </c>
      <c r="O21" s="18" t="n">
        <v>0</v>
      </c>
      <c r="P21" s="20" t="n">
        <v>0</v>
      </c>
      <c r="Q21" s="18" t="n">
        <v>0.31268039</v>
      </c>
      <c r="R21" s="20" t="n">
        <v>0.44984267</v>
      </c>
    </row>
    <row r="22" spans="1:18">
      <c r="A22" s="15" t="s">
        <v>582</v>
      </c>
      <c r="B22" s="17" t="n">
        <v>2931</v>
      </c>
      <c r="C22" s="18">
        <f>(2604.0/B22*100)</f>
        <v/>
      </c>
      <c r="D22" s="19" t="n">
        <v>327</v>
      </c>
      <c r="E22" s="18" t="n">
        <v>44.59685646</v>
      </c>
      <c r="F22" s="20" t="n">
        <v>2.99152741</v>
      </c>
      <c r="G22" s="18" t="n">
        <v>53.53507458</v>
      </c>
      <c r="H22" s="20" t="n">
        <v>2.8556092</v>
      </c>
      <c r="I22" s="18" t="s">
        <v>567</v>
      </c>
      <c r="J22" s="20" t="s">
        <v>567</v>
      </c>
      <c r="K22" s="18" t="n">
        <v>1.86806896</v>
      </c>
      <c r="L22" s="20" t="n">
        <v>0.9239581</v>
      </c>
      <c r="M22" s="18" t="n">
        <v>0</v>
      </c>
      <c r="N22" s="20" t="n">
        <v>0</v>
      </c>
      <c r="O22" s="18" t="n">
        <v>0</v>
      </c>
      <c r="P22" s="20" t="n">
        <v>0</v>
      </c>
      <c r="Q22" s="18" t="n">
        <v>0</v>
      </c>
      <c r="R22" s="20" t="n">
        <v>0</v>
      </c>
    </row>
    <row r="23" spans="1:18">
      <c r="A23" s="15" t="s">
        <v>583</v>
      </c>
      <c r="B23" s="17" t="n">
        <v>5791</v>
      </c>
      <c r="C23" s="18">
        <f>(5161.0/B23*100)</f>
        <v/>
      </c>
      <c r="D23" s="19" t="n">
        <v>630</v>
      </c>
      <c r="E23" s="18" t="n">
        <v>32.09429716</v>
      </c>
      <c r="F23" s="20" t="n">
        <v>2.58986815</v>
      </c>
      <c r="G23" s="18" t="n">
        <v>66.41754231</v>
      </c>
      <c r="H23" s="20" t="n">
        <v>2.48299875</v>
      </c>
      <c r="I23" s="18" t="s">
        <v>567</v>
      </c>
      <c r="J23" s="20" t="s">
        <v>567</v>
      </c>
      <c r="K23" s="18" t="n">
        <v>1.0057014</v>
      </c>
      <c r="L23" s="20" t="n">
        <v>0.58492378</v>
      </c>
      <c r="M23" s="18" t="n">
        <v>0</v>
      </c>
      <c r="N23" s="20" t="n">
        <v>0</v>
      </c>
      <c r="O23" s="18" t="n">
        <v>0</v>
      </c>
      <c r="P23" s="20" t="n">
        <v>0</v>
      </c>
      <c r="Q23" s="18" t="n">
        <v>0.48245914</v>
      </c>
      <c r="R23" s="20" t="n">
        <v>0.42103037</v>
      </c>
    </row>
    <row r="24" spans="1:18">
      <c r="A24" s="15" t="s">
        <v>584</v>
      </c>
      <c r="B24" s="17" t="n">
        <v>3338</v>
      </c>
      <c r="C24" s="18">
        <f>(2980.0/B24*100)</f>
        <v/>
      </c>
      <c r="D24" s="19" t="n">
        <v>358</v>
      </c>
      <c r="E24" s="18" t="n">
        <v>13.8645376</v>
      </c>
      <c r="F24" s="20" t="n">
        <v>1.74551125</v>
      </c>
      <c r="G24" s="18" t="n">
        <v>84.69856254</v>
      </c>
      <c r="H24" s="20" t="n">
        <v>1.99083217</v>
      </c>
      <c r="I24" s="18" t="s">
        <v>567</v>
      </c>
      <c r="J24" s="20" t="s">
        <v>567</v>
      </c>
      <c r="K24" s="18" t="n">
        <v>1.15900299</v>
      </c>
      <c r="L24" s="20" t="n">
        <v>0.5673554</v>
      </c>
      <c r="M24" s="18" t="n">
        <v>0</v>
      </c>
      <c r="N24" s="20" t="n">
        <v>0</v>
      </c>
      <c r="O24" s="18" t="n">
        <v>0</v>
      </c>
      <c r="P24" s="20" t="n">
        <v>0</v>
      </c>
      <c r="Q24" s="18" t="n">
        <v>0.27789687</v>
      </c>
      <c r="R24" s="20" t="n">
        <v>0.27491159</v>
      </c>
    </row>
    <row r="25" spans="1:18">
      <c r="A25" s="15" t="s">
        <v>585</v>
      </c>
      <c r="B25" s="17" t="n">
        <v>2912</v>
      </c>
      <c r="C25" s="18">
        <f>(2607.0/B25*100)</f>
        <v/>
      </c>
      <c r="D25" s="19" t="n">
        <v>305</v>
      </c>
      <c r="E25" s="18" t="n">
        <v>39.95846408</v>
      </c>
      <c r="F25" s="20" t="n">
        <v>2.8415319</v>
      </c>
      <c r="G25" s="18" t="n">
        <v>59.76374544</v>
      </c>
      <c r="H25" s="20" t="n">
        <v>2.88294453</v>
      </c>
      <c r="I25" s="18" t="s">
        <v>567</v>
      </c>
      <c r="J25" s="20" t="s">
        <v>567</v>
      </c>
      <c r="K25" s="18" t="n">
        <v>0.27779048</v>
      </c>
      <c r="L25" s="20" t="n">
        <v>0.28180144</v>
      </c>
      <c r="M25" s="18" t="n">
        <v>0</v>
      </c>
      <c r="N25" s="20" t="n">
        <v>0</v>
      </c>
      <c r="O25" s="18" t="n">
        <v>0</v>
      </c>
      <c r="P25" s="20" t="n">
        <v>0</v>
      </c>
      <c r="Q25" s="18" t="n">
        <v>0</v>
      </c>
      <c r="R25" s="20" t="n">
        <v>0</v>
      </c>
    </row>
    <row r="26" spans="1:18">
      <c r="A26" s="15" t="s">
        <v>586</v>
      </c>
      <c r="B26" s="17" t="n">
        <v>2450</v>
      </c>
      <c r="C26" s="18">
        <f>(2184.0/B26*100)</f>
        <v/>
      </c>
      <c r="D26" s="19" t="n">
        <v>266</v>
      </c>
      <c r="E26" s="18" t="n">
        <v>30.77827478</v>
      </c>
      <c r="F26" s="20" t="n">
        <v>3.22988299</v>
      </c>
      <c r="G26" s="18" t="n">
        <v>68.79026327</v>
      </c>
      <c r="H26" s="20" t="n">
        <v>3.29894875</v>
      </c>
      <c r="I26" s="18" t="s">
        <v>567</v>
      </c>
      <c r="J26" s="20" t="s">
        <v>567</v>
      </c>
      <c r="K26" s="18" t="n">
        <v>0.43146195</v>
      </c>
      <c r="L26" s="20" t="n">
        <v>0.43255955</v>
      </c>
      <c r="M26" s="18" t="n">
        <v>0</v>
      </c>
      <c r="N26" s="20" t="n">
        <v>0</v>
      </c>
      <c r="O26" s="18" t="n">
        <v>0</v>
      </c>
      <c r="P26" s="20" t="n">
        <v>0</v>
      </c>
      <c r="Q26" s="18" t="n">
        <v>0</v>
      </c>
      <c r="R26" s="20" t="n">
        <v>0</v>
      </c>
    </row>
    <row r="27" spans="1:18">
      <c r="A27" s="15" t="s">
        <v>587</v>
      </c>
      <c r="B27" s="17" t="n">
        <v>2616</v>
      </c>
      <c r="C27" s="18">
        <f>(2328.0/B27*100)</f>
        <v/>
      </c>
      <c r="D27" s="19" t="n">
        <v>288</v>
      </c>
      <c r="E27" s="18" t="n">
        <v>35.00695949</v>
      </c>
      <c r="F27" s="20" t="n">
        <v>2.72393099</v>
      </c>
      <c r="G27" s="18" t="n">
        <v>63.61240721</v>
      </c>
      <c r="H27" s="20" t="n">
        <v>2.72574139</v>
      </c>
      <c r="I27" s="18" t="s">
        <v>567</v>
      </c>
      <c r="J27" s="20" t="s">
        <v>567</v>
      </c>
      <c r="K27" s="18" t="n">
        <v>1.38063329</v>
      </c>
      <c r="L27" s="20" t="n">
        <v>0.69394872</v>
      </c>
      <c r="M27" s="18" t="n">
        <v>0</v>
      </c>
      <c r="N27" s="20" t="n">
        <v>0</v>
      </c>
      <c r="O27" s="18" t="n">
        <v>0</v>
      </c>
      <c r="P27" s="20" t="n">
        <v>0</v>
      </c>
      <c r="Q27" s="18" t="n">
        <v>0</v>
      </c>
      <c r="R27" s="20" t="n">
        <v>0</v>
      </c>
    </row>
    <row r="28" spans="1:18">
      <c r="A28" s="15" t="s">
        <v>588</v>
      </c>
      <c r="B28" s="17" t="n">
        <v>3765</v>
      </c>
      <c r="C28" s="18">
        <f>(3414.0/B28*100)</f>
        <v/>
      </c>
      <c r="D28" s="19" t="n">
        <v>351</v>
      </c>
      <c r="E28" s="18" t="n">
        <v>41.30968652</v>
      </c>
      <c r="F28" s="20" t="n">
        <v>3.3418512</v>
      </c>
      <c r="G28" s="18" t="n">
        <v>56.75051398</v>
      </c>
      <c r="H28" s="20" t="n">
        <v>3.37083762</v>
      </c>
      <c r="I28" s="18" t="s">
        <v>567</v>
      </c>
      <c r="J28" s="20" t="s">
        <v>567</v>
      </c>
      <c r="K28" s="18" t="n">
        <v>1.69898499</v>
      </c>
      <c r="L28" s="20" t="n">
        <v>0.84089918</v>
      </c>
      <c r="M28" s="18" t="n">
        <v>0</v>
      </c>
      <c r="N28" s="20" t="n">
        <v>0</v>
      </c>
      <c r="O28" s="18" t="n">
        <v>0</v>
      </c>
      <c r="P28" s="20" t="n">
        <v>0</v>
      </c>
      <c r="Q28" s="18" t="n">
        <v>0.2408145</v>
      </c>
      <c r="R28" s="20" t="n">
        <v>0.23650484</v>
      </c>
    </row>
    <row r="29" spans="1:18">
      <c r="A29" s="15" t="s">
        <v>589</v>
      </c>
      <c r="B29" s="17" t="n">
        <v>2685</v>
      </c>
      <c r="C29" s="18">
        <f>(2315.0/B29*100)</f>
        <v/>
      </c>
      <c r="D29" s="19" t="n">
        <v>370</v>
      </c>
      <c r="E29" s="18" t="n">
        <v>38.85519022</v>
      </c>
      <c r="F29" s="20" t="n">
        <v>2.37502757</v>
      </c>
      <c r="G29" s="18" t="n">
        <v>59.62794334</v>
      </c>
      <c r="H29" s="20" t="n">
        <v>2.39314752</v>
      </c>
      <c r="I29" s="18" t="s">
        <v>567</v>
      </c>
      <c r="J29" s="20" t="s">
        <v>567</v>
      </c>
      <c r="K29" s="18" t="n">
        <v>0.7872018</v>
      </c>
      <c r="L29" s="20" t="n">
        <v>0.4385251</v>
      </c>
      <c r="M29" s="18" t="n">
        <v>0</v>
      </c>
      <c r="N29" s="20" t="n">
        <v>0</v>
      </c>
      <c r="O29" s="18" t="n">
        <v>0</v>
      </c>
      <c r="P29" s="20" t="n">
        <v>0</v>
      </c>
      <c r="Q29" s="18" t="n">
        <v>0.72966464</v>
      </c>
      <c r="R29" s="20" t="n">
        <v>0.45022147</v>
      </c>
    </row>
    <row r="30" spans="1:18">
      <c r="A30" s="15" t="s">
        <v>590</v>
      </c>
      <c r="B30" s="17" t="n">
        <v>2263</v>
      </c>
      <c r="C30" s="18">
        <f>(2013.0/B30*100)</f>
        <v/>
      </c>
      <c r="D30" s="19" t="n">
        <v>250</v>
      </c>
      <c r="E30" s="18" t="n">
        <v>28.75838468</v>
      </c>
      <c r="F30" s="20" t="n">
        <v>2.40884972</v>
      </c>
      <c r="G30" s="18" t="n">
        <v>68.78328042</v>
      </c>
      <c r="H30" s="20" t="n">
        <v>2.52904629</v>
      </c>
      <c r="I30" s="18" t="s">
        <v>567</v>
      </c>
      <c r="J30" s="20" t="s">
        <v>567</v>
      </c>
      <c r="K30" s="18" t="n">
        <v>1.6494411</v>
      </c>
      <c r="L30" s="20" t="n">
        <v>0.87443724</v>
      </c>
      <c r="M30" s="18" t="n">
        <v>0</v>
      </c>
      <c r="N30" s="20" t="n">
        <v>0</v>
      </c>
      <c r="O30" s="18" t="n">
        <v>0</v>
      </c>
      <c r="P30" s="20" t="n">
        <v>0</v>
      </c>
      <c r="Q30" s="18" t="n">
        <v>0.8088938</v>
      </c>
      <c r="R30" s="20" t="n">
        <v>0.59271834</v>
      </c>
    </row>
    <row r="31" spans="1:18">
      <c r="A31" s="15" t="s">
        <v>591</v>
      </c>
      <c r="B31" s="17" t="n">
        <v>2750</v>
      </c>
      <c r="C31" s="18">
        <f>(2455.0/B31*100)</f>
        <v/>
      </c>
      <c r="D31" s="19" t="n">
        <v>295</v>
      </c>
      <c r="E31" s="18" t="n">
        <v>23.81321863</v>
      </c>
      <c r="F31" s="20" t="n">
        <v>2.32844343</v>
      </c>
      <c r="G31" s="18" t="n">
        <v>73.77631036</v>
      </c>
      <c r="H31" s="20" t="n">
        <v>2.46920064</v>
      </c>
      <c r="I31" s="18" t="s">
        <v>567</v>
      </c>
      <c r="J31" s="20" t="s">
        <v>567</v>
      </c>
      <c r="K31" s="18" t="n">
        <v>1.90361081</v>
      </c>
      <c r="L31" s="20" t="n">
        <v>0.78310581</v>
      </c>
      <c r="M31" s="18" t="n">
        <v>0</v>
      </c>
      <c r="N31" s="20" t="n">
        <v>0</v>
      </c>
      <c r="O31" s="18" t="n">
        <v>0</v>
      </c>
      <c r="P31" s="20" t="n">
        <v>0</v>
      </c>
      <c r="Q31" s="18" t="n">
        <v>0.5068602</v>
      </c>
      <c r="R31" s="20" t="n">
        <v>0.37411558</v>
      </c>
    </row>
    <row r="32" spans="1:18">
      <c r="A32" s="15" t="s">
        <v>592</v>
      </c>
      <c r="B32" s="17" t="n">
        <v>2269</v>
      </c>
      <c r="C32" s="18">
        <f>(2026.0/B32*100)</f>
        <v/>
      </c>
      <c r="D32" s="19" t="n">
        <v>243</v>
      </c>
      <c r="E32" s="18" t="n">
        <v>24.26933149</v>
      </c>
      <c r="F32" s="20" t="n">
        <v>2.8413525</v>
      </c>
      <c r="G32" s="18" t="n">
        <v>75.36453066999999</v>
      </c>
      <c r="H32" s="20" t="n">
        <v>2.90722889</v>
      </c>
      <c r="I32" s="18" t="s">
        <v>567</v>
      </c>
      <c r="J32" s="20" t="s">
        <v>567</v>
      </c>
      <c r="K32" s="18" t="n">
        <v>0.36613784</v>
      </c>
      <c r="L32" s="20" t="n">
        <v>0.35763378</v>
      </c>
      <c r="M32" s="18" t="n">
        <v>0</v>
      </c>
      <c r="N32" s="20" t="n">
        <v>0</v>
      </c>
      <c r="O32" s="18" t="n">
        <v>0</v>
      </c>
      <c r="P32" s="20" t="n">
        <v>0</v>
      </c>
      <c r="Q32" s="18" t="n">
        <v>0</v>
      </c>
      <c r="R32" s="20" t="n">
        <v>0</v>
      </c>
    </row>
    <row r="33" spans="1:18">
      <c r="A33" s="15" t="s">
        <v>593</v>
      </c>
      <c r="B33" s="17" t="n">
        <v>3674</v>
      </c>
      <c r="C33" s="18">
        <f>(3305.0/B33*100)</f>
        <v/>
      </c>
      <c r="D33" s="19" t="n">
        <v>369</v>
      </c>
      <c r="E33" s="18" t="n">
        <v>28.83253518</v>
      </c>
      <c r="F33" s="20" t="n">
        <v>2.21940699</v>
      </c>
      <c r="G33" s="18" t="n">
        <v>69.27709305</v>
      </c>
      <c r="H33" s="20" t="n">
        <v>2.5128217</v>
      </c>
      <c r="I33" s="18" t="s">
        <v>567</v>
      </c>
      <c r="J33" s="20" t="s">
        <v>567</v>
      </c>
      <c r="K33" s="18" t="n">
        <v>1.8686203</v>
      </c>
      <c r="L33" s="20" t="n">
        <v>1.0584516</v>
      </c>
      <c r="M33" s="18" t="n">
        <v>0</v>
      </c>
      <c r="N33" s="20" t="n">
        <v>0</v>
      </c>
      <c r="O33" s="18" t="n">
        <v>0</v>
      </c>
      <c r="P33" s="20" t="n">
        <v>0</v>
      </c>
      <c r="Q33" s="18" t="n">
        <v>0.02175146</v>
      </c>
      <c r="R33" s="20" t="n">
        <v>0.02183933</v>
      </c>
    </row>
    <row r="34" spans="1:18">
      <c r="A34" s="15" t="s">
        <v>594</v>
      </c>
      <c r="B34" s="17" t="n">
        <v>3315</v>
      </c>
      <c r="C34" s="18">
        <f>(2908.0/B34*100)</f>
        <v/>
      </c>
      <c r="D34" s="19" t="n">
        <v>407</v>
      </c>
      <c r="E34" s="18" t="n">
        <v>50.27614547</v>
      </c>
      <c r="F34" s="20" t="n">
        <v>3.40560012</v>
      </c>
      <c r="G34" s="18" t="n">
        <v>48.18286525</v>
      </c>
      <c r="H34" s="20" t="n">
        <v>3.50803186</v>
      </c>
      <c r="I34" s="18" t="s">
        <v>567</v>
      </c>
      <c r="J34" s="20" t="s">
        <v>567</v>
      </c>
      <c r="K34" s="18" t="n">
        <v>0.55187626</v>
      </c>
      <c r="L34" s="20" t="n">
        <v>0.40776779</v>
      </c>
      <c r="M34" s="18" t="n">
        <v>0</v>
      </c>
      <c r="N34" s="20" t="n">
        <v>0</v>
      </c>
      <c r="O34" s="18" t="n">
        <v>0</v>
      </c>
      <c r="P34" s="20" t="n">
        <v>0</v>
      </c>
      <c r="Q34" s="18" t="n">
        <v>0.98911302</v>
      </c>
      <c r="R34" s="20" t="n">
        <v>0.4301722</v>
      </c>
    </row>
    <row r="35" spans="1:18">
      <c r="A35" s="15" t="s">
        <v>595</v>
      </c>
      <c r="B35" s="17" t="n">
        <v>3505</v>
      </c>
      <c r="C35" s="18">
        <f>(3019.0/B35*100)</f>
        <v/>
      </c>
      <c r="D35" s="19" t="n">
        <v>486</v>
      </c>
      <c r="E35" s="18" t="n">
        <v>34.29582325</v>
      </c>
      <c r="F35" s="20" t="n">
        <v>2.56358742</v>
      </c>
      <c r="G35" s="18" t="n">
        <v>65.60364018</v>
      </c>
      <c r="H35" s="20" t="n">
        <v>2.57497491</v>
      </c>
      <c r="I35" s="18" t="s">
        <v>567</v>
      </c>
      <c r="J35" s="20" t="s">
        <v>567</v>
      </c>
      <c r="K35" s="18" t="n">
        <v>0</v>
      </c>
      <c r="L35" s="20" t="n">
        <v>0</v>
      </c>
      <c r="M35" s="18" t="n">
        <v>0</v>
      </c>
      <c r="N35" s="20" t="n">
        <v>0</v>
      </c>
      <c r="O35" s="18" t="n">
        <v>0</v>
      </c>
      <c r="P35" s="20" t="n">
        <v>0</v>
      </c>
      <c r="Q35" s="18" t="n">
        <v>0.10053657</v>
      </c>
      <c r="R35" s="20" t="n">
        <v>0.10076372</v>
      </c>
    </row>
    <row r="36" spans="1:18">
      <c r="A36" s="15" t="s">
        <v>596</v>
      </c>
      <c r="B36" s="17" t="n">
        <v>3332</v>
      </c>
      <c r="C36" s="18">
        <f>(2966.0/B36*100)</f>
        <v/>
      </c>
      <c r="D36" s="19" t="n">
        <v>366</v>
      </c>
      <c r="E36" s="18" t="n">
        <v>24.73581524</v>
      </c>
      <c r="F36" s="20" t="n">
        <v>2.51673388</v>
      </c>
      <c r="G36" s="18" t="n">
        <v>73.48523935</v>
      </c>
      <c r="H36" s="20" t="n">
        <v>2.46784669</v>
      </c>
      <c r="I36" s="18" t="s">
        <v>567</v>
      </c>
      <c r="J36" s="20" t="s">
        <v>567</v>
      </c>
      <c r="K36" s="18" t="n">
        <v>1.77894541</v>
      </c>
      <c r="L36" s="20" t="n">
        <v>0.76262607</v>
      </c>
      <c r="M36" s="18" t="n">
        <v>0</v>
      </c>
      <c r="N36" s="20" t="n">
        <v>0</v>
      </c>
      <c r="O36" s="18" t="n">
        <v>0</v>
      </c>
      <c r="P36" s="20" t="n">
        <v>0</v>
      </c>
      <c r="Q36" s="18" t="n">
        <v>0</v>
      </c>
      <c r="R36" s="20" t="n">
        <v>0</v>
      </c>
    </row>
    <row r="37" spans="1:18">
      <c r="A37" s="15" t="s">
        <v>597</v>
      </c>
      <c r="B37" s="17" t="n">
        <v>2727</v>
      </c>
      <c r="C37" s="18">
        <f>(2429.0/B37*100)</f>
        <v/>
      </c>
      <c r="D37" s="19" t="n">
        <v>298</v>
      </c>
      <c r="E37" s="18" t="n">
        <v>44.83507573</v>
      </c>
      <c r="F37" s="20" t="n">
        <v>3.18058349</v>
      </c>
      <c r="G37" s="18" t="n">
        <v>51.60514687</v>
      </c>
      <c r="H37" s="20" t="n">
        <v>3.24728375</v>
      </c>
      <c r="I37" s="18" t="s">
        <v>567</v>
      </c>
      <c r="J37" s="20" t="s">
        <v>567</v>
      </c>
      <c r="K37" s="18" t="n">
        <v>2.11792855</v>
      </c>
      <c r="L37" s="20" t="n">
        <v>1.01567343</v>
      </c>
      <c r="M37" s="18" t="n">
        <v>0</v>
      </c>
      <c r="N37" s="20" t="n">
        <v>0</v>
      </c>
      <c r="O37" s="18" t="n">
        <v>0</v>
      </c>
      <c r="P37" s="20" t="n">
        <v>0</v>
      </c>
      <c r="Q37" s="18" t="n">
        <v>1.44184885</v>
      </c>
      <c r="R37" s="20" t="n">
        <v>0.63624787</v>
      </c>
    </row>
    <row r="38" spans="1:18">
      <c r="A38" s="15" t="s">
        <v>598</v>
      </c>
      <c r="B38" s="17" t="n">
        <v>3053</v>
      </c>
      <c r="C38" s="18">
        <f>(2727.0/B38*100)</f>
        <v/>
      </c>
      <c r="D38" s="19" t="n">
        <v>326</v>
      </c>
      <c r="E38" s="18" t="n">
        <v>30.84273217</v>
      </c>
      <c r="F38" s="20" t="n">
        <v>3.08466828</v>
      </c>
      <c r="G38" s="18" t="n">
        <v>67.75842741</v>
      </c>
      <c r="H38" s="20" t="n">
        <v>3.28592272</v>
      </c>
      <c r="I38" s="18" t="s">
        <v>567</v>
      </c>
      <c r="J38" s="20" t="s">
        <v>567</v>
      </c>
      <c r="K38" s="18" t="n">
        <v>0.8154425</v>
      </c>
      <c r="L38" s="20" t="n">
        <v>0.54275795</v>
      </c>
      <c r="M38" s="18" t="n">
        <v>0</v>
      </c>
      <c r="N38" s="20" t="n">
        <v>0</v>
      </c>
      <c r="O38" s="18" t="n">
        <v>0</v>
      </c>
      <c r="P38" s="20" t="n">
        <v>0</v>
      </c>
      <c r="Q38" s="18" t="n">
        <v>0.58339793</v>
      </c>
      <c r="R38" s="20" t="n">
        <v>0.82423143</v>
      </c>
    </row>
    <row r="39" spans="1:18">
      <c r="A39" s="15" t="s">
        <v>599</v>
      </c>
      <c r="B39" s="17" t="n">
        <v>2957</v>
      </c>
      <c r="C39" s="18">
        <f>(2625.0/B39*100)</f>
        <v/>
      </c>
      <c r="D39" s="19" t="n">
        <v>332</v>
      </c>
      <c r="E39" s="18" t="n">
        <v>43.87064757</v>
      </c>
      <c r="F39" s="20" t="n">
        <v>3.60484756</v>
      </c>
      <c r="G39" s="18" t="n">
        <v>54.25168832</v>
      </c>
      <c r="H39" s="20" t="n">
        <v>3.55123769</v>
      </c>
      <c r="I39" s="18" t="s">
        <v>567</v>
      </c>
      <c r="J39" s="20" t="s">
        <v>567</v>
      </c>
      <c r="K39" s="18" t="n">
        <v>0.61992133</v>
      </c>
      <c r="L39" s="20" t="n">
        <v>0.3318051</v>
      </c>
      <c r="M39" s="18" t="n">
        <v>0</v>
      </c>
      <c r="N39" s="20" t="n">
        <v>0</v>
      </c>
      <c r="O39" s="18" t="n">
        <v>0</v>
      </c>
      <c r="P39" s="20" t="n">
        <v>0</v>
      </c>
      <c r="Q39" s="18" t="n">
        <v>1.25774278</v>
      </c>
      <c r="R39" s="20" t="n">
        <v>1.20714633</v>
      </c>
    </row>
    <row r="40" spans="1:18">
      <c r="A40" s="15" t="s">
        <v>600</v>
      </c>
      <c r="B40" s="17" t="n">
        <v>7235</v>
      </c>
      <c r="C40" s="18">
        <f>(6401.0/B40*100)</f>
        <v/>
      </c>
      <c r="D40" s="19" t="n">
        <v>834</v>
      </c>
      <c r="E40" s="18" t="n">
        <v>31.46260974</v>
      </c>
      <c r="F40" s="20" t="n">
        <v>2.63390372</v>
      </c>
      <c r="G40" s="18" t="n">
        <v>66.78088227000001</v>
      </c>
      <c r="H40" s="20" t="n">
        <v>2.5487177</v>
      </c>
      <c r="I40" s="18" t="s">
        <v>567</v>
      </c>
      <c r="J40" s="20" t="s">
        <v>567</v>
      </c>
      <c r="K40" s="18" t="n">
        <v>0.90892726</v>
      </c>
      <c r="L40" s="20" t="n">
        <v>0.38770571</v>
      </c>
      <c r="M40" s="18" t="n">
        <v>0</v>
      </c>
      <c r="N40" s="20" t="n">
        <v>0</v>
      </c>
      <c r="O40" s="18" t="n">
        <v>0</v>
      </c>
      <c r="P40" s="20" t="n">
        <v>0</v>
      </c>
      <c r="Q40" s="18" t="n">
        <v>0.84758073</v>
      </c>
      <c r="R40" s="20" t="n">
        <v>0.60595915</v>
      </c>
    </row>
    <row r="41" spans="1:18">
      <c r="A41" s="15" t="s">
        <v>601</v>
      </c>
      <c r="B41" s="17" t="n">
        <v>2858</v>
      </c>
      <c r="C41" s="18">
        <f>(2515.0/B41*100)</f>
        <v/>
      </c>
      <c r="D41" s="19" t="n">
        <v>343</v>
      </c>
      <c r="E41" s="18" t="n">
        <v>29.29120873</v>
      </c>
      <c r="F41" s="20" t="n">
        <v>2.15906027</v>
      </c>
      <c r="G41" s="18" t="n">
        <v>69.94450673999999</v>
      </c>
      <c r="H41" s="20" t="n">
        <v>2.22439189</v>
      </c>
      <c r="I41" s="18" t="s">
        <v>567</v>
      </c>
      <c r="J41" s="20" t="s">
        <v>567</v>
      </c>
      <c r="K41" s="18" t="n">
        <v>0.76428452</v>
      </c>
      <c r="L41" s="20" t="n">
        <v>0.45739526</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(10239.0/B46*100)</f>
        <v/>
      </c>
      <c r="D46" s="19" t="n">
        <v>829</v>
      </c>
      <c r="E46" s="18" t="n">
        <v>65.64589916</v>
      </c>
      <c r="F46" s="20" t="n">
        <v>2.0266299</v>
      </c>
      <c r="G46" s="18" t="n">
        <v>29.78160007</v>
      </c>
      <c r="H46" s="20" t="n">
        <v>2.10139589</v>
      </c>
      <c r="I46" s="18" t="s">
        <v>567</v>
      </c>
      <c r="J46" s="20" t="s">
        <v>567</v>
      </c>
      <c r="K46" s="18" t="n">
        <v>3.50535187</v>
      </c>
      <c r="L46" s="20" t="n">
        <v>0.91104116</v>
      </c>
      <c r="M46" s="18" t="n">
        <v>0</v>
      </c>
      <c r="N46" s="20" t="n">
        <v>0</v>
      </c>
      <c r="O46" s="18" t="n">
        <v>0</v>
      </c>
      <c r="P46" s="20" t="n">
        <v>0</v>
      </c>
      <c r="Q46" s="18" t="n">
        <v>1.0671489</v>
      </c>
      <c r="R46" s="20" t="n">
        <v>0.45443195</v>
      </c>
    </row>
    <row r="47" spans="1:18">
      <c r="A47" s="15" t="s">
        <v>607</v>
      </c>
      <c r="B47" s="17" t="n">
        <v>3105</v>
      </c>
      <c r="C47" s="18">
        <f>(2770.0/B47*100)</f>
        <v/>
      </c>
      <c r="D47" s="19" t="n">
        <v>335</v>
      </c>
      <c r="E47" s="18" t="n">
        <v>52.93026869</v>
      </c>
      <c r="F47" s="20" t="n">
        <v>2.32547834</v>
      </c>
      <c r="G47" s="18" t="n">
        <v>44.74934522</v>
      </c>
      <c r="H47" s="20" t="n">
        <v>2.28184787</v>
      </c>
      <c r="I47" s="18" t="s">
        <v>567</v>
      </c>
      <c r="J47" s="20" t="s">
        <v>567</v>
      </c>
      <c r="K47" s="18" t="n">
        <v>2.07112044</v>
      </c>
      <c r="L47" s="20" t="n">
        <v>0.83943978</v>
      </c>
      <c r="M47" s="18" t="n">
        <v>0</v>
      </c>
      <c r="N47" s="20" t="n">
        <v>0</v>
      </c>
      <c r="O47" s="18" t="n">
        <v>0</v>
      </c>
      <c r="P47" s="20" t="n">
        <v>0</v>
      </c>
      <c r="Q47" s="18" t="n">
        <v>0.24926565</v>
      </c>
      <c r="R47" s="20" t="n">
        <v>0.24960303</v>
      </c>
    </row>
    <row r="48" spans="1:18">
      <c r="A48" s="15" t="s">
        <v>608</v>
      </c>
      <c r="B48" s="17" t="n">
        <v>5159</v>
      </c>
      <c r="C48" s="18">
        <f>(4615.0/B48*100)</f>
        <v/>
      </c>
      <c r="D48" s="19" t="n">
        <v>544</v>
      </c>
      <c r="E48" s="18" t="n">
        <v>19.70722583</v>
      </c>
      <c r="F48" s="20" t="n">
        <v>2.0970878</v>
      </c>
      <c r="G48" s="18" t="n">
        <v>79.6226173</v>
      </c>
      <c r="H48" s="20" t="n">
        <v>2.0733013</v>
      </c>
      <c r="I48" s="18" t="s">
        <v>567</v>
      </c>
      <c r="J48" s="20" t="s">
        <v>567</v>
      </c>
      <c r="K48" s="18" t="n">
        <v>0.67015687</v>
      </c>
      <c r="L48" s="20" t="n">
        <v>0.47461385</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(5059.0/B50*100)</f>
        <v/>
      </c>
      <c r="D50" s="19" t="n">
        <v>578</v>
      </c>
      <c r="E50" s="18" t="n">
        <v>31.10954914</v>
      </c>
      <c r="F50" s="20" t="n">
        <v>2.53747476</v>
      </c>
      <c r="G50" s="18" t="n">
        <v>66.98507825999999</v>
      </c>
      <c r="H50" s="20" t="n">
        <v>2.56232535</v>
      </c>
      <c r="I50" s="18" t="s">
        <v>567</v>
      </c>
      <c r="J50" s="20" t="s">
        <v>567</v>
      </c>
      <c r="K50" s="18" t="n">
        <v>1.54773096</v>
      </c>
      <c r="L50" s="20" t="n">
        <v>0.62362331</v>
      </c>
      <c r="M50" s="18" t="n">
        <v>0</v>
      </c>
      <c r="N50" s="20" t="n">
        <v>0</v>
      </c>
      <c r="O50" s="18" t="n">
        <v>0</v>
      </c>
      <c r="P50" s="20" t="n">
        <v>0</v>
      </c>
      <c r="Q50" s="18" t="n">
        <v>0.35764164</v>
      </c>
      <c r="R50" s="20" t="n">
        <v>0.35824243</v>
      </c>
    </row>
    <row r="51" spans="1:18">
      <c r="A51" s="15" t="s">
        <v>611</v>
      </c>
      <c r="B51" s="17" t="n">
        <v>3372</v>
      </c>
      <c r="C51" s="18">
        <f>(2693.0/B51*100)</f>
        <v/>
      </c>
      <c r="D51" s="19" t="n">
        <v>679</v>
      </c>
      <c r="E51" s="18" t="n">
        <v>33.01360538</v>
      </c>
      <c r="F51" s="20" t="n">
        <v>2.0032095</v>
      </c>
      <c r="G51" s="18" t="n">
        <v>65.27939532000001</v>
      </c>
      <c r="H51" s="20" t="n">
        <v>2.05476347</v>
      </c>
      <c r="I51" s="18" t="s">
        <v>567</v>
      </c>
      <c r="J51" s="20" t="s">
        <v>567</v>
      </c>
      <c r="K51" s="18" t="n">
        <v>1.12828267</v>
      </c>
      <c r="L51" s="20" t="n">
        <v>0.52783761</v>
      </c>
      <c r="M51" s="18" t="n">
        <v>0</v>
      </c>
      <c r="N51" s="20" t="n">
        <v>0</v>
      </c>
      <c r="O51" s="18" t="n">
        <v>0</v>
      </c>
      <c r="P51" s="20" t="n">
        <v>0</v>
      </c>
      <c r="Q51" s="18" t="n">
        <v>0.57871663</v>
      </c>
      <c r="R51" s="20" t="n">
        <v>0.27556153</v>
      </c>
    </row>
    <row r="52" spans="1:18">
      <c r="A52" s="15" t="s">
        <v>612</v>
      </c>
      <c r="B52" s="17" t="n">
        <v>2796</v>
      </c>
      <c r="C52" s="18">
        <f>(2519.0/B52*100)</f>
        <v/>
      </c>
      <c r="D52" s="19" t="n">
        <v>277</v>
      </c>
      <c r="E52" s="18" t="n">
        <v>29.24877373</v>
      </c>
      <c r="F52" s="20" t="n">
        <v>2.59637873</v>
      </c>
      <c r="G52" s="18" t="n">
        <v>70.75122627</v>
      </c>
      <c r="H52" s="20" t="n">
        <v>2.59637873</v>
      </c>
      <c r="I52" s="18" t="s">
        <v>567</v>
      </c>
      <c r="J52" s="20" t="s">
        <v>567</v>
      </c>
      <c r="K52" s="18" t="n">
        <v>0</v>
      </c>
      <c r="L52" s="20" t="n">
        <v>0</v>
      </c>
      <c r="M52" s="18" t="n">
        <v>0</v>
      </c>
      <c r="N52" s="20" t="n">
        <v>0</v>
      </c>
      <c r="O52" s="18" t="n">
        <v>0</v>
      </c>
      <c r="P52" s="20" t="n">
        <v>0</v>
      </c>
      <c r="Q52" s="18" t="n">
        <v>0</v>
      </c>
      <c r="R52" s="20" t="n">
        <v>0</v>
      </c>
    </row>
    <row r="53" spans="1:18">
      <c r="A53" s="15" t="s">
        <v>613</v>
      </c>
      <c r="B53" s="17" t="n">
        <v>2811</v>
      </c>
      <c r="C53" s="18">
        <f>(2530.0/B53*100)</f>
        <v/>
      </c>
      <c r="D53" s="19" t="n">
        <v>281</v>
      </c>
      <c r="E53" s="18" t="n">
        <v>42.75338345</v>
      </c>
      <c r="F53" s="20" t="n">
        <v>3.44807724</v>
      </c>
      <c r="G53" s="18" t="n">
        <v>54.61379708</v>
      </c>
      <c r="H53" s="20" t="n">
        <v>3.63450207</v>
      </c>
      <c r="I53" s="18" t="s">
        <v>567</v>
      </c>
      <c r="J53" s="20" t="s">
        <v>567</v>
      </c>
      <c r="K53" s="18" t="n">
        <v>1.05674201</v>
      </c>
      <c r="L53" s="20" t="n">
        <v>0.65873229</v>
      </c>
      <c r="M53" s="18" t="n">
        <v>0</v>
      </c>
      <c r="N53" s="20" t="n">
        <v>0</v>
      </c>
      <c r="O53" s="18" t="n">
        <v>0</v>
      </c>
      <c r="P53" s="20" t="n">
        <v>0</v>
      </c>
      <c r="Q53" s="18" t="n">
        <v>1.57607745</v>
      </c>
      <c r="R53" s="20" t="n">
        <v>0.82554969</v>
      </c>
    </row>
    <row r="54" spans="1:18">
      <c r="A54" s="15" t="s">
        <v>614</v>
      </c>
      <c r="B54" s="17" t="n">
        <v>2266</v>
      </c>
      <c r="C54" s="18">
        <f>(2017.0/B54*100)</f>
        <v/>
      </c>
      <c r="D54" s="19" t="n">
        <v>249</v>
      </c>
      <c r="E54" s="18" t="n">
        <v>63.83813243</v>
      </c>
      <c r="F54" s="20" t="n">
        <v>3.36691473</v>
      </c>
      <c r="G54" s="18" t="n">
        <v>17.70098509</v>
      </c>
      <c r="H54" s="20" t="n">
        <v>2.31255743</v>
      </c>
      <c r="I54" s="18" t="s">
        <v>567</v>
      </c>
      <c r="J54" s="20" t="s">
        <v>567</v>
      </c>
      <c r="K54" s="18" t="n">
        <v>17.91077377</v>
      </c>
      <c r="L54" s="20" t="n">
        <v>2.84420804</v>
      </c>
      <c r="M54" s="18" t="n">
        <v>0</v>
      </c>
      <c r="N54" s="20" t="n">
        <v>0</v>
      </c>
      <c r="O54" s="18" t="n">
        <v>0</v>
      </c>
      <c r="P54" s="20" t="n">
        <v>0</v>
      </c>
      <c r="Q54" s="18" t="n">
        <v>0.5501087099999999</v>
      </c>
      <c r="R54" s="20" t="n">
        <v>0.71436185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(2394.0/B56*100)</f>
        <v/>
      </c>
      <c r="D56" s="19" t="n">
        <v>290</v>
      </c>
      <c r="E56" s="18" t="n">
        <v>22.24217433</v>
      </c>
      <c r="F56" s="20" t="n">
        <v>2.40518437</v>
      </c>
      <c r="G56" s="18" t="n">
        <v>77.52592966</v>
      </c>
      <c r="H56" s="20" t="n">
        <v>2.41752611</v>
      </c>
      <c r="I56" s="18" t="s">
        <v>567</v>
      </c>
      <c r="J56" s="20" t="s">
        <v>567</v>
      </c>
      <c r="K56" s="18" t="n">
        <v>0</v>
      </c>
      <c r="L56" s="20" t="n">
        <v>0</v>
      </c>
      <c r="M56" s="18" t="n">
        <v>0</v>
      </c>
      <c r="N56" s="20" t="n">
        <v>0</v>
      </c>
      <c r="O56" s="18" t="n">
        <v>0</v>
      </c>
      <c r="P56" s="20" t="n">
        <v>0</v>
      </c>
      <c r="Q56" s="18" t="n">
        <v>0.23189601</v>
      </c>
      <c r="R56" s="20" t="n">
        <v>0.23258461</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(2998.0/B61*100)</f>
        <v/>
      </c>
      <c r="D61" s="19" t="n">
        <v>326</v>
      </c>
      <c r="E61" s="18" t="n">
        <v>43.51872989</v>
      </c>
      <c r="F61" s="20" t="n">
        <v>3.12654237</v>
      </c>
      <c r="G61" s="18" t="n">
        <v>55.7278748</v>
      </c>
      <c r="H61" s="20" t="n">
        <v>3.17131444</v>
      </c>
      <c r="I61" s="18" t="s">
        <v>567</v>
      </c>
      <c r="J61" s="20" t="s">
        <v>567</v>
      </c>
      <c r="K61" s="18" t="n">
        <v>0.51775369</v>
      </c>
      <c r="L61" s="20" t="n">
        <v>0.45876118</v>
      </c>
      <c r="M61" s="18" t="n">
        <v>0</v>
      </c>
      <c r="N61" s="20" t="n">
        <v>0</v>
      </c>
      <c r="O61" s="18" t="n">
        <v>0</v>
      </c>
      <c r="P61" s="20" t="n">
        <v>0</v>
      </c>
      <c r="Q61" s="18" t="n">
        <v>0.23564162</v>
      </c>
      <c r="R61" s="20" t="n">
        <v>0.24503736</v>
      </c>
    </row>
    <row r="62" spans="1:18">
      <c r="A62" s="15" t="s">
        <v>622</v>
      </c>
      <c r="B62" s="17" t="n">
        <v>2246</v>
      </c>
      <c r="C62" s="18">
        <f>(1999.0/B62*100)</f>
        <v/>
      </c>
      <c r="D62" s="19" t="n">
        <v>247</v>
      </c>
      <c r="E62" s="18" t="n">
        <v>19.42618446</v>
      </c>
      <c r="F62" s="20" t="n">
        <v>2.41508597</v>
      </c>
      <c r="G62" s="18" t="n">
        <v>80.57381554</v>
      </c>
      <c r="H62" s="20" t="n">
        <v>2.41508597</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(2607.0/B66*100)</f>
        <v/>
      </c>
      <c r="D66" s="19" t="n">
        <v>287</v>
      </c>
      <c r="E66" s="18" t="n">
        <v>61.59393188</v>
      </c>
      <c r="F66" s="20" t="n">
        <v>2.85985985</v>
      </c>
      <c r="G66" s="18" t="n">
        <v>35.39230179</v>
      </c>
      <c r="H66" s="20" t="n">
        <v>2.84057416</v>
      </c>
      <c r="I66" s="18" t="s">
        <v>567</v>
      </c>
      <c r="J66" s="20" t="s">
        <v>567</v>
      </c>
      <c r="K66" s="18" t="n">
        <v>1.63172046</v>
      </c>
      <c r="L66" s="20" t="n">
        <v>0.72618967</v>
      </c>
      <c r="M66" s="18" t="n">
        <v>0</v>
      </c>
      <c r="N66" s="20" t="n">
        <v>0</v>
      </c>
      <c r="O66" s="18" t="n">
        <v>0</v>
      </c>
      <c r="P66" s="20" t="n">
        <v>0</v>
      </c>
      <c r="Q66" s="18" t="n">
        <v>1.38204587</v>
      </c>
      <c r="R66" s="20" t="n">
        <v>0.6978088099999999</v>
      </c>
    </row>
    <row r="67" spans="1:18">
      <c r="A67" s="15" t="s">
        <v>627</v>
      </c>
      <c r="B67" s="17" t="n">
        <v>3511</v>
      </c>
      <c r="C67" s="18">
        <f>(3206.0/B67*100)</f>
        <v/>
      </c>
      <c r="D67" s="19" t="n">
        <v>305</v>
      </c>
      <c r="E67" s="18" t="n">
        <v>56.07938537</v>
      </c>
      <c r="F67" s="20" t="n">
        <v>3.19971665</v>
      </c>
      <c r="G67" s="18" t="n">
        <v>43.58662929</v>
      </c>
      <c r="H67" s="20" t="n">
        <v>3.25327992</v>
      </c>
      <c r="I67" s="18" t="s">
        <v>567</v>
      </c>
      <c r="J67" s="20" t="s">
        <v>567</v>
      </c>
      <c r="K67" s="18" t="n">
        <v>0.33398534</v>
      </c>
      <c r="L67" s="20" t="n">
        <v>0.33254967</v>
      </c>
      <c r="M67" s="18" t="n">
        <v>0</v>
      </c>
      <c r="N67" s="20" t="n">
        <v>0</v>
      </c>
      <c r="O67" s="18" t="n">
        <v>0</v>
      </c>
      <c r="P67" s="20" t="n">
        <v>0</v>
      </c>
      <c r="Q67" s="18" t="n">
        <v>0</v>
      </c>
      <c r="R67" s="20" t="n">
        <v>0</v>
      </c>
    </row>
    <row r="68" spans="1:18">
      <c r="A68" s="15" t="s">
        <v>628</v>
      </c>
      <c r="B68" s="17" t="n">
        <v>6049</v>
      </c>
      <c r="C68" s="18">
        <f>(5393.0/B68*100)</f>
        <v/>
      </c>
      <c r="D68" s="19" t="n">
        <v>656</v>
      </c>
      <c r="E68" s="18" t="n">
        <v>49.75186543</v>
      </c>
      <c r="F68" s="20" t="n">
        <v>2.0985148</v>
      </c>
      <c r="G68" s="18" t="n">
        <v>43.68611463</v>
      </c>
      <c r="H68" s="20" t="n">
        <v>2.1639539</v>
      </c>
      <c r="I68" s="18" t="s">
        <v>567</v>
      </c>
      <c r="J68" s="20" t="s">
        <v>567</v>
      </c>
      <c r="K68" s="18" t="n">
        <v>6.2675376</v>
      </c>
      <c r="L68" s="20" t="n">
        <v>0.9303566599999999</v>
      </c>
      <c r="M68" s="18" t="n">
        <v>0</v>
      </c>
      <c r="N68" s="20" t="n">
        <v>0</v>
      </c>
      <c r="O68" s="18" t="n">
        <v>0</v>
      </c>
      <c r="P68" s="20" t="n">
        <v>0</v>
      </c>
      <c r="Q68" s="18" t="n">
        <v>0.29448235</v>
      </c>
      <c r="R68" s="20" t="n">
        <v>0.20934859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(2659.0/B70*100)</f>
        <v/>
      </c>
      <c r="D70" s="19" t="n">
        <v>270</v>
      </c>
      <c r="E70" s="18" t="n">
        <v>32.68351907</v>
      </c>
      <c r="F70" s="20" t="n">
        <v>3.12201914</v>
      </c>
      <c r="G70" s="18" t="n">
        <v>66.07220219</v>
      </c>
      <c r="H70" s="20" t="n">
        <v>2.94254261</v>
      </c>
      <c r="I70" s="18" t="s">
        <v>567</v>
      </c>
      <c r="J70" s="20" t="s">
        <v>567</v>
      </c>
      <c r="K70" s="18" t="n">
        <v>0.83172643</v>
      </c>
      <c r="L70" s="20" t="n">
        <v>0.47399934</v>
      </c>
      <c r="M70" s="18" t="n">
        <v>0</v>
      </c>
      <c r="N70" s="20" t="n">
        <v>0</v>
      </c>
      <c r="O70" s="18" t="n">
        <v>0</v>
      </c>
      <c r="P70" s="20" t="n">
        <v>0</v>
      </c>
      <c r="Q70" s="18" t="n">
        <v>0.41255231</v>
      </c>
      <c r="R70" s="20" t="n">
        <v>0.40235474</v>
      </c>
    </row>
    <row r="71" spans="1:18">
      <c r="A71" s="15" t="s">
        <v>631</v>
      </c>
      <c r="B71" s="17" t="n">
        <v>3142</v>
      </c>
      <c r="C71" s="18">
        <f>(2782.0/B71*100)</f>
        <v/>
      </c>
      <c r="D71" s="19" t="n">
        <v>360</v>
      </c>
      <c r="E71" s="18" t="n">
        <v>31.75053253</v>
      </c>
      <c r="F71" s="20" t="n">
        <v>2.77168634</v>
      </c>
      <c r="G71" s="18" t="n">
        <v>67.89685768</v>
      </c>
      <c r="H71" s="20" t="n">
        <v>2.74814229</v>
      </c>
      <c r="I71" s="18" t="s">
        <v>567</v>
      </c>
      <c r="J71" s="20" t="s">
        <v>567</v>
      </c>
      <c r="K71" s="18" t="n">
        <v>0</v>
      </c>
      <c r="L71" s="20" t="n">
        <v>0</v>
      </c>
      <c r="M71" s="18" t="n">
        <v>0</v>
      </c>
      <c r="N71" s="20" t="n">
        <v>0</v>
      </c>
      <c r="O71" s="18" t="n">
        <v>0</v>
      </c>
      <c r="P71" s="20" t="n">
        <v>0</v>
      </c>
      <c r="Q71" s="18" t="n">
        <v>0.35260979</v>
      </c>
      <c r="R71" s="20" t="n">
        <v>0.2726204</v>
      </c>
    </row>
    <row r="72" spans="1:18">
      <c r="A72" s="15" t="s">
        <v>632</v>
      </c>
      <c r="B72" s="17" t="n">
        <v>3889</v>
      </c>
      <c r="C72" s="18">
        <f>(3452.0/B72*100)</f>
        <v/>
      </c>
      <c r="D72" s="19" t="n">
        <v>437</v>
      </c>
      <c r="E72" s="18" t="n">
        <v>27.2968185</v>
      </c>
      <c r="F72" s="20" t="n">
        <v>2.29723276</v>
      </c>
      <c r="G72" s="18" t="n">
        <v>72.47928199</v>
      </c>
      <c r="H72" s="20" t="n">
        <v>2.28176034</v>
      </c>
      <c r="I72" s="18" t="s">
        <v>567</v>
      </c>
      <c r="J72" s="20" t="s">
        <v>567</v>
      </c>
      <c r="K72" s="18" t="n">
        <v>0.22389951</v>
      </c>
      <c r="L72" s="20" t="n">
        <v>0.1597023</v>
      </c>
      <c r="M72" s="18" t="n">
        <v>0</v>
      </c>
      <c r="N72" s="20" t="n">
        <v>0</v>
      </c>
      <c r="O72" s="18" t="n">
        <v>0</v>
      </c>
      <c r="P72" s="20" t="n">
        <v>0</v>
      </c>
      <c r="Q72" s="18" t="n">
        <v>0</v>
      </c>
      <c r="R72" s="20" t="n">
        <v>0</v>
      </c>
    </row>
    <row r="73" spans="1:18">
      <c r="A73" s="15" t="s">
        <v>633</v>
      </c>
      <c r="B73" s="17" t="n">
        <v>3597</v>
      </c>
      <c r="C73" s="18">
        <f>(3205.0/B73*100)</f>
        <v/>
      </c>
      <c r="D73" s="19" t="n">
        <v>392</v>
      </c>
      <c r="E73" s="18" t="n">
        <v>44.17255959</v>
      </c>
      <c r="F73" s="20" t="n">
        <v>3.11443771</v>
      </c>
      <c r="G73" s="18" t="n">
        <v>55.36807556</v>
      </c>
      <c r="H73" s="20" t="n">
        <v>3.10576773</v>
      </c>
      <c r="I73" s="18" t="s">
        <v>567</v>
      </c>
      <c r="J73" s="20" t="s">
        <v>567</v>
      </c>
      <c r="K73" s="18" t="n">
        <v>0.11130252</v>
      </c>
      <c r="L73" s="20" t="n">
        <v>0.1058519</v>
      </c>
      <c r="M73" s="18" t="n">
        <v>0</v>
      </c>
      <c r="N73" s="20" t="n">
        <v>0</v>
      </c>
      <c r="O73" s="18" t="n">
        <v>0</v>
      </c>
      <c r="P73" s="20" t="n">
        <v>0</v>
      </c>
      <c r="Q73" s="18" t="n">
        <v>0.34806234</v>
      </c>
      <c r="R73" s="20" t="n">
        <v>0.34619774</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(2183.0/B75*100)</f>
        <v/>
      </c>
      <c r="D75" s="19" t="n">
        <v>223</v>
      </c>
      <c r="E75" s="18" t="n">
        <v>53.2953877</v>
      </c>
      <c r="F75" s="20" t="n">
        <v>3.56498177</v>
      </c>
      <c r="G75" s="18" t="n">
        <v>38.87167601</v>
      </c>
      <c r="H75" s="20" t="n">
        <v>3.12723543</v>
      </c>
      <c r="I75" s="18" t="s">
        <v>567</v>
      </c>
      <c r="J75" s="20" t="s">
        <v>567</v>
      </c>
      <c r="K75" s="18" t="n">
        <v>6.97802485</v>
      </c>
      <c r="L75" s="20" t="n">
        <v>1.6765415</v>
      </c>
      <c r="M75" s="18" t="n">
        <v>0</v>
      </c>
      <c r="N75" s="20" t="n">
        <v>0</v>
      </c>
      <c r="O75" s="18" t="n">
        <v>0</v>
      </c>
      <c r="P75" s="20" t="n">
        <v>0</v>
      </c>
      <c r="Q75" s="18" t="n">
        <v>0.85491144</v>
      </c>
      <c r="R75" s="20" t="n">
        <v>0.60017279</v>
      </c>
    </row>
    <row r="76" spans="1:18">
      <c r="A76" s="15" t="s">
        <v>636</v>
      </c>
      <c r="B76" s="17" t="n">
        <v>7052</v>
      </c>
      <c r="C76" s="18">
        <f>(6280.0/B76*100)</f>
        <v/>
      </c>
      <c r="D76" s="19" t="n">
        <v>772</v>
      </c>
      <c r="E76" s="18" t="n">
        <v>53.02227173</v>
      </c>
      <c r="F76" s="20" t="n">
        <v>2.0948971</v>
      </c>
      <c r="G76" s="18" t="n">
        <v>45.65424973</v>
      </c>
      <c r="H76" s="20" t="n">
        <v>2.01285104</v>
      </c>
      <c r="I76" s="18" t="s">
        <v>567</v>
      </c>
      <c r="J76" s="20" t="s">
        <v>567</v>
      </c>
      <c r="K76" s="18" t="n">
        <v>1.01973852</v>
      </c>
      <c r="L76" s="20" t="n">
        <v>0.47101646</v>
      </c>
      <c r="M76" s="18" t="n">
        <v>0</v>
      </c>
      <c r="N76" s="20" t="n">
        <v>0</v>
      </c>
      <c r="O76" s="18" t="n">
        <v>0</v>
      </c>
      <c r="P76" s="20" t="n">
        <v>0</v>
      </c>
      <c r="Q76" s="18" t="n">
        <v>0.30374001</v>
      </c>
      <c r="R76" s="20" t="n">
        <v>0.17484045</v>
      </c>
    </row>
    <row r="77" spans="1:18">
      <c r="A77" s="15" t="s">
        <v>637</v>
      </c>
      <c r="B77" s="17" t="n">
        <v>2908</v>
      </c>
      <c r="C77" s="18">
        <f>(2633.0/B77*100)</f>
        <v/>
      </c>
      <c r="D77" s="19" t="n">
        <v>275</v>
      </c>
      <c r="E77" s="18" t="n">
        <v>37.81296392</v>
      </c>
      <c r="F77" s="20" t="n">
        <v>3.12632633</v>
      </c>
      <c r="G77" s="18" t="n">
        <v>55.85542451</v>
      </c>
      <c r="H77" s="20" t="n">
        <v>3.35791722</v>
      </c>
      <c r="I77" s="18" t="s">
        <v>567</v>
      </c>
      <c r="J77" s="20" t="s">
        <v>567</v>
      </c>
      <c r="K77" s="18" t="n">
        <v>5.08772752</v>
      </c>
      <c r="L77" s="20" t="n">
        <v>1.5702228</v>
      </c>
      <c r="M77" s="18" t="n">
        <v>0</v>
      </c>
      <c r="N77" s="20" t="n">
        <v>0</v>
      </c>
      <c r="O77" s="18" t="n">
        <v>0</v>
      </c>
      <c r="P77" s="20" t="n">
        <v>0</v>
      </c>
      <c r="Q77" s="18" t="n">
        <v>1.24388406</v>
      </c>
      <c r="R77" s="20" t="n">
        <v>0.5998498799999999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(3716.0/B81*100)</f>
        <v/>
      </c>
      <c r="D81" s="19" t="n">
        <v>447</v>
      </c>
      <c r="E81" s="18" t="n">
        <v>38.82257511</v>
      </c>
      <c r="F81" s="20" t="n">
        <v>3.29293195</v>
      </c>
      <c r="G81" s="18" t="n">
        <v>59.8808779</v>
      </c>
      <c r="H81" s="20" t="n">
        <v>3.17814012</v>
      </c>
      <c r="I81" s="18" t="s">
        <v>567</v>
      </c>
      <c r="J81" s="20" t="s">
        <v>567</v>
      </c>
      <c r="K81" s="18" t="n">
        <v>1.29654699</v>
      </c>
      <c r="L81" s="20" t="n">
        <v>0.60609612</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(6589.0/B7*100)</f>
        <v/>
      </c>
      <c r="D7" s="19" t="n">
        <v>778</v>
      </c>
      <c r="E7" s="18" t="n">
        <v>49.72410643</v>
      </c>
      <c r="F7" s="20" t="n">
        <v>1.84605561</v>
      </c>
      <c r="G7" s="18" t="n">
        <v>48.5298999</v>
      </c>
      <c r="H7" s="20" t="n">
        <v>1.76242009</v>
      </c>
      <c r="I7" s="18" t="s">
        <v>567</v>
      </c>
      <c r="J7" s="20" t="s">
        <v>567</v>
      </c>
      <c r="K7" s="18" t="n">
        <v>1.74599368</v>
      </c>
      <c r="L7" s="20" t="n">
        <v>0.57409506</v>
      </c>
      <c r="M7" s="18" t="n">
        <v>0</v>
      </c>
      <c r="N7" s="20" t="n">
        <v>0</v>
      </c>
      <c r="O7" s="18" t="n">
        <v>0</v>
      </c>
      <c r="P7" s="20" t="n">
        <v>0</v>
      </c>
      <c r="Q7" s="18" t="n">
        <v>0</v>
      </c>
      <c r="R7" s="20" t="n">
        <v>0</v>
      </c>
    </row>
    <row r="8" spans="1:18">
      <c r="A8" s="15" t="s">
        <v>568</v>
      </c>
      <c r="B8" s="17" t="n">
        <v>3564</v>
      </c>
      <c r="C8" s="18">
        <f>(3180.0/B8*100)</f>
        <v/>
      </c>
      <c r="D8" s="19" t="n">
        <v>384</v>
      </c>
      <c r="E8" s="18" t="n">
        <v>29.32752802</v>
      </c>
      <c r="F8" s="20" t="n">
        <v>2.99159792</v>
      </c>
      <c r="G8" s="18" t="n">
        <v>69.59867901</v>
      </c>
      <c r="H8" s="20" t="n">
        <v>2.99248461</v>
      </c>
      <c r="I8" s="18" t="s">
        <v>567</v>
      </c>
      <c r="J8" s="20" t="s">
        <v>567</v>
      </c>
      <c r="K8" s="18" t="n">
        <v>1.07379297</v>
      </c>
      <c r="L8" s="20" t="n">
        <v>0.53827103</v>
      </c>
      <c r="M8" s="18" t="n">
        <v>0</v>
      </c>
      <c r="N8" s="20" t="n">
        <v>0</v>
      </c>
      <c r="O8" s="18" t="n">
        <v>0</v>
      </c>
      <c r="P8" s="20" t="n">
        <v>0</v>
      </c>
      <c r="Q8" s="18" t="n">
        <v>0</v>
      </c>
      <c r="R8" s="20" t="n">
        <v>0</v>
      </c>
    </row>
    <row r="9" spans="1:18">
      <c r="A9" s="15" t="s">
        <v>569</v>
      </c>
      <c r="B9" s="17" t="n">
        <v>4899</v>
      </c>
      <c r="C9" s="18">
        <f>(4201.0/B9*100)</f>
        <v/>
      </c>
      <c r="D9" s="19" t="n">
        <v>698</v>
      </c>
      <c r="E9" s="18" t="n">
        <v>44.05561976</v>
      </c>
      <c r="F9" s="20" t="n">
        <v>2.15078039</v>
      </c>
      <c r="G9" s="18" t="n">
        <v>54.48682272</v>
      </c>
      <c r="H9" s="20" t="n">
        <v>2.30751998</v>
      </c>
      <c r="I9" s="18" t="s">
        <v>567</v>
      </c>
      <c r="J9" s="20" t="s">
        <v>567</v>
      </c>
      <c r="K9" s="18" t="n">
        <v>1.45755753</v>
      </c>
      <c r="L9" s="20" t="n">
        <v>0.41890458</v>
      </c>
      <c r="M9" s="18" t="n">
        <v>0</v>
      </c>
      <c r="N9" s="20" t="n">
        <v>0</v>
      </c>
      <c r="O9" s="18" t="n">
        <v>0</v>
      </c>
      <c r="P9" s="20" t="n">
        <v>0</v>
      </c>
      <c r="Q9" s="18" t="n">
        <v>0</v>
      </c>
      <c r="R9" s="20" t="n">
        <v>0</v>
      </c>
    </row>
    <row r="10" spans="1:18">
      <c r="A10" s="15" t="s">
        <v>570</v>
      </c>
      <c r="B10" s="17" t="n">
        <v>10036</v>
      </c>
      <c r="C10" s="18">
        <f>(8919.0/B10*100)</f>
        <v/>
      </c>
      <c r="D10" s="19" t="n">
        <v>1117</v>
      </c>
      <c r="E10" s="18" t="n">
        <v>48.33077069</v>
      </c>
      <c r="F10" s="20" t="n">
        <v>2.13769581</v>
      </c>
      <c r="G10" s="18" t="n">
        <v>49.69075862</v>
      </c>
      <c r="H10" s="20" t="n">
        <v>2.0998366</v>
      </c>
      <c r="I10" s="18" t="s">
        <v>567</v>
      </c>
      <c r="J10" s="20" t="s">
        <v>567</v>
      </c>
      <c r="K10" s="18" t="n">
        <v>1.97847068</v>
      </c>
      <c r="L10" s="20" t="n">
        <v>0.61219989</v>
      </c>
      <c r="M10" s="18" t="n">
        <v>0</v>
      </c>
      <c r="N10" s="20" t="n">
        <v>0</v>
      </c>
      <c r="O10" s="18" t="n">
        <v>0</v>
      </c>
      <c r="P10" s="20" t="n">
        <v>0</v>
      </c>
      <c r="Q10" s="18" t="n">
        <v>0</v>
      </c>
      <c r="R10" s="20" t="n">
        <v>0</v>
      </c>
    </row>
    <row r="11" spans="1:18">
      <c r="A11" s="15" t="s">
        <v>571</v>
      </c>
      <c r="B11" s="17" t="n">
        <v>3553</v>
      </c>
      <c r="C11" s="18">
        <f>(3181.0/B11*100)</f>
        <v/>
      </c>
      <c r="D11" s="19" t="n">
        <v>372</v>
      </c>
      <c r="E11" s="18" t="n">
        <v>57.24660431</v>
      </c>
      <c r="F11" s="20" t="n">
        <v>3.01234702</v>
      </c>
      <c r="G11" s="18" t="n">
        <v>39.39282319</v>
      </c>
      <c r="H11" s="20" t="n">
        <v>2.75779281</v>
      </c>
      <c r="I11" s="18" t="s">
        <v>567</v>
      </c>
      <c r="J11" s="20" t="s">
        <v>567</v>
      </c>
      <c r="K11" s="18" t="n">
        <v>3.3605725</v>
      </c>
      <c r="L11" s="20" t="n">
        <v>1.7130797</v>
      </c>
      <c r="M11" s="18" t="n">
        <v>0</v>
      </c>
      <c r="N11" s="20" t="n">
        <v>0</v>
      </c>
      <c r="O11" s="18" t="n">
        <v>0</v>
      </c>
      <c r="P11" s="20" t="n">
        <v>0</v>
      </c>
      <c r="Q11" s="18" t="n">
        <v>0</v>
      </c>
      <c r="R11" s="20" t="n">
        <v>0</v>
      </c>
    </row>
    <row r="12" spans="1:18">
      <c r="A12" s="15" t="s">
        <v>572</v>
      </c>
      <c r="B12" s="17" t="n">
        <v>3472</v>
      </c>
      <c r="C12" s="18">
        <f>(3045.0/B12*100)</f>
        <v/>
      </c>
      <c r="D12" s="19" t="n">
        <v>427</v>
      </c>
      <c r="E12" s="18" t="n">
        <v>36.06486655</v>
      </c>
      <c r="F12" s="20" t="n">
        <v>2.86435956</v>
      </c>
      <c r="G12" s="18" t="n">
        <v>63.33462568</v>
      </c>
      <c r="H12" s="20" t="n">
        <v>3.08895131</v>
      </c>
      <c r="I12" s="18" t="s">
        <v>567</v>
      </c>
      <c r="J12" s="20" t="s">
        <v>567</v>
      </c>
      <c r="K12" s="18" t="n">
        <v>0.60050777</v>
      </c>
      <c r="L12" s="20" t="n">
        <v>0.52467404</v>
      </c>
      <c r="M12" s="18" t="n">
        <v>0</v>
      </c>
      <c r="N12" s="20" t="n">
        <v>0</v>
      </c>
      <c r="O12" s="18" t="n">
        <v>0</v>
      </c>
      <c r="P12" s="20" t="n">
        <v>0</v>
      </c>
      <c r="Q12" s="18" t="n">
        <v>0</v>
      </c>
      <c r="R12" s="20" t="n">
        <v>0</v>
      </c>
    </row>
    <row r="13" spans="1:18">
      <c r="A13" s="15" t="s">
        <v>573</v>
      </c>
      <c r="B13" s="17" t="n">
        <v>3559</v>
      </c>
      <c r="C13" s="18">
        <f>(3039.0/B13*100)</f>
        <v/>
      </c>
      <c r="D13" s="19" t="n">
        <v>520</v>
      </c>
      <c r="E13" s="18" t="n">
        <v>39.16930308</v>
      </c>
      <c r="F13" s="20" t="n">
        <v>2.55038732</v>
      </c>
      <c r="G13" s="18" t="n">
        <v>58.50416004</v>
      </c>
      <c r="H13" s="20" t="n">
        <v>2.54221966</v>
      </c>
      <c r="I13" s="18" t="s">
        <v>567</v>
      </c>
      <c r="J13" s="20" t="s">
        <v>567</v>
      </c>
      <c r="K13" s="18" t="n">
        <v>2.32653688</v>
      </c>
      <c r="L13" s="20" t="n">
        <v>0.92778879</v>
      </c>
      <c r="M13" s="18" t="n">
        <v>0</v>
      </c>
      <c r="N13" s="20" t="n">
        <v>0</v>
      </c>
      <c r="O13" s="18" t="n">
        <v>0</v>
      </c>
      <c r="P13" s="20" t="n">
        <v>0</v>
      </c>
      <c r="Q13" s="18" t="n">
        <v>0</v>
      </c>
      <c r="R13" s="20" t="n">
        <v>0</v>
      </c>
    </row>
    <row r="14" spans="1:18">
      <c r="A14" s="15" t="s">
        <v>574</v>
      </c>
      <c r="B14" s="17" t="n">
        <v>2799</v>
      </c>
      <c r="C14" s="18">
        <f>(2469.0/B14*100)</f>
        <v/>
      </c>
      <c r="D14" s="19" t="n">
        <v>330</v>
      </c>
      <c r="E14" s="18" t="n">
        <v>43.11682735</v>
      </c>
      <c r="F14" s="20" t="n">
        <v>3.32244162</v>
      </c>
      <c r="G14" s="18" t="n">
        <v>55.58692502</v>
      </c>
      <c r="H14" s="20" t="n">
        <v>3.28750617</v>
      </c>
      <c r="I14" s="18" t="s">
        <v>567</v>
      </c>
      <c r="J14" s="20" t="s">
        <v>567</v>
      </c>
      <c r="K14" s="18" t="n">
        <v>1.29624762</v>
      </c>
      <c r="L14" s="20" t="n">
        <v>0.59852577</v>
      </c>
      <c r="M14" s="18" t="n">
        <v>0</v>
      </c>
      <c r="N14" s="20" t="n">
        <v>0</v>
      </c>
      <c r="O14" s="18" t="n">
        <v>0</v>
      </c>
      <c r="P14" s="20" t="n">
        <v>0</v>
      </c>
      <c r="Q14" s="18" t="n">
        <v>0</v>
      </c>
      <c r="R14" s="20" t="n">
        <v>0</v>
      </c>
    </row>
    <row r="15" spans="1:18">
      <c r="A15" s="15" t="s">
        <v>575</v>
      </c>
      <c r="B15" s="17" t="n">
        <v>3019</v>
      </c>
      <c r="C15" s="18">
        <f>(2674.0/B15*100)</f>
        <v/>
      </c>
      <c r="D15" s="19" t="n">
        <v>345</v>
      </c>
      <c r="E15" s="18" t="n">
        <v>24.36623014</v>
      </c>
      <c r="F15" s="20" t="n">
        <v>2.57752546</v>
      </c>
      <c r="G15" s="18" t="n">
        <v>73.79348520000001</v>
      </c>
      <c r="H15" s="20" t="n">
        <v>2.77185111</v>
      </c>
      <c r="I15" s="18" t="s">
        <v>567</v>
      </c>
      <c r="J15" s="20" t="s">
        <v>567</v>
      </c>
      <c r="K15" s="18" t="n">
        <v>1.84028466</v>
      </c>
      <c r="L15" s="20" t="n">
        <v>0.74875037</v>
      </c>
      <c r="M15" s="18" t="n">
        <v>0</v>
      </c>
      <c r="N15" s="20" t="n">
        <v>0</v>
      </c>
      <c r="O15" s="18" t="n">
        <v>0</v>
      </c>
      <c r="P15" s="20" t="n">
        <v>0</v>
      </c>
      <c r="Q15" s="18" t="n">
        <v>0</v>
      </c>
      <c r="R15" s="20" t="n">
        <v>0</v>
      </c>
    </row>
    <row r="16" spans="1:18">
      <c r="A16" s="15" t="s">
        <v>576</v>
      </c>
      <c r="B16" s="17" t="n">
        <v>2997</v>
      </c>
      <c r="C16" s="18">
        <f>(2660.0/B16*100)</f>
        <v/>
      </c>
      <c r="D16" s="19" t="n">
        <v>337</v>
      </c>
      <c r="E16" s="18" t="n">
        <v>46.62895404</v>
      </c>
      <c r="F16" s="20" t="n">
        <v>2.65107048</v>
      </c>
      <c r="G16" s="18" t="n">
        <v>48.8854099</v>
      </c>
      <c r="H16" s="20" t="n">
        <v>2.70177815</v>
      </c>
      <c r="I16" s="18" t="s">
        <v>567</v>
      </c>
      <c r="J16" s="20" t="s">
        <v>567</v>
      </c>
      <c r="K16" s="18" t="n">
        <v>4.48563606</v>
      </c>
      <c r="L16" s="20" t="n">
        <v>1.02044525</v>
      </c>
      <c r="M16" s="18" t="n">
        <v>0</v>
      </c>
      <c r="N16" s="20" t="n">
        <v>0</v>
      </c>
      <c r="O16" s="18" t="n">
        <v>0</v>
      </c>
      <c r="P16" s="20" t="n">
        <v>0</v>
      </c>
      <c r="Q16" s="18" t="n">
        <v>0</v>
      </c>
      <c r="R16" s="20" t="n">
        <v>0</v>
      </c>
    </row>
    <row r="17" spans="1:18">
      <c r="A17" s="15" t="s">
        <v>577</v>
      </c>
      <c r="B17" s="17" t="n">
        <v>3307</v>
      </c>
      <c r="C17" s="18">
        <f>(2890.0/B17*100)</f>
        <v/>
      </c>
      <c r="D17" s="19" t="n">
        <v>417</v>
      </c>
      <c r="E17" s="18" t="n">
        <v>29.97815518</v>
      </c>
      <c r="F17" s="20" t="n">
        <v>2.66755931</v>
      </c>
      <c r="G17" s="18" t="n">
        <v>66.32167268000001</v>
      </c>
      <c r="H17" s="20" t="n">
        <v>2.46843424</v>
      </c>
      <c r="I17" s="18" t="s">
        <v>567</v>
      </c>
      <c r="J17" s="20" t="s">
        <v>567</v>
      </c>
      <c r="K17" s="18" t="n">
        <v>3.70017213</v>
      </c>
      <c r="L17" s="20" t="n">
        <v>1.25945018</v>
      </c>
      <c r="M17" s="18" t="n">
        <v>0</v>
      </c>
      <c r="N17" s="20" t="n">
        <v>0</v>
      </c>
      <c r="O17" s="18" t="n">
        <v>0</v>
      </c>
      <c r="P17" s="20" t="n">
        <v>0</v>
      </c>
      <c r="Q17" s="18" t="n">
        <v>0</v>
      </c>
      <c r="R17" s="20" t="n">
        <v>0</v>
      </c>
    </row>
    <row r="18" spans="1:18">
      <c r="A18" s="15" t="s">
        <v>578</v>
      </c>
      <c r="B18" s="17" t="n">
        <v>2826</v>
      </c>
      <c r="C18" s="18">
        <f>(2505.0/B18*100)</f>
        <v/>
      </c>
      <c r="D18" s="19" t="n">
        <v>321</v>
      </c>
      <c r="E18" s="18" t="n">
        <v>55.63188819</v>
      </c>
      <c r="F18" s="20" t="n">
        <v>2.98852433</v>
      </c>
      <c r="G18" s="18" t="n">
        <v>42.1208149</v>
      </c>
      <c r="H18" s="20" t="n">
        <v>2.81985088</v>
      </c>
      <c r="I18" s="18" t="s">
        <v>567</v>
      </c>
      <c r="J18" s="20" t="s">
        <v>567</v>
      </c>
      <c r="K18" s="18" t="n">
        <v>2.24729691</v>
      </c>
      <c r="L18" s="20" t="n">
        <v>0.7943798399999999</v>
      </c>
      <c r="M18" s="18" t="n">
        <v>0</v>
      </c>
      <c r="N18" s="20" t="n">
        <v>0</v>
      </c>
      <c r="O18" s="18" t="n">
        <v>0</v>
      </c>
      <c r="P18" s="20" t="n">
        <v>0</v>
      </c>
      <c r="Q18" s="18" t="n">
        <v>0</v>
      </c>
      <c r="R18" s="20" t="n">
        <v>0</v>
      </c>
    </row>
    <row r="19" spans="1:18">
      <c r="A19" s="15" t="s">
        <v>579</v>
      </c>
      <c r="B19" s="17" t="n">
        <v>2808</v>
      </c>
      <c r="C19" s="18">
        <f>(2503.0/B19*100)</f>
        <v/>
      </c>
      <c r="D19" s="19" t="n">
        <v>305</v>
      </c>
      <c r="E19" s="18" t="n">
        <v>31.75102416</v>
      </c>
      <c r="F19" s="20" t="n">
        <v>2.76639259</v>
      </c>
      <c r="G19" s="18" t="n">
        <v>68.24897584</v>
      </c>
      <c r="H19" s="20" t="n">
        <v>2.76639259</v>
      </c>
      <c r="I19" s="18" t="s">
        <v>567</v>
      </c>
      <c r="J19" s="20" t="s">
        <v>567</v>
      </c>
      <c r="K19" s="18" t="n">
        <v>0</v>
      </c>
      <c r="L19" s="20" t="n">
        <v>0</v>
      </c>
      <c r="M19" s="18" t="n">
        <v>0</v>
      </c>
      <c r="N19" s="20" t="n">
        <v>0</v>
      </c>
      <c r="O19" s="18" t="n">
        <v>0</v>
      </c>
      <c r="P19" s="20" t="n">
        <v>0</v>
      </c>
      <c r="Q19" s="18" t="n">
        <v>0</v>
      </c>
      <c r="R19" s="20" t="n">
        <v>0</v>
      </c>
    </row>
    <row r="20" spans="1:18">
      <c r="A20" s="15" t="s">
        <v>580</v>
      </c>
      <c r="B20" s="17" t="n">
        <v>1630</v>
      </c>
      <c r="C20" s="18">
        <f>(1469.0/B20*100)</f>
        <v/>
      </c>
      <c r="D20" s="19" t="n">
        <v>161</v>
      </c>
      <c r="E20" s="18" t="n">
        <v>39.83435796</v>
      </c>
      <c r="F20" s="20" t="n">
        <v>4.19254793</v>
      </c>
      <c r="G20" s="18" t="n">
        <v>59.07364981</v>
      </c>
      <c r="H20" s="20" t="n">
        <v>4.04748902</v>
      </c>
      <c r="I20" s="18" t="s">
        <v>567</v>
      </c>
      <c r="J20" s="20" t="s">
        <v>567</v>
      </c>
      <c r="K20" s="18" t="n">
        <v>1.09199223</v>
      </c>
      <c r="L20" s="20" t="n">
        <v>0.66468491</v>
      </c>
      <c r="M20" s="18" t="n">
        <v>0</v>
      </c>
      <c r="N20" s="20" t="n">
        <v>0</v>
      </c>
      <c r="O20" s="18" t="n">
        <v>0</v>
      </c>
      <c r="P20" s="20" t="n">
        <v>0</v>
      </c>
      <c r="Q20" s="18" t="n">
        <v>0</v>
      </c>
      <c r="R20" s="20" t="n">
        <v>0</v>
      </c>
    </row>
    <row r="21" spans="1:18">
      <c r="A21" s="15" t="s">
        <v>581</v>
      </c>
      <c r="B21" s="17" t="n">
        <v>2908</v>
      </c>
      <c r="C21" s="18">
        <f>(2579.0/B21*100)</f>
        <v/>
      </c>
      <c r="D21" s="19" t="n">
        <v>329</v>
      </c>
      <c r="E21" s="18" t="n">
        <v>42.26709534</v>
      </c>
      <c r="F21" s="20" t="n">
        <v>2.6867001</v>
      </c>
      <c r="G21" s="18" t="n">
        <v>56.20675147</v>
      </c>
      <c r="H21" s="20" t="n">
        <v>2.68509691</v>
      </c>
      <c r="I21" s="18" t="s">
        <v>567</v>
      </c>
      <c r="J21" s="20" t="s">
        <v>567</v>
      </c>
      <c r="K21" s="18" t="n">
        <v>1.52615319</v>
      </c>
      <c r="L21" s="20" t="n">
        <v>0.49158016</v>
      </c>
      <c r="M21" s="18" t="n">
        <v>0</v>
      </c>
      <c r="N21" s="20" t="n">
        <v>0</v>
      </c>
      <c r="O21" s="18" t="n">
        <v>0</v>
      </c>
      <c r="P21" s="20" t="n">
        <v>0</v>
      </c>
      <c r="Q21" s="18" t="n">
        <v>0</v>
      </c>
      <c r="R21" s="20" t="n">
        <v>0</v>
      </c>
    </row>
    <row r="22" spans="1:18">
      <c r="A22" s="15" t="s">
        <v>582</v>
      </c>
      <c r="B22" s="17" t="n">
        <v>2931</v>
      </c>
      <c r="C22" s="18">
        <f>(2604.0/B22*100)</f>
        <v/>
      </c>
      <c r="D22" s="19" t="n">
        <v>327</v>
      </c>
      <c r="E22" s="18" t="n">
        <v>55.89459463</v>
      </c>
      <c r="F22" s="20" t="n">
        <v>3.18771163</v>
      </c>
      <c r="G22" s="18" t="n">
        <v>41.72476775</v>
      </c>
      <c r="H22" s="20" t="n">
        <v>3.05440675</v>
      </c>
      <c r="I22" s="18" t="s">
        <v>567</v>
      </c>
      <c r="J22" s="20" t="s">
        <v>567</v>
      </c>
      <c r="K22" s="18" t="n">
        <v>2.38063762</v>
      </c>
      <c r="L22" s="20" t="n">
        <v>0.97768431</v>
      </c>
      <c r="M22" s="18" t="n">
        <v>0</v>
      </c>
      <c r="N22" s="20" t="n">
        <v>0</v>
      </c>
      <c r="O22" s="18" t="n">
        <v>0</v>
      </c>
      <c r="P22" s="20" t="n">
        <v>0</v>
      </c>
      <c r="Q22" s="18" t="n">
        <v>0</v>
      </c>
      <c r="R22" s="20" t="n">
        <v>0</v>
      </c>
    </row>
    <row r="23" spans="1:18">
      <c r="A23" s="15" t="s">
        <v>583</v>
      </c>
      <c r="B23" s="17" t="n">
        <v>5791</v>
      </c>
      <c r="C23" s="18">
        <f>(5163.0/B23*100)</f>
        <v/>
      </c>
      <c r="D23" s="19" t="n">
        <v>628</v>
      </c>
      <c r="E23" s="18" t="n">
        <v>43.95392093</v>
      </c>
      <c r="F23" s="20" t="n">
        <v>3.14508938</v>
      </c>
      <c r="G23" s="18" t="n">
        <v>54.61830806</v>
      </c>
      <c r="H23" s="20" t="n">
        <v>3.02617783</v>
      </c>
      <c r="I23" s="18" t="s">
        <v>567</v>
      </c>
      <c r="J23" s="20" t="s">
        <v>567</v>
      </c>
      <c r="K23" s="18" t="n">
        <v>1.42777101</v>
      </c>
      <c r="L23" s="20" t="n">
        <v>0.67125436</v>
      </c>
      <c r="M23" s="18" t="n">
        <v>0</v>
      </c>
      <c r="N23" s="20" t="n">
        <v>0</v>
      </c>
      <c r="O23" s="18" t="n">
        <v>0</v>
      </c>
      <c r="P23" s="20" t="n">
        <v>0</v>
      </c>
      <c r="Q23" s="18" t="n">
        <v>0</v>
      </c>
      <c r="R23" s="20" t="n">
        <v>0</v>
      </c>
    </row>
    <row r="24" spans="1:18">
      <c r="A24" s="15" t="s">
        <v>584</v>
      </c>
      <c r="B24" s="17" t="n">
        <v>3338</v>
      </c>
      <c r="C24" s="18">
        <f>(2981.0/B24*100)</f>
        <v/>
      </c>
      <c r="D24" s="19" t="n">
        <v>357</v>
      </c>
      <c r="E24" s="18" t="n">
        <v>38.91262734</v>
      </c>
      <c r="F24" s="20" t="n">
        <v>2.49217295</v>
      </c>
      <c r="G24" s="18" t="n">
        <v>59.92535014</v>
      </c>
      <c r="H24" s="20" t="n">
        <v>2.46797561</v>
      </c>
      <c r="I24" s="18" t="s">
        <v>567</v>
      </c>
      <c r="J24" s="20" t="s">
        <v>567</v>
      </c>
      <c r="K24" s="18" t="n">
        <v>1.16202252</v>
      </c>
      <c r="L24" s="20" t="n">
        <v>0.56874534</v>
      </c>
      <c r="M24" s="18" t="n">
        <v>0</v>
      </c>
      <c r="N24" s="20" t="n">
        <v>0</v>
      </c>
      <c r="O24" s="18" t="n">
        <v>0</v>
      </c>
      <c r="P24" s="20" t="n">
        <v>0</v>
      </c>
      <c r="Q24" s="18" t="n">
        <v>0</v>
      </c>
      <c r="R24" s="20" t="n">
        <v>0</v>
      </c>
    </row>
    <row r="25" spans="1:18">
      <c r="A25" s="15" t="s">
        <v>585</v>
      </c>
      <c r="B25" s="17" t="n">
        <v>2912</v>
      </c>
      <c r="C25" s="18">
        <f>(2607.0/B25*100)</f>
        <v/>
      </c>
      <c r="D25" s="19" t="n">
        <v>305</v>
      </c>
      <c r="E25" s="18" t="n">
        <v>41.79517918</v>
      </c>
      <c r="F25" s="20" t="n">
        <v>2.56638896</v>
      </c>
      <c r="G25" s="18" t="n">
        <v>57.92703034</v>
      </c>
      <c r="H25" s="20" t="n">
        <v>2.53469902</v>
      </c>
      <c r="I25" s="18" t="s">
        <v>567</v>
      </c>
      <c r="J25" s="20" t="s">
        <v>567</v>
      </c>
      <c r="K25" s="18" t="n">
        <v>0.27779048</v>
      </c>
      <c r="L25" s="20" t="n">
        <v>0.28180144</v>
      </c>
      <c r="M25" s="18" t="n">
        <v>0</v>
      </c>
      <c r="N25" s="20" t="n">
        <v>0</v>
      </c>
      <c r="O25" s="18" t="n">
        <v>0</v>
      </c>
      <c r="P25" s="20" t="n">
        <v>0</v>
      </c>
      <c r="Q25" s="18" t="n">
        <v>0</v>
      </c>
      <c r="R25" s="20" t="n">
        <v>0</v>
      </c>
    </row>
    <row r="26" spans="1:18">
      <c r="A26" s="15" t="s">
        <v>586</v>
      </c>
      <c r="B26" s="17" t="n">
        <v>2450</v>
      </c>
      <c r="C26" s="18">
        <f>(2184.0/B26*100)</f>
        <v/>
      </c>
      <c r="D26" s="19" t="n">
        <v>266</v>
      </c>
      <c r="E26" s="18" t="n">
        <v>29.63429019</v>
      </c>
      <c r="F26" s="20" t="n">
        <v>2.85330808</v>
      </c>
      <c r="G26" s="18" t="n">
        <v>69.93424786</v>
      </c>
      <c r="H26" s="20" t="n">
        <v>2.95105535</v>
      </c>
      <c r="I26" s="18" t="s">
        <v>567</v>
      </c>
      <c r="J26" s="20" t="s">
        <v>567</v>
      </c>
      <c r="K26" s="18" t="n">
        <v>0.43146195</v>
      </c>
      <c r="L26" s="20" t="n">
        <v>0.43255955</v>
      </c>
      <c r="M26" s="18" t="n">
        <v>0</v>
      </c>
      <c r="N26" s="20" t="n">
        <v>0</v>
      </c>
      <c r="O26" s="18" t="n">
        <v>0</v>
      </c>
      <c r="P26" s="20" t="n">
        <v>0</v>
      </c>
      <c r="Q26" s="18" t="n">
        <v>0</v>
      </c>
      <c r="R26" s="20" t="n">
        <v>0</v>
      </c>
    </row>
    <row r="27" spans="1:18">
      <c r="A27" s="15" t="s">
        <v>587</v>
      </c>
      <c r="B27" s="17" t="n">
        <v>2616</v>
      </c>
      <c r="C27" s="18">
        <f>(2330.0/B27*100)</f>
        <v/>
      </c>
      <c r="D27" s="19" t="n">
        <v>286</v>
      </c>
      <c r="E27" s="18" t="n">
        <v>41.63509114</v>
      </c>
      <c r="F27" s="20" t="n">
        <v>2.78184562</v>
      </c>
      <c r="G27" s="18" t="n">
        <v>56.62539481</v>
      </c>
      <c r="H27" s="20" t="n">
        <v>2.8581238</v>
      </c>
      <c r="I27" s="18" t="s">
        <v>567</v>
      </c>
      <c r="J27" s="20" t="s">
        <v>567</v>
      </c>
      <c r="K27" s="18" t="n">
        <v>1.73951405</v>
      </c>
      <c r="L27" s="20" t="n">
        <v>0.78010928</v>
      </c>
      <c r="M27" s="18" t="n">
        <v>0</v>
      </c>
      <c r="N27" s="20" t="n">
        <v>0</v>
      </c>
      <c r="O27" s="18" t="n">
        <v>0</v>
      </c>
      <c r="P27" s="20" t="n">
        <v>0</v>
      </c>
      <c r="Q27" s="18" t="n">
        <v>0</v>
      </c>
      <c r="R27" s="20" t="n">
        <v>0</v>
      </c>
    </row>
    <row r="28" spans="1:18">
      <c r="A28" s="15" t="s">
        <v>588</v>
      </c>
      <c r="B28" s="17" t="n">
        <v>3765</v>
      </c>
      <c r="C28" s="18">
        <f>(3414.0/B28*100)</f>
        <v/>
      </c>
      <c r="D28" s="19" t="n">
        <v>351</v>
      </c>
      <c r="E28" s="18" t="n">
        <v>71.65086617999999</v>
      </c>
      <c r="F28" s="20" t="n">
        <v>2.41620209</v>
      </c>
      <c r="G28" s="18" t="n">
        <v>26.44093939</v>
      </c>
      <c r="H28" s="20" t="n">
        <v>2.43137752</v>
      </c>
      <c r="I28" s="18" t="s">
        <v>567</v>
      </c>
      <c r="J28" s="20" t="s">
        <v>567</v>
      </c>
      <c r="K28" s="18" t="n">
        <v>1.90819443</v>
      </c>
      <c r="L28" s="20" t="n">
        <v>0.86762005</v>
      </c>
      <c r="M28" s="18" t="n">
        <v>0</v>
      </c>
      <c r="N28" s="20" t="n">
        <v>0</v>
      </c>
      <c r="O28" s="18" t="n">
        <v>0</v>
      </c>
      <c r="P28" s="20" t="n">
        <v>0</v>
      </c>
      <c r="Q28" s="18" t="n">
        <v>0</v>
      </c>
      <c r="R28" s="20" t="n">
        <v>0</v>
      </c>
    </row>
    <row r="29" spans="1:18">
      <c r="A29" s="15" t="s">
        <v>589</v>
      </c>
      <c r="B29" s="17" t="n">
        <v>2685</v>
      </c>
      <c r="C29" s="18">
        <f>(2315.0/B29*100)</f>
        <v/>
      </c>
      <c r="D29" s="19" t="n">
        <v>370</v>
      </c>
      <c r="E29" s="18" t="n">
        <v>35.23418251</v>
      </c>
      <c r="F29" s="20" t="n">
        <v>2.15294272</v>
      </c>
      <c r="G29" s="18" t="n">
        <v>63.68633412</v>
      </c>
      <c r="H29" s="20" t="n">
        <v>2.1714814</v>
      </c>
      <c r="I29" s="18" t="s">
        <v>567</v>
      </c>
      <c r="J29" s="20" t="s">
        <v>567</v>
      </c>
      <c r="K29" s="18" t="n">
        <v>1.07948336</v>
      </c>
      <c r="L29" s="20" t="n">
        <v>0.52535018</v>
      </c>
      <c r="M29" s="18" t="n">
        <v>0</v>
      </c>
      <c r="N29" s="20" t="n">
        <v>0</v>
      </c>
      <c r="O29" s="18" t="n">
        <v>0</v>
      </c>
      <c r="P29" s="20" t="n">
        <v>0</v>
      </c>
      <c r="Q29" s="18" t="n">
        <v>0</v>
      </c>
      <c r="R29" s="20" t="n">
        <v>0</v>
      </c>
    </row>
    <row r="30" spans="1:18">
      <c r="A30" s="15" t="s">
        <v>590</v>
      </c>
      <c r="B30" s="17" t="n">
        <v>2263</v>
      </c>
      <c r="C30" s="18">
        <f>(2014.0/B30*100)</f>
        <v/>
      </c>
      <c r="D30" s="19" t="n">
        <v>249</v>
      </c>
      <c r="E30" s="18" t="n">
        <v>51.12642513</v>
      </c>
      <c r="F30" s="20" t="n">
        <v>3.36418155</v>
      </c>
      <c r="G30" s="18" t="n">
        <v>47.21931443</v>
      </c>
      <c r="H30" s="20" t="n">
        <v>3.14195114</v>
      </c>
      <c r="I30" s="18" t="s">
        <v>567</v>
      </c>
      <c r="J30" s="20" t="s">
        <v>567</v>
      </c>
      <c r="K30" s="18" t="n">
        <v>1.65426044</v>
      </c>
      <c r="L30" s="20" t="n">
        <v>0.87609906</v>
      </c>
      <c r="M30" s="18" t="n">
        <v>0</v>
      </c>
      <c r="N30" s="20" t="n">
        <v>0</v>
      </c>
      <c r="O30" s="18" t="n">
        <v>0</v>
      </c>
      <c r="P30" s="20" t="n">
        <v>0</v>
      </c>
      <c r="Q30" s="18" t="n">
        <v>0</v>
      </c>
      <c r="R30" s="20" t="n">
        <v>0</v>
      </c>
    </row>
    <row r="31" spans="1:18">
      <c r="A31" s="15" t="s">
        <v>591</v>
      </c>
      <c r="B31" s="17" t="n">
        <v>2750</v>
      </c>
      <c r="C31" s="18">
        <f>(2455.0/B31*100)</f>
        <v/>
      </c>
      <c r="D31" s="19" t="n">
        <v>295</v>
      </c>
      <c r="E31" s="18" t="n">
        <v>39.90801261</v>
      </c>
      <c r="F31" s="20" t="n">
        <v>3.05327</v>
      </c>
      <c r="G31" s="18" t="n">
        <v>58.18837657</v>
      </c>
      <c r="H31" s="20" t="n">
        <v>3.03007519</v>
      </c>
      <c r="I31" s="18" t="s">
        <v>567</v>
      </c>
      <c r="J31" s="20" t="s">
        <v>567</v>
      </c>
      <c r="K31" s="18" t="n">
        <v>1.90361081</v>
      </c>
      <c r="L31" s="20" t="n">
        <v>0.78310581</v>
      </c>
      <c r="M31" s="18" t="n">
        <v>0</v>
      </c>
      <c r="N31" s="20" t="n">
        <v>0</v>
      </c>
      <c r="O31" s="18" t="n">
        <v>0</v>
      </c>
      <c r="P31" s="20" t="n">
        <v>0</v>
      </c>
      <c r="Q31" s="18" t="n">
        <v>0</v>
      </c>
      <c r="R31" s="20" t="n">
        <v>0</v>
      </c>
    </row>
    <row r="32" spans="1:18">
      <c r="A32" s="15" t="s">
        <v>592</v>
      </c>
      <c r="B32" s="17" t="n">
        <v>2269</v>
      </c>
      <c r="C32" s="18">
        <f>(2026.0/B32*100)</f>
        <v/>
      </c>
      <c r="D32" s="19" t="n">
        <v>243</v>
      </c>
      <c r="E32" s="18" t="n">
        <v>35.17793449</v>
      </c>
      <c r="F32" s="20" t="n">
        <v>3.22002191</v>
      </c>
      <c r="G32" s="18" t="n">
        <v>64.10144895000001</v>
      </c>
      <c r="H32" s="20" t="n">
        <v>3.29311917</v>
      </c>
      <c r="I32" s="18" t="s">
        <v>567</v>
      </c>
      <c r="J32" s="20" t="s">
        <v>567</v>
      </c>
      <c r="K32" s="18" t="n">
        <v>0.72061656</v>
      </c>
      <c r="L32" s="20" t="n">
        <v>0.50514751</v>
      </c>
      <c r="M32" s="18" t="n">
        <v>0</v>
      </c>
      <c r="N32" s="20" t="n">
        <v>0</v>
      </c>
      <c r="O32" s="18" t="n">
        <v>0</v>
      </c>
      <c r="P32" s="20" t="n">
        <v>0</v>
      </c>
      <c r="Q32" s="18" t="n">
        <v>0</v>
      </c>
      <c r="R32" s="20" t="n">
        <v>0</v>
      </c>
    </row>
    <row r="33" spans="1:18">
      <c r="A33" s="15" t="s">
        <v>593</v>
      </c>
      <c r="B33" s="17" t="n">
        <v>3674</v>
      </c>
      <c r="C33" s="18">
        <f>(3305.0/B33*100)</f>
        <v/>
      </c>
      <c r="D33" s="19" t="n">
        <v>369</v>
      </c>
      <c r="E33" s="18" t="n">
        <v>60.4239408</v>
      </c>
      <c r="F33" s="20" t="n">
        <v>3.37201347</v>
      </c>
      <c r="G33" s="18" t="n">
        <v>37.68408476</v>
      </c>
      <c r="H33" s="20" t="n">
        <v>3.64434651</v>
      </c>
      <c r="I33" s="18" t="s">
        <v>567</v>
      </c>
      <c r="J33" s="20" t="s">
        <v>567</v>
      </c>
      <c r="K33" s="18" t="n">
        <v>1.89197444</v>
      </c>
      <c r="L33" s="20" t="n">
        <v>1.05767387</v>
      </c>
      <c r="M33" s="18" t="n">
        <v>0</v>
      </c>
      <c r="N33" s="20" t="n">
        <v>0</v>
      </c>
      <c r="O33" s="18" t="n">
        <v>0</v>
      </c>
      <c r="P33" s="20" t="n">
        <v>0</v>
      </c>
      <c r="Q33" s="18" t="n">
        <v>0</v>
      </c>
      <c r="R33" s="20" t="n">
        <v>0</v>
      </c>
    </row>
    <row r="34" spans="1:18">
      <c r="A34" s="15" t="s">
        <v>594</v>
      </c>
      <c r="B34" s="17" t="n">
        <v>3315</v>
      </c>
      <c r="C34" s="18">
        <f>(2909.0/B34*100)</f>
        <v/>
      </c>
      <c r="D34" s="19" t="n">
        <v>406</v>
      </c>
      <c r="E34" s="18" t="n">
        <v>39.12967751</v>
      </c>
      <c r="F34" s="20" t="n">
        <v>3.30511131</v>
      </c>
      <c r="G34" s="18" t="n">
        <v>58.15819158</v>
      </c>
      <c r="H34" s="20" t="n">
        <v>3.43473433</v>
      </c>
      <c r="I34" s="18" t="s">
        <v>567</v>
      </c>
      <c r="J34" s="20" t="s">
        <v>567</v>
      </c>
      <c r="K34" s="18" t="n">
        <v>2.71213092</v>
      </c>
      <c r="L34" s="20" t="n">
        <v>0.88491426</v>
      </c>
      <c r="M34" s="18" t="n">
        <v>0</v>
      </c>
      <c r="N34" s="20" t="n">
        <v>0</v>
      </c>
      <c r="O34" s="18" t="n">
        <v>0</v>
      </c>
      <c r="P34" s="20" t="n">
        <v>0</v>
      </c>
      <c r="Q34" s="18" t="n">
        <v>0</v>
      </c>
      <c r="R34" s="20" t="n">
        <v>0</v>
      </c>
    </row>
    <row r="35" spans="1:18">
      <c r="A35" s="15" t="s">
        <v>595</v>
      </c>
      <c r="B35" s="17" t="n">
        <v>3505</v>
      </c>
      <c r="C35" s="18">
        <f>(3019.0/B35*100)</f>
        <v/>
      </c>
      <c r="D35" s="19" t="n">
        <v>486</v>
      </c>
      <c r="E35" s="18" t="n">
        <v>30.50192541</v>
      </c>
      <c r="F35" s="20" t="n">
        <v>2.02400269</v>
      </c>
      <c r="G35" s="18" t="n">
        <v>69.27689432</v>
      </c>
      <c r="H35" s="20" t="n">
        <v>2.06941403</v>
      </c>
      <c r="I35" s="18" t="s">
        <v>567</v>
      </c>
      <c r="J35" s="20" t="s">
        <v>567</v>
      </c>
      <c r="K35" s="18" t="n">
        <v>0.22118027</v>
      </c>
      <c r="L35" s="20" t="n">
        <v>0.22357155</v>
      </c>
      <c r="M35" s="18" t="n">
        <v>0</v>
      </c>
      <c r="N35" s="20" t="n">
        <v>0</v>
      </c>
      <c r="O35" s="18" t="n">
        <v>0</v>
      </c>
      <c r="P35" s="20" t="n">
        <v>0</v>
      </c>
      <c r="Q35" s="18" t="n">
        <v>0</v>
      </c>
      <c r="R35" s="20" t="n">
        <v>0</v>
      </c>
    </row>
    <row r="36" spans="1:18">
      <c r="A36" s="15" t="s">
        <v>596</v>
      </c>
      <c r="B36" s="17" t="n">
        <v>3332</v>
      </c>
      <c r="C36" s="18">
        <f>(2968.0/B36*100)</f>
        <v/>
      </c>
      <c r="D36" s="19" t="n">
        <v>364</v>
      </c>
      <c r="E36" s="18" t="n">
        <v>44.21279391</v>
      </c>
      <c r="F36" s="20" t="n">
        <v>2.86269449</v>
      </c>
      <c r="G36" s="18" t="n">
        <v>53.75729715</v>
      </c>
      <c r="H36" s="20" t="n">
        <v>2.78819548</v>
      </c>
      <c r="I36" s="18" t="s">
        <v>567</v>
      </c>
      <c r="J36" s="20" t="s">
        <v>567</v>
      </c>
      <c r="K36" s="18" t="n">
        <v>2.02990894</v>
      </c>
      <c r="L36" s="20" t="n">
        <v>0.80980409</v>
      </c>
      <c r="M36" s="18" t="n">
        <v>0</v>
      </c>
      <c r="N36" s="20" t="n">
        <v>0</v>
      </c>
      <c r="O36" s="18" t="n">
        <v>0</v>
      </c>
      <c r="P36" s="20" t="n">
        <v>0</v>
      </c>
      <c r="Q36" s="18" t="n">
        <v>0</v>
      </c>
      <c r="R36" s="20" t="n">
        <v>0</v>
      </c>
    </row>
    <row r="37" spans="1:18">
      <c r="A37" s="15" t="s">
        <v>597</v>
      </c>
      <c r="B37" s="17" t="n">
        <v>2727</v>
      </c>
      <c r="C37" s="18">
        <f>(2429.0/B37*100)</f>
        <v/>
      </c>
      <c r="D37" s="19" t="n">
        <v>298</v>
      </c>
      <c r="E37" s="18" t="n">
        <v>40.5547162</v>
      </c>
      <c r="F37" s="20" t="n">
        <v>3.43956028</v>
      </c>
      <c r="G37" s="18" t="n">
        <v>56.73633655</v>
      </c>
      <c r="H37" s="20" t="n">
        <v>3.53351565</v>
      </c>
      <c r="I37" s="18" t="s">
        <v>567</v>
      </c>
      <c r="J37" s="20" t="s">
        <v>567</v>
      </c>
      <c r="K37" s="18" t="n">
        <v>2.70894726</v>
      </c>
      <c r="L37" s="20" t="n">
        <v>1.08404263</v>
      </c>
      <c r="M37" s="18" t="n">
        <v>0</v>
      </c>
      <c r="N37" s="20" t="n">
        <v>0</v>
      </c>
      <c r="O37" s="18" t="n">
        <v>0</v>
      </c>
      <c r="P37" s="20" t="n">
        <v>0</v>
      </c>
      <c r="Q37" s="18" t="n">
        <v>0</v>
      </c>
      <c r="R37" s="20" t="n">
        <v>0</v>
      </c>
    </row>
    <row r="38" spans="1:18">
      <c r="A38" s="15" t="s">
        <v>598</v>
      </c>
      <c r="B38" s="17" t="n">
        <v>3053</v>
      </c>
      <c r="C38" s="18">
        <f>(2727.0/B38*100)</f>
        <v/>
      </c>
      <c r="D38" s="19" t="n">
        <v>326</v>
      </c>
      <c r="E38" s="18" t="n">
        <v>38.51464666</v>
      </c>
      <c r="F38" s="20" t="n">
        <v>3.290355</v>
      </c>
      <c r="G38" s="18" t="n">
        <v>60.40610346</v>
      </c>
      <c r="H38" s="20" t="n">
        <v>3.4096148</v>
      </c>
      <c r="I38" s="18" t="s">
        <v>567</v>
      </c>
      <c r="J38" s="20" t="s">
        <v>567</v>
      </c>
      <c r="K38" s="18" t="n">
        <v>1.07924988</v>
      </c>
      <c r="L38" s="20" t="n">
        <v>0.59941446</v>
      </c>
      <c r="M38" s="18" t="n">
        <v>0</v>
      </c>
      <c r="N38" s="20" t="n">
        <v>0</v>
      </c>
      <c r="O38" s="18" t="n">
        <v>0</v>
      </c>
      <c r="P38" s="20" t="n">
        <v>0</v>
      </c>
      <c r="Q38" s="18" t="n">
        <v>0</v>
      </c>
      <c r="R38" s="20" t="n">
        <v>0</v>
      </c>
    </row>
    <row r="39" spans="1:18">
      <c r="A39" s="15" t="s">
        <v>599</v>
      </c>
      <c r="B39" s="17" t="n">
        <v>2957</v>
      </c>
      <c r="C39" s="18">
        <f>(2625.0/B39*100)</f>
        <v/>
      </c>
      <c r="D39" s="19" t="n">
        <v>332</v>
      </c>
      <c r="E39" s="18" t="n">
        <v>52.84079528</v>
      </c>
      <c r="F39" s="20" t="n">
        <v>3.03365788</v>
      </c>
      <c r="G39" s="18" t="n">
        <v>46.0755643</v>
      </c>
      <c r="H39" s="20" t="n">
        <v>3.07122976</v>
      </c>
      <c r="I39" s="18" t="s">
        <v>567</v>
      </c>
      <c r="J39" s="20" t="s">
        <v>567</v>
      </c>
      <c r="K39" s="18" t="n">
        <v>1.08364042</v>
      </c>
      <c r="L39" s="20" t="n">
        <v>0.47580379</v>
      </c>
      <c r="M39" s="18" t="n">
        <v>0</v>
      </c>
      <c r="N39" s="20" t="n">
        <v>0</v>
      </c>
      <c r="O39" s="18" t="n">
        <v>0</v>
      </c>
      <c r="P39" s="20" t="n">
        <v>0</v>
      </c>
      <c r="Q39" s="18" t="n">
        <v>0</v>
      </c>
      <c r="R39" s="20" t="n">
        <v>0</v>
      </c>
    </row>
    <row r="40" spans="1:18">
      <c r="A40" s="15" t="s">
        <v>600</v>
      </c>
      <c r="B40" s="17" t="n">
        <v>7235</v>
      </c>
      <c r="C40" s="18">
        <f>(6401.0/B40*100)</f>
        <v/>
      </c>
      <c r="D40" s="19" t="n">
        <v>834</v>
      </c>
      <c r="E40" s="18" t="n">
        <v>54.19690983</v>
      </c>
      <c r="F40" s="20" t="n">
        <v>3.21113335</v>
      </c>
      <c r="G40" s="18" t="n">
        <v>44.80903249</v>
      </c>
      <c r="H40" s="20" t="n">
        <v>3.29662535</v>
      </c>
      <c r="I40" s="18" t="s">
        <v>567</v>
      </c>
      <c r="J40" s="20" t="s">
        <v>567</v>
      </c>
      <c r="K40" s="18" t="n">
        <v>0.99405767</v>
      </c>
      <c r="L40" s="20" t="n">
        <v>0.38922468</v>
      </c>
      <c r="M40" s="18" t="n">
        <v>0</v>
      </c>
      <c r="N40" s="20" t="n">
        <v>0</v>
      </c>
      <c r="O40" s="18" t="n">
        <v>0</v>
      </c>
      <c r="P40" s="20" t="n">
        <v>0</v>
      </c>
      <c r="Q40" s="18" t="n">
        <v>0</v>
      </c>
      <c r="R40" s="20" t="n">
        <v>0</v>
      </c>
    </row>
    <row r="41" spans="1:18">
      <c r="A41" s="15" t="s">
        <v>601</v>
      </c>
      <c r="B41" s="17" t="n">
        <v>2858</v>
      </c>
      <c r="C41" s="18">
        <f>(2518.0/B41*100)</f>
        <v/>
      </c>
      <c r="D41" s="19" t="n">
        <v>340</v>
      </c>
      <c r="E41" s="18" t="n">
        <v>53.73399185</v>
      </c>
      <c r="F41" s="20" t="n">
        <v>2.62730137</v>
      </c>
      <c r="G41" s="18" t="n">
        <v>44.63570502</v>
      </c>
      <c r="H41" s="20" t="n">
        <v>2.70629531</v>
      </c>
      <c r="I41" s="18" t="s">
        <v>567</v>
      </c>
      <c r="J41" s="20" t="s">
        <v>567</v>
      </c>
      <c r="K41" s="18" t="n">
        <v>1.63030313</v>
      </c>
      <c r="L41" s="20" t="n">
        <v>0.66916878</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(10254.0/B46*100)</f>
        <v/>
      </c>
      <c r="D46" s="19" t="n">
        <v>814</v>
      </c>
      <c r="E46" s="18" t="n">
        <v>66.99698994000001</v>
      </c>
      <c r="F46" s="20" t="n">
        <v>2.11742972</v>
      </c>
      <c r="G46" s="18" t="n">
        <v>28.77348492</v>
      </c>
      <c r="H46" s="20" t="n">
        <v>2.06807631</v>
      </c>
      <c r="I46" s="18" t="s">
        <v>567</v>
      </c>
      <c r="J46" s="20" t="s">
        <v>567</v>
      </c>
      <c r="K46" s="18" t="n">
        <v>4.22952513</v>
      </c>
      <c r="L46" s="20" t="n">
        <v>0.96850335</v>
      </c>
      <c r="M46" s="18" t="n">
        <v>0</v>
      </c>
      <c r="N46" s="20" t="n">
        <v>0</v>
      </c>
      <c r="O46" s="18" t="n">
        <v>0</v>
      </c>
      <c r="P46" s="20" t="n">
        <v>0</v>
      </c>
      <c r="Q46" s="18" t="n">
        <v>0</v>
      </c>
      <c r="R46" s="20" t="n">
        <v>0</v>
      </c>
    </row>
    <row r="47" spans="1:18">
      <c r="A47" s="15" t="s">
        <v>607</v>
      </c>
      <c r="B47" s="17" t="n">
        <v>3105</v>
      </c>
      <c r="C47" s="18">
        <f>(2770.0/B47*100)</f>
        <v/>
      </c>
      <c r="D47" s="19" t="n">
        <v>335</v>
      </c>
      <c r="E47" s="18" t="n">
        <v>47.04499772</v>
      </c>
      <c r="F47" s="20" t="n">
        <v>3.11398612</v>
      </c>
      <c r="G47" s="18" t="n">
        <v>50.2664359</v>
      </c>
      <c r="H47" s="20" t="n">
        <v>3.1146639</v>
      </c>
      <c r="I47" s="18" t="s">
        <v>567</v>
      </c>
      <c r="J47" s="20" t="s">
        <v>567</v>
      </c>
      <c r="K47" s="18" t="n">
        <v>2.68856638</v>
      </c>
      <c r="L47" s="20" t="n">
        <v>0.94232413</v>
      </c>
      <c r="M47" s="18" t="n">
        <v>0</v>
      </c>
      <c r="N47" s="20" t="n">
        <v>0</v>
      </c>
      <c r="O47" s="18" t="n">
        <v>0</v>
      </c>
      <c r="P47" s="20" t="n">
        <v>0</v>
      </c>
      <c r="Q47" s="18" t="n">
        <v>0</v>
      </c>
      <c r="R47" s="20" t="n">
        <v>0</v>
      </c>
    </row>
    <row r="48" spans="1:18">
      <c r="A48" s="15" t="s">
        <v>608</v>
      </c>
      <c r="B48" s="17" t="n">
        <v>5159</v>
      </c>
      <c r="C48" s="18">
        <f>(4615.0/B48*100)</f>
        <v/>
      </c>
      <c r="D48" s="19" t="n">
        <v>544</v>
      </c>
      <c r="E48" s="18" t="n">
        <v>42.9139257</v>
      </c>
      <c r="F48" s="20" t="n">
        <v>2.61504785</v>
      </c>
      <c r="G48" s="18" t="n">
        <v>56.0833493</v>
      </c>
      <c r="H48" s="20" t="n">
        <v>2.64750809</v>
      </c>
      <c r="I48" s="18" t="s">
        <v>567</v>
      </c>
      <c r="J48" s="20" t="s">
        <v>567</v>
      </c>
      <c r="K48" s="18" t="n">
        <v>1.002725</v>
      </c>
      <c r="L48" s="20" t="n">
        <v>0.76173862</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(5061.0/B50*100)</f>
        <v/>
      </c>
      <c r="D50" s="19" t="n">
        <v>576</v>
      </c>
      <c r="E50" s="18" t="n">
        <v>69.67110063</v>
      </c>
      <c r="F50" s="20" t="n">
        <v>2.47906183</v>
      </c>
      <c r="G50" s="18" t="n">
        <v>28.76045472</v>
      </c>
      <c r="H50" s="20" t="n">
        <v>2.41672132</v>
      </c>
      <c r="I50" s="18" t="s">
        <v>567</v>
      </c>
      <c r="J50" s="20" t="s">
        <v>567</v>
      </c>
      <c r="K50" s="18" t="n">
        <v>1.56844465</v>
      </c>
      <c r="L50" s="20" t="n">
        <v>0.62913995</v>
      </c>
      <c r="M50" s="18" t="n">
        <v>0</v>
      </c>
      <c r="N50" s="20" t="n">
        <v>0</v>
      </c>
      <c r="O50" s="18" t="n">
        <v>0</v>
      </c>
      <c r="P50" s="20" t="n">
        <v>0</v>
      </c>
      <c r="Q50" s="18" t="n">
        <v>0</v>
      </c>
      <c r="R50" s="20" t="n">
        <v>0</v>
      </c>
    </row>
    <row r="51" spans="1:18">
      <c r="A51" s="15" t="s">
        <v>611</v>
      </c>
      <c r="B51" s="17" t="n">
        <v>3372</v>
      </c>
      <c r="C51" s="18">
        <f>(2694.0/B51*100)</f>
        <v/>
      </c>
      <c r="D51" s="19" t="n">
        <v>678</v>
      </c>
      <c r="E51" s="18" t="n">
        <v>64.7069092</v>
      </c>
      <c r="F51" s="20" t="n">
        <v>2.03352038</v>
      </c>
      <c r="G51" s="18" t="n">
        <v>34.16282206</v>
      </c>
      <c r="H51" s="20" t="n">
        <v>1.9285614</v>
      </c>
      <c r="I51" s="18" t="s">
        <v>567</v>
      </c>
      <c r="J51" s="20" t="s">
        <v>567</v>
      </c>
      <c r="K51" s="18" t="n">
        <v>1.13026873</v>
      </c>
      <c r="L51" s="20" t="n">
        <v>0.52880582</v>
      </c>
      <c r="M51" s="18" t="n">
        <v>0</v>
      </c>
      <c r="N51" s="20" t="n">
        <v>0</v>
      </c>
      <c r="O51" s="18" t="n">
        <v>0</v>
      </c>
      <c r="P51" s="20" t="n">
        <v>0</v>
      </c>
      <c r="Q51" s="18" t="n">
        <v>0</v>
      </c>
      <c r="R51" s="20" t="n">
        <v>0</v>
      </c>
    </row>
    <row r="52" spans="1:18">
      <c r="A52" s="15" t="s">
        <v>612</v>
      </c>
      <c r="B52" s="17" t="n">
        <v>2796</v>
      </c>
      <c r="C52" s="18">
        <f>(2521.0/B52*100)</f>
        <v/>
      </c>
      <c r="D52" s="19" t="n">
        <v>275</v>
      </c>
      <c r="E52" s="18" t="n">
        <v>35.73965314</v>
      </c>
      <c r="F52" s="20" t="n">
        <v>2.36325597</v>
      </c>
      <c r="G52" s="18" t="n">
        <v>63.80473899</v>
      </c>
      <c r="H52" s="20" t="n">
        <v>2.42838982</v>
      </c>
      <c r="I52" s="18" t="s">
        <v>567</v>
      </c>
      <c r="J52" s="20" t="s">
        <v>567</v>
      </c>
      <c r="K52" s="18" t="n">
        <v>0.45560787</v>
      </c>
      <c r="L52" s="20" t="n">
        <v>0.45310326</v>
      </c>
      <c r="M52" s="18" t="n">
        <v>0</v>
      </c>
      <c r="N52" s="20" t="n">
        <v>0</v>
      </c>
      <c r="O52" s="18" t="n">
        <v>0</v>
      </c>
      <c r="P52" s="20" t="n">
        <v>0</v>
      </c>
      <c r="Q52" s="18" t="n">
        <v>0</v>
      </c>
      <c r="R52" s="20" t="n">
        <v>0</v>
      </c>
    </row>
    <row r="53" spans="1:18">
      <c r="A53" s="15" t="s">
        <v>613</v>
      </c>
      <c r="B53" s="17" t="n">
        <v>2811</v>
      </c>
      <c r="C53" s="18">
        <f>(2531.0/B53*100)</f>
        <v/>
      </c>
      <c r="D53" s="19" t="n">
        <v>280</v>
      </c>
      <c r="E53" s="18" t="n">
        <v>55.06479782</v>
      </c>
      <c r="F53" s="20" t="n">
        <v>2.76795384</v>
      </c>
      <c r="G53" s="18" t="n">
        <v>43.2209897</v>
      </c>
      <c r="H53" s="20" t="n">
        <v>2.82340187</v>
      </c>
      <c r="I53" s="18" t="s">
        <v>567</v>
      </c>
      <c r="J53" s="20" t="s">
        <v>567</v>
      </c>
      <c r="K53" s="18" t="n">
        <v>1.71421248</v>
      </c>
      <c r="L53" s="20" t="n">
        <v>0.82003735</v>
      </c>
      <c r="M53" s="18" t="n">
        <v>0</v>
      </c>
      <c r="N53" s="20" t="n">
        <v>0</v>
      </c>
      <c r="O53" s="18" t="n">
        <v>0</v>
      </c>
      <c r="P53" s="20" t="n">
        <v>0</v>
      </c>
      <c r="Q53" s="18" t="n">
        <v>0</v>
      </c>
      <c r="R53" s="20" t="n">
        <v>0</v>
      </c>
    </row>
    <row r="54" spans="1:18">
      <c r="A54" s="15" t="s">
        <v>614</v>
      </c>
      <c r="B54" s="17" t="n">
        <v>2266</v>
      </c>
      <c r="C54" s="18">
        <f>(2017.0/B54*100)</f>
        <v/>
      </c>
      <c r="D54" s="19" t="n">
        <v>249</v>
      </c>
      <c r="E54" s="18" t="n">
        <v>55.41951548</v>
      </c>
      <c r="F54" s="20" t="n">
        <v>3.90697389</v>
      </c>
      <c r="G54" s="18" t="n">
        <v>24.28148984</v>
      </c>
      <c r="H54" s="20" t="n">
        <v>2.74002965</v>
      </c>
      <c r="I54" s="18" t="s">
        <v>567</v>
      </c>
      <c r="J54" s="20" t="s">
        <v>567</v>
      </c>
      <c r="K54" s="18" t="n">
        <v>20.29899468</v>
      </c>
      <c r="L54" s="20" t="n">
        <v>3.15245516</v>
      </c>
      <c r="M54" s="18" t="n">
        <v>0</v>
      </c>
      <c r="N54" s="20" t="n">
        <v>0</v>
      </c>
      <c r="O54" s="18" t="n">
        <v>0</v>
      </c>
      <c r="P54" s="20" t="n">
        <v>0</v>
      </c>
      <c r="Q54" s="18" t="n">
        <v>0</v>
      </c>
      <c r="R54" s="20" t="n">
        <v>0</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(2394.0/B56*100)</f>
        <v/>
      </c>
      <c r="D56" s="19" t="n">
        <v>290</v>
      </c>
      <c r="E56" s="18" t="n">
        <v>38.21259142</v>
      </c>
      <c r="F56" s="20" t="n">
        <v>3.44285801</v>
      </c>
      <c r="G56" s="18" t="n">
        <v>61.17139838</v>
      </c>
      <c r="H56" s="20" t="n">
        <v>3.31686255</v>
      </c>
      <c r="I56" s="18" t="s">
        <v>567</v>
      </c>
      <c r="J56" s="20" t="s">
        <v>567</v>
      </c>
      <c r="K56" s="18" t="n">
        <v>0.6160102</v>
      </c>
      <c r="L56" s="20" t="n">
        <v>0.44745514</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(3000.0/B61*100)</f>
        <v/>
      </c>
      <c r="D61" s="19" t="n">
        <v>324</v>
      </c>
      <c r="E61" s="18" t="n">
        <v>43.69765542</v>
      </c>
      <c r="F61" s="20" t="n">
        <v>2.86914557</v>
      </c>
      <c r="G61" s="18" t="n">
        <v>55.70226252</v>
      </c>
      <c r="H61" s="20" t="n">
        <v>2.90795677</v>
      </c>
      <c r="I61" s="18" t="s">
        <v>567</v>
      </c>
      <c r="J61" s="20" t="s">
        <v>567</v>
      </c>
      <c r="K61" s="18" t="n">
        <v>0.60008207</v>
      </c>
      <c r="L61" s="20" t="n">
        <v>0.46523502</v>
      </c>
      <c r="M61" s="18" t="n">
        <v>0</v>
      </c>
      <c r="N61" s="20" t="n">
        <v>0</v>
      </c>
      <c r="O61" s="18" t="n">
        <v>0</v>
      </c>
      <c r="P61" s="20" t="n">
        <v>0</v>
      </c>
      <c r="Q61" s="18" t="n">
        <v>0</v>
      </c>
      <c r="R61" s="20" t="n">
        <v>0</v>
      </c>
    </row>
    <row r="62" spans="1:18">
      <c r="A62" s="15" t="s">
        <v>622</v>
      </c>
      <c r="B62" s="17" t="n">
        <v>2246</v>
      </c>
      <c r="C62" s="18">
        <f>(1999.0/B62*100)</f>
        <v/>
      </c>
      <c r="D62" s="19" t="n">
        <v>247</v>
      </c>
      <c r="E62" s="18" t="n">
        <v>41.23212944</v>
      </c>
      <c r="F62" s="20" t="n">
        <v>2.44794201</v>
      </c>
      <c r="G62" s="18" t="n">
        <v>58.76787056</v>
      </c>
      <c r="H62" s="20" t="n">
        <v>2.44794201</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(2607.0/B66*100)</f>
        <v/>
      </c>
      <c r="D66" s="19" t="n">
        <v>287</v>
      </c>
      <c r="E66" s="18" t="n">
        <v>0</v>
      </c>
      <c r="F66" s="20" t="n">
        <v>0</v>
      </c>
      <c r="G66" s="18" t="n">
        <v>0</v>
      </c>
      <c r="H66" s="20" t="n">
        <v>0</v>
      </c>
      <c r="I66" s="18" t="s">
        <v>567</v>
      </c>
      <c r="J66" s="20" t="s">
        <v>567</v>
      </c>
      <c r="K66" s="18" t="n">
        <v>0</v>
      </c>
      <c r="L66" s="20" t="n">
        <v>0</v>
      </c>
      <c r="M66" s="18" t="n">
        <v>100</v>
      </c>
      <c r="N66" s="20" t="n">
        <v>0</v>
      </c>
      <c r="O66" s="18" t="n">
        <v>0</v>
      </c>
      <c r="P66" s="20" t="n">
        <v>0</v>
      </c>
      <c r="Q66" s="18" t="n">
        <v>0</v>
      </c>
      <c r="R66" s="20" t="n">
        <v>0</v>
      </c>
    </row>
    <row r="67" spans="1:18">
      <c r="A67" s="15" t="s">
        <v>627</v>
      </c>
      <c r="B67" s="17" t="n">
        <v>3511</v>
      </c>
      <c r="C67" s="18">
        <f>(3212.0/B67*100)</f>
        <v/>
      </c>
      <c r="D67" s="19" t="n">
        <v>299</v>
      </c>
      <c r="E67" s="18" t="n">
        <v>62.86320909</v>
      </c>
      <c r="F67" s="20" t="n">
        <v>3.45414996</v>
      </c>
      <c r="G67" s="18" t="n">
        <v>35.55181396</v>
      </c>
      <c r="H67" s="20" t="n">
        <v>3.16937125</v>
      </c>
      <c r="I67" s="18" t="s">
        <v>567</v>
      </c>
      <c r="J67" s="20" t="s">
        <v>567</v>
      </c>
      <c r="K67" s="18" t="n">
        <v>1.58497695</v>
      </c>
      <c r="L67" s="20" t="n">
        <v>0.71208033</v>
      </c>
      <c r="M67" s="18" t="n">
        <v>0</v>
      </c>
      <c r="N67" s="20" t="n">
        <v>0</v>
      </c>
      <c r="O67" s="18" t="n">
        <v>0</v>
      </c>
      <c r="P67" s="20" t="n">
        <v>0</v>
      </c>
      <c r="Q67" s="18" t="n">
        <v>0</v>
      </c>
      <c r="R67" s="20" t="n">
        <v>0</v>
      </c>
    </row>
    <row r="68" spans="1:18">
      <c r="A68" s="15" t="s">
        <v>628</v>
      </c>
      <c r="B68" s="17" t="n">
        <v>6049</v>
      </c>
      <c r="C68" s="18">
        <f>(5393.0/B68*100)</f>
        <v/>
      </c>
      <c r="D68" s="19" t="n">
        <v>656</v>
      </c>
      <c r="E68" s="18" t="n">
        <v>55.57616707</v>
      </c>
      <c r="F68" s="20" t="n">
        <v>1.93935912</v>
      </c>
      <c r="G68" s="18" t="n">
        <v>37.05973039</v>
      </c>
      <c r="H68" s="20" t="n">
        <v>1.92970139</v>
      </c>
      <c r="I68" s="18" t="s">
        <v>567</v>
      </c>
      <c r="J68" s="20" t="s">
        <v>567</v>
      </c>
      <c r="K68" s="18" t="n">
        <v>7.36410254</v>
      </c>
      <c r="L68" s="20" t="n">
        <v>0.92882878</v>
      </c>
      <c r="M68" s="18" t="n">
        <v>0</v>
      </c>
      <c r="N68" s="20" t="n">
        <v>0</v>
      </c>
      <c r="O68" s="18" t="n">
        <v>0</v>
      </c>
      <c r="P68" s="20" t="n">
        <v>0</v>
      </c>
      <c r="Q68" s="18" t="n">
        <v>0</v>
      </c>
      <c r="R68" s="20" t="n">
        <v>0</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(2659.0/B70*100)</f>
        <v/>
      </c>
      <c r="D70" s="19" t="n">
        <v>270</v>
      </c>
      <c r="E70" s="18" t="n">
        <v>32.77273558</v>
      </c>
      <c r="F70" s="20" t="n">
        <v>3.67977631</v>
      </c>
      <c r="G70" s="18" t="n">
        <v>66.15371783000001</v>
      </c>
      <c r="H70" s="20" t="n">
        <v>3.59881054</v>
      </c>
      <c r="I70" s="18" t="s">
        <v>567</v>
      </c>
      <c r="J70" s="20" t="s">
        <v>567</v>
      </c>
      <c r="K70" s="18" t="n">
        <v>1.07354659</v>
      </c>
      <c r="L70" s="20" t="n">
        <v>0.27163796</v>
      </c>
      <c r="M70" s="18" t="n">
        <v>0</v>
      </c>
      <c r="N70" s="20" t="n">
        <v>0</v>
      </c>
      <c r="O70" s="18" t="n">
        <v>0</v>
      </c>
      <c r="P70" s="20" t="n">
        <v>0</v>
      </c>
      <c r="Q70" s="18" t="n">
        <v>0</v>
      </c>
      <c r="R70" s="20" t="n">
        <v>0</v>
      </c>
    </row>
    <row r="71" spans="1:18">
      <c r="A71" s="15" t="s">
        <v>631</v>
      </c>
      <c r="B71" s="17" t="n">
        <v>3142</v>
      </c>
      <c r="C71" s="18">
        <f>(2783.0/B71*100)</f>
        <v/>
      </c>
      <c r="D71" s="19" t="n">
        <v>359</v>
      </c>
      <c r="E71" s="18" t="n">
        <v>44.3547015</v>
      </c>
      <c r="F71" s="20" t="n">
        <v>2.91878712</v>
      </c>
      <c r="G71" s="18" t="n">
        <v>55.6452985</v>
      </c>
      <c r="H71" s="20" t="n">
        <v>2.91878712</v>
      </c>
      <c r="I71" s="18" t="s">
        <v>567</v>
      </c>
      <c r="J71" s="20" t="s">
        <v>567</v>
      </c>
      <c r="K71" s="18" t="n">
        <v>0</v>
      </c>
      <c r="L71" s="20" t="n">
        <v>0</v>
      </c>
      <c r="M71" s="18" t="n">
        <v>0</v>
      </c>
      <c r="N71" s="20" t="n">
        <v>0</v>
      </c>
      <c r="O71" s="18" t="n">
        <v>0</v>
      </c>
      <c r="P71" s="20" t="n">
        <v>0</v>
      </c>
      <c r="Q71" s="18" t="n">
        <v>0</v>
      </c>
      <c r="R71" s="20" t="n">
        <v>0</v>
      </c>
    </row>
    <row r="72" spans="1:18">
      <c r="A72" s="15" t="s">
        <v>632</v>
      </c>
      <c r="B72" s="17" t="n">
        <v>3889</v>
      </c>
      <c r="C72" s="18">
        <f>(3452.0/B72*100)</f>
        <v/>
      </c>
      <c r="D72" s="19" t="n">
        <v>437</v>
      </c>
      <c r="E72" s="18" t="n">
        <v>26.59773417</v>
      </c>
      <c r="F72" s="20" t="n">
        <v>2.2556829</v>
      </c>
      <c r="G72" s="18" t="n">
        <v>73.17836631999999</v>
      </c>
      <c r="H72" s="20" t="n">
        <v>2.23722317</v>
      </c>
      <c r="I72" s="18" t="s">
        <v>567</v>
      </c>
      <c r="J72" s="20" t="s">
        <v>567</v>
      </c>
      <c r="K72" s="18" t="n">
        <v>0.22389951</v>
      </c>
      <c r="L72" s="20" t="n">
        <v>0.1597023</v>
      </c>
      <c r="M72" s="18" t="n">
        <v>0</v>
      </c>
      <c r="N72" s="20" t="n">
        <v>0</v>
      </c>
      <c r="O72" s="18" t="n">
        <v>0</v>
      </c>
      <c r="P72" s="20" t="n">
        <v>0</v>
      </c>
      <c r="Q72" s="18" t="n">
        <v>0</v>
      </c>
      <c r="R72" s="20" t="n">
        <v>0</v>
      </c>
    </row>
    <row r="73" spans="1:18">
      <c r="A73" s="15" t="s">
        <v>633</v>
      </c>
      <c r="B73" s="17" t="n">
        <v>3597</v>
      </c>
      <c r="C73" s="18">
        <f>(3207.0/B73*100)</f>
        <v/>
      </c>
      <c r="D73" s="19" t="n">
        <v>390</v>
      </c>
      <c r="E73" s="18" t="n">
        <v>57.87719532</v>
      </c>
      <c r="F73" s="20" t="n">
        <v>2.67753867</v>
      </c>
      <c r="G73" s="18" t="n">
        <v>41.13486689</v>
      </c>
      <c r="H73" s="20" t="n">
        <v>2.63576448</v>
      </c>
      <c r="I73" s="18" t="s">
        <v>567</v>
      </c>
      <c r="J73" s="20" t="s">
        <v>567</v>
      </c>
      <c r="K73" s="18" t="n">
        <v>0.98793779</v>
      </c>
      <c r="L73" s="20" t="n">
        <v>0.64521947</v>
      </c>
      <c r="M73" s="18" t="n">
        <v>0</v>
      </c>
      <c r="N73" s="20" t="n">
        <v>0</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(2184.0/B75*100)</f>
        <v/>
      </c>
      <c r="D75" s="19" t="n">
        <v>222</v>
      </c>
      <c r="E75" s="18" t="n">
        <v>55.12222312</v>
      </c>
      <c r="F75" s="20" t="n">
        <v>3.83277631</v>
      </c>
      <c r="G75" s="18" t="n">
        <v>36.57033694</v>
      </c>
      <c r="H75" s="20" t="n">
        <v>3.63084964</v>
      </c>
      <c r="I75" s="18" t="s">
        <v>567</v>
      </c>
      <c r="J75" s="20" t="s">
        <v>567</v>
      </c>
      <c r="K75" s="18" t="n">
        <v>8.30743994</v>
      </c>
      <c r="L75" s="20" t="n">
        <v>1.8687406</v>
      </c>
      <c r="M75" s="18" t="n">
        <v>0</v>
      </c>
      <c r="N75" s="20" t="n">
        <v>0</v>
      </c>
      <c r="O75" s="18" t="n">
        <v>0</v>
      </c>
      <c r="P75" s="20" t="n">
        <v>0</v>
      </c>
      <c r="Q75" s="18" t="n">
        <v>0</v>
      </c>
      <c r="R75" s="20" t="n">
        <v>0</v>
      </c>
    </row>
    <row r="76" spans="1:18">
      <c r="A76" s="15" t="s">
        <v>636</v>
      </c>
      <c r="B76" s="17" t="n">
        <v>7052</v>
      </c>
      <c r="C76" s="18">
        <f>(6281.0/B76*100)</f>
        <v/>
      </c>
      <c r="D76" s="19" t="n">
        <v>771</v>
      </c>
      <c r="E76" s="18" t="n">
        <v>60.15355181</v>
      </c>
      <c r="F76" s="20" t="n">
        <v>2.46913982</v>
      </c>
      <c r="G76" s="18" t="n">
        <v>38.4833257</v>
      </c>
      <c r="H76" s="20" t="n">
        <v>2.46207192</v>
      </c>
      <c r="I76" s="18" t="s">
        <v>567</v>
      </c>
      <c r="J76" s="20" t="s">
        <v>567</v>
      </c>
      <c r="K76" s="18" t="n">
        <v>1.36312249</v>
      </c>
      <c r="L76" s="20" t="n">
        <v>0.50565564</v>
      </c>
      <c r="M76" s="18" t="n">
        <v>0</v>
      </c>
      <c r="N76" s="20" t="n">
        <v>0</v>
      </c>
      <c r="O76" s="18" t="n">
        <v>0</v>
      </c>
      <c r="P76" s="20" t="n">
        <v>0</v>
      </c>
      <c r="Q76" s="18" t="n">
        <v>0</v>
      </c>
      <c r="R76" s="20" t="n">
        <v>0</v>
      </c>
    </row>
    <row r="77" spans="1:18">
      <c r="A77" s="15" t="s">
        <v>637</v>
      </c>
      <c r="B77" s="17" t="n">
        <v>2908</v>
      </c>
      <c r="C77" s="18">
        <f>(2633.0/B77*100)</f>
        <v/>
      </c>
      <c r="D77" s="19" t="n">
        <v>275</v>
      </c>
      <c r="E77" s="18" t="n">
        <v>47.14742202</v>
      </c>
      <c r="F77" s="20" t="n">
        <v>3.11050892</v>
      </c>
      <c r="G77" s="18" t="n">
        <v>46.6176918</v>
      </c>
      <c r="H77" s="20" t="n">
        <v>3.47304931</v>
      </c>
      <c r="I77" s="18" t="s">
        <v>567</v>
      </c>
      <c r="J77" s="20" t="s">
        <v>567</v>
      </c>
      <c r="K77" s="18" t="n">
        <v>6.23488617</v>
      </c>
      <c r="L77" s="20" t="n">
        <v>1.68770045</v>
      </c>
      <c r="M77" s="18" t="n">
        <v>0</v>
      </c>
      <c r="N77" s="20" t="n">
        <v>0</v>
      </c>
      <c r="O77" s="18" t="n">
        <v>0</v>
      </c>
      <c r="P77" s="20" t="n">
        <v>0</v>
      </c>
      <c r="Q77" s="18" t="n">
        <v>0</v>
      </c>
      <c r="R77" s="20" t="n">
        <v>0</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(3717.0/B81*100)</f>
        <v/>
      </c>
      <c r="D81" s="19" t="n">
        <v>446</v>
      </c>
      <c r="E81" s="18" t="n">
        <v>62.3176334</v>
      </c>
      <c r="F81" s="20" t="n">
        <v>2.74262731</v>
      </c>
      <c r="G81" s="18" t="n">
        <v>35.65091422</v>
      </c>
      <c r="H81" s="20" t="n">
        <v>2.59454274</v>
      </c>
      <c r="I81" s="18" t="s">
        <v>567</v>
      </c>
      <c r="J81" s="20" t="s">
        <v>567</v>
      </c>
      <c r="K81" s="18" t="n">
        <v>2.03145238</v>
      </c>
      <c r="L81" s="20" t="n">
        <v>0.81029734</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(6578.0/B7*100)</f>
        <v/>
      </c>
      <c r="D7" s="19" t="n">
        <v>789</v>
      </c>
      <c r="E7" s="18" t="n">
        <v>29.47314242</v>
      </c>
      <c r="F7" s="20" t="n">
        <v>1.91814028</v>
      </c>
      <c r="G7" s="18" t="n">
        <v>59.78789445</v>
      </c>
      <c r="H7" s="20" t="n">
        <v>1.93406735</v>
      </c>
      <c r="I7" s="18" t="s">
        <v>567</v>
      </c>
      <c r="J7" s="20" t="s">
        <v>567</v>
      </c>
      <c r="K7" s="18" t="n">
        <v>0.2812177</v>
      </c>
      <c r="L7" s="20" t="n">
        <v>0.21779503</v>
      </c>
      <c r="M7" s="18" t="n">
        <v>0.06744155</v>
      </c>
      <c r="N7" s="20" t="n">
        <v>0.03326508</v>
      </c>
      <c r="O7" s="18" t="n">
        <v>0</v>
      </c>
      <c r="P7" s="20" t="n">
        <v>0</v>
      </c>
      <c r="Q7" s="18" t="n">
        <v>10.39030388</v>
      </c>
      <c r="R7" s="20" t="n">
        <v>1.23581756</v>
      </c>
    </row>
    <row r="8" spans="1:18">
      <c r="A8" s="15" t="s">
        <v>568</v>
      </c>
      <c r="B8" s="17" t="n">
        <v>3564</v>
      </c>
      <c r="C8" s="18">
        <f>(3175.0/B8*100)</f>
        <v/>
      </c>
      <c r="D8" s="19" t="n">
        <v>389</v>
      </c>
      <c r="E8" s="18" t="n">
        <v>35.89246364</v>
      </c>
      <c r="F8" s="20" t="n">
        <v>2.79512616</v>
      </c>
      <c r="G8" s="18" t="n">
        <v>46.4735481</v>
      </c>
      <c r="H8" s="20" t="n">
        <v>2.76378941</v>
      </c>
      <c r="I8" s="18" t="s">
        <v>567</v>
      </c>
      <c r="J8" s="20" t="s">
        <v>567</v>
      </c>
      <c r="K8" s="18" t="n">
        <v>0</v>
      </c>
      <c r="L8" s="20" t="n">
        <v>0</v>
      </c>
      <c r="M8" s="18" t="n">
        <v>0</v>
      </c>
      <c r="N8" s="20" t="n">
        <v>0</v>
      </c>
      <c r="O8" s="18" t="n">
        <v>0</v>
      </c>
      <c r="P8" s="20" t="n">
        <v>0</v>
      </c>
      <c r="Q8" s="18" t="n">
        <v>17.63398826</v>
      </c>
      <c r="R8" s="20" t="n">
        <v>1.84001135</v>
      </c>
    </row>
    <row r="9" spans="1:18">
      <c r="A9" s="15" t="s">
        <v>569</v>
      </c>
      <c r="B9" s="17" t="n">
        <v>4899</v>
      </c>
      <c r="C9" s="18">
        <f>(4367.0/B9*100)</f>
        <v/>
      </c>
      <c r="D9" s="19" t="n">
        <v>532</v>
      </c>
      <c r="E9" s="18" t="n">
        <v>28.95528657</v>
      </c>
      <c r="F9" s="20" t="n">
        <v>2.3598583</v>
      </c>
      <c r="G9" s="18" t="n">
        <v>50.99996495</v>
      </c>
      <c r="H9" s="20" t="n">
        <v>2.15955586</v>
      </c>
      <c r="I9" s="18" t="s">
        <v>567</v>
      </c>
      <c r="J9" s="20" t="s">
        <v>567</v>
      </c>
      <c r="K9" s="18" t="n">
        <v>0</v>
      </c>
      <c r="L9" s="20" t="n">
        <v>0</v>
      </c>
      <c r="M9" s="18" t="n">
        <v>0.64643006</v>
      </c>
      <c r="N9" s="20" t="n">
        <v>0.39059178</v>
      </c>
      <c r="O9" s="18" t="n">
        <v>0</v>
      </c>
      <c r="P9" s="20" t="n">
        <v>0</v>
      </c>
      <c r="Q9" s="18" t="n">
        <v>19.39831842</v>
      </c>
      <c r="R9" s="20" t="n">
        <v>2.04289301</v>
      </c>
    </row>
    <row r="10" spans="1:18">
      <c r="A10" s="15" t="s">
        <v>570</v>
      </c>
      <c r="B10" s="17" t="n">
        <v>10036</v>
      </c>
      <c r="C10" s="18">
        <f>(8875.0/B10*100)</f>
        <v/>
      </c>
      <c r="D10" s="19" t="n">
        <v>1161</v>
      </c>
      <c r="E10" s="18" t="n">
        <v>28.00528938</v>
      </c>
      <c r="F10" s="20" t="n">
        <v>2.06774279</v>
      </c>
      <c r="G10" s="18" t="n">
        <v>63.60165164</v>
      </c>
      <c r="H10" s="20" t="n">
        <v>2.32761492</v>
      </c>
      <c r="I10" s="18" t="s">
        <v>567</v>
      </c>
      <c r="J10" s="20" t="s">
        <v>567</v>
      </c>
      <c r="K10" s="18" t="n">
        <v>0.35144173</v>
      </c>
      <c r="L10" s="20" t="n">
        <v>0.25167816</v>
      </c>
      <c r="M10" s="18" t="n">
        <v>0</v>
      </c>
      <c r="N10" s="20" t="n">
        <v>0</v>
      </c>
      <c r="O10" s="18" t="n">
        <v>0</v>
      </c>
      <c r="P10" s="20" t="n">
        <v>0</v>
      </c>
      <c r="Q10" s="18" t="n">
        <v>8.04161725</v>
      </c>
      <c r="R10" s="20" t="n">
        <v>1.15293917</v>
      </c>
    </row>
    <row r="11" spans="1:18">
      <c r="A11" s="15" t="s">
        <v>571</v>
      </c>
      <c r="B11" s="17" t="n">
        <v>3553</v>
      </c>
      <c r="C11" s="18">
        <f>(3167.0/B11*100)</f>
        <v/>
      </c>
      <c r="D11" s="19" t="n">
        <v>386</v>
      </c>
      <c r="E11" s="18" t="n">
        <v>39.00908079</v>
      </c>
      <c r="F11" s="20" t="n">
        <v>3.14809241</v>
      </c>
      <c r="G11" s="18" t="n">
        <v>45.84632785</v>
      </c>
      <c r="H11" s="20" t="n">
        <v>3.67303745</v>
      </c>
      <c r="I11" s="18" t="s">
        <v>567</v>
      </c>
      <c r="J11" s="20" t="s">
        <v>567</v>
      </c>
      <c r="K11" s="18" t="n">
        <v>0.33866373</v>
      </c>
      <c r="L11" s="20" t="n">
        <v>0.28411186</v>
      </c>
      <c r="M11" s="18" t="n">
        <v>0</v>
      </c>
      <c r="N11" s="20" t="n">
        <v>0</v>
      </c>
      <c r="O11" s="18" t="n">
        <v>0</v>
      </c>
      <c r="P11" s="20" t="n">
        <v>0</v>
      </c>
      <c r="Q11" s="18" t="n">
        <v>14.80592763</v>
      </c>
      <c r="R11" s="20" t="n">
        <v>2.64883005</v>
      </c>
    </row>
    <row r="12" spans="1:18">
      <c r="A12" s="15" t="s">
        <v>572</v>
      </c>
      <c r="B12" s="17" t="n">
        <v>3472</v>
      </c>
      <c r="C12" s="18">
        <f>(3070.0/B12*100)</f>
        <v/>
      </c>
      <c r="D12" s="19" t="n">
        <v>402</v>
      </c>
      <c r="E12" s="18" t="n">
        <v>31.95242292</v>
      </c>
      <c r="F12" s="20" t="n">
        <v>2.84154495</v>
      </c>
      <c r="G12" s="18" t="n">
        <v>41.89378216</v>
      </c>
      <c r="H12" s="20" t="n">
        <v>3.01566649</v>
      </c>
      <c r="I12" s="18" t="s">
        <v>567</v>
      </c>
      <c r="J12" s="20" t="s">
        <v>567</v>
      </c>
      <c r="K12" s="18" t="n">
        <v>0</v>
      </c>
      <c r="L12" s="20" t="n">
        <v>0</v>
      </c>
      <c r="M12" s="18" t="n">
        <v>0</v>
      </c>
      <c r="N12" s="20" t="n">
        <v>0</v>
      </c>
      <c r="O12" s="18" t="n">
        <v>0</v>
      </c>
      <c r="P12" s="20" t="n">
        <v>0</v>
      </c>
      <c r="Q12" s="18" t="n">
        <v>26.15379492</v>
      </c>
      <c r="R12" s="20" t="n">
        <v>3.01310409</v>
      </c>
    </row>
    <row r="13" spans="1:18">
      <c r="A13" s="15" t="s">
        <v>573</v>
      </c>
      <c r="B13" s="17" t="n">
        <v>3559</v>
      </c>
      <c r="C13" s="18">
        <f>(3179.0/B13*100)</f>
        <v/>
      </c>
      <c r="D13" s="19" t="n">
        <v>380</v>
      </c>
      <c r="E13" s="18" t="n">
        <v>29.67618299</v>
      </c>
      <c r="F13" s="20" t="n">
        <v>2.94795431</v>
      </c>
      <c r="G13" s="18" t="n">
        <v>58.03149521</v>
      </c>
      <c r="H13" s="20" t="n">
        <v>3.02134362</v>
      </c>
      <c r="I13" s="18" t="s">
        <v>567</v>
      </c>
      <c r="J13" s="20" t="s">
        <v>567</v>
      </c>
      <c r="K13" s="18" t="n">
        <v>0.08200894</v>
      </c>
      <c r="L13" s="20" t="n">
        <v>0.0827478</v>
      </c>
      <c r="M13" s="18" t="n">
        <v>0</v>
      </c>
      <c r="N13" s="20" t="n">
        <v>0</v>
      </c>
      <c r="O13" s="18" t="n">
        <v>0</v>
      </c>
      <c r="P13" s="20" t="n">
        <v>0</v>
      </c>
      <c r="Q13" s="18" t="n">
        <v>12.21031286</v>
      </c>
      <c r="R13" s="20" t="n">
        <v>1.61349432</v>
      </c>
    </row>
    <row r="14" spans="1:18">
      <c r="A14" s="15" t="s">
        <v>574</v>
      </c>
      <c r="B14" s="17" t="n">
        <v>2799</v>
      </c>
      <c r="C14" s="18">
        <f>(2485.0/B14*100)</f>
        <v/>
      </c>
      <c r="D14" s="19" t="n">
        <v>314</v>
      </c>
      <c r="E14" s="18" t="n">
        <v>29.32818876</v>
      </c>
      <c r="F14" s="20" t="n">
        <v>2.63421603</v>
      </c>
      <c r="G14" s="18" t="n">
        <v>58.90344079</v>
      </c>
      <c r="H14" s="20" t="n">
        <v>2.99226801</v>
      </c>
      <c r="I14" s="18" t="s">
        <v>567</v>
      </c>
      <c r="J14" s="20" t="s">
        <v>567</v>
      </c>
      <c r="K14" s="18" t="n">
        <v>0</v>
      </c>
      <c r="L14" s="20" t="n">
        <v>0</v>
      </c>
      <c r="M14" s="18" t="n">
        <v>0</v>
      </c>
      <c r="N14" s="20" t="n">
        <v>0</v>
      </c>
      <c r="O14" s="18" t="n">
        <v>0</v>
      </c>
      <c r="P14" s="20" t="n">
        <v>0</v>
      </c>
      <c r="Q14" s="18" t="n">
        <v>11.76837045</v>
      </c>
      <c r="R14" s="20" t="n">
        <v>2.17499447</v>
      </c>
    </row>
    <row r="15" spans="1:18">
      <c r="A15" s="15" t="s">
        <v>575</v>
      </c>
      <c r="B15" s="17" t="n">
        <v>3019</v>
      </c>
      <c r="C15" s="18">
        <f>(2720.0/B15*100)</f>
        <v/>
      </c>
      <c r="D15" s="19" t="n">
        <v>299</v>
      </c>
      <c r="E15" s="18" t="n">
        <v>30.0688136</v>
      </c>
      <c r="F15" s="20" t="n">
        <v>2.74626942</v>
      </c>
      <c r="G15" s="18" t="n">
        <v>53.62015905</v>
      </c>
      <c r="H15" s="20" t="n">
        <v>3.39439054</v>
      </c>
      <c r="I15" s="18" t="s">
        <v>567</v>
      </c>
      <c r="J15" s="20" t="s">
        <v>567</v>
      </c>
      <c r="K15" s="18" t="n">
        <v>0</v>
      </c>
      <c r="L15" s="20" t="n">
        <v>0</v>
      </c>
      <c r="M15" s="18" t="n">
        <v>0</v>
      </c>
      <c r="N15" s="20" t="n">
        <v>0</v>
      </c>
      <c r="O15" s="18" t="n">
        <v>0</v>
      </c>
      <c r="P15" s="20" t="n">
        <v>0</v>
      </c>
      <c r="Q15" s="18" t="n">
        <v>16.31102736</v>
      </c>
      <c r="R15" s="20" t="n">
        <v>2.49979939</v>
      </c>
    </row>
    <row r="16" spans="1:18">
      <c r="A16" s="15" t="s">
        <v>576</v>
      </c>
      <c r="B16" s="17" t="n">
        <v>2997</v>
      </c>
      <c r="C16" s="18">
        <f>(2672.0/B16*100)</f>
        <v/>
      </c>
      <c r="D16" s="19" t="n">
        <v>325</v>
      </c>
      <c r="E16" s="18" t="n">
        <v>29.96768943</v>
      </c>
      <c r="F16" s="20" t="n">
        <v>2.63488179</v>
      </c>
      <c r="G16" s="18" t="n">
        <v>45.55164925</v>
      </c>
      <c r="H16" s="20" t="n">
        <v>2.86884996</v>
      </c>
      <c r="I16" s="18" t="s">
        <v>567</v>
      </c>
      <c r="J16" s="20" t="s">
        <v>567</v>
      </c>
      <c r="K16" s="18" t="n">
        <v>0.32908077</v>
      </c>
      <c r="L16" s="20" t="n">
        <v>0.24602152</v>
      </c>
      <c r="M16" s="18" t="n">
        <v>0</v>
      </c>
      <c r="N16" s="20" t="n">
        <v>0</v>
      </c>
      <c r="O16" s="18" t="n">
        <v>0</v>
      </c>
      <c r="P16" s="20" t="n">
        <v>0</v>
      </c>
      <c r="Q16" s="18" t="n">
        <v>24.15158055</v>
      </c>
      <c r="R16" s="20" t="n">
        <v>2.12809707</v>
      </c>
    </row>
    <row r="17" spans="1:18">
      <c r="A17" s="15" t="s">
        <v>577</v>
      </c>
      <c r="B17" s="17" t="n">
        <v>3307</v>
      </c>
      <c r="C17" s="18">
        <f>(2969.0/B17*100)</f>
        <v/>
      </c>
      <c r="D17" s="19" t="n">
        <v>338</v>
      </c>
      <c r="E17" s="18" t="n">
        <v>43.91449835</v>
      </c>
      <c r="F17" s="20" t="n">
        <v>2.59047032</v>
      </c>
      <c r="G17" s="18" t="n">
        <v>40.02121776</v>
      </c>
      <c r="H17" s="20" t="n">
        <v>2.7529552</v>
      </c>
      <c r="I17" s="18" t="s">
        <v>567</v>
      </c>
      <c r="J17" s="20" t="s">
        <v>567</v>
      </c>
      <c r="K17" s="18" t="n">
        <v>0</v>
      </c>
      <c r="L17" s="20" t="n">
        <v>0</v>
      </c>
      <c r="M17" s="18" t="n">
        <v>0</v>
      </c>
      <c r="N17" s="20" t="n">
        <v>0</v>
      </c>
      <c r="O17" s="18" t="n">
        <v>0</v>
      </c>
      <c r="P17" s="20" t="n">
        <v>0</v>
      </c>
      <c r="Q17" s="18" t="n">
        <v>16.06428389</v>
      </c>
      <c r="R17" s="20" t="n">
        <v>1.64253622</v>
      </c>
    </row>
    <row r="18" spans="1:18">
      <c r="A18" s="15" t="s">
        <v>578</v>
      </c>
      <c r="B18" s="17" t="n">
        <v>2826</v>
      </c>
      <c r="C18" s="18">
        <f>(2495.0/B18*100)</f>
        <v/>
      </c>
      <c r="D18" s="19" t="n">
        <v>331</v>
      </c>
      <c r="E18" s="18" t="n">
        <v>48.91940945</v>
      </c>
      <c r="F18" s="20" t="n">
        <v>3.30608385</v>
      </c>
      <c r="G18" s="18" t="n">
        <v>34.6468213</v>
      </c>
      <c r="H18" s="20" t="n">
        <v>2.55078578</v>
      </c>
      <c r="I18" s="18" t="s">
        <v>567</v>
      </c>
      <c r="J18" s="20" t="s">
        <v>567</v>
      </c>
      <c r="K18" s="18" t="n">
        <v>0</v>
      </c>
      <c r="L18" s="20" t="n">
        <v>0</v>
      </c>
      <c r="M18" s="18" t="n">
        <v>0</v>
      </c>
      <c r="N18" s="20" t="n">
        <v>0</v>
      </c>
      <c r="O18" s="18" t="n">
        <v>0</v>
      </c>
      <c r="P18" s="20" t="n">
        <v>0</v>
      </c>
      <c r="Q18" s="18" t="n">
        <v>16.43376924</v>
      </c>
      <c r="R18" s="20" t="n">
        <v>3.14618429</v>
      </c>
    </row>
    <row r="19" spans="1:18">
      <c r="A19" s="15" t="s">
        <v>579</v>
      </c>
      <c r="B19" s="17" t="n">
        <v>2808</v>
      </c>
      <c r="C19" s="18">
        <f>(2506.0/B19*100)</f>
        <v/>
      </c>
      <c r="D19" s="19" t="n">
        <v>302</v>
      </c>
      <c r="E19" s="18" t="n">
        <v>28.48726992</v>
      </c>
      <c r="F19" s="20" t="n">
        <v>3.08069305</v>
      </c>
      <c r="G19" s="18" t="n">
        <v>41.76659227</v>
      </c>
      <c r="H19" s="20" t="n">
        <v>3.17266042</v>
      </c>
      <c r="I19" s="18" t="s">
        <v>567</v>
      </c>
      <c r="J19" s="20" t="s">
        <v>567</v>
      </c>
      <c r="K19" s="18" t="n">
        <v>0</v>
      </c>
      <c r="L19" s="20" t="n">
        <v>0</v>
      </c>
      <c r="M19" s="18" t="n">
        <v>0</v>
      </c>
      <c r="N19" s="20" t="n">
        <v>0</v>
      </c>
      <c r="O19" s="18" t="n">
        <v>0</v>
      </c>
      <c r="P19" s="20" t="n">
        <v>0</v>
      </c>
      <c r="Q19" s="18" t="n">
        <v>29.74613781</v>
      </c>
      <c r="R19" s="20" t="n">
        <v>3.17373126</v>
      </c>
    </row>
    <row r="20" spans="1:18">
      <c r="A20" s="15" t="s">
        <v>580</v>
      </c>
      <c r="B20" s="17" t="n">
        <v>1630</v>
      </c>
      <c r="C20" s="18">
        <f>(1452.0/B20*100)</f>
        <v/>
      </c>
      <c r="D20" s="19" t="n">
        <v>178</v>
      </c>
      <c r="E20" s="18" t="n">
        <v>29.08964199</v>
      </c>
      <c r="F20" s="20" t="n">
        <v>3.20395008</v>
      </c>
      <c r="G20" s="18" t="n">
        <v>51.98226058</v>
      </c>
      <c r="H20" s="20" t="n">
        <v>3.70204682</v>
      </c>
      <c r="I20" s="18" t="s">
        <v>567</v>
      </c>
      <c r="J20" s="20" t="s">
        <v>567</v>
      </c>
      <c r="K20" s="18" t="n">
        <v>0.55580247</v>
      </c>
      <c r="L20" s="20" t="n">
        <v>0.56437564</v>
      </c>
      <c r="M20" s="18" t="n">
        <v>0</v>
      </c>
      <c r="N20" s="20" t="n">
        <v>0</v>
      </c>
      <c r="O20" s="18" t="n">
        <v>0</v>
      </c>
      <c r="P20" s="20" t="n">
        <v>0</v>
      </c>
      <c r="Q20" s="18" t="n">
        <v>18.37229497</v>
      </c>
      <c r="R20" s="20" t="n">
        <v>3.16569685</v>
      </c>
    </row>
    <row r="21" spans="1:18">
      <c r="A21" s="15" t="s">
        <v>581</v>
      </c>
      <c r="B21" s="17" t="n">
        <v>2908</v>
      </c>
      <c r="C21" s="18">
        <f>(2588.0/B21*100)</f>
        <v/>
      </c>
      <c r="D21" s="19" t="n">
        <v>320</v>
      </c>
      <c r="E21" s="18" t="n">
        <v>18.15050383</v>
      </c>
      <c r="F21" s="20" t="n">
        <v>2.02303973</v>
      </c>
      <c r="G21" s="18" t="n">
        <v>70.52433883</v>
      </c>
      <c r="H21" s="20" t="n">
        <v>2.15518428</v>
      </c>
      <c r="I21" s="18" t="s">
        <v>567</v>
      </c>
      <c r="J21" s="20" t="s">
        <v>567</v>
      </c>
      <c r="K21" s="18" t="n">
        <v>0</v>
      </c>
      <c r="L21" s="20" t="n">
        <v>0</v>
      </c>
      <c r="M21" s="18" t="n">
        <v>0.2731427</v>
      </c>
      <c r="N21" s="20" t="n">
        <v>0.27909165</v>
      </c>
      <c r="O21" s="18" t="n">
        <v>0</v>
      </c>
      <c r="P21" s="20" t="n">
        <v>0</v>
      </c>
      <c r="Q21" s="18" t="n">
        <v>11.05201465</v>
      </c>
      <c r="R21" s="20" t="n">
        <v>1.64508327</v>
      </c>
    </row>
    <row r="22" spans="1:18">
      <c r="A22" s="15" t="s">
        <v>582</v>
      </c>
      <c r="B22" s="17" t="n">
        <v>2931</v>
      </c>
      <c r="C22" s="18">
        <f>(2607.0/B22*100)</f>
        <v/>
      </c>
      <c r="D22" s="19" t="n">
        <v>324</v>
      </c>
      <c r="E22" s="18" t="n">
        <v>34.90934614</v>
      </c>
      <c r="F22" s="20" t="n">
        <v>3.18367391</v>
      </c>
      <c r="G22" s="18" t="n">
        <v>47.87002739</v>
      </c>
      <c r="H22" s="20" t="n">
        <v>3.3806056</v>
      </c>
      <c r="I22" s="18" t="s">
        <v>567</v>
      </c>
      <c r="J22" s="20" t="s">
        <v>567</v>
      </c>
      <c r="K22" s="18" t="n">
        <v>0.5586657900000001</v>
      </c>
      <c r="L22" s="20" t="n">
        <v>0.39095398</v>
      </c>
      <c r="M22" s="18" t="n">
        <v>0</v>
      </c>
      <c r="N22" s="20" t="n">
        <v>0</v>
      </c>
      <c r="O22" s="18" t="n">
        <v>0</v>
      </c>
      <c r="P22" s="20" t="n">
        <v>0</v>
      </c>
      <c r="Q22" s="18" t="n">
        <v>16.66196069</v>
      </c>
      <c r="R22" s="20" t="n">
        <v>2.26738475</v>
      </c>
    </row>
    <row r="23" spans="1:18">
      <c r="A23" s="15" t="s">
        <v>583</v>
      </c>
      <c r="B23" s="17" t="n">
        <v>5791</v>
      </c>
      <c r="C23" s="18">
        <f>(5182.0/B23*100)</f>
        <v/>
      </c>
      <c r="D23" s="19" t="n">
        <v>609</v>
      </c>
      <c r="E23" s="18" t="n">
        <v>32.42389379</v>
      </c>
      <c r="F23" s="20" t="n">
        <v>2.9674077</v>
      </c>
      <c r="G23" s="18" t="n">
        <v>45.8375749</v>
      </c>
      <c r="H23" s="20" t="n">
        <v>3.30093256</v>
      </c>
      <c r="I23" s="18" t="s">
        <v>567</v>
      </c>
      <c r="J23" s="20" t="s">
        <v>567</v>
      </c>
      <c r="K23" s="18" t="n">
        <v>0.13338209</v>
      </c>
      <c r="L23" s="20" t="n">
        <v>0.13341831</v>
      </c>
      <c r="M23" s="18" t="n">
        <v>0.4902666</v>
      </c>
      <c r="N23" s="20" t="n">
        <v>0.57192232</v>
      </c>
      <c r="O23" s="18" t="n">
        <v>0</v>
      </c>
      <c r="P23" s="20" t="n">
        <v>0</v>
      </c>
      <c r="Q23" s="18" t="n">
        <v>21.11488262</v>
      </c>
      <c r="R23" s="20" t="n">
        <v>2.24204541</v>
      </c>
    </row>
    <row r="24" spans="1:18">
      <c r="A24" s="15" t="s">
        <v>584</v>
      </c>
      <c r="B24" s="17" t="n">
        <v>3338</v>
      </c>
      <c r="C24" s="18">
        <f>(2970.0/B24*100)</f>
        <v/>
      </c>
      <c r="D24" s="19" t="n">
        <v>368</v>
      </c>
      <c r="E24" s="18" t="n">
        <v>21.38429453</v>
      </c>
      <c r="F24" s="20" t="n">
        <v>2.1669496</v>
      </c>
      <c r="G24" s="18" t="n">
        <v>61.44960918</v>
      </c>
      <c r="H24" s="20" t="n">
        <v>2.81926886</v>
      </c>
      <c r="I24" s="18" t="s">
        <v>567</v>
      </c>
      <c r="J24" s="20" t="s">
        <v>567</v>
      </c>
      <c r="K24" s="18" t="n">
        <v>0</v>
      </c>
      <c r="L24" s="20" t="n">
        <v>0</v>
      </c>
      <c r="M24" s="18" t="n">
        <v>0</v>
      </c>
      <c r="N24" s="20" t="n">
        <v>0</v>
      </c>
      <c r="O24" s="18" t="n">
        <v>0</v>
      </c>
      <c r="P24" s="20" t="n">
        <v>0</v>
      </c>
      <c r="Q24" s="18" t="n">
        <v>17.16609629</v>
      </c>
      <c r="R24" s="20" t="n">
        <v>1.92701118</v>
      </c>
    </row>
    <row r="25" spans="1:18">
      <c r="A25" s="15" t="s">
        <v>585</v>
      </c>
      <c r="B25" s="17" t="n">
        <v>2912</v>
      </c>
      <c r="C25" s="18">
        <f>(2601.0/B25*100)</f>
        <v/>
      </c>
      <c r="D25" s="19" t="n">
        <v>311</v>
      </c>
      <c r="E25" s="18" t="n">
        <v>40.05695027</v>
      </c>
      <c r="F25" s="20" t="n">
        <v>2.38160544</v>
      </c>
      <c r="G25" s="18" t="n">
        <v>46.53514939</v>
      </c>
      <c r="H25" s="20" t="n">
        <v>2.87653205</v>
      </c>
      <c r="I25" s="18" t="s">
        <v>567</v>
      </c>
      <c r="J25" s="20" t="s">
        <v>567</v>
      </c>
      <c r="K25" s="18" t="n">
        <v>0.62230212</v>
      </c>
      <c r="L25" s="20" t="n">
        <v>0.45412028</v>
      </c>
      <c r="M25" s="18" t="n">
        <v>0</v>
      </c>
      <c r="N25" s="20" t="n">
        <v>0</v>
      </c>
      <c r="O25" s="18" t="n">
        <v>0</v>
      </c>
      <c r="P25" s="20" t="n">
        <v>0</v>
      </c>
      <c r="Q25" s="18" t="n">
        <v>12.78559822</v>
      </c>
      <c r="R25" s="20" t="n">
        <v>1.82179357</v>
      </c>
    </row>
    <row r="26" spans="1:18">
      <c r="A26" s="15" t="s">
        <v>586</v>
      </c>
      <c r="B26" s="17" t="n">
        <v>2450</v>
      </c>
      <c r="C26" s="18">
        <f>(2171.0/B26*100)</f>
        <v/>
      </c>
      <c r="D26" s="19" t="n">
        <v>279</v>
      </c>
      <c r="E26" s="18" t="n">
        <v>41.87806066</v>
      </c>
      <c r="F26" s="20" t="n">
        <v>3.41849725</v>
      </c>
      <c r="G26" s="18" t="n">
        <v>49.17496363</v>
      </c>
      <c r="H26" s="20" t="n">
        <v>2.94191195</v>
      </c>
      <c r="I26" s="18" t="s">
        <v>567</v>
      </c>
      <c r="J26" s="20" t="s">
        <v>567</v>
      </c>
      <c r="K26" s="18" t="n">
        <v>0</v>
      </c>
      <c r="L26" s="20" t="n">
        <v>0</v>
      </c>
      <c r="M26" s="18" t="n">
        <v>0</v>
      </c>
      <c r="N26" s="20" t="n">
        <v>0</v>
      </c>
      <c r="O26" s="18" t="n">
        <v>0</v>
      </c>
      <c r="P26" s="20" t="n">
        <v>0</v>
      </c>
      <c r="Q26" s="18" t="n">
        <v>8.94697571</v>
      </c>
      <c r="R26" s="20" t="n">
        <v>1.91950663</v>
      </c>
    </row>
    <row r="27" spans="1:18">
      <c r="A27" s="15" t="s">
        <v>587</v>
      </c>
      <c r="B27" s="17" t="n">
        <v>2616</v>
      </c>
      <c r="C27" s="18">
        <f>(2340.0/B27*100)</f>
        <v/>
      </c>
      <c r="D27" s="19" t="n">
        <v>276</v>
      </c>
      <c r="E27" s="18" t="n">
        <v>33.92910092</v>
      </c>
      <c r="F27" s="20" t="n">
        <v>2.86034634</v>
      </c>
      <c r="G27" s="18" t="n">
        <v>38.85044549</v>
      </c>
      <c r="H27" s="20" t="n">
        <v>2.90646026</v>
      </c>
      <c r="I27" s="18" t="s">
        <v>567</v>
      </c>
      <c r="J27" s="20" t="s">
        <v>567</v>
      </c>
      <c r="K27" s="18" t="n">
        <v>0.38345195</v>
      </c>
      <c r="L27" s="20" t="n">
        <v>0.38223042</v>
      </c>
      <c r="M27" s="18" t="n">
        <v>0</v>
      </c>
      <c r="N27" s="20" t="n">
        <v>0</v>
      </c>
      <c r="O27" s="18" t="n">
        <v>0</v>
      </c>
      <c r="P27" s="20" t="n">
        <v>0</v>
      </c>
      <c r="Q27" s="18" t="n">
        <v>26.83700164</v>
      </c>
      <c r="R27" s="20" t="n">
        <v>2.38878619</v>
      </c>
    </row>
    <row r="28" spans="1:18">
      <c r="A28" s="15" t="s">
        <v>588</v>
      </c>
      <c r="B28" s="17" t="n">
        <v>3765</v>
      </c>
      <c r="C28" s="18">
        <f>(3369.0/B28*100)</f>
        <v/>
      </c>
      <c r="D28" s="19" t="n">
        <v>396</v>
      </c>
      <c r="E28" s="18" t="n">
        <v>55.52754594</v>
      </c>
      <c r="F28" s="20" t="n">
        <v>3.11830484</v>
      </c>
      <c r="G28" s="18" t="n">
        <v>35.67806852</v>
      </c>
      <c r="H28" s="20" t="n">
        <v>3.10555582</v>
      </c>
      <c r="I28" s="18" t="s">
        <v>567</v>
      </c>
      <c r="J28" s="20" t="s">
        <v>567</v>
      </c>
      <c r="K28" s="18" t="n">
        <v>0</v>
      </c>
      <c r="L28" s="20" t="n">
        <v>0</v>
      </c>
      <c r="M28" s="18" t="n">
        <v>0</v>
      </c>
      <c r="N28" s="20" t="n">
        <v>0</v>
      </c>
      <c r="O28" s="18" t="n">
        <v>0</v>
      </c>
      <c r="P28" s="20" t="n">
        <v>0</v>
      </c>
      <c r="Q28" s="18" t="n">
        <v>8.79438554</v>
      </c>
      <c r="R28" s="20" t="n">
        <v>1.98843534</v>
      </c>
    </row>
    <row r="29" spans="1:18">
      <c r="A29" s="15" t="s">
        <v>589</v>
      </c>
      <c r="B29" s="17" t="n">
        <v>2685</v>
      </c>
      <c r="C29" s="18">
        <f>(2394.0/B29*100)</f>
        <v/>
      </c>
      <c r="D29" s="19" t="n">
        <v>291</v>
      </c>
      <c r="E29" s="18" t="n">
        <v>36.74854788</v>
      </c>
      <c r="F29" s="20" t="n">
        <v>3.18469746</v>
      </c>
      <c r="G29" s="18" t="n">
        <v>58.40318321</v>
      </c>
      <c r="H29" s="20" t="n">
        <v>3.19058983</v>
      </c>
      <c r="I29" s="18" t="s">
        <v>567</v>
      </c>
      <c r="J29" s="20" t="s">
        <v>567</v>
      </c>
      <c r="K29" s="18" t="n">
        <v>0</v>
      </c>
      <c r="L29" s="20" t="n">
        <v>0</v>
      </c>
      <c r="M29" s="18" t="n">
        <v>0</v>
      </c>
      <c r="N29" s="20" t="n">
        <v>0</v>
      </c>
      <c r="O29" s="18" t="n">
        <v>0</v>
      </c>
      <c r="P29" s="20" t="n">
        <v>0</v>
      </c>
      <c r="Q29" s="18" t="n">
        <v>4.84826891</v>
      </c>
      <c r="R29" s="20" t="n">
        <v>1.25541535</v>
      </c>
    </row>
    <row r="30" spans="1:18">
      <c r="A30" s="15" t="s">
        <v>590</v>
      </c>
      <c r="B30" s="17" t="n">
        <v>2263</v>
      </c>
      <c r="C30" s="18">
        <f>(2031.0/B30*100)</f>
        <v/>
      </c>
      <c r="D30" s="19" t="n">
        <v>232</v>
      </c>
      <c r="E30" s="18" t="n">
        <v>29.10639614</v>
      </c>
      <c r="F30" s="20" t="n">
        <v>2.95792411</v>
      </c>
      <c r="G30" s="18" t="n">
        <v>56.76558546</v>
      </c>
      <c r="H30" s="20" t="n">
        <v>3.23619608</v>
      </c>
      <c r="I30" s="18" t="s">
        <v>567</v>
      </c>
      <c r="J30" s="20" t="s">
        <v>567</v>
      </c>
      <c r="K30" s="18" t="n">
        <v>0</v>
      </c>
      <c r="L30" s="20" t="n">
        <v>0</v>
      </c>
      <c r="M30" s="18" t="n">
        <v>0</v>
      </c>
      <c r="N30" s="20" t="n">
        <v>0</v>
      </c>
      <c r="O30" s="18" t="n">
        <v>0</v>
      </c>
      <c r="P30" s="20" t="n">
        <v>0</v>
      </c>
      <c r="Q30" s="18" t="n">
        <v>14.1280184</v>
      </c>
      <c r="R30" s="20" t="n">
        <v>2.37420355</v>
      </c>
    </row>
    <row r="31" spans="1:18">
      <c r="A31" s="15" t="s">
        <v>591</v>
      </c>
      <c r="B31" s="17" t="n">
        <v>2750</v>
      </c>
      <c r="C31" s="18">
        <f>(2436.0/B31*100)</f>
        <v/>
      </c>
      <c r="D31" s="19" t="n">
        <v>314</v>
      </c>
      <c r="E31" s="18" t="n">
        <v>21.59981218</v>
      </c>
      <c r="F31" s="20" t="n">
        <v>2.18670075</v>
      </c>
      <c r="G31" s="18" t="n">
        <v>61.36445551</v>
      </c>
      <c r="H31" s="20" t="n">
        <v>2.50141694</v>
      </c>
      <c r="I31" s="18" t="s">
        <v>567</v>
      </c>
      <c r="J31" s="20" t="s">
        <v>567</v>
      </c>
      <c r="K31" s="18" t="n">
        <v>0</v>
      </c>
      <c r="L31" s="20" t="n">
        <v>0</v>
      </c>
      <c r="M31" s="18" t="n">
        <v>0.64765527</v>
      </c>
      <c r="N31" s="20" t="n">
        <v>0.74262726</v>
      </c>
      <c r="O31" s="18" t="n">
        <v>0</v>
      </c>
      <c r="P31" s="20" t="n">
        <v>0</v>
      </c>
      <c r="Q31" s="18" t="n">
        <v>16.38807704</v>
      </c>
      <c r="R31" s="20" t="n">
        <v>2.32042612</v>
      </c>
    </row>
    <row r="32" spans="1:18">
      <c r="A32" s="15" t="s">
        <v>592</v>
      </c>
      <c r="B32" s="17" t="n">
        <v>2269</v>
      </c>
      <c r="C32" s="18">
        <f>(2002.0/B32*100)</f>
        <v/>
      </c>
      <c r="D32" s="19" t="n">
        <v>267</v>
      </c>
      <c r="E32" s="18" t="n">
        <v>44.34815946</v>
      </c>
      <c r="F32" s="20" t="n">
        <v>3.02554726</v>
      </c>
      <c r="G32" s="18" t="n">
        <v>34.54009692</v>
      </c>
      <c r="H32" s="20" t="n">
        <v>3.28544152</v>
      </c>
      <c r="I32" s="18" t="s">
        <v>567</v>
      </c>
      <c r="J32" s="20" t="s">
        <v>567</v>
      </c>
      <c r="K32" s="18" t="n">
        <v>0</v>
      </c>
      <c r="L32" s="20" t="n">
        <v>0</v>
      </c>
      <c r="M32" s="18" t="n">
        <v>0</v>
      </c>
      <c r="N32" s="20" t="n">
        <v>0</v>
      </c>
      <c r="O32" s="18" t="n">
        <v>0</v>
      </c>
      <c r="P32" s="20" t="n">
        <v>0</v>
      </c>
      <c r="Q32" s="18" t="n">
        <v>21.11174363</v>
      </c>
      <c r="R32" s="20" t="n">
        <v>2.32678109</v>
      </c>
    </row>
    <row r="33" spans="1:18">
      <c r="A33" s="15" t="s">
        <v>593</v>
      </c>
      <c r="B33" s="17" t="n">
        <v>3674</v>
      </c>
      <c r="C33" s="18">
        <f>(3249.0/B33*100)</f>
        <v/>
      </c>
      <c r="D33" s="19" t="n">
        <v>425</v>
      </c>
      <c r="E33" s="18" t="n">
        <v>33.63300128</v>
      </c>
      <c r="F33" s="20" t="n">
        <v>2.87718702</v>
      </c>
      <c r="G33" s="18" t="n">
        <v>46.81543282</v>
      </c>
      <c r="H33" s="20" t="n">
        <v>2.73246418</v>
      </c>
      <c r="I33" s="18" t="s">
        <v>567</v>
      </c>
      <c r="J33" s="20" t="s">
        <v>567</v>
      </c>
      <c r="K33" s="18" t="n">
        <v>0.35651114</v>
      </c>
      <c r="L33" s="20" t="n">
        <v>0.32039399</v>
      </c>
      <c r="M33" s="18" t="n">
        <v>0</v>
      </c>
      <c r="N33" s="20" t="n">
        <v>0</v>
      </c>
      <c r="O33" s="18" t="n">
        <v>0</v>
      </c>
      <c r="P33" s="20" t="n">
        <v>0</v>
      </c>
      <c r="Q33" s="18" t="n">
        <v>19.19505475</v>
      </c>
      <c r="R33" s="20" t="n">
        <v>2.25333224</v>
      </c>
    </row>
    <row r="34" spans="1:18">
      <c r="A34" s="15" t="s">
        <v>594</v>
      </c>
      <c r="B34" s="17" t="n">
        <v>3315</v>
      </c>
      <c r="C34" s="18">
        <f>(2953.0/B34*100)</f>
        <v/>
      </c>
      <c r="D34" s="19" t="n">
        <v>362</v>
      </c>
      <c r="E34" s="18" t="n">
        <v>46.5860382</v>
      </c>
      <c r="F34" s="20" t="n">
        <v>2.56913344</v>
      </c>
      <c r="G34" s="18" t="n">
        <v>31.03565434</v>
      </c>
      <c r="H34" s="20" t="n">
        <v>2.45334837</v>
      </c>
      <c r="I34" s="18" t="s">
        <v>567</v>
      </c>
      <c r="J34" s="20" t="s">
        <v>567</v>
      </c>
      <c r="K34" s="18" t="n">
        <v>0</v>
      </c>
      <c r="L34" s="20" t="n">
        <v>0</v>
      </c>
      <c r="M34" s="18" t="n">
        <v>0.40651654</v>
      </c>
      <c r="N34" s="20" t="n">
        <v>0.42912079</v>
      </c>
      <c r="O34" s="18" t="n">
        <v>0</v>
      </c>
      <c r="P34" s="20" t="n">
        <v>0</v>
      </c>
      <c r="Q34" s="18" t="n">
        <v>21.97179091</v>
      </c>
      <c r="R34" s="20" t="n">
        <v>2.07706072</v>
      </c>
    </row>
    <row r="35" spans="1:18">
      <c r="A35" s="15" t="s">
        <v>595</v>
      </c>
      <c r="B35" s="17" t="n">
        <v>3505</v>
      </c>
      <c r="C35" s="18">
        <f>(3144.0/B35*100)</f>
        <v/>
      </c>
      <c r="D35" s="19" t="n">
        <v>361</v>
      </c>
      <c r="E35" s="18" t="n">
        <v>52.47837957</v>
      </c>
      <c r="F35" s="20" t="n">
        <v>3.53708467</v>
      </c>
      <c r="G35" s="18" t="n">
        <v>27.60296783</v>
      </c>
      <c r="H35" s="20" t="n">
        <v>2.72921103</v>
      </c>
      <c r="I35" s="18" t="s">
        <v>567</v>
      </c>
      <c r="J35" s="20" t="s">
        <v>567</v>
      </c>
      <c r="K35" s="18" t="n">
        <v>0</v>
      </c>
      <c r="L35" s="20" t="n">
        <v>0</v>
      </c>
      <c r="M35" s="18" t="n">
        <v>0</v>
      </c>
      <c r="N35" s="20" t="n">
        <v>0</v>
      </c>
      <c r="O35" s="18" t="n">
        <v>0</v>
      </c>
      <c r="P35" s="20" t="n">
        <v>0</v>
      </c>
      <c r="Q35" s="18" t="n">
        <v>19.9186526</v>
      </c>
      <c r="R35" s="20" t="n">
        <v>2.67845492</v>
      </c>
    </row>
    <row r="36" spans="1:18">
      <c r="A36" s="15" t="s">
        <v>596</v>
      </c>
      <c r="B36" s="17" t="n">
        <v>3332</v>
      </c>
      <c r="C36" s="18">
        <f>(2978.0/B36*100)</f>
        <v/>
      </c>
      <c r="D36" s="19" t="n">
        <v>354</v>
      </c>
      <c r="E36" s="18" t="n">
        <v>37.53227176</v>
      </c>
      <c r="F36" s="20" t="n">
        <v>3.05874345</v>
      </c>
      <c r="G36" s="18" t="n">
        <v>47.0542555</v>
      </c>
      <c r="H36" s="20" t="n">
        <v>2.79663747</v>
      </c>
      <c r="I36" s="18" t="s">
        <v>567</v>
      </c>
      <c r="J36" s="20" t="s">
        <v>567</v>
      </c>
      <c r="K36" s="18" t="n">
        <v>0.33126451</v>
      </c>
      <c r="L36" s="20" t="n">
        <v>0.24529965</v>
      </c>
      <c r="M36" s="18" t="n">
        <v>0</v>
      </c>
      <c r="N36" s="20" t="n">
        <v>0</v>
      </c>
      <c r="O36" s="18" t="n">
        <v>0</v>
      </c>
      <c r="P36" s="20" t="n">
        <v>0</v>
      </c>
      <c r="Q36" s="18" t="n">
        <v>15.08220824</v>
      </c>
      <c r="R36" s="20" t="n">
        <v>2.17772704</v>
      </c>
    </row>
    <row r="37" spans="1:18">
      <c r="A37" s="15" t="s">
        <v>597</v>
      </c>
      <c r="B37" s="17" t="n">
        <v>2727</v>
      </c>
      <c r="C37" s="18">
        <f>(2428.0/B37*100)</f>
        <v/>
      </c>
      <c r="D37" s="19" t="n">
        <v>299</v>
      </c>
      <c r="E37" s="18" t="n">
        <v>33.82497567</v>
      </c>
      <c r="F37" s="20" t="n">
        <v>2.5204706</v>
      </c>
      <c r="G37" s="18" t="n">
        <v>50.04209546</v>
      </c>
      <c r="H37" s="20" t="n">
        <v>2.99673978</v>
      </c>
      <c r="I37" s="18" t="s">
        <v>567</v>
      </c>
      <c r="J37" s="20" t="s">
        <v>567</v>
      </c>
      <c r="K37" s="18" t="n">
        <v>0</v>
      </c>
      <c r="L37" s="20" t="n">
        <v>0</v>
      </c>
      <c r="M37" s="18" t="n">
        <v>0</v>
      </c>
      <c r="N37" s="20" t="n">
        <v>0</v>
      </c>
      <c r="O37" s="18" t="n">
        <v>0</v>
      </c>
      <c r="P37" s="20" t="n">
        <v>0</v>
      </c>
      <c r="Q37" s="18" t="n">
        <v>16.13292887</v>
      </c>
      <c r="R37" s="20" t="n">
        <v>2.46627673</v>
      </c>
    </row>
    <row r="38" spans="1:18">
      <c r="A38" s="15" t="s">
        <v>598</v>
      </c>
      <c r="B38" s="17" t="n">
        <v>3053</v>
      </c>
      <c r="C38" s="18">
        <f>(2711.0/B38*100)</f>
        <v/>
      </c>
      <c r="D38" s="19" t="n">
        <v>342</v>
      </c>
      <c r="E38" s="18" t="n">
        <v>44.66758299</v>
      </c>
      <c r="F38" s="20" t="n">
        <v>3.37812145</v>
      </c>
      <c r="G38" s="18" t="n">
        <v>39.02537167</v>
      </c>
      <c r="H38" s="20" t="n">
        <v>3.56689194</v>
      </c>
      <c r="I38" s="18" t="s">
        <v>567</v>
      </c>
      <c r="J38" s="20" t="s">
        <v>567</v>
      </c>
      <c r="K38" s="18" t="n">
        <v>0.32870219</v>
      </c>
      <c r="L38" s="20" t="n">
        <v>0.31896902</v>
      </c>
      <c r="M38" s="18" t="n">
        <v>2.09310492</v>
      </c>
      <c r="N38" s="20" t="n">
        <v>0.72435332</v>
      </c>
      <c r="O38" s="18" t="n">
        <v>0</v>
      </c>
      <c r="P38" s="20" t="n">
        <v>0</v>
      </c>
      <c r="Q38" s="18" t="n">
        <v>13.88523824</v>
      </c>
      <c r="R38" s="20" t="n">
        <v>2.06990601</v>
      </c>
    </row>
    <row r="39" spans="1:18">
      <c r="A39" s="15" t="s">
        <v>599</v>
      </c>
      <c r="B39" s="17" t="n">
        <v>2957</v>
      </c>
      <c r="C39" s="18">
        <f>(2613.0/B39*100)</f>
        <v/>
      </c>
      <c r="D39" s="19" t="n">
        <v>344</v>
      </c>
      <c r="E39" s="18" t="n">
        <v>36.77914527</v>
      </c>
      <c r="F39" s="20" t="n">
        <v>2.98575737</v>
      </c>
      <c r="G39" s="18" t="n">
        <v>42.22889752</v>
      </c>
      <c r="H39" s="20" t="n">
        <v>2.66972308</v>
      </c>
      <c r="I39" s="18" t="s">
        <v>567</v>
      </c>
      <c r="J39" s="20" t="s">
        <v>567</v>
      </c>
      <c r="K39" s="18" t="n">
        <v>0</v>
      </c>
      <c r="L39" s="20" t="n">
        <v>0</v>
      </c>
      <c r="M39" s="18" t="n">
        <v>0</v>
      </c>
      <c r="N39" s="20" t="n">
        <v>0</v>
      </c>
      <c r="O39" s="18" t="n">
        <v>0</v>
      </c>
      <c r="P39" s="20" t="n">
        <v>0</v>
      </c>
      <c r="Q39" s="18" t="n">
        <v>20.99195721</v>
      </c>
      <c r="R39" s="20" t="n">
        <v>2.60744815</v>
      </c>
    </row>
    <row r="40" spans="1:18">
      <c r="A40" s="15" t="s">
        <v>600</v>
      </c>
      <c r="B40" s="17" t="n">
        <v>7235</v>
      </c>
      <c r="C40" s="18">
        <f>(6451.0/B40*100)</f>
        <v/>
      </c>
      <c r="D40" s="19" t="n">
        <v>784</v>
      </c>
      <c r="E40" s="18" t="n">
        <v>23.05913672</v>
      </c>
      <c r="F40" s="20" t="n">
        <v>2.16482104</v>
      </c>
      <c r="G40" s="18" t="n">
        <v>61.78709407</v>
      </c>
      <c r="H40" s="20" t="n">
        <v>2.52656539</v>
      </c>
      <c r="I40" s="18" t="s">
        <v>567</v>
      </c>
      <c r="J40" s="20" t="s">
        <v>567</v>
      </c>
      <c r="K40" s="18" t="n">
        <v>0</v>
      </c>
      <c r="L40" s="20" t="n">
        <v>0</v>
      </c>
      <c r="M40" s="18" t="n">
        <v>0.84503198</v>
      </c>
      <c r="N40" s="20" t="n">
        <v>0.59099114</v>
      </c>
      <c r="O40" s="18" t="n">
        <v>0</v>
      </c>
      <c r="P40" s="20" t="n">
        <v>0</v>
      </c>
      <c r="Q40" s="18" t="n">
        <v>14.30873724</v>
      </c>
      <c r="R40" s="20" t="n">
        <v>2.00593954</v>
      </c>
    </row>
    <row r="41" spans="1:18">
      <c r="A41" s="15" t="s">
        <v>601</v>
      </c>
      <c r="B41" s="17" t="n">
        <v>2858</v>
      </c>
      <c r="C41" s="18">
        <f>(2533.0/B41*100)</f>
        <v/>
      </c>
      <c r="D41" s="19" t="n">
        <v>325</v>
      </c>
      <c r="E41" s="18" t="n">
        <v>41.43945843</v>
      </c>
      <c r="F41" s="20" t="n">
        <v>3.37324183</v>
      </c>
      <c r="G41" s="18" t="n">
        <v>54.61521165</v>
      </c>
      <c r="H41" s="20" t="n">
        <v>3.51073627</v>
      </c>
      <c r="I41" s="18" t="s">
        <v>567</v>
      </c>
      <c r="J41" s="20" t="s">
        <v>567</v>
      </c>
      <c r="K41" s="18" t="n">
        <v>0</v>
      </c>
      <c r="L41" s="20" t="n">
        <v>0</v>
      </c>
      <c r="M41" s="18" t="n">
        <v>0</v>
      </c>
      <c r="N41" s="20" t="n">
        <v>0</v>
      </c>
      <c r="O41" s="18" t="n">
        <v>0</v>
      </c>
      <c r="P41" s="20" t="n">
        <v>0</v>
      </c>
      <c r="Q41" s="18" t="n">
        <v>3.94532993</v>
      </c>
      <c r="R41" s="20" t="n">
        <v>1.02791936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(9976.0/B46*100)</f>
        <v/>
      </c>
      <c r="D46" s="19" t="n">
        <v>1092</v>
      </c>
      <c r="E46" s="18" t="n">
        <v>44.76823962</v>
      </c>
      <c r="F46" s="20" t="n">
        <v>1.77622383</v>
      </c>
      <c r="G46" s="18" t="n">
        <v>33.44606561</v>
      </c>
      <c r="H46" s="20" t="n">
        <v>1.64853002</v>
      </c>
      <c r="I46" s="18" t="s">
        <v>567</v>
      </c>
      <c r="J46" s="20" t="s">
        <v>567</v>
      </c>
      <c r="K46" s="18" t="n">
        <v>0.3344254</v>
      </c>
      <c r="L46" s="20" t="n">
        <v>0.18904925</v>
      </c>
      <c r="M46" s="18" t="n">
        <v>0.61701558</v>
      </c>
      <c r="N46" s="20" t="n">
        <v>0.24776428</v>
      </c>
      <c r="O46" s="18" t="n">
        <v>0</v>
      </c>
      <c r="P46" s="20" t="n">
        <v>0</v>
      </c>
      <c r="Q46" s="18" t="n">
        <v>20.83425379</v>
      </c>
      <c r="R46" s="20" t="n">
        <v>1.60113704</v>
      </c>
    </row>
    <row r="47" spans="1:18">
      <c r="A47" s="15" t="s">
        <v>607</v>
      </c>
      <c r="B47" s="17" t="n">
        <v>3105</v>
      </c>
      <c r="C47" s="18">
        <f>(2752.0/B47*100)</f>
        <v/>
      </c>
      <c r="D47" s="19" t="n">
        <v>353</v>
      </c>
      <c r="E47" s="18" t="n">
        <v>40.37023726</v>
      </c>
      <c r="F47" s="20" t="n">
        <v>2.930384</v>
      </c>
      <c r="G47" s="18" t="n">
        <v>28.70077974</v>
      </c>
      <c r="H47" s="20" t="n">
        <v>2.5441221</v>
      </c>
      <c r="I47" s="18" t="s">
        <v>567</v>
      </c>
      <c r="J47" s="20" t="s">
        <v>567</v>
      </c>
      <c r="K47" s="18" t="n">
        <v>0.289073</v>
      </c>
      <c r="L47" s="20" t="n">
        <v>0.40738287</v>
      </c>
      <c r="M47" s="18" t="n">
        <v>0</v>
      </c>
      <c r="N47" s="20" t="n">
        <v>0</v>
      </c>
      <c r="O47" s="18" t="n">
        <v>0</v>
      </c>
      <c r="P47" s="20" t="n">
        <v>0</v>
      </c>
      <c r="Q47" s="18" t="n">
        <v>30.63991</v>
      </c>
      <c r="R47" s="20" t="n">
        <v>2.90516914</v>
      </c>
    </row>
    <row r="48" spans="1:18">
      <c r="A48" s="15" t="s">
        <v>608</v>
      </c>
      <c r="B48" s="17" t="n">
        <v>5159</v>
      </c>
      <c r="C48" s="18">
        <f>(4558.0/B48*100)</f>
        <v/>
      </c>
      <c r="D48" s="19" t="n">
        <v>601</v>
      </c>
      <c r="E48" s="18" t="n">
        <v>26.48940307</v>
      </c>
      <c r="F48" s="20" t="n">
        <v>2.57093452</v>
      </c>
      <c r="G48" s="18" t="n">
        <v>66.53430951999999</v>
      </c>
      <c r="H48" s="20" t="n">
        <v>3.01213193</v>
      </c>
      <c r="I48" s="18" t="s">
        <v>567</v>
      </c>
      <c r="J48" s="20" t="s">
        <v>567</v>
      </c>
      <c r="K48" s="18" t="n">
        <v>0.10637012</v>
      </c>
      <c r="L48" s="20" t="n">
        <v>0.07481314</v>
      </c>
      <c r="M48" s="18" t="n">
        <v>0</v>
      </c>
      <c r="N48" s="20" t="n">
        <v>0</v>
      </c>
      <c r="O48" s="18" t="n">
        <v>0</v>
      </c>
      <c r="P48" s="20" t="n">
        <v>0</v>
      </c>
      <c r="Q48" s="18" t="n">
        <v>6.86991728</v>
      </c>
      <c r="R48" s="20" t="n">
        <v>1.41319622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(4968.0/B50*100)</f>
        <v/>
      </c>
      <c r="D50" s="19" t="n">
        <v>669</v>
      </c>
      <c r="E50" s="18" t="n">
        <v>48.26072876</v>
      </c>
      <c r="F50" s="20" t="n">
        <v>2.74203135</v>
      </c>
      <c r="G50" s="18" t="n">
        <v>39.57649258</v>
      </c>
      <c r="H50" s="20" t="n">
        <v>2.52752052</v>
      </c>
      <c r="I50" s="18" t="s">
        <v>567</v>
      </c>
      <c r="J50" s="20" t="s">
        <v>567</v>
      </c>
      <c r="K50" s="18" t="n">
        <v>1.20278331</v>
      </c>
      <c r="L50" s="20" t="n">
        <v>0.77748827</v>
      </c>
      <c r="M50" s="18" t="n">
        <v>0.51869656</v>
      </c>
      <c r="N50" s="20" t="n">
        <v>0.60217928</v>
      </c>
      <c r="O50" s="18" t="n">
        <v>0</v>
      </c>
      <c r="P50" s="20" t="n">
        <v>0</v>
      </c>
      <c r="Q50" s="18" t="n">
        <v>10.44129878</v>
      </c>
      <c r="R50" s="20" t="n">
        <v>1.71420371</v>
      </c>
    </row>
    <row r="51" spans="1:18">
      <c r="A51" s="15" t="s">
        <v>611</v>
      </c>
      <c r="B51" s="17" t="n">
        <v>3372</v>
      </c>
      <c r="C51" s="18">
        <f>(3052.0/B51*100)</f>
        <v/>
      </c>
      <c r="D51" s="19" t="n">
        <v>320</v>
      </c>
      <c r="E51" s="18" t="n">
        <v>44.81657721</v>
      </c>
      <c r="F51" s="20" t="n">
        <v>2.99436413</v>
      </c>
      <c r="G51" s="18" t="n">
        <v>44.02178405</v>
      </c>
      <c r="H51" s="20" t="n">
        <v>2.79214619</v>
      </c>
      <c r="I51" s="18" t="s">
        <v>567</v>
      </c>
      <c r="J51" s="20" t="s">
        <v>567</v>
      </c>
      <c r="K51" s="18" t="n">
        <v>0</v>
      </c>
      <c r="L51" s="20" t="n">
        <v>0</v>
      </c>
      <c r="M51" s="18" t="n">
        <v>0</v>
      </c>
      <c r="N51" s="20" t="n">
        <v>0</v>
      </c>
      <c r="O51" s="18" t="n">
        <v>0</v>
      </c>
      <c r="P51" s="20" t="n">
        <v>0</v>
      </c>
      <c r="Q51" s="18" t="n">
        <v>11.16163874</v>
      </c>
      <c r="R51" s="20" t="n">
        <v>1.77793303</v>
      </c>
    </row>
    <row r="52" spans="1:18">
      <c r="A52" s="15" t="s">
        <v>612</v>
      </c>
      <c r="B52" s="17" t="n">
        <v>2796</v>
      </c>
      <c r="C52" s="18">
        <f>(2477.0/B52*100)</f>
        <v/>
      </c>
      <c r="D52" s="19" t="n">
        <v>319</v>
      </c>
      <c r="E52" s="18" t="n">
        <v>30.22506453</v>
      </c>
      <c r="F52" s="20" t="n">
        <v>2.66685607</v>
      </c>
      <c r="G52" s="18" t="n">
        <v>41.65150075</v>
      </c>
      <c r="H52" s="20" t="n">
        <v>2.94125536</v>
      </c>
      <c r="I52" s="18" t="s">
        <v>567</v>
      </c>
      <c r="J52" s="20" t="s">
        <v>567</v>
      </c>
      <c r="K52" s="18" t="n">
        <v>0</v>
      </c>
      <c r="L52" s="20" t="n">
        <v>0</v>
      </c>
      <c r="M52" s="18" t="n">
        <v>0</v>
      </c>
      <c r="N52" s="20" t="n">
        <v>0</v>
      </c>
      <c r="O52" s="18" t="n">
        <v>0</v>
      </c>
      <c r="P52" s="20" t="n">
        <v>0</v>
      </c>
      <c r="Q52" s="18" t="n">
        <v>28.12343472</v>
      </c>
      <c r="R52" s="20" t="n">
        <v>2.43827375</v>
      </c>
    </row>
    <row r="53" spans="1:18">
      <c r="A53" s="15" t="s">
        <v>613</v>
      </c>
      <c r="B53" s="17" t="n">
        <v>2811</v>
      </c>
      <c r="C53" s="18">
        <f>(2498.0/B53*100)</f>
        <v/>
      </c>
      <c r="D53" s="19" t="n">
        <v>313</v>
      </c>
      <c r="E53" s="18" t="n">
        <v>38.50292768</v>
      </c>
      <c r="F53" s="20" t="n">
        <v>2.8176555</v>
      </c>
      <c r="G53" s="18" t="n">
        <v>33.51866056</v>
      </c>
      <c r="H53" s="20" t="n">
        <v>3.01234951</v>
      </c>
      <c r="I53" s="18" t="s">
        <v>567</v>
      </c>
      <c r="J53" s="20" t="s">
        <v>567</v>
      </c>
      <c r="K53" s="18" t="n">
        <v>0.594932</v>
      </c>
      <c r="L53" s="20" t="n">
        <v>0.58661906</v>
      </c>
      <c r="M53" s="18" t="n">
        <v>0</v>
      </c>
      <c r="N53" s="20" t="n">
        <v>0</v>
      </c>
      <c r="O53" s="18" t="n">
        <v>0</v>
      </c>
      <c r="P53" s="20" t="n">
        <v>0</v>
      </c>
      <c r="Q53" s="18" t="n">
        <v>27.38347976</v>
      </c>
      <c r="R53" s="20" t="n">
        <v>2.80680606</v>
      </c>
    </row>
    <row r="54" spans="1:18">
      <c r="A54" s="15" t="s">
        <v>614</v>
      </c>
      <c r="B54" s="17" t="n">
        <v>2266</v>
      </c>
      <c r="C54" s="18">
        <f>(2013.0/B54*100)</f>
        <v/>
      </c>
      <c r="D54" s="19" t="n">
        <v>253</v>
      </c>
      <c r="E54" s="18" t="n">
        <v>59.22697904</v>
      </c>
      <c r="F54" s="20" t="n">
        <v>3.27870317</v>
      </c>
      <c r="G54" s="18" t="n">
        <v>14.65411713</v>
      </c>
      <c r="H54" s="20" t="n">
        <v>2.2152485</v>
      </c>
      <c r="I54" s="18" t="s">
        <v>567</v>
      </c>
      <c r="J54" s="20" t="s">
        <v>567</v>
      </c>
      <c r="K54" s="18" t="n">
        <v>5.50878573</v>
      </c>
      <c r="L54" s="20" t="n">
        <v>1.74277951</v>
      </c>
      <c r="M54" s="18" t="n">
        <v>0.83732848</v>
      </c>
      <c r="N54" s="20" t="n">
        <v>0.88781242</v>
      </c>
      <c r="O54" s="18" t="n">
        <v>0</v>
      </c>
      <c r="P54" s="20" t="n">
        <v>0</v>
      </c>
      <c r="Q54" s="18" t="n">
        <v>19.77278962</v>
      </c>
      <c r="R54" s="20" t="n">
        <v>2.90153566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(2377.0/B56*100)</f>
        <v/>
      </c>
      <c r="D56" s="19" t="n">
        <v>307</v>
      </c>
      <c r="E56" s="18" t="n">
        <v>27.83269</v>
      </c>
      <c r="F56" s="20" t="n">
        <v>3.49690016</v>
      </c>
      <c r="G56" s="18" t="n">
        <v>66.50203495</v>
      </c>
      <c r="H56" s="20" t="n">
        <v>3.43423286</v>
      </c>
      <c r="I56" s="18" t="s">
        <v>567</v>
      </c>
      <c r="J56" s="20" t="s">
        <v>567</v>
      </c>
      <c r="K56" s="18" t="n">
        <v>0</v>
      </c>
      <c r="L56" s="20" t="n">
        <v>0</v>
      </c>
      <c r="M56" s="18" t="n">
        <v>0</v>
      </c>
      <c r="N56" s="20" t="n">
        <v>0</v>
      </c>
      <c r="O56" s="18" t="n">
        <v>0</v>
      </c>
      <c r="P56" s="20" t="n">
        <v>0</v>
      </c>
      <c r="Q56" s="18" t="n">
        <v>5.66527505</v>
      </c>
      <c r="R56" s="20" t="n">
        <v>1.1521421</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(2938.0/B61*100)</f>
        <v/>
      </c>
      <c r="D61" s="19" t="n">
        <v>386</v>
      </c>
      <c r="E61" s="18" t="n">
        <v>34.55297514</v>
      </c>
      <c r="F61" s="20" t="n">
        <v>2.78261655</v>
      </c>
      <c r="G61" s="18" t="n">
        <v>47.71219263</v>
      </c>
      <c r="H61" s="20" t="n">
        <v>2.97446177</v>
      </c>
      <c r="I61" s="18" t="s">
        <v>567</v>
      </c>
      <c r="J61" s="20" t="s">
        <v>567</v>
      </c>
      <c r="K61" s="18" t="n">
        <v>0</v>
      </c>
      <c r="L61" s="20" t="n">
        <v>0</v>
      </c>
      <c r="M61" s="18" t="n">
        <v>0.2601343</v>
      </c>
      <c r="N61" s="20" t="n">
        <v>0.25719731</v>
      </c>
      <c r="O61" s="18" t="n">
        <v>0</v>
      </c>
      <c r="P61" s="20" t="n">
        <v>0</v>
      </c>
      <c r="Q61" s="18" t="n">
        <v>17.47469793</v>
      </c>
      <c r="R61" s="20" t="n">
        <v>2.24623907</v>
      </c>
    </row>
    <row r="62" spans="1:18">
      <c r="A62" s="15" t="s">
        <v>622</v>
      </c>
      <c r="B62" s="17" t="n">
        <v>2246</v>
      </c>
      <c r="C62" s="18">
        <f>(1996.0/B62*100)</f>
        <v/>
      </c>
      <c r="D62" s="19" t="n">
        <v>250</v>
      </c>
      <c r="E62" s="18" t="n">
        <v>25.2179551</v>
      </c>
      <c r="F62" s="20" t="n">
        <v>2.78384323</v>
      </c>
      <c r="G62" s="18" t="n">
        <v>69.12933344</v>
      </c>
      <c r="H62" s="20" t="n">
        <v>2.84781883</v>
      </c>
      <c r="I62" s="18" t="s">
        <v>567</v>
      </c>
      <c r="J62" s="20" t="s">
        <v>567</v>
      </c>
      <c r="K62" s="18" t="n">
        <v>0</v>
      </c>
      <c r="L62" s="20" t="n">
        <v>0</v>
      </c>
      <c r="M62" s="18" t="n">
        <v>0</v>
      </c>
      <c r="N62" s="20" t="n">
        <v>0</v>
      </c>
      <c r="O62" s="18" t="n">
        <v>0</v>
      </c>
      <c r="P62" s="20" t="n">
        <v>0</v>
      </c>
      <c r="Q62" s="18" t="n">
        <v>5.65271145</v>
      </c>
      <c r="R62" s="20" t="n">
        <v>1.47054455</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(2592.0/B66*100)</f>
        <v/>
      </c>
      <c r="D66" s="19" t="n">
        <v>302</v>
      </c>
      <c r="E66" s="18" t="n">
        <v>37.03506421</v>
      </c>
      <c r="F66" s="20" t="n">
        <v>2.63197323</v>
      </c>
      <c r="G66" s="18" t="n">
        <v>23.39421036</v>
      </c>
      <c r="H66" s="20" t="n">
        <v>2.71299584</v>
      </c>
      <c r="I66" s="18" t="s">
        <v>567</v>
      </c>
      <c r="J66" s="20" t="s">
        <v>567</v>
      </c>
      <c r="K66" s="18" t="n">
        <v>0</v>
      </c>
      <c r="L66" s="20" t="n">
        <v>0</v>
      </c>
      <c r="M66" s="18" t="n">
        <v>0.63520455</v>
      </c>
      <c r="N66" s="20" t="n">
        <v>0.44904789</v>
      </c>
      <c r="O66" s="18" t="n">
        <v>0</v>
      </c>
      <c r="P66" s="20" t="n">
        <v>0</v>
      </c>
      <c r="Q66" s="18" t="n">
        <v>38.93552088</v>
      </c>
      <c r="R66" s="20" t="n">
        <v>2.71959753</v>
      </c>
    </row>
    <row r="67" spans="1:18">
      <c r="A67" s="15" t="s">
        <v>627</v>
      </c>
      <c r="B67" s="17" t="n">
        <v>3511</v>
      </c>
      <c r="C67" s="18">
        <f>(3147.0/B67*100)</f>
        <v/>
      </c>
      <c r="D67" s="19" t="n">
        <v>364</v>
      </c>
      <c r="E67" s="18" t="n">
        <v>53.71918441</v>
      </c>
      <c r="F67" s="20" t="n">
        <v>2.87200077</v>
      </c>
      <c r="G67" s="18" t="n">
        <v>33.55289755</v>
      </c>
      <c r="H67" s="20" t="n">
        <v>2.69664756</v>
      </c>
      <c r="I67" s="18" t="s">
        <v>567</v>
      </c>
      <c r="J67" s="20" t="s">
        <v>567</v>
      </c>
      <c r="K67" s="18" t="n">
        <v>0.2207563</v>
      </c>
      <c r="L67" s="20" t="n">
        <v>0.22400054</v>
      </c>
      <c r="M67" s="18" t="n">
        <v>0</v>
      </c>
      <c r="N67" s="20" t="n">
        <v>0</v>
      </c>
      <c r="O67" s="18" t="n">
        <v>0</v>
      </c>
      <c r="P67" s="20" t="n">
        <v>0</v>
      </c>
      <c r="Q67" s="18" t="n">
        <v>12.50716175</v>
      </c>
      <c r="R67" s="20" t="n">
        <v>2.09073344</v>
      </c>
    </row>
    <row r="68" spans="1:18">
      <c r="A68" s="15" t="s">
        <v>628</v>
      </c>
      <c r="B68" s="17" t="n">
        <v>6049</v>
      </c>
      <c r="C68" s="18">
        <f>(5389.0/B68*100)</f>
        <v/>
      </c>
      <c r="D68" s="19" t="n">
        <v>660</v>
      </c>
      <c r="E68" s="18" t="n">
        <v>52.40249894</v>
      </c>
      <c r="F68" s="20" t="n">
        <v>1.714283</v>
      </c>
      <c r="G68" s="18" t="n">
        <v>31.42822151</v>
      </c>
      <c r="H68" s="20" t="n">
        <v>1.66690911</v>
      </c>
      <c r="I68" s="18" t="s">
        <v>567</v>
      </c>
      <c r="J68" s="20" t="s">
        <v>567</v>
      </c>
      <c r="K68" s="18" t="n">
        <v>1.6192305</v>
      </c>
      <c r="L68" s="20" t="n">
        <v>0.52441005</v>
      </c>
      <c r="M68" s="18" t="n">
        <v>0</v>
      </c>
      <c r="N68" s="20" t="n">
        <v>0</v>
      </c>
      <c r="O68" s="18" t="n">
        <v>0</v>
      </c>
      <c r="P68" s="20" t="n">
        <v>0</v>
      </c>
      <c r="Q68" s="18" t="n">
        <v>14.55004906</v>
      </c>
      <c r="R68" s="20" t="n">
        <v>1.46380577</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(2608.0/B70*100)</f>
        <v/>
      </c>
      <c r="D70" s="19" t="n">
        <v>321</v>
      </c>
      <c r="E70" s="18" t="n">
        <v>34.90401028</v>
      </c>
      <c r="F70" s="20" t="n">
        <v>2.87815172</v>
      </c>
      <c r="G70" s="18" t="n">
        <v>47.3494482</v>
      </c>
      <c r="H70" s="20" t="n">
        <v>3.14516843</v>
      </c>
      <c r="I70" s="18" t="s">
        <v>567</v>
      </c>
      <c r="J70" s="20" t="s">
        <v>567</v>
      </c>
      <c r="K70" s="18" t="n">
        <v>0</v>
      </c>
      <c r="L70" s="20" t="n">
        <v>0</v>
      </c>
      <c r="M70" s="18" t="n">
        <v>0</v>
      </c>
      <c r="N70" s="20" t="n">
        <v>0</v>
      </c>
      <c r="O70" s="18" t="n">
        <v>0</v>
      </c>
      <c r="P70" s="20" t="n">
        <v>0</v>
      </c>
      <c r="Q70" s="18" t="n">
        <v>17.74654152</v>
      </c>
      <c r="R70" s="20" t="n">
        <v>2.65041705</v>
      </c>
    </row>
    <row r="71" spans="1:18">
      <c r="A71" s="15" t="s">
        <v>631</v>
      </c>
      <c r="B71" s="17" t="n">
        <v>3142</v>
      </c>
      <c r="C71" s="18">
        <f>(2800.0/B71*100)</f>
        <v/>
      </c>
      <c r="D71" s="19" t="n">
        <v>342</v>
      </c>
      <c r="E71" s="18" t="n">
        <v>24.27618468</v>
      </c>
      <c r="F71" s="20" t="n">
        <v>2.51115815</v>
      </c>
      <c r="G71" s="18" t="n">
        <v>69.81248189</v>
      </c>
      <c r="H71" s="20" t="n">
        <v>2.53430534</v>
      </c>
      <c r="I71" s="18" t="s">
        <v>567</v>
      </c>
      <c r="J71" s="20" t="s">
        <v>567</v>
      </c>
      <c r="K71" s="18" t="n">
        <v>0</v>
      </c>
      <c r="L71" s="20" t="n">
        <v>0</v>
      </c>
      <c r="M71" s="18" t="n">
        <v>0</v>
      </c>
      <c r="N71" s="20" t="n">
        <v>0</v>
      </c>
      <c r="O71" s="18" t="n">
        <v>0</v>
      </c>
      <c r="P71" s="20" t="n">
        <v>0</v>
      </c>
      <c r="Q71" s="18" t="n">
        <v>5.91133343</v>
      </c>
      <c r="R71" s="20" t="n">
        <v>1.2961799</v>
      </c>
    </row>
    <row r="72" spans="1:18">
      <c r="A72" s="15" t="s">
        <v>632</v>
      </c>
      <c r="B72" s="17" t="n">
        <v>3889</v>
      </c>
      <c r="C72" s="18">
        <f>(3471.0/B72*100)</f>
        <v/>
      </c>
      <c r="D72" s="19" t="n">
        <v>418</v>
      </c>
      <c r="E72" s="18" t="n">
        <v>27.04370619</v>
      </c>
      <c r="F72" s="20" t="n">
        <v>2.37225401</v>
      </c>
      <c r="G72" s="18" t="n">
        <v>59.31600428</v>
      </c>
      <c r="H72" s="20" t="n">
        <v>2.54121487</v>
      </c>
      <c r="I72" s="18" t="s">
        <v>567</v>
      </c>
      <c r="J72" s="20" t="s">
        <v>567</v>
      </c>
      <c r="K72" s="18" t="n">
        <v>0</v>
      </c>
      <c r="L72" s="20" t="n">
        <v>0</v>
      </c>
      <c r="M72" s="18" t="n">
        <v>0</v>
      </c>
      <c r="N72" s="20" t="n">
        <v>0</v>
      </c>
      <c r="O72" s="18" t="n">
        <v>0</v>
      </c>
      <c r="P72" s="20" t="n">
        <v>0</v>
      </c>
      <c r="Q72" s="18" t="n">
        <v>13.64028952</v>
      </c>
      <c r="R72" s="20" t="n">
        <v>1.64127968</v>
      </c>
    </row>
    <row r="73" spans="1:18">
      <c r="A73" s="15" t="s">
        <v>633</v>
      </c>
      <c r="B73" s="17" t="n">
        <v>3597</v>
      </c>
      <c r="C73" s="18">
        <f>(3208.0/B73*100)</f>
        <v/>
      </c>
      <c r="D73" s="19" t="n">
        <v>389</v>
      </c>
      <c r="E73" s="18" t="n">
        <v>58.55257681</v>
      </c>
      <c r="F73" s="20" t="n">
        <v>3.48177026</v>
      </c>
      <c r="G73" s="18" t="n">
        <v>34.83014195</v>
      </c>
      <c r="H73" s="20" t="n">
        <v>3.20318405</v>
      </c>
      <c r="I73" s="18" t="s">
        <v>567</v>
      </c>
      <c r="J73" s="20" t="s">
        <v>567</v>
      </c>
      <c r="K73" s="18" t="n">
        <v>0</v>
      </c>
      <c r="L73" s="20" t="n">
        <v>0</v>
      </c>
      <c r="M73" s="18" t="n">
        <v>0.15277788</v>
      </c>
      <c r="N73" s="20" t="n">
        <v>0.15296727</v>
      </c>
      <c r="O73" s="18" t="n">
        <v>0</v>
      </c>
      <c r="P73" s="20" t="n">
        <v>0</v>
      </c>
      <c r="Q73" s="18" t="n">
        <v>6.46450336</v>
      </c>
      <c r="R73" s="20" t="n">
        <v>1.74464437</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(2155.0/B75*100)</f>
        <v/>
      </c>
      <c r="D75" s="19" t="n">
        <v>251</v>
      </c>
      <c r="E75" s="18" t="n">
        <v>52.95922978</v>
      </c>
      <c r="F75" s="20" t="n">
        <v>2.83936992</v>
      </c>
      <c r="G75" s="18" t="n">
        <v>15.86755919</v>
      </c>
      <c r="H75" s="20" t="n">
        <v>2.26146071</v>
      </c>
      <c r="I75" s="18" t="s">
        <v>567</v>
      </c>
      <c r="J75" s="20" t="s">
        <v>567</v>
      </c>
      <c r="K75" s="18" t="n">
        <v>1.14763622</v>
      </c>
      <c r="L75" s="20" t="n">
        <v>0.70918867</v>
      </c>
      <c r="M75" s="18" t="n">
        <v>2.28408479</v>
      </c>
      <c r="N75" s="20" t="n">
        <v>1.3056029</v>
      </c>
      <c r="O75" s="18" t="n">
        <v>0</v>
      </c>
      <c r="P75" s="20" t="n">
        <v>0</v>
      </c>
      <c r="Q75" s="18" t="n">
        <v>27.74149003</v>
      </c>
      <c r="R75" s="20" t="n">
        <v>2.78868243</v>
      </c>
    </row>
    <row r="76" spans="1:18">
      <c r="A76" s="15" t="s">
        <v>636</v>
      </c>
      <c r="B76" s="17" t="n">
        <v>7052</v>
      </c>
      <c r="C76" s="18">
        <f>(6304.0/B76*100)</f>
        <v/>
      </c>
      <c r="D76" s="19" t="n">
        <v>748</v>
      </c>
      <c r="E76" s="18" t="n">
        <v>58.42402143</v>
      </c>
      <c r="F76" s="20" t="n">
        <v>2.43469835</v>
      </c>
      <c r="G76" s="18" t="n">
        <v>29.36084674</v>
      </c>
      <c r="H76" s="20" t="n">
        <v>2.26947273</v>
      </c>
      <c r="I76" s="18" t="s">
        <v>567</v>
      </c>
      <c r="J76" s="20" t="s">
        <v>567</v>
      </c>
      <c r="K76" s="18" t="n">
        <v>0.33647368</v>
      </c>
      <c r="L76" s="20" t="n">
        <v>0.23455695</v>
      </c>
      <c r="M76" s="18" t="n">
        <v>0.50220036</v>
      </c>
      <c r="N76" s="20" t="n">
        <v>0.36112618</v>
      </c>
      <c r="O76" s="18" t="n">
        <v>0</v>
      </c>
      <c r="P76" s="20" t="n">
        <v>0</v>
      </c>
      <c r="Q76" s="18" t="n">
        <v>11.37645778</v>
      </c>
      <c r="R76" s="20" t="n">
        <v>1.62069219</v>
      </c>
    </row>
    <row r="77" spans="1:18">
      <c r="A77" s="15" t="s">
        <v>637</v>
      </c>
      <c r="B77" s="17" t="n">
        <v>2908</v>
      </c>
      <c r="C77" s="18">
        <f>(2577.0/B77*100)</f>
        <v/>
      </c>
      <c r="D77" s="19" t="n">
        <v>331</v>
      </c>
      <c r="E77" s="18" t="n">
        <v>39.1556241</v>
      </c>
      <c r="F77" s="20" t="n">
        <v>2.98270098</v>
      </c>
      <c r="G77" s="18" t="n">
        <v>36.13690677</v>
      </c>
      <c r="H77" s="20" t="n">
        <v>3.61572565</v>
      </c>
      <c r="I77" s="18" t="s">
        <v>567</v>
      </c>
      <c r="J77" s="20" t="s">
        <v>567</v>
      </c>
      <c r="K77" s="18" t="n">
        <v>0</v>
      </c>
      <c r="L77" s="20" t="n">
        <v>0</v>
      </c>
      <c r="M77" s="18" t="n">
        <v>0</v>
      </c>
      <c r="N77" s="20" t="n">
        <v>0</v>
      </c>
      <c r="O77" s="18" t="n">
        <v>0</v>
      </c>
      <c r="P77" s="20" t="n">
        <v>0</v>
      </c>
      <c r="Q77" s="18" t="n">
        <v>24.70746914</v>
      </c>
      <c r="R77" s="20" t="n">
        <v>2.52901385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(3687.0/B81*100)</f>
        <v/>
      </c>
      <c r="D81" s="19" t="n">
        <v>476</v>
      </c>
      <c r="E81" s="18" t="n">
        <v>50.36437865</v>
      </c>
      <c r="F81" s="20" t="n">
        <v>2.5364089</v>
      </c>
      <c r="G81" s="18" t="n">
        <v>44.33958032</v>
      </c>
      <c r="H81" s="20" t="n">
        <v>2.45973787</v>
      </c>
      <c r="I81" s="18" t="s">
        <v>567</v>
      </c>
      <c r="J81" s="20" t="s">
        <v>567</v>
      </c>
      <c r="K81" s="18" t="n">
        <v>0.37695993</v>
      </c>
      <c r="L81" s="20" t="n">
        <v>0.46131083</v>
      </c>
      <c r="M81" s="18" t="n">
        <v>0</v>
      </c>
      <c r="N81" s="20" t="n">
        <v>0</v>
      </c>
      <c r="O81" s="18" t="n">
        <v>0</v>
      </c>
      <c r="P81" s="20" t="n">
        <v>0</v>
      </c>
      <c r="Q81" s="18" t="n">
        <v>4.9190811</v>
      </c>
      <c r="R81" s="20" t="n">
        <v>1.38017067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(6577.0/B7*100)</f>
        <v/>
      </c>
      <c r="D7" s="19" t="n">
        <v>790</v>
      </c>
      <c r="E7" s="18" t="n">
        <v>30.42432295</v>
      </c>
      <c r="F7" s="20" t="n">
        <v>2.10821184</v>
      </c>
      <c r="G7" s="18" t="n">
        <v>60.57016258</v>
      </c>
      <c r="H7" s="20" t="n">
        <v>2.0748573</v>
      </c>
      <c r="I7" s="18" t="s">
        <v>567</v>
      </c>
      <c r="J7" s="20" t="s">
        <v>567</v>
      </c>
      <c r="K7" s="18" t="n">
        <v>0.28106981</v>
      </c>
      <c r="L7" s="20" t="n">
        <v>0.21767327</v>
      </c>
      <c r="M7" s="18" t="n">
        <v>0.06740609</v>
      </c>
      <c r="N7" s="20" t="n">
        <v>0.03324743</v>
      </c>
      <c r="O7" s="18" t="n">
        <v>0</v>
      </c>
      <c r="P7" s="20" t="n">
        <v>0</v>
      </c>
      <c r="Q7" s="18" t="n">
        <v>8.657038569999999</v>
      </c>
      <c r="R7" s="20" t="n">
        <v>1.1355176</v>
      </c>
    </row>
    <row r="8" spans="1:18">
      <c r="A8" s="15" t="s">
        <v>568</v>
      </c>
      <c r="B8" s="17" t="n">
        <v>3564</v>
      </c>
      <c r="C8" s="18">
        <f>(3175.0/B8*100)</f>
        <v/>
      </c>
      <c r="D8" s="19" t="n">
        <v>389</v>
      </c>
      <c r="E8" s="18" t="n">
        <v>18.8435959</v>
      </c>
      <c r="F8" s="20" t="n">
        <v>2.23190448</v>
      </c>
      <c r="G8" s="18" t="n">
        <v>64.5370167</v>
      </c>
      <c r="H8" s="20" t="n">
        <v>2.90343688</v>
      </c>
      <c r="I8" s="18" t="s">
        <v>567</v>
      </c>
      <c r="J8" s="20" t="s">
        <v>567</v>
      </c>
      <c r="K8" s="18" t="n">
        <v>0</v>
      </c>
      <c r="L8" s="20" t="n">
        <v>0</v>
      </c>
      <c r="M8" s="18" t="n">
        <v>0</v>
      </c>
      <c r="N8" s="20" t="n">
        <v>0</v>
      </c>
      <c r="O8" s="18" t="n">
        <v>0</v>
      </c>
      <c r="P8" s="20" t="n">
        <v>0</v>
      </c>
      <c r="Q8" s="18" t="n">
        <v>16.6193874</v>
      </c>
      <c r="R8" s="20" t="n">
        <v>2.09519058</v>
      </c>
    </row>
    <row r="9" spans="1:18">
      <c r="A9" s="15" t="s">
        <v>569</v>
      </c>
      <c r="B9" s="17" t="n">
        <v>4899</v>
      </c>
      <c r="C9" s="18">
        <f>(4367.0/B9*100)</f>
        <v/>
      </c>
      <c r="D9" s="19" t="n">
        <v>532</v>
      </c>
      <c r="E9" s="18" t="n">
        <v>22.131845</v>
      </c>
      <c r="F9" s="20" t="n">
        <v>2.33641562</v>
      </c>
      <c r="G9" s="18" t="n">
        <v>62.10272237</v>
      </c>
      <c r="H9" s="20" t="n">
        <v>2.38518881</v>
      </c>
      <c r="I9" s="18" t="s">
        <v>567</v>
      </c>
      <c r="J9" s="20" t="s">
        <v>567</v>
      </c>
      <c r="K9" s="18" t="n">
        <v>0</v>
      </c>
      <c r="L9" s="20" t="n">
        <v>0</v>
      </c>
      <c r="M9" s="18" t="n">
        <v>0.64643006</v>
      </c>
      <c r="N9" s="20" t="n">
        <v>0.39059178</v>
      </c>
      <c r="O9" s="18" t="n">
        <v>0</v>
      </c>
      <c r="P9" s="20" t="n">
        <v>0</v>
      </c>
      <c r="Q9" s="18" t="n">
        <v>15.11900256</v>
      </c>
      <c r="R9" s="20" t="n">
        <v>1.75969905</v>
      </c>
    </row>
    <row r="10" spans="1:18">
      <c r="A10" s="15" t="s">
        <v>570</v>
      </c>
      <c r="B10" s="17" t="n">
        <v>10036</v>
      </c>
      <c r="C10" s="18">
        <f>(8876.0/B10*100)</f>
        <v/>
      </c>
      <c r="D10" s="19" t="n">
        <v>1160</v>
      </c>
      <c r="E10" s="18" t="n">
        <v>21.8572739</v>
      </c>
      <c r="F10" s="20" t="n">
        <v>1.65723986</v>
      </c>
      <c r="G10" s="18" t="n">
        <v>68.99963189</v>
      </c>
      <c r="H10" s="20" t="n">
        <v>2.02976442</v>
      </c>
      <c r="I10" s="18" t="s">
        <v>567</v>
      </c>
      <c r="J10" s="20" t="s">
        <v>567</v>
      </c>
      <c r="K10" s="18" t="n">
        <v>0.3936535</v>
      </c>
      <c r="L10" s="20" t="n">
        <v>0.25471169</v>
      </c>
      <c r="M10" s="18" t="n">
        <v>0</v>
      </c>
      <c r="N10" s="20" t="n">
        <v>0</v>
      </c>
      <c r="O10" s="18" t="n">
        <v>0</v>
      </c>
      <c r="P10" s="20" t="n">
        <v>0</v>
      </c>
      <c r="Q10" s="18" t="n">
        <v>8.749440720000001</v>
      </c>
      <c r="R10" s="20" t="n">
        <v>1.42687272</v>
      </c>
    </row>
    <row r="11" spans="1:18">
      <c r="A11" s="15" t="s">
        <v>571</v>
      </c>
      <c r="B11" s="17" t="n">
        <v>3553</v>
      </c>
      <c r="C11" s="18">
        <f>(3166.0/B11*100)</f>
        <v/>
      </c>
      <c r="D11" s="19" t="n">
        <v>387</v>
      </c>
      <c r="E11" s="18" t="n">
        <v>37.04331005</v>
      </c>
      <c r="F11" s="20" t="n">
        <v>2.86055113</v>
      </c>
      <c r="G11" s="18" t="n">
        <v>41.71290765</v>
      </c>
      <c r="H11" s="20" t="n">
        <v>3.05325797</v>
      </c>
      <c r="I11" s="18" t="s">
        <v>567</v>
      </c>
      <c r="J11" s="20" t="s">
        <v>567</v>
      </c>
      <c r="K11" s="18" t="n">
        <v>0.56779381</v>
      </c>
      <c r="L11" s="20" t="n">
        <v>0.37477925</v>
      </c>
      <c r="M11" s="18" t="n">
        <v>0</v>
      </c>
      <c r="N11" s="20" t="n">
        <v>0</v>
      </c>
      <c r="O11" s="18" t="n">
        <v>0</v>
      </c>
      <c r="P11" s="20" t="n">
        <v>0</v>
      </c>
      <c r="Q11" s="18" t="n">
        <v>20.67598849</v>
      </c>
      <c r="R11" s="20" t="n">
        <v>2.97736496</v>
      </c>
    </row>
    <row r="12" spans="1:18">
      <c r="A12" s="15" t="s">
        <v>572</v>
      </c>
      <c r="B12" s="17" t="n">
        <v>3472</v>
      </c>
      <c r="C12" s="18">
        <f>(3070.0/B12*100)</f>
        <v/>
      </c>
      <c r="D12" s="19" t="n">
        <v>402</v>
      </c>
      <c r="E12" s="18" t="n">
        <v>23.66931995</v>
      </c>
      <c r="F12" s="20" t="n">
        <v>2.11117283</v>
      </c>
      <c r="G12" s="18" t="n">
        <v>50.53973712</v>
      </c>
      <c r="H12" s="20" t="n">
        <v>2.77113981</v>
      </c>
      <c r="I12" s="18" t="s">
        <v>567</v>
      </c>
      <c r="J12" s="20" t="s">
        <v>567</v>
      </c>
      <c r="K12" s="18" t="n">
        <v>0</v>
      </c>
      <c r="L12" s="20" t="n">
        <v>0</v>
      </c>
      <c r="M12" s="18" t="n">
        <v>0</v>
      </c>
      <c r="N12" s="20" t="n">
        <v>0</v>
      </c>
      <c r="O12" s="18" t="n">
        <v>0</v>
      </c>
      <c r="P12" s="20" t="n">
        <v>0</v>
      </c>
      <c r="Q12" s="18" t="n">
        <v>25.79094293</v>
      </c>
      <c r="R12" s="20" t="n">
        <v>2.54936588</v>
      </c>
    </row>
    <row r="13" spans="1:18">
      <c r="A13" s="15" t="s">
        <v>573</v>
      </c>
      <c r="B13" s="17" t="n">
        <v>3559</v>
      </c>
      <c r="C13" s="18">
        <f>(3179.0/B13*100)</f>
        <v/>
      </c>
      <c r="D13" s="19" t="n">
        <v>380</v>
      </c>
      <c r="E13" s="18" t="n">
        <v>25.52960489</v>
      </c>
      <c r="F13" s="20" t="n">
        <v>2.56037922</v>
      </c>
      <c r="G13" s="18" t="n">
        <v>63.67674907</v>
      </c>
      <c r="H13" s="20" t="n">
        <v>3.09485385</v>
      </c>
      <c r="I13" s="18" t="s">
        <v>567</v>
      </c>
      <c r="J13" s="20" t="s">
        <v>567</v>
      </c>
      <c r="K13" s="18" t="n">
        <v>0.08200894</v>
      </c>
      <c r="L13" s="20" t="n">
        <v>0.0827478</v>
      </c>
      <c r="M13" s="18" t="n">
        <v>0</v>
      </c>
      <c r="N13" s="20" t="n">
        <v>0</v>
      </c>
      <c r="O13" s="18" t="n">
        <v>0</v>
      </c>
      <c r="P13" s="20" t="n">
        <v>0</v>
      </c>
      <c r="Q13" s="18" t="n">
        <v>10.7116371</v>
      </c>
      <c r="R13" s="20" t="n">
        <v>1.87252412</v>
      </c>
    </row>
    <row r="14" spans="1:18">
      <c r="A14" s="15" t="s">
        <v>574</v>
      </c>
      <c r="B14" s="17" t="n">
        <v>2799</v>
      </c>
      <c r="C14" s="18">
        <f>(2485.0/B14*100)</f>
        <v/>
      </c>
      <c r="D14" s="19" t="n">
        <v>314</v>
      </c>
      <c r="E14" s="18" t="n">
        <v>23.63004327</v>
      </c>
      <c r="F14" s="20" t="n">
        <v>3.22396925</v>
      </c>
      <c r="G14" s="18" t="n">
        <v>63.48433266</v>
      </c>
      <c r="H14" s="20" t="n">
        <v>3.21851894</v>
      </c>
      <c r="I14" s="18" t="s">
        <v>567</v>
      </c>
      <c r="J14" s="20" t="s">
        <v>567</v>
      </c>
      <c r="K14" s="18" t="n">
        <v>0</v>
      </c>
      <c r="L14" s="20" t="n">
        <v>0</v>
      </c>
      <c r="M14" s="18" t="n">
        <v>0</v>
      </c>
      <c r="N14" s="20" t="n">
        <v>0</v>
      </c>
      <c r="O14" s="18" t="n">
        <v>0</v>
      </c>
      <c r="P14" s="20" t="n">
        <v>0</v>
      </c>
      <c r="Q14" s="18" t="n">
        <v>12.88562407</v>
      </c>
      <c r="R14" s="20" t="n">
        <v>2.12098713</v>
      </c>
    </row>
    <row r="15" spans="1:18">
      <c r="A15" s="15" t="s">
        <v>575</v>
      </c>
      <c r="B15" s="17" t="n">
        <v>3019</v>
      </c>
      <c r="C15" s="18">
        <f>(2720.0/B15*100)</f>
        <v/>
      </c>
      <c r="D15" s="19" t="n">
        <v>299</v>
      </c>
      <c r="E15" s="18" t="n">
        <v>24.97990585</v>
      </c>
      <c r="F15" s="20" t="n">
        <v>2.57454973</v>
      </c>
      <c r="G15" s="18" t="n">
        <v>61.62758165</v>
      </c>
      <c r="H15" s="20" t="n">
        <v>3.17950972</v>
      </c>
      <c r="I15" s="18" t="s">
        <v>567</v>
      </c>
      <c r="J15" s="20" t="s">
        <v>567</v>
      </c>
      <c r="K15" s="18" t="n">
        <v>0</v>
      </c>
      <c r="L15" s="20" t="n">
        <v>0</v>
      </c>
      <c r="M15" s="18" t="n">
        <v>0</v>
      </c>
      <c r="N15" s="20" t="n">
        <v>0</v>
      </c>
      <c r="O15" s="18" t="n">
        <v>0</v>
      </c>
      <c r="P15" s="20" t="n">
        <v>0</v>
      </c>
      <c r="Q15" s="18" t="n">
        <v>13.3925125</v>
      </c>
      <c r="R15" s="20" t="n">
        <v>2.20913419</v>
      </c>
    </row>
    <row r="16" spans="1:18">
      <c r="A16" s="15" t="s">
        <v>576</v>
      </c>
      <c r="B16" s="17" t="n">
        <v>2997</v>
      </c>
      <c r="C16" s="18">
        <f>(2672.0/B16*100)</f>
        <v/>
      </c>
      <c r="D16" s="19" t="n">
        <v>325</v>
      </c>
      <c r="E16" s="18" t="n">
        <v>14.12918098</v>
      </c>
      <c r="F16" s="20" t="n">
        <v>1.83321967</v>
      </c>
      <c r="G16" s="18" t="n">
        <v>60.4700047</v>
      </c>
      <c r="H16" s="20" t="n">
        <v>2.45049671</v>
      </c>
      <c r="I16" s="18" t="s">
        <v>567</v>
      </c>
      <c r="J16" s="20" t="s">
        <v>567</v>
      </c>
      <c r="K16" s="18" t="n">
        <v>0.32908077</v>
      </c>
      <c r="L16" s="20" t="n">
        <v>0.24602152</v>
      </c>
      <c r="M16" s="18" t="n">
        <v>0</v>
      </c>
      <c r="N16" s="20" t="n">
        <v>0</v>
      </c>
      <c r="O16" s="18" t="n">
        <v>0</v>
      </c>
      <c r="P16" s="20" t="n">
        <v>0</v>
      </c>
      <c r="Q16" s="18" t="n">
        <v>25.07173354</v>
      </c>
      <c r="R16" s="20" t="n">
        <v>2.07905392</v>
      </c>
    </row>
    <row r="17" spans="1:18">
      <c r="A17" s="15" t="s">
        <v>577</v>
      </c>
      <c r="B17" s="17" t="n">
        <v>3307</v>
      </c>
      <c r="C17" s="18">
        <f>(2969.0/B17*100)</f>
        <v/>
      </c>
      <c r="D17" s="19" t="n">
        <v>338</v>
      </c>
      <c r="E17" s="18" t="n">
        <v>23.72127853</v>
      </c>
      <c r="F17" s="20" t="n">
        <v>2.46858939</v>
      </c>
      <c r="G17" s="18" t="n">
        <v>62.04530888</v>
      </c>
      <c r="H17" s="20" t="n">
        <v>2.44862504</v>
      </c>
      <c r="I17" s="18" t="s">
        <v>567</v>
      </c>
      <c r="J17" s="20" t="s">
        <v>567</v>
      </c>
      <c r="K17" s="18" t="n">
        <v>0</v>
      </c>
      <c r="L17" s="20" t="n">
        <v>0</v>
      </c>
      <c r="M17" s="18" t="n">
        <v>0</v>
      </c>
      <c r="N17" s="20" t="n">
        <v>0</v>
      </c>
      <c r="O17" s="18" t="n">
        <v>0</v>
      </c>
      <c r="P17" s="20" t="n">
        <v>0</v>
      </c>
      <c r="Q17" s="18" t="n">
        <v>14.23341259</v>
      </c>
      <c r="R17" s="20" t="n">
        <v>2.00928479</v>
      </c>
    </row>
    <row r="18" spans="1:18">
      <c r="A18" s="15" t="s">
        <v>578</v>
      </c>
      <c r="B18" s="17" t="n">
        <v>2826</v>
      </c>
      <c r="C18" s="18">
        <f>(2495.0/B18*100)</f>
        <v/>
      </c>
      <c r="D18" s="19" t="n">
        <v>331</v>
      </c>
      <c r="E18" s="18" t="n">
        <v>36.21440115</v>
      </c>
      <c r="F18" s="20" t="n">
        <v>2.69853107</v>
      </c>
      <c r="G18" s="18" t="n">
        <v>41.13964131</v>
      </c>
      <c r="H18" s="20" t="n">
        <v>2.97103194</v>
      </c>
      <c r="I18" s="18" t="s">
        <v>567</v>
      </c>
      <c r="J18" s="20" t="s">
        <v>567</v>
      </c>
      <c r="K18" s="18" t="n">
        <v>0</v>
      </c>
      <c r="L18" s="20" t="n">
        <v>0</v>
      </c>
      <c r="M18" s="18" t="n">
        <v>0</v>
      </c>
      <c r="N18" s="20" t="n">
        <v>0</v>
      </c>
      <c r="O18" s="18" t="n">
        <v>0</v>
      </c>
      <c r="P18" s="20" t="n">
        <v>0</v>
      </c>
      <c r="Q18" s="18" t="n">
        <v>22.64595754</v>
      </c>
      <c r="R18" s="20" t="n">
        <v>2.713763</v>
      </c>
    </row>
    <row r="19" spans="1:18">
      <c r="A19" s="15" t="s">
        <v>579</v>
      </c>
      <c r="B19" s="17" t="n">
        <v>2808</v>
      </c>
      <c r="C19" s="18">
        <f>(2506.0/B19*100)</f>
        <v/>
      </c>
      <c r="D19" s="19" t="n">
        <v>302</v>
      </c>
      <c r="E19" s="18" t="n">
        <v>26.86662872</v>
      </c>
      <c r="F19" s="20" t="n">
        <v>2.76662535</v>
      </c>
      <c r="G19" s="18" t="n">
        <v>51.61617574</v>
      </c>
      <c r="H19" s="20" t="n">
        <v>2.84884087</v>
      </c>
      <c r="I19" s="18" t="s">
        <v>567</v>
      </c>
      <c r="J19" s="20" t="s">
        <v>567</v>
      </c>
      <c r="K19" s="18" t="n">
        <v>0</v>
      </c>
      <c r="L19" s="20" t="n">
        <v>0</v>
      </c>
      <c r="M19" s="18" t="n">
        <v>0</v>
      </c>
      <c r="N19" s="20" t="n">
        <v>0</v>
      </c>
      <c r="O19" s="18" t="n">
        <v>0</v>
      </c>
      <c r="P19" s="20" t="n">
        <v>0</v>
      </c>
      <c r="Q19" s="18" t="n">
        <v>21.51719554</v>
      </c>
      <c r="R19" s="20" t="n">
        <v>2.90374402</v>
      </c>
    </row>
    <row r="20" spans="1:18">
      <c r="A20" s="15" t="s">
        <v>580</v>
      </c>
      <c r="B20" s="17" t="n">
        <v>1630</v>
      </c>
      <c r="C20" s="18">
        <f>(1452.0/B20*100)</f>
        <v/>
      </c>
      <c r="D20" s="19" t="n">
        <v>178</v>
      </c>
      <c r="E20" s="18" t="n">
        <v>26.43387935</v>
      </c>
      <c r="F20" s="20" t="n">
        <v>2.93662872</v>
      </c>
      <c r="G20" s="18" t="n">
        <v>54.56434888</v>
      </c>
      <c r="H20" s="20" t="n">
        <v>3.50544848</v>
      </c>
      <c r="I20" s="18" t="s">
        <v>567</v>
      </c>
      <c r="J20" s="20" t="s">
        <v>567</v>
      </c>
      <c r="K20" s="18" t="n">
        <v>0.55580247</v>
      </c>
      <c r="L20" s="20" t="n">
        <v>0.56437564</v>
      </c>
      <c r="M20" s="18" t="n">
        <v>0</v>
      </c>
      <c r="N20" s="20" t="n">
        <v>0</v>
      </c>
      <c r="O20" s="18" t="n">
        <v>0</v>
      </c>
      <c r="P20" s="20" t="n">
        <v>0</v>
      </c>
      <c r="Q20" s="18" t="n">
        <v>18.44596931</v>
      </c>
      <c r="R20" s="20" t="n">
        <v>2.92579788</v>
      </c>
    </row>
    <row r="21" spans="1:18">
      <c r="A21" s="15" t="s">
        <v>581</v>
      </c>
      <c r="B21" s="17" t="n">
        <v>2908</v>
      </c>
      <c r="C21" s="18">
        <f>(2588.0/B21*100)</f>
        <v/>
      </c>
      <c r="D21" s="19" t="n">
        <v>320</v>
      </c>
      <c r="E21" s="18" t="n">
        <v>24.59491584</v>
      </c>
      <c r="F21" s="20" t="n">
        <v>2.72049057</v>
      </c>
      <c r="G21" s="18" t="n">
        <v>64.38317026</v>
      </c>
      <c r="H21" s="20" t="n">
        <v>3.05969821</v>
      </c>
      <c r="I21" s="18" t="s">
        <v>567</v>
      </c>
      <c r="J21" s="20" t="s">
        <v>567</v>
      </c>
      <c r="K21" s="18" t="n">
        <v>0</v>
      </c>
      <c r="L21" s="20" t="n">
        <v>0</v>
      </c>
      <c r="M21" s="18" t="n">
        <v>0.2731427</v>
      </c>
      <c r="N21" s="20" t="n">
        <v>0.27909165</v>
      </c>
      <c r="O21" s="18" t="n">
        <v>0</v>
      </c>
      <c r="P21" s="20" t="n">
        <v>0</v>
      </c>
      <c r="Q21" s="18" t="n">
        <v>10.74877121</v>
      </c>
      <c r="R21" s="20" t="n">
        <v>1.83422391</v>
      </c>
    </row>
    <row r="22" spans="1:18">
      <c r="A22" s="15" t="s">
        <v>582</v>
      </c>
      <c r="B22" s="17" t="n">
        <v>2931</v>
      </c>
      <c r="C22" s="18">
        <f>(2607.0/B22*100)</f>
        <v/>
      </c>
      <c r="D22" s="19" t="n">
        <v>324</v>
      </c>
      <c r="E22" s="18" t="n">
        <v>20.8819479</v>
      </c>
      <c r="F22" s="20" t="n">
        <v>2.77903898</v>
      </c>
      <c r="G22" s="18" t="n">
        <v>61.10957828</v>
      </c>
      <c r="H22" s="20" t="n">
        <v>3.17262526</v>
      </c>
      <c r="I22" s="18" t="s">
        <v>567</v>
      </c>
      <c r="J22" s="20" t="s">
        <v>567</v>
      </c>
      <c r="K22" s="18" t="n">
        <v>0.5586657900000001</v>
      </c>
      <c r="L22" s="20" t="n">
        <v>0.39095398</v>
      </c>
      <c r="M22" s="18" t="n">
        <v>0</v>
      </c>
      <c r="N22" s="20" t="n">
        <v>0</v>
      </c>
      <c r="O22" s="18" t="n">
        <v>0</v>
      </c>
      <c r="P22" s="20" t="n">
        <v>0</v>
      </c>
      <c r="Q22" s="18" t="n">
        <v>17.44980803</v>
      </c>
      <c r="R22" s="20" t="n">
        <v>2.32945979</v>
      </c>
    </row>
    <row r="23" spans="1:18">
      <c r="A23" s="15" t="s">
        <v>583</v>
      </c>
      <c r="B23" s="17" t="n">
        <v>5791</v>
      </c>
      <c r="C23" s="18">
        <f>(5181.0/B23*100)</f>
        <v/>
      </c>
      <c r="D23" s="19" t="n">
        <v>610</v>
      </c>
      <c r="E23" s="18" t="n">
        <v>25.14088189</v>
      </c>
      <c r="F23" s="20" t="n">
        <v>2.65964889</v>
      </c>
      <c r="G23" s="18" t="n">
        <v>57.13414108</v>
      </c>
      <c r="H23" s="20" t="n">
        <v>3.06839979</v>
      </c>
      <c r="I23" s="18" t="s">
        <v>567</v>
      </c>
      <c r="J23" s="20" t="s">
        <v>567</v>
      </c>
      <c r="K23" s="18" t="n">
        <v>0.14177897</v>
      </c>
      <c r="L23" s="20" t="n">
        <v>0.13371151</v>
      </c>
      <c r="M23" s="18" t="n">
        <v>0.49022538</v>
      </c>
      <c r="N23" s="20" t="n">
        <v>0.5718739900000001</v>
      </c>
      <c r="O23" s="18" t="n">
        <v>0</v>
      </c>
      <c r="P23" s="20" t="n">
        <v>0</v>
      </c>
      <c r="Q23" s="18" t="n">
        <v>17.09297269</v>
      </c>
      <c r="R23" s="20" t="n">
        <v>1.79669688</v>
      </c>
    </row>
    <row r="24" spans="1:18">
      <c r="A24" s="15" t="s">
        <v>584</v>
      </c>
      <c r="B24" s="17" t="n">
        <v>3338</v>
      </c>
      <c r="C24" s="18">
        <f>(2970.0/B24*100)</f>
        <v/>
      </c>
      <c r="D24" s="19" t="n">
        <v>368</v>
      </c>
      <c r="E24" s="18" t="n">
        <v>20.62689676</v>
      </c>
      <c r="F24" s="20" t="n">
        <v>2.04753683</v>
      </c>
      <c r="G24" s="18" t="n">
        <v>64.31047357</v>
      </c>
      <c r="H24" s="20" t="n">
        <v>2.57279612</v>
      </c>
      <c r="I24" s="18" t="s">
        <v>567</v>
      </c>
      <c r="J24" s="20" t="s">
        <v>567</v>
      </c>
      <c r="K24" s="18" t="n">
        <v>0</v>
      </c>
      <c r="L24" s="20" t="n">
        <v>0</v>
      </c>
      <c r="M24" s="18" t="n">
        <v>0</v>
      </c>
      <c r="N24" s="20" t="n">
        <v>0</v>
      </c>
      <c r="O24" s="18" t="n">
        <v>0</v>
      </c>
      <c r="P24" s="20" t="n">
        <v>0</v>
      </c>
      <c r="Q24" s="18" t="n">
        <v>15.06262967</v>
      </c>
      <c r="R24" s="20" t="n">
        <v>1.53252708</v>
      </c>
    </row>
    <row r="25" spans="1:18">
      <c r="A25" s="15" t="s">
        <v>585</v>
      </c>
      <c r="B25" s="17" t="n">
        <v>2912</v>
      </c>
      <c r="C25" s="18">
        <f>(2601.0/B25*100)</f>
        <v/>
      </c>
      <c r="D25" s="19" t="n">
        <v>311</v>
      </c>
      <c r="E25" s="18" t="n">
        <v>29.62068129</v>
      </c>
      <c r="F25" s="20" t="n">
        <v>2.50158904</v>
      </c>
      <c r="G25" s="18" t="n">
        <v>55.34463441</v>
      </c>
      <c r="H25" s="20" t="n">
        <v>3.05161059</v>
      </c>
      <c r="I25" s="18" t="s">
        <v>567</v>
      </c>
      <c r="J25" s="20" t="s">
        <v>567</v>
      </c>
      <c r="K25" s="18" t="n">
        <v>0.62230212</v>
      </c>
      <c r="L25" s="20" t="n">
        <v>0.45412028</v>
      </c>
      <c r="M25" s="18" t="n">
        <v>0</v>
      </c>
      <c r="N25" s="20" t="n">
        <v>0</v>
      </c>
      <c r="O25" s="18" t="n">
        <v>0</v>
      </c>
      <c r="P25" s="20" t="n">
        <v>0</v>
      </c>
      <c r="Q25" s="18" t="n">
        <v>14.41238218</v>
      </c>
      <c r="R25" s="20" t="n">
        <v>2.20110104</v>
      </c>
    </row>
    <row r="26" spans="1:18">
      <c r="A26" s="15" t="s">
        <v>586</v>
      </c>
      <c r="B26" s="17" t="n">
        <v>2450</v>
      </c>
      <c r="C26" s="18">
        <f>(2171.0/B26*100)</f>
        <v/>
      </c>
      <c r="D26" s="19" t="n">
        <v>279</v>
      </c>
      <c r="E26" s="18" t="n">
        <v>34.35635437</v>
      </c>
      <c r="F26" s="20" t="n">
        <v>3.08217082</v>
      </c>
      <c r="G26" s="18" t="n">
        <v>54.52626195</v>
      </c>
      <c r="H26" s="20" t="n">
        <v>2.7851054</v>
      </c>
      <c r="I26" s="18" t="s">
        <v>567</v>
      </c>
      <c r="J26" s="20" t="s">
        <v>567</v>
      </c>
      <c r="K26" s="18" t="n">
        <v>0</v>
      </c>
      <c r="L26" s="20" t="n">
        <v>0</v>
      </c>
      <c r="M26" s="18" t="n">
        <v>0</v>
      </c>
      <c r="N26" s="20" t="n">
        <v>0</v>
      </c>
      <c r="O26" s="18" t="n">
        <v>0</v>
      </c>
      <c r="P26" s="20" t="n">
        <v>0</v>
      </c>
      <c r="Q26" s="18" t="n">
        <v>11.11738368</v>
      </c>
      <c r="R26" s="20" t="n">
        <v>1.87352646</v>
      </c>
    </row>
    <row r="27" spans="1:18">
      <c r="A27" s="15" t="s">
        <v>587</v>
      </c>
      <c r="B27" s="17" t="n">
        <v>2616</v>
      </c>
      <c r="C27" s="18">
        <f>(2340.0/B27*100)</f>
        <v/>
      </c>
      <c r="D27" s="19" t="n">
        <v>276</v>
      </c>
      <c r="E27" s="18" t="n">
        <v>22.72027427</v>
      </c>
      <c r="F27" s="20" t="n">
        <v>2.54306478</v>
      </c>
      <c r="G27" s="18" t="n">
        <v>54.5934031</v>
      </c>
      <c r="H27" s="20" t="n">
        <v>2.79334833</v>
      </c>
      <c r="I27" s="18" t="s">
        <v>567</v>
      </c>
      <c r="J27" s="20" t="s">
        <v>567</v>
      </c>
      <c r="K27" s="18" t="n">
        <v>0.38345195</v>
      </c>
      <c r="L27" s="20" t="n">
        <v>0.38223042</v>
      </c>
      <c r="M27" s="18" t="n">
        <v>0</v>
      </c>
      <c r="N27" s="20" t="n">
        <v>0</v>
      </c>
      <c r="O27" s="18" t="n">
        <v>0</v>
      </c>
      <c r="P27" s="20" t="n">
        <v>0</v>
      </c>
      <c r="Q27" s="18" t="n">
        <v>22.30287068</v>
      </c>
      <c r="R27" s="20" t="n">
        <v>2.2811041</v>
      </c>
    </row>
    <row r="28" spans="1:18">
      <c r="A28" s="15" t="s">
        <v>588</v>
      </c>
      <c r="B28" s="17" t="n">
        <v>3765</v>
      </c>
      <c r="C28" s="18">
        <f>(3369.0/B28*100)</f>
        <v/>
      </c>
      <c r="D28" s="19" t="n">
        <v>396</v>
      </c>
      <c r="E28" s="18" t="n">
        <v>64.73219948000001</v>
      </c>
      <c r="F28" s="20" t="n">
        <v>2.88145562</v>
      </c>
      <c r="G28" s="18" t="n">
        <v>28.08975397</v>
      </c>
      <c r="H28" s="20" t="n">
        <v>2.7966616</v>
      </c>
      <c r="I28" s="18" t="s">
        <v>567</v>
      </c>
      <c r="J28" s="20" t="s">
        <v>567</v>
      </c>
      <c r="K28" s="18" t="n">
        <v>0</v>
      </c>
      <c r="L28" s="20" t="n">
        <v>0</v>
      </c>
      <c r="M28" s="18" t="n">
        <v>0</v>
      </c>
      <c r="N28" s="20" t="n">
        <v>0</v>
      </c>
      <c r="O28" s="18" t="n">
        <v>0</v>
      </c>
      <c r="P28" s="20" t="n">
        <v>0</v>
      </c>
      <c r="Q28" s="18" t="n">
        <v>7.17804655</v>
      </c>
      <c r="R28" s="20" t="n">
        <v>1.98930999</v>
      </c>
    </row>
    <row r="29" spans="1:18">
      <c r="A29" s="15" t="s">
        <v>589</v>
      </c>
      <c r="B29" s="17" t="n">
        <v>2685</v>
      </c>
      <c r="C29" s="18">
        <f>(2394.0/B29*100)</f>
        <v/>
      </c>
      <c r="D29" s="19" t="n">
        <v>291</v>
      </c>
      <c r="E29" s="18" t="n">
        <v>26.18163888</v>
      </c>
      <c r="F29" s="20" t="n">
        <v>2.55419948</v>
      </c>
      <c r="G29" s="18" t="n">
        <v>69.17057715</v>
      </c>
      <c r="H29" s="20" t="n">
        <v>2.61281031</v>
      </c>
      <c r="I29" s="18" t="s">
        <v>567</v>
      </c>
      <c r="J29" s="20" t="s">
        <v>567</v>
      </c>
      <c r="K29" s="18" t="n">
        <v>0</v>
      </c>
      <c r="L29" s="20" t="n">
        <v>0</v>
      </c>
      <c r="M29" s="18" t="n">
        <v>0</v>
      </c>
      <c r="N29" s="20" t="n">
        <v>0</v>
      </c>
      <c r="O29" s="18" t="n">
        <v>0</v>
      </c>
      <c r="P29" s="20" t="n">
        <v>0</v>
      </c>
      <c r="Q29" s="18" t="n">
        <v>4.64778397</v>
      </c>
      <c r="R29" s="20" t="n">
        <v>1.0158031</v>
      </c>
    </row>
    <row r="30" spans="1:18">
      <c r="A30" s="15" t="s">
        <v>590</v>
      </c>
      <c r="B30" s="17" t="n">
        <v>2263</v>
      </c>
      <c r="C30" s="18">
        <f>(2032.0/B30*100)</f>
        <v/>
      </c>
      <c r="D30" s="19" t="n">
        <v>231</v>
      </c>
      <c r="E30" s="18" t="n">
        <v>21.44813827</v>
      </c>
      <c r="F30" s="20" t="n">
        <v>2.54895073</v>
      </c>
      <c r="G30" s="18" t="n">
        <v>62.74259463</v>
      </c>
      <c r="H30" s="20" t="n">
        <v>2.7986288</v>
      </c>
      <c r="I30" s="18" t="s">
        <v>567</v>
      </c>
      <c r="J30" s="20" t="s">
        <v>567</v>
      </c>
      <c r="K30" s="18" t="n">
        <v>0</v>
      </c>
      <c r="L30" s="20" t="n">
        <v>0</v>
      </c>
      <c r="M30" s="18" t="n">
        <v>0</v>
      </c>
      <c r="N30" s="20" t="n">
        <v>0</v>
      </c>
      <c r="O30" s="18" t="n">
        <v>0</v>
      </c>
      <c r="P30" s="20" t="n">
        <v>0</v>
      </c>
      <c r="Q30" s="18" t="n">
        <v>15.8092671</v>
      </c>
      <c r="R30" s="20" t="n">
        <v>2.35917742</v>
      </c>
    </row>
    <row r="31" spans="1:18">
      <c r="A31" s="15" t="s">
        <v>591</v>
      </c>
      <c r="B31" s="17" t="n">
        <v>2750</v>
      </c>
      <c r="C31" s="18">
        <f>(2436.0/B31*100)</f>
        <v/>
      </c>
      <c r="D31" s="19" t="n">
        <v>314</v>
      </c>
      <c r="E31" s="18" t="n">
        <v>21.46778478</v>
      </c>
      <c r="F31" s="20" t="n">
        <v>2.38616073</v>
      </c>
      <c r="G31" s="18" t="n">
        <v>62.3649603</v>
      </c>
      <c r="H31" s="20" t="n">
        <v>2.72513322</v>
      </c>
      <c r="I31" s="18" t="s">
        <v>567</v>
      </c>
      <c r="J31" s="20" t="s">
        <v>567</v>
      </c>
      <c r="K31" s="18" t="n">
        <v>0</v>
      </c>
      <c r="L31" s="20" t="n">
        <v>0</v>
      </c>
      <c r="M31" s="18" t="n">
        <v>0.64765527</v>
      </c>
      <c r="N31" s="20" t="n">
        <v>0.74262726</v>
      </c>
      <c r="O31" s="18" t="n">
        <v>0</v>
      </c>
      <c r="P31" s="20" t="n">
        <v>0</v>
      </c>
      <c r="Q31" s="18" t="n">
        <v>15.51959965</v>
      </c>
      <c r="R31" s="20" t="n">
        <v>2.05296957</v>
      </c>
    </row>
    <row r="32" spans="1:18">
      <c r="A32" s="15" t="s">
        <v>592</v>
      </c>
      <c r="B32" s="17" t="n">
        <v>2269</v>
      </c>
      <c r="C32" s="18">
        <f>(2002.0/B32*100)</f>
        <v/>
      </c>
      <c r="D32" s="19" t="n">
        <v>267</v>
      </c>
      <c r="E32" s="18" t="n">
        <v>28.67579436</v>
      </c>
      <c r="F32" s="20" t="n">
        <v>3.0030549</v>
      </c>
      <c r="G32" s="18" t="n">
        <v>53.55785714</v>
      </c>
      <c r="H32" s="20" t="n">
        <v>3.30638449</v>
      </c>
      <c r="I32" s="18" t="s">
        <v>567</v>
      </c>
      <c r="J32" s="20" t="s">
        <v>567</v>
      </c>
      <c r="K32" s="18" t="n">
        <v>0</v>
      </c>
      <c r="L32" s="20" t="n">
        <v>0</v>
      </c>
      <c r="M32" s="18" t="n">
        <v>0</v>
      </c>
      <c r="N32" s="20" t="n">
        <v>0</v>
      </c>
      <c r="O32" s="18" t="n">
        <v>0</v>
      </c>
      <c r="P32" s="20" t="n">
        <v>0</v>
      </c>
      <c r="Q32" s="18" t="n">
        <v>17.7663485</v>
      </c>
      <c r="R32" s="20" t="n">
        <v>2.32261197</v>
      </c>
    </row>
    <row r="33" spans="1:18">
      <c r="A33" s="15" t="s">
        <v>593</v>
      </c>
      <c r="B33" s="17" t="n">
        <v>3674</v>
      </c>
      <c r="C33" s="18">
        <f>(3249.0/B33*100)</f>
        <v/>
      </c>
      <c r="D33" s="19" t="n">
        <v>425</v>
      </c>
      <c r="E33" s="18" t="n">
        <v>24.7634125</v>
      </c>
      <c r="F33" s="20" t="n">
        <v>2.53257637</v>
      </c>
      <c r="G33" s="18" t="n">
        <v>56.36088051</v>
      </c>
      <c r="H33" s="20" t="n">
        <v>2.8664151</v>
      </c>
      <c r="I33" s="18" t="s">
        <v>567</v>
      </c>
      <c r="J33" s="20" t="s">
        <v>567</v>
      </c>
      <c r="K33" s="18" t="n">
        <v>0.35651114</v>
      </c>
      <c r="L33" s="20" t="n">
        <v>0.32039399</v>
      </c>
      <c r="M33" s="18" t="n">
        <v>0</v>
      </c>
      <c r="N33" s="20" t="n">
        <v>0</v>
      </c>
      <c r="O33" s="18" t="n">
        <v>0</v>
      </c>
      <c r="P33" s="20" t="n">
        <v>0</v>
      </c>
      <c r="Q33" s="18" t="n">
        <v>18.51919585</v>
      </c>
      <c r="R33" s="20" t="n">
        <v>2.42271992</v>
      </c>
    </row>
    <row r="34" spans="1:18">
      <c r="A34" s="15" t="s">
        <v>594</v>
      </c>
      <c r="B34" s="17" t="n">
        <v>3315</v>
      </c>
      <c r="C34" s="18">
        <f>(2952.0/B34*100)</f>
        <v/>
      </c>
      <c r="D34" s="19" t="n">
        <v>363</v>
      </c>
      <c r="E34" s="18" t="n">
        <v>50.04105681</v>
      </c>
      <c r="F34" s="20" t="n">
        <v>2.83170721</v>
      </c>
      <c r="G34" s="18" t="n">
        <v>31.42203715</v>
      </c>
      <c r="H34" s="20" t="n">
        <v>2.75141633</v>
      </c>
      <c r="I34" s="18" t="s">
        <v>567</v>
      </c>
      <c r="J34" s="20" t="s">
        <v>567</v>
      </c>
      <c r="K34" s="18" t="n">
        <v>0</v>
      </c>
      <c r="L34" s="20" t="n">
        <v>0</v>
      </c>
      <c r="M34" s="18" t="n">
        <v>0.40555052</v>
      </c>
      <c r="N34" s="20" t="n">
        <v>0.42812478</v>
      </c>
      <c r="O34" s="18" t="n">
        <v>0</v>
      </c>
      <c r="P34" s="20" t="n">
        <v>0</v>
      </c>
      <c r="Q34" s="18" t="n">
        <v>18.13135552</v>
      </c>
      <c r="R34" s="20" t="n">
        <v>2.12290935</v>
      </c>
    </row>
    <row r="35" spans="1:18">
      <c r="A35" s="15" t="s">
        <v>595</v>
      </c>
      <c r="B35" s="17" t="n">
        <v>3505</v>
      </c>
      <c r="C35" s="18">
        <f>(3143.0/B35*100)</f>
        <v/>
      </c>
      <c r="D35" s="19" t="n">
        <v>362</v>
      </c>
      <c r="E35" s="18" t="n">
        <v>31.95113474</v>
      </c>
      <c r="F35" s="20" t="n">
        <v>3.16846943</v>
      </c>
      <c r="G35" s="18" t="n">
        <v>49.75461796</v>
      </c>
      <c r="H35" s="20" t="n">
        <v>3.19010673</v>
      </c>
      <c r="I35" s="18" t="s">
        <v>567</v>
      </c>
      <c r="J35" s="20" t="s">
        <v>567</v>
      </c>
      <c r="K35" s="18" t="n">
        <v>0</v>
      </c>
      <c r="L35" s="20" t="n">
        <v>0</v>
      </c>
      <c r="M35" s="18" t="n">
        <v>0</v>
      </c>
      <c r="N35" s="20" t="n">
        <v>0</v>
      </c>
      <c r="O35" s="18" t="n">
        <v>0</v>
      </c>
      <c r="P35" s="20" t="n">
        <v>0</v>
      </c>
      <c r="Q35" s="18" t="n">
        <v>18.29424729</v>
      </c>
      <c r="R35" s="20" t="n">
        <v>2.54640118</v>
      </c>
    </row>
    <row r="36" spans="1:18">
      <c r="A36" s="15" t="s">
        <v>596</v>
      </c>
      <c r="B36" s="17" t="n">
        <v>3332</v>
      </c>
      <c r="C36" s="18">
        <f>(2978.0/B36*100)</f>
        <v/>
      </c>
      <c r="D36" s="19" t="n">
        <v>354</v>
      </c>
      <c r="E36" s="18" t="n">
        <v>23.85743143</v>
      </c>
      <c r="F36" s="20" t="n">
        <v>2.15979376</v>
      </c>
      <c r="G36" s="18" t="n">
        <v>59.91339386</v>
      </c>
      <c r="H36" s="20" t="n">
        <v>2.67256794</v>
      </c>
      <c r="I36" s="18" t="s">
        <v>567</v>
      </c>
      <c r="J36" s="20" t="s">
        <v>567</v>
      </c>
      <c r="K36" s="18" t="n">
        <v>0.33126451</v>
      </c>
      <c r="L36" s="20" t="n">
        <v>0.24529965</v>
      </c>
      <c r="M36" s="18" t="n">
        <v>0</v>
      </c>
      <c r="N36" s="20" t="n">
        <v>0</v>
      </c>
      <c r="O36" s="18" t="n">
        <v>0</v>
      </c>
      <c r="P36" s="20" t="n">
        <v>0</v>
      </c>
      <c r="Q36" s="18" t="n">
        <v>15.8979102</v>
      </c>
      <c r="R36" s="20" t="n">
        <v>2.19334233</v>
      </c>
    </row>
    <row r="37" spans="1:18">
      <c r="A37" s="15" t="s">
        <v>597</v>
      </c>
      <c r="B37" s="17" t="n">
        <v>2727</v>
      </c>
      <c r="C37" s="18">
        <f>(2428.0/B37*100)</f>
        <v/>
      </c>
      <c r="D37" s="19" t="n">
        <v>299</v>
      </c>
      <c r="E37" s="18" t="n">
        <v>29.6203497</v>
      </c>
      <c r="F37" s="20" t="n">
        <v>2.51451543</v>
      </c>
      <c r="G37" s="18" t="n">
        <v>54.38093956</v>
      </c>
      <c r="H37" s="20" t="n">
        <v>3.359638</v>
      </c>
      <c r="I37" s="18" t="s">
        <v>567</v>
      </c>
      <c r="J37" s="20" t="s">
        <v>567</v>
      </c>
      <c r="K37" s="18" t="n">
        <v>0</v>
      </c>
      <c r="L37" s="20" t="n">
        <v>0</v>
      </c>
      <c r="M37" s="18" t="n">
        <v>0</v>
      </c>
      <c r="N37" s="20" t="n">
        <v>0</v>
      </c>
      <c r="O37" s="18" t="n">
        <v>0</v>
      </c>
      <c r="P37" s="20" t="n">
        <v>0</v>
      </c>
      <c r="Q37" s="18" t="n">
        <v>15.99871074</v>
      </c>
      <c r="R37" s="20" t="n">
        <v>2.62218599</v>
      </c>
    </row>
    <row r="38" spans="1:18">
      <c r="A38" s="15" t="s">
        <v>598</v>
      </c>
      <c r="B38" s="17" t="n">
        <v>3053</v>
      </c>
      <c r="C38" s="18">
        <f>(2711.0/B38*100)</f>
        <v/>
      </c>
      <c r="D38" s="19" t="n">
        <v>342</v>
      </c>
      <c r="E38" s="18" t="n">
        <v>24.30329118</v>
      </c>
      <c r="F38" s="20" t="n">
        <v>2.65377388</v>
      </c>
      <c r="G38" s="18" t="n">
        <v>58.68804452</v>
      </c>
      <c r="H38" s="20" t="n">
        <v>3.43407048</v>
      </c>
      <c r="I38" s="18" t="s">
        <v>567</v>
      </c>
      <c r="J38" s="20" t="s">
        <v>567</v>
      </c>
      <c r="K38" s="18" t="n">
        <v>0.32870219</v>
      </c>
      <c r="L38" s="20" t="n">
        <v>0.31896902</v>
      </c>
      <c r="M38" s="18" t="n">
        <v>2.09310492</v>
      </c>
      <c r="N38" s="20" t="n">
        <v>0.72435332</v>
      </c>
      <c r="O38" s="18" t="n">
        <v>0</v>
      </c>
      <c r="P38" s="20" t="n">
        <v>0</v>
      </c>
      <c r="Q38" s="18" t="n">
        <v>14.5868572</v>
      </c>
      <c r="R38" s="20" t="n">
        <v>1.91861955</v>
      </c>
    </row>
    <row r="39" spans="1:18">
      <c r="A39" s="15" t="s">
        <v>599</v>
      </c>
      <c r="B39" s="17" t="n">
        <v>2957</v>
      </c>
      <c r="C39" s="18">
        <f>(2613.0/B39*100)</f>
        <v/>
      </c>
      <c r="D39" s="19" t="n">
        <v>344</v>
      </c>
      <c r="E39" s="18" t="n">
        <v>36.76390324</v>
      </c>
      <c r="F39" s="20" t="n">
        <v>2.5308294</v>
      </c>
      <c r="G39" s="18" t="n">
        <v>42.23001468</v>
      </c>
      <c r="H39" s="20" t="n">
        <v>3.05110452</v>
      </c>
      <c r="I39" s="18" t="s">
        <v>567</v>
      </c>
      <c r="J39" s="20" t="s">
        <v>567</v>
      </c>
      <c r="K39" s="18" t="n">
        <v>0</v>
      </c>
      <c r="L39" s="20" t="n">
        <v>0</v>
      </c>
      <c r="M39" s="18" t="n">
        <v>0</v>
      </c>
      <c r="N39" s="20" t="n">
        <v>0</v>
      </c>
      <c r="O39" s="18" t="n">
        <v>0</v>
      </c>
      <c r="P39" s="20" t="n">
        <v>0</v>
      </c>
      <c r="Q39" s="18" t="n">
        <v>21.00608208</v>
      </c>
      <c r="R39" s="20" t="n">
        <v>2.54726165</v>
      </c>
    </row>
    <row r="40" spans="1:18">
      <c r="A40" s="15" t="s">
        <v>600</v>
      </c>
      <c r="B40" s="17" t="n">
        <v>7235</v>
      </c>
      <c r="C40" s="18">
        <f>(6451.0/B40*100)</f>
        <v/>
      </c>
      <c r="D40" s="19" t="n">
        <v>784</v>
      </c>
      <c r="E40" s="18" t="n">
        <v>18.58215652</v>
      </c>
      <c r="F40" s="20" t="n">
        <v>2.17537749</v>
      </c>
      <c r="G40" s="18" t="n">
        <v>69.24478757999999</v>
      </c>
      <c r="H40" s="20" t="n">
        <v>3.04847017</v>
      </c>
      <c r="I40" s="18" t="s">
        <v>567</v>
      </c>
      <c r="J40" s="20" t="s">
        <v>567</v>
      </c>
      <c r="K40" s="18" t="n">
        <v>0</v>
      </c>
      <c r="L40" s="20" t="n">
        <v>0</v>
      </c>
      <c r="M40" s="18" t="n">
        <v>0</v>
      </c>
      <c r="N40" s="20" t="n">
        <v>0</v>
      </c>
      <c r="O40" s="18" t="n">
        <v>0</v>
      </c>
      <c r="P40" s="20" t="n">
        <v>0</v>
      </c>
      <c r="Q40" s="18" t="n">
        <v>12.1730559</v>
      </c>
      <c r="R40" s="20" t="n">
        <v>2.0324603</v>
      </c>
    </row>
    <row r="41" spans="1:18">
      <c r="A41" s="15" t="s">
        <v>601</v>
      </c>
      <c r="B41" s="17" t="n">
        <v>2858</v>
      </c>
      <c r="C41" s="18">
        <f>(2533.0/B41*100)</f>
        <v/>
      </c>
      <c r="D41" s="19" t="n">
        <v>325</v>
      </c>
      <c r="E41" s="18" t="n">
        <v>36.68051787</v>
      </c>
      <c r="F41" s="20" t="n">
        <v>3.01020942</v>
      </c>
      <c r="G41" s="18" t="n">
        <v>59.30894764</v>
      </c>
      <c r="H41" s="20" t="n">
        <v>3.21202877</v>
      </c>
      <c r="I41" s="18" t="s">
        <v>567</v>
      </c>
      <c r="J41" s="20" t="s">
        <v>567</v>
      </c>
      <c r="K41" s="18" t="n">
        <v>0</v>
      </c>
      <c r="L41" s="20" t="n">
        <v>0</v>
      </c>
      <c r="M41" s="18" t="n">
        <v>0</v>
      </c>
      <c r="N41" s="20" t="n">
        <v>0</v>
      </c>
      <c r="O41" s="18" t="n">
        <v>0</v>
      </c>
      <c r="P41" s="20" t="n">
        <v>0</v>
      </c>
      <c r="Q41" s="18" t="n">
        <v>4.01053449</v>
      </c>
      <c r="R41" s="20" t="n">
        <v>1.21352971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(9975.0/B46*100)</f>
        <v/>
      </c>
      <c r="D46" s="19" t="n">
        <v>1093</v>
      </c>
      <c r="E46" s="18" t="n">
        <v>42.33785405</v>
      </c>
      <c r="F46" s="20" t="n">
        <v>1.95202671</v>
      </c>
      <c r="G46" s="18" t="n">
        <v>37.41514021</v>
      </c>
      <c r="H46" s="20" t="n">
        <v>1.98227258</v>
      </c>
      <c r="I46" s="18" t="s">
        <v>567</v>
      </c>
      <c r="J46" s="20" t="s">
        <v>567</v>
      </c>
      <c r="K46" s="18" t="n">
        <v>0.33422753</v>
      </c>
      <c r="L46" s="20" t="n">
        <v>0.18892972</v>
      </c>
      <c r="M46" s="18" t="n">
        <v>0.61665053</v>
      </c>
      <c r="N46" s="20" t="n">
        <v>0.24762196</v>
      </c>
      <c r="O46" s="18" t="n">
        <v>0</v>
      </c>
      <c r="P46" s="20" t="n">
        <v>0</v>
      </c>
      <c r="Q46" s="18" t="n">
        <v>19.29612768</v>
      </c>
      <c r="R46" s="20" t="n">
        <v>1.81280408</v>
      </c>
    </row>
    <row r="47" spans="1:18">
      <c r="A47" s="15" t="s">
        <v>607</v>
      </c>
      <c r="B47" s="17" t="n">
        <v>3105</v>
      </c>
      <c r="C47" s="18">
        <f>(2752.0/B47*100)</f>
        <v/>
      </c>
      <c r="D47" s="19" t="n">
        <v>353</v>
      </c>
      <c r="E47" s="18" t="n">
        <v>30.5441572</v>
      </c>
      <c r="F47" s="20" t="n">
        <v>2.36284494</v>
      </c>
      <c r="G47" s="18" t="n">
        <v>36.64517099</v>
      </c>
      <c r="H47" s="20" t="n">
        <v>3.2052287</v>
      </c>
      <c r="I47" s="18" t="s">
        <v>567</v>
      </c>
      <c r="J47" s="20" t="s">
        <v>567</v>
      </c>
      <c r="K47" s="18" t="n">
        <v>0.289073</v>
      </c>
      <c r="L47" s="20" t="n">
        <v>0.40738287</v>
      </c>
      <c r="M47" s="18" t="n">
        <v>0</v>
      </c>
      <c r="N47" s="20" t="n">
        <v>0</v>
      </c>
      <c r="O47" s="18" t="n">
        <v>0</v>
      </c>
      <c r="P47" s="20" t="n">
        <v>0</v>
      </c>
      <c r="Q47" s="18" t="n">
        <v>32.52159881</v>
      </c>
      <c r="R47" s="20" t="n">
        <v>2.57766348</v>
      </c>
    </row>
    <row r="48" spans="1:18">
      <c r="A48" s="15" t="s">
        <v>608</v>
      </c>
      <c r="B48" s="17" t="n">
        <v>5159</v>
      </c>
      <c r="C48" s="18">
        <f>(4558.0/B48*100)</f>
        <v/>
      </c>
      <c r="D48" s="19" t="n">
        <v>601</v>
      </c>
      <c r="E48" s="18" t="n">
        <v>21.07100854</v>
      </c>
      <c r="F48" s="20" t="n">
        <v>2.28883031</v>
      </c>
      <c r="G48" s="18" t="n">
        <v>71.02815778</v>
      </c>
      <c r="H48" s="20" t="n">
        <v>2.64416301</v>
      </c>
      <c r="I48" s="18" t="s">
        <v>567</v>
      </c>
      <c r="J48" s="20" t="s">
        <v>567</v>
      </c>
      <c r="K48" s="18" t="n">
        <v>0.10637012</v>
      </c>
      <c r="L48" s="20" t="n">
        <v>0.07481314</v>
      </c>
      <c r="M48" s="18" t="n">
        <v>0</v>
      </c>
      <c r="N48" s="20" t="n">
        <v>0</v>
      </c>
      <c r="O48" s="18" t="n">
        <v>0</v>
      </c>
      <c r="P48" s="20" t="n">
        <v>0</v>
      </c>
      <c r="Q48" s="18" t="n">
        <v>7.79446356</v>
      </c>
      <c r="R48" s="20" t="n">
        <v>1.36703358</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(4968.0/B50*100)</f>
        <v/>
      </c>
      <c r="D50" s="19" t="n">
        <v>669</v>
      </c>
      <c r="E50" s="18" t="n">
        <v>50.23963565</v>
      </c>
      <c r="F50" s="20" t="n">
        <v>2.92573756</v>
      </c>
      <c r="G50" s="18" t="n">
        <v>36.85803959</v>
      </c>
      <c r="H50" s="20" t="n">
        <v>2.58705595</v>
      </c>
      <c r="I50" s="18" t="s">
        <v>567</v>
      </c>
      <c r="J50" s="20" t="s">
        <v>567</v>
      </c>
      <c r="K50" s="18" t="n">
        <v>1.20278331</v>
      </c>
      <c r="L50" s="20" t="n">
        <v>0.77748827</v>
      </c>
      <c r="M50" s="18" t="n">
        <v>0.51869656</v>
      </c>
      <c r="N50" s="20" t="n">
        <v>0.60217928</v>
      </c>
      <c r="O50" s="18" t="n">
        <v>0</v>
      </c>
      <c r="P50" s="20" t="n">
        <v>0</v>
      </c>
      <c r="Q50" s="18" t="n">
        <v>11.18084488</v>
      </c>
      <c r="R50" s="20" t="n">
        <v>1.81212459</v>
      </c>
    </row>
    <row r="51" spans="1:18">
      <c r="A51" s="15" t="s">
        <v>611</v>
      </c>
      <c r="B51" s="17" t="n">
        <v>3372</v>
      </c>
      <c r="C51" s="18">
        <f>(3052.0/B51*100)</f>
        <v/>
      </c>
      <c r="D51" s="19" t="n">
        <v>320</v>
      </c>
      <c r="E51" s="18" t="n">
        <v>49.21607679</v>
      </c>
      <c r="F51" s="20" t="n">
        <v>2.80951182</v>
      </c>
      <c r="G51" s="18" t="n">
        <v>38.18879185</v>
      </c>
      <c r="H51" s="20" t="n">
        <v>2.99190335</v>
      </c>
      <c r="I51" s="18" t="s">
        <v>567</v>
      </c>
      <c r="J51" s="20" t="s">
        <v>567</v>
      </c>
      <c r="K51" s="18" t="n">
        <v>0</v>
      </c>
      <c r="L51" s="20" t="n">
        <v>0</v>
      </c>
      <c r="M51" s="18" t="n">
        <v>0</v>
      </c>
      <c r="N51" s="20" t="n">
        <v>0</v>
      </c>
      <c r="O51" s="18" t="n">
        <v>0</v>
      </c>
      <c r="P51" s="20" t="n">
        <v>0</v>
      </c>
      <c r="Q51" s="18" t="n">
        <v>12.59513136</v>
      </c>
      <c r="R51" s="20" t="n">
        <v>1.83278666</v>
      </c>
    </row>
    <row r="52" spans="1:18">
      <c r="A52" s="15" t="s">
        <v>612</v>
      </c>
      <c r="B52" s="17" t="n">
        <v>2796</v>
      </c>
      <c r="C52" s="18">
        <f>(2477.0/B52*100)</f>
        <v/>
      </c>
      <c r="D52" s="19" t="n">
        <v>319</v>
      </c>
      <c r="E52" s="18" t="n">
        <v>20.23162228</v>
      </c>
      <c r="F52" s="20" t="n">
        <v>2.39893831</v>
      </c>
      <c r="G52" s="18" t="n">
        <v>55.75741301</v>
      </c>
      <c r="H52" s="20" t="n">
        <v>2.8378548</v>
      </c>
      <c r="I52" s="18" t="s">
        <v>567</v>
      </c>
      <c r="J52" s="20" t="s">
        <v>567</v>
      </c>
      <c r="K52" s="18" t="n">
        <v>0</v>
      </c>
      <c r="L52" s="20" t="n">
        <v>0</v>
      </c>
      <c r="M52" s="18" t="n">
        <v>0</v>
      </c>
      <c r="N52" s="20" t="n">
        <v>0</v>
      </c>
      <c r="O52" s="18" t="n">
        <v>0</v>
      </c>
      <c r="P52" s="20" t="n">
        <v>0</v>
      </c>
      <c r="Q52" s="18" t="n">
        <v>24.01096471</v>
      </c>
      <c r="R52" s="20" t="n">
        <v>2.59423468</v>
      </c>
    </row>
    <row r="53" spans="1:18">
      <c r="A53" s="15" t="s">
        <v>613</v>
      </c>
      <c r="B53" s="17" t="n">
        <v>2811</v>
      </c>
      <c r="C53" s="18">
        <f>(2498.0/B53*100)</f>
        <v/>
      </c>
      <c r="D53" s="19" t="n">
        <v>313</v>
      </c>
      <c r="E53" s="18" t="n">
        <v>31.6257208</v>
      </c>
      <c r="F53" s="20" t="n">
        <v>2.52370366</v>
      </c>
      <c r="G53" s="18" t="n">
        <v>40.90874426</v>
      </c>
      <c r="H53" s="20" t="n">
        <v>3.01646415</v>
      </c>
      <c r="I53" s="18" t="s">
        <v>567</v>
      </c>
      <c r="J53" s="20" t="s">
        <v>567</v>
      </c>
      <c r="K53" s="18" t="n">
        <v>0.594932</v>
      </c>
      <c r="L53" s="20" t="n">
        <v>0.58661906</v>
      </c>
      <c r="M53" s="18" t="n">
        <v>0</v>
      </c>
      <c r="N53" s="20" t="n">
        <v>0</v>
      </c>
      <c r="O53" s="18" t="n">
        <v>0</v>
      </c>
      <c r="P53" s="20" t="n">
        <v>0</v>
      </c>
      <c r="Q53" s="18" t="n">
        <v>26.87060294</v>
      </c>
      <c r="R53" s="20" t="n">
        <v>2.9151113</v>
      </c>
    </row>
    <row r="54" spans="1:18">
      <c r="A54" s="15" t="s">
        <v>614</v>
      </c>
      <c r="B54" s="17" t="n">
        <v>2266</v>
      </c>
      <c r="C54" s="18">
        <f>(2013.0/B54*100)</f>
        <v/>
      </c>
      <c r="D54" s="19" t="n">
        <v>253</v>
      </c>
      <c r="E54" s="18" t="n">
        <v>52.00777592</v>
      </c>
      <c r="F54" s="20" t="n">
        <v>3.38501315</v>
      </c>
      <c r="G54" s="18" t="n">
        <v>14.45195005</v>
      </c>
      <c r="H54" s="20" t="n">
        <v>2.56112734</v>
      </c>
      <c r="I54" s="18" t="s">
        <v>567</v>
      </c>
      <c r="J54" s="20" t="s">
        <v>567</v>
      </c>
      <c r="K54" s="18" t="n">
        <v>6.20581092</v>
      </c>
      <c r="L54" s="20" t="n">
        <v>1.73820603</v>
      </c>
      <c r="M54" s="18" t="n">
        <v>0.83732848</v>
      </c>
      <c r="N54" s="20" t="n">
        <v>0.88781242</v>
      </c>
      <c r="O54" s="18" t="n">
        <v>0</v>
      </c>
      <c r="P54" s="20" t="n">
        <v>0</v>
      </c>
      <c r="Q54" s="18" t="n">
        <v>26.49713463</v>
      </c>
      <c r="R54" s="20" t="n">
        <v>3.11167621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(2376.0/B56*100)</f>
        <v/>
      </c>
      <c r="D56" s="19" t="n">
        <v>308</v>
      </c>
      <c r="E56" s="18" t="n">
        <v>27.19553634</v>
      </c>
      <c r="F56" s="20" t="n">
        <v>3.31669321</v>
      </c>
      <c r="G56" s="18" t="n">
        <v>67.07236013000001</v>
      </c>
      <c r="H56" s="20" t="n">
        <v>3.19589664</v>
      </c>
      <c r="I56" s="18" t="s">
        <v>567</v>
      </c>
      <c r="J56" s="20" t="s">
        <v>567</v>
      </c>
      <c r="K56" s="18" t="n">
        <v>0.41299646</v>
      </c>
      <c r="L56" s="20" t="n">
        <v>0.35065983</v>
      </c>
      <c r="M56" s="18" t="n">
        <v>0</v>
      </c>
      <c r="N56" s="20" t="n">
        <v>0</v>
      </c>
      <c r="O56" s="18" t="n">
        <v>0</v>
      </c>
      <c r="P56" s="20" t="n">
        <v>0</v>
      </c>
      <c r="Q56" s="18" t="n">
        <v>5.31910708</v>
      </c>
      <c r="R56" s="20" t="n">
        <v>1.27825813</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(2938.0/B61*100)</f>
        <v/>
      </c>
      <c r="D61" s="19" t="n">
        <v>386</v>
      </c>
      <c r="E61" s="18" t="n">
        <v>31.61090385</v>
      </c>
      <c r="F61" s="20" t="n">
        <v>2.77753139</v>
      </c>
      <c r="G61" s="18" t="n">
        <v>49.18599389</v>
      </c>
      <c r="H61" s="20" t="n">
        <v>2.67621023</v>
      </c>
      <c r="I61" s="18" t="s">
        <v>567</v>
      </c>
      <c r="J61" s="20" t="s">
        <v>567</v>
      </c>
      <c r="K61" s="18" t="n">
        <v>0</v>
      </c>
      <c r="L61" s="20" t="n">
        <v>0</v>
      </c>
      <c r="M61" s="18" t="n">
        <v>0.2601343</v>
      </c>
      <c r="N61" s="20" t="n">
        <v>0.25719731</v>
      </c>
      <c r="O61" s="18" t="n">
        <v>0</v>
      </c>
      <c r="P61" s="20" t="n">
        <v>0</v>
      </c>
      <c r="Q61" s="18" t="n">
        <v>18.94296797</v>
      </c>
      <c r="R61" s="20" t="n">
        <v>2.31529049</v>
      </c>
    </row>
    <row r="62" spans="1:18">
      <c r="A62" s="15" t="s">
        <v>622</v>
      </c>
      <c r="B62" s="17" t="n">
        <v>2246</v>
      </c>
      <c r="C62" s="18">
        <f>(1996.0/B62*100)</f>
        <v/>
      </c>
      <c r="D62" s="19" t="n">
        <v>250</v>
      </c>
      <c r="E62" s="18" t="n">
        <v>19.59602505</v>
      </c>
      <c r="F62" s="20" t="n">
        <v>2.34082111</v>
      </c>
      <c r="G62" s="18" t="n">
        <v>75.56421901</v>
      </c>
      <c r="H62" s="20" t="n">
        <v>2.48856399</v>
      </c>
      <c r="I62" s="18" t="s">
        <v>567</v>
      </c>
      <c r="J62" s="20" t="s">
        <v>567</v>
      </c>
      <c r="K62" s="18" t="n">
        <v>0</v>
      </c>
      <c r="L62" s="20" t="n">
        <v>0</v>
      </c>
      <c r="M62" s="18" t="n">
        <v>0</v>
      </c>
      <c r="N62" s="20" t="n">
        <v>0</v>
      </c>
      <c r="O62" s="18" t="n">
        <v>0</v>
      </c>
      <c r="P62" s="20" t="n">
        <v>0</v>
      </c>
      <c r="Q62" s="18" t="n">
        <v>4.83975595</v>
      </c>
      <c r="R62" s="20" t="n">
        <v>1.39484654</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(2591.0/B66*100)</f>
        <v/>
      </c>
      <c r="D66" s="19" t="n">
        <v>303</v>
      </c>
      <c r="E66" s="18" t="n">
        <v>31.87196347</v>
      </c>
      <c r="F66" s="20" t="n">
        <v>2.82793761</v>
      </c>
      <c r="G66" s="18" t="n">
        <v>24.50455466</v>
      </c>
      <c r="H66" s="20" t="n">
        <v>2.60801992</v>
      </c>
      <c r="I66" s="18" t="s">
        <v>567</v>
      </c>
      <c r="J66" s="20" t="s">
        <v>567</v>
      </c>
      <c r="K66" s="18" t="n">
        <v>0</v>
      </c>
      <c r="L66" s="20" t="n">
        <v>0</v>
      </c>
      <c r="M66" s="18" t="n">
        <v>0.63272048</v>
      </c>
      <c r="N66" s="20" t="n">
        <v>0.44729087</v>
      </c>
      <c r="O66" s="18" t="n">
        <v>0</v>
      </c>
      <c r="P66" s="20" t="n">
        <v>0</v>
      </c>
      <c r="Q66" s="18" t="n">
        <v>42.99076138</v>
      </c>
      <c r="R66" s="20" t="n">
        <v>2.81233697</v>
      </c>
    </row>
    <row r="67" spans="1:18">
      <c r="A67" s="15" t="s">
        <v>627</v>
      </c>
      <c r="B67" s="17" t="n">
        <v>3511</v>
      </c>
      <c r="C67" s="18">
        <f>(3147.0/B67*100)</f>
        <v/>
      </c>
      <c r="D67" s="19" t="n">
        <v>364</v>
      </c>
      <c r="E67" s="18" t="n">
        <v>50.86430942</v>
      </c>
      <c r="F67" s="20" t="n">
        <v>2.86244743</v>
      </c>
      <c r="G67" s="18" t="n">
        <v>33.86804119</v>
      </c>
      <c r="H67" s="20" t="n">
        <v>2.32395868</v>
      </c>
      <c r="I67" s="18" t="s">
        <v>567</v>
      </c>
      <c r="J67" s="20" t="s">
        <v>567</v>
      </c>
      <c r="K67" s="18" t="n">
        <v>0.2207563</v>
      </c>
      <c r="L67" s="20" t="n">
        <v>0.22400054</v>
      </c>
      <c r="M67" s="18" t="n">
        <v>0</v>
      </c>
      <c r="N67" s="20" t="n">
        <v>0</v>
      </c>
      <c r="O67" s="18" t="n">
        <v>0</v>
      </c>
      <c r="P67" s="20" t="n">
        <v>0</v>
      </c>
      <c r="Q67" s="18" t="n">
        <v>15.04689309</v>
      </c>
      <c r="R67" s="20" t="n">
        <v>2.07674953</v>
      </c>
    </row>
    <row r="68" spans="1:18">
      <c r="A68" s="15" t="s">
        <v>628</v>
      </c>
      <c r="B68" s="17" t="n">
        <v>6049</v>
      </c>
      <c r="C68" s="18">
        <f>(5389.0/B68*100)</f>
        <v/>
      </c>
      <c r="D68" s="19" t="n">
        <v>660</v>
      </c>
      <c r="E68" s="18" t="n">
        <v>47.50976273</v>
      </c>
      <c r="F68" s="20" t="n">
        <v>1.80539307</v>
      </c>
      <c r="G68" s="18" t="n">
        <v>31.6907463</v>
      </c>
      <c r="H68" s="20" t="n">
        <v>1.69533192</v>
      </c>
      <c r="I68" s="18" t="s">
        <v>567</v>
      </c>
      <c r="J68" s="20" t="s">
        <v>567</v>
      </c>
      <c r="K68" s="18" t="n">
        <v>1.61937273</v>
      </c>
      <c r="L68" s="20" t="n">
        <v>0.52435817</v>
      </c>
      <c r="M68" s="18" t="n">
        <v>0</v>
      </c>
      <c r="N68" s="20" t="n">
        <v>0</v>
      </c>
      <c r="O68" s="18" t="n">
        <v>0</v>
      </c>
      <c r="P68" s="20" t="n">
        <v>0</v>
      </c>
      <c r="Q68" s="18" t="n">
        <v>19.18011824</v>
      </c>
      <c r="R68" s="20" t="n">
        <v>1.45581215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(2608.0/B70*100)</f>
        <v/>
      </c>
      <c r="D70" s="19" t="n">
        <v>321</v>
      </c>
      <c r="E70" s="18" t="n">
        <v>27.03419978</v>
      </c>
      <c r="F70" s="20" t="n">
        <v>2.54874038</v>
      </c>
      <c r="G70" s="18" t="n">
        <v>52.8207913</v>
      </c>
      <c r="H70" s="20" t="n">
        <v>2.53438357</v>
      </c>
      <c r="I70" s="18" t="s">
        <v>567</v>
      </c>
      <c r="J70" s="20" t="s">
        <v>567</v>
      </c>
      <c r="K70" s="18" t="n">
        <v>0</v>
      </c>
      <c r="L70" s="20" t="n">
        <v>0</v>
      </c>
      <c r="M70" s="18" t="n">
        <v>0</v>
      </c>
      <c r="N70" s="20" t="n">
        <v>0</v>
      </c>
      <c r="O70" s="18" t="n">
        <v>0</v>
      </c>
      <c r="P70" s="20" t="n">
        <v>0</v>
      </c>
      <c r="Q70" s="18" t="n">
        <v>20.14500891</v>
      </c>
      <c r="R70" s="20" t="n">
        <v>2.63867611</v>
      </c>
    </row>
    <row r="71" spans="1:18">
      <c r="A71" s="15" t="s">
        <v>631</v>
      </c>
      <c r="B71" s="17" t="n">
        <v>3142</v>
      </c>
      <c r="C71" s="18">
        <f>(2800.0/B71*100)</f>
        <v/>
      </c>
      <c r="D71" s="19" t="n">
        <v>342</v>
      </c>
      <c r="E71" s="18" t="n">
        <v>15.65243439</v>
      </c>
      <c r="F71" s="20" t="n">
        <v>2.07924041</v>
      </c>
      <c r="G71" s="18" t="n">
        <v>78.82140982</v>
      </c>
      <c r="H71" s="20" t="n">
        <v>2.33495778</v>
      </c>
      <c r="I71" s="18" t="s">
        <v>567</v>
      </c>
      <c r="J71" s="20" t="s">
        <v>567</v>
      </c>
      <c r="K71" s="18" t="n">
        <v>0</v>
      </c>
      <c r="L71" s="20" t="n">
        <v>0</v>
      </c>
      <c r="M71" s="18" t="n">
        <v>0</v>
      </c>
      <c r="N71" s="20" t="n">
        <v>0</v>
      </c>
      <c r="O71" s="18" t="n">
        <v>0</v>
      </c>
      <c r="P71" s="20" t="n">
        <v>0</v>
      </c>
      <c r="Q71" s="18" t="n">
        <v>5.52615579</v>
      </c>
      <c r="R71" s="20" t="n">
        <v>1.25144176</v>
      </c>
    </row>
    <row r="72" spans="1:18">
      <c r="A72" s="15" t="s">
        <v>632</v>
      </c>
      <c r="B72" s="17" t="n">
        <v>3889</v>
      </c>
      <c r="C72" s="18">
        <f>(3471.0/B72*100)</f>
        <v/>
      </c>
      <c r="D72" s="19" t="n">
        <v>418</v>
      </c>
      <c r="E72" s="18" t="n">
        <v>21.83316949</v>
      </c>
      <c r="F72" s="20" t="n">
        <v>2.20024345</v>
      </c>
      <c r="G72" s="18" t="n">
        <v>64.03531597</v>
      </c>
      <c r="H72" s="20" t="n">
        <v>2.3985144</v>
      </c>
      <c r="I72" s="18" t="s">
        <v>567</v>
      </c>
      <c r="J72" s="20" t="s">
        <v>567</v>
      </c>
      <c r="K72" s="18" t="n">
        <v>0</v>
      </c>
      <c r="L72" s="20" t="n">
        <v>0</v>
      </c>
      <c r="M72" s="18" t="n">
        <v>0</v>
      </c>
      <c r="N72" s="20" t="n">
        <v>0</v>
      </c>
      <c r="O72" s="18" t="n">
        <v>0</v>
      </c>
      <c r="P72" s="20" t="n">
        <v>0</v>
      </c>
      <c r="Q72" s="18" t="n">
        <v>14.13151453</v>
      </c>
      <c r="R72" s="20" t="n">
        <v>1.50338149</v>
      </c>
    </row>
    <row r="73" spans="1:18">
      <c r="A73" s="15" t="s">
        <v>633</v>
      </c>
      <c r="B73" s="17" t="n">
        <v>3597</v>
      </c>
      <c r="C73" s="18">
        <f>(3208.0/B73*100)</f>
        <v/>
      </c>
      <c r="D73" s="19" t="n">
        <v>389</v>
      </c>
      <c r="E73" s="18" t="n">
        <v>69.79111057999999</v>
      </c>
      <c r="F73" s="20" t="n">
        <v>3.51411549</v>
      </c>
      <c r="G73" s="18" t="n">
        <v>23.20029651</v>
      </c>
      <c r="H73" s="20" t="n">
        <v>3.21512984</v>
      </c>
      <c r="I73" s="18" t="s">
        <v>567</v>
      </c>
      <c r="J73" s="20" t="s">
        <v>567</v>
      </c>
      <c r="K73" s="18" t="n">
        <v>0</v>
      </c>
      <c r="L73" s="20" t="n">
        <v>0</v>
      </c>
      <c r="M73" s="18" t="n">
        <v>0.15277788</v>
      </c>
      <c r="N73" s="20" t="n">
        <v>0.15296727</v>
      </c>
      <c r="O73" s="18" t="n">
        <v>0</v>
      </c>
      <c r="P73" s="20" t="n">
        <v>0</v>
      </c>
      <c r="Q73" s="18" t="n">
        <v>6.85581503</v>
      </c>
      <c r="R73" s="20" t="n">
        <v>1.88987434</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(2153.0/B75*100)</f>
        <v/>
      </c>
      <c r="D75" s="19" t="n">
        <v>253</v>
      </c>
      <c r="E75" s="18" t="n">
        <v>38.69491</v>
      </c>
      <c r="F75" s="20" t="n">
        <v>3.24676387</v>
      </c>
      <c r="G75" s="18" t="n">
        <v>23.81122645</v>
      </c>
      <c r="H75" s="20" t="n">
        <v>3.21748433</v>
      </c>
      <c r="I75" s="18" t="s">
        <v>567</v>
      </c>
      <c r="J75" s="20" t="s">
        <v>567</v>
      </c>
      <c r="K75" s="18" t="n">
        <v>1.14090219</v>
      </c>
      <c r="L75" s="20" t="n">
        <v>0.70315234</v>
      </c>
      <c r="M75" s="18" t="n">
        <v>1.93578224</v>
      </c>
      <c r="N75" s="20" t="n">
        <v>1.27355306</v>
      </c>
      <c r="O75" s="18" t="n">
        <v>0</v>
      </c>
      <c r="P75" s="20" t="n">
        <v>0</v>
      </c>
      <c r="Q75" s="18" t="n">
        <v>34.41717913</v>
      </c>
      <c r="R75" s="20" t="n">
        <v>3.43029121</v>
      </c>
    </row>
    <row r="76" spans="1:18">
      <c r="A76" s="15" t="s">
        <v>636</v>
      </c>
      <c r="B76" s="17" t="n">
        <v>7052</v>
      </c>
      <c r="C76" s="18">
        <f>(6304.0/B76*100)</f>
        <v/>
      </c>
      <c r="D76" s="19" t="n">
        <v>748</v>
      </c>
      <c r="E76" s="18" t="n">
        <v>50.49484054</v>
      </c>
      <c r="F76" s="20" t="n">
        <v>2.99184638</v>
      </c>
      <c r="G76" s="18" t="n">
        <v>31.70249989</v>
      </c>
      <c r="H76" s="20" t="n">
        <v>2.48695859</v>
      </c>
      <c r="I76" s="18" t="s">
        <v>567</v>
      </c>
      <c r="J76" s="20" t="s">
        <v>567</v>
      </c>
      <c r="K76" s="18" t="n">
        <v>0.33647368</v>
      </c>
      <c r="L76" s="20" t="n">
        <v>0.23455695</v>
      </c>
      <c r="M76" s="18" t="n">
        <v>0.12066179</v>
      </c>
      <c r="N76" s="20" t="n">
        <v>0.08760162000000001</v>
      </c>
      <c r="O76" s="18" t="n">
        <v>0</v>
      </c>
      <c r="P76" s="20" t="n">
        <v>0</v>
      </c>
      <c r="Q76" s="18" t="n">
        <v>17.34552409</v>
      </c>
      <c r="R76" s="20" t="n">
        <v>2.08008782</v>
      </c>
    </row>
    <row r="77" spans="1:18">
      <c r="A77" s="15" t="s">
        <v>637</v>
      </c>
      <c r="B77" s="17" t="n">
        <v>2908</v>
      </c>
      <c r="C77" s="18">
        <f>(2577.0/B77*100)</f>
        <v/>
      </c>
      <c r="D77" s="19" t="n">
        <v>331</v>
      </c>
      <c r="E77" s="18" t="n">
        <v>29.46278076</v>
      </c>
      <c r="F77" s="20" t="n">
        <v>2.99783618</v>
      </c>
      <c r="G77" s="18" t="n">
        <v>40.96969563</v>
      </c>
      <c r="H77" s="20" t="n">
        <v>3.21677428</v>
      </c>
      <c r="I77" s="18" t="s">
        <v>567</v>
      </c>
      <c r="J77" s="20" t="s">
        <v>567</v>
      </c>
      <c r="K77" s="18" t="n">
        <v>0</v>
      </c>
      <c r="L77" s="20" t="n">
        <v>0</v>
      </c>
      <c r="M77" s="18" t="n">
        <v>0</v>
      </c>
      <c r="N77" s="20" t="n">
        <v>0</v>
      </c>
      <c r="O77" s="18" t="n">
        <v>0</v>
      </c>
      <c r="P77" s="20" t="n">
        <v>0</v>
      </c>
      <c r="Q77" s="18" t="n">
        <v>29.56752361</v>
      </c>
      <c r="R77" s="20" t="n">
        <v>2.75714788</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(3687.0/B81*100)</f>
        <v/>
      </c>
      <c r="D81" s="19" t="n">
        <v>476</v>
      </c>
      <c r="E81" s="18" t="n">
        <v>60.96626818</v>
      </c>
      <c r="F81" s="20" t="n">
        <v>2.72973612</v>
      </c>
      <c r="G81" s="18" t="n">
        <v>32.98264226</v>
      </c>
      <c r="H81" s="20" t="n">
        <v>2.4191883</v>
      </c>
      <c r="I81" s="18" t="s">
        <v>567</v>
      </c>
      <c r="J81" s="20" t="s">
        <v>567</v>
      </c>
      <c r="K81" s="18" t="n">
        <v>0.37695993</v>
      </c>
      <c r="L81" s="20" t="n">
        <v>0.46131083</v>
      </c>
      <c r="M81" s="18" t="n">
        <v>0</v>
      </c>
      <c r="N81" s="20" t="n">
        <v>0</v>
      </c>
      <c r="O81" s="18" t="n">
        <v>0</v>
      </c>
      <c r="P81" s="20" t="n">
        <v>0</v>
      </c>
      <c r="Q81" s="18" t="n">
        <v>5.67412963</v>
      </c>
      <c r="R81" s="20" t="n">
        <v>1.35448736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(6580.0/B7*100)</f>
        <v/>
      </c>
      <c r="D7" s="19" t="n">
        <v>787</v>
      </c>
      <c r="E7" s="18" t="n">
        <v>37.20427364</v>
      </c>
      <c r="F7" s="20" t="n">
        <v>2.18107439</v>
      </c>
      <c r="G7" s="18" t="n">
        <v>59.49456646</v>
      </c>
      <c r="H7" s="20" t="n">
        <v>2.14819521</v>
      </c>
      <c r="I7" s="18" t="s">
        <v>567</v>
      </c>
      <c r="J7" s="20" t="s">
        <v>567</v>
      </c>
      <c r="K7" s="18" t="n">
        <v>0.28189058</v>
      </c>
      <c r="L7" s="20" t="n">
        <v>0.21829028</v>
      </c>
      <c r="M7" s="18" t="n">
        <v>0</v>
      </c>
      <c r="N7" s="20" t="n">
        <v>0</v>
      </c>
      <c r="O7" s="18" t="n">
        <v>0</v>
      </c>
      <c r="P7" s="20" t="n">
        <v>0</v>
      </c>
      <c r="Q7" s="18" t="n">
        <v>3.01926931</v>
      </c>
      <c r="R7" s="20" t="n">
        <v>0.70477915</v>
      </c>
    </row>
    <row r="8" spans="1:18">
      <c r="A8" s="15" t="s">
        <v>568</v>
      </c>
      <c r="B8" s="17" t="n">
        <v>3564</v>
      </c>
      <c r="C8" s="18">
        <f>(3175.0/B8*100)</f>
        <v/>
      </c>
      <c r="D8" s="19" t="n">
        <v>389</v>
      </c>
      <c r="E8" s="18" t="n">
        <v>33.28316106</v>
      </c>
      <c r="F8" s="20" t="n">
        <v>2.5306451</v>
      </c>
      <c r="G8" s="18" t="n">
        <v>63.4916614</v>
      </c>
      <c r="H8" s="20" t="n">
        <v>2.69656758</v>
      </c>
      <c r="I8" s="18" t="s">
        <v>567</v>
      </c>
      <c r="J8" s="20" t="s">
        <v>567</v>
      </c>
      <c r="K8" s="18" t="n">
        <v>0</v>
      </c>
      <c r="L8" s="20" t="n">
        <v>0</v>
      </c>
      <c r="M8" s="18" t="n">
        <v>0</v>
      </c>
      <c r="N8" s="20" t="n">
        <v>0</v>
      </c>
      <c r="O8" s="18" t="n">
        <v>0</v>
      </c>
      <c r="P8" s="20" t="n">
        <v>0</v>
      </c>
      <c r="Q8" s="18" t="n">
        <v>3.22517755</v>
      </c>
      <c r="R8" s="20" t="n">
        <v>1.09150695</v>
      </c>
    </row>
    <row r="9" spans="1:18">
      <c r="A9" s="15" t="s">
        <v>569</v>
      </c>
      <c r="B9" s="17" t="n">
        <v>4899</v>
      </c>
      <c r="C9" s="18">
        <f>(4368.0/B9*100)</f>
        <v/>
      </c>
      <c r="D9" s="19" t="n">
        <v>531</v>
      </c>
      <c r="E9" s="18" t="n">
        <v>34.12589697</v>
      </c>
      <c r="F9" s="20" t="n">
        <v>2.63924907</v>
      </c>
      <c r="G9" s="18" t="n">
        <v>62.19909603</v>
      </c>
      <c r="H9" s="20" t="n">
        <v>2.43810087</v>
      </c>
      <c r="I9" s="18" t="s">
        <v>567</v>
      </c>
      <c r="J9" s="20" t="s">
        <v>567</v>
      </c>
      <c r="K9" s="18" t="n">
        <v>0</v>
      </c>
      <c r="L9" s="20" t="n">
        <v>0</v>
      </c>
      <c r="M9" s="18" t="n">
        <v>0</v>
      </c>
      <c r="N9" s="20" t="n">
        <v>0</v>
      </c>
      <c r="O9" s="18" t="n">
        <v>0</v>
      </c>
      <c r="P9" s="20" t="n">
        <v>0</v>
      </c>
      <c r="Q9" s="18" t="n">
        <v>3.675007</v>
      </c>
      <c r="R9" s="20" t="n">
        <v>0.96456878</v>
      </c>
    </row>
    <row r="10" spans="1:18">
      <c r="A10" s="15" t="s">
        <v>570</v>
      </c>
      <c r="B10" s="17" t="n">
        <v>10036</v>
      </c>
      <c r="C10" s="18">
        <f>(8875.0/B10*100)</f>
        <v/>
      </c>
      <c r="D10" s="19" t="n">
        <v>1161</v>
      </c>
      <c r="E10" s="18" t="n">
        <v>37.08469757</v>
      </c>
      <c r="F10" s="20" t="n">
        <v>1.82906161</v>
      </c>
      <c r="G10" s="18" t="n">
        <v>60.57578051</v>
      </c>
      <c r="H10" s="20" t="n">
        <v>1.85399646</v>
      </c>
      <c r="I10" s="18" t="s">
        <v>567</v>
      </c>
      <c r="J10" s="20" t="s">
        <v>567</v>
      </c>
      <c r="K10" s="18" t="n">
        <v>0.39346571</v>
      </c>
      <c r="L10" s="20" t="n">
        <v>0.25459136</v>
      </c>
      <c r="M10" s="18" t="n">
        <v>0</v>
      </c>
      <c r="N10" s="20" t="n">
        <v>0</v>
      </c>
      <c r="O10" s="18" t="n">
        <v>0</v>
      </c>
      <c r="P10" s="20" t="n">
        <v>0</v>
      </c>
      <c r="Q10" s="18" t="n">
        <v>1.94605621</v>
      </c>
      <c r="R10" s="20" t="n">
        <v>0.55933797</v>
      </c>
    </row>
    <row r="11" spans="1:18">
      <c r="A11" s="15" t="s">
        <v>571</v>
      </c>
      <c r="B11" s="17" t="n">
        <v>3553</v>
      </c>
      <c r="C11" s="18">
        <f>(3164.0/B11*100)</f>
        <v/>
      </c>
      <c r="D11" s="19" t="n">
        <v>389</v>
      </c>
      <c r="E11" s="18" t="n">
        <v>42.362474</v>
      </c>
      <c r="F11" s="20" t="n">
        <v>3.71596722</v>
      </c>
      <c r="G11" s="18" t="n">
        <v>51.86943168</v>
      </c>
      <c r="H11" s="20" t="n">
        <v>3.92168652</v>
      </c>
      <c r="I11" s="18" t="s">
        <v>567</v>
      </c>
      <c r="J11" s="20" t="s">
        <v>567</v>
      </c>
      <c r="K11" s="18" t="n">
        <v>0.56384207</v>
      </c>
      <c r="L11" s="20" t="n">
        <v>0.37195529</v>
      </c>
      <c r="M11" s="18" t="n">
        <v>0</v>
      </c>
      <c r="N11" s="20" t="n">
        <v>0</v>
      </c>
      <c r="O11" s="18" t="n">
        <v>0</v>
      </c>
      <c r="P11" s="20" t="n">
        <v>0</v>
      </c>
      <c r="Q11" s="18" t="n">
        <v>5.20425225</v>
      </c>
      <c r="R11" s="20" t="n">
        <v>1.35653303</v>
      </c>
    </row>
    <row r="12" spans="1:18">
      <c r="A12" s="15" t="s">
        <v>572</v>
      </c>
      <c r="B12" s="17" t="n">
        <v>3472</v>
      </c>
      <c r="C12" s="18">
        <f>(3070.0/B12*100)</f>
        <v/>
      </c>
      <c r="D12" s="19" t="n">
        <v>402</v>
      </c>
      <c r="E12" s="18" t="n">
        <v>34.12030543</v>
      </c>
      <c r="F12" s="20" t="n">
        <v>3.08796989</v>
      </c>
      <c r="G12" s="18" t="n">
        <v>63.49439137</v>
      </c>
      <c r="H12" s="20" t="n">
        <v>3.11430229</v>
      </c>
      <c r="I12" s="18" t="s">
        <v>567</v>
      </c>
      <c r="J12" s="20" t="s">
        <v>567</v>
      </c>
      <c r="K12" s="18" t="n">
        <v>0</v>
      </c>
      <c r="L12" s="20" t="n">
        <v>0</v>
      </c>
      <c r="M12" s="18" t="n">
        <v>0</v>
      </c>
      <c r="N12" s="20" t="n">
        <v>0</v>
      </c>
      <c r="O12" s="18" t="n">
        <v>0</v>
      </c>
      <c r="P12" s="20" t="n">
        <v>0</v>
      </c>
      <c r="Q12" s="18" t="n">
        <v>2.3853032</v>
      </c>
      <c r="R12" s="20" t="n">
        <v>1.01391418</v>
      </c>
    </row>
    <row r="13" spans="1:18">
      <c r="A13" s="15" t="s">
        <v>573</v>
      </c>
      <c r="B13" s="17" t="n">
        <v>3559</v>
      </c>
      <c r="C13" s="18">
        <f>(3179.0/B13*100)</f>
        <v/>
      </c>
      <c r="D13" s="19" t="n">
        <v>380</v>
      </c>
      <c r="E13" s="18" t="n">
        <v>33.72999575</v>
      </c>
      <c r="F13" s="20" t="n">
        <v>2.88495451</v>
      </c>
      <c r="G13" s="18" t="n">
        <v>63.38067744</v>
      </c>
      <c r="H13" s="20" t="n">
        <v>2.94185641</v>
      </c>
      <c r="I13" s="18" t="s">
        <v>567</v>
      </c>
      <c r="J13" s="20" t="s">
        <v>567</v>
      </c>
      <c r="K13" s="18" t="n">
        <v>0.08200894</v>
      </c>
      <c r="L13" s="20" t="n">
        <v>0.0827478</v>
      </c>
      <c r="M13" s="18" t="n">
        <v>0</v>
      </c>
      <c r="N13" s="20" t="n">
        <v>0</v>
      </c>
      <c r="O13" s="18" t="n">
        <v>0</v>
      </c>
      <c r="P13" s="20" t="n">
        <v>0</v>
      </c>
      <c r="Q13" s="18" t="n">
        <v>2.80731787</v>
      </c>
      <c r="R13" s="20" t="n">
        <v>0.8909613</v>
      </c>
    </row>
    <row r="14" spans="1:18">
      <c r="A14" s="15" t="s">
        <v>574</v>
      </c>
      <c r="B14" s="17" t="n">
        <v>2799</v>
      </c>
      <c r="C14" s="18">
        <f>(2485.0/B14*100)</f>
        <v/>
      </c>
      <c r="D14" s="19" t="n">
        <v>314</v>
      </c>
      <c r="E14" s="18" t="n">
        <v>27.86651823</v>
      </c>
      <c r="F14" s="20" t="n">
        <v>2.71322667</v>
      </c>
      <c r="G14" s="18" t="n">
        <v>71.57592755</v>
      </c>
      <c r="H14" s="20" t="n">
        <v>2.69801061</v>
      </c>
      <c r="I14" s="18" t="s">
        <v>567</v>
      </c>
      <c r="J14" s="20" t="s">
        <v>567</v>
      </c>
      <c r="K14" s="18" t="n">
        <v>0</v>
      </c>
      <c r="L14" s="20" t="n">
        <v>0</v>
      </c>
      <c r="M14" s="18" t="n">
        <v>0</v>
      </c>
      <c r="N14" s="20" t="n">
        <v>0</v>
      </c>
      <c r="O14" s="18" t="n">
        <v>0</v>
      </c>
      <c r="P14" s="20" t="n">
        <v>0</v>
      </c>
      <c r="Q14" s="18" t="n">
        <v>0.55755422</v>
      </c>
      <c r="R14" s="20" t="n">
        <v>0.39103506</v>
      </c>
    </row>
    <row r="15" spans="1:18">
      <c r="A15" s="15" t="s">
        <v>575</v>
      </c>
      <c r="B15" s="17" t="n">
        <v>3019</v>
      </c>
      <c r="C15" s="18">
        <f>(2720.0/B15*100)</f>
        <v/>
      </c>
      <c r="D15" s="19" t="n">
        <v>299</v>
      </c>
      <c r="E15" s="18" t="n">
        <v>29.52681091</v>
      </c>
      <c r="F15" s="20" t="n">
        <v>2.75200877</v>
      </c>
      <c r="G15" s="18" t="n">
        <v>68.19197409</v>
      </c>
      <c r="H15" s="20" t="n">
        <v>2.8454147</v>
      </c>
      <c r="I15" s="18" t="s">
        <v>567</v>
      </c>
      <c r="J15" s="20" t="s">
        <v>567</v>
      </c>
      <c r="K15" s="18" t="n">
        <v>0</v>
      </c>
      <c r="L15" s="20" t="n">
        <v>0</v>
      </c>
      <c r="M15" s="18" t="n">
        <v>0</v>
      </c>
      <c r="N15" s="20" t="n">
        <v>0</v>
      </c>
      <c r="O15" s="18" t="n">
        <v>0</v>
      </c>
      <c r="P15" s="20" t="n">
        <v>0</v>
      </c>
      <c r="Q15" s="18" t="n">
        <v>2.281215</v>
      </c>
      <c r="R15" s="20" t="n">
        <v>0.86272316</v>
      </c>
    </row>
    <row r="16" spans="1:18">
      <c r="A16" s="15" t="s">
        <v>576</v>
      </c>
      <c r="B16" s="17" t="n">
        <v>2997</v>
      </c>
      <c r="C16" s="18">
        <f>(2672.0/B16*100)</f>
        <v/>
      </c>
      <c r="D16" s="19" t="n">
        <v>325</v>
      </c>
      <c r="E16" s="18" t="n">
        <v>38.16088236</v>
      </c>
      <c r="F16" s="20" t="n">
        <v>2.52301818</v>
      </c>
      <c r="G16" s="18" t="n">
        <v>53.73279907</v>
      </c>
      <c r="H16" s="20" t="n">
        <v>2.44740642</v>
      </c>
      <c r="I16" s="18" t="s">
        <v>567</v>
      </c>
      <c r="J16" s="20" t="s">
        <v>567</v>
      </c>
      <c r="K16" s="18" t="n">
        <v>0.32908077</v>
      </c>
      <c r="L16" s="20" t="n">
        <v>0.24602152</v>
      </c>
      <c r="M16" s="18" t="n">
        <v>0</v>
      </c>
      <c r="N16" s="20" t="n">
        <v>0</v>
      </c>
      <c r="O16" s="18" t="n">
        <v>0</v>
      </c>
      <c r="P16" s="20" t="n">
        <v>0</v>
      </c>
      <c r="Q16" s="18" t="n">
        <v>7.7772378</v>
      </c>
      <c r="R16" s="20" t="n">
        <v>1.74382256</v>
      </c>
    </row>
    <row r="17" spans="1:18">
      <c r="A17" s="15" t="s">
        <v>577</v>
      </c>
      <c r="B17" s="17" t="n">
        <v>3307</v>
      </c>
      <c r="C17" s="18">
        <f>(2969.0/B17*100)</f>
        <v/>
      </c>
      <c r="D17" s="19" t="n">
        <v>338</v>
      </c>
      <c r="E17" s="18" t="n">
        <v>28.7285831</v>
      </c>
      <c r="F17" s="20" t="n">
        <v>2.90274903</v>
      </c>
      <c r="G17" s="18" t="n">
        <v>68.51178865</v>
      </c>
      <c r="H17" s="20" t="n">
        <v>2.8788624</v>
      </c>
      <c r="I17" s="18" t="s">
        <v>567</v>
      </c>
      <c r="J17" s="20" t="s">
        <v>567</v>
      </c>
      <c r="K17" s="18" t="n">
        <v>0</v>
      </c>
      <c r="L17" s="20" t="n">
        <v>0</v>
      </c>
      <c r="M17" s="18" t="n">
        <v>0</v>
      </c>
      <c r="N17" s="20" t="n">
        <v>0</v>
      </c>
      <c r="O17" s="18" t="n">
        <v>0</v>
      </c>
      <c r="P17" s="20" t="n">
        <v>0</v>
      </c>
      <c r="Q17" s="18" t="n">
        <v>2.75962825</v>
      </c>
      <c r="R17" s="20" t="n">
        <v>0.92751952</v>
      </c>
    </row>
    <row r="18" spans="1:18">
      <c r="A18" s="15" t="s">
        <v>578</v>
      </c>
      <c r="B18" s="17" t="n">
        <v>2826</v>
      </c>
      <c r="C18" s="18">
        <f>(2495.0/B18*100)</f>
        <v/>
      </c>
      <c r="D18" s="19" t="n">
        <v>331</v>
      </c>
      <c r="E18" s="18" t="n">
        <v>49.83807818</v>
      </c>
      <c r="F18" s="20" t="n">
        <v>2.62327615</v>
      </c>
      <c r="G18" s="18" t="n">
        <v>48.07377558</v>
      </c>
      <c r="H18" s="20" t="n">
        <v>2.6330931</v>
      </c>
      <c r="I18" s="18" t="s">
        <v>567</v>
      </c>
      <c r="J18" s="20" t="s">
        <v>567</v>
      </c>
      <c r="K18" s="18" t="n">
        <v>0</v>
      </c>
      <c r="L18" s="20" t="n">
        <v>0</v>
      </c>
      <c r="M18" s="18" t="n">
        <v>0</v>
      </c>
      <c r="N18" s="20" t="n">
        <v>0</v>
      </c>
      <c r="O18" s="18" t="n">
        <v>0</v>
      </c>
      <c r="P18" s="20" t="n">
        <v>0</v>
      </c>
      <c r="Q18" s="18" t="n">
        <v>2.08814624</v>
      </c>
      <c r="R18" s="20" t="n">
        <v>1.05500615</v>
      </c>
    </row>
    <row r="19" spans="1:18">
      <c r="A19" s="15" t="s">
        <v>579</v>
      </c>
      <c r="B19" s="17" t="n">
        <v>2808</v>
      </c>
      <c r="C19" s="18">
        <f>(2505.0/B19*100)</f>
        <v/>
      </c>
      <c r="D19" s="19" t="n">
        <v>303</v>
      </c>
      <c r="E19" s="18" t="n">
        <v>52.38983138</v>
      </c>
      <c r="F19" s="20" t="n">
        <v>3.04712969</v>
      </c>
      <c r="G19" s="18" t="n">
        <v>45.61422495</v>
      </c>
      <c r="H19" s="20" t="n">
        <v>3.17097229</v>
      </c>
      <c r="I19" s="18" t="s">
        <v>567</v>
      </c>
      <c r="J19" s="20" t="s">
        <v>567</v>
      </c>
      <c r="K19" s="18" t="n">
        <v>0</v>
      </c>
      <c r="L19" s="20" t="n">
        <v>0</v>
      </c>
      <c r="M19" s="18" t="n">
        <v>0</v>
      </c>
      <c r="N19" s="20" t="n">
        <v>0</v>
      </c>
      <c r="O19" s="18" t="n">
        <v>0</v>
      </c>
      <c r="P19" s="20" t="n">
        <v>0</v>
      </c>
      <c r="Q19" s="18" t="n">
        <v>1.99594367</v>
      </c>
      <c r="R19" s="20" t="n">
        <v>0.81978868</v>
      </c>
    </row>
    <row r="20" spans="1:18">
      <c r="A20" s="15" t="s">
        <v>580</v>
      </c>
      <c r="B20" s="17" t="n">
        <v>1630</v>
      </c>
      <c r="C20" s="18">
        <f>(1452.0/B20*100)</f>
        <v/>
      </c>
      <c r="D20" s="19" t="n">
        <v>178</v>
      </c>
      <c r="E20" s="18" t="n">
        <v>32.62570896</v>
      </c>
      <c r="F20" s="20" t="n">
        <v>4.03429733</v>
      </c>
      <c r="G20" s="18" t="n">
        <v>62.38075864</v>
      </c>
      <c r="H20" s="20" t="n">
        <v>3.90317154</v>
      </c>
      <c r="I20" s="18" t="s">
        <v>567</v>
      </c>
      <c r="J20" s="20" t="s">
        <v>567</v>
      </c>
      <c r="K20" s="18" t="n">
        <v>0.55580247</v>
      </c>
      <c r="L20" s="20" t="n">
        <v>0.56437564</v>
      </c>
      <c r="M20" s="18" t="n">
        <v>0</v>
      </c>
      <c r="N20" s="20" t="n">
        <v>0</v>
      </c>
      <c r="O20" s="18" t="n">
        <v>0</v>
      </c>
      <c r="P20" s="20" t="n">
        <v>0</v>
      </c>
      <c r="Q20" s="18" t="n">
        <v>4.43772993</v>
      </c>
      <c r="R20" s="20" t="n">
        <v>1.44673278</v>
      </c>
    </row>
    <row r="21" spans="1:18">
      <c r="A21" s="15" t="s">
        <v>581</v>
      </c>
      <c r="B21" s="17" t="n">
        <v>2908</v>
      </c>
      <c r="C21" s="18">
        <f>(2588.0/B21*100)</f>
        <v/>
      </c>
      <c r="D21" s="19" t="n">
        <v>320</v>
      </c>
      <c r="E21" s="18" t="n">
        <v>40.75992156</v>
      </c>
      <c r="F21" s="20" t="n">
        <v>2.71230008</v>
      </c>
      <c r="G21" s="18" t="n">
        <v>55.0979498</v>
      </c>
      <c r="H21" s="20" t="n">
        <v>2.65364266</v>
      </c>
      <c r="I21" s="18" t="s">
        <v>567</v>
      </c>
      <c r="J21" s="20" t="s">
        <v>567</v>
      </c>
      <c r="K21" s="18" t="n">
        <v>0</v>
      </c>
      <c r="L21" s="20" t="n">
        <v>0</v>
      </c>
      <c r="M21" s="18" t="n">
        <v>0</v>
      </c>
      <c r="N21" s="20" t="n">
        <v>0</v>
      </c>
      <c r="O21" s="18" t="n">
        <v>0</v>
      </c>
      <c r="P21" s="20" t="n">
        <v>0</v>
      </c>
      <c r="Q21" s="18" t="n">
        <v>4.14212864</v>
      </c>
      <c r="R21" s="20" t="n">
        <v>1.08677331</v>
      </c>
    </row>
    <row r="22" spans="1:18">
      <c r="A22" s="15" t="s">
        <v>582</v>
      </c>
      <c r="B22" s="17" t="n">
        <v>2931</v>
      </c>
      <c r="C22" s="18">
        <f>(2607.0/B22*100)</f>
        <v/>
      </c>
      <c r="D22" s="19" t="n">
        <v>324</v>
      </c>
      <c r="E22" s="18" t="n">
        <v>28.1134829</v>
      </c>
      <c r="F22" s="20" t="n">
        <v>3.01964466</v>
      </c>
      <c r="G22" s="18" t="n">
        <v>64.68625476</v>
      </c>
      <c r="H22" s="20" t="n">
        <v>3.06803557</v>
      </c>
      <c r="I22" s="18" t="s">
        <v>567</v>
      </c>
      <c r="J22" s="20" t="s">
        <v>567</v>
      </c>
      <c r="K22" s="18" t="n">
        <v>0.5586657900000001</v>
      </c>
      <c r="L22" s="20" t="n">
        <v>0.39095398</v>
      </c>
      <c r="M22" s="18" t="n">
        <v>0</v>
      </c>
      <c r="N22" s="20" t="n">
        <v>0</v>
      </c>
      <c r="O22" s="18" t="n">
        <v>0</v>
      </c>
      <c r="P22" s="20" t="n">
        <v>0</v>
      </c>
      <c r="Q22" s="18" t="n">
        <v>6.64159655</v>
      </c>
      <c r="R22" s="20" t="n">
        <v>1.24920949</v>
      </c>
    </row>
    <row r="23" spans="1:18">
      <c r="A23" s="15" t="s">
        <v>583</v>
      </c>
      <c r="B23" s="17" t="n">
        <v>5791</v>
      </c>
      <c r="C23" s="18">
        <f>(5181.0/B23*100)</f>
        <v/>
      </c>
      <c r="D23" s="19" t="n">
        <v>610</v>
      </c>
      <c r="E23" s="18" t="n">
        <v>33.6250937</v>
      </c>
      <c r="F23" s="20" t="n">
        <v>2.58182145</v>
      </c>
      <c r="G23" s="18" t="n">
        <v>63.22967961</v>
      </c>
      <c r="H23" s="20" t="n">
        <v>2.53938053</v>
      </c>
      <c r="I23" s="18" t="s">
        <v>567</v>
      </c>
      <c r="J23" s="20" t="s">
        <v>567</v>
      </c>
      <c r="K23" s="18" t="n">
        <v>0.14177897</v>
      </c>
      <c r="L23" s="20" t="n">
        <v>0.13371151</v>
      </c>
      <c r="M23" s="18" t="n">
        <v>0</v>
      </c>
      <c r="N23" s="20" t="n">
        <v>0</v>
      </c>
      <c r="O23" s="18" t="n">
        <v>0</v>
      </c>
      <c r="P23" s="20" t="n">
        <v>0</v>
      </c>
      <c r="Q23" s="18" t="n">
        <v>3.00344772</v>
      </c>
      <c r="R23" s="20" t="n">
        <v>1.01805641</v>
      </c>
    </row>
    <row r="24" spans="1:18">
      <c r="A24" s="15" t="s">
        <v>584</v>
      </c>
      <c r="B24" s="17" t="n">
        <v>3338</v>
      </c>
      <c r="C24" s="18">
        <f>(2970.0/B24*100)</f>
        <v/>
      </c>
      <c r="D24" s="19" t="n">
        <v>368</v>
      </c>
      <c r="E24" s="18" t="n">
        <v>30.52109776</v>
      </c>
      <c r="F24" s="20" t="n">
        <v>2.40993517</v>
      </c>
      <c r="G24" s="18" t="n">
        <v>68.17654629</v>
      </c>
      <c r="H24" s="20" t="n">
        <v>2.5101312</v>
      </c>
      <c r="I24" s="18" t="s">
        <v>567</v>
      </c>
      <c r="J24" s="20" t="s">
        <v>567</v>
      </c>
      <c r="K24" s="18" t="n">
        <v>0</v>
      </c>
      <c r="L24" s="20" t="n">
        <v>0</v>
      </c>
      <c r="M24" s="18" t="n">
        <v>0</v>
      </c>
      <c r="N24" s="20" t="n">
        <v>0</v>
      </c>
      <c r="O24" s="18" t="n">
        <v>0</v>
      </c>
      <c r="P24" s="20" t="n">
        <v>0</v>
      </c>
      <c r="Q24" s="18" t="n">
        <v>1.30235595</v>
      </c>
      <c r="R24" s="20" t="n">
        <v>0.59167451</v>
      </c>
    </row>
    <row r="25" spans="1:18">
      <c r="A25" s="15" t="s">
        <v>585</v>
      </c>
      <c r="B25" s="17" t="n">
        <v>2912</v>
      </c>
      <c r="C25" s="18">
        <f>(2601.0/B25*100)</f>
        <v/>
      </c>
      <c r="D25" s="19" t="n">
        <v>311</v>
      </c>
      <c r="E25" s="18" t="n">
        <v>45.7468343</v>
      </c>
      <c r="F25" s="20" t="n">
        <v>2.88205919</v>
      </c>
      <c r="G25" s="18" t="n">
        <v>51.87035481</v>
      </c>
      <c r="H25" s="20" t="n">
        <v>3.14530751</v>
      </c>
      <c r="I25" s="18" t="s">
        <v>567</v>
      </c>
      <c r="J25" s="20" t="s">
        <v>567</v>
      </c>
      <c r="K25" s="18" t="n">
        <v>0.62230212</v>
      </c>
      <c r="L25" s="20" t="n">
        <v>0.45412028</v>
      </c>
      <c r="M25" s="18" t="n">
        <v>0</v>
      </c>
      <c r="N25" s="20" t="n">
        <v>0</v>
      </c>
      <c r="O25" s="18" t="n">
        <v>0</v>
      </c>
      <c r="P25" s="20" t="n">
        <v>0</v>
      </c>
      <c r="Q25" s="18" t="n">
        <v>1.76050877</v>
      </c>
      <c r="R25" s="20" t="n">
        <v>0.7103876099999999</v>
      </c>
    </row>
    <row r="26" spans="1:18">
      <c r="A26" s="15" t="s">
        <v>586</v>
      </c>
      <c r="B26" s="17" t="n">
        <v>2450</v>
      </c>
      <c r="C26" s="18">
        <f>(2171.0/B26*100)</f>
        <v/>
      </c>
      <c r="D26" s="19" t="n">
        <v>279</v>
      </c>
      <c r="E26" s="18" t="n">
        <v>48.87346494</v>
      </c>
      <c r="F26" s="20" t="n">
        <v>3.16795922</v>
      </c>
      <c r="G26" s="18" t="n">
        <v>50.78672014</v>
      </c>
      <c r="H26" s="20" t="n">
        <v>3.21136999</v>
      </c>
      <c r="I26" s="18" t="s">
        <v>567</v>
      </c>
      <c r="J26" s="20" t="s">
        <v>567</v>
      </c>
      <c r="K26" s="18" t="n">
        <v>0</v>
      </c>
      <c r="L26" s="20" t="n">
        <v>0</v>
      </c>
      <c r="M26" s="18" t="n">
        <v>0</v>
      </c>
      <c r="N26" s="20" t="n">
        <v>0</v>
      </c>
      <c r="O26" s="18" t="n">
        <v>0</v>
      </c>
      <c r="P26" s="20" t="n">
        <v>0</v>
      </c>
      <c r="Q26" s="18" t="n">
        <v>0.33981493</v>
      </c>
      <c r="R26" s="20" t="n">
        <v>0.33633623</v>
      </c>
    </row>
    <row r="27" spans="1:18">
      <c r="A27" s="15" t="s">
        <v>587</v>
      </c>
      <c r="B27" s="17" t="n">
        <v>2616</v>
      </c>
      <c r="C27" s="18">
        <f>(2340.0/B27*100)</f>
        <v/>
      </c>
      <c r="D27" s="19" t="n">
        <v>276</v>
      </c>
      <c r="E27" s="18" t="n">
        <v>39.27672178</v>
      </c>
      <c r="F27" s="20" t="n">
        <v>2.96484091</v>
      </c>
      <c r="G27" s="18" t="n">
        <v>55.66706579</v>
      </c>
      <c r="H27" s="20" t="n">
        <v>3.03813895</v>
      </c>
      <c r="I27" s="18" t="s">
        <v>567</v>
      </c>
      <c r="J27" s="20" t="s">
        <v>567</v>
      </c>
      <c r="K27" s="18" t="n">
        <v>0.38345195</v>
      </c>
      <c r="L27" s="20" t="n">
        <v>0.38223042</v>
      </c>
      <c r="M27" s="18" t="n">
        <v>0</v>
      </c>
      <c r="N27" s="20" t="n">
        <v>0</v>
      </c>
      <c r="O27" s="18" t="n">
        <v>0</v>
      </c>
      <c r="P27" s="20" t="n">
        <v>0</v>
      </c>
      <c r="Q27" s="18" t="n">
        <v>4.67276048</v>
      </c>
      <c r="R27" s="20" t="n">
        <v>1.21942399</v>
      </c>
    </row>
    <row r="28" spans="1:18">
      <c r="A28" s="15" t="s">
        <v>588</v>
      </c>
      <c r="B28" s="17" t="n">
        <v>3765</v>
      </c>
      <c r="C28" s="18">
        <f>(3368.0/B28*100)</f>
        <v/>
      </c>
      <c r="D28" s="19" t="n">
        <v>397</v>
      </c>
      <c r="E28" s="18" t="n">
        <v>67.69501563</v>
      </c>
      <c r="F28" s="20" t="n">
        <v>2.35051051</v>
      </c>
      <c r="G28" s="18" t="n">
        <v>29.60679373</v>
      </c>
      <c r="H28" s="20" t="n">
        <v>2.21293602</v>
      </c>
      <c r="I28" s="18" t="s">
        <v>567</v>
      </c>
      <c r="J28" s="20" t="s">
        <v>567</v>
      </c>
      <c r="K28" s="18" t="n">
        <v>0</v>
      </c>
      <c r="L28" s="20" t="n">
        <v>0</v>
      </c>
      <c r="M28" s="18" t="n">
        <v>0</v>
      </c>
      <c r="N28" s="20" t="n">
        <v>0</v>
      </c>
      <c r="O28" s="18" t="n">
        <v>0</v>
      </c>
      <c r="P28" s="20" t="n">
        <v>0</v>
      </c>
      <c r="Q28" s="18" t="n">
        <v>2.69819064</v>
      </c>
      <c r="R28" s="20" t="n">
        <v>1.26950278</v>
      </c>
    </row>
    <row r="29" spans="1:18">
      <c r="A29" s="15" t="s">
        <v>589</v>
      </c>
      <c r="B29" s="17" t="n">
        <v>2685</v>
      </c>
      <c r="C29" s="18">
        <f>(2394.0/B29*100)</f>
        <v/>
      </c>
      <c r="D29" s="19" t="n">
        <v>291</v>
      </c>
      <c r="E29" s="18" t="n">
        <v>32.17511035</v>
      </c>
      <c r="F29" s="20" t="n">
        <v>2.49803787</v>
      </c>
      <c r="G29" s="18" t="n">
        <v>64.85602135000001</v>
      </c>
      <c r="H29" s="20" t="n">
        <v>2.59415553</v>
      </c>
      <c r="I29" s="18" t="s">
        <v>567</v>
      </c>
      <c r="J29" s="20" t="s">
        <v>567</v>
      </c>
      <c r="K29" s="18" t="n">
        <v>0</v>
      </c>
      <c r="L29" s="20" t="n">
        <v>0</v>
      </c>
      <c r="M29" s="18" t="n">
        <v>0</v>
      </c>
      <c r="N29" s="20" t="n">
        <v>0</v>
      </c>
      <c r="O29" s="18" t="n">
        <v>0</v>
      </c>
      <c r="P29" s="20" t="n">
        <v>0</v>
      </c>
      <c r="Q29" s="18" t="n">
        <v>2.9688683</v>
      </c>
      <c r="R29" s="20" t="n">
        <v>0.87410489</v>
      </c>
    </row>
    <row r="30" spans="1:18">
      <c r="A30" s="15" t="s">
        <v>590</v>
      </c>
      <c r="B30" s="17" t="n">
        <v>2263</v>
      </c>
      <c r="C30" s="18">
        <f>(2031.0/B30*100)</f>
        <v/>
      </c>
      <c r="D30" s="19" t="n">
        <v>232</v>
      </c>
      <c r="E30" s="18" t="n">
        <v>44.03983939</v>
      </c>
      <c r="F30" s="20" t="n">
        <v>3.2674165</v>
      </c>
      <c r="G30" s="18" t="n">
        <v>51.59277993</v>
      </c>
      <c r="H30" s="20" t="n">
        <v>3.32489931</v>
      </c>
      <c r="I30" s="18" t="s">
        <v>567</v>
      </c>
      <c r="J30" s="20" t="s">
        <v>567</v>
      </c>
      <c r="K30" s="18" t="n">
        <v>0</v>
      </c>
      <c r="L30" s="20" t="n">
        <v>0</v>
      </c>
      <c r="M30" s="18" t="n">
        <v>0</v>
      </c>
      <c r="N30" s="20" t="n">
        <v>0</v>
      </c>
      <c r="O30" s="18" t="n">
        <v>0</v>
      </c>
      <c r="P30" s="20" t="n">
        <v>0</v>
      </c>
      <c r="Q30" s="18" t="n">
        <v>4.36738068</v>
      </c>
      <c r="R30" s="20" t="n">
        <v>1.5801985</v>
      </c>
    </row>
    <row r="31" spans="1:18">
      <c r="A31" s="15" t="s">
        <v>591</v>
      </c>
      <c r="B31" s="17" t="n">
        <v>2750</v>
      </c>
      <c r="C31" s="18">
        <f>(2437.0/B31*100)</f>
        <v/>
      </c>
      <c r="D31" s="19" t="n">
        <v>313</v>
      </c>
      <c r="E31" s="18" t="n">
        <v>34.03490379</v>
      </c>
      <c r="F31" s="20" t="n">
        <v>2.54538127</v>
      </c>
      <c r="G31" s="18" t="n">
        <v>62.49675848</v>
      </c>
      <c r="H31" s="20" t="n">
        <v>2.57748281</v>
      </c>
      <c r="I31" s="18" t="s">
        <v>567</v>
      </c>
      <c r="J31" s="20" t="s">
        <v>567</v>
      </c>
      <c r="K31" s="18" t="n">
        <v>0</v>
      </c>
      <c r="L31" s="20" t="n">
        <v>0</v>
      </c>
      <c r="M31" s="18" t="n">
        <v>0</v>
      </c>
      <c r="N31" s="20" t="n">
        <v>0</v>
      </c>
      <c r="O31" s="18" t="n">
        <v>0</v>
      </c>
      <c r="P31" s="20" t="n">
        <v>0</v>
      </c>
      <c r="Q31" s="18" t="n">
        <v>3.46833773</v>
      </c>
      <c r="R31" s="20" t="n">
        <v>1.17486992</v>
      </c>
    </row>
    <row r="32" spans="1:18">
      <c r="A32" s="15" t="s">
        <v>592</v>
      </c>
      <c r="B32" s="17" t="n">
        <v>2269</v>
      </c>
      <c r="C32" s="18">
        <f>(2002.0/B32*100)</f>
        <v/>
      </c>
      <c r="D32" s="19" t="n">
        <v>267</v>
      </c>
      <c r="E32" s="18" t="n">
        <v>40.38513984</v>
      </c>
      <c r="F32" s="20" t="n">
        <v>3.20795862</v>
      </c>
      <c r="G32" s="18" t="n">
        <v>58.66478458</v>
      </c>
      <c r="H32" s="20" t="n">
        <v>3.2536526</v>
      </c>
      <c r="I32" s="18" t="s">
        <v>567</v>
      </c>
      <c r="J32" s="20" t="s">
        <v>567</v>
      </c>
      <c r="K32" s="18" t="n">
        <v>0</v>
      </c>
      <c r="L32" s="20" t="n">
        <v>0</v>
      </c>
      <c r="M32" s="18" t="n">
        <v>0</v>
      </c>
      <c r="N32" s="20" t="n">
        <v>0</v>
      </c>
      <c r="O32" s="18" t="n">
        <v>0</v>
      </c>
      <c r="P32" s="20" t="n">
        <v>0</v>
      </c>
      <c r="Q32" s="18" t="n">
        <v>0.95007558</v>
      </c>
      <c r="R32" s="20" t="n">
        <v>0.5443991</v>
      </c>
    </row>
    <row r="33" spans="1:18">
      <c r="A33" s="15" t="s">
        <v>593</v>
      </c>
      <c r="B33" s="17" t="n">
        <v>3674</v>
      </c>
      <c r="C33" s="18">
        <f>(3249.0/B33*100)</f>
        <v/>
      </c>
      <c r="D33" s="19" t="n">
        <v>425</v>
      </c>
      <c r="E33" s="18" t="n">
        <v>42.8122188</v>
      </c>
      <c r="F33" s="20" t="n">
        <v>2.5676457</v>
      </c>
      <c r="G33" s="18" t="n">
        <v>55.79413349</v>
      </c>
      <c r="H33" s="20" t="n">
        <v>2.66328586</v>
      </c>
      <c r="I33" s="18" t="s">
        <v>567</v>
      </c>
      <c r="J33" s="20" t="s">
        <v>567</v>
      </c>
      <c r="K33" s="18" t="n">
        <v>0.35651114</v>
      </c>
      <c r="L33" s="20" t="n">
        <v>0.32039399</v>
      </c>
      <c r="M33" s="18" t="n">
        <v>0</v>
      </c>
      <c r="N33" s="20" t="n">
        <v>0</v>
      </c>
      <c r="O33" s="18" t="n">
        <v>0</v>
      </c>
      <c r="P33" s="20" t="n">
        <v>0</v>
      </c>
      <c r="Q33" s="18" t="n">
        <v>1.03713656</v>
      </c>
      <c r="R33" s="20" t="n">
        <v>0.49865203</v>
      </c>
    </row>
    <row r="34" spans="1:18">
      <c r="A34" s="15" t="s">
        <v>594</v>
      </c>
      <c r="B34" s="17" t="n">
        <v>3315</v>
      </c>
      <c r="C34" s="18">
        <f>(2952.0/B34*100)</f>
        <v/>
      </c>
      <c r="D34" s="19" t="n">
        <v>363</v>
      </c>
      <c r="E34" s="18" t="n">
        <v>50.71555925</v>
      </c>
      <c r="F34" s="20" t="n">
        <v>2.75495344</v>
      </c>
      <c r="G34" s="18" t="n">
        <v>47.16159169</v>
      </c>
      <c r="H34" s="20" t="n">
        <v>2.70518599</v>
      </c>
      <c r="I34" s="18" t="s">
        <v>567</v>
      </c>
      <c r="J34" s="20" t="s">
        <v>567</v>
      </c>
      <c r="K34" s="18" t="n">
        <v>0</v>
      </c>
      <c r="L34" s="20" t="n">
        <v>0</v>
      </c>
      <c r="M34" s="18" t="n">
        <v>0</v>
      </c>
      <c r="N34" s="20" t="n">
        <v>0</v>
      </c>
      <c r="O34" s="18" t="n">
        <v>0</v>
      </c>
      <c r="P34" s="20" t="n">
        <v>0</v>
      </c>
      <c r="Q34" s="18" t="n">
        <v>2.12284905</v>
      </c>
      <c r="R34" s="20" t="n">
        <v>0.86653703</v>
      </c>
    </row>
    <row r="35" spans="1:18">
      <c r="A35" s="15" t="s">
        <v>595</v>
      </c>
      <c r="B35" s="17" t="n">
        <v>3505</v>
      </c>
      <c r="C35" s="18">
        <f>(3142.0/B35*100)</f>
        <v/>
      </c>
      <c r="D35" s="19" t="n">
        <v>363</v>
      </c>
      <c r="E35" s="18" t="n">
        <v>49.46719735</v>
      </c>
      <c r="F35" s="20" t="n">
        <v>2.90820527</v>
      </c>
      <c r="G35" s="18" t="n">
        <v>47.12812631</v>
      </c>
      <c r="H35" s="20" t="n">
        <v>3.13629599</v>
      </c>
      <c r="I35" s="18" t="s">
        <v>567</v>
      </c>
      <c r="J35" s="20" t="s">
        <v>567</v>
      </c>
      <c r="K35" s="18" t="n">
        <v>0</v>
      </c>
      <c r="L35" s="20" t="n">
        <v>0</v>
      </c>
      <c r="M35" s="18" t="n">
        <v>0</v>
      </c>
      <c r="N35" s="20" t="n">
        <v>0</v>
      </c>
      <c r="O35" s="18" t="n">
        <v>0</v>
      </c>
      <c r="P35" s="20" t="n">
        <v>0</v>
      </c>
      <c r="Q35" s="18" t="n">
        <v>3.40467634</v>
      </c>
      <c r="R35" s="20" t="n">
        <v>1.05353224</v>
      </c>
    </row>
    <row r="36" spans="1:18">
      <c r="A36" s="15" t="s">
        <v>596</v>
      </c>
      <c r="B36" s="17" t="n">
        <v>3332</v>
      </c>
      <c r="C36" s="18">
        <f>(2977.0/B36*100)</f>
        <v/>
      </c>
      <c r="D36" s="19" t="n">
        <v>355</v>
      </c>
      <c r="E36" s="18" t="n">
        <v>42.82592228</v>
      </c>
      <c r="F36" s="20" t="n">
        <v>2.89241259</v>
      </c>
      <c r="G36" s="18" t="n">
        <v>54.21599303</v>
      </c>
      <c r="H36" s="20" t="n">
        <v>2.92400401</v>
      </c>
      <c r="I36" s="18" t="s">
        <v>567</v>
      </c>
      <c r="J36" s="20" t="s">
        <v>567</v>
      </c>
      <c r="K36" s="18" t="n">
        <v>0.33014732</v>
      </c>
      <c r="L36" s="20" t="n">
        <v>0.24446172</v>
      </c>
      <c r="M36" s="18" t="n">
        <v>0</v>
      </c>
      <c r="N36" s="20" t="n">
        <v>0</v>
      </c>
      <c r="O36" s="18" t="n">
        <v>0</v>
      </c>
      <c r="P36" s="20" t="n">
        <v>0</v>
      </c>
      <c r="Q36" s="18" t="n">
        <v>2.62793737</v>
      </c>
      <c r="R36" s="20" t="n">
        <v>0.74237703</v>
      </c>
    </row>
    <row r="37" spans="1:18">
      <c r="A37" s="15" t="s">
        <v>597</v>
      </c>
      <c r="B37" s="17" t="n">
        <v>2727</v>
      </c>
      <c r="C37" s="18">
        <f>(2428.0/B37*100)</f>
        <v/>
      </c>
      <c r="D37" s="19" t="n">
        <v>299</v>
      </c>
      <c r="E37" s="18" t="n">
        <v>38.77312051</v>
      </c>
      <c r="F37" s="20" t="n">
        <v>2.69904066</v>
      </c>
      <c r="G37" s="18" t="n">
        <v>57.10496877</v>
      </c>
      <c r="H37" s="20" t="n">
        <v>3.04605954</v>
      </c>
      <c r="I37" s="18" t="s">
        <v>567</v>
      </c>
      <c r="J37" s="20" t="s">
        <v>567</v>
      </c>
      <c r="K37" s="18" t="n">
        <v>0</v>
      </c>
      <c r="L37" s="20" t="n">
        <v>0</v>
      </c>
      <c r="M37" s="18" t="n">
        <v>0</v>
      </c>
      <c r="N37" s="20" t="n">
        <v>0</v>
      </c>
      <c r="O37" s="18" t="n">
        <v>0</v>
      </c>
      <c r="P37" s="20" t="n">
        <v>0</v>
      </c>
      <c r="Q37" s="18" t="n">
        <v>4.12191072</v>
      </c>
      <c r="R37" s="20" t="n">
        <v>1.00965397</v>
      </c>
    </row>
    <row r="38" spans="1:18">
      <c r="A38" s="15" t="s">
        <v>598</v>
      </c>
      <c r="B38" s="17" t="n">
        <v>3053</v>
      </c>
      <c r="C38" s="18">
        <f>(2711.0/B38*100)</f>
        <v/>
      </c>
      <c r="D38" s="19" t="n">
        <v>342</v>
      </c>
      <c r="E38" s="18" t="n">
        <v>36.54291285</v>
      </c>
      <c r="F38" s="20" t="n">
        <v>3.01794142</v>
      </c>
      <c r="G38" s="18" t="n">
        <v>60.97943658</v>
      </c>
      <c r="H38" s="20" t="n">
        <v>3.12442849</v>
      </c>
      <c r="I38" s="18" t="s">
        <v>567</v>
      </c>
      <c r="J38" s="20" t="s">
        <v>567</v>
      </c>
      <c r="K38" s="18" t="n">
        <v>0.39260966</v>
      </c>
      <c r="L38" s="20" t="n">
        <v>0.32472303</v>
      </c>
      <c r="M38" s="18" t="n">
        <v>0</v>
      </c>
      <c r="N38" s="20" t="n">
        <v>0</v>
      </c>
      <c r="O38" s="18" t="n">
        <v>0</v>
      </c>
      <c r="P38" s="20" t="n">
        <v>0</v>
      </c>
      <c r="Q38" s="18" t="n">
        <v>2.08504091</v>
      </c>
      <c r="R38" s="20" t="n">
        <v>1.00177824</v>
      </c>
    </row>
    <row r="39" spans="1:18">
      <c r="A39" s="15" t="s">
        <v>599</v>
      </c>
      <c r="B39" s="17" t="n">
        <v>2957</v>
      </c>
      <c r="C39" s="18">
        <f>(2613.0/B39*100)</f>
        <v/>
      </c>
      <c r="D39" s="19" t="n">
        <v>344</v>
      </c>
      <c r="E39" s="18" t="n">
        <v>58.52156325</v>
      </c>
      <c r="F39" s="20" t="n">
        <v>2.56574506</v>
      </c>
      <c r="G39" s="18" t="n">
        <v>37.71405496</v>
      </c>
      <c r="H39" s="20" t="n">
        <v>2.72693914</v>
      </c>
      <c r="I39" s="18" t="s">
        <v>567</v>
      </c>
      <c r="J39" s="20" t="s">
        <v>567</v>
      </c>
      <c r="K39" s="18" t="n">
        <v>0</v>
      </c>
      <c r="L39" s="20" t="n">
        <v>0</v>
      </c>
      <c r="M39" s="18" t="n">
        <v>0</v>
      </c>
      <c r="N39" s="20" t="n">
        <v>0</v>
      </c>
      <c r="O39" s="18" t="n">
        <v>0</v>
      </c>
      <c r="P39" s="20" t="n">
        <v>0</v>
      </c>
      <c r="Q39" s="18" t="n">
        <v>3.76438178</v>
      </c>
      <c r="R39" s="20" t="n">
        <v>1.0532467</v>
      </c>
    </row>
    <row r="40" spans="1:18">
      <c r="A40" s="15" t="s">
        <v>600</v>
      </c>
      <c r="B40" s="17" t="n">
        <v>7235</v>
      </c>
      <c r="C40" s="18">
        <f>(6451.0/B40*100)</f>
        <v/>
      </c>
      <c r="D40" s="19" t="n">
        <v>784</v>
      </c>
      <c r="E40" s="18" t="n">
        <v>46.83148018</v>
      </c>
      <c r="F40" s="20" t="n">
        <v>2.61445054</v>
      </c>
      <c r="G40" s="18" t="n">
        <v>51.2405942</v>
      </c>
      <c r="H40" s="20" t="n">
        <v>2.57825674</v>
      </c>
      <c r="I40" s="18" t="s">
        <v>567</v>
      </c>
      <c r="J40" s="20" t="s">
        <v>567</v>
      </c>
      <c r="K40" s="18" t="n">
        <v>0</v>
      </c>
      <c r="L40" s="20" t="n">
        <v>0</v>
      </c>
      <c r="M40" s="18" t="n">
        <v>0</v>
      </c>
      <c r="N40" s="20" t="n">
        <v>0</v>
      </c>
      <c r="O40" s="18" t="n">
        <v>0</v>
      </c>
      <c r="P40" s="20" t="n">
        <v>0</v>
      </c>
      <c r="Q40" s="18" t="n">
        <v>1.92792562</v>
      </c>
      <c r="R40" s="20" t="n">
        <v>0.66939123</v>
      </c>
    </row>
    <row r="41" spans="1:18">
      <c r="A41" s="15" t="s">
        <v>601</v>
      </c>
      <c r="B41" s="17" t="n">
        <v>2858</v>
      </c>
      <c r="C41" s="18">
        <f>(2533.0/B41*100)</f>
        <v/>
      </c>
      <c r="D41" s="19" t="n">
        <v>325</v>
      </c>
      <c r="E41" s="18" t="n">
        <v>44.79625357</v>
      </c>
      <c r="F41" s="20" t="n">
        <v>3.24894946</v>
      </c>
      <c r="G41" s="18" t="n">
        <v>53.08466381</v>
      </c>
      <c r="H41" s="20" t="n">
        <v>3.19586285</v>
      </c>
      <c r="I41" s="18" t="s">
        <v>567</v>
      </c>
      <c r="J41" s="20" t="s">
        <v>567</v>
      </c>
      <c r="K41" s="18" t="n">
        <v>0</v>
      </c>
      <c r="L41" s="20" t="n">
        <v>0</v>
      </c>
      <c r="M41" s="18" t="n">
        <v>0</v>
      </c>
      <c r="N41" s="20" t="n">
        <v>0</v>
      </c>
      <c r="O41" s="18" t="n">
        <v>0</v>
      </c>
      <c r="P41" s="20" t="n">
        <v>0</v>
      </c>
      <c r="Q41" s="18" t="n">
        <v>2.11908262</v>
      </c>
      <c r="R41" s="20" t="n">
        <v>1.07758666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(9971.0/B46*100)</f>
        <v/>
      </c>
      <c r="D46" s="19" t="n">
        <v>1097</v>
      </c>
      <c r="E46" s="18" t="n">
        <v>54.70204973</v>
      </c>
      <c r="F46" s="20" t="n">
        <v>2.04615149</v>
      </c>
      <c r="G46" s="18" t="n">
        <v>41.49064246</v>
      </c>
      <c r="H46" s="20" t="n">
        <v>2.06968015</v>
      </c>
      <c r="I46" s="18" t="s">
        <v>567</v>
      </c>
      <c r="J46" s="20" t="s">
        <v>567</v>
      </c>
      <c r="K46" s="18" t="n">
        <v>0.44185556</v>
      </c>
      <c r="L46" s="20" t="n">
        <v>0.27023151</v>
      </c>
      <c r="M46" s="18" t="n">
        <v>0</v>
      </c>
      <c r="N46" s="20" t="n">
        <v>0</v>
      </c>
      <c r="O46" s="18" t="n">
        <v>0</v>
      </c>
      <c r="P46" s="20" t="n">
        <v>0</v>
      </c>
      <c r="Q46" s="18" t="n">
        <v>3.36545225</v>
      </c>
      <c r="R46" s="20" t="n">
        <v>0.76433458</v>
      </c>
    </row>
    <row r="47" spans="1:18">
      <c r="A47" s="15" t="s">
        <v>607</v>
      </c>
      <c r="B47" s="17" t="n">
        <v>3105</v>
      </c>
      <c r="C47" s="18">
        <f>(2751.0/B47*100)</f>
        <v/>
      </c>
      <c r="D47" s="19" t="n">
        <v>354</v>
      </c>
      <c r="E47" s="18" t="n">
        <v>38.3471817</v>
      </c>
      <c r="F47" s="20" t="n">
        <v>2.67627544</v>
      </c>
      <c r="G47" s="18" t="n">
        <v>55.21288973</v>
      </c>
      <c r="H47" s="20" t="n">
        <v>2.79024878</v>
      </c>
      <c r="I47" s="18" t="s">
        <v>567</v>
      </c>
      <c r="J47" s="20" t="s">
        <v>567</v>
      </c>
      <c r="K47" s="18" t="n">
        <v>0.28813838</v>
      </c>
      <c r="L47" s="20" t="n">
        <v>0.40604008</v>
      </c>
      <c r="M47" s="18" t="n">
        <v>0</v>
      </c>
      <c r="N47" s="20" t="n">
        <v>0</v>
      </c>
      <c r="O47" s="18" t="n">
        <v>0</v>
      </c>
      <c r="P47" s="20" t="n">
        <v>0</v>
      </c>
      <c r="Q47" s="18" t="n">
        <v>6.15179019</v>
      </c>
      <c r="R47" s="20" t="n">
        <v>1.30605049</v>
      </c>
    </row>
    <row r="48" spans="1:18">
      <c r="A48" s="15" t="s">
        <v>608</v>
      </c>
      <c r="B48" s="17" t="n">
        <v>5159</v>
      </c>
      <c r="C48" s="18">
        <f>(4558.0/B48*100)</f>
        <v/>
      </c>
      <c r="D48" s="19" t="n">
        <v>601</v>
      </c>
      <c r="E48" s="18" t="n">
        <v>41.39524877</v>
      </c>
      <c r="F48" s="20" t="n">
        <v>2.61327545</v>
      </c>
      <c r="G48" s="18" t="n">
        <v>57.43096787</v>
      </c>
      <c r="H48" s="20" t="n">
        <v>2.60633373</v>
      </c>
      <c r="I48" s="18" t="s">
        <v>567</v>
      </c>
      <c r="J48" s="20" t="s">
        <v>567</v>
      </c>
      <c r="K48" s="18" t="n">
        <v>0.10637012</v>
      </c>
      <c r="L48" s="20" t="n">
        <v>0.07481314</v>
      </c>
      <c r="M48" s="18" t="n">
        <v>0</v>
      </c>
      <c r="N48" s="20" t="n">
        <v>0</v>
      </c>
      <c r="O48" s="18" t="n">
        <v>0</v>
      </c>
      <c r="P48" s="20" t="n">
        <v>0</v>
      </c>
      <c r="Q48" s="18" t="n">
        <v>1.06741324</v>
      </c>
      <c r="R48" s="20" t="n">
        <v>0.6072782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(4967.0/B50*100)</f>
        <v/>
      </c>
      <c r="D50" s="19" t="n">
        <v>670</v>
      </c>
      <c r="E50" s="18" t="n">
        <v>64.1204389</v>
      </c>
      <c r="F50" s="20" t="n">
        <v>2.7431154</v>
      </c>
      <c r="G50" s="18" t="n">
        <v>30.80430535</v>
      </c>
      <c r="H50" s="20" t="n">
        <v>2.41831981</v>
      </c>
      <c r="I50" s="18" t="s">
        <v>567</v>
      </c>
      <c r="J50" s="20" t="s">
        <v>567</v>
      </c>
      <c r="K50" s="18" t="n">
        <v>1.20207749</v>
      </c>
      <c r="L50" s="20" t="n">
        <v>0.7770314699999999</v>
      </c>
      <c r="M50" s="18" t="n">
        <v>0</v>
      </c>
      <c r="N50" s="20" t="n">
        <v>0</v>
      </c>
      <c r="O50" s="18" t="n">
        <v>0</v>
      </c>
      <c r="P50" s="20" t="n">
        <v>0</v>
      </c>
      <c r="Q50" s="18" t="n">
        <v>3.87317825</v>
      </c>
      <c r="R50" s="20" t="n">
        <v>0.9380283</v>
      </c>
    </row>
    <row r="51" spans="1:18">
      <c r="A51" s="15" t="s">
        <v>611</v>
      </c>
      <c r="B51" s="17" t="n">
        <v>3372</v>
      </c>
      <c r="C51" s="18">
        <f>(3051.0/B51*100)</f>
        <v/>
      </c>
      <c r="D51" s="19" t="n">
        <v>321</v>
      </c>
      <c r="E51" s="18" t="n">
        <v>60.08827717</v>
      </c>
      <c r="F51" s="20" t="n">
        <v>3.23471562</v>
      </c>
      <c r="G51" s="18" t="n">
        <v>37.71986064</v>
      </c>
      <c r="H51" s="20" t="n">
        <v>3.21786657</v>
      </c>
      <c r="I51" s="18" t="s">
        <v>567</v>
      </c>
      <c r="J51" s="20" t="s">
        <v>567</v>
      </c>
      <c r="K51" s="18" t="n">
        <v>0</v>
      </c>
      <c r="L51" s="20" t="n">
        <v>0</v>
      </c>
      <c r="M51" s="18" t="n">
        <v>0</v>
      </c>
      <c r="N51" s="20" t="n">
        <v>0</v>
      </c>
      <c r="O51" s="18" t="n">
        <v>0</v>
      </c>
      <c r="P51" s="20" t="n">
        <v>0</v>
      </c>
      <c r="Q51" s="18" t="n">
        <v>2.1918622</v>
      </c>
      <c r="R51" s="20" t="n">
        <v>0.84872466</v>
      </c>
    </row>
    <row r="52" spans="1:18">
      <c r="A52" s="15" t="s">
        <v>612</v>
      </c>
      <c r="B52" s="17" t="n">
        <v>2796</v>
      </c>
      <c r="C52" s="18">
        <f>(2477.0/B52*100)</f>
        <v/>
      </c>
      <c r="D52" s="19" t="n">
        <v>319</v>
      </c>
      <c r="E52" s="18" t="n">
        <v>45.3411435</v>
      </c>
      <c r="F52" s="20" t="n">
        <v>2.59750899</v>
      </c>
      <c r="G52" s="18" t="n">
        <v>50.75842255</v>
      </c>
      <c r="H52" s="20" t="n">
        <v>2.85979707</v>
      </c>
      <c r="I52" s="18" t="s">
        <v>567</v>
      </c>
      <c r="J52" s="20" t="s">
        <v>567</v>
      </c>
      <c r="K52" s="18" t="n">
        <v>0</v>
      </c>
      <c r="L52" s="20" t="n">
        <v>0</v>
      </c>
      <c r="M52" s="18" t="n">
        <v>0</v>
      </c>
      <c r="N52" s="20" t="n">
        <v>0</v>
      </c>
      <c r="O52" s="18" t="n">
        <v>0</v>
      </c>
      <c r="P52" s="20" t="n">
        <v>0</v>
      </c>
      <c r="Q52" s="18" t="n">
        <v>3.90043395</v>
      </c>
      <c r="R52" s="20" t="n">
        <v>0.9678933</v>
      </c>
    </row>
    <row r="53" spans="1:18">
      <c r="A53" s="15" t="s">
        <v>613</v>
      </c>
      <c r="B53" s="17" t="n">
        <v>2811</v>
      </c>
      <c r="C53" s="18">
        <f>(2499.0/B53*100)</f>
        <v/>
      </c>
      <c r="D53" s="19" t="n">
        <v>312</v>
      </c>
      <c r="E53" s="18" t="n">
        <v>50.20368532</v>
      </c>
      <c r="F53" s="20" t="n">
        <v>3.24528583</v>
      </c>
      <c r="G53" s="18" t="n">
        <v>43.58435725</v>
      </c>
      <c r="H53" s="20" t="n">
        <v>3.05832707</v>
      </c>
      <c r="I53" s="18" t="s">
        <v>567</v>
      </c>
      <c r="J53" s="20" t="s">
        <v>567</v>
      </c>
      <c r="K53" s="18" t="n">
        <v>0.59661664</v>
      </c>
      <c r="L53" s="20" t="n">
        <v>0.58995876</v>
      </c>
      <c r="M53" s="18" t="n">
        <v>0</v>
      </c>
      <c r="N53" s="20" t="n">
        <v>0</v>
      </c>
      <c r="O53" s="18" t="n">
        <v>0</v>
      </c>
      <c r="P53" s="20" t="n">
        <v>0</v>
      </c>
      <c r="Q53" s="18" t="n">
        <v>5.61534079</v>
      </c>
      <c r="R53" s="20" t="n">
        <v>1.3663696</v>
      </c>
    </row>
    <row r="54" spans="1:18">
      <c r="A54" s="15" t="s">
        <v>614</v>
      </c>
      <c r="B54" s="17" t="n">
        <v>2266</v>
      </c>
      <c r="C54" s="18">
        <f>(2013.0/B54*100)</f>
        <v/>
      </c>
      <c r="D54" s="19" t="n">
        <v>253</v>
      </c>
      <c r="E54" s="18" t="n">
        <v>60.31562742</v>
      </c>
      <c r="F54" s="20" t="n">
        <v>3.19422993</v>
      </c>
      <c r="G54" s="18" t="n">
        <v>24.27662907</v>
      </c>
      <c r="H54" s="20" t="n">
        <v>2.88624806</v>
      </c>
      <c r="I54" s="18" t="s">
        <v>567</v>
      </c>
      <c r="J54" s="20" t="s">
        <v>567</v>
      </c>
      <c r="K54" s="18" t="n">
        <v>6.20581092</v>
      </c>
      <c r="L54" s="20" t="n">
        <v>1.73820603</v>
      </c>
      <c r="M54" s="18" t="n">
        <v>0</v>
      </c>
      <c r="N54" s="20" t="n">
        <v>0</v>
      </c>
      <c r="O54" s="18" t="n">
        <v>0</v>
      </c>
      <c r="P54" s="20" t="n">
        <v>0</v>
      </c>
      <c r="Q54" s="18" t="n">
        <v>9.20193259</v>
      </c>
      <c r="R54" s="20" t="n">
        <v>2.11612793</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(2377.0/B56*100)</f>
        <v/>
      </c>
      <c r="D56" s="19" t="n">
        <v>307</v>
      </c>
      <c r="E56" s="18" t="n">
        <v>47.24664487</v>
      </c>
      <c r="F56" s="20" t="n">
        <v>3.31924477</v>
      </c>
      <c r="G56" s="18" t="n">
        <v>50.82089949</v>
      </c>
      <c r="H56" s="20" t="n">
        <v>3.32036229</v>
      </c>
      <c r="I56" s="18" t="s">
        <v>567</v>
      </c>
      <c r="J56" s="20" t="s">
        <v>567</v>
      </c>
      <c r="K56" s="18" t="n">
        <v>0.41404211</v>
      </c>
      <c r="L56" s="20" t="n">
        <v>0.35156798</v>
      </c>
      <c r="M56" s="18" t="n">
        <v>0</v>
      </c>
      <c r="N56" s="20" t="n">
        <v>0</v>
      </c>
      <c r="O56" s="18" t="n">
        <v>0</v>
      </c>
      <c r="P56" s="20" t="n">
        <v>0</v>
      </c>
      <c r="Q56" s="18" t="n">
        <v>1.51841353</v>
      </c>
      <c r="R56" s="20" t="n">
        <v>0.80278735</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(2938.0/B61*100)</f>
        <v/>
      </c>
      <c r="D61" s="19" t="n">
        <v>386</v>
      </c>
      <c r="E61" s="18" t="n">
        <v>36.78041249</v>
      </c>
      <c r="F61" s="20" t="n">
        <v>2.94338248</v>
      </c>
      <c r="G61" s="18" t="n">
        <v>60.43061123</v>
      </c>
      <c r="H61" s="20" t="n">
        <v>3.17761288</v>
      </c>
      <c r="I61" s="18" t="s">
        <v>567</v>
      </c>
      <c r="J61" s="20" t="s">
        <v>567</v>
      </c>
      <c r="K61" s="18" t="n">
        <v>0</v>
      </c>
      <c r="L61" s="20" t="n">
        <v>0</v>
      </c>
      <c r="M61" s="18" t="n">
        <v>0</v>
      </c>
      <c r="N61" s="20" t="n">
        <v>0</v>
      </c>
      <c r="O61" s="18" t="n">
        <v>0</v>
      </c>
      <c r="P61" s="20" t="n">
        <v>0</v>
      </c>
      <c r="Q61" s="18" t="n">
        <v>2.78897628</v>
      </c>
      <c r="R61" s="20" t="n">
        <v>1.08037119</v>
      </c>
    </row>
    <row r="62" spans="1:18">
      <c r="A62" s="15" t="s">
        <v>622</v>
      </c>
      <c r="B62" s="17" t="n">
        <v>2246</v>
      </c>
      <c r="C62" s="18">
        <f>(1996.0/B62*100)</f>
        <v/>
      </c>
      <c r="D62" s="19" t="n">
        <v>250</v>
      </c>
      <c r="E62" s="18" t="n">
        <v>49.60752625</v>
      </c>
      <c r="F62" s="20" t="n">
        <v>2.98520125</v>
      </c>
      <c r="G62" s="18" t="n">
        <v>49.98568011</v>
      </c>
      <c r="H62" s="20" t="n">
        <v>2.98343375</v>
      </c>
      <c r="I62" s="18" t="s">
        <v>567</v>
      </c>
      <c r="J62" s="20" t="s">
        <v>567</v>
      </c>
      <c r="K62" s="18" t="n">
        <v>0</v>
      </c>
      <c r="L62" s="20" t="n">
        <v>0</v>
      </c>
      <c r="M62" s="18" t="n">
        <v>0</v>
      </c>
      <c r="N62" s="20" t="n">
        <v>0</v>
      </c>
      <c r="O62" s="18" t="n">
        <v>0</v>
      </c>
      <c r="P62" s="20" t="n">
        <v>0</v>
      </c>
      <c r="Q62" s="18" t="n">
        <v>0.40679363</v>
      </c>
      <c r="R62" s="20" t="n">
        <v>0.40742051</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(2591.0/B66*100)</f>
        <v/>
      </c>
      <c r="D66" s="19" t="n">
        <v>303</v>
      </c>
      <c r="E66" s="18" t="n">
        <v>49.51939292</v>
      </c>
      <c r="F66" s="20" t="n">
        <v>3.17846148</v>
      </c>
      <c r="G66" s="18" t="n">
        <v>41.24346324</v>
      </c>
      <c r="H66" s="20" t="n">
        <v>2.83621036</v>
      </c>
      <c r="I66" s="18" t="s">
        <v>567</v>
      </c>
      <c r="J66" s="20" t="s">
        <v>567</v>
      </c>
      <c r="K66" s="18" t="n">
        <v>0</v>
      </c>
      <c r="L66" s="20" t="n">
        <v>0</v>
      </c>
      <c r="M66" s="18" t="n">
        <v>0</v>
      </c>
      <c r="N66" s="20" t="n">
        <v>0</v>
      </c>
      <c r="O66" s="18" t="n">
        <v>0</v>
      </c>
      <c r="P66" s="20" t="n">
        <v>0</v>
      </c>
      <c r="Q66" s="18" t="n">
        <v>9.23714384</v>
      </c>
      <c r="R66" s="20" t="n">
        <v>1.49815398</v>
      </c>
    </row>
    <row r="67" spans="1:18">
      <c r="A67" s="15" t="s">
        <v>627</v>
      </c>
      <c r="B67" s="17" t="n">
        <v>3511</v>
      </c>
      <c r="C67" s="18">
        <f>(3146.0/B67*100)</f>
        <v/>
      </c>
      <c r="D67" s="19" t="n">
        <v>365</v>
      </c>
      <c r="E67" s="18" t="n">
        <v>57.0256481</v>
      </c>
      <c r="F67" s="20" t="n">
        <v>2.48929235</v>
      </c>
      <c r="G67" s="18" t="n">
        <v>40.38568015</v>
      </c>
      <c r="H67" s="20" t="n">
        <v>2.62297551</v>
      </c>
      <c r="I67" s="18" t="s">
        <v>567</v>
      </c>
      <c r="J67" s="20" t="s">
        <v>567</v>
      </c>
      <c r="K67" s="18" t="n">
        <v>0.22009422</v>
      </c>
      <c r="L67" s="20" t="n">
        <v>0.2233303</v>
      </c>
      <c r="M67" s="18" t="n">
        <v>0</v>
      </c>
      <c r="N67" s="20" t="n">
        <v>0</v>
      </c>
      <c r="O67" s="18" t="n">
        <v>0</v>
      </c>
      <c r="P67" s="20" t="n">
        <v>0</v>
      </c>
      <c r="Q67" s="18" t="n">
        <v>2.36857753</v>
      </c>
      <c r="R67" s="20" t="n">
        <v>0.87008978</v>
      </c>
    </row>
    <row r="68" spans="1:18">
      <c r="A68" s="15" t="s">
        <v>628</v>
      </c>
      <c r="B68" s="17" t="n">
        <v>6049</v>
      </c>
      <c r="C68" s="18">
        <f>(5388.0/B68*100)</f>
        <v/>
      </c>
      <c r="D68" s="19" t="n">
        <v>661</v>
      </c>
      <c r="E68" s="18" t="n">
        <v>50.50080259</v>
      </c>
      <c r="F68" s="20" t="n">
        <v>2.05177005</v>
      </c>
      <c r="G68" s="18" t="n">
        <v>38.95483273</v>
      </c>
      <c r="H68" s="20" t="n">
        <v>1.8749299</v>
      </c>
      <c r="I68" s="18" t="s">
        <v>567</v>
      </c>
      <c r="J68" s="20" t="s">
        <v>567</v>
      </c>
      <c r="K68" s="18" t="n">
        <v>1.61693225</v>
      </c>
      <c r="L68" s="20" t="n">
        <v>0.52354547</v>
      </c>
      <c r="M68" s="18" t="n">
        <v>0</v>
      </c>
      <c r="N68" s="20" t="n">
        <v>0</v>
      </c>
      <c r="O68" s="18" t="n">
        <v>0</v>
      </c>
      <c r="P68" s="20" t="n">
        <v>0</v>
      </c>
      <c r="Q68" s="18" t="n">
        <v>8.927432420000001</v>
      </c>
      <c r="R68" s="20" t="n">
        <v>1.20615611</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(2608.0/B70*100)</f>
        <v/>
      </c>
      <c r="D70" s="19" t="n">
        <v>321</v>
      </c>
      <c r="E70" s="18" t="n">
        <v>44.07014316</v>
      </c>
      <c r="F70" s="20" t="n">
        <v>3.13554618</v>
      </c>
      <c r="G70" s="18" t="n">
        <v>54.39664987</v>
      </c>
      <c r="H70" s="20" t="n">
        <v>3.17033283</v>
      </c>
      <c r="I70" s="18" t="s">
        <v>567</v>
      </c>
      <c r="J70" s="20" t="s">
        <v>567</v>
      </c>
      <c r="K70" s="18" t="n">
        <v>0</v>
      </c>
      <c r="L70" s="20" t="n">
        <v>0</v>
      </c>
      <c r="M70" s="18" t="n">
        <v>0</v>
      </c>
      <c r="N70" s="20" t="n">
        <v>0</v>
      </c>
      <c r="O70" s="18" t="n">
        <v>0</v>
      </c>
      <c r="P70" s="20" t="n">
        <v>0</v>
      </c>
      <c r="Q70" s="18" t="n">
        <v>1.53320697</v>
      </c>
      <c r="R70" s="20" t="n">
        <v>0.79798864</v>
      </c>
    </row>
    <row r="71" spans="1:18">
      <c r="A71" s="15" t="s">
        <v>631</v>
      </c>
      <c r="B71" s="17" t="n">
        <v>3142</v>
      </c>
      <c r="C71" s="18">
        <f>(2800.0/B71*100)</f>
        <v/>
      </c>
      <c r="D71" s="19" t="n">
        <v>342</v>
      </c>
      <c r="E71" s="18" t="n">
        <v>27.63506388</v>
      </c>
      <c r="F71" s="20" t="n">
        <v>2.44090093</v>
      </c>
      <c r="G71" s="18" t="n">
        <v>71.28277476</v>
      </c>
      <c r="H71" s="20" t="n">
        <v>2.47127126</v>
      </c>
      <c r="I71" s="18" t="s">
        <v>567</v>
      </c>
      <c r="J71" s="20" t="s">
        <v>567</v>
      </c>
      <c r="K71" s="18" t="n">
        <v>0</v>
      </c>
      <c r="L71" s="20" t="n">
        <v>0</v>
      </c>
      <c r="M71" s="18" t="n">
        <v>0</v>
      </c>
      <c r="N71" s="20" t="n">
        <v>0</v>
      </c>
      <c r="O71" s="18" t="n">
        <v>0</v>
      </c>
      <c r="P71" s="20" t="n">
        <v>0</v>
      </c>
      <c r="Q71" s="18" t="n">
        <v>1.08216136</v>
      </c>
      <c r="R71" s="20" t="n">
        <v>0.55084735</v>
      </c>
    </row>
    <row r="72" spans="1:18">
      <c r="A72" s="15" t="s">
        <v>632</v>
      </c>
      <c r="B72" s="17" t="n">
        <v>3889</v>
      </c>
      <c r="C72" s="18">
        <f>(3471.0/B72*100)</f>
        <v/>
      </c>
      <c r="D72" s="19" t="n">
        <v>418</v>
      </c>
      <c r="E72" s="18" t="n">
        <v>48.88893778</v>
      </c>
      <c r="F72" s="20" t="n">
        <v>2.5206895</v>
      </c>
      <c r="G72" s="18" t="n">
        <v>48.34683866</v>
      </c>
      <c r="H72" s="20" t="n">
        <v>2.47864202</v>
      </c>
      <c r="I72" s="18" t="s">
        <v>567</v>
      </c>
      <c r="J72" s="20" t="s">
        <v>567</v>
      </c>
      <c r="K72" s="18" t="n">
        <v>0</v>
      </c>
      <c r="L72" s="20" t="n">
        <v>0</v>
      </c>
      <c r="M72" s="18" t="n">
        <v>0</v>
      </c>
      <c r="N72" s="20" t="n">
        <v>0</v>
      </c>
      <c r="O72" s="18" t="n">
        <v>0</v>
      </c>
      <c r="P72" s="20" t="n">
        <v>0</v>
      </c>
      <c r="Q72" s="18" t="n">
        <v>2.76422356</v>
      </c>
      <c r="R72" s="20" t="n">
        <v>0.97877496</v>
      </c>
    </row>
    <row r="73" spans="1:18">
      <c r="A73" s="15" t="s">
        <v>633</v>
      </c>
      <c r="B73" s="17" t="n">
        <v>3597</v>
      </c>
      <c r="C73" s="18">
        <f>(3208.0/B73*100)</f>
        <v/>
      </c>
      <c r="D73" s="19" t="n">
        <v>389</v>
      </c>
      <c r="E73" s="18" t="n">
        <v>59.79002346</v>
      </c>
      <c r="F73" s="20" t="n">
        <v>3.26654881</v>
      </c>
      <c r="G73" s="18" t="n">
        <v>38.45898574</v>
      </c>
      <c r="H73" s="20" t="n">
        <v>3.10180815</v>
      </c>
      <c r="I73" s="18" t="s">
        <v>567</v>
      </c>
      <c r="J73" s="20" t="s">
        <v>567</v>
      </c>
      <c r="K73" s="18" t="n">
        <v>0</v>
      </c>
      <c r="L73" s="20" t="n">
        <v>0</v>
      </c>
      <c r="M73" s="18" t="n">
        <v>0</v>
      </c>
      <c r="N73" s="20" t="n">
        <v>0</v>
      </c>
      <c r="O73" s="18" t="n">
        <v>0</v>
      </c>
      <c r="P73" s="20" t="n">
        <v>0</v>
      </c>
      <c r="Q73" s="18" t="n">
        <v>1.75099081</v>
      </c>
      <c r="R73" s="20" t="n">
        <v>0.7016933</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(2152.0/B75*100)</f>
        <v/>
      </c>
      <c r="D75" s="19" t="n">
        <v>254</v>
      </c>
      <c r="E75" s="18" t="n">
        <v>65.64898243</v>
      </c>
      <c r="F75" s="20" t="n">
        <v>2.85998834</v>
      </c>
      <c r="G75" s="18" t="n">
        <v>25.48888604</v>
      </c>
      <c r="H75" s="20" t="n">
        <v>2.6822017</v>
      </c>
      <c r="I75" s="18" t="s">
        <v>567</v>
      </c>
      <c r="J75" s="20" t="s">
        <v>567</v>
      </c>
      <c r="K75" s="18" t="n">
        <v>1.13658625</v>
      </c>
      <c r="L75" s="20" t="n">
        <v>0.70059974</v>
      </c>
      <c r="M75" s="18" t="n">
        <v>0</v>
      </c>
      <c r="N75" s="20" t="n">
        <v>0</v>
      </c>
      <c r="O75" s="18" t="n">
        <v>0</v>
      </c>
      <c r="P75" s="20" t="n">
        <v>0</v>
      </c>
      <c r="Q75" s="18" t="n">
        <v>7.72554528</v>
      </c>
      <c r="R75" s="20" t="n">
        <v>1.74220785</v>
      </c>
    </row>
    <row r="76" spans="1:18">
      <c r="A76" s="15" t="s">
        <v>636</v>
      </c>
      <c r="B76" s="17" t="n">
        <v>7052</v>
      </c>
      <c r="C76" s="18">
        <f>(6304.0/B76*100)</f>
        <v/>
      </c>
      <c r="D76" s="19" t="n">
        <v>748</v>
      </c>
      <c r="E76" s="18" t="n">
        <v>50.30742216</v>
      </c>
      <c r="F76" s="20" t="n">
        <v>2.07421737</v>
      </c>
      <c r="G76" s="18" t="n">
        <v>44.25999638</v>
      </c>
      <c r="H76" s="20" t="n">
        <v>1.96575134</v>
      </c>
      <c r="I76" s="18" t="s">
        <v>567</v>
      </c>
      <c r="J76" s="20" t="s">
        <v>567</v>
      </c>
      <c r="K76" s="18" t="n">
        <v>0.33647368</v>
      </c>
      <c r="L76" s="20" t="n">
        <v>0.23455695</v>
      </c>
      <c r="M76" s="18" t="n">
        <v>0</v>
      </c>
      <c r="N76" s="20" t="n">
        <v>0</v>
      </c>
      <c r="O76" s="18" t="n">
        <v>0</v>
      </c>
      <c r="P76" s="20" t="n">
        <v>0</v>
      </c>
      <c r="Q76" s="18" t="n">
        <v>5.09610777</v>
      </c>
      <c r="R76" s="20" t="n">
        <v>0.94246104</v>
      </c>
    </row>
    <row r="77" spans="1:18">
      <c r="A77" s="15" t="s">
        <v>637</v>
      </c>
      <c r="B77" s="17" t="n">
        <v>2908</v>
      </c>
      <c r="C77" s="18">
        <f>(2577.0/B77*100)</f>
        <v/>
      </c>
      <c r="D77" s="19" t="n">
        <v>331</v>
      </c>
      <c r="E77" s="18" t="n">
        <v>52.42444474</v>
      </c>
      <c r="F77" s="20" t="n">
        <v>3.0336108</v>
      </c>
      <c r="G77" s="18" t="n">
        <v>40.74609008</v>
      </c>
      <c r="H77" s="20" t="n">
        <v>2.71496544</v>
      </c>
      <c r="I77" s="18" t="s">
        <v>567</v>
      </c>
      <c r="J77" s="20" t="s">
        <v>567</v>
      </c>
      <c r="K77" s="18" t="n">
        <v>0</v>
      </c>
      <c r="L77" s="20" t="n">
        <v>0</v>
      </c>
      <c r="M77" s="18" t="n">
        <v>0</v>
      </c>
      <c r="N77" s="20" t="n">
        <v>0</v>
      </c>
      <c r="O77" s="18" t="n">
        <v>0</v>
      </c>
      <c r="P77" s="20" t="n">
        <v>0</v>
      </c>
      <c r="Q77" s="18" t="n">
        <v>6.82946518</v>
      </c>
      <c r="R77" s="20" t="n">
        <v>1.39095141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(3688.0/B81*100)</f>
        <v/>
      </c>
      <c r="D81" s="19" t="n">
        <v>475</v>
      </c>
      <c r="E81" s="18" t="n">
        <v>58.87616375</v>
      </c>
      <c r="F81" s="20" t="n">
        <v>3.08478166</v>
      </c>
      <c r="G81" s="18" t="n">
        <v>40.40392673</v>
      </c>
      <c r="H81" s="20" t="n">
        <v>3.06803021</v>
      </c>
      <c r="I81" s="18" t="s">
        <v>567</v>
      </c>
      <c r="J81" s="20" t="s">
        <v>567</v>
      </c>
      <c r="K81" s="18" t="n">
        <v>0.37795722</v>
      </c>
      <c r="L81" s="20" t="n">
        <v>0.46253796</v>
      </c>
      <c r="M81" s="18" t="n">
        <v>0</v>
      </c>
      <c r="N81" s="20" t="n">
        <v>0</v>
      </c>
      <c r="O81" s="18" t="n">
        <v>0</v>
      </c>
      <c r="P81" s="20" t="n">
        <v>0</v>
      </c>
      <c r="Q81" s="18" t="n">
        <v>0.3419523</v>
      </c>
      <c r="R81" s="20" t="n">
        <v>0.34032965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(6580.0/B7*100)</f>
        <v/>
      </c>
      <c r="D7" s="19" t="n">
        <v>787</v>
      </c>
      <c r="E7" s="18" t="n">
        <v>73.65747829999999</v>
      </c>
      <c r="F7" s="20" t="n">
        <v>1.85165894</v>
      </c>
      <c r="G7" s="18" t="n">
        <v>25.48415454</v>
      </c>
      <c r="H7" s="20" t="n">
        <v>1.89351433</v>
      </c>
      <c r="I7" s="18" t="s">
        <v>567</v>
      </c>
      <c r="J7" s="20" t="s">
        <v>567</v>
      </c>
      <c r="K7" s="18" t="n">
        <v>0.28189058</v>
      </c>
      <c r="L7" s="20" t="n">
        <v>0.21829028</v>
      </c>
      <c r="M7" s="18" t="n">
        <v>0</v>
      </c>
      <c r="N7" s="20" t="n">
        <v>0</v>
      </c>
      <c r="O7" s="18" t="n">
        <v>0</v>
      </c>
      <c r="P7" s="20" t="n">
        <v>0</v>
      </c>
      <c r="Q7" s="18" t="n">
        <v>0.57647657</v>
      </c>
      <c r="R7" s="20" t="n">
        <v>0.3290331</v>
      </c>
    </row>
    <row r="8" spans="1:18">
      <c r="A8" s="15" t="s">
        <v>568</v>
      </c>
      <c r="B8" s="17" t="n">
        <v>3564</v>
      </c>
      <c r="C8" s="18">
        <f>(3175.0/B8*100)</f>
        <v/>
      </c>
      <c r="D8" s="19" t="n">
        <v>389</v>
      </c>
      <c r="E8" s="18" t="n">
        <v>69.76592945</v>
      </c>
      <c r="F8" s="20" t="n">
        <v>2.87753804</v>
      </c>
      <c r="G8" s="18" t="n">
        <v>29.88125101</v>
      </c>
      <c r="H8" s="20" t="n">
        <v>2.85137807</v>
      </c>
      <c r="I8" s="18" t="s">
        <v>567</v>
      </c>
      <c r="J8" s="20" t="s">
        <v>567</v>
      </c>
      <c r="K8" s="18" t="n">
        <v>0</v>
      </c>
      <c r="L8" s="20" t="n">
        <v>0</v>
      </c>
      <c r="M8" s="18" t="n">
        <v>0</v>
      </c>
      <c r="N8" s="20" t="n">
        <v>0</v>
      </c>
      <c r="O8" s="18" t="n">
        <v>0</v>
      </c>
      <c r="P8" s="20" t="n">
        <v>0</v>
      </c>
      <c r="Q8" s="18" t="n">
        <v>0.35281954</v>
      </c>
      <c r="R8" s="20" t="n">
        <v>0.27310125</v>
      </c>
    </row>
    <row r="9" spans="1:18">
      <c r="A9" s="15" t="s">
        <v>569</v>
      </c>
      <c r="B9" s="17" t="n">
        <v>4899</v>
      </c>
      <c r="C9" s="18">
        <f>(4368.0/B9*100)</f>
        <v/>
      </c>
      <c r="D9" s="19" t="n">
        <v>531</v>
      </c>
      <c r="E9" s="18" t="n">
        <v>73.56638563999999</v>
      </c>
      <c r="F9" s="20" t="n">
        <v>2.13583592</v>
      </c>
      <c r="G9" s="18" t="n">
        <v>24.27786572</v>
      </c>
      <c r="H9" s="20" t="n">
        <v>1.95658666</v>
      </c>
      <c r="I9" s="18" t="s">
        <v>567</v>
      </c>
      <c r="J9" s="20" t="s">
        <v>567</v>
      </c>
      <c r="K9" s="18" t="n">
        <v>0</v>
      </c>
      <c r="L9" s="20" t="n">
        <v>0</v>
      </c>
      <c r="M9" s="18" t="n">
        <v>0</v>
      </c>
      <c r="N9" s="20" t="n">
        <v>0</v>
      </c>
      <c r="O9" s="18" t="n">
        <v>0</v>
      </c>
      <c r="P9" s="20" t="n">
        <v>0</v>
      </c>
      <c r="Q9" s="18" t="n">
        <v>2.15574864</v>
      </c>
      <c r="R9" s="20" t="n">
        <v>0.71344929</v>
      </c>
    </row>
    <row r="10" spans="1:18">
      <c r="A10" s="15" t="s">
        <v>570</v>
      </c>
      <c r="B10" s="17" t="n">
        <v>10036</v>
      </c>
      <c r="C10" s="18">
        <f>(8875.0/B10*100)</f>
        <v/>
      </c>
      <c r="D10" s="19" t="n">
        <v>1161</v>
      </c>
      <c r="E10" s="18" t="n">
        <v>71.94739002999999</v>
      </c>
      <c r="F10" s="20" t="n">
        <v>1.77156</v>
      </c>
      <c r="G10" s="18" t="n">
        <v>26.5175724</v>
      </c>
      <c r="H10" s="20" t="n">
        <v>1.87426686</v>
      </c>
      <c r="I10" s="18" t="s">
        <v>567</v>
      </c>
      <c r="J10" s="20" t="s">
        <v>567</v>
      </c>
      <c r="K10" s="18" t="n">
        <v>0.39346571</v>
      </c>
      <c r="L10" s="20" t="n">
        <v>0.25459136</v>
      </c>
      <c r="M10" s="18" t="n">
        <v>0</v>
      </c>
      <c r="N10" s="20" t="n">
        <v>0</v>
      </c>
      <c r="O10" s="18" t="n">
        <v>0</v>
      </c>
      <c r="P10" s="20" t="n">
        <v>0</v>
      </c>
      <c r="Q10" s="18" t="n">
        <v>1.14157187</v>
      </c>
      <c r="R10" s="20" t="n">
        <v>0.4686993</v>
      </c>
    </row>
    <row r="11" spans="1:18">
      <c r="A11" s="15" t="s">
        <v>571</v>
      </c>
      <c r="B11" s="17" t="n">
        <v>3553</v>
      </c>
      <c r="C11" s="18">
        <f>(3165.0/B11*100)</f>
        <v/>
      </c>
      <c r="D11" s="19" t="n">
        <v>388</v>
      </c>
      <c r="E11" s="18" t="n">
        <v>87.48456078</v>
      </c>
      <c r="F11" s="20" t="n">
        <v>1.62950805</v>
      </c>
      <c r="G11" s="18" t="n">
        <v>11.2018274</v>
      </c>
      <c r="H11" s="20" t="n">
        <v>1.61560858</v>
      </c>
      <c r="I11" s="18" t="s">
        <v>567</v>
      </c>
      <c r="J11" s="20" t="s">
        <v>567</v>
      </c>
      <c r="K11" s="18" t="n">
        <v>0.56621881</v>
      </c>
      <c r="L11" s="20" t="n">
        <v>0.37363102</v>
      </c>
      <c r="M11" s="18" t="n">
        <v>0</v>
      </c>
      <c r="N11" s="20" t="n">
        <v>0</v>
      </c>
      <c r="O11" s="18" t="n">
        <v>0</v>
      </c>
      <c r="P11" s="20" t="n">
        <v>0</v>
      </c>
      <c r="Q11" s="18" t="n">
        <v>0.74739301</v>
      </c>
      <c r="R11" s="20" t="n">
        <v>0.48507309</v>
      </c>
    </row>
    <row r="12" spans="1:18">
      <c r="A12" s="15" t="s">
        <v>572</v>
      </c>
      <c r="B12" s="17" t="n">
        <v>3472</v>
      </c>
      <c r="C12" s="18">
        <f>(3070.0/B12*100)</f>
        <v/>
      </c>
      <c r="D12" s="19" t="n">
        <v>402</v>
      </c>
      <c r="E12" s="18" t="n">
        <v>65.45579563</v>
      </c>
      <c r="F12" s="20" t="n">
        <v>2.55012506</v>
      </c>
      <c r="G12" s="18" t="n">
        <v>33.49226343</v>
      </c>
      <c r="H12" s="20" t="n">
        <v>2.66711738</v>
      </c>
      <c r="I12" s="18" t="s">
        <v>567</v>
      </c>
      <c r="J12" s="20" t="s">
        <v>567</v>
      </c>
      <c r="K12" s="18" t="n">
        <v>0</v>
      </c>
      <c r="L12" s="20" t="n">
        <v>0</v>
      </c>
      <c r="M12" s="18" t="n">
        <v>0</v>
      </c>
      <c r="N12" s="20" t="n">
        <v>0</v>
      </c>
      <c r="O12" s="18" t="n">
        <v>0</v>
      </c>
      <c r="P12" s="20" t="n">
        <v>0</v>
      </c>
      <c r="Q12" s="18" t="n">
        <v>1.05194094</v>
      </c>
      <c r="R12" s="20" t="n">
        <v>0.75949842</v>
      </c>
    </row>
    <row r="13" spans="1:18">
      <c r="A13" s="15" t="s">
        <v>573</v>
      </c>
      <c r="B13" s="17" t="n">
        <v>3559</v>
      </c>
      <c r="C13" s="18">
        <f>(3179.0/B13*100)</f>
        <v/>
      </c>
      <c r="D13" s="19" t="n">
        <v>380</v>
      </c>
      <c r="E13" s="18" t="n">
        <v>61.01905024</v>
      </c>
      <c r="F13" s="20" t="n">
        <v>3.04090076</v>
      </c>
      <c r="G13" s="18" t="n">
        <v>37.91616735</v>
      </c>
      <c r="H13" s="20" t="n">
        <v>2.97566805</v>
      </c>
      <c r="I13" s="18" t="s">
        <v>567</v>
      </c>
      <c r="J13" s="20" t="s">
        <v>567</v>
      </c>
      <c r="K13" s="18" t="n">
        <v>0.08200894</v>
      </c>
      <c r="L13" s="20" t="n">
        <v>0.0827478</v>
      </c>
      <c r="M13" s="18" t="n">
        <v>0</v>
      </c>
      <c r="N13" s="20" t="n">
        <v>0</v>
      </c>
      <c r="O13" s="18" t="n">
        <v>0</v>
      </c>
      <c r="P13" s="20" t="n">
        <v>0</v>
      </c>
      <c r="Q13" s="18" t="n">
        <v>0.98277347</v>
      </c>
      <c r="R13" s="20" t="n">
        <v>0.47487386</v>
      </c>
    </row>
    <row r="14" spans="1:18">
      <c r="A14" s="15" t="s">
        <v>574</v>
      </c>
      <c r="B14" s="17" t="n">
        <v>2799</v>
      </c>
      <c r="C14" s="18">
        <f>(2485.0/B14*100)</f>
        <v/>
      </c>
      <c r="D14" s="19" t="n">
        <v>314</v>
      </c>
      <c r="E14" s="18" t="n">
        <v>70.46827303000001</v>
      </c>
      <c r="F14" s="20" t="n">
        <v>2.47703998</v>
      </c>
      <c r="G14" s="18" t="n">
        <v>29.53172697</v>
      </c>
      <c r="H14" s="20" t="n">
        <v>2.47703998</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(2720.0/B15*100)</f>
        <v/>
      </c>
      <c r="D15" s="19" t="n">
        <v>299</v>
      </c>
      <c r="E15" s="18" t="n">
        <v>61.40939672</v>
      </c>
      <c r="F15" s="20" t="n">
        <v>2.38903092</v>
      </c>
      <c r="G15" s="18" t="n">
        <v>38.45006131</v>
      </c>
      <c r="H15" s="20" t="n">
        <v>2.4076416</v>
      </c>
      <c r="I15" s="18" t="s">
        <v>567</v>
      </c>
      <c r="J15" s="20" t="s">
        <v>567</v>
      </c>
      <c r="K15" s="18" t="n">
        <v>0</v>
      </c>
      <c r="L15" s="20" t="n">
        <v>0</v>
      </c>
      <c r="M15" s="18" t="n">
        <v>0</v>
      </c>
      <c r="N15" s="20" t="n">
        <v>0</v>
      </c>
      <c r="O15" s="18" t="n">
        <v>0</v>
      </c>
      <c r="P15" s="20" t="n">
        <v>0</v>
      </c>
      <c r="Q15" s="18" t="n">
        <v>0.14054197</v>
      </c>
      <c r="R15" s="20" t="n">
        <v>0.13950818</v>
      </c>
    </row>
    <row r="16" spans="1:18">
      <c r="A16" s="15" t="s">
        <v>576</v>
      </c>
      <c r="B16" s="17" t="n">
        <v>2997</v>
      </c>
      <c r="C16" s="18">
        <f>(2672.0/B16*100)</f>
        <v/>
      </c>
      <c r="D16" s="19" t="n">
        <v>325</v>
      </c>
      <c r="E16" s="18" t="n">
        <v>84.15747494</v>
      </c>
      <c r="F16" s="20" t="n">
        <v>1.95530242</v>
      </c>
      <c r="G16" s="18" t="n">
        <v>13.26032454</v>
      </c>
      <c r="H16" s="20" t="n">
        <v>1.82743201</v>
      </c>
      <c r="I16" s="18" t="s">
        <v>567</v>
      </c>
      <c r="J16" s="20" t="s">
        <v>567</v>
      </c>
      <c r="K16" s="18" t="n">
        <v>0.32908077</v>
      </c>
      <c r="L16" s="20" t="n">
        <v>0.24602152</v>
      </c>
      <c r="M16" s="18" t="n">
        <v>0</v>
      </c>
      <c r="N16" s="20" t="n">
        <v>0</v>
      </c>
      <c r="O16" s="18" t="n">
        <v>0</v>
      </c>
      <c r="P16" s="20" t="n">
        <v>0</v>
      </c>
      <c r="Q16" s="18" t="n">
        <v>2.25311975</v>
      </c>
      <c r="R16" s="20" t="n">
        <v>1.14248611</v>
      </c>
    </row>
    <row r="17" spans="1:18">
      <c r="A17" s="15" t="s">
        <v>577</v>
      </c>
      <c r="B17" s="17" t="n">
        <v>3307</v>
      </c>
      <c r="C17" s="18">
        <f>(2969.0/B17*100)</f>
        <v/>
      </c>
      <c r="D17" s="19" t="n">
        <v>338</v>
      </c>
      <c r="E17" s="18" t="n">
        <v>65.51796758</v>
      </c>
      <c r="F17" s="20" t="n">
        <v>2.86660029</v>
      </c>
      <c r="G17" s="18" t="n">
        <v>33.98843352</v>
      </c>
      <c r="H17" s="20" t="n">
        <v>2.76378786</v>
      </c>
      <c r="I17" s="18" t="s">
        <v>567</v>
      </c>
      <c r="J17" s="20" t="s">
        <v>567</v>
      </c>
      <c r="K17" s="18" t="n">
        <v>0</v>
      </c>
      <c r="L17" s="20" t="n">
        <v>0</v>
      </c>
      <c r="M17" s="18" t="n">
        <v>0</v>
      </c>
      <c r="N17" s="20" t="n">
        <v>0</v>
      </c>
      <c r="O17" s="18" t="n">
        <v>0</v>
      </c>
      <c r="P17" s="20" t="n">
        <v>0</v>
      </c>
      <c r="Q17" s="18" t="n">
        <v>0.49359889</v>
      </c>
      <c r="R17" s="20" t="n">
        <v>0.36443604</v>
      </c>
    </row>
    <row r="18" spans="1:18">
      <c r="A18" s="15" t="s">
        <v>578</v>
      </c>
      <c r="B18" s="17" t="n">
        <v>2826</v>
      </c>
      <c r="C18" s="18">
        <f>(2495.0/B18*100)</f>
        <v/>
      </c>
      <c r="D18" s="19" t="n">
        <v>331</v>
      </c>
      <c r="E18" s="18" t="n">
        <v>83.27253551</v>
      </c>
      <c r="F18" s="20" t="n">
        <v>1.8917799</v>
      </c>
      <c r="G18" s="18" t="n">
        <v>16.48846599</v>
      </c>
      <c r="H18" s="20" t="n">
        <v>1.88828359</v>
      </c>
      <c r="I18" s="18" t="s">
        <v>567</v>
      </c>
      <c r="J18" s="20" t="s">
        <v>567</v>
      </c>
      <c r="K18" s="18" t="n">
        <v>0</v>
      </c>
      <c r="L18" s="20" t="n">
        <v>0</v>
      </c>
      <c r="M18" s="18" t="n">
        <v>0</v>
      </c>
      <c r="N18" s="20" t="n">
        <v>0</v>
      </c>
      <c r="O18" s="18" t="n">
        <v>0</v>
      </c>
      <c r="P18" s="20" t="n">
        <v>0</v>
      </c>
      <c r="Q18" s="18" t="n">
        <v>0.2389985</v>
      </c>
      <c r="R18" s="20" t="n">
        <v>0.23732286</v>
      </c>
    </row>
    <row r="19" spans="1:18">
      <c r="A19" s="15" t="s">
        <v>579</v>
      </c>
      <c r="B19" s="17" t="n">
        <v>2808</v>
      </c>
      <c r="C19" s="18">
        <f>(2506.0/B19*100)</f>
        <v/>
      </c>
      <c r="D19" s="19" t="n">
        <v>302</v>
      </c>
      <c r="E19" s="18" t="n">
        <v>85.93681076</v>
      </c>
      <c r="F19" s="20" t="n">
        <v>1.94518777</v>
      </c>
      <c r="G19" s="18" t="n">
        <v>14.06318924</v>
      </c>
      <c r="H19" s="20" t="n">
        <v>1.94518777</v>
      </c>
      <c r="I19" s="18" t="s">
        <v>567</v>
      </c>
      <c r="J19" s="20" t="s">
        <v>567</v>
      </c>
      <c r="K19" s="18" t="n">
        <v>0</v>
      </c>
      <c r="L19" s="20" t="n">
        <v>0</v>
      </c>
      <c r="M19" s="18" t="n">
        <v>0</v>
      </c>
      <c r="N19" s="20" t="n">
        <v>0</v>
      </c>
      <c r="O19" s="18" t="n">
        <v>0</v>
      </c>
      <c r="P19" s="20" t="n">
        <v>0</v>
      </c>
      <c r="Q19" s="18" t="n">
        <v>0</v>
      </c>
      <c r="R19" s="20" t="n">
        <v>0</v>
      </c>
    </row>
    <row r="20" spans="1:18">
      <c r="A20" s="15" t="s">
        <v>580</v>
      </c>
      <c r="B20" s="17" t="n">
        <v>1630</v>
      </c>
      <c r="C20" s="18">
        <f>(1452.0/B20*100)</f>
        <v/>
      </c>
      <c r="D20" s="19" t="n">
        <v>178</v>
      </c>
      <c r="E20" s="18" t="n">
        <v>75.7406208</v>
      </c>
      <c r="F20" s="20" t="n">
        <v>3.22372692</v>
      </c>
      <c r="G20" s="18" t="n">
        <v>22.07487408</v>
      </c>
      <c r="H20" s="20" t="n">
        <v>3.14406505</v>
      </c>
      <c r="I20" s="18" t="s">
        <v>567</v>
      </c>
      <c r="J20" s="20" t="s">
        <v>567</v>
      </c>
      <c r="K20" s="18" t="n">
        <v>0.55580247</v>
      </c>
      <c r="L20" s="20" t="n">
        <v>0.56437564</v>
      </c>
      <c r="M20" s="18" t="n">
        <v>0</v>
      </c>
      <c r="N20" s="20" t="n">
        <v>0</v>
      </c>
      <c r="O20" s="18" t="n">
        <v>0</v>
      </c>
      <c r="P20" s="20" t="n">
        <v>0</v>
      </c>
      <c r="Q20" s="18" t="n">
        <v>1.62870266</v>
      </c>
      <c r="R20" s="20" t="n">
        <v>0.92454665</v>
      </c>
    </row>
    <row r="21" spans="1:18">
      <c r="A21" s="15" t="s">
        <v>581</v>
      </c>
      <c r="B21" s="17" t="n">
        <v>2908</v>
      </c>
      <c r="C21" s="18">
        <f>(2588.0/B21*100)</f>
        <v/>
      </c>
      <c r="D21" s="19" t="n">
        <v>320</v>
      </c>
      <c r="E21" s="18" t="n">
        <v>69.35963116000001</v>
      </c>
      <c r="F21" s="20" t="n">
        <v>2.62626462</v>
      </c>
      <c r="G21" s="18" t="n">
        <v>28.52519203</v>
      </c>
      <c r="H21" s="20" t="n">
        <v>2.70110465</v>
      </c>
      <c r="I21" s="18" t="s">
        <v>567</v>
      </c>
      <c r="J21" s="20" t="s">
        <v>567</v>
      </c>
      <c r="K21" s="18" t="n">
        <v>0</v>
      </c>
      <c r="L21" s="20" t="n">
        <v>0</v>
      </c>
      <c r="M21" s="18" t="n">
        <v>0</v>
      </c>
      <c r="N21" s="20" t="n">
        <v>0</v>
      </c>
      <c r="O21" s="18" t="n">
        <v>0</v>
      </c>
      <c r="P21" s="20" t="n">
        <v>0</v>
      </c>
      <c r="Q21" s="18" t="n">
        <v>2.11517681</v>
      </c>
      <c r="R21" s="20" t="n">
        <v>0.85286235</v>
      </c>
    </row>
    <row r="22" spans="1:18">
      <c r="A22" s="15" t="s">
        <v>582</v>
      </c>
      <c r="B22" s="17" t="n">
        <v>2931</v>
      </c>
      <c r="C22" s="18">
        <f>(2607.0/B22*100)</f>
        <v/>
      </c>
      <c r="D22" s="19" t="n">
        <v>324</v>
      </c>
      <c r="E22" s="18" t="n">
        <v>70.12944654</v>
      </c>
      <c r="F22" s="20" t="n">
        <v>2.55583402</v>
      </c>
      <c r="G22" s="18" t="n">
        <v>27.00355256</v>
      </c>
      <c r="H22" s="20" t="n">
        <v>2.54128173</v>
      </c>
      <c r="I22" s="18" t="s">
        <v>567</v>
      </c>
      <c r="J22" s="20" t="s">
        <v>567</v>
      </c>
      <c r="K22" s="18" t="n">
        <v>0.5586657900000001</v>
      </c>
      <c r="L22" s="20" t="n">
        <v>0.39095398</v>
      </c>
      <c r="M22" s="18" t="n">
        <v>0</v>
      </c>
      <c r="N22" s="20" t="n">
        <v>0</v>
      </c>
      <c r="O22" s="18" t="n">
        <v>0</v>
      </c>
      <c r="P22" s="20" t="n">
        <v>0</v>
      </c>
      <c r="Q22" s="18" t="n">
        <v>2.30833511</v>
      </c>
      <c r="R22" s="20" t="n">
        <v>0.63613136</v>
      </c>
    </row>
    <row r="23" spans="1:18">
      <c r="A23" s="15" t="s">
        <v>583</v>
      </c>
      <c r="B23" s="17" t="n">
        <v>5791</v>
      </c>
      <c r="C23" s="18">
        <f>(5181.0/B23*100)</f>
        <v/>
      </c>
      <c r="D23" s="19" t="n">
        <v>610</v>
      </c>
      <c r="E23" s="18" t="n">
        <v>70.41761704</v>
      </c>
      <c r="F23" s="20" t="n">
        <v>2.85833035</v>
      </c>
      <c r="G23" s="18" t="n">
        <v>27.88234838</v>
      </c>
      <c r="H23" s="20" t="n">
        <v>2.80477854</v>
      </c>
      <c r="I23" s="18" t="s">
        <v>567</v>
      </c>
      <c r="J23" s="20" t="s">
        <v>567</v>
      </c>
      <c r="K23" s="18" t="n">
        <v>0.14177897</v>
      </c>
      <c r="L23" s="20" t="n">
        <v>0.13371151</v>
      </c>
      <c r="M23" s="18" t="n">
        <v>0</v>
      </c>
      <c r="N23" s="20" t="n">
        <v>0</v>
      </c>
      <c r="O23" s="18" t="n">
        <v>0</v>
      </c>
      <c r="P23" s="20" t="n">
        <v>0</v>
      </c>
      <c r="Q23" s="18" t="n">
        <v>1.55825562</v>
      </c>
      <c r="R23" s="20" t="n">
        <v>0.80560148</v>
      </c>
    </row>
    <row r="24" spans="1:18">
      <c r="A24" s="15" t="s">
        <v>584</v>
      </c>
      <c r="B24" s="17" t="n">
        <v>3338</v>
      </c>
      <c r="C24" s="18">
        <f>(2970.0/B24*100)</f>
        <v/>
      </c>
      <c r="D24" s="19" t="n">
        <v>368</v>
      </c>
      <c r="E24" s="18" t="n">
        <v>75.57828646</v>
      </c>
      <c r="F24" s="20" t="n">
        <v>1.89283689</v>
      </c>
      <c r="G24" s="18" t="n">
        <v>23.90268772</v>
      </c>
      <c r="H24" s="20" t="n">
        <v>1.84699438</v>
      </c>
      <c r="I24" s="18" t="s">
        <v>567</v>
      </c>
      <c r="J24" s="20" t="s">
        <v>567</v>
      </c>
      <c r="K24" s="18" t="n">
        <v>0</v>
      </c>
      <c r="L24" s="20" t="n">
        <v>0</v>
      </c>
      <c r="M24" s="18" t="n">
        <v>0</v>
      </c>
      <c r="N24" s="20" t="n">
        <v>0</v>
      </c>
      <c r="O24" s="18" t="n">
        <v>0</v>
      </c>
      <c r="P24" s="20" t="n">
        <v>0</v>
      </c>
      <c r="Q24" s="18" t="n">
        <v>0.51902582</v>
      </c>
      <c r="R24" s="20" t="n">
        <v>0.36314127</v>
      </c>
    </row>
    <row r="25" spans="1:18">
      <c r="A25" s="15" t="s">
        <v>585</v>
      </c>
      <c r="B25" s="17" t="n">
        <v>2912</v>
      </c>
      <c r="C25" s="18">
        <f>(2601.0/B25*100)</f>
        <v/>
      </c>
      <c r="D25" s="19" t="n">
        <v>311</v>
      </c>
      <c r="E25" s="18" t="n">
        <v>66.95281163999999</v>
      </c>
      <c r="F25" s="20" t="n">
        <v>2.83220067</v>
      </c>
      <c r="G25" s="18" t="n">
        <v>31.85291855</v>
      </c>
      <c r="H25" s="20" t="n">
        <v>2.81289092</v>
      </c>
      <c r="I25" s="18" t="s">
        <v>567</v>
      </c>
      <c r="J25" s="20" t="s">
        <v>567</v>
      </c>
      <c r="K25" s="18" t="n">
        <v>0.62230212</v>
      </c>
      <c r="L25" s="20" t="n">
        <v>0.45412028</v>
      </c>
      <c r="M25" s="18" t="n">
        <v>0</v>
      </c>
      <c r="N25" s="20" t="n">
        <v>0</v>
      </c>
      <c r="O25" s="18" t="n">
        <v>0</v>
      </c>
      <c r="P25" s="20" t="n">
        <v>0</v>
      </c>
      <c r="Q25" s="18" t="n">
        <v>0.57196769</v>
      </c>
      <c r="R25" s="20" t="n">
        <v>0.40277302</v>
      </c>
    </row>
    <row r="26" spans="1:18">
      <c r="A26" s="15" t="s">
        <v>586</v>
      </c>
      <c r="B26" s="17" t="n">
        <v>2450</v>
      </c>
      <c r="C26" s="18">
        <f>(2171.0/B26*100)</f>
        <v/>
      </c>
      <c r="D26" s="19" t="n">
        <v>279</v>
      </c>
      <c r="E26" s="18" t="n">
        <v>81.91233402</v>
      </c>
      <c r="F26" s="20" t="n">
        <v>2.06818041</v>
      </c>
      <c r="G26" s="18" t="n">
        <v>17.69533387</v>
      </c>
      <c r="H26" s="20" t="n">
        <v>2.07232603</v>
      </c>
      <c r="I26" s="18" t="s">
        <v>567</v>
      </c>
      <c r="J26" s="20" t="s">
        <v>567</v>
      </c>
      <c r="K26" s="18" t="n">
        <v>0</v>
      </c>
      <c r="L26" s="20" t="n">
        <v>0</v>
      </c>
      <c r="M26" s="18" t="n">
        <v>0</v>
      </c>
      <c r="N26" s="20" t="n">
        <v>0</v>
      </c>
      <c r="O26" s="18" t="n">
        <v>0</v>
      </c>
      <c r="P26" s="20" t="n">
        <v>0</v>
      </c>
      <c r="Q26" s="18" t="n">
        <v>0.39233211</v>
      </c>
      <c r="R26" s="20" t="n">
        <v>0.26858268</v>
      </c>
    </row>
    <row r="27" spans="1:18">
      <c r="A27" s="15" t="s">
        <v>587</v>
      </c>
      <c r="B27" s="17" t="n">
        <v>2616</v>
      </c>
      <c r="C27" s="18">
        <f>(2340.0/B27*100)</f>
        <v/>
      </c>
      <c r="D27" s="19" t="n">
        <v>276</v>
      </c>
      <c r="E27" s="18" t="n">
        <v>71.19804482000001</v>
      </c>
      <c r="F27" s="20" t="n">
        <v>2.83354781</v>
      </c>
      <c r="G27" s="18" t="n">
        <v>26.97588309</v>
      </c>
      <c r="H27" s="20" t="n">
        <v>2.83724197</v>
      </c>
      <c r="I27" s="18" t="s">
        <v>567</v>
      </c>
      <c r="J27" s="20" t="s">
        <v>567</v>
      </c>
      <c r="K27" s="18" t="n">
        <v>0.38345195</v>
      </c>
      <c r="L27" s="20" t="n">
        <v>0.38223042</v>
      </c>
      <c r="M27" s="18" t="n">
        <v>0</v>
      </c>
      <c r="N27" s="20" t="n">
        <v>0</v>
      </c>
      <c r="O27" s="18" t="n">
        <v>0</v>
      </c>
      <c r="P27" s="20" t="n">
        <v>0</v>
      </c>
      <c r="Q27" s="18" t="n">
        <v>1.44262015</v>
      </c>
      <c r="R27" s="20" t="n">
        <v>0.71248154</v>
      </c>
    </row>
    <row r="28" spans="1:18">
      <c r="A28" s="15" t="s">
        <v>588</v>
      </c>
      <c r="B28" s="17" t="n">
        <v>3765</v>
      </c>
      <c r="C28" s="18">
        <f>(3369.0/B28*100)</f>
        <v/>
      </c>
      <c r="D28" s="19" t="n">
        <v>396</v>
      </c>
      <c r="E28" s="18" t="n">
        <v>91.77502205</v>
      </c>
      <c r="F28" s="20" t="n">
        <v>1.46037473</v>
      </c>
      <c r="G28" s="18" t="n">
        <v>8.014970050000001</v>
      </c>
      <c r="H28" s="20" t="n">
        <v>1.46092793</v>
      </c>
      <c r="I28" s="18" t="s">
        <v>567</v>
      </c>
      <c r="J28" s="20" t="s">
        <v>567</v>
      </c>
      <c r="K28" s="18" t="n">
        <v>0</v>
      </c>
      <c r="L28" s="20" t="n">
        <v>0</v>
      </c>
      <c r="M28" s="18" t="n">
        <v>0</v>
      </c>
      <c r="N28" s="20" t="n">
        <v>0</v>
      </c>
      <c r="O28" s="18" t="n">
        <v>0</v>
      </c>
      <c r="P28" s="20" t="n">
        <v>0</v>
      </c>
      <c r="Q28" s="18" t="n">
        <v>0.2100079</v>
      </c>
      <c r="R28" s="20" t="n">
        <v>0.2105872</v>
      </c>
    </row>
    <row r="29" spans="1:18">
      <c r="A29" s="15" t="s">
        <v>589</v>
      </c>
      <c r="B29" s="17" t="n">
        <v>2685</v>
      </c>
      <c r="C29" s="18">
        <f>(2394.0/B29*100)</f>
        <v/>
      </c>
      <c r="D29" s="19" t="n">
        <v>291</v>
      </c>
      <c r="E29" s="18" t="n">
        <v>60.32875573</v>
      </c>
      <c r="F29" s="20" t="n">
        <v>3.15624234</v>
      </c>
      <c r="G29" s="18" t="n">
        <v>37.96539117</v>
      </c>
      <c r="H29" s="20" t="n">
        <v>3.14148776</v>
      </c>
      <c r="I29" s="18" t="s">
        <v>567</v>
      </c>
      <c r="J29" s="20" t="s">
        <v>567</v>
      </c>
      <c r="K29" s="18" t="n">
        <v>0</v>
      </c>
      <c r="L29" s="20" t="n">
        <v>0</v>
      </c>
      <c r="M29" s="18" t="n">
        <v>0</v>
      </c>
      <c r="N29" s="20" t="n">
        <v>0</v>
      </c>
      <c r="O29" s="18" t="n">
        <v>0</v>
      </c>
      <c r="P29" s="20" t="n">
        <v>0</v>
      </c>
      <c r="Q29" s="18" t="n">
        <v>1.7058531</v>
      </c>
      <c r="R29" s="20" t="n">
        <v>0.70417983</v>
      </c>
    </row>
    <row r="30" spans="1:18">
      <c r="A30" s="15" t="s">
        <v>590</v>
      </c>
      <c r="B30" s="17" t="n">
        <v>2263</v>
      </c>
      <c r="C30" s="18">
        <f>(2031.0/B30*100)</f>
        <v/>
      </c>
      <c r="D30" s="19" t="n">
        <v>232</v>
      </c>
      <c r="E30" s="18" t="n">
        <v>73.34553885</v>
      </c>
      <c r="F30" s="20" t="n">
        <v>2.82986873</v>
      </c>
      <c r="G30" s="18" t="n">
        <v>25.27540113</v>
      </c>
      <c r="H30" s="20" t="n">
        <v>2.83699898</v>
      </c>
      <c r="I30" s="18" t="s">
        <v>567</v>
      </c>
      <c r="J30" s="20" t="s">
        <v>567</v>
      </c>
      <c r="K30" s="18" t="n">
        <v>0</v>
      </c>
      <c r="L30" s="20" t="n">
        <v>0</v>
      </c>
      <c r="M30" s="18" t="n">
        <v>0</v>
      </c>
      <c r="N30" s="20" t="n">
        <v>0</v>
      </c>
      <c r="O30" s="18" t="n">
        <v>0</v>
      </c>
      <c r="P30" s="20" t="n">
        <v>0</v>
      </c>
      <c r="Q30" s="18" t="n">
        <v>1.37906001</v>
      </c>
      <c r="R30" s="20" t="n">
        <v>0.89545628</v>
      </c>
    </row>
    <row r="31" spans="1:18">
      <c r="A31" s="15" t="s">
        <v>591</v>
      </c>
      <c r="B31" s="17" t="n">
        <v>2750</v>
      </c>
      <c r="C31" s="18">
        <f>(2437.0/B31*100)</f>
        <v/>
      </c>
      <c r="D31" s="19" t="n">
        <v>313</v>
      </c>
      <c r="E31" s="18" t="n">
        <v>70.69576167</v>
      </c>
      <c r="F31" s="20" t="n">
        <v>2.84086841</v>
      </c>
      <c r="G31" s="18" t="n">
        <v>28.08802098</v>
      </c>
      <c r="H31" s="20" t="n">
        <v>2.79140094</v>
      </c>
      <c r="I31" s="18" t="s">
        <v>567</v>
      </c>
      <c r="J31" s="20" t="s">
        <v>567</v>
      </c>
      <c r="K31" s="18" t="n">
        <v>0</v>
      </c>
      <c r="L31" s="20" t="n">
        <v>0</v>
      </c>
      <c r="M31" s="18" t="n">
        <v>0</v>
      </c>
      <c r="N31" s="20" t="n">
        <v>0</v>
      </c>
      <c r="O31" s="18" t="n">
        <v>0</v>
      </c>
      <c r="P31" s="20" t="n">
        <v>0</v>
      </c>
      <c r="Q31" s="18" t="n">
        <v>1.21621735</v>
      </c>
      <c r="R31" s="20" t="n">
        <v>0.60987952</v>
      </c>
    </row>
    <row r="32" spans="1:18">
      <c r="A32" s="15" t="s">
        <v>592</v>
      </c>
      <c r="B32" s="17" t="n">
        <v>2269</v>
      </c>
      <c r="C32" s="18">
        <f>(2002.0/B32*100)</f>
        <v/>
      </c>
      <c r="D32" s="19" t="n">
        <v>267</v>
      </c>
      <c r="E32" s="18" t="n">
        <v>63.94542104</v>
      </c>
      <c r="F32" s="20" t="n">
        <v>3.33205931</v>
      </c>
      <c r="G32" s="18" t="n">
        <v>35.74845503</v>
      </c>
      <c r="H32" s="20" t="n">
        <v>3.3231892</v>
      </c>
      <c r="I32" s="18" t="s">
        <v>567</v>
      </c>
      <c r="J32" s="20" t="s">
        <v>567</v>
      </c>
      <c r="K32" s="18" t="n">
        <v>0</v>
      </c>
      <c r="L32" s="20" t="n">
        <v>0</v>
      </c>
      <c r="M32" s="18" t="n">
        <v>0</v>
      </c>
      <c r="N32" s="20" t="n">
        <v>0</v>
      </c>
      <c r="O32" s="18" t="n">
        <v>0</v>
      </c>
      <c r="P32" s="20" t="n">
        <v>0</v>
      </c>
      <c r="Q32" s="18" t="n">
        <v>0.30612392</v>
      </c>
      <c r="R32" s="20" t="n">
        <v>0.30809057</v>
      </c>
    </row>
    <row r="33" spans="1:18">
      <c r="A33" s="15" t="s">
        <v>593</v>
      </c>
      <c r="B33" s="17" t="n">
        <v>3674</v>
      </c>
      <c r="C33" s="18">
        <f>(3249.0/B33*100)</f>
        <v/>
      </c>
      <c r="D33" s="19" t="n">
        <v>425</v>
      </c>
      <c r="E33" s="18" t="n">
        <v>68.96965753000001</v>
      </c>
      <c r="F33" s="20" t="n">
        <v>2.53886871</v>
      </c>
      <c r="G33" s="18" t="n">
        <v>30.3558857</v>
      </c>
      <c r="H33" s="20" t="n">
        <v>2.61392942</v>
      </c>
      <c r="I33" s="18" t="s">
        <v>567</v>
      </c>
      <c r="J33" s="20" t="s">
        <v>567</v>
      </c>
      <c r="K33" s="18" t="n">
        <v>0.35651114</v>
      </c>
      <c r="L33" s="20" t="n">
        <v>0.32039399</v>
      </c>
      <c r="M33" s="18" t="n">
        <v>0</v>
      </c>
      <c r="N33" s="20" t="n">
        <v>0</v>
      </c>
      <c r="O33" s="18" t="n">
        <v>0</v>
      </c>
      <c r="P33" s="20" t="n">
        <v>0</v>
      </c>
      <c r="Q33" s="18" t="n">
        <v>0.31794562</v>
      </c>
      <c r="R33" s="20" t="n">
        <v>0.30927219</v>
      </c>
    </row>
    <row r="34" spans="1:18">
      <c r="A34" s="15" t="s">
        <v>594</v>
      </c>
      <c r="B34" s="17" t="n">
        <v>3315</v>
      </c>
      <c r="C34" s="18">
        <f>(2952.0/B34*100)</f>
        <v/>
      </c>
      <c r="D34" s="19" t="n">
        <v>363</v>
      </c>
      <c r="E34" s="18" t="n">
        <v>73.05674971000001</v>
      </c>
      <c r="F34" s="20" t="n">
        <v>2.28165494</v>
      </c>
      <c r="G34" s="18" t="n">
        <v>26.318264</v>
      </c>
      <c r="H34" s="20" t="n">
        <v>2.15170386</v>
      </c>
      <c r="I34" s="18" t="s">
        <v>567</v>
      </c>
      <c r="J34" s="20" t="s">
        <v>567</v>
      </c>
      <c r="K34" s="18" t="n">
        <v>0</v>
      </c>
      <c r="L34" s="20" t="n">
        <v>0</v>
      </c>
      <c r="M34" s="18" t="n">
        <v>0</v>
      </c>
      <c r="N34" s="20" t="n">
        <v>0</v>
      </c>
      <c r="O34" s="18" t="n">
        <v>0</v>
      </c>
      <c r="P34" s="20" t="n">
        <v>0</v>
      </c>
      <c r="Q34" s="18" t="n">
        <v>0.6249862900000001</v>
      </c>
      <c r="R34" s="20" t="n">
        <v>0.44267701</v>
      </c>
    </row>
    <row r="35" spans="1:18">
      <c r="A35" s="15" t="s">
        <v>595</v>
      </c>
      <c r="B35" s="17" t="n">
        <v>3505</v>
      </c>
      <c r="C35" s="18">
        <f>(3143.0/B35*100)</f>
        <v/>
      </c>
      <c r="D35" s="19" t="n">
        <v>362</v>
      </c>
      <c r="E35" s="18" t="n">
        <v>65.9305006</v>
      </c>
      <c r="F35" s="20" t="n">
        <v>2.89148243</v>
      </c>
      <c r="G35" s="18" t="n">
        <v>33.17349034</v>
      </c>
      <c r="H35" s="20" t="n">
        <v>2.93374307</v>
      </c>
      <c r="I35" s="18" t="s">
        <v>567</v>
      </c>
      <c r="J35" s="20" t="s">
        <v>567</v>
      </c>
      <c r="K35" s="18" t="n">
        <v>0</v>
      </c>
      <c r="L35" s="20" t="n">
        <v>0</v>
      </c>
      <c r="M35" s="18" t="n">
        <v>0</v>
      </c>
      <c r="N35" s="20" t="n">
        <v>0</v>
      </c>
      <c r="O35" s="18" t="n">
        <v>0</v>
      </c>
      <c r="P35" s="20" t="n">
        <v>0</v>
      </c>
      <c r="Q35" s="18" t="n">
        <v>0.89600907</v>
      </c>
      <c r="R35" s="20" t="n">
        <v>0.48738297</v>
      </c>
    </row>
    <row r="36" spans="1:18">
      <c r="A36" s="15" t="s">
        <v>596</v>
      </c>
      <c r="B36" s="17" t="n">
        <v>3332</v>
      </c>
      <c r="C36" s="18">
        <f>(2978.0/B36*100)</f>
        <v/>
      </c>
      <c r="D36" s="19" t="n">
        <v>354</v>
      </c>
      <c r="E36" s="18" t="n">
        <v>75.9046397</v>
      </c>
      <c r="F36" s="20" t="n">
        <v>2.66776294</v>
      </c>
      <c r="G36" s="18" t="n">
        <v>23.07757179</v>
      </c>
      <c r="H36" s="20" t="n">
        <v>2.59712771</v>
      </c>
      <c r="I36" s="18" t="s">
        <v>567</v>
      </c>
      <c r="J36" s="20" t="s">
        <v>567</v>
      </c>
      <c r="K36" s="18" t="n">
        <v>0.33126451</v>
      </c>
      <c r="L36" s="20" t="n">
        <v>0.24529965</v>
      </c>
      <c r="M36" s="18" t="n">
        <v>0</v>
      </c>
      <c r="N36" s="20" t="n">
        <v>0</v>
      </c>
      <c r="O36" s="18" t="n">
        <v>0</v>
      </c>
      <c r="P36" s="20" t="n">
        <v>0</v>
      </c>
      <c r="Q36" s="18" t="n">
        <v>0.68652399</v>
      </c>
      <c r="R36" s="20" t="n">
        <v>0.47199354</v>
      </c>
    </row>
    <row r="37" spans="1:18">
      <c r="A37" s="15" t="s">
        <v>597</v>
      </c>
      <c r="B37" s="17" t="n">
        <v>2727</v>
      </c>
      <c r="C37" s="18">
        <f>(2428.0/B37*100)</f>
        <v/>
      </c>
      <c r="D37" s="19" t="n">
        <v>299</v>
      </c>
      <c r="E37" s="18" t="n">
        <v>66.92872053000001</v>
      </c>
      <c r="F37" s="20" t="n">
        <v>2.69814918</v>
      </c>
      <c r="G37" s="18" t="n">
        <v>31.71862334</v>
      </c>
      <c r="H37" s="20" t="n">
        <v>2.70025835</v>
      </c>
      <c r="I37" s="18" t="s">
        <v>567</v>
      </c>
      <c r="J37" s="20" t="s">
        <v>567</v>
      </c>
      <c r="K37" s="18" t="n">
        <v>0</v>
      </c>
      <c r="L37" s="20" t="n">
        <v>0</v>
      </c>
      <c r="M37" s="18" t="n">
        <v>0</v>
      </c>
      <c r="N37" s="20" t="n">
        <v>0</v>
      </c>
      <c r="O37" s="18" t="n">
        <v>0</v>
      </c>
      <c r="P37" s="20" t="n">
        <v>0</v>
      </c>
      <c r="Q37" s="18" t="n">
        <v>1.35265613</v>
      </c>
      <c r="R37" s="20" t="n">
        <v>0.70516132</v>
      </c>
    </row>
    <row r="38" spans="1:18">
      <c r="A38" s="15" t="s">
        <v>598</v>
      </c>
      <c r="B38" s="17" t="n">
        <v>3053</v>
      </c>
      <c r="C38" s="18">
        <f>(2711.0/B38*100)</f>
        <v/>
      </c>
      <c r="D38" s="19" t="n">
        <v>342</v>
      </c>
      <c r="E38" s="18" t="n">
        <v>71.29668237999999</v>
      </c>
      <c r="F38" s="20" t="n">
        <v>2.86195833</v>
      </c>
      <c r="G38" s="18" t="n">
        <v>27.16863348</v>
      </c>
      <c r="H38" s="20" t="n">
        <v>2.79480363</v>
      </c>
      <c r="I38" s="18" t="s">
        <v>567</v>
      </c>
      <c r="J38" s="20" t="s">
        <v>567</v>
      </c>
      <c r="K38" s="18" t="n">
        <v>0.39260966</v>
      </c>
      <c r="L38" s="20" t="n">
        <v>0.32472303</v>
      </c>
      <c r="M38" s="18" t="n">
        <v>0</v>
      </c>
      <c r="N38" s="20" t="n">
        <v>0</v>
      </c>
      <c r="O38" s="18" t="n">
        <v>0</v>
      </c>
      <c r="P38" s="20" t="n">
        <v>0</v>
      </c>
      <c r="Q38" s="18" t="n">
        <v>1.14207448</v>
      </c>
      <c r="R38" s="20" t="n">
        <v>0.88111936</v>
      </c>
    </row>
    <row r="39" spans="1:18">
      <c r="A39" s="15" t="s">
        <v>599</v>
      </c>
      <c r="B39" s="17" t="n">
        <v>2957</v>
      </c>
      <c r="C39" s="18">
        <f>(2613.0/B39*100)</f>
        <v/>
      </c>
      <c r="D39" s="19" t="n">
        <v>344</v>
      </c>
      <c r="E39" s="18" t="n">
        <v>79.4715006</v>
      </c>
      <c r="F39" s="20" t="n">
        <v>3.06154143</v>
      </c>
      <c r="G39" s="18" t="n">
        <v>20.01297317</v>
      </c>
      <c r="H39" s="20" t="n">
        <v>3.03440434</v>
      </c>
      <c r="I39" s="18" t="s">
        <v>567</v>
      </c>
      <c r="J39" s="20" t="s">
        <v>567</v>
      </c>
      <c r="K39" s="18" t="n">
        <v>0</v>
      </c>
      <c r="L39" s="20" t="n">
        <v>0</v>
      </c>
      <c r="M39" s="18" t="n">
        <v>0</v>
      </c>
      <c r="N39" s="20" t="n">
        <v>0</v>
      </c>
      <c r="O39" s="18" t="n">
        <v>0</v>
      </c>
      <c r="P39" s="20" t="n">
        <v>0</v>
      </c>
      <c r="Q39" s="18" t="n">
        <v>0.51552623</v>
      </c>
      <c r="R39" s="20" t="n">
        <v>0.30330294</v>
      </c>
    </row>
    <row r="40" spans="1:18">
      <c r="A40" s="15" t="s">
        <v>600</v>
      </c>
      <c r="B40" s="17" t="n">
        <v>7235</v>
      </c>
      <c r="C40" s="18">
        <f>(6451.0/B40*100)</f>
        <v/>
      </c>
      <c r="D40" s="19" t="n">
        <v>784</v>
      </c>
      <c r="E40" s="18" t="n">
        <v>64.68309874000001</v>
      </c>
      <c r="F40" s="20" t="n">
        <v>3.41785717</v>
      </c>
      <c r="G40" s="18" t="n">
        <v>35.04079561</v>
      </c>
      <c r="H40" s="20" t="n">
        <v>3.42041</v>
      </c>
      <c r="I40" s="18" t="s">
        <v>567</v>
      </c>
      <c r="J40" s="20" t="s">
        <v>567</v>
      </c>
      <c r="K40" s="18" t="n">
        <v>0</v>
      </c>
      <c r="L40" s="20" t="n">
        <v>0</v>
      </c>
      <c r="M40" s="18" t="n">
        <v>0</v>
      </c>
      <c r="N40" s="20" t="n">
        <v>0</v>
      </c>
      <c r="O40" s="18" t="n">
        <v>0</v>
      </c>
      <c r="P40" s="20" t="n">
        <v>0</v>
      </c>
      <c r="Q40" s="18" t="n">
        <v>0.27610565</v>
      </c>
      <c r="R40" s="20" t="n">
        <v>0.16874856</v>
      </c>
    </row>
    <row r="41" spans="1:18">
      <c r="A41" s="15" t="s">
        <v>601</v>
      </c>
      <c r="B41" s="17" t="n">
        <v>2858</v>
      </c>
      <c r="C41" s="18">
        <f>(2533.0/B41*100)</f>
        <v/>
      </c>
      <c r="D41" s="19" t="n">
        <v>325</v>
      </c>
      <c r="E41" s="18" t="n">
        <v>79.83734330999999</v>
      </c>
      <c r="F41" s="20" t="n">
        <v>2.43459768</v>
      </c>
      <c r="G41" s="18" t="n">
        <v>18.57450098</v>
      </c>
      <c r="H41" s="20" t="n">
        <v>2.2515087</v>
      </c>
      <c r="I41" s="18" t="s">
        <v>567</v>
      </c>
      <c r="J41" s="20" t="s">
        <v>567</v>
      </c>
      <c r="K41" s="18" t="n">
        <v>0</v>
      </c>
      <c r="L41" s="20" t="n">
        <v>0</v>
      </c>
      <c r="M41" s="18" t="n">
        <v>0</v>
      </c>
      <c r="N41" s="20" t="n">
        <v>0</v>
      </c>
      <c r="O41" s="18" t="n">
        <v>0</v>
      </c>
      <c r="P41" s="20" t="n">
        <v>0</v>
      </c>
      <c r="Q41" s="18" t="n">
        <v>1.58815572</v>
      </c>
      <c r="R41" s="20" t="n">
        <v>1.10757681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(9975.0/B46*100)</f>
        <v/>
      </c>
      <c r="D46" s="19" t="n">
        <v>1093</v>
      </c>
      <c r="E46" s="18" t="n">
        <v>87.07915881</v>
      </c>
      <c r="F46" s="20" t="n">
        <v>1.36589518</v>
      </c>
      <c r="G46" s="18" t="n">
        <v>11.29949773</v>
      </c>
      <c r="H46" s="20" t="n">
        <v>1.22939946</v>
      </c>
      <c r="I46" s="18" t="s">
        <v>567</v>
      </c>
      <c r="J46" s="20" t="s">
        <v>567</v>
      </c>
      <c r="K46" s="18" t="n">
        <v>0.44245946</v>
      </c>
      <c r="L46" s="20" t="n">
        <v>0.27061807</v>
      </c>
      <c r="M46" s="18" t="n">
        <v>0</v>
      </c>
      <c r="N46" s="20" t="n">
        <v>0</v>
      </c>
      <c r="O46" s="18" t="n">
        <v>0</v>
      </c>
      <c r="P46" s="20" t="n">
        <v>0</v>
      </c>
      <c r="Q46" s="18" t="n">
        <v>1.178884</v>
      </c>
      <c r="R46" s="20" t="n">
        <v>0.41891433</v>
      </c>
    </row>
    <row r="47" spans="1:18">
      <c r="A47" s="15" t="s">
        <v>607</v>
      </c>
      <c r="B47" s="17" t="n">
        <v>3105</v>
      </c>
      <c r="C47" s="18">
        <f>(2753.0/B47*100)</f>
        <v/>
      </c>
      <c r="D47" s="19" t="n">
        <v>352</v>
      </c>
      <c r="E47" s="18" t="n">
        <v>73.95816322</v>
      </c>
      <c r="F47" s="20" t="n">
        <v>2.52907079</v>
      </c>
      <c r="G47" s="18" t="n">
        <v>24.46078441</v>
      </c>
      <c r="H47" s="20" t="n">
        <v>2.54961712</v>
      </c>
      <c r="I47" s="18" t="s">
        <v>567</v>
      </c>
      <c r="J47" s="20" t="s">
        <v>567</v>
      </c>
      <c r="K47" s="18" t="n">
        <v>0.28979602</v>
      </c>
      <c r="L47" s="20" t="n">
        <v>0.40839271</v>
      </c>
      <c r="M47" s="18" t="n">
        <v>0</v>
      </c>
      <c r="N47" s="20" t="n">
        <v>0</v>
      </c>
      <c r="O47" s="18" t="n">
        <v>0</v>
      </c>
      <c r="P47" s="20" t="n">
        <v>0</v>
      </c>
      <c r="Q47" s="18" t="n">
        <v>1.29125635</v>
      </c>
      <c r="R47" s="20" t="n">
        <v>0.5848923</v>
      </c>
    </row>
    <row r="48" spans="1:18">
      <c r="A48" s="15" t="s">
        <v>608</v>
      </c>
      <c r="B48" s="17" t="n">
        <v>5159</v>
      </c>
      <c r="C48" s="18">
        <f>(4558.0/B48*100)</f>
        <v/>
      </c>
      <c r="D48" s="19" t="n">
        <v>601</v>
      </c>
      <c r="E48" s="18" t="n">
        <v>78.19991512</v>
      </c>
      <c r="F48" s="20" t="n">
        <v>2.10551607</v>
      </c>
      <c r="G48" s="18" t="n">
        <v>21.3855413</v>
      </c>
      <c r="H48" s="20" t="n">
        <v>2.17151502</v>
      </c>
      <c r="I48" s="18" t="s">
        <v>567</v>
      </c>
      <c r="J48" s="20" t="s">
        <v>567</v>
      </c>
      <c r="K48" s="18" t="n">
        <v>0.10637012</v>
      </c>
      <c r="L48" s="20" t="n">
        <v>0.07481314</v>
      </c>
      <c r="M48" s="18" t="n">
        <v>0</v>
      </c>
      <c r="N48" s="20" t="n">
        <v>0</v>
      </c>
      <c r="O48" s="18" t="n">
        <v>0</v>
      </c>
      <c r="P48" s="20" t="n">
        <v>0</v>
      </c>
      <c r="Q48" s="18" t="n">
        <v>0.30817346</v>
      </c>
      <c r="R48" s="20" t="n">
        <v>0.4200558</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(4968.0/B50*100)</f>
        <v/>
      </c>
      <c r="D50" s="19" t="n">
        <v>669</v>
      </c>
      <c r="E50" s="18" t="n">
        <v>90.49322143000001</v>
      </c>
      <c r="F50" s="20" t="n">
        <v>1.73315357</v>
      </c>
      <c r="G50" s="18" t="n">
        <v>6.10757241</v>
      </c>
      <c r="H50" s="20" t="n">
        <v>1.124741</v>
      </c>
      <c r="I50" s="18" t="s">
        <v>567</v>
      </c>
      <c r="J50" s="20" t="s">
        <v>567</v>
      </c>
      <c r="K50" s="18" t="n">
        <v>1.20278331</v>
      </c>
      <c r="L50" s="20" t="n">
        <v>0.77748827</v>
      </c>
      <c r="M50" s="18" t="n">
        <v>0</v>
      </c>
      <c r="N50" s="20" t="n">
        <v>0</v>
      </c>
      <c r="O50" s="18" t="n">
        <v>0</v>
      </c>
      <c r="P50" s="20" t="n">
        <v>0</v>
      </c>
      <c r="Q50" s="18" t="n">
        <v>2.19642285</v>
      </c>
      <c r="R50" s="20" t="n">
        <v>0.79581933</v>
      </c>
    </row>
    <row r="51" spans="1:18">
      <c r="A51" s="15" t="s">
        <v>611</v>
      </c>
      <c r="B51" s="17" t="n">
        <v>3372</v>
      </c>
      <c r="C51" s="18">
        <f>(3052.0/B51*100)</f>
        <v/>
      </c>
      <c r="D51" s="19" t="n">
        <v>320</v>
      </c>
      <c r="E51" s="18" t="n">
        <v>90.60812430999999</v>
      </c>
      <c r="F51" s="20" t="n">
        <v>2.21621091</v>
      </c>
      <c r="G51" s="18" t="n">
        <v>9.13189493</v>
      </c>
      <c r="H51" s="20" t="n">
        <v>2.20896869</v>
      </c>
      <c r="I51" s="18" t="s">
        <v>567</v>
      </c>
      <c r="J51" s="20" t="s">
        <v>567</v>
      </c>
      <c r="K51" s="18" t="n">
        <v>0</v>
      </c>
      <c r="L51" s="20" t="n">
        <v>0</v>
      </c>
      <c r="M51" s="18" t="n">
        <v>0</v>
      </c>
      <c r="N51" s="20" t="n">
        <v>0</v>
      </c>
      <c r="O51" s="18" t="n">
        <v>0</v>
      </c>
      <c r="P51" s="20" t="n">
        <v>0</v>
      </c>
      <c r="Q51" s="18" t="n">
        <v>0.25998076</v>
      </c>
      <c r="R51" s="20" t="n">
        <v>0.25883224</v>
      </c>
    </row>
    <row r="52" spans="1:18">
      <c r="A52" s="15" t="s">
        <v>612</v>
      </c>
      <c r="B52" s="17" t="n">
        <v>2796</v>
      </c>
      <c r="C52" s="18">
        <f>(2477.0/B52*100)</f>
        <v/>
      </c>
      <c r="D52" s="19" t="n">
        <v>319</v>
      </c>
      <c r="E52" s="18" t="n">
        <v>72.55552333</v>
      </c>
      <c r="F52" s="20" t="n">
        <v>2.78026198</v>
      </c>
      <c r="G52" s="18" t="n">
        <v>26.8141066</v>
      </c>
      <c r="H52" s="20" t="n">
        <v>2.73655936</v>
      </c>
      <c r="I52" s="18" t="s">
        <v>567</v>
      </c>
      <c r="J52" s="20" t="s">
        <v>567</v>
      </c>
      <c r="K52" s="18" t="n">
        <v>0</v>
      </c>
      <c r="L52" s="20" t="n">
        <v>0</v>
      </c>
      <c r="M52" s="18" t="n">
        <v>0</v>
      </c>
      <c r="N52" s="20" t="n">
        <v>0</v>
      </c>
      <c r="O52" s="18" t="n">
        <v>0</v>
      </c>
      <c r="P52" s="20" t="n">
        <v>0</v>
      </c>
      <c r="Q52" s="18" t="n">
        <v>0.63037007</v>
      </c>
      <c r="R52" s="20" t="n">
        <v>0.45161919</v>
      </c>
    </row>
    <row r="53" spans="1:18">
      <c r="A53" s="15" t="s">
        <v>613</v>
      </c>
      <c r="B53" s="17" t="n">
        <v>2811</v>
      </c>
      <c r="C53" s="18">
        <f>(2499.0/B53*100)</f>
        <v/>
      </c>
      <c r="D53" s="19" t="n">
        <v>312</v>
      </c>
      <c r="E53" s="18" t="n">
        <v>71.36775077999999</v>
      </c>
      <c r="F53" s="20" t="n">
        <v>2.75565407</v>
      </c>
      <c r="G53" s="18" t="n">
        <v>26.35670057</v>
      </c>
      <c r="H53" s="20" t="n">
        <v>2.49467976</v>
      </c>
      <c r="I53" s="18" t="s">
        <v>567</v>
      </c>
      <c r="J53" s="20" t="s">
        <v>567</v>
      </c>
      <c r="K53" s="18" t="n">
        <v>0.59661664</v>
      </c>
      <c r="L53" s="20" t="n">
        <v>0.58995876</v>
      </c>
      <c r="M53" s="18" t="n">
        <v>0</v>
      </c>
      <c r="N53" s="20" t="n">
        <v>0</v>
      </c>
      <c r="O53" s="18" t="n">
        <v>0</v>
      </c>
      <c r="P53" s="20" t="n">
        <v>0</v>
      </c>
      <c r="Q53" s="18" t="n">
        <v>1.67893201</v>
      </c>
      <c r="R53" s="20" t="n">
        <v>0.75902441</v>
      </c>
    </row>
    <row r="54" spans="1:18">
      <c r="A54" s="15" t="s">
        <v>614</v>
      </c>
      <c r="B54" s="17" t="n">
        <v>2266</v>
      </c>
      <c r="C54" s="18">
        <f>(2013.0/B54*100)</f>
        <v/>
      </c>
      <c r="D54" s="19" t="n">
        <v>253</v>
      </c>
      <c r="E54" s="18" t="n">
        <v>85.35049744</v>
      </c>
      <c r="F54" s="20" t="n">
        <v>2.77181448</v>
      </c>
      <c r="G54" s="18" t="n">
        <v>3.74492657</v>
      </c>
      <c r="H54" s="20" t="n">
        <v>0.9693018</v>
      </c>
      <c r="I54" s="18" t="s">
        <v>567</v>
      </c>
      <c r="J54" s="20" t="s">
        <v>567</v>
      </c>
      <c r="K54" s="18" t="n">
        <v>7.3942324</v>
      </c>
      <c r="L54" s="20" t="n">
        <v>2.1513438</v>
      </c>
      <c r="M54" s="18" t="n">
        <v>0</v>
      </c>
      <c r="N54" s="20" t="n">
        <v>0</v>
      </c>
      <c r="O54" s="18" t="n">
        <v>0</v>
      </c>
      <c r="P54" s="20" t="n">
        <v>0</v>
      </c>
      <c r="Q54" s="18" t="n">
        <v>3.51034359</v>
      </c>
      <c r="R54" s="20" t="n">
        <v>1.23673777</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(2377.0/B56*100)</f>
        <v/>
      </c>
      <c r="D56" s="19" t="n">
        <v>307</v>
      </c>
      <c r="E56" s="18" t="n">
        <v>53.02508889</v>
      </c>
      <c r="F56" s="20" t="n">
        <v>3.41831926</v>
      </c>
      <c r="G56" s="18" t="n">
        <v>45.62377359</v>
      </c>
      <c r="H56" s="20" t="n">
        <v>3.49894698</v>
      </c>
      <c r="I56" s="18" t="s">
        <v>567</v>
      </c>
      <c r="J56" s="20" t="s">
        <v>567</v>
      </c>
      <c r="K56" s="18" t="n">
        <v>0.41415478</v>
      </c>
      <c r="L56" s="20" t="n">
        <v>0.35165879</v>
      </c>
      <c r="M56" s="18" t="n">
        <v>0</v>
      </c>
      <c r="N56" s="20" t="n">
        <v>0</v>
      </c>
      <c r="O56" s="18" t="n">
        <v>0</v>
      </c>
      <c r="P56" s="20" t="n">
        <v>0</v>
      </c>
      <c r="Q56" s="18" t="n">
        <v>0.93698274</v>
      </c>
      <c r="R56" s="20" t="n">
        <v>0.59650358</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(2938.0/B61*100)</f>
        <v/>
      </c>
      <c r="D61" s="19" t="n">
        <v>386</v>
      </c>
      <c r="E61" s="18" t="n">
        <v>74.20664189999999</v>
      </c>
      <c r="F61" s="20" t="n">
        <v>2.46478607</v>
      </c>
      <c r="G61" s="18" t="n">
        <v>25.24429903</v>
      </c>
      <c r="H61" s="20" t="n">
        <v>2.42795487</v>
      </c>
      <c r="I61" s="18" t="s">
        <v>567</v>
      </c>
      <c r="J61" s="20" t="s">
        <v>567</v>
      </c>
      <c r="K61" s="18" t="n">
        <v>0</v>
      </c>
      <c r="L61" s="20" t="n">
        <v>0</v>
      </c>
      <c r="M61" s="18" t="n">
        <v>0</v>
      </c>
      <c r="N61" s="20" t="n">
        <v>0</v>
      </c>
      <c r="O61" s="18" t="n">
        <v>0</v>
      </c>
      <c r="P61" s="20" t="n">
        <v>0</v>
      </c>
      <c r="Q61" s="18" t="n">
        <v>0.54905908</v>
      </c>
      <c r="R61" s="20" t="n">
        <v>0.37934414</v>
      </c>
    </row>
    <row r="62" spans="1:18">
      <c r="A62" s="15" t="s">
        <v>622</v>
      </c>
      <c r="B62" s="17" t="n">
        <v>2246</v>
      </c>
      <c r="C62" s="18">
        <f>(1996.0/B62*100)</f>
        <v/>
      </c>
      <c r="D62" s="19" t="n">
        <v>250</v>
      </c>
      <c r="E62" s="18" t="n">
        <v>70.03228491</v>
      </c>
      <c r="F62" s="20" t="n">
        <v>3.30751246</v>
      </c>
      <c r="G62" s="18" t="n">
        <v>29.56092146</v>
      </c>
      <c r="H62" s="20" t="n">
        <v>3.29617618</v>
      </c>
      <c r="I62" s="18" t="s">
        <v>567</v>
      </c>
      <c r="J62" s="20" t="s">
        <v>567</v>
      </c>
      <c r="K62" s="18" t="n">
        <v>0</v>
      </c>
      <c r="L62" s="20" t="n">
        <v>0</v>
      </c>
      <c r="M62" s="18" t="n">
        <v>0</v>
      </c>
      <c r="N62" s="20" t="n">
        <v>0</v>
      </c>
      <c r="O62" s="18" t="n">
        <v>0</v>
      </c>
      <c r="P62" s="20" t="n">
        <v>0</v>
      </c>
      <c r="Q62" s="18" t="n">
        <v>0.40679363</v>
      </c>
      <c r="R62" s="20" t="n">
        <v>0.40742051</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(2591.0/B66*100)</f>
        <v/>
      </c>
      <c r="D66" s="19" t="n">
        <v>303</v>
      </c>
      <c r="E66" s="18" t="n">
        <v>79.75811754999999</v>
      </c>
      <c r="F66" s="20" t="n">
        <v>2.52175809</v>
      </c>
      <c r="G66" s="18" t="n">
        <v>16.55020555</v>
      </c>
      <c r="H66" s="20" t="n">
        <v>2.30804467</v>
      </c>
      <c r="I66" s="18" t="s">
        <v>567</v>
      </c>
      <c r="J66" s="20" t="s">
        <v>567</v>
      </c>
      <c r="K66" s="18" t="n">
        <v>0</v>
      </c>
      <c r="L66" s="20" t="n">
        <v>0</v>
      </c>
      <c r="M66" s="18" t="n">
        <v>0</v>
      </c>
      <c r="N66" s="20" t="n">
        <v>0</v>
      </c>
      <c r="O66" s="18" t="n">
        <v>0</v>
      </c>
      <c r="P66" s="20" t="n">
        <v>0</v>
      </c>
      <c r="Q66" s="18" t="n">
        <v>3.69167689</v>
      </c>
      <c r="R66" s="20" t="n">
        <v>1.0523574</v>
      </c>
    </row>
    <row r="67" spans="1:18">
      <c r="A67" s="15" t="s">
        <v>627</v>
      </c>
      <c r="B67" s="17" t="n">
        <v>3511</v>
      </c>
      <c r="C67" s="18">
        <f>(3147.0/B67*100)</f>
        <v/>
      </c>
      <c r="D67" s="19" t="n">
        <v>364</v>
      </c>
      <c r="E67" s="18" t="n">
        <v>91.45905144</v>
      </c>
      <c r="F67" s="20" t="n">
        <v>1.35900224</v>
      </c>
      <c r="G67" s="18" t="n">
        <v>8.03202113</v>
      </c>
      <c r="H67" s="20" t="n">
        <v>1.37352933</v>
      </c>
      <c r="I67" s="18" t="s">
        <v>567</v>
      </c>
      <c r="J67" s="20" t="s">
        <v>567</v>
      </c>
      <c r="K67" s="18" t="n">
        <v>0.2207563</v>
      </c>
      <c r="L67" s="20" t="n">
        <v>0.22400054</v>
      </c>
      <c r="M67" s="18" t="n">
        <v>0</v>
      </c>
      <c r="N67" s="20" t="n">
        <v>0</v>
      </c>
      <c r="O67" s="18" t="n">
        <v>0</v>
      </c>
      <c r="P67" s="20" t="n">
        <v>0</v>
      </c>
      <c r="Q67" s="18" t="n">
        <v>0.28817114</v>
      </c>
      <c r="R67" s="20" t="n">
        <v>0.28775162</v>
      </c>
    </row>
    <row r="68" spans="1:18">
      <c r="A68" s="15" t="s">
        <v>628</v>
      </c>
      <c r="B68" s="17" t="n">
        <v>6049</v>
      </c>
      <c r="C68" s="18">
        <f>(5389.0/B68*100)</f>
        <v/>
      </c>
      <c r="D68" s="19" t="n">
        <v>660</v>
      </c>
      <c r="E68" s="18" t="n">
        <v>78.76999361999999</v>
      </c>
      <c r="F68" s="20" t="n">
        <v>1.39894641</v>
      </c>
      <c r="G68" s="18" t="n">
        <v>15.58052583</v>
      </c>
      <c r="H68" s="20" t="n">
        <v>1.29944723</v>
      </c>
      <c r="I68" s="18" t="s">
        <v>567</v>
      </c>
      <c r="J68" s="20" t="s">
        <v>567</v>
      </c>
      <c r="K68" s="18" t="n">
        <v>1.6192305</v>
      </c>
      <c r="L68" s="20" t="n">
        <v>0.52410976</v>
      </c>
      <c r="M68" s="18" t="n">
        <v>0</v>
      </c>
      <c r="N68" s="20" t="n">
        <v>0</v>
      </c>
      <c r="O68" s="18" t="n">
        <v>0</v>
      </c>
      <c r="P68" s="20" t="n">
        <v>0</v>
      </c>
      <c r="Q68" s="18" t="n">
        <v>4.03025005</v>
      </c>
      <c r="R68" s="20" t="n">
        <v>0.75730214</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(2608.0/B70*100)</f>
        <v/>
      </c>
      <c r="D70" s="19" t="n">
        <v>321</v>
      </c>
      <c r="E70" s="18" t="n">
        <v>74.80644409</v>
      </c>
      <c r="F70" s="20" t="n">
        <v>2.71367648</v>
      </c>
      <c r="G70" s="18" t="n">
        <v>24.6279636</v>
      </c>
      <c r="H70" s="20" t="n">
        <v>2.72654202</v>
      </c>
      <c r="I70" s="18" t="s">
        <v>567</v>
      </c>
      <c r="J70" s="20" t="s">
        <v>567</v>
      </c>
      <c r="K70" s="18" t="n">
        <v>0</v>
      </c>
      <c r="L70" s="20" t="n">
        <v>0</v>
      </c>
      <c r="M70" s="18" t="n">
        <v>0</v>
      </c>
      <c r="N70" s="20" t="n">
        <v>0</v>
      </c>
      <c r="O70" s="18" t="n">
        <v>0</v>
      </c>
      <c r="P70" s="20" t="n">
        <v>0</v>
      </c>
      <c r="Q70" s="18" t="n">
        <v>0.56559232</v>
      </c>
      <c r="R70" s="20" t="n">
        <v>0.26537303</v>
      </c>
    </row>
    <row r="71" spans="1:18">
      <c r="A71" s="15" t="s">
        <v>631</v>
      </c>
      <c r="B71" s="17" t="n">
        <v>3142</v>
      </c>
      <c r="C71" s="18">
        <f>(2800.0/B71*100)</f>
        <v/>
      </c>
      <c r="D71" s="19" t="n">
        <v>342</v>
      </c>
      <c r="E71" s="18" t="n">
        <v>60.44300641</v>
      </c>
      <c r="F71" s="20" t="n">
        <v>2.62827507</v>
      </c>
      <c r="G71" s="18" t="n">
        <v>39.29583784</v>
      </c>
      <c r="H71" s="20" t="n">
        <v>2.63666757</v>
      </c>
      <c r="I71" s="18" t="s">
        <v>567</v>
      </c>
      <c r="J71" s="20" t="s">
        <v>567</v>
      </c>
      <c r="K71" s="18" t="n">
        <v>0</v>
      </c>
      <c r="L71" s="20" t="n">
        <v>0</v>
      </c>
      <c r="M71" s="18" t="n">
        <v>0</v>
      </c>
      <c r="N71" s="20" t="n">
        <v>0</v>
      </c>
      <c r="O71" s="18" t="n">
        <v>0</v>
      </c>
      <c r="P71" s="20" t="n">
        <v>0</v>
      </c>
      <c r="Q71" s="18" t="n">
        <v>0.26115575</v>
      </c>
      <c r="R71" s="20" t="n">
        <v>0.26197952</v>
      </c>
    </row>
    <row r="72" spans="1:18">
      <c r="A72" s="15" t="s">
        <v>632</v>
      </c>
      <c r="B72" s="17" t="n">
        <v>3889</v>
      </c>
      <c r="C72" s="18">
        <f>(3471.0/B72*100)</f>
        <v/>
      </c>
      <c r="D72" s="19" t="n">
        <v>418</v>
      </c>
      <c r="E72" s="18" t="n">
        <v>66.65664991</v>
      </c>
      <c r="F72" s="20" t="n">
        <v>2.7142491</v>
      </c>
      <c r="G72" s="18" t="n">
        <v>32.25550142</v>
      </c>
      <c r="H72" s="20" t="n">
        <v>2.55649884</v>
      </c>
      <c r="I72" s="18" t="s">
        <v>567</v>
      </c>
      <c r="J72" s="20" t="s">
        <v>567</v>
      </c>
      <c r="K72" s="18" t="n">
        <v>0</v>
      </c>
      <c r="L72" s="20" t="n">
        <v>0</v>
      </c>
      <c r="M72" s="18" t="n">
        <v>0</v>
      </c>
      <c r="N72" s="20" t="n">
        <v>0</v>
      </c>
      <c r="O72" s="18" t="n">
        <v>0</v>
      </c>
      <c r="P72" s="20" t="n">
        <v>0</v>
      </c>
      <c r="Q72" s="18" t="n">
        <v>1.08784867</v>
      </c>
      <c r="R72" s="20" t="n">
        <v>0.61701853</v>
      </c>
    </row>
    <row r="73" spans="1:18">
      <c r="A73" s="15" t="s">
        <v>633</v>
      </c>
      <c r="B73" s="17" t="n">
        <v>3597</v>
      </c>
      <c r="C73" s="18">
        <f>(3208.0/B73*100)</f>
        <v/>
      </c>
      <c r="D73" s="19" t="n">
        <v>389</v>
      </c>
      <c r="E73" s="18" t="n">
        <v>84.29235563</v>
      </c>
      <c r="F73" s="20" t="n">
        <v>2.11932428</v>
      </c>
      <c r="G73" s="18" t="n">
        <v>14.00881942</v>
      </c>
      <c r="H73" s="20" t="n">
        <v>2.19216925</v>
      </c>
      <c r="I73" s="18" t="s">
        <v>567</v>
      </c>
      <c r="J73" s="20" t="s">
        <v>567</v>
      </c>
      <c r="K73" s="18" t="n">
        <v>0</v>
      </c>
      <c r="L73" s="20" t="n">
        <v>0</v>
      </c>
      <c r="M73" s="18" t="n">
        <v>0</v>
      </c>
      <c r="N73" s="20" t="n">
        <v>0</v>
      </c>
      <c r="O73" s="18" t="n">
        <v>0</v>
      </c>
      <c r="P73" s="20" t="n">
        <v>0</v>
      </c>
      <c r="Q73" s="18" t="n">
        <v>1.69882496</v>
      </c>
      <c r="R73" s="20" t="n">
        <v>0.70996094</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(2153.0/B75*100)</f>
        <v/>
      </c>
      <c r="D75" s="19" t="n">
        <v>253</v>
      </c>
      <c r="E75" s="18" t="n">
        <v>74.28377639999999</v>
      </c>
      <c r="F75" s="20" t="n">
        <v>2.55974002</v>
      </c>
      <c r="G75" s="18" t="n">
        <v>21.72473382</v>
      </c>
      <c r="H75" s="20" t="n">
        <v>2.40782611</v>
      </c>
      <c r="I75" s="18" t="s">
        <v>567</v>
      </c>
      <c r="J75" s="20" t="s">
        <v>567</v>
      </c>
      <c r="K75" s="18" t="n">
        <v>1.14090219</v>
      </c>
      <c r="L75" s="20" t="n">
        <v>0.70315234</v>
      </c>
      <c r="M75" s="18" t="n">
        <v>0</v>
      </c>
      <c r="N75" s="20" t="n">
        <v>0</v>
      </c>
      <c r="O75" s="18" t="n">
        <v>0</v>
      </c>
      <c r="P75" s="20" t="n">
        <v>0</v>
      </c>
      <c r="Q75" s="18" t="n">
        <v>2.85058759</v>
      </c>
      <c r="R75" s="20" t="n">
        <v>0.81070889</v>
      </c>
    </row>
    <row r="76" spans="1:18">
      <c r="A76" s="15" t="s">
        <v>636</v>
      </c>
      <c r="B76" s="17" t="n">
        <v>7052</v>
      </c>
      <c r="C76" s="18">
        <f>(6304.0/B76*100)</f>
        <v/>
      </c>
      <c r="D76" s="19" t="n">
        <v>748</v>
      </c>
      <c r="E76" s="18" t="n">
        <v>83.2128613</v>
      </c>
      <c r="F76" s="20" t="n">
        <v>1.63952671</v>
      </c>
      <c r="G76" s="18" t="n">
        <v>15.21230636</v>
      </c>
      <c r="H76" s="20" t="n">
        <v>1.5767235</v>
      </c>
      <c r="I76" s="18" t="s">
        <v>567</v>
      </c>
      <c r="J76" s="20" t="s">
        <v>567</v>
      </c>
      <c r="K76" s="18" t="n">
        <v>0.33647368</v>
      </c>
      <c r="L76" s="20" t="n">
        <v>0.23455695</v>
      </c>
      <c r="M76" s="18" t="n">
        <v>0</v>
      </c>
      <c r="N76" s="20" t="n">
        <v>0</v>
      </c>
      <c r="O76" s="18" t="n">
        <v>0</v>
      </c>
      <c r="P76" s="20" t="n">
        <v>0</v>
      </c>
      <c r="Q76" s="18" t="n">
        <v>1.23835865</v>
      </c>
      <c r="R76" s="20" t="n">
        <v>0.44811038</v>
      </c>
    </row>
    <row r="77" spans="1:18">
      <c r="A77" s="15" t="s">
        <v>637</v>
      </c>
      <c r="B77" s="17" t="n">
        <v>2908</v>
      </c>
      <c r="C77" s="18">
        <f>(2577.0/B77*100)</f>
        <v/>
      </c>
      <c r="D77" s="19" t="n">
        <v>331</v>
      </c>
      <c r="E77" s="18" t="n">
        <v>85.87843411999999</v>
      </c>
      <c r="F77" s="20" t="n">
        <v>1.83401306</v>
      </c>
      <c r="G77" s="18" t="n">
        <v>12.42618541</v>
      </c>
      <c r="H77" s="20" t="n">
        <v>1.80653595</v>
      </c>
      <c r="I77" s="18" t="s">
        <v>567</v>
      </c>
      <c r="J77" s="20" t="s">
        <v>567</v>
      </c>
      <c r="K77" s="18" t="n">
        <v>0</v>
      </c>
      <c r="L77" s="20" t="n">
        <v>0</v>
      </c>
      <c r="M77" s="18" t="n">
        <v>0</v>
      </c>
      <c r="N77" s="20" t="n">
        <v>0</v>
      </c>
      <c r="O77" s="18" t="n">
        <v>0</v>
      </c>
      <c r="P77" s="20" t="n">
        <v>0</v>
      </c>
      <c r="Q77" s="18" t="n">
        <v>1.69538047</v>
      </c>
      <c r="R77" s="20" t="n">
        <v>0.71702535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(3688.0/B81*100)</f>
        <v/>
      </c>
      <c r="D81" s="19" t="n">
        <v>475</v>
      </c>
      <c r="E81" s="18" t="n">
        <v>83.77188619</v>
      </c>
      <c r="F81" s="20" t="n">
        <v>1.89863597</v>
      </c>
      <c r="G81" s="18" t="n">
        <v>15.50820428</v>
      </c>
      <c r="H81" s="20" t="n">
        <v>1.80673987</v>
      </c>
      <c r="I81" s="18" t="s">
        <v>567</v>
      </c>
      <c r="J81" s="20" t="s">
        <v>567</v>
      </c>
      <c r="K81" s="18" t="n">
        <v>0.37795722</v>
      </c>
      <c r="L81" s="20" t="n">
        <v>0.46253796</v>
      </c>
      <c r="M81" s="18" t="n">
        <v>0</v>
      </c>
      <c r="N81" s="20" t="n">
        <v>0</v>
      </c>
      <c r="O81" s="18" t="n">
        <v>0</v>
      </c>
      <c r="P81" s="20" t="n">
        <v>0</v>
      </c>
      <c r="Q81" s="18" t="n">
        <v>0.3419523</v>
      </c>
      <c r="R81" s="20" t="n">
        <v>0.34032965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(6578.0/B7*100)</f>
        <v/>
      </c>
      <c r="D7" s="19" t="n">
        <v>789</v>
      </c>
      <c r="E7" s="18" t="n">
        <v>6.66440771</v>
      </c>
      <c r="F7" s="20" t="n">
        <v>1.12279132</v>
      </c>
      <c r="G7" s="18" t="n">
        <v>92.37242906</v>
      </c>
      <c r="H7" s="20" t="n">
        <v>1.18410403</v>
      </c>
      <c r="I7" s="18" t="s">
        <v>567</v>
      </c>
      <c r="J7" s="20" t="s">
        <v>567</v>
      </c>
      <c r="K7" s="18" t="n">
        <v>0.28174733</v>
      </c>
      <c r="L7" s="20" t="n">
        <v>0.2181797</v>
      </c>
      <c r="M7" s="18" t="n">
        <v>0</v>
      </c>
      <c r="N7" s="20" t="n">
        <v>0</v>
      </c>
      <c r="O7" s="18" t="n">
        <v>0</v>
      </c>
      <c r="P7" s="20" t="n">
        <v>0</v>
      </c>
      <c r="Q7" s="18" t="n">
        <v>0.6814159</v>
      </c>
      <c r="R7" s="20" t="n">
        <v>0.30273821</v>
      </c>
    </row>
    <row r="8" spans="1:18">
      <c r="A8" s="15" t="s">
        <v>568</v>
      </c>
      <c r="B8" s="17" t="n">
        <v>3564</v>
      </c>
      <c r="C8" s="18">
        <f>(3168.0/B8*100)</f>
        <v/>
      </c>
      <c r="D8" s="19" t="n">
        <v>396</v>
      </c>
      <c r="E8" s="18" t="n">
        <v>10.83138406</v>
      </c>
      <c r="F8" s="20" t="n">
        <v>1.84919712</v>
      </c>
      <c r="G8" s="18" t="n">
        <v>89.0785929</v>
      </c>
      <c r="H8" s="20" t="n">
        <v>1.86105192</v>
      </c>
      <c r="I8" s="18" t="s">
        <v>567</v>
      </c>
      <c r="J8" s="20" t="s">
        <v>567</v>
      </c>
      <c r="K8" s="18" t="n">
        <v>0</v>
      </c>
      <c r="L8" s="20" t="n">
        <v>0</v>
      </c>
      <c r="M8" s="18" t="n">
        <v>0</v>
      </c>
      <c r="N8" s="20" t="n">
        <v>0</v>
      </c>
      <c r="O8" s="18" t="n">
        <v>0</v>
      </c>
      <c r="P8" s="20" t="n">
        <v>0</v>
      </c>
      <c r="Q8" s="18" t="n">
        <v>0.09002303</v>
      </c>
      <c r="R8" s="20" t="n">
        <v>0.09533302</v>
      </c>
    </row>
    <row r="9" spans="1:18">
      <c r="A9" s="15" t="s">
        <v>569</v>
      </c>
      <c r="B9" s="17" t="n">
        <v>4899</v>
      </c>
      <c r="C9" s="18">
        <f>(4207.0/B9*100)</f>
        <v/>
      </c>
      <c r="D9" s="19" t="n">
        <v>692</v>
      </c>
      <c r="E9" s="18" t="n">
        <v>14.06728971</v>
      </c>
      <c r="F9" s="20" t="n">
        <v>1.59413874</v>
      </c>
      <c r="G9" s="18" t="n">
        <v>85.45538128</v>
      </c>
      <c r="H9" s="20" t="n">
        <v>1.61224326</v>
      </c>
      <c r="I9" s="18" t="s">
        <v>567</v>
      </c>
      <c r="J9" s="20" t="s">
        <v>567</v>
      </c>
      <c r="K9" s="18" t="n">
        <v>0</v>
      </c>
      <c r="L9" s="20" t="n">
        <v>0</v>
      </c>
      <c r="M9" s="18" t="n">
        <v>0</v>
      </c>
      <c r="N9" s="20" t="n">
        <v>0</v>
      </c>
      <c r="O9" s="18" t="n">
        <v>0</v>
      </c>
      <c r="P9" s="20" t="n">
        <v>0</v>
      </c>
      <c r="Q9" s="18" t="n">
        <v>0.47732901</v>
      </c>
      <c r="R9" s="20" t="n">
        <v>0.27570207</v>
      </c>
    </row>
    <row r="10" spans="1:18">
      <c r="A10" s="15" t="s">
        <v>570</v>
      </c>
      <c r="B10" s="17" t="n">
        <v>10036</v>
      </c>
      <c r="C10" s="18">
        <f>(8873.0/B10*100)</f>
        <v/>
      </c>
      <c r="D10" s="19" t="n">
        <v>1163</v>
      </c>
      <c r="E10" s="18" t="n">
        <v>7.95087702</v>
      </c>
      <c r="F10" s="20" t="n">
        <v>1.26671104</v>
      </c>
      <c r="G10" s="18" t="n">
        <v>91.10523277</v>
      </c>
      <c r="H10" s="20" t="n">
        <v>1.32975342</v>
      </c>
      <c r="I10" s="18" t="s">
        <v>567</v>
      </c>
      <c r="J10" s="20" t="s">
        <v>567</v>
      </c>
      <c r="K10" s="18" t="n">
        <v>0.3933149</v>
      </c>
      <c r="L10" s="20" t="n">
        <v>0.25448608</v>
      </c>
      <c r="M10" s="18" t="n">
        <v>0</v>
      </c>
      <c r="N10" s="20" t="n">
        <v>0</v>
      </c>
      <c r="O10" s="18" t="n">
        <v>0</v>
      </c>
      <c r="P10" s="20" t="n">
        <v>0</v>
      </c>
      <c r="Q10" s="18" t="n">
        <v>0.55057532</v>
      </c>
      <c r="R10" s="20" t="n">
        <v>0.45231172</v>
      </c>
    </row>
    <row r="11" spans="1:18">
      <c r="A11" s="15" t="s">
        <v>571</v>
      </c>
      <c r="B11" s="17" t="n">
        <v>3553</v>
      </c>
      <c r="C11" s="18">
        <f>(3166.0/B11*100)</f>
        <v/>
      </c>
      <c r="D11" s="19" t="n">
        <v>387</v>
      </c>
      <c r="E11" s="18" t="n">
        <v>18.00226201</v>
      </c>
      <c r="F11" s="20" t="n">
        <v>2.71318163</v>
      </c>
      <c r="G11" s="18" t="n">
        <v>80.32812296</v>
      </c>
      <c r="H11" s="20" t="n">
        <v>2.7235177</v>
      </c>
      <c r="I11" s="18" t="s">
        <v>567</v>
      </c>
      <c r="J11" s="20" t="s">
        <v>567</v>
      </c>
      <c r="K11" s="18" t="n">
        <v>0.56779381</v>
      </c>
      <c r="L11" s="20" t="n">
        <v>0.37477925</v>
      </c>
      <c r="M11" s="18" t="n">
        <v>0</v>
      </c>
      <c r="N11" s="20" t="n">
        <v>0</v>
      </c>
      <c r="O11" s="18" t="n">
        <v>0</v>
      </c>
      <c r="P11" s="20" t="n">
        <v>0</v>
      </c>
      <c r="Q11" s="18" t="n">
        <v>1.10182122</v>
      </c>
      <c r="R11" s="20" t="n">
        <v>0.63859884</v>
      </c>
    </row>
    <row r="12" spans="1:18">
      <c r="A12" s="15" t="s">
        <v>572</v>
      </c>
      <c r="B12" s="17" t="n">
        <v>3472</v>
      </c>
      <c r="C12" s="18">
        <f>(3026.0/B12*100)</f>
        <v/>
      </c>
      <c r="D12" s="19" t="n">
        <v>446</v>
      </c>
      <c r="E12" s="18" t="n">
        <v>10.14983427</v>
      </c>
      <c r="F12" s="20" t="n">
        <v>1.93080069</v>
      </c>
      <c r="G12" s="18" t="n">
        <v>88.87855795999999</v>
      </c>
      <c r="H12" s="20" t="n">
        <v>1.96732131</v>
      </c>
      <c r="I12" s="18" t="s">
        <v>567</v>
      </c>
      <c r="J12" s="20" t="s">
        <v>567</v>
      </c>
      <c r="K12" s="18" t="n">
        <v>0.19001881</v>
      </c>
      <c r="L12" s="20" t="n">
        <v>0.18747485</v>
      </c>
      <c r="M12" s="18" t="n">
        <v>0</v>
      </c>
      <c r="N12" s="20" t="n">
        <v>0</v>
      </c>
      <c r="O12" s="18" t="n">
        <v>0</v>
      </c>
      <c r="P12" s="20" t="n">
        <v>0</v>
      </c>
      <c r="Q12" s="18" t="n">
        <v>0.78158897</v>
      </c>
      <c r="R12" s="20" t="n">
        <v>0.63035526</v>
      </c>
    </row>
    <row r="13" spans="1:18">
      <c r="A13" s="15" t="s">
        <v>573</v>
      </c>
      <c r="B13" s="17" t="n">
        <v>3559</v>
      </c>
      <c r="C13" s="18">
        <f>(2984.0/B13*100)</f>
        <v/>
      </c>
      <c r="D13" s="19" t="n">
        <v>575</v>
      </c>
      <c r="E13" s="18" t="n">
        <v>13.02063408</v>
      </c>
      <c r="F13" s="20" t="n">
        <v>1.80786456</v>
      </c>
      <c r="G13" s="18" t="n">
        <v>86.68206191</v>
      </c>
      <c r="H13" s="20" t="n">
        <v>1.82526125</v>
      </c>
      <c r="I13" s="18" t="s">
        <v>567</v>
      </c>
      <c r="J13" s="20" t="s">
        <v>567</v>
      </c>
      <c r="K13" s="18" t="n">
        <v>0.05781102</v>
      </c>
      <c r="L13" s="20" t="n">
        <v>0.05842233</v>
      </c>
      <c r="M13" s="18" t="n">
        <v>0</v>
      </c>
      <c r="N13" s="20" t="n">
        <v>0</v>
      </c>
      <c r="O13" s="18" t="n">
        <v>0</v>
      </c>
      <c r="P13" s="20" t="n">
        <v>0</v>
      </c>
      <c r="Q13" s="18" t="n">
        <v>0.23949299</v>
      </c>
      <c r="R13" s="20" t="n">
        <v>0.21151434</v>
      </c>
    </row>
    <row r="14" spans="1:18">
      <c r="A14" s="15" t="s">
        <v>574</v>
      </c>
      <c r="B14" s="17" t="n">
        <v>2799</v>
      </c>
      <c r="C14" s="18">
        <f>(2485.0/B14*100)</f>
        <v/>
      </c>
      <c r="D14" s="19" t="n">
        <v>314</v>
      </c>
      <c r="E14" s="18" t="n">
        <v>5.42218133</v>
      </c>
      <c r="F14" s="20" t="n">
        <v>1.487367</v>
      </c>
      <c r="G14" s="18" t="n">
        <v>94.57781867</v>
      </c>
      <c r="H14" s="20" t="n">
        <v>1.487367</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(2701.0/B15*100)</f>
        <v/>
      </c>
      <c r="D15" s="19" t="n">
        <v>318</v>
      </c>
      <c r="E15" s="18" t="n">
        <v>11.26521138</v>
      </c>
      <c r="F15" s="20" t="n">
        <v>1.83881307</v>
      </c>
      <c r="G15" s="18" t="n">
        <v>88.73478862</v>
      </c>
      <c r="H15" s="20" t="n">
        <v>1.83881307</v>
      </c>
      <c r="I15" s="18" t="s">
        <v>567</v>
      </c>
      <c r="J15" s="20" t="s">
        <v>567</v>
      </c>
      <c r="K15" s="18" t="n">
        <v>0</v>
      </c>
      <c r="L15" s="20" t="n">
        <v>0</v>
      </c>
      <c r="M15" s="18" t="n">
        <v>0</v>
      </c>
      <c r="N15" s="20" t="n">
        <v>0</v>
      </c>
      <c r="O15" s="18" t="n">
        <v>0</v>
      </c>
      <c r="P15" s="20" t="n">
        <v>0</v>
      </c>
      <c r="Q15" s="18" t="n">
        <v>0</v>
      </c>
      <c r="R15" s="20" t="n">
        <v>0</v>
      </c>
    </row>
    <row r="16" spans="1:18">
      <c r="A16" s="15" t="s">
        <v>576</v>
      </c>
      <c r="B16" s="17" t="n">
        <v>2997</v>
      </c>
      <c r="C16" s="18">
        <f>(2672.0/B16*100)</f>
        <v/>
      </c>
      <c r="D16" s="19" t="n">
        <v>325</v>
      </c>
      <c r="E16" s="18" t="n">
        <v>14.59908126</v>
      </c>
      <c r="F16" s="20" t="n">
        <v>2.07263097</v>
      </c>
      <c r="G16" s="18" t="n">
        <v>83.03216839</v>
      </c>
      <c r="H16" s="20" t="n">
        <v>2.42466417</v>
      </c>
      <c r="I16" s="18" t="s">
        <v>567</v>
      </c>
      <c r="J16" s="20" t="s">
        <v>567</v>
      </c>
      <c r="K16" s="18" t="n">
        <v>0.32908077</v>
      </c>
      <c r="L16" s="20" t="n">
        <v>0.24602152</v>
      </c>
      <c r="M16" s="18" t="n">
        <v>0</v>
      </c>
      <c r="N16" s="20" t="n">
        <v>0</v>
      </c>
      <c r="O16" s="18" t="n">
        <v>0</v>
      </c>
      <c r="P16" s="20" t="n">
        <v>0</v>
      </c>
      <c r="Q16" s="18" t="n">
        <v>2.03966958</v>
      </c>
      <c r="R16" s="20" t="n">
        <v>1.09700587</v>
      </c>
    </row>
    <row r="17" spans="1:18">
      <c r="A17" s="15" t="s">
        <v>577</v>
      </c>
      <c r="B17" s="17" t="n">
        <v>3307</v>
      </c>
      <c r="C17" s="18">
        <f>(2886.0/B17*100)</f>
        <v/>
      </c>
      <c r="D17" s="19" t="n">
        <v>421</v>
      </c>
      <c r="E17" s="18" t="n">
        <v>10.77381747</v>
      </c>
      <c r="F17" s="20" t="n">
        <v>1.22548098</v>
      </c>
      <c r="G17" s="18" t="n">
        <v>88.93044209999999</v>
      </c>
      <c r="H17" s="20" t="n">
        <v>1.16205806</v>
      </c>
      <c r="I17" s="18" t="s">
        <v>567</v>
      </c>
      <c r="J17" s="20" t="s">
        <v>567</v>
      </c>
      <c r="K17" s="18" t="n">
        <v>0.29574043</v>
      </c>
      <c r="L17" s="20" t="n">
        <v>0.2909744</v>
      </c>
      <c r="M17" s="18" t="n">
        <v>0</v>
      </c>
      <c r="N17" s="20" t="n">
        <v>0</v>
      </c>
      <c r="O17" s="18" t="n">
        <v>0</v>
      </c>
      <c r="P17" s="20" t="n">
        <v>0</v>
      </c>
      <c r="Q17" s="18" t="n">
        <v>0</v>
      </c>
      <c r="R17" s="20" t="n">
        <v>0</v>
      </c>
    </row>
    <row r="18" spans="1:18">
      <c r="A18" s="15" t="s">
        <v>578</v>
      </c>
      <c r="B18" s="17" t="n">
        <v>2826</v>
      </c>
      <c r="C18" s="18">
        <f>(2495.0/B18*100)</f>
        <v/>
      </c>
      <c r="D18" s="19" t="n">
        <v>331</v>
      </c>
      <c r="E18" s="18" t="n">
        <v>14.52745773</v>
      </c>
      <c r="F18" s="20" t="n">
        <v>2.15408689</v>
      </c>
      <c r="G18" s="18" t="n">
        <v>84.87433344999999</v>
      </c>
      <c r="H18" s="20" t="n">
        <v>2.18449662</v>
      </c>
      <c r="I18" s="18" t="s">
        <v>567</v>
      </c>
      <c r="J18" s="20" t="s">
        <v>567</v>
      </c>
      <c r="K18" s="18" t="n">
        <v>0</v>
      </c>
      <c r="L18" s="20" t="n">
        <v>0</v>
      </c>
      <c r="M18" s="18" t="n">
        <v>0</v>
      </c>
      <c r="N18" s="20" t="n">
        <v>0</v>
      </c>
      <c r="O18" s="18" t="n">
        <v>0</v>
      </c>
      <c r="P18" s="20" t="n">
        <v>0</v>
      </c>
      <c r="Q18" s="18" t="n">
        <v>0.59820882</v>
      </c>
      <c r="R18" s="20" t="n">
        <v>0.38776153</v>
      </c>
    </row>
    <row r="19" spans="1:18">
      <c r="A19" s="15" t="s">
        <v>579</v>
      </c>
      <c r="B19" s="17" t="n">
        <v>2808</v>
      </c>
      <c r="C19" s="18">
        <f>(2506.0/B19*100)</f>
        <v/>
      </c>
      <c r="D19" s="19" t="n">
        <v>302</v>
      </c>
      <c r="E19" s="18" t="n">
        <v>16.51847289</v>
      </c>
      <c r="F19" s="20" t="n">
        <v>2.44449567</v>
      </c>
      <c r="G19" s="18" t="n">
        <v>83.48152711</v>
      </c>
      <c r="H19" s="20" t="n">
        <v>2.44449567</v>
      </c>
      <c r="I19" s="18" t="s">
        <v>567</v>
      </c>
      <c r="J19" s="20" t="s">
        <v>567</v>
      </c>
      <c r="K19" s="18" t="n">
        <v>0</v>
      </c>
      <c r="L19" s="20" t="n">
        <v>0</v>
      </c>
      <c r="M19" s="18" t="n">
        <v>0</v>
      </c>
      <c r="N19" s="20" t="n">
        <v>0</v>
      </c>
      <c r="O19" s="18" t="n">
        <v>0</v>
      </c>
      <c r="P19" s="20" t="n">
        <v>0</v>
      </c>
      <c r="Q19" s="18" t="n">
        <v>0</v>
      </c>
      <c r="R19" s="20" t="n">
        <v>0</v>
      </c>
    </row>
    <row r="20" spans="1:18">
      <c r="A20" s="15" t="s">
        <v>580</v>
      </c>
      <c r="B20" s="17" t="n">
        <v>1630</v>
      </c>
      <c r="C20" s="18">
        <f>(1452.0/B20*100)</f>
        <v/>
      </c>
      <c r="D20" s="19" t="n">
        <v>178</v>
      </c>
      <c r="E20" s="18" t="n">
        <v>7.96581013</v>
      </c>
      <c r="F20" s="20" t="n">
        <v>2.26009383</v>
      </c>
      <c r="G20" s="18" t="n">
        <v>91.4783874</v>
      </c>
      <c r="H20" s="20" t="n">
        <v>2.3587154</v>
      </c>
      <c r="I20" s="18" t="s">
        <v>567</v>
      </c>
      <c r="J20" s="20" t="s">
        <v>567</v>
      </c>
      <c r="K20" s="18" t="n">
        <v>0.55580247</v>
      </c>
      <c r="L20" s="20" t="n">
        <v>0.56437564</v>
      </c>
      <c r="M20" s="18" t="n">
        <v>0</v>
      </c>
      <c r="N20" s="20" t="n">
        <v>0</v>
      </c>
      <c r="O20" s="18" t="n">
        <v>0</v>
      </c>
      <c r="P20" s="20" t="n">
        <v>0</v>
      </c>
      <c r="Q20" s="18" t="n">
        <v>0</v>
      </c>
      <c r="R20" s="20" t="n">
        <v>0</v>
      </c>
    </row>
    <row r="21" spans="1:18">
      <c r="A21" s="15" t="s">
        <v>581</v>
      </c>
      <c r="B21" s="17" t="n">
        <v>2908</v>
      </c>
      <c r="C21" s="18">
        <f>(2588.0/B21*100)</f>
        <v/>
      </c>
      <c r="D21" s="19" t="n">
        <v>320</v>
      </c>
      <c r="E21" s="18" t="n">
        <v>6.65952325</v>
      </c>
      <c r="F21" s="20" t="n">
        <v>1.38941176</v>
      </c>
      <c r="G21" s="18" t="n">
        <v>92.96161743</v>
      </c>
      <c r="H21" s="20" t="n">
        <v>1.43204541</v>
      </c>
      <c r="I21" s="18" t="s">
        <v>567</v>
      </c>
      <c r="J21" s="20" t="s">
        <v>567</v>
      </c>
      <c r="K21" s="18" t="n">
        <v>0</v>
      </c>
      <c r="L21" s="20" t="n">
        <v>0</v>
      </c>
      <c r="M21" s="18" t="n">
        <v>0</v>
      </c>
      <c r="N21" s="20" t="n">
        <v>0</v>
      </c>
      <c r="O21" s="18" t="n">
        <v>0</v>
      </c>
      <c r="P21" s="20" t="n">
        <v>0</v>
      </c>
      <c r="Q21" s="18" t="n">
        <v>0.37885932</v>
      </c>
      <c r="R21" s="20" t="n">
        <v>0.38921206</v>
      </c>
    </row>
    <row r="22" spans="1:18">
      <c r="A22" s="15" t="s">
        <v>582</v>
      </c>
      <c r="B22" s="17" t="n">
        <v>2931</v>
      </c>
      <c r="C22" s="18">
        <f>(2607.0/B22*100)</f>
        <v/>
      </c>
      <c r="D22" s="19" t="n">
        <v>324</v>
      </c>
      <c r="E22" s="18" t="n">
        <v>7.79796991</v>
      </c>
      <c r="F22" s="20" t="n">
        <v>1.54763615</v>
      </c>
      <c r="G22" s="18" t="n">
        <v>90.57187453</v>
      </c>
      <c r="H22" s="20" t="n">
        <v>1.64014484</v>
      </c>
      <c r="I22" s="18" t="s">
        <v>567</v>
      </c>
      <c r="J22" s="20" t="s">
        <v>567</v>
      </c>
      <c r="K22" s="18" t="n">
        <v>0.5586657900000001</v>
      </c>
      <c r="L22" s="20" t="n">
        <v>0.39095398</v>
      </c>
      <c r="M22" s="18" t="n">
        <v>0</v>
      </c>
      <c r="N22" s="20" t="n">
        <v>0</v>
      </c>
      <c r="O22" s="18" t="n">
        <v>0</v>
      </c>
      <c r="P22" s="20" t="n">
        <v>0</v>
      </c>
      <c r="Q22" s="18" t="n">
        <v>1.07148978</v>
      </c>
      <c r="R22" s="20" t="n">
        <v>0.37888035</v>
      </c>
    </row>
    <row r="23" spans="1:18">
      <c r="A23" s="15" t="s">
        <v>583</v>
      </c>
      <c r="B23" s="17" t="n">
        <v>5791</v>
      </c>
      <c r="C23" s="18">
        <f>(5181.0/B23*100)</f>
        <v/>
      </c>
      <c r="D23" s="19" t="n">
        <v>610</v>
      </c>
      <c r="E23" s="18" t="n">
        <v>12.04689495</v>
      </c>
      <c r="F23" s="20" t="n">
        <v>1.88836184</v>
      </c>
      <c r="G23" s="18" t="n">
        <v>86.88444296</v>
      </c>
      <c r="H23" s="20" t="n">
        <v>1.94432625</v>
      </c>
      <c r="I23" s="18" t="s">
        <v>567</v>
      </c>
      <c r="J23" s="20" t="s">
        <v>567</v>
      </c>
      <c r="K23" s="18" t="n">
        <v>0.14691323</v>
      </c>
      <c r="L23" s="20" t="n">
        <v>0.13376002</v>
      </c>
      <c r="M23" s="18" t="n">
        <v>0</v>
      </c>
      <c r="N23" s="20" t="n">
        <v>0</v>
      </c>
      <c r="O23" s="18" t="n">
        <v>0</v>
      </c>
      <c r="P23" s="20" t="n">
        <v>0</v>
      </c>
      <c r="Q23" s="18" t="n">
        <v>0.92174886</v>
      </c>
      <c r="R23" s="20" t="n">
        <v>0.50113691</v>
      </c>
    </row>
    <row r="24" spans="1:18">
      <c r="A24" s="15" t="s">
        <v>584</v>
      </c>
      <c r="B24" s="17" t="n">
        <v>3338</v>
      </c>
      <c r="C24" s="18">
        <f>(2970.0/B24*100)</f>
        <v/>
      </c>
      <c r="D24" s="19" t="n">
        <v>368</v>
      </c>
      <c r="E24" s="18" t="n">
        <v>3.3487443</v>
      </c>
      <c r="F24" s="20" t="n">
        <v>0.89340172</v>
      </c>
      <c r="G24" s="18" t="n">
        <v>96.35909322000001</v>
      </c>
      <c r="H24" s="20" t="n">
        <v>0.93126684</v>
      </c>
      <c r="I24" s="18" t="s">
        <v>567</v>
      </c>
      <c r="J24" s="20" t="s">
        <v>567</v>
      </c>
      <c r="K24" s="18" t="n">
        <v>0</v>
      </c>
      <c r="L24" s="20" t="n">
        <v>0</v>
      </c>
      <c r="M24" s="18" t="n">
        <v>0</v>
      </c>
      <c r="N24" s="20" t="n">
        <v>0</v>
      </c>
      <c r="O24" s="18" t="n">
        <v>0</v>
      </c>
      <c r="P24" s="20" t="n">
        <v>0</v>
      </c>
      <c r="Q24" s="18" t="n">
        <v>0.29216248</v>
      </c>
      <c r="R24" s="20" t="n">
        <v>0.28587666</v>
      </c>
    </row>
    <row r="25" spans="1:18">
      <c r="A25" s="15" t="s">
        <v>585</v>
      </c>
      <c r="B25" s="17" t="n">
        <v>2912</v>
      </c>
      <c r="C25" s="18">
        <f>(2601.0/B25*100)</f>
        <v/>
      </c>
      <c r="D25" s="19" t="n">
        <v>311</v>
      </c>
      <c r="E25" s="18" t="n">
        <v>7.27520374</v>
      </c>
      <c r="F25" s="20" t="n">
        <v>1.58107866</v>
      </c>
      <c r="G25" s="18" t="n">
        <v>92.10249414</v>
      </c>
      <c r="H25" s="20" t="n">
        <v>1.74776463</v>
      </c>
      <c r="I25" s="18" t="s">
        <v>567</v>
      </c>
      <c r="J25" s="20" t="s">
        <v>567</v>
      </c>
      <c r="K25" s="18" t="n">
        <v>0.62230212</v>
      </c>
      <c r="L25" s="20" t="n">
        <v>0.45412028</v>
      </c>
      <c r="M25" s="18" t="n">
        <v>0</v>
      </c>
      <c r="N25" s="20" t="n">
        <v>0</v>
      </c>
      <c r="O25" s="18" t="n">
        <v>0</v>
      </c>
      <c r="P25" s="20" t="n">
        <v>0</v>
      </c>
      <c r="Q25" s="18" t="n">
        <v>0</v>
      </c>
      <c r="R25" s="20" t="n">
        <v>0</v>
      </c>
    </row>
    <row r="26" spans="1:18">
      <c r="A26" s="15" t="s">
        <v>586</v>
      </c>
      <c r="B26" s="17" t="n">
        <v>2450</v>
      </c>
      <c r="C26" s="18">
        <f>(2172.0/B26*100)</f>
        <v/>
      </c>
      <c r="D26" s="19" t="n">
        <v>278</v>
      </c>
      <c r="E26" s="18" t="n">
        <v>8.085696690000001</v>
      </c>
      <c r="F26" s="20" t="n">
        <v>1.64477516</v>
      </c>
      <c r="G26" s="18" t="n">
        <v>91.50590061</v>
      </c>
      <c r="H26" s="20" t="n">
        <v>1.71552851</v>
      </c>
      <c r="I26" s="18" t="s">
        <v>567</v>
      </c>
      <c r="J26" s="20" t="s">
        <v>567</v>
      </c>
      <c r="K26" s="18" t="n">
        <v>0</v>
      </c>
      <c r="L26" s="20" t="n">
        <v>0</v>
      </c>
      <c r="M26" s="18" t="n">
        <v>0</v>
      </c>
      <c r="N26" s="20" t="n">
        <v>0</v>
      </c>
      <c r="O26" s="18" t="n">
        <v>0</v>
      </c>
      <c r="P26" s="20" t="n">
        <v>0</v>
      </c>
      <c r="Q26" s="18" t="n">
        <v>0.4084027</v>
      </c>
      <c r="R26" s="20" t="n">
        <v>0.41635017</v>
      </c>
    </row>
    <row r="27" spans="1:18">
      <c r="A27" s="15" t="s">
        <v>587</v>
      </c>
      <c r="B27" s="17" t="n">
        <v>2616</v>
      </c>
      <c r="C27" s="18">
        <f>(2341.0/B27*100)</f>
        <v/>
      </c>
      <c r="D27" s="19" t="n">
        <v>275</v>
      </c>
      <c r="E27" s="18" t="n">
        <v>14.31871767</v>
      </c>
      <c r="F27" s="20" t="n">
        <v>2.08622213</v>
      </c>
      <c r="G27" s="18" t="n">
        <v>84.93634255000001</v>
      </c>
      <c r="H27" s="20" t="n">
        <v>2.03993595</v>
      </c>
      <c r="I27" s="18" t="s">
        <v>567</v>
      </c>
      <c r="J27" s="20" t="s">
        <v>567</v>
      </c>
      <c r="K27" s="18" t="n">
        <v>0.38518744</v>
      </c>
      <c r="L27" s="20" t="n">
        <v>0.3839198</v>
      </c>
      <c r="M27" s="18" t="n">
        <v>0</v>
      </c>
      <c r="N27" s="20" t="n">
        <v>0</v>
      </c>
      <c r="O27" s="18" t="n">
        <v>0</v>
      </c>
      <c r="P27" s="20" t="n">
        <v>0</v>
      </c>
      <c r="Q27" s="18" t="n">
        <v>0.35975233</v>
      </c>
      <c r="R27" s="20" t="n">
        <v>0.35706374</v>
      </c>
    </row>
    <row r="28" spans="1:18">
      <c r="A28" s="15" t="s">
        <v>588</v>
      </c>
      <c r="B28" s="17" t="n">
        <v>3765</v>
      </c>
      <c r="C28" s="18">
        <f>(3369.0/B28*100)</f>
        <v/>
      </c>
      <c r="D28" s="19" t="n">
        <v>396</v>
      </c>
      <c r="E28" s="18" t="n">
        <v>16.80393579</v>
      </c>
      <c r="F28" s="20" t="n">
        <v>2.10088242</v>
      </c>
      <c r="G28" s="18" t="n">
        <v>83.19606421</v>
      </c>
      <c r="H28" s="20" t="n">
        <v>2.10088242</v>
      </c>
      <c r="I28" s="18" t="s">
        <v>567</v>
      </c>
      <c r="J28" s="20" t="s">
        <v>567</v>
      </c>
      <c r="K28" s="18" t="n">
        <v>0</v>
      </c>
      <c r="L28" s="20" t="n">
        <v>0</v>
      </c>
      <c r="M28" s="18" t="n">
        <v>0</v>
      </c>
      <c r="N28" s="20" t="n">
        <v>0</v>
      </c>
      <c r="O28" s="18" t="n">
        <v>0</v>
      </c>
      <c r="P28" s="20" t="n">
        <v>0</v>
      </c>
      <c r="Q28" s="18" t="n">
        <v>0</v>
      </c>
      <c r="R28" s="20" t="n">
        <v>0</v>
      </c>
    </row>
    <row r="29" spans="1:18">
      <c r="A29" s="15" t="s">
        <v>589</v>
      </c>
      <c r="B29" s="17" t="n">
        <v>2685</v>
      </c>
      <c r="C29" s="18">
        <f>(2304.0/B29*100)</f>
        <v/>
      </c>
      <c r="D29" s="19" t="n">
        <v>381</v>
      </c>
      <c r="E29" s="18" t="n">
        <v>11.77719672</v>
      </c>
      <c r="F29" s="20" t="n">
        <v>1.49441368</v>
      </c>
      <c r="G29" s="18" t="n">
        <v>87.9826985</v>
      </c>
      <c r="H29" s="20" t="n">
        <v>1.52407305</v>
      </c>
      <c r="I29" s="18" t="s">
        <v>567</v>
      </c>
      <c r="J29" s="20" t="s">
        <v>567</v>
      </c>
      <c r="K29" s="18" t="n">
        <v>0</v>
      </c>
      <c r="L29" s="20" t="n">
        <v>0</v>
      </c>
      <c r="M29" s="18" t="n">
        <v>0</v>
      </c>
      <c r="N29" s="20" t="n">
        <v>0</v>
      </c>
      <c r="O29" s="18" t="n">
        <v>0</v>
      </c>
      <c r="P29" s="20" t="n">
        <v>0</v>
      </c>
      <c r="Q29" s="18" t="n">
        <v>0.24010478</v>
      </c>
      <c r="R29" s="20" t="n">
        <v>0.22414902</v>
      </c>
    </row>
    <row r="30" spans="1:18">
      <c r="A30" s="15" t="s">
        <v>590</v>
      </c>
      <c r="B30" s="17" t="n">
        <v>2263</v>
      </c>
      <c r="C30" s="18">
        <f>(2031.0/B30*100)</f>
        <v/>
      </c>
      <c r="D30" s="19" t="n">
        <v>232</v>
      </c>
      <c r="E30" s="18" t="n">
        <v>8.200463729999999</v>
      </c>
      <c r="F30" s="20" t="n">
        <v>1.82264969</v>
      </c>
      <c r="G30" s="18" t="n">
        <v>90.69742984</v>
      </c>
      <c r="H30" s="20" t="n">
        <v>2.01950031</v>
      </c>
      <c r="I30" s="18" t="s">
        <v>567</v>
      </c>
      <c r="J30" s="20" t="s">
        <v>567</v>
      </c>
      <c r="K30" s="18" t="n">
        <v>0</v>
      </c>
      <c r="L30" s="20" t="n">
        <v>0</v>
      </c>
      <c r="M30" s="18" t="n">
        <v>0</v>
      </c>
      <c r="N30" s="20" t="n">
        <v>0</v>
      </c>
      <c r="O30" s="18" t="n">
        <v>0</v>
      </c>
      <c r="P30" s="20" t="n">
        <v>0</v>
      </c>
      <c r="Q30" s="18" t="n">
        <v>1.10210644</v>
      </c>
      <c r="R30" s="20" t="n">
        <v>0.8488321599999999</v>
      </c>
    </row>
    <row r="31" spans="1:18">
      <c r="A31" s="15" t="s">
        <v>591</v>
      </c>
      <c r="B31" s="17" t="n">
        <v>2750</v>
      </c>
      <c r="C31" s="18">
        <f>(2437.0/B31*100)</f>
        <v/>
      </c>
      <c r="D31" s="19" t="n">
        <v>313</v>
      </c>
      <c r="E31" s="18" t="n">
        <v>15.3633023</v>
      </c>
      <c r="F31" s="20" t="n">
        <v>2.016459</v>
      </c>
      <c r="G31" s="18" t="n">
        <v>84.36099892999999</v>
      </c>
      <c r="H31" s="20" t="n">
        <v>2.03208848</v>
      </c>
      <c r="I31" s="18" t="s">
        <v>567</v>
      </c>
      <c r="J31" s="20" t="s">
        <v>567</v>
      </c>
      <c r="K31" s="18" t="n">
        <v>0</v>
      </c>
      <c r="L31" s="20" t="n">
        <v>0</v>
      </c>
      <c r="M31" s="18" t="n">
        <v>0</v>
      </c>
      <c r="N31" s="20" t="n">
        <v>0</v>
      </c>
      <c r="O31" s="18" t="n">
        <v>0</v>
      </c>
      <c r="P31" s="20" t="n">
        <v>0</v>
      </c>
      <c r="Q31" s="18" t="n">
        <v>0.27569877</v>
      </c>
      <c r="R31" s="20" t="n">
        <v>0.27886164</v>
      </c>
    </row>
    <row r="32" spans="1:18">
      <c r="A32" s="15" t="s">
        <v>592</v>
      </c>
      <c r="B32" s="17" t="n">
        <v>2269</v>
      </c>
      <c r="C32" s="18">
        <f>(2003.0/B32*100)</f>
        <v/>
      </c>
      <c r="D32" s="19" t="n">
        <v>266</v>
      </c>
      <c r="E32" s="18" t="n">
        <v>8.65482729</v>
      </c>
      <c r="F32" s="20" t="n">
        <v>1.80005038</v>
      </c>
      <c r="G32" s="18" t="n">
        <v>91.03074952</v>
      </c>
      <c r="H32" s="20" t="n">
        <v>1.82426608</v>
      </c>
      <c r="I32" s="18" t="s">
        <v>567</v>
      </c>
      <c r="J32" s="20" t="s">
        <v>567</v>
      </c>
      <c r="K32" s="18" t="n">
        <v>0</v>
      </c>
      <c r="L32" s="20" t="n">
        <v>0</v>
      </c>
      <c r="M32" s="18" t="n">
        <v>0</v>
      </c>
      <c r="N32" s="20" t="n">
        <v>0</v>
      </c>
      <c r="O32" s="18" t="n">
        <v>0</v>
      </c>
      <c r="P32" s="20" t="n">
        <v>0</v>
      </c>
      <c r="Q32" s="18" t="n">
        <v>0.31442318</v>
      </c>
      <c r="R32" s="20" t="n">
        <v>0.32903121</v>
      </c>
    </row>
    <row r="33" spans="1:18">
      <c r="A33" s="15" t="s">
        <v>593</v>
      </c>
      <c r="B33" s="17" t="n">
        <v>3674</v>
      </c>
      <c r="C33" s="18">
        <f>(3249.0/B33*100)</f>
        <v/>
      </c>
      <c r="D33" s="19" t="n">
        <v>425</v>
      </c>
      <c r="E33" s="18" t="n">
        <v>12.83763821</v>
      </c>
      <c r="F33" s="20" t="n">
        <v>1.8118265</v>
      </c>
      <c r="G33" s="18" t="n">
        <v>86.51014495</v>
      </c>
      <c r="H33" s="20" t="n">
        <v>1.81731545</v>
      </c>
      <c r="I33" s="18" t="s">
        <v>567</v>
      </c>
      <c r="J33" s="20" t="s">
        <v>567</v>
      </c>
      <c r="K33" s="18" t="n">
        <v>0.35651114</v>
      </c>
      <c r="L33" s="20" t="n">
        <v>0.32039399</v>
      </c>
      <c r="M33" s="18" t="n">
        <v>0</v>
      </c>
      <c r="N33" s="20" t="n">
        <v>0</v>
      </c>
      <c r="O33" s="18" t="n">
        <v>0</v>
      </c>
      <c r="P33" s="20" t="n">
        <v>0</v>
      </c>
      <c r="Q33" s="18" t="n">
        <v>0.2957057</v>
      </c>
      <c r="R33" s="20" t="n">
        <v>0.2981564</v>
      </c>
    </row>
    <row r="34" spans="1:18">
      <c r="A34" s="15" t="s">
        <v>594</v>
      </c>
      <c r="B34" s="17" t="n">
        <v>3315</v>
      </c>
      <c r="C34" s="18">
        <f>(2881.0/B34*100)</f>
        <v/>
      </c>
      <c r="D34" s="19" t="n">
        <v>434</v>
      </c>
      <c r="E34" s="18" t="n">
        <v>17.19456548</v>
      </c>
      <c r="F34" s="20" t="n">
        <v>2.25916503</v>
      </c>
      <c r="G34" s="18" t="n">
        <v>82.24570552</v>
      </c>
      <c r="H34" s="20" t="n">
        <v>2.39476797</v>
      </c>
      <c r="I34" s="18" t="s">
        <v>567</v>
      </c>
      <c r="J34" s="20" t="s">
        <v>567</v>
      </c>
      <c r="K34" s="18" t="n">
        <v>0</v>
      </c>
      <c r="L34" s="20" t="n">
        <v>0</v>
      </c>
      <c r="M34" s="18" t="n">
        <v>0</v>
      </c>
      <c r="N34" s="20" t="n">
        <v>0</v>
      </c>
      <c r="O34" s="18" t="n">
        <v>0</v>
      </c>
      <c r="P34" s="20" t="n">
        <v>0</v>
      </c>
      <c r="Q34" s="18" t="n">
        <v>0.559729</v>
      </c>
      <c r="R34" s="20" t="n">
        <v>0.41996891</v>
      </c>
    </row>
    <row r="35" spans="1:18">
      <c r="A35" s="15" t="s">
        <v>595</v>
      </c>
      <c r="B35" s="17" t="n">
        <v>3505</v>
      </c>
      <c r="C35" s="18">
        <f>(3039.0/B35*100)</f>
        <v/>
      </c>
      <c r="D35" s="19" t="n">
        <v>466</v>
      </c>
      <c r="E35" s="18" t="n">
        <v>11.00416312</v>
      </c>
      <c r="F35" s="20" t="n">
        <v>1.74414873</v>
      </c>
      <c r="G35" s="18" t="n">
        <v>88.18129854</v>
      </c>
      <c r="H35" s="20" t="n">
        <v>1.75133775</v>
      </c>
      <c r="I35" s="18" t="s">
        <v>567</v>
      </c>
      <c r="J35" s="20" t="s">
        <v>567</v>
      </c>
      <c r="K35" s="18" t="n">
        <v>0</v>
      </c>
      <c r="L35" s="20" t="n">
        <v>0</v>
      </c>
      <c r="M35" s="18" t="n">
        <v>0</v>
      </c>
      <c r="N35" s="20" t="n">
        <v>0</v>
      </c>
      <c r="O35" s="18" t="n">
        <v>0</v>
      </c>
      <c r="P35" s="20" t="n">
        <v>0</v>
      </c>
      <c r="Q35" s="18" t="n">
        <v>0.81453834</v>
      </c>
      <c r="R35" s="20" t="n">
        <v>0.4902556</v>
      </c>
    </row>
    <row r="36" spans="1:18">
      <c r="A36" s="15" t="s">
        <v>596</v>
      </c>
      <c r="B36" s="17" t="n">
        <v>3332</v>
      </c>
      <c r="C36" s="18">
        <f>(2978.0/B36*100)</f>
        <v/>
      </c>
      <c r="D36" s="19" t="n">
        <v>354</v>
      </c>
      <c r="E36" s="18" t="n">
        <v>14.32071514</v>
      </c>
      <c r="F36" s="20" t="n">
        <v>1.75429747</v>
      </c>
      <c r="G36" s="18" t="n">
        <v>85.08162607</v>
      </c>
      <c r="H36" s="20" t="n">
        <v>1.82153234</v>
      </c>
      <c r="I36" s="18" t="s">
        <v>567</v>
      </c>
      <c r="J36" s="20" t="s">
        <v>567</v>
      </c>
      <c r="K36" s="18" t="n">
        <v>0.33126451</v>
      </c>
      <c r="L36" s="20" t="n">
        <v>0.24529965</v>
      </c>
      <c r="M36" s="18" t="n">
        <v>0</v>
      </c>
      <c r="N36" s="20" t="n">
        <v>0</v>
      </c>
      <c r="O36" s="18" t="n">
        <v>0</v>
      </c>
      <c r="P36" s="20" t="n">
        <v>0</v>
      </c>
      <c r="Q36" s="18" t="n">
        <v>0.26639427</v>
      </c>
      <c r="R36" s="20" t="n">
        <v>0.26886039</v>
      </c>
    </row>
    <row r="37" spans="1:18">
      <c r="A37" s="15" t="s">
        <v>597</v>
      </c>
      <c r="B37" s="17" t="n">
        <v>2727</v>
      </c>
      <c r="C37" s="18">
        <f>(2429.0/B37*100)</f>
        <v/>
      </c>
      <c r="D37" s="19" t="n">
        <v>298</v>
      </c>
      <c r="E37" s="18" t="n">
        <v>14.02311193</v>
      </c>
      <c r="F37" s="20" t="n">
        <v>1.99618571</v>
      </c>
      <c r="G37" s="18" t="n">
        <v>85.30506353</v>
      </c>
      <c r="H37" s="20" t="n">
        <v>2.05107598</v>
      </c>
      <c r="I37" s="18" t="s">
        <v>567</v>
      </c>
      <c r="J37" s="20" t="s">
        <v>567</v>
      </c>
      <c r="K37" s="18" t="n">
        <v>0</v>
      </c>
      <c r="L37" s="20" t="n">
        <v>0</v>
      </c>
      <c r="M37" s="18" t="n">
        <v>0</v>
      </c>
      <c r="N37" s="20" t="n">
        <v>0</v>
      </c>
      <c r="O37" s="18" t="n">
        <v>0</v>
      </c>
      <c r="P37" s="20" t="n">
        <v>0</v>
      </c>
      <c r="Q37" s="18" t="n">
        <v>0.67182455</v>
      </c>
      <c r="R37" s="20" t="n">
        <v>0.47980837</v>
      </c>
    </row>
    <row r="38" spans="1:18">
      <c r="A38" s="15" t="s">
        <v>598</v>
      </c>
      <c r="B38" s="17" t="n">
        <v>3053</v>
      </c>
      <c r="C38" s="18">
        <f>(2711.0/B38*100)</f>
        <v/>
      </c>
      <c r="D38" s="19" t="n">
        <v>342</v>
      </c>
      <c r="E38" s="18" t="n">
        <v>14.21542089</v>
      </c>
      <c r="F38" s="20" t="n">
        <v>2.74792669</v>
      </c>
      <c r="G38" s="18" t="n">
        <v>85.39196945</v>
      </c>
      <c r="H38" s="20" t="n">
        <v>2.76866383</v>
      </c>
      <c r="I38" s="18" t="s">
        <v>567</v>
      </c>
      <c r="J38" s="20" t="s">
        <v>567</v>
      </c>
      <c r="K38" s="18" t="n">
        <v>0.39260966</v>
      </c>
      <c r="L38" s="20" t="n">
        <v>0.32472303</v>
      </c>
      <c r="M38" s="18" t="n">
        <v>0</v>
      </c>
      <c r="N38" s="20" t="n">
        <v>0</v>
      </c>
      <c r="O38" s="18" t="n">
        <v>0</v>
      </c>
      <c r="P38" s="20" t="n">
        <v>0</v>
      </c>
      <c r="Q38" s="18" t="n">
        <v>0</v>
      </c>
      <c r="R38" s="20" t="n">
        <v>0</v>
      </c>
    </row>
    <row r="39" spans="1:18">
      <c r="A39" s="15" t="s">
        <v>599</v>
      </c>
      <c r="B39" s="17" t="n">
        <v>2957</v>
      </c>
      <c r="C39" s="18">
        <f>(2613.0/B39*100)</f>
        <v/>
      </c>
      <c r="D39" s="19" t="n">
        <v>344</v>
      </c>
      <c r="E39" s="18" t="n">
        <v>25.82143566</v>
      </c>
      <c r="F39" s="20" t="n">
        <v>2.68376535</v>
      </c>
      <c r="G39" s="18" t="n">
        <v>74.17856433999999</v>
      </c>
      <c r="H39" s="20" t="n">
        <v>2.68376535</v>
      </c>
      <c r="I39" s="18" t="s">
        <v>567</v>
      </c>
      <c r="J39" s="20" t="s">
        <v>567</v>
      </c>
      <c r="K39" s="18" t="n">
        <v>0</v>
      </c>
      <c r="L39" s="20" t="n">
        <v>0</v>
      </c>
      <c r="M39" s="18" t="n">
        <v>0</v>
      </c>
      <c r="N39" s="20" t="n">
        <v>0</v>
      </c>
      <c r="O39" s="18" t="n">
        <v>0</v>
      </c>
      <c r="P39" s="20" t="n">
        <v>0</v>
      </c>
      <c r="Q39" s="18" t="n">
        <v>0</v>
      </c>
      <c r="R39" s="20" t="n">
        <v>0</v>
      </c>
    </row>
    <row r="40" spans="1:18">
      <c r="A40" s="15" t="s">
        <v>600</v>
      </c>
      <c r="B40" s="17" t="n">
        <v>7235</v>
      </c>
      <c r="C40" s="18">
        <f>(6451.0/B40*100)</f>
        <v/>
      </c>
      <c r="D40" s="19" t="n">
        <v>784</v>
      </c>
      <c r="E40" s="18" t="n">
        <v>4.24907659</v>
      </c>
      <c r="F40" s="20" t="n">
        <v>0.87409698</v>
      </c>
      <c r="G40" s="18" t="n">
        <v>95.75092341</v>
      </c>
      <c r="H40" s="20" t="n">
        <v>0.87409698</v>
      </c>
      <c r="I40" s="18" t="s">
        <v>567</v>
      </c>
      <c r="J40" s="20" t="s">
        <v>567</v>
      </c>
      <c r="K40" s="18" t="n">
        <v>0</v>
      </c>
      <c r="L40" s="20" t="n">
        <v>0</v>
      </c>
      <c r="M40" s="18" t="n">
        <v>0</v>
      </c>
      <c r="N40" s="20" t="n">
        <v>0</v>
      </c>
      <c r="O40" s="18" t="n">
        <v>0</v>
      </c>
      <c r="P40" s="20" t="n">
        <v>0</v>
      </c>
      <c r="Q40" s="18" t="n">
        <v>0</v>
      </c>
      <c r="R40" s="20" t="n">
        <v>0</v>
      </c>
    </row>
    <row r="41" spans="1:18">
      <c r="A41" s="15" t="s">
        <v>601</v>
      </c>
      <c r="B41" s="17" t="n">
        <v>2858</v>
      </c>
      <c r="C41" s="18">
        <f>(2510.0/B41*100)</f>
        <v/>
      </c>
      <c r="D41" s="19" t="n">
        <v>348</v>
      </c>
      <c r="E41" s="18" t="n">
        <v>6.38182081</v>
      </c>
      <c r="F41" s="20" t="n">
        <v>1.38862665</v>
      </c>
      <c r="G41" s="18" t="n">
        <v>93.61817919000001</v>
      </c>
      <c r="H41" s="20" t="n">
        <v>1.38862665</v>
      </c>
      <c r="I41" s="18" t="s">
        <v>567</v>
      </c>
      <c r="J41" s="20" t="s">
        <v>567</v>
      </c>
      <c r="K41" s="18" t="n">
        <v>0</v>
      </c>
      <c r="L41" s="20" t="n">
        <v>0</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(9997.0/B46*100)</f>
        <v/>
      </c>
      <c r="D46" s="19" t="n">
        <v>1071</v>
      </c>
      <c r="E46" s="18" t="n">
        <v>20.37236434</v>
      </c>
      <c r="F46" s="20" t="n">
        <v>1.74996389</v>
      </c>
      <c r="G46" s="18" t="n">
        <v>78.23051009</v>
      </c>
      <c r="H46" s="20" t="n">
        <v>1.80616683</v>
      </c>
      <c r="I46" s="18" t="s">
        <v>567</v>
      </c>
      <c r="J46" s="20" t="s">
        <v>567</v>
      </c>
      <c r="K46" s="18" t="n">
        <v>0.4475201</v>
      </c>
      <c r="L46" s="20" t="n">
        <v>0.27362133</v>
      </c>
      <c r="M46" s="18" t="n">
        <v>0</v>
      </c>
      <c r="N46" s="20" t="n">
        <v>0</v>
      </c>
      <c r="O46" s="18" t="n">
        <v>0</v>
      </c>
      <c r="P46" s="20" t="n">
        <v>0</v>
      </c>
      <c r="Q46" s="18" t="n">
        <v>0.94960547</v>
      </c>
      <c r="R46" s="20" t="n">
        <v>0.39118281</v>
      </c>
    </row>
    <row r="47" spans="1:18">
      <c r="A47" s="15" t="s">
        <v>607</v>
      </c>
      <c r="B47" s="17" t="n">
        <v>3105</v>
      </c>
      <c r="C47" s="18">
        <f>(2752.0/B47*100)</f>
        <v/>
      </c>
      <c r="D47" s="19" t="n">
        <v>353</v>
      </c>
      <c r="E47" s="18" t="n">
        <v>12.78369994</v>
      </c>
      <c r="F47" s="20" t="n">
        <v>1.70565396</v>
      </c>
      <c r="G47" s="18" t="n">
        <v>85.81047307</v>
      </c>
      <c r="H47" s="20" t="n">
        <v>1.97957241</v>
      </c>
      <c r="I47" s="18" t="s">
        <v>567</v>
      </c>
      <c r="J47" s="20" t="s">
        <v>567</v>
      </c>
      <c r="K47" s="18" t="n">
        <v>0.289073</v>
      </c>
      <c r="L47" s="20" t="n">
        <v>0.40738287</v>
      </c>
      <c r="M47" s="18" t="n">
        <v>0</v>
      </c>
      <c r="N47" s="20" t="n">
        <v>0</v>
      </c>
      <c r="O47" s="18" t="n">
        <v>0</v>
      </c>
      <c r="P47" s="20" t="n">
        <v>0</v>
      </c>
      <c r="Q47" s="18" t="n">
        <v>1.11675399</v>
      </c>
      <c r="R47" s="20" t="n">
        <v>0.65141701</v>
      </c>
    </row>
    <row r="48" spans="1:18">
      <c r="A48" s="15" t="s">
        <v>608</v>
      </c>
      <c r="B48" s="17" t="n">
        <v>5159</v>
      </c>
      <c r="C48" s="18">
        <f>(4558.0/B48*100)</f>
        <v/>
      </c>
      <c r="D48" s="19" t="n">
        <v>601</v>
      </c>
      <c r="E48" s="18" t="n">
        <v>10.3950123</v>
      </c>
      <c r="F48" s="20" t="n">
        <v>1.87454665</v>
      </c>
      <c r="G48" s="18" t="n">
        <v>89.24598614999999</v>
      </c>
      <c r="H48" s="20" t="n">
        <v>1.8951266</v>
      </c>
      <c r="I48" s="18" t="s">
        <v>567</v>
      </c>
      <c r="J48" s="20" t="s">
        <v>567</v>
      </c>
      <c r="K48" s="18" t="n">
        <v>0.10637012</v>
      </c>
      <c r="L48" s="20" t="n">
        <v>0.07481314</v>
      </c>
      <c r="M48" s="18" t="n">
        <v>0</v>
      </c>
      <c r="N48" s="20" t="n">
        <v>0</v>
      </c>
      <c r="O48" s="18" t="n">
        <v>0</v>
      </c>
      <c r="P48" s="20" t="n">
        <v>0</v>
      </c>
      <c r="Q48" s="18" t="n">
        <v>0.25263143</v>
      </c>
      <c r="R48" s="20" t="n">
        <v>0.18091715</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(4970.0/B50*100)</f>
        <v/>
      </c>
      <c r="D50" s="19" t="n">
        <v>667</v>
      </c>
      <c r="E50" s="18" t="n">
        <v>15.70161209</v>
      </c>
      <c r="F50" s="20" t="n">
        <v>2.0837111</v>
      </c>
      <c r="G50" s="18" t="n">
        <v>82.69351745</v>
      </c>
      <c r="H50" s="20" t="n">
        <v>2.28376321</v>
      </c>
      <c r="I50" s="18" t="s">
        <v>567</v>
      </c>
      <c r="J50" s="20" t="s">
        <v>567</v>
      </c>
      <c r="K50" s="18" t="n">
        <v>1.20537426</v>
      </c>
      <c r="L50" s="20" t="n">
        <v>0.77935717</v>
      </c>
      <c r="M50" s="18" t="n">
        <v>0</v>
      </c>
      <c r="N50" s="20" t="n">
        <v>0</v>
      </c>
      <c r="O50" s="18" t="n">
        <v>0</v>
      </c>
      <c r="P50" s="20" t="n">
        <v>0</v>
      </c>
      <c r="Q50" s="18" t="n">
        <v>0.39949619</v>
      </c>
      <c r="R50" s="20" t="n">
        <v>0.27846225</v>
      </c>
    </row>
    <row r="51" spans="1:18">
      <c r="A51" s="15" t="s">
        <v>611</v>
      </c>
      <c r="B51" s="17" t="n">
        <v>3372</v>
      </c>
      <c r="C51" s="18">
        <f>(2686.0/B51*100)</f>
        <v/>
      </c>
      <c r="D51" s="19" t="n">
        <v>686</v>
      </c>
      <c r="E51" s="18" t="n">
        <v>14.79834165</v>
      </c>
      <c r="F51" s="20" t="n">
        <v>1.37069039</v>
      </c>
      <c r="G51" s="18" t="n">
        <v>84.69256054</v>
      </c>
      <c r="H51" s="20" t="n">
        <v>1.36386678</v>
      </c>
      <c r="I51" s="18" t="s">
        <v>567</v>
      </c>
      <c r="J51" s="20" t="s">
        <v>567</v>
      </c>
      <c r="K51" s="18" t="n">
        <v>0</v>
      </c>
      <c r="L51" s="20" t="n">
        <v>0</v>
      </c>
      <c r="M51" s="18" t="n">
        <v>0</v>
      </c>
      <c r="N51" s="20" t="n">
        <v>0</v>
      </c>
      <c r="O51" s="18" t="n">
        <v>0</v>
      </c>
      <c r="P51" s="20" t="n">
        <v>0</v>
      </c>
      <c r="Q51" s="18" t="n">
        <v>0.50909781</v>
      </c>
      <c r="R51" s="20" t="n">
        <v>0.32982708</v>
      </c>
    </row>
    <row r="52" spans="1:18">
      <c r="A52" s="15" t="s">
        <v>612</v>
      </c>
      <c r="B52" s="17" t="n">
        <v>2796</v>
      </c>
      <c r="C52" s="18">
        <f>(2477.0/B52*100)</f>
        <v/>
      </c>
      <c r="D52" s="19" t="n">
        <v>319</v>
      </c>
      <c r="E52" s="18" t="n">
        <v>12.23968065</v>
      </c>
      <c r="F52" s="20" t="n">
        <v>1.90327661</v>
      </c>
      <c r="G52" s="18" t="n">
        <v>87.47537815</v>
      </c>
      <c r="H52" s="20" t="n">
        <v>2.00525466</v>
      </c>
      <c r="I52" s="18" t="s">
        <v>567</v>
      </c>
      <c r="J52" s="20" t="s">
        <v>567</v>
      </c>
      <c r="K52" s="18" t="n">
        <v>0</v>
      </c>
      <c r="L52" s="20" t="n">
        <v>0</v>
      </c>
      <c r="M52" s="18" t="n">
        <v>0</v>
      </c>
      <c r="N52" s="20" t="n">
        <v>0</v>
      </c>
      <c r="O52" s="18" t="n">
        <v>0</v>
      </c>
      <c r="P52" s="20" t="n">
        <v>0</v>
      </c>
      <c r="Q52" s="18" t="n">
        <v>0.2849412</v>
      </c>
      <c r="R52" s="20" t="n">
        <v>0.28423778</v>
      </c>
    </row>
    <row r="53" spans="1:18">
      <c r="A53" s="15" t="s">
        <v>613</v>
      </c>
      <c r="B53" s="17" t="n">
        <v>2811</v>
      </c>
      <c r="C53" s="18">
        <f>(2499.0/B53*100)</f>
        <v/>
      </c>
      <c r="D53" s="19" t="n">
        <v>312</v>
      </c>
      <c r="E53" s="18" t="n">
        <v>17.13774404</v>
      </c>
      <c r="F53" s="20" t="n">
        <v>2.08511056</v>
      </c>
      <c r="G53" s="18" t="n">
        <v>81.61646192000001</v>
      </c>
      <c r="H53" s="20" t="n">
        <v>2.2842399</v>
      </c>
      <c r="I53" s="18" t="s">
        <v>567</v>
      </c>
      <c r="J53" s="20" t="s">
        <v>567</v>
      </c>
      <c r="K53" s="18" t="n">
        <v>0.59661664</v>
      </c>
      <c r="L53" s="20" t="n">
        <v>0.58995876</v>
      </c>
      <c r="M53" s="18" t="n">
        <v>0</v>
      </c>
      <c r="N53" s="20" t="n">
        <v>0</v>
      </c>
      <c r="O53" s="18" t="n">
        <v>0</v>
      </c>
      <c r="P53" s="20" t="n">
        <v>0</v>
      </c>
      <c r="Q53" s="18" t="n">
        <v>0.64917739</v>
      </c>
      <c r="R53" s="20" t="n">
        <v>0.47585686</v>
      </c>
    </row>
    <row r="54" spans="1:18">
      <c r="A54" s="15" t="s">
        <v>614</v>
      </c>
      <c r="B54" s="17" t="n">
        <v>2266</v>
      </c>
      <c r="C54" s="18">
        <f>(2013.0/B54*100)</f>
        <v/>
      </c>
      <c r="D54" s="19" t="n">
        <v>253</v>
      </c>
      <c r="E54" s="18" t="n">
        <v>19.55048475</v>
      </c>
      <c r="F54" s="20" t="n">
        <v>2.79644492</v>
      </c>
      <c r="G54" s="18" t="n">
        <v>69.71669684</v>
      </c>
      <c r="H54" s="20" t="n">
        <v>3.24301401</v>
      </c>
      <c r="I54" s="18" t="s">
        <v>567</v>
      </c>
      <c r="J54" s="20" t="s">
        <v>567</v>
      </c>
      <c r="K54" s="18" t="n">
        <v>8.395999399999999</v>
      </c>
      <c r="L54" s="20" t="n">
        <v>2.21933478</v>
      </c>
      <c r="M54" s="18" t="n">
        <v>0</v>
      </c>
      <c r="N54" s="20" t="n">
        <v>0</v>
      </c>
      <c r="O54" s="18" t="n">
        <v>0</v>
      </c>
      <c r="P54" s="20" t="n">
        <v>0</v>
      </c>
      <c r="Q54" s="18" t="n">
        <v>2.33681901</v>
      </c>
      <c r="R54" s="20" t="n">
        <v>1.23773009</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(2377.0/B56*100)</f>
        <v/>
      </c>
      <c r="D56" s="19" t="n">
        <v>307</v>
      </c>
      <c r="E56" s="18" t="n">
        <v>6.10130368</v>
      </c>
      <c r="F56" s="20" t="n">
        <v>1.72698023</v>
      </c>
      <c r="G56" s="18" t="n">
        <v>93.14356265000001</v>
      </c>
      <c r="H56" s="20" t="n">
        <v>1.77313415</v>
      </c>
      <c r="I56" s="18" t="s">
        <v>567</v>
      </c>
      <c r="J56" s="20" t="s">
        <v>567</v>
      </c>
      <c r="K56" s="18" t="n">
        <v>0.41404211</v>
      </c>
      <c r="L56" s="20" t="n">
        <v>0.35156798</v>
      </c>
      <c r="M56" s="18" t="n">
        <v>0</v>
      </c>
      <c r="N56" s="20" t="n">
        <v>0</v>
      </c>
      <c r="O56" s="18" t="n">
        <v>0</v>
      </c>
      <c r="P56" s="20" t="n">
        <v>0</v>
      </c>
      <c r="Q56" s="18" t="n">
        <v>0.34109156</v>
      </c>
      <c r="R56" s="20" t="n">
        <v>0.33626032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(2938.0/B61*100)</f>
        <v/>
      </c>
      <c r="D61" s="19" t="n">
        <v>386</v>
      </c>
      <c r="E61" s="18" t="n">
        <v>12.44990541</v>
      </c>
      <c r="F61" s="20" t="n">
        <v>1.74895963</v>
      </c>
      <c r="G61" s="18" t="n">
        <v>87.07199737000001</v>
      </c>
      <c r="H61" s="20" t="n">
        <v>1.79056244</v>
      </c>
      <c r="I61" s="18" t="s">
        <v>567</v>
      </c>
      <c r="J61" s="20" t="s">
        <v>567</v>
      </c>
      <c r="K61" s="18" t="n">
        <v>0</v>
      </c>
      <c r="L61" s="20" t="n">
        <v>0</v>
      </c>
      <c r="M61" s="18" t="n">
        <v>0</v>
      </c>
      <c r="N61" s="20" t="n">
        <v>0</v>
      </c>
      <c r="O61" s="18" t="n">
        <v>0</v>
      </c>
      <c r="P61" s="20" t="n">
        <v>0</v>
      </c>
      <c r="Q61" s="18" t="n">
        <v>0.47809722</v>
      </c>
      <c r="R61" s="20" t="n">
        <v>0.32631022</v>
      </c>
    </row>
    <row r="62" spans="1:18">
      <c r="A62" s="15" t="s">
        <v>622</v>
      </c>
      <c r="B62" s="17" t="n">
        <v>2246</v>
      </c>
      <c r="C62" s="18">
        <f>(1996.0/B62*100)</f>
        <v/>
      </c>
      <c r="D62" s="19" t="n">
        <v>250</v>
      </c>
      <c r="E62" s="18" t="n">
        <v>13.98463227</v>
      </c>
      <c r="F62" s="20" t="n">
        <v>2.23725096</v>
      </c>
      <c r="G62" s="18" t="n">
        <v>86.01536772999999</v>
      </c>
      <c r="H62" s="20" t="n">
        <v>2.23725096</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(2591.0/B66*100)</f>
        <v/>
      </c>
      <c r="D66" s="19" t="n">
        <v>303</v>
      </c>
      <c r="E66" s="18" t="n">
        <v>22.64990987</v>
      </c>
      <c r="F66" s="20" t="n">
        <v>2.59001463</v>
      </c>
      <c r="G66" s="18" t="n">
        <v>75.84589502</v>
      </c>
      <c r="H66" s="20" t="n">
        <v>2.53180397</v>
      </c>
      <c r="I66" s="18" t="s">
        <v>567</v>
      </c>
      <c r="J66" s="20" t="s">
        <v>567</v>
      </c>
      <c r="K66" s="18" t="n">
        <v>0</v>
      </c>
      <c r="L66" s="20" t="n">
        <v>0</v>
      </c>
      <c r="M66" s="18" t="n">
        <v>0</v>
      </c>
      <c r="N66" s="20" t="n">
        <v>0</v>
      </c>
      <c r="O66" s="18" t="n">
        <v>0</v>
      </c>
      <c r="P66" s="20" t="n">
        <v>0</v>
      </c>
      <c r="Q66" s="18" t="n">
        <v>1.50419511</v>
      </c>
      <c r="R66" s="20" t="n">
        <v>0.80435782</v>
      </c>
    </row>
    <row r="67" spans="1:18">
      <c r="A67" s="15" t="s">
        <v>627</v>
      </c>
      <c r="B67" s="17" t="n">
        <v>3511</v>
      </c>
      <c r="C67" s="18">
        <f>(3148.0/B67*100)</f>
        <v/>
      </c>
      <c r="D67" s="19" t="n">
        <v>363</v>
      </c>
      <c r="E67" s="18" t="n">
        <v>21.19449168</v>
      </c>
      <c r="F67" s="20" t="n">
        <v>2.3081882</v>
      </c>
      <c r="G67" s="18" t="n">
        <v>77.16363619000001</v>
      </c>
      <c r="H67" s="20" t="n">
        <v>2.35136178</v>
      </c>
      <c r="I67" s="18" t="s">
        <v>567</v>
      </c>
      <c r="J67" s="20" t="s">
        <v>567</v>
      </c>
      <c r="K67" s="18" t="n">
        <v>0.22305684</v>
      </c>
      <c r="L67" s="20" t="n">
        <v>0.22633466</v>
      </c>
      <c r="M67" s="18" t="n">
        <v>0</v>
      </c>
      <c r="N67" s="20" t="n">
        <v>0</v>
      </c>
      <c r="O67" s="18" t="n">
        <v>0</v>
      </c>
      <c r="P67" s="20" t="n">
        <v>0</v>
      </c>
      <c r="Q67" s="18" t="n">
        <v>1.4188153</v>
      </c>
      <c r="R67" s="20" t="n">
        <v>0.7286122900000001</v>
      </c>
    </row>
    <row r="68" spans="1:18">
      <c r="A68" s="15" t="s">
        <v>628</v>
      </c>
      <c r="B68" s="17" t="n">
        <v>6049</v>
      </c>
      <c r="C68" s="18">
        <f>(5388.0/B68*100)</f>
        <v/>
      </c>
      <c r="D68" s="19" t="n">
        <v>661</v>
      </c>
      <c r="E68" s="18" t="n">
        <v>18.89482111</v>
      </c>
      <c r="F68" s="20" t="n">
        <v>1.43786097</v>
      </c>
      <c r="G68" s="18" t="n">
        <v>77.71998925</v>
      </c>
      <c r="H68" s="20" t="n">
        <v>1.38883964</v>
      </c>
      <c r="I68" s="18" t="s">
        <v>567</v>
      </c>
      <c r="J68" s="20" t="s">
        <v>567</v>
      </c>
      <c r="K68" s="18" t="n">
        <v>1.76021903</v>
      </c>
      <c r="L68" s="20" t="n">
        <v>0.54320255</v>
      </c>
      <c r="M68" s="18" t="n">
        <v>0</v>
      </c>
      <c r="N68" s="20" t="n">
        <v>0</v>
      </c>
      <c r="O68" s="18" t="n">
        <v>0</v>
      </c>
      <c r="P68" s="20" t="n">
        <v>0</v>
      </c>
      <c r="Q68" s="18" t="n">
        <v>1.62497061</v>
      </c>
      <c r="R68" s="20" t="n">
        <v>0.49007329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(2608.0/B70*100)</f>
        <v/>
      </c>
      <c r="D70" s="19" t="n">
        <v>321</v>
      </c>
      <c r="E70" s="18" t="n">
        <v>11.18488546</v>
      </c>
      <c r="F70" s="20" t="n">
        <v>1.94277077</v>
      </c>
      <c r="G70" s="18" t="n">
        <v>87.96110452000001</v>
      </c>
      <c r="H70" s="20" t="n">
        <v>1.87977196</v>
      </c>
      <c r="I70" s="18" t="s">
        <v>567</v>
      </c>
      <c r="J70" s="20" t="s">
        <v>567</v>
      </c>
      <c r="K70" s="18" t="n">
        <v>0</v>
      </c>
      <c r="L70" s="20" t="n">
        <v>0</v>
      </c>
      <c r="M70" s="18" t="n">
        <v>0</v>
      </c>
      <c r="N70" s="20" t="n">
        <v>0</v>
      </c>
      <c r="O70" s="18" t="n">
        <v>0</v>
      </c>
      <c r="P70" s="20" t="n">
        <v>0</v>
      </c>
      <c r="Q70" s="18" t="n">
        <v>0.85401002</v>
      </c>
      <c r="R70" s="20" t="n">
        <v>0.45340152</v>
      </c>
    </row>
    <row r="71" spans="1:18">
      <c r="A71" s="15" t="s">
        <v>631</v>
      </c>
      <c r="B71" s="17" t="n">
        <v>3142</v>
      </c>
      <c r="C71" s="18">
        <f>(2800.0/B71*100)</f>
        <v/>
      </c>
      <c r="D71" s="19" t="n">
        <v>342</v>
      </c>
      <c r="E71" s="18" t="n">
        <v>1.44106731</v>
      </c>
      <c r="F71" s="20" t="n">
        <v>0.49713151</v>
      </c>
      <c r="G71" s="18" t="n">
        <v>98.55893269000001</v>
      </c>
      <c r="H71" s="20" t="n">
        <v>0.49713151</v>
      </c>
      <c r="I71" s="18" t="s">
        <v>567</v>
      </c>
      <c r="J71" s="20" t="s">
        <v>567</v>
      </c>
      <c r="K71" s="18" t="n">
        <v>0</v>
      </c>
      <c r="L71" s="20" t="n">
        <v>0</v>
      </c>
      <c r="M71" s="18" t="n">
        <v>0</v>
      </c>
      <c r="N71" s="20" t="n">
        <v>0</v>
      </c>
      <c r="O71" s="18" t="n">
        <v>0</v>
      </c>
      <c r="P71" s="20" t="n">
        <v>0</v>
      </c>
      <c r="Q71" s="18" t="n">
        <v>0</v>
      </c>
      <c r="R71" s="20" t="n">
        <v>0</v>
      </c>
    </row>
    <row r="72" spans="1:18">
      <c r="A72" s="15" t="s">
        <v>632</v>
      </c>
      <c r="B72" s="17" t="n">
        <v>3889</v>
      </c>
      <c r="C72" s="18">
        <f>(3471.0/B72*100)</f>
        <v/>
      </c>
      <c r="D72" s="19" t="n">
        <v>418</v>
      </c>
      <c r="E72" s="18" t="n">
        <v>8.053431959999999</v>
      </c>
      <c r="F72" s="20" t="n">
        <v>1.53984024</v>
      </c>
      <c r="G72" s="18" t="n">
        <v>91.64188905</v>
      </c>
      <c r="H72" s="20" t="n">
        <v>1.56897149</v>
      </c>
      <c r="I72" s="18" t="s">
        <v>567</v>
      </c>
      <c r="J72" s="20" t="s">
        <v>567</v>
      </c>
      <c r="K72" s="18" t="n">
        <v>0</v>
      </c>
      <c r="L72" s="20" t="n">
        <v>0</v>
      </c>
      <c r="M72" s="18" t="n">
        <v>0</v>
      </c>
      <c r="N72" s="20" t="n">
        <v>0</v>
      </c>
      <c r="O72" s="18" t="n">
        <v>0</v>
      </c>
      <c r="P72" s="20" t="n">
        <v>0</v>
      </c>
      <c r="Q72" s="18" t="n">
        <v>0.30467899</v>
      </c>
      <c r="R72" s="20" t="n">
        <v>0.3045086</v>
      </c>
    </row>
    <row r="73" spans="1:18">
      <c r="A73" s="15" t="s">
        <v>633</v>
      </c>
      <c r="B73" s="17" t="n">
        <v>3597</v>
      </c>
      <c r="C73" s="18">
        <f>(3208.0/B73*100)</f>
        <v/>
      </c>
      <c r="D73" s="19" t="n">
        <v>389</v>
      </c>
      <c r="E73" s="18" t="n">
        <v>12.00270668</v>
      </c>
      <c r="F73" s="20" t="n">
        <v>1.66203787</v>
      </c>
      <c r="G73" s="18" t="n">
        <v>87.14479704999999</v>
      </c>
      <c r="H73" s="20" t="n">
        <v>1.70710494</v>
      </c>
      <c r="I73" s="18" t="s">
        <v>567</v>
      </c>
      <c r="J73" s="20" t="s">
        <v>567</v>
      </c>
      <c r="K73" s="18" t="n">
        <v>0</v>
      </c>
      <c r="L73" s="20" t="n">
        <v>0</v>
      </c>
      <c r="M73" s="18" t="n">
        <v>0</v>
      </c>
      <c r="N73" s="20" t="n">
        <v>0</v>
      </c>
      <c r="O73" s="18" t="n">
        <v>0</v>
      </c>
      <c r="P73" s="20" t="n">
        <v>0</v>
      </c>
      <c r="Q73" s="18" t="n">
        <v>0.8524962699999999</v>
      </c>
      <c r="R73" s="20" t="n">
        <v>0.59491576</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(2153.0/B75*100)</f>
        <v/>
      </c>
      <c r="D75" s="19" t="n">
        <v>253</v>
      </c>
      <c r="E75" s="18" t="n">
        <v>11.1685914</v>
      </c>
      <c r="F75" s="20" t="n">
        <v>2.07751989</v>
      </c>
      <c r="G75" s="18" t="n">
        <v>85.19935481</v>
      </c>
      <c r="H75" s="20" t="n">
        <v>2.31200227</v>
      </c>
      <c r="I75" s="18" t="s">
        <v>567</v>
      </c>
      <c r="J75" s="20" t="s">
        <v>567</v>
      </c>
      <c r="K75" s="18" t="n">
        <v>1.14090219</v>
      </c>
      <c r="L75" s="20" t="n">
        <v>0.70315234</v>
      </c>
      <c r="M75" s="18" t="n">
        <v>0</v>
      </c>
      <c r="N75" s="20" t="n">
        <v>0</v>
      </c>
      <c r="O75" s="18" t="n">
        <v>0</v>
      </c>
      <c r="P75" s="20" t="n">
        <v>0</v>
      </c>
      <c r="Q75" s="18" t="n">
        <v>2.4911516</v>
      </c>
      <c r="R75" s="20" t="n">
        <v>0.88206152</v>
      </c>
    </row>
    <row r="76" spans="1:18">
      <c r="A76" s="15" t="s">
        <v>636</v>
      </c>
      <c r="B76" s="17" t="n">
        <v>7052</v>
      </c>
      <c r="C76" s="18">
        <f>(6304.0/B76*100)</f>
        <v/>
      </c>
      <c r="D76" s="19" t="n">
        <v>748</v>
      </c>
      <c r="E76" s="18" t="n">
        <v>17.91304495</v>
      </c>
      <c r="F76" s="20" t="n">
        <v>1.69590687</v>
      </c>
      <c r="G76" s="18" t="n">
        <v>80.14445239</v>
      </c>
      <c r="H76" s="20" t="n">
        <v>1.81172674</v>
      </c>
      <c r="I76" s="18" t="s">
        <v>567</v>
      </c>
      <c r="J76" s="20" t="s">
        <v>567</v>
      </c>
      <c r="K76" s="18" t="n">
        <v>0.33647368</v>
      </c>
      <c r="L76" s="20" t="n">
        <v>0.23455695</v>
      </c>
      <c r="M76" s="18" t="n">
        <v>0</v>
      </c>
      <c r="N76" s="20" t="n">
        <v>0</v>
      </c>
      <c r="O76" s="18" t="n">
        <v>0</v>
      </c>
      <c r="P76" s="20" t="n">
        <v>0</v>
      </c>
      <c r="Q76" s="18" t="n">
        <v>1.60602898</v>
      </c>
      <c r="R76" s="20" t="n">
        <v>0.51063778</v>
      </c>
    </row>
    <row r="77" spans="1:18">
      <c r="A77" s="15" t="s">
        <v>637</v>
      </c>
      <c r="B77" s="17" t="n">
        <v>2908</v>
      </c>
      <c r="C77" s="18">
        <f>(2578.0/B77*100)</f>
        <v/>
      </c>
      <c r="D77" s="19" t="n">
        <v>330</v>
      </c>
      <c r="E77" s="18" t="n">
        <v>21.0929089</v>
      </c>
      <c r="F77" s="20" t="n">
        <v>2.65981565</v>
      </c>
      <c r="G77" s="18" t="n">
        <v>78.57295295</v>
      </c>
      <c r="H77" s="20" t="n">
        <v>2.73012139</v>
      </c>
      <c r="I77" s="18" t="s">
        <v>567</v>
      </c>
      <c r="J77" s="20" t="s">
        <v>567</v>
      </c>
      <c r="K77" s="18" t="n">
        <v>0.33413815</v>
      </c>
      <c r="L77" s="20" t="n">
        <v>0.34033897</v>
      </c>
      <c r="M77" s="18" t="n">
        <v>0</v>
      </c>
      <c r="N77" s="20" t="n">
        <v>0</v>
      </c>
      <c r="O77" s="18" t="n">
        <v>0</v>
      </c>
      <c r="P77" s="20" t="n">
        <v>0</v>
      </c>
      <c r="Q77" s="18" t="n">
        <v>0</v>
      </c>
      <c r="R77" s="20" t="n">
        <v>0</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(3689.0/B81*100)</f>
        <v/>
      </c>
      <c r="D81" s="19" t="n">
        <v>474</v>
      </c>
      <c r="E81" s="18" t="n">
        <v>5.57754803</v>
      </c>
      <c r="F81" s="20" t="n">
        <v>1.20061076</v>
      </c>
      <c r="G81" s="18" t="n">
        <v>94.04326075</v>
      </c>
      <c r="H81" s="20" t="n">
        <v>1.28881969</v>
      </c>
      <c r="I81" s="18" t="s">
        <v>567</v>
      </c>
      <c r="J81" s="20" t="s">
        <v>567</v>
      </c>
      <c r="K81" s="18" t="n">
        <v>0.37919122</v>
      </c>
      <c r="L81" s="20" t="n">
        <v>0.4640313</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(6582.0/B7*100)</f>
        <v/>
      </c>
      <c r="D7" s="19" t="n">
        <v>785</v>
      </c>
      <c r="E7" s="18" t="n">
        <v>49.47876256</v>
      </c>
      <c r="F7" s="20" t="n">
        <v>1.90568525</v>
      </c>
      <c r="G7" s="18" t="n">
        <v>49.72874924</v>
      </c>
      <c r="H7" s="20" t="n">
        <v>1.84369631</v>
      </c>
      <c r="I7" s="18" t="s">
        <v>567</v>
      </c>
      <c r="J7" s="20" t="s">
        <v>567</v>
      </c>
      <c r="K7" s="18" t="n">
        <v>0.28256267</v>
      </c>
      <c r="L7" s="20" t="n">
        <v>0.21883045</v>
      </c>
      <c r="M7" s="18" t="n">
        <v>0</v>
      </c>
      <c r="N7" s="20" t="n">
        <v>0</v>
      </c>
      <c r="O7" s="18" t="n">
        <v>0</v>
      </c>
      <c r="P7" s="20" t="n">
        <v>0</v>
      </c>
      <c r="Q7" s="18" t="n">
        <v>0.50992553</v>
      </c>
      <c r="R7" s="20" t="n">
        <v>0.24173343</v>
      </c>
    </row>
    <row r="8" spans="1:18">
      <c r="A8" s="15" t="s">
        <v>568</v>
      </c>
      <c r="B8" s="17" t="n">
        <v>3564</v>
      </c>
      <c r="C8" s="18">
        <f>(3175.0/B8*100)</f>
        <v/>
      </c>
      <c r="D8" s="19" t="n">
        <v>389</v>
      </c>
      <c r="E8" s="18" t="n">
        <v>53.79011146</v>
      </c>
      <c r="F8" s="20" t="n">
        <v>3.19904622</v>
      </c>
      <c r="G8" s="18" t="n">
        <v>46.11577176</v>
      </c>
      <c r="H8" s="20" t="n">
        <v>3.20029729</v>
      </c>
      <c r="I8" s="18" t="s">
        <v>567</v>
      </c>
      <c r="J8" s="20" t="s">
        <v>567</v>
      </c>
      <c r="K8" s="18" t="n">
        <v>0</v>
      </c>
      <c r="L8" s="20" t="n">
        <v>0</v>
      </c>
      <c r="M8" s="18" t="n">
        <v>0</v>
      </c>
      <c r="N8" s="20" t="n">
        <v>0</v>
      </c>
      <c r="O8" s="18" t="n">
        <v>0</v>
      </c>
      <c r="P8" s="20" t="n">
        <v>0</v>
      </c>
      <c r="Q8" s="18" t="n">
        <v>0.09411679000000001</v>
      </c>
      <c r="R8" s="20" t="n">
        <v>0.09943588</v>
      </c>
    </row>
    <row r="9" spans="1:18">
      <c r="A9" s="15" t="s">
        <v>569</v>
      </c>
      <c r="B9" s="17" t="n">
        <v>4899</v>
      </c>
      <c r="C9" s="18">
        <f>(4370.0/B9*100)</f>
        <v/>
      </c>
      <c r="D9" s="19" t="n">
        <v>529</v>
      </c>
      <c r="E9" s="18" t="n">
        <v>50.58212453</v>
      </c>
      <c r="F9" s="20" t="n">
        <v>2.25912938</v>
      </c>
      <c r="G9" s="18" t="n">
        <v>48.59219555</v>
      </c>
      <c r="H9" s="20" t="n">
        <v>2.21865104</v>
      </c>
      <c r="I9" s="18" t="s">
        <v>567</v>
      </c>
      <c r="J9" s="20" t="s">
        <v>567</v>
      </c>
      <c r="K9" s="18" t="n">
        <v>0.15616986</v>
      </c>
      <c r="L9" s="20" t="n">
        <v>0.15040214</v>
      </c>
      <c r="M9" s="18" t="n">
        <v>0</v>
      </c>
      <c r="N9" s="20" t="n">
        <v>0</v>
      </c>
      <c r="O9" s="18" t="n">
        <v>0</v>
      </c>
      <c r="P9" s="20" t="n">
        <v>0</v>
      </c>
      <c r="Q9" s="18" t="n">
        <v>0.66951006</v>
      </c>
      <c r="R9" s="20" t="n">
        <v>0.38482742</v>
      </c>
    </row>
    <row r="10" spans="1:18">
      <c r="A10" s="15" t="s">
        <v>570</v>
      </c>
      <c r="B10" s="17" t="n">
        <v>10036</v>
      </c>
      <c r="C10" s="18">
        <f>(8874.0/B10*100)</f>
        <v/>
      </c>
      <c r="D10" s="19" t="n">
        <v>1162</v>
      </c>
      <c r="E10" s="18" t="n">
        <v>47.27252115</v>
      </c>
      <c r="F10" s="20" t="n">
        <v>2.05000375</v>
      </c>
      <c r="G10" s="18" t="n">
        <v>51.58861489</v>
      </c>
      <c r="H10" s="20" t="n">
        <v>2.2197714</v>
      </c>
      <c r="I10" s="18" t="s">
        <v>567</v>
      </c>
      <c r="J10" s="20" t="s">
        <v>567</v>
      </c>
      <c r="K10" s="18" t="n">
        <v>0.39371673</v>
      </c>
      <c r="L10" s="20" t="n">
        <v>0.25475528</v>
      </c>
      <c r="M10" s="18" t="n">
        <v>0</v>
      </c>
      <c r="N10" s="20" t="n">
        <v>0</v>
      </c>
      <c r="O10" s="18" t="n">
        <v>0</v>
      </c>
      <c r="P10" s="20" t="n">
        <v>0</v>
      </c>
      <c r="Q10" s="18" t="n">
        <v>0.74514724</v>
      </c>
      <c r="R10" s="20" t="n">
        <v>0.41542525</v>
      </c>
    </row>
    <row r="11" spans="1:18">
      <c r="A11" s="15" t="s">
        <v>571</v>
      </c>
      <c r="B11" s="17" t="n">
        <v>3553</v>
      </c>
      <c r="C11" s="18">
        <f>(3168.0/B11*100)</f>
        <v/>
      </c>
      <c r="D11" s="19" t="n">
        <v>385</v>
      </c>
      <c r="E11" s="18" t="n">
        <v>63.27667529</v>
      </c>
      <c r="F11" s="20" t="n">
        <v>3.24157708</v>
      </c>
      <c r="G11" s="18" t="n">
        <v>35.57993062</v>
      </c>
      <c r="H11" s="20" t="n">
        <v>3.24824841</v>
      </c>
      <c r="I11" s="18" t="s">
        <v>567</v>
      </c>
      <c r="J11" s="20" t="s">
        <v>567</v>
      </c>
      <c r="K11" s="18" t="n">
        <v>0.63245563</v>
      </c>
      <c r="L11" s="20" t="n">
        <v>0.38251463</v>
      </c>
      <c r="M11" s="18" t="n">
        <v>0</v>
      </c>
      <c r="N11" s="20" t="n">
        <v>0</v>
      </c>
      <c r="O11" s="18" t="n">
        <v>0</v>
      </c>
      <c r="P11" s="20" t="n">
        <v>0</v>
      </c>
      <c r="Q11" s="18" t="n">
        <v>0.51093846</v>
      </c>
      <c r="R11" s="20" t="n">
        <v>0.43872206</v>
      </c>
    </row>
    <row r="12" spans="1:18">
      <c r="A12" s="15" t="s">
        <v>572</v>
      </c>
      <c r="B12" s="17" t="n">
        <v>3472</v>
      </c>
      <c r="C12" s="18">
        <f>(3070.0/B12*100)</f>
        <v/>
      </c>
      <c r="D12" s="19" t="n">
        <v>402</v>
      </c>
      <c r="E12" s="18" t="n">
        <v>51.25982908</v>
      </c>
      <c r="F12" s="20" t="n">
        <v>2.84421965</v>
      </c>
      <c r="G12" s="18" t="n">
        <v>47.57106925</v>
      </c>
      <c r="H12" s="20" t="n">
        <v>2.57551137</v>
      </c>
      <c r="I12" s="18" t="s">
        <v>567</v>
      </c>
      <c r="J12" s="20" t="s">
        <v>567</v>
      </c>
      <c r="K12" s="18" t="n">
        <v>0.22864299</v>
      </c>
      <c r="L12" s="20" t="n">
        <v>0.22470567</v>
      </c>
      <c r="M12" s="18" t="n">
        <v>0</v>
      </c>
      <c r="N12" s="20" t="n">
        <v>0</v>
      </c>
      <c r="O12" s="18" t="n">
        <v>0</v>
      </c>
      <c r="P12" s="20" t="n">
        <v>0</v>
      </c>
      <c r="Q12" s="18" t="n">
        <v>0.94045868</v>
      </c>
      <c r="R12" s="20" t="n">
        <v>0.75363814</v>
      </c>
    </row>
    <row r="13" spans="1:18">
      <c r="A13" s="15" t="s">
        <v>573</v>
      </c>
      <c r="B13" s="17" t="n">
        <v>3559</v>
      </c>
      <c r="C13" s="18">
        <f>(3180.0/B13*100)</f>
        <v/>
      </c>
      <c r="D13" s="19" t="n">
        <v>379</v>
      </c>
      <c r="E13" s="18" t="n">
        <v>57.1493653</v>
      </c>
      <c r="F13" s="20" t="n">
        <v>2.60269808</v>
      </c>
      <c r="G13" s="18" t="n">
        <v>42.39681873</v>
      </c>
      <c r="H13" s="20" t="n">
        <v>2.58619999</v>
      </c>
      <c r="I13" s="18" t="s">
        <v>567</v>
      </c>
      <c r="J13" s="20" t="s">
        <v>567</v>
      </c>
      <c r="K13" s="18" t="n">
        <v>0.08206561</v>
      </c>
      <c r="L13" s="20" t="n">
        <v>0.08280530999999999</v>
      </c>
      <c r="M13" s="18" t="n">
        <v>0</v>
      </c>
      <c r="N13" s="20" t="n">
        <v>0</v>
      </c>
      <c r="O13" s="18" t="n">
        <v>0</v>
      </c>
      <c r="P13" s="20" t="n">
        <v>0</v>
      </c>
      <c r="Q13" s="18" t="n">
        <v>0.37175036</v>
      </c>
      <c r="R13" s="20" t="n">
        <v>0.3348298</v>
      </c>
    </row>
    <row r="14" spans="1:18">
      <c r="A14" s="15" t="s">
        <v>574</v>
      </c>
      <c r="B14" s="17" t="n">
        <v>2799</v>
      </c>
      <c r="C14" s="18">
        <f>(2485.0/B14*100)</f>
        <v/>
      </c>
      <c r="D14" s="19" t="n">
        <v>314</v>
      </c>
      <c r="E14" s="18" t="n">
        <v>43.74422618</v>
      </c>
      <c r="F14" s="20" t="n">
        <v>2.97560789</v>
      </c>
      <c r="G14" s="18" t="n">
        <v>56.25577382</v>
      </c>
      <c r="H14" s="20" t="n">
        <v>2.97560789</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(2720.0/B15*100)</f>
        <v/>
      </c>
      <c r="D15" s="19" t="n">
        <v>299</v>
      </c>
      <c r="E15" s="18" t="n">
        <v>36.77622943</v>
      </c>
      <c r="F15" s="20" t="n">
        <v>3.09463439</v>
      </c>
      <c r="G15" s="18" t="n">
        <v>63.22377057</v>
      </c>
      <c r="H15" s="20" t="n">
        <v>3.09463439</v>
      </c>
      <c r="I15" s="18" t="s">
        <v>567</v>
      </c>
      <c r="J15" s="20" t="s">
        <v>567</v>
      </c>
      <c r="K15" s="18" t="n">
        <v>0</v>
      </c>
      <c r="L15" s="20" t="n">
        <v>0</v>
      </c>
      <c r="M15" s="18" t="n">
        <v>0</v>
      </c>
      <c r="N15" s="20" t="n">
        <v>0</v>
      </c>
      <c r="O15" s="18" t="n">
        <v>0</v>
      </c>
      <c r="P15" s="20" t="n">
        <v>0</v>
      </c>
      <c r="Q15" s="18" t="n">
        <v>0</v>
      </c>
      <c r="R15" s="20" t="n">
        <v>0</v>
      </c>
    </row>
    <row r="16" spans="1:18">
      <c r="A16" s="15" t="s">
        <v>576</v>
      </c>
      <c r="B16" s="17" t="n">
        <v>2997</v>
      </c>
      <c r="C16" s="18">
        <f>(2673.0/B16*100)</f>
        <v/>
      </c>
      <c r="D16" s="19" t="n">
        <v>324</v>
      </c>
      <c r="E16" s="18" t="n">
        <v>54.07876638</v>
      </c>
      <c r="F16" s="20" t="n">
        <v>2.75574335</v>
      </c>
      <c r="G16" s="18" t="n">
        <v>43.75553595</v>
      </c>
      <c r="H16" s="20" t="n">
        <v>2.70955202</v>
      </c>
      <c r="I16" s="18" t="s">
        <v>567</v>
      </c>
      <c r="J16" s="20" t="s">
        <v>567</v>
      </c>
      <c r="K16" s="18" t="n">
        <v>0.65616202</v>
      </c>
      <c r="L16" s="20" t="n">
        <v>0.43846866</v>
      </c>
      <c r="M16" s="18" t="n">
        <v>0</v>
      </c>
      <c r="N16" s="20" t="n">
        <v>0</v>
      </c>
      <c r="O16" s="18" t="n">
        <v>0</v>
      </c>
      <c r="P16" s="20" t="n">
        <v>0</v>
      </c>
      <c r="Q16" s="18" t="n">
        <v>1.50953565</v>
      </c>
      <c r="R16" s="20" t="n">
        <v>0.71672456</v>
      </c>
    </row>
    <row r="17" spans="1:18">
      <c r="A17" s="15" t="s">
        <v>577</v>
      </c>
      <c r="B17" s="17" t="n">
        <v>3307</v>
      </c>
      <c r="C17" s="18">
        <f>(2969.0/B17*100)</f>
        <v/>
      </c>
      <c r="D17" s="19" t="n">
        <v>338</v>
      </c>
      <c r="E17" s="18" t="n">
        <v>56.86063648</v>
      </c>
      <c r="F17" s="20" t="n">
        <v>2.44977243</v>
      </c>
      <c r="G17" s="18" t="n">
        <v>42.45951509</v>
      </c>
      <c r="H17" s="20" t="n">
        <v>2.4809256</v>
      </c>
      <c r="I17" s="18" t="s">
        <v>567</v>
      </c>
      <c r="J17" s="20" t="s">
        <v>567</v>
      </c>
      <c r="K17" s="18" t="n">
        <v>0.37148163</v>
      </c>
      <c r="L17" s="20" t="n">
        <v>0.18412651</v>
      </c>
      <c r="M17" s="18" t="n">
        <v>0</v>
      </c>
      <c r="N17" s="20" t="n">
        <v>0</v>
      </c>
      <c r="O17" s="18" t="n">
        <v>0</v>
      </c>
      <c r="P17" s="20" t="n">
        <v>0</v>
      </c>
      <c r="Q17" s="18" t="n">
        <v>0.30836679</v>
      </c>
      <c r="R17" s="20" t="n">
        <v>0.30793068</v>
      </c>
    </row>
    <row r="18" spans="1:18">
      <c r="A18" s="15" t="s">
        <v>578</v>
      </c>
      <c r="B18" s="17" t="n">
        <v>2826</v>
      </c>
      <c r="C18" s="18">
        <f>(2495.0/B18*100)</f>
        <v/>
      </c>
      <c r="D18" s="19" t="n">
        <v>331</v>
      </c>
      <c r="E18" s="18" t="n">
        <v>74.51384564</v>
      </c>
      <c r="F18" s="20" t="n">
        <v>2.78518494</v>
      </c>
      <c r="G18" s="18" t="n">
        <v>25.48615436</v>
      </c>
      <c r="H18" s="20" t="n">
        <v>2.78518494</v>
      </c>
      <c r="I18" s="18" t="s">
        <v>567</v>
      </c>
      <c r="J18" s="20" t="s">
        <v>567</v>
      </c>
      <c r="K18" s="18" t="n">
        <v>0</v>
      </c>
      <c r="L18" s="20" t="n">
        <v>0</v>
      </c>
      <c r="M18" s="18" t="n">
        <v>0</v>
      </c>
      <c r="N18" s="20" t="n">
        <v>0</v>
      </c>
      <c r="O18" s="18" t="n">
        <v>0</v>
      </c>
      <c r="P18" s="20" t="n">
        <v>0</v>
      </c>
      <c r="Q18" s="18" t="n">
        <v>0</v>
      </c>
      <c r="R18" s="20" t="n">
        <v>0</v>
      </c>
    </row>
    <row r="19" spans="1:18">
      <c r="A19" s="15" t="s">
        <v>579</v>
      </c>
      <c r="B19" s="17" t="n">
        <v>2808</v>
      </c>
      <c r="C19" s="18">
        <f>(2506.0/B19*100)</f>
        <v/>
      </c>
      <c r="D19" s="19" t="n">
        <v>302</v>
      </c>
      <c r="E19" s="18" t="n">
        <v>52.95087413</v>
      </c>
      <c r="F19" s="20" t="n">
        <v>3.09493609</v>
      </c>
      <c r="G19" s="18" t="n">
        <v>46.80638211</v>
      </c>
      <c r="H19" s="20" t="n">
        <v>3.07074393</v>
      </c>
      <c r="I19" s="18" t="s">
        <v>567</v>
      </c>
      <c r="J19" s="20" t="s">
        <v>567</v>
      </c>
      <c r="K19" s="18" t="n">
        <v>0</v>
      </c>
      <c r="L19" s="20" t="n">
        <v>0</v>
      </c>
      <c r="M19" s="18" t="n">
        <v>0</v>
      </c>
      <c r="N19" s="20" t="n">
        <v>0</v>
      </c>
      <c r="O19" s="18" t="n">
        <v>0</v>
      </c>
      <c r="P19" s="20" t="n">
        <v>0</v>
      </c>
      <c r="Q19" s="18" t="n">
        <v>0.24274376</v>
      </c>
      <c r="R19" s="20" t="n">
        <v>0.24323893</v>
      </c>
    </row>
    <row r="20" spans="1:18">
      <c r="A20" s="15" t="s">
        <v>580</v>
      </c>
      <c r="B20" s="17" t="n">
        <v>1630</v>
      </c>
      <c r="C20" s="18">
        <f>(1453.0/B20*100)</f>
        <v/>
      </c>
      <c r="D20" s="19" t="n">
        <v>177</v>
      </c>
      <c r="E20" s="18" t="n">
        <v>40.12494337</v>
      </c>
      <c r="F20" s="20" t="n">
        <v>4.14124644</v>
      </c>
      <c r="G20" s="18" t="n">
        <v>59.31658327</v>
      </c>
      <c r="H20" s="20" t="n">
        <v>4.24564661</v>
      </c>
      <c r="I20" s="18" t="s">
        <v>567</v>
      </c>
      <c r="J20" s="20" t="s">
        <v>567</v>
      </c>
      <c r="K20" s="18" t="n">
        <v>0.55847336</v>
      </c>
      <c r="L20" s="20" t="n">
        <v>0.56712011</v>
      </c>
      <c r="M20" s="18" t="n">
        <v>0</v>
      </c>
      <c r="N20" s="20" t="n">
        <v>0</v>
      </c>
      <c r="O20" s="18" t="n">
        <v>0</v>
      </c>
      <c r="P20" s="20" t="n">
        <v>0</v>
      </c>
      <c r="Q20" s="18" t="n">
        <v>0</v>
      </c>
      <c r="R20" s="20" t="n">
        <v>0</v>
      </c>
    </row>
    <row r="21" spans="1:18">
      <c r="A21" s="15" t="s">
        <v>581</v>
      </c>
      <c r="B21" s="17" t="n">
        <v>2908</v>
      </c>
      <c r="C21" s="18">
        <f>(2588.0/B21*100)</f>
        <v/>
      </c>
      <c r="D21" s="19" t="n">
        <v>320</v>
      </c>
      <c r="E21" s="18" t="n">
        <v>54.3410857</v>
      </c>
      <c r="F21" s="20" t="n">
        <v>2.55305724</v>
      </c>
      <c r="G21" s="18" t="n">
        <v>45.04680553</v>
      </c>
      <c r="H21" s="20" t="n">
        <v>2.50192369</v>
      </c>
      <c r="I21" s="18" t="s">
        <v>567</v>
      </c>
      <c r="J21" s="20" t="s">
        <v>567</v>
      </c>
      <c r="K21" s="18" t="n">
        <v>0</v>
      </c>
      <c r="L21" s="20" t="n">
        <v>0</v>
      </c>
      <c r="M21" s="18" t="n">
        <v>0</v>
      </c>
      <c r="N21" s="20" t="n">
        <v>0</v>
      </c>
      <c r="O21" s="18" t="n">
        <v>0</v>
      </c>
      <c r="P21" s="20" t="n">
        <v>0</v>
      </c>
      <c r="Q21" s="18" t="n">
        <v>0.61210877</v>
      </c>
      <c r="R21" s="20" t="n">
        <v>0.45598861</v>
      </c>
    </row>
    <row r="22" spans="1:18">
      <c r="A22" s="15" t="s">
        <v>582</v>
      </c>
      <c r="B22" s="17" t="n">
        <v>2931</v>
      </c>
      <c r="C22" s="18">
        <f>(2607.0/B22*100)</f>
        <v/>
      </c>
      <c r="D22" s="19" t="n">
        <v>324</v>
      </c>
      <c r="E22" s="18" t="n">
        <v>66.62793024</v>
      </c>
      <c r="F22" s="20" t="n">
        <v>3.57592273</v>
      </c>
      <c r="G22" s="18" t="n">
        <v>31.67888463</v>
      </c>
      <c r="H22" s="20" t="n">
        <v>3.54747262</v>
      </c>
      <c r="I22" s="18" t="s">
        <v>567</v>
      </c>
      <c r="J22" s="20" t="s">
        <v>567</v>
      </c>
      <c r="K22" s="18" t="n">
        <v>0.5586657900000001</v>
      </c>
      <c r="L22" s="20" t="n">
        <v>0.39095398</v>
      </c>
      <c r="M22" s="18" t="n">
        <v>0</v>
      </c>
      <c r="N22" s="20" t="n">
        <v>0</v>
      </c>
      <c r="O22" s="18" t="n">
        <v>0</v>
      </c>
      <c r="P22" s="20" t="n">
        <v>0</v>
      </c>
      <c r="Q22" s="18" t="n">
        <v>1.13451934</v>
      </c>
      <c r="R22" s="20" t="n">
        <v>0.62134308</v>
      </c>
    </row>
    <row r="23" spans="1:18">
      <c r="A23" s="15" t="s">
        <v>583</v>
      </c>
      <c r="B23" s="17" t="n">
        <v>5791</v>
      </c>
      <c r="C23" s="18">
        <f>(5183.0/B23*100)</f>
        <v/>
      </c>
      <c r="D23" s="19" t="n">
        <v>608</v>
      </c>
      <c r="E23" s="18" t="n">
        <v>52.80476754</v>
      </c>
      <c r="F23" s="20" t="n">
        <v>2.50659881</v>
      </c>
      <c r="G23" s="18" t="n">
        <v>46.70335516</v>
      </c>
      <c r="H23" s="20" t="n">
        <v>2.53959665</v>
      </c>
      <c r="I23" s="18" t="s">
        <v>567</v>
      </c>
      <c r="J23" s="20" t="s">
        <v>567</v>
      </c>
      <c r="K23" s="18" t="n">
        <v>0.1478351</v>
      </c>
      <c r="L23" s="20" t="n">
        <v>0.13460939</v>
      </c>
      <c r="M23" s="18" t="n">
        <v>0</v>
      </c>
      <c r="N23" s="20" t="n">
        <v>0</v>
      </c>
      <c r="O23" s="18" t="n">
        <v>0</v>
      </c>
      <c r="P23" s="20" t="n">
        <v>0</v>
      </c>
      <c r="Q23" s="18" t="n">
        <v>0.3440422</v>
      </c>
      <c r="R23" s="20" t="n">
        <v>0.31101363</v>
      </c>
    </row>
    <row r="24" spans="1:18">
      <c r="A24" s="15" t="s">
        <v>584</v>
      </c>
      <c r="B24" s="17" t="n">
        <v>3338</v>
      </c>
      <c r="C24" s="18">
        <f>(2970.0/B24*100)</f>
        <v/>
      </c>
      <c r="D24" s="19" t="n">
        <v>368</v>
      </c>
      <c r="E24" s="18" t="n">
        <v>0</v>
      </c>
      <c r="F24" s="20" t="n">
        <v>0</v>
      </c>
      <c r="G24" s="18" t="n">
        <v>0</v>
      </c>
      <c r="H24" s="20" t="n">
        <v>0</v>
      </c>
      <c r="I24" s="18" t="s">
        <v>567</v>
      </c>
      <c r="J24" s="20" t="s">
        <v>567</v>
      </c>
      <c r="K24" s="18" t="n">
        <v>0</v>
      </c>
      <c r="L24" s="20" t="n">
        <v>0</v>
      </c>
      <c r="M24" s="18" t="n">
        <v>100</v>
      </c>
      <c r="N24" s="20" t="n">
        <v>0</v>
      </c>
      <c r="O24" s="18" t="n">
        <v>0</v>
      </c>
      <c r="P24" s="20" t="n">
        <v>0</v>
      </c>
      <c r="Q24" s="18" t="n">
        <v>0</v>
      </c>
      <c r="R24" s="20" t="n">
        <v>0</v>
      </c>
    </row>
    <row r="25" spans="1:18">
      <c r="A25" s="15" t="s">
        <v>585</v>
      </c>
      <c r="B25" s="17" t="n">
        <v>2912</v>
      </c>
      <c r="C25" s="18">
        <f>(2601.0/B25*100)</f>
        <v/>
      </c>
      <c r="D25" s="19" t="n">
        <v>311</v>
      </c>
      <c r="E25" s="18" t="n">
        <v>0</v>
      </c>
      <c r="F25" s="20" t="n">
        <v>0</v>
      </c>
      <c r="G25" s="18" t="n">
        <v>0</v>
      </c>
      <c r="H25" s="20" t="n">
        <v>0</v>
      </c>
      <c r="I25" s="18" t="s">
        <v>567</v>
      </c>
      <c r="J25" s="20" t="s">
        <v>567</v>
      </c>
      <c r="K25" s="18" t="n">
        <v>0</v>
      </c>
      <c r="L25" s="20" t="n">
        <v>0</v>
      </c>
      <c r="M25" s="18" t="n">
        <v>100</v>
      </c>
      <c r="N25" s="20" t="n">
        <v>0</v>
      </c>
      <c r="O25" s="18" t="n">
        <v>0</v>
      </c>
      <c r="P25" s="20" t="n">
        <v>0</v>
      </c>
      <c r="Q25" s="18" t="n">
        <v>0</v>
      </c>
      <c r="R25" s="20" t="n">
        <v>0</v>
      </c>
    </row>
    <row r="26" spans="1:18">
      <c r="A26" s="15" t="s">
        <v>586</v>
      </c>
      <c r="B26" s="17" t="n">
        <v>2450</v>
      </c>
      <c r="C26" s="18">
        <f>(2171.0/B26*100)</f>
        <v/>
      </c>
      <c r="D26" s="19" t="n">
        <v>279</v>
      </c>
      <c r="E26" s="18" t="n">
        <v>63.93092816</v>
      </c>
      <c r="F26" s="20" t="n">
        <v>2.77781311</v>
      </c>
      <c r="G26" s="18" t="n">
        <v>36.06907184</v>
      </c>
      <c r="H26" s="20" t="n">
        <v>2.77781311</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(2341.0/B27*100)</f>
        <v/>
      </c>
      <c r="D27" s="19" t="n">
        <v>275</v>
      </c>
      <c r="E27" s="18" t="n">
        <v>46.73060931</v>
      </c>
      <c r="F27" s="20" t="n">
        <v>2.82689327</v>
      </c>
      <c r="G27" s="18" t="n">
        <v>52.52445091</v>
      </c>
      <c r="H27" s="20" t="n">
        <v>2.90164242</v>
      </c>
      <c r="I27" s="18" t="s">
        <v>567</v>
      </c>
      <c r="J27" s="20" t="s">
        <v>567</v>
      </c>
      <c r="K27" s="18" t="n">
        <v>0.38518744</v>
      </c>
      <c r="L27" s="20" t="n">
        <v>0.3839198</v>
      </c>
      <c r="M27" s="18" t="n">
        <v>0</v>
      </c>
      <c r="N27" s="20" t="n">
        <v>0</v>
      </c>
      <c r="O27" s="18" t="n">
        <v>0</v>
      </c>
      <c r="P27" s="20" t="n">
        <v>0</v>
      </c>
      <c r="Q27" s="18" t="n">
        <v>0.35975233</v>
      </c>
      <c r="R27" s="20" t="n">
        <v>0.35706374</v>
      </c>
    </row>
    <row r="28" spans="1:18">
      <c r="A28" s="15" t="s">
        <v>588</v>
      </c>
      <c r="B28" s="17" t="n">
        <v>3765</v>
      </c>
      <c r="C28" s="18">
        <f>(3374.0/B28*100)</f>
        <v/>
      </c>
      <c r="D28" s="19" t="n">
        <v>391</v>
      </c>
      <c r="E28" s="18" t="n">
        <v>77.29042075</v>
      </c>
      <c r="F28" s="20" t="n">
        <v>2.17010711</v>
      </c>
      <c r="G28" s="18" t="n">
        <v>22.70957925</v>
      </c>
      <c r="H28" s="20" t="n">
        <v>2.17010711</v>
      </c>
      <c r="I28" s="18" t="s">
        <v>567</v>
      </c>
      <c r="J28" s="20" t="s">
        <v>567</v>
      </c>
      <c r="K28" s="18" t="n">
        <v>0</v>
      </c>
      <c r="L28" s="20" t="n">
        <v>0</v>
      </c>
      <c r="M28" s="18" t="n">
        <v>0</v>
      </c>
      <c r="N28" s="20" t="n">
        <v>0</v>
      </c>
      <c r="O28" s="18" t="n">
        <v>0</v>
      </c>
      <c r="P28" s="20" t="n">
        <v>0</v>
      </c>
      <c r="Q28" s="18" t="n">
        <v>0</v>
      </c>
      <c r="R28" s="20" t="n">
        <v>0</v>
      </c>
    </row>
    <row r="29" spans="1:18">
      <c r="A29" s="15" t="s">
        <v>589</v>
      </c>
      <c r="B29" s="17" t="n">
        <v>2685</v>
      </c>
      <c r="C29" s="18">
        <f>(2394.0/B29*100)</f>
        <v/>
      </c>
      <c r="D29" s="19" t="n">
        <v>291</v>
      </c>
      <c r="E29" s="18" t="n">
        <v>48.3157132</v>
      </c>
      <c r="F29" s="20" t="n">
        <v>2.52499337</v>
      </c>
      <c r="G29" s="18" t="n">
        <v>50.70284265</v>
      </c>
      <c r="H29" s="20" t="n">
        <v>2.42917363</v>
      </c>
      <c r="I29" s="18" t="s">
        <v>567</v>
      </c>
      <c r="J29" s="20" t="s">
        <v>567</v>
      </c>
      <c r="K29" s="18" t="n">
        <v>0</v>
      </c>
      <c r="L29" s="20" t="n">
        <v>0</v>
      </c>
      <c r="M29" s="18" t="n">
        <v>0</v>
      </c>
      <c r="N29" s="20" t="n">
        <v>0</v>
      </c>
      <c r="O29" s="18" t="n">
        <v>0</v>
      </c>
      <c r="P29" s="20" t="n">
        <v>0</v>
      </c>
      <c r="Q29" s="18" t="n">
        <v>0.98144416</v>
      </c>
      <c r="R29" s="20" t="n">
        <v>0.5674904200000001</v>
      </c>
    </row>
    <row r="30" spans="1:18">
      <c r="A30" s="15" t="s">
        <v>590</v>
      </c>
      <c r="B30" s="17" t="n">
        <v>2263</v>
      </c>
      <c r="C30" s="18">
        <f>(2033.0/B30*100)</f>
        <v/>
      </c>
      <c r="D30" s="19" t="n">
        <v>230</v>
      </c>
      <c r="E30" s="18" t="n">
        <v>53.37245329</v>
      </c>
      <c r="F30" s="20" t="n">
        <v>3.51540144</v>
      </c>
      <c r="G30" s="18" t="n">
        <v>44.69294786</v>
      </c>
      <c r="H30" s="20" t="n">
        <v>3.34417442</v>
      </c>
      <c r="I30" s="18" t="s">
        <v>567</v>
      </c>
      <c r="J30" s="20" t="s">
        <v>567</v>
      </c>
      <c r="K30" s="18" t="n">
        <v>0</v>
      </c>
      <c r="L30" s="20" t="n">
        <v>0</v>
      </c>
      <c r="M30" s="18" t="n">
        <v>0</v>
      </c>
      <c r="N30" s="20" t="n">
        <v>0</v>
      </c>
      <c r="O30" s="18" t="n">
        <v>0</v>
      </c>
      <c r="P30" s="20" t="n">
        <v>0</v>
      </c>
      <c r="Q30" s="18" t="n">
        <v>1.93459885</v>
      </c>
      <c r="R30" s="20" t="n">
        <v>0.99422303</v>
      </c>
    </row>
    <row r="31" spans="1:18">
      <c r="A31" s="15" t="s">
        <v>591</v>
      </c>
      <c r="B31" s="17" t="n">
        <v>2750</v>
      </c>
      <c r="C31" s="18">
        <f>(2437.0/B31*100)</f>
        <v/>
      </c>
      <c r="D31" s="19" t="n">
        <v>313</v>
      </c>
      <c r="E31" s="18" t="n">
        <v>43.32722377</v>
      </c>
      <c r="F31" s="20" t="n">
        <v>2.81359989</v>
      </c>
      <c r="G31" s="18" t="n">
        <v>56.39707746</v>
      </c>
      <c r="H31" s="20" t="n">
        <v>2.81720014</v>
      </c>
      <c r="I31" s="18" t="s">
        <v>567</v>
      </c>
      <c r="J31" s="20" t="s">
        <v>567</v>
      </c>
      <c r="K31" s="18" t="n">
        <v>0</v>
      </c>
      <c r="L31" s="20" t="n">
        <v>0</v>
      </c>
      <c r="M31" s="18" t="n">
        <v>0</v>
      </c>
      <c r="N31" s="20" t="n">
        <v>0</v>
      </c>
      <c r="O31" s="18" t="n">
        <v>0</v>
      </c>
      <c r="P31" s="20" t="n">
        <v>0</v>
      </c>
      <c r="Q31" s="18" t="n">
        <v>0.27569877</v>
      </c>
      <c r="R31" s="20" t="n">
        <v>0.27886164</v>
      </c>
    </row>
    <row r="32" spans="1:18">
      <c r="A32" s="15" t="s">
        <v>592</v>
      </c>
      <c r="B32" s="17" t="n">
        <v>2269</v>
      </c>
      <c r="C32" s="18">
        <f>(2003.0/B32*100)</f>
        <v/>
      </c>
      <c r="D32" s="19" t="n">
        <v>266</v>
      </c>
      <c r="E32" s="18" t="n">
        <v>51.17154673</v>
      </c>
      <c r="F32" s="20" t="n">
        <v>3.06144029</v>
      </c>
      <c r="G32" s="18" t="n">
        <v>48.82845327</v>
      </c>
      <c r="H32" s="20" t="n">
        <v>3.06144029</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(3249.0/B33*100)</f>
        <v/>
      </c>
      <c r="D33" s="19" t="n">
        <v>425</v>
      </c>
      <c r="E33" s="18" t="n">
        <v>58.96191292</v>
      </c>
      <c r="F33" s="20" t="n">
        <v>2.76048348</v>
      </c>
      <c r="G33" s="18" t="n">
        <v>40.06506835</v>
      </c>
      <c r="H33" s="20" t="n">
        <v>2.72186868</v>
      </c>
      <c r="I33" s="18" t="s">
        <v>567</v>
      </c>
      <c r="J33" s="20" t="s">
        <v>567</v>
      </c>
      <c r="K33" s="18" t="n">
        <v>0.35651114</v>
      </c>
      <c r="L33" s="20" t="n">
        <v>0.32039399</v>
      </c>
      <c r="M33" s="18" t="n">
        <v>0</v>
      </c>
      <c r="N33" s="20" t="n">
        <v>0</v>
      </c>
      <c r="O33" s="18" t="n">
        <v>0</v>
      </c>
      <c r="P33" s="20" t="n">
        <v>0</v>
      </c>
      <c r="Q33" s="18" t="n">
        <v>0.61650759</v>
      </c>
      <c r="R33" s="20" t="n">
        <v>0.39960793</v>
      </c>
    </row>
    <row r="34" spans="1:18">
      <c r="A34" s="15" t="s">
        <v>594</v>
      </c>
      <c r="B34" s="17" t="n">
        <v>3315</v>
      </c>
      <c r="C34" s="18">
        <f>(2953.0/B34*100)</f>
        <v/>
      </c>
      <c r="D34" s="19" t="n">
        <v>362</v>
      </c>
      <c r="E34" s="18" t="n">
        <v>64.1686957</v>
      </c>
      <c r="F34" s="20" t="n">
        <v>2.24087879</v>
      </c>
      <c r="G34" s="18" t="n">
        <v>35.57879362</v>
      </c>
      <c r="H34" s="20" t="n">
        <v>2.21227185</v>
      </c>
      <c r="I34" s="18" t="s">
        <v>567</v>
      </c>
      <c r="J34" s="20" t="s">
        <v>567</v>
      </c>
      <c r="K34" s="18" t="n">
        <v>0</v>
      </c>
      <c r="L34" s="20" t="n">
        <v>0</v>
      </c>
      <c r="M34" s="18" t="n">
        <v>0</v>
      </c>
      <c r="N34" s="20" t="n">
        <v>0</v>
      </c>
      <c r="O34" s="18" t="n">
        <v>0</v>
      </c>
      <c r="P34" s="20" t="n">
        <v>0</v>
      </c>
      <c r="Q34" s="18" t="n">
        <v>0.25251068</v>
      </c>
      <c r="R34" s="20" t="n">
        <v>0.25203865</v>
      </c>
    </row>
    <row r="35" spans="1:18">
      <c r="A35" s="15" t="s">
        <v>595</v>
      </c>
      <c r="B35" s="17" t="n">
        <v>3505</v>
      </c>
      <c r="C35" s="18">
        <f>(3142.0/B35*100)</f>
        <v/>
      </c>
      <c r="D35" s="19" t="n">
        <v>363</v>
      </c>
      <c r="E35" s="18" t="n">
        <v>56.81810662</v>
      </c>
      <c r="F35" s="20" t="n">
        <v>3.16941057</v>
      </c>
      <c r="G35" s="18" t="n">
        <v>42.54099461</v>
      </c>
      <c r="H35" s="20" t="n">
        <v>3.24851823</v>
      </c>
      <c r="I35" s="18" t="s">
        <v>567</v>
      </c>
      <c r="J35" s="20" t="s">
        <v>567</v>
      </c>
      <c r="K35" s="18" t="n">
        <v>0</v>
      </c>
      <c r="L35" s="20" t="n">
        <v>0</v>
      </c>
      <c r="M35" s="18" t="n">
        <v>0</v>
      </c>
      <c r="N35" s="20" t="n">
        <v>0</v>
      </c>
      <c r="O35" s="18" t="n">
        <v>0</v>
      </c>
      <c r="P35" s="20" t="n">
        <v>0</v>
      </c>
      <c r="Q35" s="18" t="n">
        <v>0.64089877</v>
      </c>
      <c r="R35" s="20" t="n">
        <v>0.47933578</v>
      </c>
    </row>
    <row r="36" spans="1:18">
      <c r="A36" s="15" t="s">
        <v>596</v>
      </c>
      <c r="B36" s="17" t="n">
        <v>3332</v>
      </c>
      <c r="C36" s="18">
        <f>(2979.0/B36*100)</f>
        <v/>
      </c>
      <c r="D36" s="19" t="n">
        <v>353</v>
      </c>
      <c r="E36" s="18" t="n">
        <v>50.62408369</v>
      </c>
      <c r="F36" s="20" t="n">
        <v>3.11355899</v>
      </c>
      <c r="G36" s="18" t="n">
        <v>48.65060669</v>
      </c>
      <c r="H36" s="20" t="n">
        <v>3.1548287</v>
      </c>
      <c r="I36" s="18" t="s">
        <v>567</v>
      </c>
      <c r="J36" s="20" t="s">
        <v>567</v>
      </c>
      <c r="K36" s="18" t="n">
        <v>0.3327259</v>
      </c>
      <c r="L36" s="20" t="n">
        <v>0.24636474</v>
      </c>
      <c r="M36" s="18" t="n">
        <v>0</v>
      </c>
      <c r="N36" s="20" t="n">
        <v>0</v>
      </c>
      <c r="O36" s="18" t="n">
        <v>0</v>
      </c>
      <c r="P36" s="20" t="n">
        <v>0</v>
      </c>
      <c r="Q36" s="18" t="n">
        <v>0.39258372</v>
      </c>
      <c r="R36" s="20" t="n">
        <v>0.36089417</v>
      </c>
    </row>
    <row r="37" spans="1:18">
      <c r="A37" s="15" t="s">
        <v>597</v>
      </c>
      <c r="B37" s="17" t="n">
        <v>2727</v>
      </c>
      <c r="C37" s="18">
        <f>(2430.0/B37*100)</f>
        <v/>
      </c>
      <c r="D37" s="19" t="n">
        <v>297</v>
      </c>
      <c r="E37" s="18" t="n">
        <v>51.84939231</v>
      </c>
      <c r="F37" s="20" t="n">
        <v>3.33047604</v>
      </c>
      <c r="G37" s="18" t="n">
        <v>46.84678822</v>
      </c>
      <c r="H37" s="20" t="n">
        <v>3.27264882</v>
      </c>
      <c r="I37" s="18" t="s">
        <v>567</v>
      </c>
      <c r="J37" s="20" t="s">
        <v>567</v>
      </c>
      <c r="K37" s="18" t="n">
        <v>0.61793563</v>
      </c>
      <c r="L37" s="20" t="n">
        <v>0.43632219</v>
      </c>
      <c r="M37" s="18" t="n">
        <v>0</v>
      </c>
      <c r="N37" s="20" t="n">
        <v>0</v>
      </c>
      <c r="O37" s="18" t="n">
        <v>0</v>
      </c>
      <c r="P37" s="20" t="n">
        <v>0</v>
      </c>
      <c r="Q37" s="18" t="n">
        <v>0.68588384</v>
      </c>
      <c r="R37" s="20" t="n">
        <v>0.49388757</v>
      </c>
    </row>
    <row r="38" spans="1:18">
      <c r="A38" s="15" t="s">
        <v>598</v>
      </c>
      <c r="B38" s="17" t="n">
        <v>3053</v>
      </c>
      <c r="C38" s="18">
        <f>(2712.0/B38*100)</f>
        <v/>
      </c>
      <c r="D38" s="19" t="n">
        <v>341</v>
      </c>
      <c r="E38" s="18" t="n">
        <v>54.33929408</v>
      </c>
      <c r="F38" s="20" t="n">
        <v>2.73794596</v>
      </c>
      <c r="G38" s="18" t="n">
        <v>44.11332086</v>
      </c>
      <c r="H38" s="20" t="n">
        <v>2.87549617</v>
      </c>
      <c r="I38" s="18" t="s">
        <v>567</v>
      </c>
      <c r="J38" s="20" t="s">
        <v>567</v>
      </c>
      <c r="K38" s="18" t="n">
        <v>0.39669165</v>
      </c>
      <c r="L38" s="20" t="n">
        <v>0.32787939</v>
      </c>
      <c r="M38" s="18" t="n">
        <v>0</v>
      </c>
      <c r="N38" s="20" t="n">
        <v>0</v>
      </c>
      <c r="O38" s="18" t="n">
        <v>0</v>
      </c>
      <c r="P38" s="20" t="n">
        <v>0</v>
      </c>
      <c r="Q38" s="18" t="n">
        <v>1.15069341</v>
      </c>
      <c r="R38" s="20" t="n">
        <v>0.89066824</v>
      </c>
    </row>
    <row r="39" spans="1:18">
      <c r="A39" s="15" t="s">
        <v>599</v>
      </c>
      <c r="B39" s="17" t="n">
        <v>2957</v>
      </c>
      <c r="C39" s="18">
        <f>(2613.0/B39*100)</f>
        <v/>
      </c>
      <c r="D39" s="19" t="n">
        <v>344</v>
      </c>
      <c r="E39" s="18" t="n">
        <v>63.92189627</v>
      </c>
      <c r="F39" s="20" t="n">
        <v>2.43530767</v>
      </c>
      <c r="G39" s="18" t="n">
        <v>36.07810373</v>
      </c>
      <c r="H39" s="20" t="n">
        <v>2.43530767</v>
      </c>
      <c r="I39" s="18" t="s">
        <v>567</v>
      </c>
      <c r="J39" s="20" t="s">
        <v>567</v>
      </c>
      <c r="K39" s="18" t="n">
        <v>0</v>
      </c>
      <c r="L39" s="20" t="n">
        <v>0</v>
      </c>
      <c r="M39" s="18" t="n">
        <v>0</v>
      </c>
      <c r="N39" s="20" t="n">
        <v>0</v>
      </c>
      <c r="O39" s="18" t="n">
        <v>0</v>
      </c>
      <c r="P39" s="20" t="n">
        <v>0</v>
      </c>
      <c r="Q39" s="18" t="n">
        <v>0</v>
      </c>
      <c r="R39" s="20" t="n">
        <v>0</v>
      </c>
    </row>
    <row r="40" spans="1:18">
      <c r="A40" s="15" t="s">
        <v>600</v>
      </c>
      <c r="B40" s="17" t="n">
        <v>7235</v>
      </c>
      <c r="C40" s="18">
        <f>(6451.0/B40*100)</f>
        <v/>
      </c>
      <c r="D40" s="19" t="n">
        <v>784</v>
      </c>
      <c r="E40" s="18" t="n">
        <v>48.494162</v>
      </c>
      <c r="F40" s="20" t="n">
        <v>3.13370566</v>
      </c>
      <c r="G40" s="18" t="n">
        <v>51.48089829</v>
      </c>
      <c r="H40" s="20" t="n">
        <v>3.13509439</v>
      </c>
      <c r="I40" s="18" t="s">
        <v>567</v>
      </c>
      <c r="J40" s="20" t="s">
        <v>567</v>
      </c>
      <c r="K40" s="18" t="n">
        <v>0</v>
      </c>
      <c r="L40" s="20" t="n">
        <v>0</v>
      </c>
      <c r="M40" s="18" t="n">
        <v>0</v>
      </c>
      <c r="N40" s="20" t="n">
        <v>0</v>
      </c>
      <c r="O40" s="18" t="n">
        <v>0</v>
      </c>
      <c r="P40" s="20" t="n">
        <v>0</v>
      </c>
      <c r="Q40" s="18" t="n">
        <v>0.02493971</v>
      </c>
      <c r="R40" s="20" t="n">
        <v>0.02485571</v>
      </c>
    </row>
    <row r="41" spans="1:18">
      <c r="A41" s="15" t="s">
        <v>601</v>
      </c>
      <c r="B41" s="17" t="n">
        <v>2858</v>
      </c>
      <c r="C41" s="18">
        <f>(2533.0/B41*100)</f>
        <v/>
      </c>
      <c r="D41" s="19" t="n">
        <v>325</v>
      </c>
      <c r="E41" s="18" t="n">
        <v>49.78365243</v>
      </c>
      <c r="F41" s="20" t="n">
        <v>3.52162798</v>
      </c>
      <c r="G41" s="18" t="n">
        <v>49.90212287</v>
      </c>
      <c r="H41" s="20" t="n">
        <v>3.53770111</v>
      </c>
      <c r="I41" s="18" t="s">
        <v>567</v>
      </c>
      <c r="J41" s="20" t="s">
        <v>567</v>
      </c>
      <c r="K41" s="18" t="n">
        <v>0</v>
      </c>
      <c r="L41" s="20" t="n">
        <v>0</v>
      </c>
      <c r="M41" s="18" t="n">
        <v>0</v>
      </c>
      <c r="N41" s="20" t="n">
        <v>0</v>
      </c>
      <c r="O41" s="18" t="n">
        <v>0</v>
      </c>
      <c r="P41" s="20" t="n">
        <v>0</v>
      </c>
      <c r="Q41" s="18" t="n">
        <v>0.3142247</v>
      </c>
      <c r="R41" s="20" t="n">
        <v>0.30414771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(10017.0/B46*100)</f>
        <v/>
      </c>
      <c r="D46" s="19" t="n">
        <v>1051</v>
      </c>
      <c r="E46" s="18" t="n">
        <v>71.87427011</v>
      </c>
      <c r="F46" s="20" t="n">
        <v>1.78644573</v>
      </c>
      <c r="G46" s="18" t="n">
        <v>26.16730401</v>
      </c>
      <c r="H46" s="20" t="n">
        <v>1.75559612</v>
      </c>
      <c r="I46" s="18" t="s">
        <v>567</v>
      </c>
      <c r="J46" s="20" t="s">
        <v>567</v>
      </c>
      <c r="K46" s="18" t="n">
        <v>0.56291693</v>
      </c>
      <c r="L46" s="20" t="n">
        <v>0.29609487</v>
      </c>
      <c r="M46" s="18" t="n">
        <v>0</v>
      </c>
      <c r="N46" s="20" t="n">
        <v>0</v>
      </c>
      <c r="O46" s="18" t="n">
        <v>0</v>
      </c>
      <c r="P46" s="20" t="n">
        <v>0</v>
      </c>
      <c r="Q46" s="18" t="n">
        <v>1.39550895</v>
      </c>
      <c r="R46" s="20" t="n">
        <v>0.47430005</v>
      </c>
    </row>
    <row r="47" spans="1:18">
      <c r="A47" s="15" t="s">
        <v>607</v>
      </c>
      <c r="B47" s="17" t="n">
        <v>3105</v>
      </c>
      <c r="C47" s="18">
        <f>(2753.0/B47*100)</f>
        <v/>
      </c>
      <c r="D47" s="19" t="n">
        <v>352</v>
      </c>
      <c r="E47" s="18" t="n">
        <v>56.28895153</v>
      </c>
      <c r="F47" s="20" t="n">
        <v>2.43172937</v>
      </c>
      <c r="G47" s="18" t="n">
        <v>42.25130625</v>
      </c>
      <c r="H47" s="20" t="n">
        <v>2.64468854</v>
      </c>
      <c r="I47" s="18" t="s">
        <v>567</v>
      </c>
      <c r="J47" s="20" t="s">
        <v>567</v>
      </c>
      <c r="K47" s="18" t="n">
        <v>0.28984623</v>
      </c>
      <c r="L47" s="20" t="n">
        <v>0.40847018</v>
      </c>
      <c r="M47" s="18" t="n">
        <v>0</v>
      </c>
      <c r="N47" s="20" t="n">
        <v>0</v>
      </c>
      <c r="O47" s="18" t="n">
        <v>0</v>
      </c>
      <c r="P47" s="20" t="n">
        <v>0</v>
      </c>
      <c r="Q47" s="18" t="n">
        <v>1.16989599</v>
      </c>
      <c r="R47" s="20" t="n">
        <v>0.71783399</v>
      </c>
    </row>
    <row r="48" spans="1:18">
      <c r="A48" s="15" t="s">
        <v>608</v>
      </c>
      <c r="B48" s="17" t="n">
        <v>5159</v>
      </c>
      <c r="C48" s="18">
        <f>(4558.0/B48*100)</f>
        <v/>
      </c>
      <c r="D48" s="19" t="n">
        <v>601</v>
      </c>
      <c r="E48" s="18" t="n">
        <v>48.80454868</v>
      </c>
      <c r="F48" s="20" t="n">
        <v>2.89580327</v>
      </c>
      <c r="G48" s="18" t="n">
        <v>51.0890812</v>
      </c>
      <c r="H48" s="20" t="n">
        <v>2.89548192</v>
      </c>
      <c r="I48" s="18" t="s">
        <v>567</v>
      </c>
      <c r="J48" s="20" t="s">
        <v>567</v>
      </c>
      <c r="K48" s="18" t="n">
        <v>0.10637012</v>
      </c>
      <c r="L48" s="20" t="n">
        <v>0.07481314</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(4970.0/B50*100)</f>
        <v/>
      </c>
      <c r="D50" s="19" t="n">
        <v>667</v>
      </c>
      <c r="E50" s="18" t="n">
        <v>67.85996915</v>
      </c>
      <c r="F50" s="20" t="n">
        <v>2.37538885</v>
      </c>
      <c r="G50" s="18" t="n">
        <v>29.55104138</v>
      </c>
      <c r="H50" s="20" t="n">
        <v>2.34180025</v>
      </c>
      <c r="I50" s="18" t="s">
        <v>567</v>
      </c>
      <c r="J50" s="20" t="s">
        <v>567</v>
      </c>
      <c r="K50" s="18" t="n">
        <v>1.64538304</v>
      </c>
      <c r="L50" s="20" t="n">
        <v>0.89104477</v>
      </c>
      <c r="M50" s="18" t="n">
        <v>0</v>
      </c>
      <c r="N50" s="20" t="n">
        <v>0</v>
      </c>
      <c r="O50" s="18" t="n">
        <v>0</v>
      </c>
      <c r="P50" s="20" t="n">
        <v>0</v>
      </c>
      <c r="Q50" s="18" t="n">
        <v>0.94360643</v>
      </c>
      <c r="R50" s="20" t="n">
        <v>0.54647876</v>
      </c>
    </row>
    <row r="51" spans="1:18">
      <c r="A51" s="15" t="s">
        <v>611</v>
      </c>
      <c r="B51" s="17" t="n">
        <v>3372</v>
      </c>
      <c r="C51" s="18">
        <f>(3055.0/B51*100)</f>
        <v/>
      </c>
      <c r="D51" s="19" t="n">
        <v>317</v>
      </c>
      <c r="E51" s="18" t="n">
        <v>74.79696555</v>
      </c>
      <c r="F51" s="20" t="n">
        <v>2.71240434</v>
      </c>
      <c r="G51" s="18" t="n">
        <v>24.94467045</v>
      </c>
      <c r="H51" s="20" t="n">
        <v>2.66148826</v>
      </c>
      <c r="I51" s="18" t="s">
        <v>567</v>
      </c>
      <c r="J51" s="20" t="s">
        <v>567</v>
      </c>
      <c r="K51" s="18" t="n">
        <v>0</v>
      </c>
      <c r="L51" s="20" t="n">
        <v>0</v>
      </c>
      <c r="M51" s="18" t="n">
        <v>0</v>
      </c>
      <c r="N51" s="20" t="n">
        <v>0</v>
      </c>
      <c r="O51" s="18" t="n">
        <v>0</v>
      </c>
      <c r="P51" s="20" t="n">
        <v>0</v>
      </c>
      <c r="Q51" s="18" t="n">
        <v>0.258364</v>
      </c>
      <c r="R51" s="20" t="n">
        <v>0.21591399</v>
      </c>
    </row>
    <row r="52" spans="1:18">
      <c r="A52" s="15" t="s">
        <v>612</v>
      </c>
      <c r="B52" s="17" t="n">
        <v>2796</v>
      </c>
      <c r="C52" s="18">
        <f>(2477.0/B52*100)</f>
        <v/>
      </c>
      <c r="D52" s="19" t="n">
        <v>319</v>
      </c>
      <c r="E52" s="18" t="n">
        <v>43.52915029</v>
      </c>
      <c r="F52" s="20" t="n">
        <v>2.44270705</v>
      </c>
      <c r="G52" s="18" t="n">
        <v>55.80223702</v>
      </c>
      <c r="H52" s="20" t="n">
        <v>2.48643997</v>
      </c>
      <c r="I52" s="18" t="s">
        <v>567</v>
      </c>
      <c r="J52" s="20" t="s">
        <v>567</v>
      </c>
      <c r="K52" s="18" t="n">
        <v>0.23569917</v>
      </c>
      <c r="L52" s="20" t="n">
        <v>0.23726407</v>
      </c>
      <c r="M52" s="18" t="n">
        <v>0</v>
      </c>
      <c r="N52" s="20" t="n">
        <v>0</v>
      </c>
      <c r="O52" s="18" t="n">
        <v>0</v>
      </c>
      <c r="P52" s="20" t="n">
        <v>0</v>
      </c>
      <c r="Q52" s="18" t="n">
        <v>0.43291351</v>
      </c>
      <c r="R52" s="20" t="n">
        <v>0.31292151</v>
      </c>
    </row>
    <row r="53" spans="1:18">
      <c r="A53" s="15" t="s">
        <v>613</v>
      </c>
      <c r="B53" s="17" t="n">
        <v>2811</v>
      </c>
      <c r="C53" s="18">
        <f>(2500.0/B53*100)</f>
        <v/>
      </c>
      <c r="D53" s="19" t="n">
        <v>311</v>
      </c>
      <c r="E53" s="18" t="n">
        <v>64.84444469</v>
      </c>
      <c r="F53" s="20" t="n">
        <v>2.9531316</v>
      </c>
      <c r="G53" s="18" t="n">
        <v>32.91253193</v>
      </c>
      <c r="H53" s="20" t="n">
        <v>2.84221594</v>
      </c>
      <c r="I53" s="18" t="s">
        <v>567</v>
      </c>
      <c r="J53" s="20" t="s">
        <v>567</v>
      </c>
      <c r="K53" s="18" t="n">
        <v>0.59888796</v>
      </c>
      <c r="L53" s="20" t="n">
        <v>0.59218377</v>
      </c>
      <c r="M53" s="18" t="n">
        <v>0</v>
      </c>
      <c r="N53" s="20" t="n">
        <v>0</v>
      </c>
      <c r="O53" s="18" t="n">
        <v>0</v>
      </c>
      <c r="P53" s="20" t="n">
        <v>0</v>
      </c>
      <c r="Q53" s="18" t="n">
        <v>1.64413543</v>
      </c>
      <c r="R53" s="20" t="n">
        <v>0.72651294</v>
      </c>
    </row>
    <row r="54" spans="1:18">
      <c r="A54" s="15" t="s">
        <v>614</v>
      </c>
      <c r="B54" s="17" t="n">
        <v>2266</v>
      </c>
      <c r="C54" s="18">
        <f>(2013.0/B54*100)</f>
        <v/>
      </c>
      <c r="D54" s="19" t="n">
        <v>253</v>
      </c>
      <c r="E54" s="18" t="n">
        <v>76.02862501</v>
      </c>
      <c r="F54" s="20" t="n">
        <v>3.06847986</v>
      </c>
      <c r="G54" s="18" t="n">
        <v>13.88698007</v>
      </c>
      <c r="H54" s="20" t="n">
        <v>2.53327616</v>
      </c>
      <c r="I54" s="18" t="s">
        <v>567</v>
      </c>
      <c r="J54" s="20" t="s">
        <v>567</v>
      </c>
      <c r="K54" s="18" t="n">
        <v>9.25394942</v>
      </c>
      <c r="L54" s="20" t="n">
        <v>2.2851038</v>
      </c>
      <c r="M54" s="18" t="n">
        <v>0</v>
      </c>
      <c r="N54" s="20" t="n">
        <v>0</v>
      </c>
      <c r="O54" s="18" t="n">
        <v>0</v>
      </c>
      <c r="P54" s="20" t="n">
        <v>0</v>
      </c>
      <c r="Q54" s="18" t="n">
        <v>0.8304454999999999</v>
      </c>
      <c r="R54" s="20" t="n">
        <v>0.55327134</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(2377.0/B56*100)</f>
        <v/>
      </c>
      <c r="D56" s="19" t="n">
        <v>307</v>
      </c>
      <c r="E56" s="18" t="n">
        <v>46.24827656</v>
      </c>
      <c r="F56" s="20" t="n">
        <v>2.72568271</v>
      </c>
      <c r="G56" s="18" t="n">
        <v>53.11653958</v>
      </c>
      <c r="H56" s="20" t="n">
        <v>2.68016759</v>
      </c>
      <c r="I56" s="18" t="s">
        <v>567</v>
      </c>
      <c r="J56" s="20" t="s">
        <v>567</v>
      </c>
      <c r="K56" s="18" t="n">
        <v>0.4144064</v>
      </c>
      <c r="L56" s="20" t="n">
        <v>0.35186622</v>
      </c>
      <c r="M56" s="18" t="n">
        <v>0</v>
      </c>
      <c r="N56" s="20" t="n">
        <v>0</v>
      </c>
      <c r="O56" s="18" t="n">
        <v>0</v>
      </c>
      <c r="P56" s="20" t="n">
        <v>0</v>
      </c>
      <c r="Q56" s="18" t="n">
        <v>0.22077746</v>
      </c>
      <c r="R56" s="20" t="n">
        <v>0.21892596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(2938.0/B61*100)</f>
        <v/>
      </c>
      <c r="D61" s="19" t="n">
        <v>386</v>
      </c>
      <c r="E61" s="18" t="n">
        <v>50.13873271</v>
      </c>
      <c r="F61" s="20" t="n">
        <v>2.74913665</v>
      </c>
      <c r="G61" s="18" t="n">
        <v>49.56490205</v>
      </c>
      <c r="H61" s="20" t="n">
        <v>2.69181758</v>
      </c>
      <c r="I61" s="18" t="s">
        <v>567</v>
      </c>
      <c r="J61" s="20" t="s">
        <v>567</v>
      </c>
      <c r="K61" s="18" t="n">
        <v>0</v>
      </c>
      <c r="L61" s="20" t="n">
        <v>0</v>
      </c>
      <c r="M61" s="18" t="n">
        <v>0</v>
      </c>
      <c r="N61" s="20" t="n">
        <v>0</v>
      </c>
      <c r="O61" s="18" t="n">
        <v>0</v>
      </c>
      <c r="P61" s="20" t="n">
        <v>0</v>
      </c>
      <c r="Q61" s="18" t="n">
        <v>0.29636524</v>
      </c>
      <c r="R61" s="20" t="n">
        <v>0.29571533</v>
      </c>
    </row>
    <row r="62" spans="1:18">
      <c r="A62" s="15" t="s">
        <v>622</v>
      </c>
      <c r="B62" s="17" t="n">
        <v>2246</v>
      </c>
      <c r="C62" s="18">
        <f>(1996.0/B62*100)</f>
        <v/>
      </c>
      <c r="D62" s="19" t="n">
        <v>250</v>
      </c>
      <c r="E62" s="18" t="n">
        <v>57.58951975</v>
      </c>
      <c r="F62" s="20" t="n">
        <v>3.09689272</v>
      </c>
      <c r="G62" s="18" t="n">
        <v>42.41048025</v>
      </c>
      <c r="H62" s="20" t="n">
        <v>3.09689272</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(2593.0/B66*100)</f>
        <v/>
      </c>
      <c r="D66" s="19" t="n">
        <v>301</v>
      </c>
      <c r="E66" s="18" t="n">
        <v>71.30136607999999</v>
      </c>
      <c r="F66" s="20" t="n">
        <v>2.34445808</v>
      </c>
      <c r="G66" s="18" t="n">
        <v>27.22584789</v>
      </c>
      <c r="H66" s="20" t="n">
        <v>2.36969164</v>
      </c>
      <c r="I66" s="18" t="s">
        <v>567</v>
      </c>
      <c r="J66" s="20" t="s">
        <v>567</v>
      </c>
      <c r="K66" s="18" t="n">
        <v>0</v>
      </c>
      <c r="L66" s="20" t="n">
        <v>0</v>
      </c>
      <c r="M66" s="18" t="n">
        <v>0</v>
      </c>
      <c r="N66" s="20" t="n">
        <v>0</v>
      </c>
      <c r="O66" s="18" t="n">
        <v>0</v>
      </c>
      <c r="P66" s="20" t="n">
        <v>0</v>
      </c>
      <c r="Q66" s="18" t="n">
        <v>1.47278603</v>
      </c>
      <c r="R66" s="20" t="n">
        <v>0.79710941</v>
      </c>
    </row>
    <row r="67" spans="1:18">
      <c r="A67" s="15" t="s">
        <v>627</v>
      </c>
      <c r="B67" s="17" t="n">
        <v>3511</v>
      </c>
      <c r="C67" s="18">
        <f>(3150.0/B67*100)</f>
        <v/>
      </c>
      <c r="D67" s="19" t="n">
        <v>361</v>
      </c>
      <c r="E67" s="18" t="n">
        <v>69.14161276999999</v>
      </c>
      <c r="F67" s="20" t="n">
        <v>2.58749493</v>
      </c>
      <c r="G67" s="18" t="n">
        <v>30.35895661</v>
      </c>
      <c r="H67" s="20" t="n">
        <v>2.52571792</v>
      </c>
      <c r="I67" s="18" t="s">
        <v>567</v>
      </c>
      <c r="J67" s="20" t="s">
        <v>567</v>
      </c>
      <c r="K67" s="18" t="n">
        <v>0.22415841</v>
      </c>
      <c r="L67" s="20" t="n">
        <v>0.22744998</v>
      </c>
      <c r="M67" s="18" t="n">
        <v>0</v>
      </c>
      <c r="N67" s="20" t="n">
        <v>0</v>
      </c>
      <c r="O67" s="18" t="n">
        <v>0</v>
      </c>
      <c r="P67" s="20" t="n">
        <v>0</v>
      </c>
      <c r="Q67" s="18" t="n">
        <v>0.27527221</v>
      </c>
      <c r="R67" s="20" t="n">
        <v>0.27404453</v>
      </c>
    </row>
    <row r="68" spans="1:18">
      <c r="A68" s="15" t="s">
        <v>628</v>
      </c>
      <c r="B68" s="17" t="n">
        <v>6049</v>
      </c>
      <c r="C68" s="18">
        <f>(5388.0/B68*100)</f>
        <v/>
      </c>
      <c r="D68" s="19" t="n">
        <v>661</v>
      </c>
      <c r="E68" s="18" t="n">
        <v>59.66273712</v>
      </c>
      <c r="F68" s="20" t="n">
        <v>1.92933972</v>
      </c>
      <c r="G68" s="18" t="n">
        <v>36.32916282</v>
      </c>
      <c r="H68" s="20" t="n">
        <v>1.88184375</v>
      </c>
      <c r="I68" s="18" t="s">
        <v>567</v>
      </c>
      <c r="J68" s="20" t="s">
        <v>567</v>
      </c>
      <c r="K68" s="18" t="n">
        <v>2.06137605</v>
      </c>
      <c r="L68" s="20" t="n">
        <v>0.58925074</v>
      </c>
      <c r="M68" s="18" t="n">
        <v>0</v>
      </c>
      <c r="N68" s="20" t="n">
        <v>0</v>
      </c>
      <c r="O68" s="18" t="n">
        <v>0</v>
      </c>
      <c r="P68" s="20" t="n">
        <v>0</v>
      </c>
      <c r="Q68" s="18" t="n">
        <v>1.94672402</v>
      </c>
      <c r="R68" s="20" t="n">
        <v>0.55442086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(2610.0/B70*100)</f>
        <v/>
      </c>
      <c r="D70" s="19" t="n">
        <v>319</v>
      </c>
      <c r="E70" s="18" t="n">
        <v>62.71150344</v>
      </c>
      <c r="F70" s="20" t="n">
        <v>2.66038817</v>
      </c>
      <c r="G70" s="18" t="n">
        <v>36.43496587</v>
      </c>
      <c r="H70" s="20" t="n">
        <v>2.71478319</v>
      </c>
      <c r="I70" s="18" t="s">
        <v>567</v>
      </c>
      <c r="J70" s="20" t="s">
        <v>567</v>
      </c>
      <c r="K70" s="18" t="n">
        <v>0</v>
      </c>
      <c r="L70" s="20" t="n">
        <v>0</v>
      </c>
      <c r="M70" s="18" t="n">
        <v>0</v>
      </c>
      <c r="N70" s="20" t="n">
        <v>0</v>
      </c>
      <c r="O70" s="18" t="n">
        <v>0</v>
      </c>
      <c r="P70" s="20" t="n">
        <v>0</v>
      </c>
      <c r="Q70" s="18" t="n">
        <v>0.85353069</v>
      </c>
      <c r="R70" s="20" t="n">
        <v>0.87046922</v>
      </c>
    </row>
    <row r="71" spans="1:18">
      <c r="A71" s="15" t="s">
        <v>631</v>
      </c>
      <c r="B71" s="17" t="n">
        <v>3142</v>
      </c>
      <c r="C71" s="18">
        <f>(2801.0/B71*100)</f>
        <v/>
      </c>
      <c r="D71" s="19" t="n">
        <v>341</v>
      </c>
      <c r="E71" s="18" t="n">
        <v>38.74759533</v>
      </c>
      <c r="F71" s="20" t="n">
        <v>2.77997509</v>
      </c>
      <c r="G71" s="18" t="n">
        <v>61.25240467</v>
      </c>
      <c r="H71" s="20" t="n">
        <v>2.77997509</v>
      </c>
      <c r="I71" s="18" t="s">
        <v>567</v>
      </c>
      <c r="J71" s="20" t="s">
        <v>567</v>
      </c>
      <c r="K71" s="18" t="n">
        <v>0</v>
      </c>
      <c r="L71" s="20" t="n">
        <v>0</v>
      </c>
      <c r="M71" s="18" t="n">
        <v>0</v>
      </c>
      <c r="N71" s="20" t="n">
        <v>0</v>
      </c>
      <c r="O71" s="18" t="n">
        <v>0</v>
      </c>
      <c r="P71" s="20" t="n">
        <v>0</v>
      </c>
      <c r="Q71" s="18" t="n">
        <v>0</v>
      </c>
      <c r="R71" s="20" t="n">
        <v>0</v>
      </c>
    </row>
    <row r="72" spans="1:18">
      <c r="A72" s="15" t="s">
        <v>632</v>
      </c>
      <c r="B72" s="17" t="n">
        <v>3889</v>
      </c>
      <c r="C72" s="18">
        <f>(3471.0/B72*100)</f>
        <v/>
      </c>
      <c r="D72" s="19" t="n">
        <v>418</v>
      </c>
      <c r="E72" s="18" t="n">
        <v>61.24685422</v>
      </c>
      <c r="F72" s="20" t="n">
        <v>2.76550325</v>
      </c>
      <c r="G72" s="18" t="n">
        <v>38.75314578</v>
      </c>
      <c r="H72" s="20" t="n">
        <v>2.76550325</v>
      </c>
      <c r="I72" s="18" t="s">
        <v>567</v>
      </c>
      <c r="J72" s="20" t="s">
        <v>567</v>
      </c>
      <c r="K72" s="18" t="n">
        <v>0</v>
      </c>
      <c r="L72" s="20" t="n">
        <v>0</v>
      </c>
      <c r="M72" s="18" t="n">
        <v>0</v>
      </c>
      <c r="N72" s="20" t="n">
        <v>0</v>
      </c>
      <c r="O72" s="18" t="n">
        <v>0</v>
      </c>
      <c r="P72" s="20" t="n">
        <v>0</v>
      </c>
      <c r="Q72" s="18" t="n">
        <v>0</v>
      </c>
      <c r="R72" s="20" t="n">
        <v>0</v>
      </c>
    </row>
    <row r="73" spans="1:18">
      <c r="A73" s="15" t="s">
        <v>633</v>
      </c>
      <c r="B73" s="17" t="n">
        <v>3597</v>
      </c>
      <c r="C73" s="18">
        <f>(3209.0/B73*100)</f>
        <v/>
      </c>
      <c r="D73" s="19" t="n">
        <v>388</v>
      </c>
      <c r="E73" s="18" t="n">
        <v>63.88690336</v>
      </c>
      <c r="F73" s="20" t="n">
        <v>2.4380685</v>
      </c>
      <c r="G73" s="18" t="n">
        <v>35.88195334</v>
      </c>
      <c r="H73" s="20" t="n">
        <v>2.43683686</v>
      </c>
      <c r="I73" s="18" t="s">
        <v>567</v>
      </c>
      <c r="J73" s="20" t="s">
        <v>567</v>
      </c>
      <c r="K73" s="18" t="n">
        <v>0</v>
      </c>
      <c r="L73" s="20" t="n">
        <v>0</v>
      </c>
      <c r="M73" s="18" t="n">
        <v>0</v>
      </c>
      <c r="N73" s="20" t="n">
        <v>0</v>
      </c>
      <c r="O73" s="18" t="n">
        <v>0</v>
      </c>
      <c r="P73" s="20" t="n">
        <v>0</v>
      </c>
      <c r="Q73" s="18" t="n">
        <v>0.2311433</v>
      </c>
      <c r="R73" s="20" t="n">
        <v>0.22131742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(2155.0/B75*100)</f>
        <v/>
      </c>
      <c r="D75" s="19" t="n">
        <v>251</v>
      </c>
      <c r="E75" s="18" t="n">
        <v>78.76998154</v>
      </c>
      <c r="F75" s="20" t="n">
        <v>2.86615014</v>
      </c>
      <c r="G75" s="18" t="n">
        <v>18.02653558</v>
      </c>
      <c r="H75" s="20" t="n">
        <v>2.68477507</v>
      </c>
      <c r="I75" s="18" t="s">
        <v>567</v>
      </c>
      <c r="J75" s="20" t="s">
        <v>567</v>
      </c>
      <c r="K75" s="18" t="n">
        <v>1.57270642</v>
      </c>
      <c r="L75" s="20" t="n">
        <v>0.79924767</v>
      </c>
      <c r="M75" s="18" t="n">
        <v>0</v>
      </c>
      <c r="N75" s="20" t="n">
        <v>0</v>
      </c>
      <c r="O75" s="18" t="n">
        <v>0</v>
      </c>
      <c r="P75" s="20" t="n">
        <v>0</v>
      </c>
      <c r="Q75" s="18" t="n">
        <v>1.63077646</v>
      </c>
      <c r="R75" s="20" t="n">
        <v>0.6859006600000001</v>
      </c>
    </row>
    <row r="76" spans="1:18">
      <c r="A76" s="15" t="s">
        <v>636</v>
      </c>
      <c r="B76" s="17" t="n">
        <v>7052</v>
      </c>
      <c r="C76" s="18">
        <f>(6305.0/B76*100)</f>
        <v/>
      </c>
      <c r="D76" s="19" t="n">
        <v>747</v>
      </c>
      <c r="E76" s="18" t="n">
        <v>63.42572603</v>
      </c>
      <c r="F76" s="20" t="n">
        <v>2.53730333</v>
      </c>
      <c r="G76" s="18" t="n">
        <v>35.37281347</v>
      </c>
      <c r="H76" s="20" t="n">
        <v>2.56612091</v>
      </c>
      <c r="I76" s="18" t="s">
        <v>567</v>
      </c>
      <c r="J76" s="20" t="s">
        <v>567</v>
      </c>
      <c r="K76" s="18" t="n">
        <v>0.44690569</v>
      </c>
      <c r="L76" s="20" t="n">
        <v>0.24820681</v>
      </c>
      <c r="M76" s="18" t="n">
        <v>0</v>
      </c>
      <c r="N76" s="20" t="n">
        <v>0</v>
      </c>
      <c r="O76" s="18" t="n">
        <v>0</v>
      </c>
      <c r="P76" s="20" t="n">
        <v>0</v>
      </c>
      <c r="Q76" s="18" t="n">
        <v>0.75455481</v>
      </c>
      <c r="R76" s="20" t="n">
        <v>0.33617069</v>
      </c>
    </row>
    <row r="77" spans="1:18">
      <c r="A77" s="15" t="s">
        <v>637</v>
      </c>
      <c r="B77" s="17" t="n">
        <v>2908</v>
      </c>
      <c r="C77" s="18">
        <f>(2578.0/B77*100)</f>
        <v/>
      </c>
      <c r="D77" s="19" t="n">
        <v>330</v>
      </c>
      <c r="E77" s="18" t="n">
        <v>72.22228041</v>
      </c>
      <c r="F77" s="20" t="n">
        <v>2.63773767</v>
      </c>
      <c r="G77" s="18" t="n">
        <v>27.31180073</v>
      </c>
      <c r="H77" s="20" t="n">
        <v>2.60973004</v>
      </c>
      <c r="I77" s="18" t="s">
        <v>567</v>
      </c>
      <c r="J77" s="20" t="s">
        <v>567</v>
      </c>
      <c r="K77" s="18" t="n">
        <v>0.46591886</v>
      </c>
      <c r="L77" s="20" t="n">
        <v>0.3639331</v>
      </c>
      <c r="M77" s="18" t="n">
        <v>0</v>
      </c>
      <c r="N77" s="20" t="n">
        <v>0</v>
      </c>
      <c r="O77" s="18" t="n">
        <v>0</v>
      </c>
      <c r="P77" s="20" t="n">
        <v>0</v>
      </c>
      <c r="Q77" s="18" t="n">
        <v>0</v>
      </c>
      <c r="R77" s="20" t="n">
        <v>0</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(3688.0/B81*100)</f>
        <v/>
      </c>
      <c r="D81" s="19" t="n">
        <v>475</v>
      </c>
      <c r="E81" s="18" t="n">
        <v>58.71381215</v>
      </c>
      <c r="F81" s="20" t="n">
        <v>2.97717817</v>
      </c>
      <c r="G81" s="18" t="n">
        <v>40.90823062</v>
      </c>
      <c r="H81" s="20" t="n">
        <v>2.91629497</v>
      </c>
      <c r="I81" s="18" t="s">
        <v>567</v>
      </c>
      <c r="J81" s="20" t="s">
        <v>567</v>
      </c>
      <c r="K81" s="18" t="n">
        <v>0.37795722</v>
      </c>
      <c r="L81" s="20" t="n">
        <v>0.46253796</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(6582.0/B7*100)</f>
        <v/>
      </c>
      <c r="D7" s="19" t="n">
        <v>785</v>
      </c>
      <c r="E7" s="18" t="n">
        <v>46.34233374</v>
      </c>
      <c r="F7" s="20" t="n">
        <v>1.85681648</v>
      </c>
      <c r="G7" s="18" t="n">
        <v>53.00960318</v>
      </c>
      <c r="H7" s="20" t="n">
        <v>1.89703021</v>
      </c>
      <c r="I7" s="18" t="s">
        <v>567</v>
      </c>
      <c r="J7" s="20" t="s">
        <v>567</v>
      </c>
      <c r="K7" s="18" t="n">
        <v>0.282613</v>
      </c>
      <c r="L7" s="20" t="n">
        <v>0.21886721</v>
      </c>
      <c r="M7" s="18" t="n">
        <v>0</v>
      </c>
      <c r="N7" s="20" t="n">
        <v>0</v>
      </c>
      <c r="O7" s="18" t="n">
        <v>0</v>
      </c>
      <c r="P7" s="20" t="n">
        <v>0</v>
      </c>
      <c r="Q7" s="18" t="n">
        <v>0.36545008</v>
      </c>
      <c r="R7" s="20" t="n">
        <v>0.1756639</v>
      </c>
    </row>
    <row r="8" spans="1:18">
      <c r="A8" s="15" t="s">
        <v>568</v>
      </c>
      <c r="B8" s="17" t="n">
        <v>3564</v>
      </c>
      <c r="C8" s="18">
        <f>(3175.0/B8*100)</f>
        <v/>
      </c>
      <c r="D8" s="19" t="n">
        <v>389</v>
      </c>
      <c r="E8" s="18" t="n">
        <v>42.92653062</v>
      </c>
      <c r="F8" s="20" t="n">
        <v>2.68637093</v>
      </c>
      <c r="G8" s="18" t="n">
        <v>55.36813515</v>
      </c>
      <c r="H8" s="20" t="n">
        <v>2.83429322</v>
      </c>
      <c r="I8" s="18" t="s">
        <v>567</v>
      </c>
      <c r="J8" s="20" t="s">
        <v>567</v>
      </c>
      <c r="K8" s="18" t="n">
        <v>0</v>
      </c>
      <c r="L8" s="20" t="n">
        <v>0</v>
      </c>
      <c r="M8" s="18" t="n">
        <v>0</v>
      </c>
      <c r="N8" s="20" t="n">
        <v>0</v>
      </c>
      <c r="O8" s="18" t="n">
        <v>0</v>
      </c>
      <c r="P8" s="20" t="n">
        <v>0</v>
      </c>
      <c r="Q8" s="18" t="n">
        <v>1.70533424</v>
      </c>
      <c r="R8" s="20" t="n">
        <v>0.74086145</v>
      </c>
    </row>
    <row r="9" spans="1:18">
      <c r="A9" s="15" t="s">
        <v>569</v>
      </c>
      <c r="B9" s="17" t="n">
        <v>4899</v>
      </c>
      <c r="C9" s="18">
        <f>(4371.0/B9*100)</f>
        <v/>
      </c>
      <c r="D9" s="19" t="n">
        <v>528</v>
      </c>
      <c r="E9" s="18" t="n">
        <v>43.03959338</v>
      </c>
      <c r="F9" s="20" t="n">
        <v>2.26252835</v>
      </c>
      <c r="G9" s="18" t="n">
        <v>55.42607676</v>
      </c>
      <c r="H9" s="20" t="n">
        <v>2.25621017</v>
      </c>
      <c r="I9" s="18" t="s">
        <v>567</v>
      </c>
      <c r="J9" s="20" t="s">
        <v>567</v>
      </c>
      <c r="K9" s="18" t="n">
        <v>0.15659026</v>
      </c>
      <c r="L9" s="20" t="n">
        <v>0.15081575</v>
      </c>
      <c r="M9" s="18" t="n">
        <v>0</v>
      </c>
      <c r="N9" s="20" t="n">
        <v>0</v>
      </c>
      <c r="O9" s="18" t="n">
        <v>0</v>
      </c>
      <c r="P9" s="20" t="n">
        <v>0</v>
      </c>
      <c r="Q9" s="18" t="n">
        <v>1.37773959</v>
      </c>
      <c r="R9" s="20" t="n">
        <v>0.49686636</v>
      </c>
    </row>
    <row r="10" spans="1:18">
      <c r="A10" s="15" t="s">
        <v>570</v>
      </c>
      <c r="B10" s="17" t="n">
        <v>10036</v>
      </c>
      <c r="C10" s="18">
        <f>(8876.0/B10*100)</f>
        <v/>
      </c>
      <c r="D10" s="19" t="n">
        <v>1160</v>
      </c>
      <c r="E10" s="18" t="n">
        <v>45.63326945</v>
      </c>
      <c r="F10" s="20" t="n">
        <v>2.01421931</v>
      </c>
      <c r="G10" s="18" t="n">
        <v>53.38063569</v>
      </c>
      <c r="H10" s="20" t="n">
        <v>2.0743795</v>
      </c>
      <c r="I10" s="18" t="s">
        <v>567</v>
      </c>
      <c r="J10" s="20" t="s">
        <v>567</v>
      </c>
      <c r="K10" s="18" t="n">
        <v>0.40239609</v>
      </c>
      <c r="L10" s="20" t="n">
        <v>0.25629665</v>
      </c>
      <c r="M10" s="18" t="n">
        <v>0</v>
      </c>
      <c r="N10" s="20" t="n">
        <v>0</v>
      </c>
      <c r="O10" s="18" t="n">
        <v>0</v>
      </c>
      <c r="P10" s="20" t="n">
        <v>0</v>
      </c>
      <c r="Q10" s="18" t="n">
        <v>0.58369877</v>
      </c>
      <c r="R10" s="20" t="n">
        <v>0.27338563</v>
      </c>
    </row>
    <row r="11" spans="1:18">
      <c r="A11" s="15" t="s">
        <v>571</v>
      </c>
      <c r="B11" s="17" t="n">
        <v>3553</v>
      </c>
      <c r="C11" s="18">
        <f>(3170.0/B11*100)</f>
        <v/>
      </c>
      <c r="D11" s="19" t="n">
        <v>383</v>
      </c>
      <c r="E11" s="18" t="n">
        <v>56.99963423</v>
      </c>
      <c r="F11" s="20" t="n">
        <v>3.39018512</v>
      </c>
      <c r="G11" s="18" t="n">
        <v>40.82459023</v>
      </c>
      <c r="H11" s="20" t="n">
        <v>3.47306828</v>
      </c>
      <c r="I11" s="18" t="s">
        <v>567</v>
      </c>
      <c r="J11" s="20" t="s">
        <v>567</v>
      </c>
      <c r="K11" s="18" t="n">
        <v>0.89714438</v>
      </c>
      <c r="L11" s="20" t="n">
        <v>0.45591793</v>
      </c>
      <c r="M11" s="18" t="n">
        <v>0</v>
      </c>
      <c r="N11" s="20" t="n">
        <v>0</v>
      </c>
      <c r="O11" s="18" t="n">
        <v>0</v>
      </c>
      <c r="P11" s="20" t="n">
        <v>0</v>
      </c>
      <c r="Q11" s="18" t="n">
        <v>1.27863116</v>
      </c>
      <c r="R11" s="20" t="n">
        <v>0.6547653</v>
      </c>
    </row>
    <row r="12" spans="1:18">
      <c r="A12" s="15" t="s">
        <v>572</v>
      </c>
      <c r="B12" s="17" t="n">
        <v>3472</v>
      </c>
      <c r="C12" s="18">
        <f>(3071.0/B12*100)</f>
        <v/>
      </c>
      <c r="D12" s="19" t="n">
        <v>401</v>
      </c>
      <c r="E12" s="18" t="n">
        <v>38.95884214</v>
      </c>
      <c r="F12" s="20" t="n">
        <v>2.61907642</v>
      </c>
      <c r="G12" s="18" t="n">
        <v>59.81988281</v>
      </c>
      <c r="H12" s="20" t="n">
        <v>2.63633043</v>
      </c>
      <c r="I12" s="18" t="s">
        <v>567</v>
      </c>
      <c r="J12" s="20" t="s">
        <v>567</v>
      </c>
      <c r="K12" s="18" t="n">
        <v>0.22973856</v>
      </c>
      <c r="L12" s="20" t="n">
        <v>0.22577104</v>
      </c>
      <c r="M12" s="18" t="n">
        <v>0</v>
      </c>
      <c r="N12" s="20" t="n">
        <v>0</v>
      </c>
      <c r="O12" s="18" t="n">
        <v>0</v>
      </c>
      <c r="P12" s="20" t="n">
        <v>0</v>
      </c>
      <c r="Q12" s="18" t="n">
        <v>0.99153649</v>
      </c>
      <c r="R12" s="20" t="n">
        <v>0.78028317</v>
      </c>
    </row>
    <row r="13" spans="1:18">
      <c r="A13" s="15" t="s">
        <v>573</v>
      </c>
      <c r="B13" s="17" t="n">
        <v>3559</v>
      </c>
      <c r="C13" s="18">
        <f>(3180.0/B13*100)</f>
        <v/>
      </c>
      <c r="D13" s="19" t="n">
        <v>379</v>
      </c>
      <c r="E13" s="18" t="n">
        <v>42.39708426</v>
      </c>
      <c r="F13" s="20" t="n">
        <v>3.22445324</v>
      </c>
      <c r="G13" s="18" t="n">
        <v>55.76154009</v>
      </c>
      <c r="H13" s="20" t="n">
        <v>3.27953675</v>
      </c>
      <c r="I13" s="18" t="s">
        <v>567</v>
      </c>
      <c r="J13" s="20" t="s">
        <v>567</v>
      </c>
      <c r="K13" s="18" t="n">
        <v>0.5839428800000001</v>
      </c>
      <c r="L13" s="20" t="n">
        <v>0.50790677</v>
      </c>
      <c r="M13" s="18" t="n">
        <v>0</v>
      </c>
      <c r="N13" s="20" t="n">
        <v>0</v>
      </c>
      <c r="O13" s="18" t="n">
        <v>0</v>
      </c>
      <c r="P13" s="20" t="n">
        <v>0</v>
      </c>
      <c r="Q13" s="18" t="n">
        <v>1.25743276</v>
      </c>
      <c r="R13" s="20" t="n">
        <v>0.54827578</v>
      </c>
    </row>
    <row r="14" spans="1:18">
      <c r="A14" s="15" t="s">
        <v>574</v>
      </c>
      <c r="B14" s="17" t="n">
        <v>2799</v>
      </c>
      <c r="C14" s="18">
        <f>(2486.0/B14*100)</f>
        <v/>
      </c>
      <c r="D14" s="19" t="n">
        <v>313</v>
      </c>
      <c r="E14" s="18" t="n">
        <v>34.2683191</v>
      </c>
      <c r="F14" s="20" t="n">
        <v>2.73469069</v>
      </c>
      <c r="G14" s="18" t="n">
        <v>65.44079775</v>
      </c>
      <c r="H14" s="20" t="n">
        <v>2.76427321</v>
      </c>
      <c r="I14" s="18" t="s">
        <v>567</v>
      </c>
      <c r="J14" s="20" t="s">
        <v>567</v>
      </c>
      <c r="K14" s="18" t="n">
        <v>0</v>
      </c>
      <c r="L14" s="20" t="n">
        <v>0</v>
      </c>
      <c r="M14" s="18" t="n">
        <v>0</v>
      </c>
      <c r="N14" s="20" t="n">
        <v>0</v>
      </c>
      <c r="O14" s="18" t="n">
        <v>0</v>
      </c>
      <c r="P14" s="20" t="n">
        <v>0</v>
      </c>
      <c r="Q14" s="18" t="n">
        <v>0.29088315</v>
      </c>
      <c r="R14" s="20" t="n">
        <v>0.29934228</v>
      </c>
    </row>
    <row r="15" spans="1:18">
      <c r="A15" s="15" t="s">
        <v>575</v>
      </c>
      <c r="B15" s="17" t="n">
        <v>3019</v>
      </c>
      <c r="C15" s="18">
        <f>(2720.0/B15*100)</f>
        <v/>
      </c>
      <c r="D15" s="19" t="n">
        <v>299</v>
      </c>
      <c r="E15" s="18" t="n">
        <v>48.07080134</v>
      </c>
      <c r="F15" s="20" t="n">
        <v>2.61044525</v>
      </c>
      <c r="G15" s="18" t="n">
        <v>51.28159305</v>
      </c>
      <c r="H15" s="20" t="n">
        <v>2.56478592</v>
      </c>
      <c r="I15" s="18" t="s">
        <v>567</v>
      </c>
      <c r="J15" s="20" t="s">
        <v>567</v>
      </c>
      <c r="K15" s="18" t="n">
        <v>0</v>
      </c>
      <c r="L15" s="20" t="n">
        <v>0</v>
      </c>
      <c r="M15" s="18" t="n">
        <v>0</v>
      </c>
      <c r="N15" s="20" t="n">
        <v>0</v>
      </c>
      <c r="O15" s="18" t="n">
        <v>0</v>
      </c>
      <c r="P15" s="20" t="n">
        <v>0</v>
      </c>
      <c r="Q15" s="18" t="n">
        <v>0.6476056100000001</v>
      </c>
      <c r="R15" s="20" t="n">
        <v>0.47188098</v>
      </c>
    </row>
    <row r="16" spans="1:18">
      <c r="A16" s="15" t="s">
        <v>576</v>
      </c>
      <c r="B16" s="17" t="n">
        <v>2997</v>
      </c>
      <c r="C16" s="18">
        <f>(2672.0/B16*100)</f>
        <v/>
      </c>
      <c r="D16" s="19" t="n">
        <v>325</v>
      </c>
      <c r="E16" s="18" t="n">
        <v>34.84037199</v>
      </c>
      <c r="F16" s="20" t="n">
        <v>2.90968577</v>
      </c>
      <c r="G16" s="18" t="n">
        <v>61.71547275</v>
      </c>
      <c r="H16" s="20" t="n">
        <v>3.33571859</v>
      </c>
      <c r="I16" s="18" t="s">
        <v>567</v>
      </c>
      <c r="J16" s="20" t="s">
        <v>567</v>
      </c>
      <c r="K16" s="18" t="n">
        <v>1.18803725</v>
      </c>
      <c r="L16" s="20" t="n">
        <v>0.93916838</v>
      </c>
      <c r="M16" s="18" t="n">
        <v>0</v>
      </c>
      <c r="N16" s="20" t="n">
        <v>0</v>
      </c>
      <c r="O16" s="18" t="n">
        <v>0</v>
      </c>
      <c r="P16" s="20" t="n">
        <v>0</v>
      </c>
      <c r="Q16" s="18" t="n">
        <v>2.25611802</v>
      </c>
      <c r="R16" s="20" t="n">
        <v>0.82910031</v>
      </c>
    </row>
    <row r="17" spans="1:18">
      <c r="A17" s="15" t="s">
        <v>577</v>
      </c>
      <c r="B17" s="17" t="n">
        <v>3307</v>
      </c>
      <c r="C17" s="18">
        <f>(2970.0/B17*100)</f>
        <v/>
      </c>
      <c r="D17" s="19" t="n">
        <v>337</v>
      </c>
      <c r="E17" s="18" t="n">
        <v>40.40805225</v>
      </c>
      <c r="F17" s="20" t="n">
        <v>2.80966899</v>
      </c>
      <c r="G17" s="18" t="n">
        <v>57.46765686</v>
      </c>
      <c r="H17" s="20" t="n">
        <v>2.89435699</v>
      </c>
      <c r="I17" s="18" t="s">
        <v>567</v>
      </c>
      <c r="J17" s="20" t="s">
        <v>567</v>
      </c>
      <c r="K17" s="18" t="n">
        <v>0.37362477</v>
      </c>
      <c r="L17" s="20" t="n">
        <v>0.18520637</v>
      </c>
      <c r="M17" s="18" t="n">
        <v>0</v>
      </c>
      <c r="N17" s="20" t="n">
        <v>0</v>
      </c>
      <c r="O17" s="18" t="n">
        <v>0</v>
      </c>
      <c r="P17" s="20" t="n">
        <v>0</v>
      </c>
      <c r="Q17" s="18" t="n">
        <v>1.75066613</v>
      </c>
      <c r="R17" s="20" t="n">
        <v>0.7646271100000001</v>
      </c>
    </row>
    <row r="18" spans="1:18">
      <c r="A18" s="15" t="s">
        <v>578</v>
      </c>
      <c r="B18" s="17" t="n">
        <v>2826</v>
      </c>
      <c r="C18" s="18">
        <f>(2495.0/B18*100)</f>
        <v/>
      </c>
      <c r="D18" s="19" t="n">
        <v>331</v>
      </c>
      <c r="E18" s="18" t="n">
        <v>53.60393385</v>
      </c>
      <c r="F18" s="20" t="n">
        <v>2.93154263</v>
      </c>
      <c r="G18" s="18" t="n">
        <v>45.9024033</v>
      </c>
      <c r="H18" s="20" t="n">
        <v>2.93235545</v>
      </c>
      <c r="I18" s="18" t="s">
        <v>567</v>
      </c>
      <c r="J18" s="20" t="s">
        <v>567</v>
      </c>
      <c r="K18" s="18" t="n">
        <v>0</v>
      </c>
      <c r="L18" s="20" t="n">
        <v>0</v>
      </c>
      <c r="M18" s="18" t="n">
        <v>0</v>
      </c>
      <c r="N18" s="20" t="n">
        <v>0</v>
      </c>
      <c r="O18" s="18" t="n">
        <v>0</v>
      </c>
      <c r="P18" s="20" t="n">
        <v>0</v>
      </c>
      <c r="Q18" s="18" t="n">
        <v>0.49366285</v>
      </c>
      <c r="R18" s="20" t="n">
        <v>0.3567889</v>
      </c>
    </row>
    <row r="19" spans="1:18">
      <c r="A19" s="15" t="s">
        <v>579</v>
      </c>
      <c r="B19" s="17" t="n">
        <v>2808</v>
      </c>
      <c r="C19" s="18">
        <f>(2507.0/B19*100)</f>
        <v/>
      </c>
      <c r="D19" s="19" t="n">
        <v>301</v>
      </c>
      <c r="E19" s="18" t="n">
        <v>54.17604664</v>
      </c>
      <c r="F19" s="20" t="n">
        <v>3.14191948</v>
      </c>
      <c r="G19" s="18" t="n">
        <v>44.8105321</v>
      </c>
      <c r="H19" s="20" t="n">
        <v>3.19521447</v>
      </c>
      <c r="I19" s="18" t="s">
        <v>567</v>
      </c>
      <c r="J19" s="20" t="s">
        <v>567</v>
      </c>
      <c r="K19" s="18" t="n">
        <v>0</v>
      </c>
      <c r="L19" s="20" t="n">
        <v>0</v>
      </c>
      <c r="M19" s="18" t="n">
        <v>0</v>
      </c>
      <c r="N19" s="20" t="n">
        <v>0</v>
      </c>
      <c r="O19" s="18" t="n">
        <v>0</v>
      </c>
      <c r="P19" s="20" t="n">
        <v>0</v>
      </c>
      <c r="Q19" s="18" t="n">
        <v>1.01342126</v>
      </c>
      <c r="R19" s="20" t="n">
        <v>0.60026432</v>
      </c>
    </row>
    <row r="20" spans="1:18">
      <c r="A20" s="15" t="s">
        <v>580</v>
      </c>
      <c r="B20" s="17" t="n">
        <v>1630</v>
      </c>
      <c r="C20" s="18">
        <f>(1453.0/B20*100)</f>
        <v/>
      </c>
      <c r="D20" s="19" t="n">
        <v>177</v>
      </c>
      <c r="E20" s="18" t="n">
        <v>49.7049557</v>
      </c>
      <c r="F20" s="20" t="n">
        <v>3.37579994</v>
      </c>
      <c r="G20" s="18" t="n">
        <v>48.14440094</v>
      </c>
      <c r="H20" s="20" t="n">
        <v>3.47479392</v>
      </c>
      <c r="I20" s="18" t="s">
        <v>567</v>
      </c>
      <c r="J20" s="20" t="s">
        <v>567</v>
      </c>
      <c r="K20" s="18" t="n">
        <v>0.55847336</v>
      </c>
      <c r="L20" s="20" t="n">
        <v>0.56712011</v>
      </c>
      <c r="M20" s="18" t="n">
        <v>0</v>
      </c>
      <c r="N20" s="20" t="n">
        <v>0</v>
      </c>
      <c r="O20" s="18" t="n">
        <v>0</v>
      </c>
      <c r="P20" s="20" t="n">
        <v>0</v>
      </c>
      <c r="Q20" s="18" t="n">
        <v>1.59216999</v>
      </c>
      <c r="R20" s="20" t="n">
        <v>0.92267759</v>
      </c>
    </row>
    <row r="21" spans="1:18">
      <c r="A21" s="15" t="s">
        <v>581</v>
      </c>
      <c r="B21" s="17" t="n">
        <v>2908</v>
      </c>
      <c r="C21" s="18">
        <f>(2589.0/B21*100)</f>
        <v/>
      </c>
      <c r="D21" s="19" t="n">
        <v>319</v>
      </c>
      <c r="E21" s="18" t="n">
        <v>44.27432786</v>
      </c>
      <c r="F21" s="20" t="n">
        <v>2.89954906</v>
      </c>
      <c r="G21" s="18" t="n">
        <v>54.30083757</v>
      </c>
      <c r="H21" s="20" t="n">
        <v>3.01332451</v>
      </c>
      <c r="I21" s="18" t="s">
        <v>567</v>
      </c>
      <c r="J21" s="20" t="s">
        <v>567</v>
      </c>
      <c r="K21" s="18" t="n">
        <v>0.25899989</v>
      </c>
      <c r="L21" s="20" t="n">
        <v>0.25759498</v>
      </c>
      <c r="M21" s="18" t="n">
        <v>0</v>
      </c>
      <c r="N21" s="20" t="n">
        <v>0</v>
      </c>
      <c r="O21" s="18" t="n">
        <v>0</v>
      </c>
      <c r="P21" s="20" t="n">
        <v>0</v>
      </c>
      <c r="Q21" s="18" t="n">
        <v>1.16583468</v>
      </c>
      <c r="R21" s="20" t="n">
        <v>0.63846844</v>
      </c>
    </row>
    <row r="22" spans="1:18">
      <c r="A22" s="15" t="s">
        <v>582</v>
      </c>
      <c r="B22" s="17" t="n">
        <v>2931</v>
      </c>
      <c r="C22" s="18">
        <f>(2608.0/B22*100)</f>
        <v/>
      </c>
      <c r="D22" s="19" t="n">
        <v>323</v>
      </c>
      <c r="E22" s="18" t="n">
        <v>57.98338148</v>
      </c>
      <c r="F22" s="20" t="n">
        <v>3.04496952</v>
      </c>
      <c r="G22" s="18" t="n">
        <v>40.3015112</v>
      </c>
      <c r="H22" s="20" t="n">
        <v>2.97146953</v>
      </c>
      <c r="I22" s="18" t="s">
        <v>567</v>
      </c>
      <c r="J22" s="20" t="s">
        <v>567</v>
      </c>
      <c r="K22" s="18" t="n">
        <v>0.79807566</v>
      </c>
      <c r="L22" s="20" t="n">
        <v>0.44993449</v>
      </c>
      <c r="M22" s="18" t="n">
        <v>0</v>
      </c>
      <c r="N22" s="20" t="n">
        <v>0</v>
      </c>
      <c r="O22" s="18" t="n">
        <v>0</v>
      </c>
      <c r="P22" s="20" t="n">
        <v>0</v>
      </c>
      <c r="Q22" s="18" t="n">
        <v>0.91703166</v>
      </c>
      <c r="R22" s="20" t="n">
        <v>0.26485315</v>
      </c>
    </row>
    <row r="23" spans="1:18">
      <c r="A23" s="15" t="s">
        <v>583</v>
      </c>
      <c r="B23" s="17" t="n">
        <v>5791</v>
      </c>
      <c r="C23" s="18">
        <f>(5183.0/B23*100)</f>
        <v/>
      </c>
      <c r="D23" s="19" t="n">
        <v>608</v>
      </c>
      <c r="E23" s="18" t="n">
        <v>45.04869251</v>
      </c>
      <c r="F23" s="20" t="n">
        <v>2.92012953</v>
      </c>
      <c r="G23" s="18" t="n">
        <v>54.04907911</v>
      </c>
      <c r="H23" s="20" t="n">
        <v>2.91203844</v>
      </c>
      <c r="I23" s="18" t="s">
        <v>567</v>
      </c>
      <c r="J23" s="20" t="s">
        <v>567</v>
      </c>
      <c r="K23" s="18" t="n">
        <v>0.1478351</v>
      </c>
      <c r="L23" s="20" t="n">
        <v>0.13460939</v>
      </c>
      <c r="M23" s="18" t="n">
        <v>0</v>
      </c>
      <c r="N23" s="20" t="n">
        <v>0</v>
      </c>
      <c r="O23" s="18" t="n">
        <v>0</v>
      </c>
      <c r="P23" s="20" t="n">
        <v>0</v>
      </c>
      <c r="Q23" s="18" t="n">
        <v>0.7543932800000001</v>
      </c>
      <c r="R23" s="20" t="n">
        <v>0.52844121</v>
      </c>
    </row>
    <row r="24" spans="1:18">
      <c r="A24" s="15" t="s">
        <v>584</v>
      </c>
      <c r="B24" s="17" t="n">
        <v>3338</v>
      </c>
      <c r="C24" s="18">
        <f>(2970.0/B24*100)</f>
        <v/>
      </c>
      <c r="D24" s="19" t="n">
        <v>368</v>
      </c>
      <c r="E24" s="18" t="n">
        <v>36.27778521</v>
      </c>
      <c r="F24" s="20" t="n">
        <v>2.80862653</v>
      </c>
      <c r="G24" s="18" t="n">
        <v>63.43005231</v>
      </c>
      <c r="H24" s="20" t="n">
        <v>2.82720996</v>
      </c>
      <c r="I24" s="18" t="s">
        <v>567</v>
      </c>
      <c r="J24" s="20" t="s">
        <v>567</v>
      </c>
      <c r="K24" s="18" t="n">
        <v>0</v>
      </c>
      <c r="L24" s="20" t="n">
        <v>0</v>
      </c>
      <c r="M24" s="18" t="n">
        <v>0</v>
      </c>
      <c r="N24" s="20" t="n">
        <v>0</v>
      </c>
      <c r="O24" s="18" t="n">
        <v>0</v>
      </c>
      <c r="P24" s="20" t="n">
        <v>0</v>
      </c>
      <c r="Q24" s="18" t="n">
        <v>0.29216248</v>
      </c>
      <c r="R24" s="20" t="n">
        <v>0.28587666</v>
      </c>
    </row>
    <row r="25" spans="1:18">
      <c r="A25" s="15" t="s">
        <v>585</v>
      </c>
      <c r="B25" s="17" t="n">
        <v>2912</v>
      </c>
      <c r="C25" s="18">
        <f>(2601.0/B25*100)</f>
        <v/>
      </c>
      <c r="D25" s="19" t="n">
        <v>311</v>
      </c>
      <c r="E25" s="18" t="n">
        <v>42.91787489</v>
      </c>
      <c r="F25" s="20" t="n">
        <v>3.2338819</v>
      </c>
      <c r="G25" s="18" t="n">
        <v>56.45982299</v>
      </c>
      <c r="H25" s="20" t="n">
        <v>3.29888962</v>
      </c>
      <c r="I25" s="18" t="s">
        <v>567</v>
      </c>
      <c r="J25" s="20" t="s">
        <v>567</v>
      </c>
      <c r="K25" s="18" t="n">
        <v>0.62230212</v>
      </c>
      <c r="L25" s="20" t="n">
        <v>0.45412028</v>
      </c>
      <c r="M25" s="18" t="n">
        <v>0</v>
      </c>
      <c r="N25" s="20" t="n">
        <v>0</v>
      </c>
      <c r="O25" s="18" t="n">
        <v>0</v>
      </c>
      <c r="P25" s="20" t="n">
        <v>0</v>
      </c>
      <c r="Q25" s="18" t="n">
        <v>0</v>
      </c>
      <c r="R25" s="20" t="n">
        <v>0</v>
      </c>
    </row>
    <row r="26" spans="1:18">
      <c r="A26" s="15" t="s">
        <v>586</v>
      </c>
      <c r="B26" s="17" t="n">
        <v>2450</v>
      </c>
      <c r="C26" s="18">
        <f>(2171.0/B26*100)</f>
        <v/>
      </c>
      <c r="D26" s="19" t="n">
        <v>279</v>
      </c>
      <c r="E26" s="18" t="n">
        <v>43.64852338</v>
      </c>
      <c r="F26" s="20" t="n">
        <v>3.52719249</v>
      </c>
      <c r="G26" s="18" t="n">
        <v>56.35147662</v>
      </c>
      <c r="H26" s="20" t="n">
        <v>3.52719249</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(2342.0/B27*100)</f>
        <v/>
      </c>
      <c r="D27" s="19" t="n">
        <v>274</v>
      </c>
      <c r="E27" s="18" t="n">
        <v>44.32174042</v>
      </c>
      <c r="F27" s="20" t="n">
        <v>2.82617773</v>
      </c>
      <c r="G27" s="18" t="n">
        <v>52.06376855</v>
      </c>
      <c r="H27" s="20" t="n">
        <v>2.98100063</v>
      </c>
      <c r="I27" s="18" t="s">
        <v>567</v>
      </c>
      <c r="J27" s="20" t="s">
        <v>567</v>
      </c>
      <c r="K27" s="18" t="n">
        <v>0.7344024300000001</v>
      </c>
      <c r="L27" s="20" t="n">
        <v>0.52113365</v>
      </c>
      <c r="M27" s="18" t="n">
        <v>0</v>
      </c>
      <c r="N27" s="20" t="n">
        <v>0</v>
      </c>
      <c r="O27" s="18" t="n">
        <v>0</v>
      </c>
      <c r="P27" s="20" t="n">
        <v>0</v>
      </c>
      <c r="Q27" s="18" t="n">
        <v>2.88008859</v>
      </c>
      <c r="R27" s="20" t="n">
        <v>0.99075175</v>
      </c>
    </row>
    <row r="28" spans="1:18">
      <c r="A28" s="15" t="s">
        <v>588</v>
      </c>
      <c r="B28" s="17" t="n">
        <v>3765</v>
      </c>
      <c r="C28" s="18">
        <f>(3375.0/B28*100)</f>
        <v/>
      </c>
      <c r="D28" s="19" t="n">
        <v>390</v>
      </c>
      <c r="E28" s="18" t="n">
        <v>70.21264705999999</v>
      </c>
      <c r="F28" s="20" t="n">
        <v>2.55724085</v>
      </c>
      <c r="G28" s="18" t="n">
        <v>29.78735294</v>
      </c>
      <c r="H28" s="20" t="n">
        <v>2.55724085</v>
      </c>
      <c r="I28" s="18" t="s">
        <v>567</v>
      </c>
      <c r="J28" s="20" t="s">
        <v>567</v>
      </c>
      <c r="K28" s="18" t="n">
        <v>0</v>
      </c>
      <c r="L28" s="20" t="n">
        <v>0</v>
      </c>
      <c r="M28" s="18" t="n">
        <v>0</v>
      </c>
      <c r="N28" s="20" t="n">
        <v>0</v>
      </c>
      <c r="O28" s="18" t="n">
        <v>0</v>
      </c>
      <c r="P28" s="20" t="n">
        <v>0</v>
      </c>
      <c r="Q28" s="18" t="n">
        <v>0</v>
      </c>
      <c r="R28" s="20" t="n">
        <v>0</v>
      </c>
    </row>
    <row r="29" spans="1:18">
      <c r="A29" s="15" t="s">
        <v>589</v>
      </c>
      <c r="B29" s="17" t="n">
        <v>2685</v>
      </c>
      <c r="C29" s="18">
        <f>(2394.0/B29*100)</f>
        <v/>
      </c>
      <c r="D29" s="19" t="n">
        <v>291</v>
      </c>
      <c r="E29" s="18" t="n">
        <v>45.88690343</v>
      </c>
      <c r="F29" s="20" t="n">
        <v>3.1048888</v>
      </c>
      <c r="G29" s="18" t="n">
        <v>53.43483338</v>
      </c>
      <c r="H29" s="20" t="n">
        <v>3.12208379</v>
      </c>
      <c r="I29" s="18" t="s">
        <v>567</v>
      </c>
      <c r="J29" s="20" t="s">
        <v>567</v>
      </c>
      <c r="K29" s="18" t="n">
        <v>0</v>
      </c>
      <c r="L29" s="20" t="n">
        <v>0</v>
      </c>
      <c r="M29" s="18" t="n">
        <v>0</v>
      </c>
      <c r="N29" s="20" t="n">
        <v>0</v>
      </c>
      <c r="O29" s="18" t="n">
        <v>0</v>
      </c>
      <c r="P29" s="20" t="n">
        <v>0</v>
      </c>
      <c r="Q29" s="18" t="n">
        <v>0.67826319</v>
      </c>
      <c r="R29" s="20" t="n">
        <v>0.47898388</v>
      </c>
    </row>
    <row r="30" spans="1:18">
      <c r="A30" s="15" t="s">
        <v>590</v>
      </c>
      <c r="B30" s="17" t="n">
        <v>2263</v>
      </c>
      <c r="C30" s="18">
        <f>(2033.0/B30*100)</f>
        <v/>
      </c>
      <c r="D30" s="19" t="n">
        <v>230</v>
      </c>
      <c r="E30" s="18" t="n">
        <v>46.98210884</v>
      </c>
      <c r="F30" s="20" t="n">
        <v>3.38577326</v>
      </c>
      <c r="G30" s="18" t="n">
        <v>50.80533807</v>
      </c>
      <c r="H30" s="20" t="n">
        <v>3.25741345</v>
      </c>
      <c r="I30" s="18" t="s">
        <v>567</v>
      </c>
      <c r="J30" s="20" t="s">
        <v>567</v>
      </c>
      <c r="K30" s="18" t="n">
        <v>0</v>
      </c>
      <c r="L30" s="20" t="n">
        <v>0</v>
      </c>
      <c r="M30" s="18" t="n">
        <v>0</v>
      </c>
      <c r="N30" s="20" t="n">
        <v>0</v>
      </c>
      <c r="O30" s="18" t="n">
        <v>0</v>
      </c>
      <c r="P30" s="20" t="n">
        <v>0</v>
      </c>
      <c r="Q30" s="18" t="n">
        <v>2.21255308</v>
      </c>
      <c r="R30" s="20" t="n">
        <v>1.06085904</v>
      </c>
    </row>
    <row r="31" spans="1:18">
      <c r="A31" s="15" t="s">
        <v>591</v>
      </c>
      <c r="B31" s="17" t="n">
        <v>2750</v>
      </c>
      <c r="C31" s="18">
        <f>(2437.0/B31*100)</f>
        <v/>
      </c>
      <c r="D31" s="19" t="n">
        <v>313</v>
      </c>
      <c r="E31" s="18" t="n">
        <v>53.60658378</v>
      </c>
      <c r="F31" s="20" t="n">
        <v>2.5379192</v>
      </c>
      <c r="G31" s="18" t="n">
        <v>45.01591474</v>
      </c>
      <c r="H31" s="20" t="n">
        <v>2.50846708</v>
      </c>
      <c r="I31" s="18" t="s">
        <v>567</v>
      </c>
      <c r="J31" s="20" t="s">
        <v>567</v>
      </c>
      <c r="K31" s="18" t="n">
        <v>0</v>
      </c>
      <c r="L31" s="20" t="n">
        <v>0</v>
      </c>
      <c r="M31" s="18" t="n">
        <v>0</v>
      </c>
      <c r="N31" s="20" t="n">
        <v>0</v>
      </c>
      <c r="O31" s="18" t="n">
        <v>0</v>
      </c>
      <c r="P31" s="20" t="n">
        <v>0</v>
      </c>
      <c r="Q31" s="18" t="n">
        <v>1.37750148</v>
      </c>
      <c r="R31" s="20" t="n">
        <v>0.69188345</v>
      </c>
    </row>
    <row r="32" spans="1:18">
      <c r="A32" s="15" t="s">
        <v>592</v>
      </c>
      <c r="B32" s="17" t="n">
        <v>2269</v>
      </c>
      <c r="C32" s="18">
        <f>(2003.0/B32*100)</f>
        <v/>
      </c>
      <c r="D32" s="19" t="n">
        <v>266</v>
      </c>
      <c r="E32" s="18" t="n">
        <v>44.4517455</v>
      </c>
      <c r="F32" s="20" t="n">
        <v>3.18647053</v>
      </c>
      <c r="G32" s="18" t="n">
        <v>55.5482545</v>
      </c>
      <c r="H32" s="20" t="n">
        <v>3.18647053</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(3249.0/B33*100)</f>
        <v/>
      </c>
      <c r="D33" s="19" t="n">
        <v>425</v>
      </c>
      <c r="E33" s="18" t="n">
        <v>44.79050314</v>
      </c>
      <c r="F33" s="20" t="n">
        <v>2.98034419</v>
      </c>
      <c r="G33" s="18" t="n">
        <v>54.37901368</v>
      </c>
      <c r="H33" s="20" t="n">
        <v>2.91515161</v>
      </c>
      <c r="I33" s="18" t="s">
        <v>567</v>
      </c>
      <c r="J33" s="20" t="s">
        <v>567</v>
      </c>
      <c r="K33" s="18" t="n">
        <v>0.35651114</v>
      </c>
      <c r="L33" s="20" t="n">
        <v>0.32039399</v>
      </c>
      <c r="M33" s="18" t="n">
        <v>0</v>
      </c>
      <c r="N33" s="20" t="n">
        <v>0</v>
      </c>
      <c r="O33" s="18" t="n">
        <v>0</v>
      </c>
      <c r="P33" s="20" t="n">
        <v>0</v>
      </c>
      <c r="Q33" s="18" t="n">
        <v>0.47397204</v>
      </c>
      <c r="R33" s="20" t="n">
        <v>0.34814095</v>
      </c>
    </row>
    <row r="34" spans="1:18">
      <c r="A34" s="15" t="s">
        <v>594</v>
      </c>
      <c r="B34" s="17" t="n">
        <v>3315</v>
      </c>
      <c r="C34" s="18">
        <f>(2952.0/B34*100)</f>
        <v/>
      </c>
      <c r="D34" s="19" t="n">
        <v>363</v>
      </c>
      <c r="E34" s="18" t="n">
        <v>50.5564145</v>
      </c>
      <c r="F34" s="20" t="n">
        <v>2.69582904</v>
      </c>
      <c r="G34" s="18" t="n">
        <v>48.65358745</v>
      </c>
      <c r="H34" s="20" t="n">
        <v>2.6808802</v>
      </c>
      <c r="I34" s="18" t="s">
        <v>567</v>
      </c>
      <c r="J34" s="20" t="s">
        <v>567</v>
      </c>
      <c r="K34" s="18" t="n">
        <v>0</v>
      </c>
      <c r="L34" s="20" t="n">
        <v>0</v>
      </c>
      <c r="M34" s="18" t="n">
        <v>0</v>
      </c>
      <c r="N34" s="20" t="n">
        <v>0</v>
      </c>
      <c r="O34" s="18" t="n">
        <v>0</v>
      </c>
      <c r="P34" s="20" t="n">
        <v>0</v>
      </c>
      <c r="Q34" s="18" t="n">
        <v>0.78999805</v>
      </c>
      <c r="R34" s="20" t="n">
        <v>0.57247198</v>
      </c>
    </row>
    <row r="35" spans="1:18">
      <c r="A35" s="15" t="s">
        <v>595</v>
      </c>
      <c r="B35" s="17" t="n">
        <v>3505</v>
      </c>
      <c r="C35" s="18">
        <f>(3142.0/B35*100)</f>
        <v/>
      </c>
      <c r="D35" s="19" t="n">
        <v>363</v>
      </c>
      <c r="E35" s="18" t="n">
        <v>37.31089904</v>
      </c>
      <c r="F35" s="20" t="n">
        <v>2.95353323</v>
      </c>
      <c r="G35" s="18" t="n">
        <v>61.56622562</v>
      </c>
      <c r="H35" s="20" t="n">
        <v>2.96445778</v>
      </c>
      <c r="I35" s="18" t="s">
        <v>567</v>
      </c>
      <c r="J35" s="20" t="s">
        <v>567</v>
      </c>
      <c r="K35" s="18" t="n">
        <v>0</v>
      </c>
      <c r="L35" s="20" t="n">
        <v>0</v>
      </c>
      <c r="M35" s="18" t="n">
        <v>0</v>
      </c>
      <c r="N35" s="20" t="n">
        <v>0</v>
      </c>
      <c r="O35" s="18" t="n">
        <v>0</v>
      </c>
      <c r="P35" s="20" t="n">
        <v>0</v>
      </c>
      <c r="Q35" s="18" t="n">
        <v>1.12287534</v>
      </c>
      <c r="R35" s="20" t="n">
        <v>0.56301621</v>
      </c>
    </row>
    <row r="36" spans="1:18">
      <c r="A36" s="15" t="s">
        <v>596</v>
      </c>
      <c r="B36" s="17" t="n">
        <v>3332</v>
      </c>
      <c r="C36" s="18">
        <f>(2979.0/B36*100)</f>
        <v/>
      </c>
      <c r="D36" s="19" t="n">
        <v>353</v>
      </c>
      <c r="E36" s="18" t="n">
        <v>40.74918768</v>
      </c>
      <c r="F36" s="20" t="n">
        <v>2.50692395</v>
      </c>
      <c r="G36" s="18" t="n">
        <v>57.90108962</v>
      </c>
      <c r="H36" s="20" t="n">
        <v>2.58446428</v>
      </c>
      <c r="I36" s="18" t="s">
        <v>567</v>
      </c>
      <c r="J36" s="20" t="s">
        <v>567</v>
      </c>
      <c r="K36" s="18" t="n">
        <v>0.3327259</v>
      </c>
      <c r="L36" s="20" t="n">
        <v>0.24636474</v>
      </c>
      <c r="M36" s="18" t="n">
        <v>0</v>
      </c>
      <c r="N36" s="20" t="n">
        <v>0</v>
      </c>
      <c r="O36" s="18" t="n">
        <v>0</v>
      </c>
      <c r="P36" s="20" t="n">
        <v>0</v>
      </c>
      <c r="Q36" s="18" t="n">
        <v>1.01699681</v>
      </c>
      <c r="R36" s="20" t="n">
        <v>0.64202265</v>
      </c>
    </row>
    <row r="37" spans="1:18">
      <c r="A37" s="15" t="s">
        <v>597</v>
      </c>
      <c r="B37" s="17" t="n">
        <v>2727</v>
      </c>
      <c r="C37" s="18">
        <f>(2430.0/B37*100)</f>
        <v/>
      </c>
      <c r="D37" s="19" t="n">
        <v>297</v>
      </c>
      <c r="E37" s="18" t="n">
        <v>65.24754661</v>
      </c>
      <c r="F37" s="20" t="n">
        <v>3.18811187</v>
      </c>
      <c r="G37" s="18" t="n">
        <v>32.17871881</v>
      </c>
      <c r="H37" s="20" t="n">
        <v>3.08604287</v>
      </c>
      <c r="I37" s="18" t="s">
        <v>567</v>
      </c>
      <c r="J37" s="20" t="s">
        <v>567</v>
      </c>
      <c r="K37" s="18" t="n">
        <v>0.61793563</v>
      </c>
      <c r="L37" s="20" t="n">
        <v>0.43632219</v>
      </c>
      <c r="M37" s="18" t="n">
        <v>0</v>
      </c>
      <c r="N37" s="20" t="n">
        <v>0</v>
      </c>
      <c r="O37" s="18" t="n">
        <v>0</v>
      </c>
      <c r="P37" s="20" t="n">
        <v>0</v>
      </c>
      <c r="Q37" s="18" t="n">
        <v>1.95579895</v>
      </c>
      <c r="R37" s="20" t="n">
        <v>0.92357405</v>
      </c>
    </row>
    <row r="38" spans="1:18">
      <c r="A38" s="15" t="s">
        <v>598</v>
      </c>
      <c r="B38" s="17" t="n">
        <v>3053</v>
      </c>
      <c r="C38" s="18">
        <f>(2712.0/B38*100)</f>
        <v/>
      </c>
      <c r="D38" s="19" t="n">
        <v>341</v>
      </c>
      <c r="E38" s="18" t="n">
        <v>41.45936895</v>
      </c>
      <c r="F38" s="20" t="n">
        <v>3.09241808</v>
      </c>
      <c r="G38" s="18" t="n">
        <v>55.36935104</v>
      </c>
      <c r="H38" s="20" t="n">
        <v>3.17108399</v>
      </c>
      <c r="I38" s="18" t="s">
        <v>567</v>
      </c>
      <c r="J38" s="20" t="s">
        <v>567</v>
      </c>
      <c r="K38" s="18" t="n">
        <v>0.39669165</v>
      </c>
      <c r="L38" s="20" t="n">
        <v>0.32787939</v>
      </c>
      <c r="M38" s="18" t="n">
        <v>0</v>
      </c>
      <c r="N38" s="20" t="n">
        <v>0</v>
      </c>
      <c r="O38" s="18" t="n">
        <v>0</v>
      </c>
      <c r="P38" s="20" t="n">
        <v>0</v>
      </c>
      <c r="Q38" s="18" t="n">
        <v>2.77458836</v>
      </c>
      <c r="R38" s="20" t="n">
        <v>1.77029751</v>
      </c>
    </row>
    <row r="39" spans="1:18">
      <c r="A39" s="15" t="s">
        <v>599</v>
      </c>
      <c r="B39" s="17" t="n">
        <v>2957</v>
      </c>
      <c r="C39" s="18">
        <f>(2614.0/B39*100)</f>
        <v/>
      </c>
      <c r="D39" s="19" t="n">
        <v>343</v>
      </c>
      <c r="E39" s="18" t="n">
        <v>70.05773311</v>
      </c>
      <c r="F39" s="20" t="n">
        <v>2.72637598</v>
      </c>
      <c r="G39" s="18" t="n">
        <v>29.35578569</v>
      </c>
      <c r="H39" s="20" t="n">
        <v>2.72082401</v>
      </c>
      <c r="I39" s="18" t="s">
        <v>567</v>
      </c>
      <c r="J39" s="20" t="s">
        <v>567</v>
      </c>
      <c r="K39" s="18" t="n">
        <v>0</v>
      </c>
      <c r="L39" s="20" t="n">
        <v>0</v>
      </c>
      <c r="M39" s="18" t="n">
        <v>0</v>
      </c>
      <c r="N39" s="20" t="n">
        <v>0</v>
      </c>
      <c r="O39" s="18" t="n">
        <v>0</v>
      </c>
      <c r="P39" s="20" t="n">
        <v>0</v>
      </c>
      <c r="Q39" s="18" t="n">
        <v>0.5864812</v>
      </c>
      <c r="R39" s="20" t="n">
        <v>0.42959677</v>
      </c>
    </row>
    <row r="40" spans="1:18">
      <c r="A40" s="15" t="s">
        <v>600</v>
      </c>
      <c r="B40" s="17" t="n">
        <v>7235</v>
      </c>
      <c r="C40" s="18">
        <f>(6452.0/B40*100)</f>
        <v/>
      </c>
      <c r="D40" s="19" t="n">
        <v>783</v>
      </c>
      <c r="E40" s="18" t="n">
        <v>39.05884489</v>
      </c>
      <c r="F40" s="20" t="n">
        <v>2.61526414</v>
      </c>
      <c r="G40" s="18" t="n">
        <v>59.90194089</v>
      </c>
      <c r="H40" s="20" t="n">
        <v>2.6108963</v>
      </c>
      <c r="I40" s="18" t="s">
        <v>567</v>
      </c>
      <c r="J40" s="20" t="s">
        <v>567</v>
      </c>
      <c r="K40" s="18" t="n">
        <v>0.15207526</v>
      </c>
      <c r="L40" s="20" t="n">
        <v>0.15197568</v>
      </c>
      <c r="M40" s="18" t="n">
        <v>0</v>
      </c>
      <c r="N40" s="20" t="n">
        <v>0</v>
      </c>
      <c r="O40" s="18" t="n">
        <v>0</v>
      </c>
      <c r="P40" s="20" t="n">
        <v>0</v>
      </c>
      <c r="Q40" s="18" t="n">
        <v>0.88713895</v>
      </c>
      <c r="R40" s="20" t="n">
        <v>0.50588858</v>
      </c>
    </row>
    <row r="41" spans="1:18">
      <c r="A41" s="15" t="s">
        <v>601</v>
      </c>
      <c r="B41" s="17" t="n">
        <v>2858</v>
      </c>
      <c r="C41" s="18">
        <f>(2536.0/B41*100)</f>
        <v/>
      </c>
      <c r="D41" s="19" t="n">
        <v>322</v>
      </c>
      <c r="E41" s="18" t="n">
        <v>47.27106379</v>
      </c>
      <c r="F41" s="20" t="n">
        <v>3.61257226</v>
      </c>
      <c r="G41" s="18" t="n">
        <v>52.26116558</v>
      </c>
      <c r="H41" s="20" t="n">
        <v>3.59944296</v>
      </c>
      <c r="I41" s="18" t="s">
        <v>567</v>
      </c>
      <c r="J41" s="20" t="s">
        <v>567</v>
      </c>
      <c r="K41" s="18" t="n">
        <v>0</v>
      </c>
      <c r="L41" s="20" t="n">
        <v>0</v>
      </c>
      <c r="M41" s="18" t="n">
        <v>0</v>
      </c>
      <c r="N41" s="20" t="n">
        <v>0</v>
      </c>
      <c r="O41" s="18" t="n">
        <v>0</v>
      </c>
      <c r="P41" s="20" t="n">
        <v>0</v>
      </c>
      <c r="Q41" s="18" t="n">
        <v>0.46777063</v>
      </c>
      <c r="R41" s="20" t="n">
        <v>0.4177524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(10034.0/B46*100)</f>
        <v/>
      </c>
      <c r="D46" s="19" t="n">
        <v>1034</v>
      </c>
      <c r="E46" s="18" t="n">
        <v>62.0845656</v>
      </c>
      <c r="F46" s="20" t="n">
        <v>1.93807073</v>
      </c>
      <c r="G46" s="18" t="n">
        <v>35.21213983</v>
      </c>
      <c r="H46" s="20" t="n">
        <v>1.95790348</v>
      </c>
      <c r="I46" s="18" t="s">
        <v>567</v>
      </c>
      <c r="J46" s="20" t="s">
        <v>567</v>
      </c>
      <c r="K46" s="18" t="n">
        <v>0.90470888</v>
      </c>
      <c r="L46" s="20" t="n">
        <v>0.3856127</v>
      </c>
      <c r="M46" s="18" t="n">
        <v>0</v>
      </c>
      <c r="N46" s="20" t="n">
        <v>0</v>
      </c>
      <c r="O46" s="18" t="n">
        <v>0</v>
      </c>
      <c r="P46" s="20" t="n">
        <v>0</v>
      </c>
      <c r="Q46" s="18" t="n">
        <v>1.79858569</v>
      </c>
      <c r="R46" s="20" t="n">
        <v>0.5218065</v>
      </c>
    </row>
    <row r="47" spans="1:18">
      <c r="A47" s="15" t="s">
        <v>607</v>
      </c>
      <c r="B47" s="17" t="n">
        <v>3105</v>
      </c>
      <c r="C47" s="18">
        <f>(2754.0/B47*100)</f>
        <v/>
      </c>
      <c r="D47" s="19" t="n">
        <v>351</v>
      </c>
      <c r="E47" s="18" t="n">
        <v>55.67624705</v>
      </c>
      <c r="F47" s="20" t="n">
        <v>2.87810175</v>
      </c>
      <c r="G47" s="18" t="n">
        <v>42.39080336</v>
      </c>
      <c r="H47" s="20" t="n">
        <v>2.89065223</v>
      </c>
      <c r="I47" s="18" t="s">
        <v>567</v>
      </c>
      <c r="J47" s="20" t="s">
        <v>567</v>
      </c>
      <c r="K47" s="18" t="n">
        <v>0.29149034</v>
      </c>
      <c r="L47" s="20" t="n">
        <v>0.41075748</v>
      </c>
      <c r="M47" s="18" t="n">
        <v>0</v>
      </c>
      <c r="N47" s="20" t="n">
        <v>0</v>
      </c>
      <c r="O47" s="18" t="n">
        <v>0</v>
      </c>
      <c r="P47" s="20" t="n">
        <v>0</v>
      </c>
      <c r="Q47" s="18" t="n">
        <v>1.64145925</v>
      </c>
      <c r="R47" s="20" t="n">
        <v>0.79003605</v>
      </c>
    </row>
    <row r="48" spans="1:18">
      <c r="A48" s="15" t="s">
        <v>608</v>
      </c>
      <c r="B48" s="17" t="n">
        <v>5159</v>
      </c>
      <c r="C48" s="18">
        <f>(4559.0/B48*100)</f>
        <v/>
      </c>
      <c r="D48" s="19" t="n">
        <v>600</v>
      </c>
      <c r="E48" s="18" t="n">
        <v>50.04736448</v>
      </c>
      <c r="F48" s="20" t="n">
        <v>2.56530017</v>
      </c>
      <c r="G48" s="18" t="n">
        <v>49.84602515</v>
      </c>
      <c r="H48" s="20" t="n">
        <v>2.57262655</v>
      </c>
      <c r="I48" s="18" t="s">
        <v>567</v>
      </c>
      <c r="J48" s="20" t="s">
        <v>567</v>
      </c>
      <c r="K48" s="18" t="n">
        <v>0.10661037</v>
      </c>
      <c r="L48" s="20" t="n">
        <v>0.07498389</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(4971.0/B50*100)</f>
        <v/>
      </c>
      <c r="D50" s="19" t="n">
        <v>666</v>
      </c>
      <c r="E50" s="18" t="n">
        <v>66.02943537</v>
      </c>
      <c r="F50" s="20" t="n">
        <v>2.9179436</v>
      </c>
      <c r="G50" s="18" t="n">
        <v>31.45188099</v>
      </c>
      <c r="H50" s="20" t="n">
        <v>2.61772615</v>
      </c>
      <c r="I50" s="18" t="s">
        <v>567</v>
      </c>
      <c r="J50" s="20" t="s">
        <v>567</v>
      </c>
      <c r="K50" s="18" t="n">
        <v>1.68710395</v>
      </c>
      <c r="L50" s="20" t="n">
        <v>0.8902274999999999</v>
      </c>
      <c r="M50" s="18" t="n">
        <v>0</v>
      </c>
      <c r="N50" s="20" t="n">
        <v>0</v>
      </c>
      <c r="O50" s="18" t="n">
        <v>0</v>
      </c>
      <c r="P50" s="20" t="n">
        <v>0</v>
      </c>
      <c r="Q50" s="18" t="n">
        <v>0.8315797</v>
      </c>
      <c r="R50" s="20" t="n">
        <v>0.40867381</v>
      </c>
    </row>
    <row r="51" spans="1:18">
      <c r="A51" s="15" t="s">
        <v>611</v>
      </c>
      <c r="B51" s="17" t="n">
        <v>3372</v>
      </c>
      <c r="C51" s="18">
        <f>(3057.0/B51*100)</f>
        <v/>
      </c>
      <c r="D51" s="19" t="n">
        <v>315</v>
      </c>
      <c r="E51" s="18" t="n">
        <v>66.77199327</v>
      </c>
      <c r="F51" s="20" t="n">
        <v>2.62452669</v>
      </c>
      <c r="G51" s="18" t="n">
        <v>33.22800673</v>
      </c>
      <c r="H51" s="20" t="n">
        <v>2.62452669</v>
      </c>
      <c r="I51" s="18" t="s">
        <v>567</v>
      </c>
      <c r="J51" s="20" t="s">
        <v>567</v>
      </c>
      <c r="K51" s="18" t="n">
        <v>0</v>
      </c>
      <c r="L51" s="20" t="n">
        <v>0</v>
      </c>
      <c r="M51" s="18" t="n">
        <v>0</v>
      </c>
      <c r="N51" s="20" t="n">
        <v>0</v>
      </c>
      <c r="O51" s="18" t="n">
        <v>0</v>
      </c>
      <c r="P51" s="20" t="n">
        <v>0</v>
      </c>
      <c r="Q51" s="18" t="n">
        <v>0</v>
      </c>
      <c r="R51" s="20" t="n">
        <v>0</v>
      </c>
    </row>
    <row r="52" spans="1:18">
      <c r="A52" s="15" t="s">
        <v>612</v>
      </c>
      <c r="B52" s="17" t="n">
        <v>2796</v>
      </c>
      <c r="C52" s="18">
        <f>(2477.0/B52*100)</f>
        <v/>
      </c>
      <c r="D52" s="19" t="n">
        <v>319</v>
      </c>
      <c r="E52" s="18" t="n">
        <v>41.77819461</v>
      </c>
      <c r="F52" s="20" t="n">
        <v>3.1972621</v>
      </c>
      <c r="G52" s="18" t="n">
        <v>57.68585934</v>
      </c>
      <c r="H52" s="20" t="n">
        <v>3.13991984</v>
      </c>
      <c r="I52" s="18" t="s">
        <v>567</v>
      </c>
      <c r="J52" s="20" t="s">
        <v>567</v>
      </c>
      <c r="K52" s="18" t="n">
        <v>0.23569917</v>
      </c>
      <c r="L52" s="20" t="n">
        <v>0.23726407</v>
      </c>
      <c r="M52" s="18" t="n">
        <v>0</v>
      </c>
      <c r="N52" s="20" t="n">
        <v>0</v>
      </c>
      <c r="O52" s="18" t="n">
        <v>0</v>
      </c>
      <c r="P52" s="20" t="n">
        <v>0</v>
      </c>
      <c r="Q52" s="18" t="n">
        <v>0.30024689</v>
      </c>
      <c r="R52" s="20" t="n">
        <v>0.29799573</v>
      </c>
    </row>
    <row r="53" spans="1:18">
      <c r="A53" s="15" t="s">
        <v>613</v>
      </c>
      <c r="B53" s="17" t="n">
        <v>2811</v>
      </c>
      <c r="C53" s="18">
        <f>(2501.0/B53*100)</f>
        <v/>
      </c>
      <c r="D53" s="19" t="n">
        <v>310</v>
      </c>
      <c r="E53" s="18" t="n">
        <v>60.7750158</v>
      </c>
      <c r="F53" s="20" t="n">
        <v>2.86079904</v>
      </c>
      <c r="G53" s="18" t="n">
        <v>37.35627341</v>
      </c>
      <c r="H53" s="20" t="n">
        <v>2.84938694</v>
      </c>
      <c r="I53" s="18" t="s">
        <v>567</v>
      </c>
      <c r="J53" s="20" t="s">
        <v>567</v>
      </c>
      <c r="K53" s="18" t="n">
        <v>0.60094176</v>
      </c>
      <c r="L53" s="20" t="n">
        <v>0.5941642</v>
      </c>
      <c r="M53" s="18" t="n">
        <v>0</v>
      </c>
      <c r="N53" s="20" t="n">
        <v>0</v>
      </c>
      <c r="O53" s="18" t="n">
        <v>0</v>
      </c>
      <c r="P53" s="20" t="n">
        <v>0</v>
      </c>
      <c r="Q53" s="18" t="n">
        <v>1.26776903</v>
      </c>
      <c r="R53" s="20" t="n">
        <v>0.64735119</v>
      </c>
    </row>
    <row r="54" spans="1:18">
      <c r="A54" s="15" t="s">
        <v>614</v>
      </c>
      <c r="B54" s="17" t="n">
        <v>2266</v>
      </c>
      <c r="C54" s="18">
        <f>(2013.0/B54*100)</f>
        <v/>
      </c>
      <c r="D54" s="19" t="n">
        <v>253</v>
      </c>
      <c r="E54" s="18" t="n">
        <v>73.36126786</v>
      </c>
      <c r="F54" s="20" t="n">
        <v>3.32837584</v>
      </c>
      <c r="G54" s="18" t="n">
        <v>12.76030899</v>
      </c>
      <c r="H54" s="20" t="n">
        <v>1.98224902</v>
      </c>
      <c r="I54" s="18" t="s">
        <v>567</v>
      </c>
      <c r="J54" s="20" t="s">
        <v>567</v>
      </c>
      <c r="K54" s="18" t="n">
        <v>9.25394942</v>
      </c>
      <c r="L54" s="20" t="n">
        <v>2.2851038</v>
      </c>
      <c r="M54" s="18" t="n">
        <v>0</v>
      </c>
      <c r="N54" s="20" t="n">
        <v>0</v>
      </c>
      <c r="O54" s="18" t="n">
        <v>0</v>
      </c>
      <c r="P54" s="20" t="n">
        <v>0</v>
      </c>
      <c r="Q54" s="18" t="n">
        <v>4.62447372</v>
      </c>
      <c r="R54" s="20" t="n">
        <v>1.44824837</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(2376.0/B56*100)</f>
        <v/>
      </c>
      <c r="D56" s="19" t="n">
        <v>308</v>
      </c>
      <c r="E56" s="18" t="n">
        <v>40.0772544</v>
      </c>
      <c r="F56" s="20" t="n">
        <v>3.18511428</v>
      </c>
      <c r="G56" s="18" t="n">
        <v>58.94949269</v>
      </c>
      <c r="H56" s="20" t="n">
        <v>3.1728994</v>
      </c>
      <c r="I56" s="18" t="s">
        <v>567</v>
      </c>
      <c r="J56" s="20" t="s">
        <v>567</v>
      </c>
      <c r="K56" s="18" t="n">
        <v>0.41299646</v>
      </c>
      <c r="L56" s="20" t="n">
        <v>0.35065983</v>
      </c>
      <c r="M56" s="18" t="n">
        <v>0</v>
      </c>
      <c r="N56" s="20" t="n">
        <v>0</v>
      </c>
      <c r="O56" s="18" t="n">
        <v>0</v>
      </c>
      <c r="P56" s="20" t="n">
        <v>0</v>
      </c>
      <c r="Q56" s="18" t="n">
        <v>0.56025646</v>
      </c>
      <c r="R56" s="20" t="n">
        <v>0.40133935</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(2938.0/B61*100)</f>
        <v/>
      </c>
      <c r="D61" s="19" t="n">
        <v>386</v>
      </c>
      <c r="E61" s="18" t="n">
        <v>54.761101</v>
      </c>
      <c r="F61" s="20" t="n">
        <v>2.85591268</v>
      </c>
      <c r="G61" s="18" t="n">
        <v>44.94253375</v>
      </c>
      <c r="H61" s="20" t="n">
        <v>2.88179706</v>
      </c>
      <c r="I61" s="18" t="s">
        <v>567</v>
      </c>
      <c r="J61" s="20" t="s">
        <v>567</v>
      </c>
      <c r="K61" s="18" t="n">
        <v>0</v>
      </c>
      <c r="L61" s="20" t="n">
        <v>0</v>
      </c>
      <c r="M61" s="18" t="n">
        <v>0</v>
      </c>
      <c r="N61" s="20" t="n">
        <v>0</v>
      </c>
      <c r="O61" s="18" t="n">
        <v>0</v>
      </c>
      <c r="P61" s="20" t="n">
        <v>0</v>
      </c>
      <c r="Q61" s="18" t="n">
        <v>0.29636524</v>
      </c>
      <c r="R61" s="20" t="n">
        <v>0.29571533</v>
      </c>
    </row>
    <row r="62" spans="1:18">
      <c r="A62" s="15" t="s">
        <v>622</v>
      </c>
      <c r="B62" s="17" t="n">
        <v>2246</v>
      </c>
      <c r="C62" s="18">
        <f>(1996.0/B62*100)</f>
        <v/>
      </c>
      <c r="D62" s="19" t="n">
        <v>250</v>
      </c>
      <c r="E62" s="18" t="n">
        <v>52.01674378</v>
      </c>
      <c r="F62" s="20" t="n">
        <v>3.07961766</v>
      </c>
      <c r="G62" s="18" t="n">
        <v>47.57646259</v>
      </c>
      <c r="H62" s="20" t="n">
        <v>3.06609815</v>
      </c>
      <c r="I62" s="18" t="s">
        <v>567</v>
      </c>
      <c r="J62" s="20" t="s">
        <v>567</v>
      </c>
      <c r="K62" s="18" t="n">
        <v>0</v>
      </c>
      <c r="L62" s="20" t="n">
        <v>0</v>
      </c>
      <c r="M62" s="18" t="n">
        <v>0</v>
      </c>
      <c r="N62" s="20" t="n">
        <v>0</v>
      </c>
      <c r="O62" s="18" t="n">
        <v>0</v>
      </c>
      <c r="P62" s="20" t="n">
        <v>0</v>
      </c>
      <c r="Q62" s="18" t="n">
        <v>0.40679363</v>
      </c>
      <c r="R62" s="20" t="n">
        <v>0.40742051</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(2594.0/B66*100)</f>
        <v/>
      </c>
      <c r="D66" s="19" t="n">
        <v>300</v>
      </c>
      <c r="E66" s="18" t="n">
        <v>59.22778932</v>
      </c>
      <c r="F66" s="20" t="n">
        <v>2.92200118</v>
      </c>
      <c r="G66" s="18" t="n">
        <v>37.69070273</v>
      </c>
      <c r="H66" s="20" t="n">
        <v>2.88536078</v>
      </c>
      <c r="I66" s="18" t="s">
        <v>567</v>
      </c>
      <c r="J66" s="20" t="s">
        <v>567</v>
      </c>
      <c r="K66" s="18" t="n">
        <v>0</v>
      </c>
      <c r="L66" s="20" t="n">
        <v>0</v>
      </c>
      <c r="M66" s="18" t="n">
        <v>0</v>
      </c>
      <c r="N66" s="20" t="n">
        <v>0</v>
      </c>
      <c r="O66" s="18" t="n">
        <v>0</v>
      </c>
      <c r="P66" s="20" t="n">
        <v>0</v>
      </c>
      <c r="Q66" s="18" t="n">
        <v>3.08150795</v>
      </c>
      <c r="R66" s="20" t="n">
        <v>1.05930354</v>
      </c>
    </row>
    <row r="67" spans="1:18">
      <c r="A67" s="15" t="s">
        <v>627</v>
      </c>
      <c r="B67" s="17" t="n">
        <v>3511</v>
      </c>
      <c r="C67" s="18">
        <f>(3153.0/B67*100)</f>
        <v/>
      </c>
      <c r="D67" s="19" t="n">
        <v>358</v>
      </c>
      <c r="E67" s="18" t="n">
        <v>66.31947987</v>
      </c>
      <c r="F67" s="20" t="n">
        <v>2.79441626</v>
      </c>
      <c r="G67" s="18" t="n">
        <v>33.17730099</v>
      </c>
      <c r="H67" s="20" t="n">
        <v>2.78627966</v>
      </c>
      <c r="I67" s="18" t="s">
        <v>567</v>
      </c>
      <c r="J67" s="20" t="s">
        <v>567</v>
      </c>
      <c r="K67" s="18" t="n">
        <v>0.22585881</v>
      </c>
      <c r="L67" s="20" t="n">
        <v>0.22915631</v>
      </c>
      <c r="M67" s="18" t="n">
        <v>0</v>
      </c>
      <c r="N67" s="20" t="n">
        <v>0</v>
      </c>
      <c r="O67" s="18" t="n">
        <v>0</v>
      </c>
      <c r="P67" s="20" t="n">
        <v>0</v>
      </c>
      <c r="Q67" s="18" t="n">
        <v>0.27736034</v>
      </c>
      <c r="R67" s="20" t="n">
        <v>0.27611539</v>
      </c>
    </row>
    <row r="68" spans="1:18">
      <c r="A68" s="15" t="s">
        <v>628</v>
      </c>
      <c r="B68" s="17" t="n">
        <v>6049</v>
      </c>
      <c r="C68" s="18">
        <f>(5388.0/B68*100)</f>
        <v/>
      </c>
      <c r="D68" s="19" t="n">
        <v>661</v>
      </c>
      <c r="E68" s="18" t="n">
        <v>62.54673052</v>
      </c>
      <c r="F68" s="20" t="n">
        <v>1.79777737</v>
      </c>
      <c r="G68" s="18" t="n">
        <v>33.75593661</v>
      </c>
      <c r="H68" s="20" t="n">
        <v>1.75631819</v>
      </c>
      <c r="I68" s="18" t="s">
        <v>567</v>
      </c>
      <c r="J68" s="20" t="s">
        <v>567</v>
      </c>
      <c r="K68" s="18" t="n">
        <v>2.21276736</v>
      </c>
      <c r="L68" s="20" t="n">
        <v>0.63774327</v>
      </c>
      <c r="M68" s="18" t="n">
        <v>0</v>
      </c>
      <c r="N68" s="20" t="n">
        <v>0</v>
      </c>
      <c r="O68" s="18" t="n">
        <v>0</v>
      </c>
      <c r="P68" s="20" t="n">
        <v>0</v>
      </c>
      <c r="Q68" s="18" t="n">
        <v>1.48456551</v>
      </c>
      <c r="R68" s="20" t="n">
        <v>0.45344482</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(2611.0/B70*100)</f>
        <v/>
      </c>
      <c r="D70" s="19" t="n">
        <v>318</v>
      </c>
      <c r="E70" s="18" t="n">
        <v>49.06018021</v>
      </c>
      <c r="F70" s="20" t="n">
        <v>3.25287524</v>
      </c>
      <c r="G70" s="18" t="n">
        <v>50.14514768</v>
      </c>
      <c r="H70" s="20" t="n">
        <v>3.29396889</v>
      </c>
      <c r="I70" s="18" t="s">
        <v>567</v>
      </c>
      <c r="J70" s="20" t="s">
        <v>567</v>
      </c>
      <c r="K70" s="18" t="n">
        <v>0</v>
      </c>
      <c r="L70" s="20" t="n">
        <v>0</v>
      </c>
      <c r="M70" s="18" t="n">
        <v>0</v>
      </c>
      <c r="N70" s="20" t="n">
        <v>0</v>
      </c>
      <c r="O70" s="18" t="n">
        <v>0</v>
      </c>
      <c r="P70" s="20" t="n">
        <v>0</v>
      </c>
      <c r="Q70" s="18" t="n">
        <v>0.79467212</v>
      </c>
      <c r="R70" s="20" t="n">
        <v>0.46081017</v>
      </c>
    </row>
    <row r="71" spans="1:18">
      <c r="A71" s="15" t="s">
        <v>631</v>
      </c>
      <c r="B71" s="17" t="n">
        <v>3142</v>
      </c>
      <c r="C71" s="18">
        <f>(2801.0/B71*100)</f>
        <v/>
      </c>
      <c r="D71" s="19" t="n">
        <v>341</v>
      </c>
      <c r="E71" s="18" t="n">
        <v>34.14327469</v>
      </c>
      <c r="F71" s="20" t="n">
        <v>2.54052611</v>
      </c>
      <c r="G71" s="18" t="n">
        <v>65.58504549</v>
      </c>
      <c r="H71" s="20" t="n">
        <v>2.51528379</v>
      </c>
      <c r="I71" s="18" t="s">
        <v>567</v>
      </c>
      <c r="J71" s="20" t="s">
        <v>567</v>
      </c>
      <c r="K71" s="18" t="n">
        <v>0</v>
      </c>
      <c r="L71" s="20" t="n">
        <v>0</v>
      </c>
      <c r="M71" s="18" t="n">
        <v>0</v>
      </c>
      <c r="N71" s="20" t="n">
        <v>0</v>
      </c>
      <c r="O71" s="18" t="n">
        <v>0</v>
      </c>
      <c r="P71" s="20" t="n">
        <v>0</v>
      </c>
      <c r="Q71" s="18" t="n">
        <v>0.27167982</v>
      </c>
      <c r="R71" s="20" t="n">
        <v>0.27178652</v>
      </c>
    </row>
    <row r="72" spans="1:18">
      <c r="A72" s="15" t="s">
        <v>632</v>
      </c>
      <c r="B72" s="17" t="n">
        <v>3889</v>
      </c>
      <c r="C72" s="18">
        <f>(3471.0/B72*100)</f>
        <v/>
      </c>
      <c r="D72" s="19" t="n">
        <v>418</v>
      </c>
      <c r="E72" s="18" t="n">
        <v>56.34616643</v>
      </c>
      <c r="F72" s="20" t="n">
        <v>2.46052842</v>
      </c>
      <c r="G72" s="18" t="n">
        <v>43.65383357</v>
      </c>
      <c r="H72" s="20" t="n">
        <v>2.46052842</v>
      </c>
      <c r="I72" s="18" t="s">
        <v>567</v>
      </c>
      <c r="J72" s="20" t="s">
        <v>567</v>
      </c>
      <c r="K72" s="18" t="n">
        <v>0</v>
      </c>
      <c r="L72" s="20" t="n">
        <v>0</v>
      </c>
      <c r="M72" s="18" t="n">
        <v>0</v>
      </c>
      <c r="N72" s="20" t="n">
        <v>0</v>
      </c>
      <c r="O72" s="18" t="n">
        <v>0</v>
      </c>
      <c r="P72" s="20" t="n">
        <v>0</v>
      </c>
      <c r="Q72" s="18" t="n">
        <v>0</v>
      </c>
      <c r="R72" s="20" t="n">
        <v>0</v>
      </c>
    </row>
    <row r="73" spans="1:18">
      <c r="A73" s="15" t="s">
        <v>633</v>
      </c>
      <c r="B73" s="17" t="n">
        <v>3597</v>
      </c>
      <c r="C73" s="18">
        <f>(3210.0/B73*100)</f>
        <v/>
      </c>
      <c r="D73" s="19" t="n">
        <v>387</v>
      </c>
      <c r="E73" s="18" t="n">
        <v>63.82325386</v>
      </c>
      <c r="F73" s="20" t="n">
        <v>3.20495447</v>
      </c>
      <c r="G73" s="18" t="n">
        <v>36.05158297</v>
      </c>
      <c r="H73" s="20" t="n">
        <v>3.20843916</v>
      </c>
      <c r="I73" s="18" t="s">
        <v>567</v>
      </c>
      <c r="J73" s="20" t="s">
        <v>567</v>
      </c>
      <c r="K73" s="18" t="n">
        <v>0</v>
      </c>
      <c r="L73" s="20" t="n">
        <v>0</v>
      </c>
      <c r="M73" s="18" t="n">
        <v>0</v>
      </c>
      <c r="N73" s="20" t="n">
        <v>0</v>
      </c>
      <c r="O73" s="18" t="n">
        <v>0</v>
      </c>
      <c r="P73" s="20" t="n">
        <v>0</v>
      </c>
      <c r="Q73" s="18" t="n">
        <v>0.12516317</v>
      </c>
      <c r="R73" s="20" t="n">
        <v>0.10949091</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(2157.0/B75*100)</f>
        <v/>
      </c>
      <c r="D75" s="19" t="n">
        <v>249</v>
      </c>
      <c r="E75" s="18" t="n">
        <v>60.54081939</v>
      </c>
      <c r="F75" s="20" t="n">
        <v>2.8725216</v>
      </c>
      <c r="G75" s="18" t="n">
        <v>36.16906682</v>
      </c>
      <c r="H75" s="20" t="n">
        <v>2.76682701</v>
      </c>
      <c r="I75" s="18" t="s">
        <v>567</v>
      </c>
      <c r="J75" s="20" t="s">
        <v>567</v>
      </c>
      <c r="K75" s="18" t="n">
        <v>1.58419723</v>
      </c>
      <c r="L75" s="20" t="n">
        <v>0.80462376</v>
      </c>
      <c r="M75" s="18" t="n">
        <v>0</v>
      </c>
      <c r="N75" s="20" t="n">
        <v>0</v>
      </c>
      <c r="O75" s="18" t="n">
        <v>0</v>
      </c>
      <c r="P75" s="20" t="n">
        <v>0</v>
      </c>
      <c r="Q75" s="18" t="n">
        <v>1.70591657</v>
      </c>
      <c r="R75" s="20" t="n">
        <v>0.77464797</v>
      </c>
    </row>
    <row r="76" spans="1:18">
      <c r="A76" s="15" t="s">
        <v>636</v>
      </c>
      <c r="B76" s="17" t="n">
        <v>7052</v>
      </c>
      <c r="C76" s="18">
        <f>(6306.0/B76*100)</f>
        <v/>
      </c>
      <c r="D76" s="19" t="n">
        <v>746</v>
      </c>
      <c r="E76" s="18" t="n">
        <v>64.33101517999999</v>
      </c>
      <c r="F76" s="20" t="n">
        <v>2.20080504</v>
      </c>
      <c r="G76" s="18" t="n">
        <v>34.74547845</v>
      </c>
      <c r="H76" s="20" t="n">
        <v>2.18422547</v>
      </c>
      <c r="I76" s="18" t="s">
        <v>567</v>
      </c>
      <c r="J76" s="20" t="s">
        <v>567</v>
      </c>
      <c r="K76" s="18" t="n">
        <v>0.447475</v>
      </c>
      <c r="L76" s="20" t="n">
        <v>0.24854834</v>
      </c>
      <c r="M76" s="18" t="n">
        <v>0</v>
      </c>
      <c r="N76" s="20" t="n">
        <v>0</v>
      </c>
      <c r="O76" s="18" t="n">
        <v>0</v>
      </c>
      <c r="P76" s="20" t="n">
        <v>0</v>
      </c>
      <c r="Q76" s="18" t="n">
        <v>0.47603137</v>
      </c>
      <c r="R76" s="20" t="n">
        <v>0.2822304</v>
      </c>
    </row>
    <row r="77" spans="1:18">
      <c r="A77" s="15" t="s">
        <v>637</v>
      </c>
      <c r="B77" s="17" t="n">
        <v>2908</v>
      </c>
      <c r="C77" s="18">
        <f>(2578.0/B77*100)</f>
        <v/>
      </c>
      <c r="D77" s="19" t="n">
        <v>330</v>
      </c>
      <c r="E77" s="18" t="n">
        <v>60.94580595</v>
      </c>
      <c r="F77" s="20" t="n">
        <v>3.53072823</v>
      </c>
      <c r="G77" s="18" t="n">
        <v>37.42254278</v>
      </c>
      <c r="H77" s="20" t="n">
        <v>3.41005737</v>
      </c>
      <c r="I77" s="18" t="s">
        <v>567</v>
      </c>
      <c r="J77" s="20" t="s">
        <v>567</v>
      </c>
      <c r="K77" s="18" t="n">
        <v>0.46591886</v>
      </c>
      <c r="L77" s="20" t="n">
        <v>0.3639331</v>
      </c>
      <c r="M77" s="18" t="n">
        <v>0</v>
      </c>
      <c r="N77" s="20" t="n">
        <v>0</v>
      </c>
      <c r="O77" s="18" t="n">
        <v>0</v>
      </c>
      <c r="P77" s="20" t="n">
        <v>0</v>
      </c>
      <c r="Q77" s="18" t="n">
        <v>1.16573241</v>
      </c>
      <c r="R77" s="20" t="n">
        <v>0.57589218</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(3688.0/B81*100)</f>
        <v/>
      </c>
      <c r="D81" s="19" t="n">
        <v>475</v>
      </c>
      <c r="E81" s="18" t="n">
        <v>54.72056411</v>
      </c>
      <c r="F81" s="20" t="n">
        <v>2.85366414</v>
      </c>
      <c r="G81" s="18" t="n">
        <v>44.6164021</v>
      </c>
      <c r="H81" s="20" t="n">
        <v>2.82004007</v>
      </c>
      <c r="I81" s="18" t="s">
        <v>567</v>
      </c>
      <c r="J81" s="20" t="s">
        <v>567</v>
      </c>
      <c r="K81" s="18" t="n">
        <v>0.37795722</v>
      </c>
      <c r="L81" s="20" t="n">
        <v>0.46253796</v>
      </c>
      <c r="M81" s="18" t="n">
        <v>0</v>
      </c>
      <c r="N81" s="20" t="n">
        <v>0</v>
      </c>
      <c r="O81" s="18" t="n">
        <v>0</v>
      </c>
      <c r="P81" s="20" t="n">
        <v>0</v>
      </c>
      <c r="Q81" s="18" t="n">
        <v>0.28507657</v>
      </c>
      <c r="R81" s="20" t="n">
        <v>0.27759052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(6585.0/B7*100)</f>
        <v/>
      </c>
      <c r="D7" s="19" t="n">
        <v>782</v>
      </c>
      <c r="E7" s="18" t="n">
        <v>40.5971576</v>
      </c>
      <c r="F7" s="20" t="n">
        <v>2.26787116</v>
      </c>
      <c r="G7" s="18" t="n">
        <v>58.2855568</v>
      </c>
      <c r="H7" s="20" t="n">
        <v>2.30395702</v>
      </c>
      <c r="I7" s="18" t="s">
        <v>567</v>
      </c>
      <c r="J7" s="20" t="s">
        <v>567</v>
      </c>
      <c r="K7" s="18" t="n">
        <v>0.28341585</v>
      </c>
      <c r="L7" s="20" t="n">
        <v>0.21948761</v>
      </c>
      <c r="M7" s="18" t="n">
        <v>0</v>
      </c>
      <c r="N7" s="20" t="n">
        <v>0</v>
      </c>
      <c r="O7" s="18" t="n">
        <v>0</v>
      </c>
      <c r="P7" s="20" t="n">
        <v>0</v>
      </c>
      <c r="Q7" s="18" t="n">
        <v>0.83386975</v>
      </c>
      <c r="R7" s="20" t="n">
        <v>0.35704593</v>
      </c>
    </row>
    <row r="8" spans="1:18">
      <c r="A8" s="15" t="s">
        <v>568</v>
      </c>
      <c r="B8" s="17" t="n">
        <v>3564</v>
      </c>
      <c r="C8" s="18">
        <f>(3175.0/B8*100)</f>
        <v/>
      </c>
      <c r="D8" s="19" t="n">
        <v>389</v>
      </c>
      <c r="E8" s="18" t="n">
        <v>28.37160583</v>
      </c>
      <c r="F8" s="20" t="n">
        <v>2.5170113</v>
      </c>
      <c r="G8" s="18" t="n">
        <v>68.9508854</v>
      </c>
      <c r="H8" s="20" t="n">
        <v>2.39226939</v>
      </c>
      <c r="I8" s="18" t="s">
        <v>567</v>
      </c>
      <c r="J8" s="20" t="s">
        <v>567</v>
      </c>
      <c r="K8" s="18" t="n">
        <v>0</v>
      </c>
      <c r="L8" s="20" t="n">
        <v>0</v>
      </c>
      <c r="M8" s="18" t="n">
        <v>0</v>
      </c>
      <c r="N8" s="20" t="n">
        <v>0</v>
      </c>
      <c r="O8" s="18" t="n">
        <v>0</v>
      </c>
      <c r="P8" s="20" t="n">
        <v>0</v>
      </c>
      <c r="Q8" s="18" t="n">
        <v>2.67750877</v>
      </c>
      <c r="R8" s="20" t="n">
        <v>0.89649088</v>
      </c>
    </row>
    <row r="9" spans="1:18">
      <c r="A9" s="15" t="s">
        <v>569</v>
      </c>
      <c r="B9" s="17" t="n">
        <v>4899</v>
      </c>
      <c r="C9" s="18">
        <f>(4371.0/B9*100)</f>
        <v/>
      </c>
      <c r="D9" s="19" t="n">
        <v>528</v>
      </c>
      <c r="E9" s="18" t="n">
        <v>31.34656242</v>
      </c>
      <c r="F9" s="20" t="n">
        <v>2.2508654</v>
      </c>
      <c r="G9" s="18" t="n">
        <v>67.25921185999999</v>
      </c>
      <c r="H9" s="20" t="n">
        <v>2.31726976</v>
      </c>
      <c r="I9" s="18" t="s">
        <v>567</v>
      </c>
      <c r="J9" s="20" t="s">
        <v>567</v>
      </c>
      <c r="K9" s="18" t="n">
        <v>0.15659026</v>
      </c>
      <c r="L9" s="20" t="n">
        <v>0.15081575</v>
      </c>
      <c r="M9" s="18" t="n">
        <v>0</v>
      </c>
      <c r="N9" s="20" t="n">
        <v>0</v>
      </c>
      <c r="O9" s="18" t="n">
        <v>0</v>
      </c>
      <c r="P9" s="20" t="n">
        <v>0</v>
      </c>
      <c r="Q9" s="18" t="n">
        <v>1.23763545</v>
      </c>
      <c r="R9" s="20" t="n">
        <v>0.49266682</v>
      </c>
    </row>
    <row r="10" spans="1:18">
      <c r="A10" s="15" t="s">
        <v>570</v>
      </c>
      <c r="B10" s="17" t="n">
        <v>10036</v>
      </c>
      <c r="C10" s="18">
        <f>(8876.0/B10*100)</f>
        <v/>
      </c>
      <c r="D10" s="19" t="n">
        <v>1160</v>
      </c>
      <c r="E10" s="18" t="n">
        <v>38.89185886</v>
      </c>
      <c r="F10" s="20" t="n">
        <v>1.86999913</v>
      </c>
      <c r="G10" s="18" t="n">
        <v>60.09484951</v>
      </c>
      <c r="H10" s="20" t="n">
        <v>1.85726733</v>
      </c>
      <c r="I10" s="18" t="s">
        <v>567</v>
      </c>
      <c r="J10" s="20" t="s">
        <v>567</v>
      </c>
      <c r="K10" s="18" t="n">
        <v>0.40239609</v>
      </c>
      <c r="L10" s="20" t="n">
        <v>0.25629665</v>
      </c>
      <c r="M10" s="18" t="n">
        <v>0</v>
      </c>
      <c r="N10" s="20" t="n">
        <v>0</v>
      </c>
      <c r="O10" s="18" t="n">
        <v>0</v>
      </c>
      <c r="P10" s="20" t="n">
        <v>0</v>
      </c>
      <c r="Q10" s="18" t="n">
        <v>0.61089555</v>
      </c>
      <c r="R10" s="20" t="n">
        <v>0.27900792</v>
      </c>
    </row>
    <row r="11" spans="1:18">
      <c r="A11" s="15" t="s">
        <v>571</v>
      </c>
      <c r="B11" s="17" t="n">
        <v>3553</v>
      </c>
      <c r="C11" s="18">
        <f>(3172.0/B11*100)</f>
        <v/>
      </c>
      <c r="D11" s="19" t="n">
        <v>381</v>
      </c>
      <c r="E11" s="18" t="n">
        <v>57.06597279</v>
      </c>
      <c r="F11" s="20" t="n">
        <v>2.82877765</v>
      </c>
      <c r="G11" s="18" t="n">
        <v>40.44115301</v>
      </c>
      <c r="H11" s="20" t="n">
        <v>2.81025296</v>
      </c>
      <c r="I11" s="18" t="s">
        <v>567</v>
      </c>
      <c r="J11" s="20" t="s">
        <v>567</v>
      </c>
      <c r="K11" s="18" t="n">
        <v>0.90413176</v>
      </c>
      <c r="L11" s="20" t="n">
        <v>0.45967365</v>
      </c>
      <c r="M11" s="18" t="n">
        <v>0</v>
      </c>
      <c r="N11" s="20" t="n">
        <v>0</v>
      </c>
      <c r="O11" s="18" t="n">
        <v>0</v>
      </c>
      <c r="P11" s="20" t="n">
        <v>0</v>
      </c>
      <c r="Q11" s="18" t="n">
        <v>1.58874244</v>
      </c>
      <c r="R11" s="20" t="n">
        <v>0.48243878</v>
      </c>
    </row>
    <row r="12" spans="1:18">
      <c r="A12" s="15" t="s">
        <v>572</v>
      </c>
      <c r="B12" s="17" t="n">
        <v>3472</v>
      </c>
      <c r="C12" s="18">
        <f>(3070.0/B12*100)</f>
        <v/>
      </c>
      <c r="D12" s="19" t="n">
        <v>402</v>
      </c>
      <c r="E12" s="18" t="n">
        <v>29.48278307</v>
      </c>
      <c r="F12" s="20" t="n">
        <v>2.68090975</v>
      </c>
      <c r="G12" s="18" t="n">
        <v>68.76983278</v>
      </c>
      <c r="H12" s="20" t="n">
        <v>2.60477635</v>
      </c>
      <c r="I12" s="18" t="s">
        <v>567</v>
      </c>
      <c r="J12" s="20" t="s">
        <v>567</v>
      </c>
      <c r="K12" s="18" t="n">
        <v>0.22864299</v>
      </c>
      <c r="L12" s="20" t="n">
        <v>0.22470567</v>
      </c>
      <c r="M12" s="18" t="n">
        <v>0</v>
      </c>
      <c r="N12" s="20" t="n">
        <v>0</v>
      </c>
      <c r="O12" s="18" t="n">
        <v>0</v>
      </c>
      <c r="P12" s="20" t="n">
        <v>0</v>
      </c>
      <c r="Q12" s="18" t="n">
        <v>1.51874116</v>
      </c>
      <c r="R12" s="20" t="n">
        <v>0.83591256</v>
      </c>
    </row>
    <row r="13" spans="1:18">
      <c r="A13" s="15" t="s">
        <v>573</v>
      </c>
      <c r="B13" s="17" t="n">
        <v>3559</v>
      </c>
      <c r="C13" s="18">
        <f>(3181.0/B13*100)</f>
        <v/>
      </c>
      <c r="D13" s="19" t="n">
        <v>378</v>
      </c>
      <c r="E13" s="18" t="n">
        <v>23.30768452</v>
      </c>
      <c r="F13" s="20" t="n">
        <v>2.42134461</v>
      </c>
      <c r="G13" s="18" t="n">
        <v>74.71217889</v>
      </c>
      <c r="H13" s="20" t="n">
        <v>2.57356952</v>
      </c>
      <c r="I13" s="18" t="s">
        <v>567</v>
      </c>
      <c r="J13" s="20" t="s">
        <v>567</v>
      </c>
      <c r="K13" s="18" t="n">
        <v>0.58596304</v>
      </c>
      <c r="L13" s="20" t="n">
        <v>0.50954132</v>
      </c>
      <c r="M13" s="18" t="n">
        <v>0</v>
      </c>
      <c r="N13" s="20" t="n">
        <v>0</v>
      </c>
      <c r="O13" s="18" t="n">
        <v>0</v>
      </c>
      <c r="P13" s="20" t="n">
        <v>0</v>
      </c>
      <c r="Q13" s="18" t="n">
        <v>1.39417355</v>
      </c>
      <c r="R13" s="20" t="n">
        <v>0.92521632</v>
      </c>
    </row>
    <row r="14" spans="1:18">
      <c r="A14" s="15" t="s">
        <v>574</v>
      </c>
      <c r="B14" s="17" t="n">
        <v>2799</v>
      </c>
      <c r="C14" s="18">
        <f>(2486.0/B14*100)</f>
        <v/>
      </c>
      <c r="D14" s="19" t="n">
        <v>313</v>
      </c>
      <c r="E14" s="18" t="n">
        <v>32.26380162</v>
      </c>
      <c r="F14" s="20" t="n">
        <v>2.78812442</v>
      </c>
      <c r="G14" s="18" t="n">
        <v>66.46791876</v>
      </c>
      <c r="H14" s="20" t="n">
        <v>2.95814491</v>
      </c>
      <c r="I14" s="18" t="s">
        <v>567</v>
      </c>
      <c r="J14" s="20" t="s">
        <v>567</v>
      </c>
      <c r="K14" s="18" t="n">
        <v>0</v>
      </c>
      <c r="L14" s="20" t="n">
        <v>0</v>
      </c>
      <c r="M14" s="18" t="n">
        <v>0</v>
      </c>
      <c r="N14" s="20" t="n">
        <v>0</v>
      </c>
      <c r="O14" s="18" t="n">
        <v>0</v>
      </c>
      <c r="P14" s="20" t="n">
        <v>0</v>
      </c>
      <c r="Q14" s="18" t="n">
        <v>1.26827961</v>
      </c>
      <c r="R14" s="20" t="n">
        <v>0.80342179</v>
      </c>
    </row>
    <row r="15" spans="1:18">
      <c r="A15" s="15" t="s">
        <v>575</v>
      </c>
      <c r="B15" s="17" t="n">
        <v>3019</v>
      </c>
      <c r="C15" s="18">
        <f>(2720.0/B15*100)</f>
        <v/>
      </c>
      <c r="D15" s="19" t="n">
        <v>299</v>
      </c>
      <c r="E15" s="18" t="n">
        <v>33.12117515</v>
      </c>
      <c r="F15" s="20" t="n">
        <v>2.75466102</v>
      </c>
      <c r="G15" s="18" t="n">
        <v>66.87882485</v>
      </c>
      <c r="H15" s="20" t="n">
        <v>2.75466102</v>
      </c>
      <c r="I15" s="18" t="s">
        <v>567</v>
      </c>
      <c r="J15" s="20" t="s">
        <v>567</v>
      </c>
      <c r="K15" s="18" t="n">
        <v>0</v>
      </c>
      <c r="L15" s="20" t="n">
        <v>0</v>
      </c>
      <c r="M15" s="18" t="n">
        <v>0</v>
      </c>
      <c r="N15" s="20" t="n">
        <v>0</v>
      </c>
      <c r="O15" s="18" t="n">
        <v>0</v>
      </c>
      <c r="P15" s="20" t="n">
        <v>0</v>
      </c>
      <c r="Q15" s="18" t="n">
        <v>0</v>
      </c>
      <c r="R15" s="20" t="n">
        <v>0</v>
      </c>
    </row>
    <row r="16" spans="1:18">
      <c r="A16" s="15" t="s">
        <v>576</v>
      </c>
      <c r="B16" s="17" t="n">
        <v>2997</v>
      </c>
      <c r="C16" s="18">
        <f>(2672.0/B16*100)</f>
        <v/>
      </c>
      <c r="D16" s="19" t="n">
        <v>325</v>
      </c>
      <c r="E16" s="18" t="n">
        <v>34.80502325</v>
      </c>
      <c r="F16" s="20" t="n">
        <v>2.49525966</v>
      </c>
      <c r="G16" s="18" t="n">
        <v>61.56378468</v>
      </c>
      <c r="H16" s="20" t="n">
        <v>2.72487926</v>
      </c>
      <c r="I16" s="18" t="s">
        <v>567</v>
      </c>
      <c r="J16" s="20" t="s">
        <v>567</v>
      </c>
      <c r="K16" s="18" t="n">
        <v>1.18803725</v>
      </c>
      <c r="L16" s="20" t="n">
        <v>0.93916838</v>
      </c>
      <c r="M16" s="18" t="n">
        <v>0</v>
      </c>
      <c r="N16" s="20" t="n">
        <v>0</v>
      </c>
      <c r="O16" s="18" t="n">
        <v>0</v>
      </c>
      <c r="P16" s="20" t="n">
        <v>0</v>
      </c>
      <c r="Q16" s="18" t="n">
        <v>2.44315483</v>
      </c>
      <c r="R16" s="20" t="n">
        <v>1.29043247</v>
      </c>
    </row>
    <row r="17" spans="1:18">
      <c r="A17" s="15" t="s">
        <v>577</v>
      </c>
      <c r="B17" s="17" t="n">
        <v>3307</v>
      </c>
      <c r="C17" s="18">
        <f>(2970.0/B17*100)</f>
        <v/>
      </c>
      <c r="D17" s="19" t="n">
        <v>337</v>
      </c>
      <c r="E17" s="18" t="n">
        <v>22.54366812</v>
      </c>
      <c r="F17" s="20" t="n">
        <v>2.46385154</v>
      </c>
      <c r="G17" s="18" t="n">
        <v>76.27570722</v>
      </c>
      <c r="H17" s="20" t="n">
        <v>2.47920748</v>
      </c>
      <c r="I17" s="18" t="s">
        <v>567</v>
      </c>
      <c r="J17" s="20" t="s">
        <v>567</v>
      </c>
      <c r="K17" s="18" t="n">
        <v>0.37362477</v>
      </c>
      <c r="L17" s="20" t="n">
        <v>0.18520637</v>
      </c>
      <c r="M17" s="18" t="n">
        <v>0</v>
      </c>
      <c r="N17" s="20" t="n">
        <v>0</v>
      </c>
      <c r="O17" s="18" t="n">
        <v>0</v>
      </c>
      <c r="P17" s="20" t="n">
        <v>0</v>
      </c>
      <c r="Q17" s="18" t="n">
        <v>0.8069998900000001</v>
      </c>
      <c r="R17" s="20" t="n">
        <v>0.47020717</v>
      </c>
    </row>
    <row r="18" spans="1:18">
      <c r="A18" s="15" t="s">
        <v>578</v>
      </c>
      <c r="B18" s="17" t="n">
        <v>2826</v>
      </c>
      <c r="C18" s="18">
        <f>(2495.0/B18*100)</f>
        <v/>
      </c>
      <c r="D18" s="19" t="n">
        <v>331</v>
      </c>
      <c r="E18" s="18" t="n">
        <v>39.42800043</v>
      </c>
      <c r="F18" s="20" t="n">
        <v>2.67917301</v>
      </c>
      <c r="G18" s="18" t="n">
        <v>59.8182603</v>
      </c>
      <c r="H18" s="20" t="n">
        <v>2.66051826</v>
      </c>
      <c r="I18" s="18" t="s">
        <v>567</v>
      </c>
      <c r="J18" s="20" t="s">
        <v>567</v>
      </c>
      <c r="K18" s="18" t="n">
        <v>0</v>
      </c>
      <c r="L18" s="20" t="n">
        <v>0</v>
      </c>
      <c r="M18" s="18" t="n">
        <v>0</v>
      </c>
      <c r="N18" s="20" t="n">
        <v>0</v>
      </c>
      <c r="O18" s="18" t="n">
        <v>0</v>
      </c>
      <c r="P18" s="20" t="n">
        <v>0</v>
      </c>
      <c r="Q18" s="18" t="n">
        <v>0.75373928</v>
      </c>
      <c r="R18" s="20" t="n">
        <v>0.44265284</v>
      </c>
    </row>
    <row r="19" spans="1:18">
      <c r="A19" s="15" t="s">
        <v>579</v>
      </c>
      <c r="B19" s="17" t="n">
        <v>2808</v>
      </c>
      <c r="C19" s="18">
        <f>(2507.0/B19*100)</f>
        <v/>
      </c>
      <c r="D19" s="19" t="n">
        <v>301</v>
      </c>
      <c r="E19" s="18" t="n">
        <v>41.72253269</v>
      </c>
      <c r="F19" s="20" t="n">
        <v>2.93548861</v>
      </c>
      <c r="G19" s="18" t="n">
        <v>57.58564749</v>
      </c>
      <c r="H19" s="20" t="n">
        <v>3.01233772</v>
      </c>
      <c r="I19" s="18" t="s">
        <v>567</v>
      </c>
      <c r="J19" s="20" t="s">
        <v>567</v>
      </c>
      <c r="K19" s="18" t="n">
        <v>0</v>
      </c>
      <c r="L19" s="20" t="n">
        <v>0</v>
      </c>
      <c r="M19" s="18" t="n">
        <v>0</v>
      </c>
      <c r="N19" s="20" t="n">
        <v>0</v>
      </c>
      <c r="O19" s="18" t="n">
        <v>0</v>
      </c>
      <c r="P19" s="20" t="n">
        <v>0</v>
      </c>
      <c r="Q19" s="18" t="n">
        <v>0.69181981</v>
      </c>
      <c r="R19" s="20" t="n">
        <v>0.5290780899999999</v>
      </c>
    </row>
    <row r="20" spans="1:18">
      <c r="A20" s="15" t="s">
        <v>580</v>
      </c>
      <c r="B20" s="17" t="n">
        <v>1630</v>
      </c>
      <c r="C20" s="18">
        <f>(1453.0/B20*100)</f>
        <v/>
      </c>
      <c r="D20" s="19" t="n">
        <v>177</v>
      </c>
      <c r="E20" s="18" t="n">
        <v>39.33976681</v>
      </c>
      <c r="F20" s="20" t="n">
        <v>3.90144009</v>
      </c>
      <c r="G20" s="18" t="n">
        <v>57.44072191</v>
      </c>
      <c r="H20" s="20" t="n">
        <v>4.11583281</v>
      </c>
      <c r="I20" s="18" t="s">
        <v>567</v>
      </c>
      <c r="J20" s="20" t="s">
        <v>567</v>
      </c>
      <c r="K20" s="18" t="n">
        <v>0.55847336</v>
      </c>
      <c r="L20" s="20" t="n">
        <v>0.56712011</v>
      </c>
      <c r="M20" s="18" t="n">
        <v>0</v>
      </c>
      <c r="N20" s="20" t="n">
        <v>0</v>
      </c>
      <c r="O20" s="18" t="n">
        <v>0</v>
      </c>
      <c r="P20" s="20" t="n">
        <v>0</v>
      </c>
      <c r="Q20" s="18" t="n">
        <v>2.66103791</v>
      </c>
      <c r="R20" s="20" t="n">
        <v>1.24216821</v>
      </c>
    </row>
    <row r="21" spans="1:18">
      <c r="A21" s="15" t="s">
        <v>581</v>
      </c>
      <c r="B21" s="17" t="n">
        <v>2908</v>
      </c>
      <c r="C21" s="18">
        <f>(2589.0/B21*100)</f>
        <v/>
      </c>
      <c r="D21" s="19" t="n">
        <v>319</v>
      </c>
      <c r="E21" s="18" t="n">
        <v>42.58459398</v>
      </c>
      <c r="F21" s="20" t="n">
        <v>2.58519423</v>
      </c>
      <c r="G21" s="18" t="n">
        <v>55.99480047</v>
      </c>
      <c r="H21" s="20" t="n">
        <v>2.7412597</v>
      </c>
      <c r="I21" s="18" t="s">
        <v>567</v>
      </c>
      <c r="J21" s="20" t="s">
        <v>567</v>
      </c>
      <c r="K21" s="18" t="n">
        <v>0.25899989</v>
      </c>
      <c r="L21" s="20" t="n">
        <v>0.25759498</v>
      </c>
      <c r="M21" s="18" t="n">
        <v>0</v>
      </c>
      <c r="N21" s="20" t="n">
        <v>0</v>
      </c>
      <c r="O21" s="18" t="n">
        <v>0</v>
      </c>
      <c r="P21" s="20" t="n">
        <v>0</v>
      </c>
      <c r="Q21" s="18" t="n">
        <v>1.16160567</v>
      </c>
      <c r="R21" s="20" t="n">
        <v>0.6297662000000001</v>
      </c>
    </row>
    <row r="22" spans="1:18">
      <c r="A22" s="15" t="s">
        <v>582</v>
      </c>
      <c r="B22" s="17" t="n">
        <v>2931</v>
      </c>
      <c r="C22" s="18">
        <f>(2608.0/B22*100)</f>
        <v/>
      </c>
      <c r="D22" s="19" t="n">
        <v>323</v>
      </c>
      <c r="E22" s="18" t="n">
        <v>40.89632256</v>
      </c>
      <c r="F22" s="20" t="n">
        <v>2.87358981</v>
      </c>
      <c r="G22" s="18" t="n">
        <v>57.30890542</v>
      </c>
      <c r="H22" s="20" t="n">
        <v>3.0966808</v>
      </c>
      <c r="I22" s="18" t="s">
        <v>567</v>
      </c>
      <c r="J22" s="20" t="s">
        <v>567</v>
      </c>
      <c r="K22" s="18" t="n">
        <v>0.79807566</v>
      </c>
      <c r="L22" s="20" t="n">
        <v>0.44993449</v>
      </c>
      <c r="M22" s="18" t="n">
        <v>0</v>
      </c>
      <c r="N22" s="20" t="n">
        <v>0</v>
      </c>
      <c r="O22" s="18" t="n">
        <v>0</v>
      </c>
      <c r="P22" s="20" t="n">
        <v>0</v>
      </c>
      <c r="Q22" s="18" t="n">
        <v>0.99669637</v>
      </c>
      <c r="R22" s="20" t="n">
        <v>0.63570032</v>
      </c>
    </row>
    <row r="23" spans="1:18">
      <c r="A23" s="15" t="s">
        <v>583</v>
      </c>
      <c r="B23" s="17" t="n">
        <v>5791</v>
      </c>
      <c r="C23" s="18">
        <f>(5183.0/B23*100)</f>
        <v/>
      </c>
      <c r="D23" s="19" t="n">
        <v>608</v>
      </c>
      <c r="E23" s="18" t="n">
        <v>34.01323095</v>
      </c>
      <c r="F23" s="20" t="n">
        <v>2.62381651</v>
      </c>
      <c r="G23" s="18" t="n">
        <v>64.70023799000001</v>
      </c>
      <c r="H23" s="20" t="n">
        <v>2.6695381</v>
      </c>
      <c r="I23" s="18" t="s">
        <v>567</v>
      </c>
      <c r="J23" s="20" t="s">
        <v>567</v>
      </c>
      <c r="K23" s="18" t="n">
        <v>0.1478351</v>
      </c>
      <c r="L23" s="20" t="n">
        <v>0.13460939</v>
      </c>
      <c r="M23" s="18" t="n">
        <v>0</v>
      </c>
      <c r="N23" s="20" t="n">
        <v>0</v>
      </c>
      <c r="O23" s="18" t="n">
        <v>0</v>
      </c>
      <c r="P23" s="20" t="n">
        <v>0</v>
      </c>
      <c r="Q23" s="18" t="n">
        <v>1.13869596</v>
      </c>
      <c r="R23" s="20" t="n">
        <v>0.59927169</v>
      </c>
    </row>
    <row r="24" spans="1:18">
      <c r="A24" s="15" t="s">
        <v>584</v>
      </c>
      <c r="B24" s="17" t="n">
        <v>3338</v>
      </c>
      <c r="C24" s="18">
        <f>(2971.0/B24*100)</f>
        <v/>
      </c>
      <c r="D24" s="19" t="n">
        <v>367</v>
      </c>
      <c r="E24" s="18" t="n">
        <v>36.31526925</v>
      </c>
      <c r="F24" s="20" t="n">
        <v>2.31852014</v>
      </c>
      <c r="G24" s="18" t="n">
        <v>63.4234179</v>
      </c>
      <c r="H24" s="20" t="n">
        <v>2.34833517</v>
      </c>
      <c r="I24" s="18" t="s">
        <v>567</v>
      </c>
      <c r="J24" s="20" t="s">
        <v>567</v>
      </c>
      <c r="K24" s="18" t="n">
        <v>0</v>
      </c>
      <c r="L24" s="20" t="n">
        <v>0</v>
      </c>
      <c r="M24" s="18" t="n">
        <v>0</v>
      </c>
      <c r="N24" s="20" t="n">
        <v>0</v>
      </c>
      <c r="O24" s="18" t="n">
        <v>0</v>
      </c>
      <c r="P24" s="20" t="n">
        <v>0</v>
      </c>
      <c r="Q24" s="18" t="n">
        <v>0.26131286</v>
      </c>
      <c r="R24" s="20" t="n">
        <v>0.26241891</v>
      </c>
    </row>
    <row r="25" spans="1:18">
      <c r="A25" s="15" t="s">
        <v>585</v>
      </c>
      <c r="B25" s="17" t="n">
        <v>2912</v>
      </c>
      <c r="C25" s="18">
        <f>(2601.0/B25*100)</f>
        <v/>
      </c>
      <c r="D25" s="19" t="n">
        <v>311</v>
      </c>
      <c r="E25" s="18" t="n">
        <v>38.57910598</v>
      </c>
      <c r="F25" s="20" t="n">
        <v>2.64948756</v>
      </c>
      <c r="G25" s="18" t="n">
        <v>60.7985919</v>
      </c>
      <c r="H25" s="20" t="n">
        <v>2.65688531</v>
      </c>
      <c r="I25" s="18" t="s">
        <v>567</v>
      </c>
      <c r="J25" s="20" t="s">
        <v>567</v>
      </c>
      <c r="K25" s="18" t="n">
        <v>0.62230212</v>
      </c>
      <c r="L25" s="20" t="n">
        <v>0.45412028</v>
      </c>
      <c r="M25" s="18" t="n">
        <v>0</v>
      </c>
      <c r="N25" s="20" t="n">
        <v>0</v>
      </c>
      <c r="O25" s="18" t="n">
        <v>0</v>
      </c>
      <c r="P25" s="20" t="n">
        <v>0</v>
      </c>
      <c r="Q25" s="18" t="n">
        <v>0</v>
      </c>
      <c r="R25" s="20" t="n">
        <v>0</v>
      </c>
    </row>
    <row r="26" spans="1:18">
      <c r="A26" s="15" t="s">
        <v>586</v>
      </c>
      <c r="B26" s="17" t="n">
        <v>2450</v>
      </c>
      <c r="C26" s="18">
        <f>(2171.0/B26*100)</f>
        <v/>
      </c>
      <c r="D26" s="19" t="n">
        <v>279</v>
      </c>
      <c r="E26" s="18" t="n">
        <v>48.99765334</v>
      </c>
      <c r="F26" s="20" t="n">
        <v>3.12077932</v>
      </c>
      <c r="G26" s="18" t="n">
        <v>51.00234666</v>
      </c>
      <c r="H26" s="20" t="n">
        <v>3.12077932</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(2342.0/B27*100)</f>
        <v/>
      </c>
      <c r="D27" s="19" t="n">
        <v>274</v>
      </c>
      <c r="E27" s="18" t="n">
        <v>33.44213009</v>
      </c>
      <c r="F27" s="20" t="n">
        <v>2.9523695</v>
      </c>
      <c r="G27" s="18" t="n">
        <v>62.57441916</v>
      </c>
      <c r="H27" s="20" t="n">
        <v>2.99519111</v>
      </c>
      <c r="I27" s="18" t="s">
        <v>567</v>
      </c>
      <c r="J27" s="20" t="s">
        <v>567</v>
      </c>
      <c r="K27" s="18" t="n">
        <v>0.7344024300000001</v>
      </c>
      <c r="L27" s="20" t="n">
        <v>0.52113365</v>
      </c>
      <c r="M27" s="18" t="n">
        <v>0</v>
      </c>
      <c r="N27" s="20" t="n">
        <v>0</v>
      </c>
      <c r="O27" s="18" t="n">
        <v>0</v>
      </c>
      <c r="P27" s="20" t="n">
        <v>0</v>
      </c>
      <c r="Q27" s="18" t="n">
        <v>3.24904832</v>
      </c>
      <c r="R27" s="20" t="n">
        <v>1.05925472</v>
      </c>
    </row>
    <row r="28" spans="1:18">
      <c r="A28" s="15" t="s">
        <v>588</v>
      </c>
      <c r="B28" s="17" t="n">
        <v>3765</v>
      </c>
      <c r="C28" s="18">
        <f>(3376.0/B28*100)</f>
        <v/>
      </c>
      <c r="D28" s="19" t="n">
        <v>389</v>
      </c>
      <c r="E28" s="18" t="n">
        <v>54.34351597</v>
      </c>
      <c r="F28" s="20" t="n">
        <v>2.77629663</v>
      </c>
      <c r="G28" s="18" t="n">
        <v>45.4314091</v>
      </c>
      <c r="H28" s="20" t="n">
        <v>2.79327922</v>
      </c>
      <c r="I28" s="18" t="s">
        <v>567</v>
      </c>
      <c r="J28" s="20" t="s">
        <v>567</v>
      </c>
      <c r="K28" s="18" t="n">
        <v>0</v>
      </c>
      <c r="L28" s="20" t="n">
        <v>0</v>
      </c>
      <c r="M28" s="18" t="n">
        <v>0</v>
      </c>
      <c r="N28" s="20" t="n">
        <v>0</v>
      </c>
      <c r="O28" s="18" t="n">
        <v>0</v>
      </c>
      <c r="P28" s="20" t="n">
        <v>0</v>
      </c>
      <c r="Q28" s="18" t="n">
        <v>0.22507492</v>
      </c>
      <c r="R28" s="20" t="n">
        <v>0.22379764</v>
      </c>
    </row>
    <row r="29" spans="1:18">
      <c r="A29" s="15" t="s">
        <v>589</v>
      </c>
      <c r="B29" s="17" t="n">
        <v>2685</v>
      </c>
      <c r="C29" s="18">
        <f>(2394.0/B29*100)</f>
        <v/>
      </c>
      <c r="D29" s="19" t="n">
        <v>291</v>
      </c>
      <c r="E29" s="18" t="n">
        <v>25.94673972</v>
      </c>
      <c r="F29" s="20" t="n">
        <v>2.93488366</v>
      </c>
      <c r="G29" s="18" t="n">
        <v>72.49444324</v>
      </c>
      <c r="H29" s="20" t="n">
        <v>2.94008379</v>
      </c>
      <c r="I29" s="18" t="s">
        <v>567</v>
      </c>
      <c r="J29" s="20" t="s">
        <v>567</v>
      </c>
      <c r="K29" s="18" t="n">
        <v>0</v>
      </c>
      <c r="L29" s="20" t="n">
        <v>0</v>
      </c>
      <c r="M29" s="18" t="n">
        <v>0</v>
      </c>
      <c r="N29" s="20" t="n">
        <v>0</v>
      </c>
      <c r="O29" s="18" t="n">
        <v>0</v>
      </c>
      <c r="P29" s="20" t="n">
        <v>0</v>
      </c>
      <c r="Q29" s="18" t="n">
        <v>1.55881704</v>
      </c>
      <c r="R29" s="20" t="n">
        <v>0.69904698</v>
      </c>
    </row>
    <row r="30" spans="1:18">
      <c r="A30" s="15" t="s">
        <v>590</v>
      </c>
      <c r="B30" s="17" t="n">
        <v>2263</v>
      </c>
      <c r="C30" s="18">
        <f>(2034.0/B30*100)</f>
        <v/>
      </c>
      <c r="D30" s="19" t="n">
        <v>229</v>
      </c>
      <c r="E30" s="18" t="n">
        <v>42.07359668</v>
      </c>
      <c r="F30" s="20" t="n">
        <v>3.65288527</v>
      </c>
      <c r="G30" s="18" t="n">
        <v>54.75626548</v>
      </c>
      <c r="H30" s="20" t="n">
        <v>3.78025395</v>
      </c>
      <c r="I30" s="18" t="s">
        <v>567</v>
      </c>
      <c r="J30" s="20" t="s">
        <v>567</v>
      </c>
      <c r="K30" s="18" t="n">
        <v>0</v>
      </c>
      <c r="L30" s="20" t="n">
        <v>0</v>
      </c>
      <c r="M30" s="18" t="n">
        <v>0</v>
      </c>
      <c r="N30" s="20" t="n">
        <v>0</v>
      </c>
      <c r="O30" s="18" t="n">
        <v>0</v>
      </c>
      <c r="P30" s="20" t="n">
        <v>0</v>
      </c>
      <c r="Q30" s="18" t="n">
        <v>3.17013785</v>
      </c>
      <c r="R30" s="20" t="n">
        <v>1.37296216</v>
      </c>
    </row>
    <row r="31" spans="1:18">
      <c r="A31" s="15" t="s">
        <v>591</v>
      </c>
      <c r="B31" s="17" t="n">
        <v>2750</v>
      </c>
      <c r="C31" s="18">
        <f>(2438.0/B31*100)</f>
        <v/>
      </c>
      <c r="D31" s="19" t="n">
        <v>312</v>
      </c>
      <c r="E31" s="18" t="n">
        <v>36.87421137</v>
      </c>
      <c r="F31" s="20" t="n">
        <v>2.87423484</v>
      </c>
      <c r="G31" s="18" t="n">
        <v>61.89780991</v>
      </c>
      <c r="H31" s="20" t="n">
        <v>2.92645489</v>
      </c>
      <c r="I31" s="18" t="s">
        <v>567</v>
      </c>
      <c r="J31" s="20" t="s">
        <v>567</v>
      </c>
      <c r="K31" s="18" t="n">
        <v>0</v>
      </c>
      <c r="L31" s="20" t="n">
        <v>0</v>
      </c>
      <c r="M31" s="18" t="n">
        <v>0</v>
      </c>
      <c r="N31" s="20" t="n">
        <v>0</v>
      </c>
      <c r="O31" s="18" t="n">
        <v>0</v>
      </c>
      <c r="P31" s="20" t="n">
        <v>0</v>
      </c>
      <c r="Q31" s="18" t="n">
        <v>1.22797873</v>
      </c>
      <c r="R31" s="20" t="n">
        <v>0.59206934</v>
      </c>
    </row>
    <row r="32" spans="1:18">
      <c r="A32" s="15" t="s">
        <v>592</v>
      </c>
      <c r="B32" s="17" t="n">
        <v>2269</v>
      </c>
      <c r="C32" s="18">
        <f>(2003.0/B32*100)</f>
        <v/>
      </c>
      <c r="D32" s="19" t="n">
        <v>266</v>
      </c>
      <c r="E32" s="18" t="n">
        <v>28.34352395</v>
      </c>
      <c r="F32" s="20" t="n">
        <v>2.61428768</v>
      </c>
      <c r="G32" s="18" t="n">
        <v>71.65647604999999</v>
      </c>
      <c r="H32" s="20" t="n">
        <v>2.61428768</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(3250.0/B33*100)</f>
        <v/>
      </c>
      <c r="D33" s="19" t="n">
        <v>424</v>
      </c>
      <c r="E33" s="18" t="n">
        <v>29.40101128</v>
      </c>
      <c r="F33" s="20" t="n">
        <v>2.51958967</v>
      </c>
      <c r="G33" s="18" t="n">
        <v>69.27899992</v>
      </c>
      <c r="H33" s="20" t="n">
        <v>2.5433911</v>
      </c>
      <c r="I33" s="18" t="s">
        <v>567</v>
      </c>
      <c r="J33" s="20" t="s">
        <v>567</v>
      </c>
      <c r="K33" s="18" t="n">
        <v>0.35739274</v>
      </c>
      <c r="L33" s="20" t="n">
        <v>0.32120671</v>
      </c>
      <c r="M33" s="18" t="n">
        <v>0</v>
      </c>
      <c r="N33" s="20" t="n">
        <v>0</v>
      </c>
      <c r="O33" s="18" t="n">
        <v>0</v>
      </c>
      <c r="P33" s="20" t="n">
        <v>0</v>
      </c>
      <c r="Q33" s="18" t="n">
        <v>0.96259607</v>
      </c>
      <c r="R33" s="20" t="n">
        <v>0.58523591</v>
      </c>
    </row>
    <row r="34" spans="1:18">
      <c r="A34" s="15" t="s">
        <v>594</v>
      </c>
      <c r="B34" s="17" t="n">
        <v>3315</v>
      </c>
      <c r="C34" s="18">
        <f>(2952.0/B34*100)</f>
        <v/>
      </c>
      <c r="D34" s="19" t="n">
        <v>363</v>
      </c>
      <c r="E34" s="18" t="n">
        <v>39.75960129</v>
      </c>
      <c r="F34" s="20" t="n">
        <v>2.78051489</v>
      </c>
      <c r="G34" s="18" t="n">
        <v>59.70231128</v>
      </c>
      <c r="H34" s="20" t="n">
        <v>2.75853337</v>
      </c>
      <c r="I34" s="18" t="s">
        <v>567</v>
      </c>
      <c r="J34" s="20" t="s">
        <v>567</v>
      </c>
      <c r="K34" s="18" t="n">
        <v>0</v>
      </c>
      <c r="L34" s="20" t="n">
        <v>0</v>
      </c>
      <c r="M34" s="18" t="n">
        <v>0</v>
      </c>
      <c r="N34" s="20" t="n">
        <v>0</v>
      </c>
      <c r="O34" s="18" t="n">
        <v>0</v>
      </c>
      <c r="P34" s="20" t="n">
        <v>0</v>
      </c>
      <c r="Q34" s="18" t="n">
        <v>0.53808743</v>
      </c>
      <c r="R34" s="20" t="n">
        <v>0.38429454</v>
      </c>
    </row>
    <row r="35" spans="1:18">
      <c r="A35" s="15" t="s">
        <v>595</v>
      </c>
      <c r="B35" s="17" t="n">
        <v>3505</v>
      </c>
      <c r="C35" s="18">
        <f>(3142.0/B35*100)</f>
        <v/>
      </c>
      <c r="D35" s="19" t="n">
        <v>363</v>
      </c>
      <c r="E35" s="18" t="n">
        <v>31.28088074</v>
      </c>
      <c r="F35" s="20" t="n">
        <v>2.88144692</v>
      </c>
      <c r="G35" s="18" t="n">
        <v>67.89406683</v>
      </c>
      <c r="H35" s="20" t="n">
        <v>2.88702201</v>
      </c>
      <c r="I35" s="18" t="s">
        <v>567</v>
      </c>
      <c r="J35" s="20" t="s">
        <v>567</v>
      </c>
      <c r="K35" s="18" t="n">
        <v>0</v>
      </c>
      <c r="L35" s="20" t="n">
        <v>0</v>
      </c>
      <c r="M35" s="18" t="n">
        <v>0</v>
      </c>
      <c r="N35" s="20" t="n">
        <v>0</v>
      </c>
      <c r="O35" s="18" t="n">
        <v>0</v>
      </c>
      <c r="P35" s="20" t="n">
        <v>0</v>
      </c>
      <c r="Q35" s="18" t="n">
        <v>0.8250524299999999</v>
      </c>
      <c r="R35" s="20" t="n">
        <v>0.5124406500000001</v>
      </c>
    </row>
    <row r="36" spans="1:18">
      <c r="A36" s="15" t="s">
        <v>596</v>
      </c>
      <c r="B36" s="17" t="n">
        <v>3332</v>
      </c>
      <c r="C36" s="18">
        <f>(2979.0/B36*100)</f>
        <v/>
      </c>
      <c r="D36" s="19" t="n">
        <v>353</v>
      </c>
      <c r="E36" s="18" t="n">
        <v>32.16197377</v>
      </c>
      <c r="F36" s="20" t="n">
        <v>2.53478121</v>
      </c>
      <c r="G36" s="18" t="n">
        <v>66.55844352</v>
      </c>
      <c r="H36" s="20" t="n">
        <v>2.52939913</v>
      </c>
      <c r="I36" s="18" t="s">
        <v>567</v>
      </c>
      <c r="J36" s="20" t="s">
        <v>567</v>
      </c>
      <c r="K36" s="18" t="n">
        <v>0.3327259</v>
      </c>
      <c r="L36" s="20" t="n">
        <v>0.24636474</v>
      </c>
      <c r="M36" s="18" t="n">
        <v>0</v>
      </c>
      <c r="N36" s="20" t="n">
        <v>0</v>
      </c>
      <c r="O36" s="18" t="n">
        <v>0</v>
      </c>
      <c r="P36" s="20" t="n">
        <v>0</v>
      </c>
      <c r="Q36" s="18" t="n">
        <v>0.94685682</v>
      </c>
      <c r="R36" s="20" t="n">
        <v>0.51900989</v>
      </c>
    </row>
    <row r="37" spans="1:18">
      <c r="A37" s="15" t="s">
        <v>597</v>
      </c>
      <c r="B37" s="17" t="n">
        <v>2727</v>
      </c>
      <c r="C37" s="18">
        <f>(2430.0/B37*100)</f>
        <v/>
      </c>
      <c r="D37" s="19" t="n">
        <v>297</v>
      </c>
      <c r="E37" s="18" t="n">
        <v>37.3510714</v>
      </c>
      <c r="F37" s="20" t="n">
        <v>3.10140888</v>
      </c>
      <c r="G37" s="18" t="n">
        <v>61.03462894</v>
      </c>
      <c r="H37" s="20" t="n">
        <v>3.11592184</v>
      </c>
      <c r="I37" s="18" t="s">
        <v>567</v>
      </c>
      <c r="J37" s="20" t="s">
        <v>567</v>
      </c>
      <c r="K37" s="18" t="n">
        <v>0.61793563</v>
      </c>
      <c r="L37" s="20" t="n">
        <v>0.43632219</v>
      </c>
      <c r="M37" s="18" t="n">
        <v>0</v>
      </c>
      <c r="N37" s="20" t="n">
        <v>0</v>
      </c>
      <c r="O37" s="18" t="n">
        <v>0</v>
      </c>
      <c r="P37" s="20" t="n">
        <v>0</v>
      </c>
      <c r="Q37" s="18" t="n">
        <v>0.99636402</v>
      </c>
      <c r="R37" s="20" t="n">
        <v>0.57491433</v>
      </c>
    </row>
    <row r="38" spans="1:18">
      <c r="A38" s="15" t="s">
        <v>598</v>
      </c>
      <c r="B38" s="17" t="n">
        <v>3053</v>
      </c>
      <c r="C38" s="18">
        <f>(2712.0/B38*100)</f>
        <v/>
      </c>
      <c r="D38" s="19" t="n">
        <v>341</v>
      </c>
      <c r="E38" s="18" t="n">
        <v>27.9542045</v>
      </c>
      <c r="F38" s="20" t="n">
        <v>2.94882332</v>
      </c>
      <c r="G38" s="18" t="n">
        <v>69.38433067</v>
      </c>
      <c r="H38" s="20" t="n">
        <v>3.24098239</v>
      </c>
      <c r="I38" s="18" t="s">
        <v>567</v>
      </c>
      <c r="J38" s="20" t="s">
        <v>567</v>
      </c>
      <c r="K38" s="18" t="n">
        <v>0.39669165</v>
      </c>
      <c r="L38" s="20" t="n">
        <v>0.32787939</v>
      </c>
      <c r="M38" s="18" t="n">
        <v>0</v>
      </c>
      <c r="N38" s="20" t="n">
        <v>0</v>
      </c>
      <c r="O38" s="18" t="n">
        <v>0</v>
      </c>
      <c r="P38" s="20" t="n">
        <v>0</v>
      </c>
      <c r="Q38" s="18" t="n">
        <v>2.26477318</v>
      </c>
      <c r="R38" s="20" t="n">
        <v>1.07528393</v>
      </c>
    </row>
    <row r="39" spans="1:18">
      <c r="A39" s="15" t="s">
        <v>599</v>
      </c>
      <c r="B39" s="17" t="n">
        <v>2957</v>
      </c>
      <c r="C39" s="18">
        <f>(2613.0/B39*100)</f>
        <v/>
      </c>
      <c r="D39" s="19" t="n">
        <v>344</v>
      </c>
      <c r="E39" s="18" t="n">
        <v>62.07382429</v>
      </c>
      <c r="F39" s="20" t="n">
        <v>2.58116703</v>
      </c>
      <c r="G39" s="18" t="n">
        <v>37.41846529</v>
      </c>
      <c r="H39" s="20" t="n">
        <v>2.58661861</v>
      </c>
      <c r="I39" s="18" t="s">
        <v>567</v>
      </c>
      <c r="J39" s="20" t="s">
        <v>567</v>
      </c>
      <c r="K39" s="18" t="n">
        <v>0</v>
      </c>
      <c r="L39" s="20" t="n">
        <v>0</v>
      </c>
      <c r="M39" s="18" t="n">
        <v>0</v>
      </c>
      <c r="N39" s="20" t="n">
        <v>0</v>
      </c>
      <c r="O39" s="18" t="n">
        <v>0</v>
      </c>
      <c r="P39" s="20" t="n">
        <v>0</v>
      </c>
      <c r="Q39" s="18" t="n">
        <v>0.50771042</v>
      </c>
      <c r="R39" s="20" t="n">
        <v>0.39786012</v>
      </c>
    </row>
    <row r="40" spans="1:18">
      <c r="A40" s="15" t="s">
        <v>600</v>
      </c>
      <c r="B40" s="17" t="n">
        <v>7235</v>
      </c>
      <c r="C40" s="18">
        <f>(6453.0/B40*100)</f>
        <v/>
      </c>
      <c r="D40" s="19" t="n">
        <v>782</v>
      </c>
      <c r="E40" s="18" t="n">
        <v>34.49338418</v>
      </c>
      <c r="F40" s="20" t="n">
        <v>2.46979933</v>
      </c>
      <c r="G40" s="18" t="n">
        <v>64.75473366</v>
      </c>
      <c r="H40" s="20" t="n">
        <v>2.5275317</v>
      </c>
      <c r="I40" s="18" t="s">
        <v>567</v>
      </c>
      <c r="J40" s="20" t="s">
        <v>567</v>
      </c>
      <c r="K40" s="18" t="n">
        <v>0.15212352</v>
      </c>
      <c r="L40" s="20" t="n">
        <v>0.15202279</v>
      </c>
      <c r="M40" s="18" t="n">
        <v>0</v>
      </c>
      <c r="N40" s="20" t="n">
        <v>0</v>
      </c>
      <c r="O40" s="18" t="n">
        <v>0</v>
      </c>
      <c r="P40" s="20" t="n">
        <v>0</v>
      </c>
      <c r="Q40" s="18" t="n">
        <v>0.59975864</v>
      </c>
      <c r="R40" s="20" t="n">
        <v>0.4702606</v>
      </c>
    </row>
    <row r="41" spans="1:18">
      <c r="A41" s="15" t="s">
        <v>601</v>
      </c>
      <c r="B41" s="17" t="n">
        <v>2858</v>
      </c>
      <c r="C41" s="18">
        <f>(2537.0/B41*100)</f>
        <v/>
      </c>
      <c r="D41" s="19" t="n">
        <v>321</v>
      </c>
      <c r="E41" s="18" t="n">
        <v>46.19829474</v>
      </c>
      <c r="F41" s="20" t="n">
        <v>2.95745316</v>
      </c>
      <c r="G41" s="18" t="n">
        <v>53.80170526</v>
      </c>
      <c r="H41" s="20" t="n">
        <v>2.95745316</v>
      </c>
      <c r="I41" s="18" t="s">
        <v>567</v>
      </c>
      <c r="J41" s="20" t="s">
        <v>567</v>
      </c>
      <c r="K41" s="18" t="n">
        <v>0</v>
      </c>
      <c r="L41" s="20" t="n">
        <v>0</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(10049.0/B46*100)</f>
        <v/>
      </c>
      <c r="D46" s="19" t="n">
        <v>1019</v>
      </c>
      <c r="E46" s="18" t="n">
        <v>43.70368305</v>
      </c>
      <c r="F46" s="20" t="n">
        <v>2.29539862</v>
      </c>
      <c r="G46" s="18" t="n">
        <v>54.24780208</v>
      </c>
      <c r="H46" s="20" t="n">
        <v>2.24346564</v>
      </c>
      <c r="I46" s="18" t="s">
        <v>567</v>
      </c>
      <c r="J46" s="20" t="s">
        <v>567</v>
      </c>
      <c r="K46" s="18" t="n">
        <v>0.91642257</v>
      </c>
      <c r="L46" s="20" t="n">
        <v>0.39072254</v>
      </c>
      <c r="M46" s="18" t="n">
        <v>0</v>
      </c>
      <c r="N46" s="20" t="n">
        <v>0</v>
      </c>
      <c r="O46" s="18" t="n">
        <v>0</v>
      </c>
      <c r="P46" s="20" t="n">
        <v>0</v>
      </c>
      <c r="Q46" s="18" t="n">
        <v>1.1320923</v>
      </c>
      <c r="R46" s="20" t="n">
        <v>0.39104814</v>
      </c>
    </row>
    <row r="47" spans="1:18">
      <c r="A47" s="15" t="s">
        <v>607</v>
      </c>
      <c r="B47" s="17" t="n">
        <v>3105</v>
      </c>
      <c r="C47" s="18">
        <f>(2755.0/B47*100)</f>
        <v/>
      </c>
      <c r="D47" s="19" t="n">
        <v>350</v>
      </c>
      <c r="E47" s="18" t="n">
        <v>49.45069787</v>
      </c>
      <c r="F47" s="20" t="n">
        <v>3.00931105</v>
      </c>
      <c r="G47" s="18" t="n">
        <v>48.63966594</v>
      </c>
      <c r="H47" s="20" t="n">
        <v>3.07187479</v>
      </c>
      <c r="I47" s="18" t="s">
        <v>567</v>
      </c>
      <c r="J47" s="20" t="s">
        <v>567</v>
      </c>
      <c r="K47" s="18" t="n">
        <v>0.29234022</v>
      </c>
      <c r="L47" s="20" t="n">
        <v>0.41198532</v>
      </c>
      <c r="M47" s="18" t="n">
        <v>0</v>
      </c>
      <c r="N47" s="20" t="n">
        <v>0</v>
      </c>
      <c r="O47" s="18" t="n">
        <v>0</v>
      </c>
      <c r="P47" s="20" t="n">
        <v>0</v>
      </c>
      <c r="Q47" s="18" t="n">
        <v>1.61729596</v>
      </c>
      <c r="R47" s="20" t="n">
        <v>0.65953514</v>
      </c>
    </row>
    <row r="48" spans="1:18">
      <c r="A48" s="15" t="s">
        <v>608</v>
      </c>
      <c r="B48" s="17" t="n">
        <v>5159</v>
      </c>
      <c r="C48" s="18">
        <f>(4559.0/B48*100)</f>
        <v/>
      </c>
      <c r="D48" s="19" t="n">
        <v>600</v>
      </c>
      <c r="E48" s="18" t="n">
        <v>28.20341018</v>
      </c>
      <c r="F48" s="20" t="n">
        <v>2.13173166</v>
      </c>
      <c r="G48" s="18" t="n">
        <v>71.68997945</v>
      </c>
      <c r="H48" s="20" t="n">
        <v>2.13578678</v>
      </c>
      <c r="I48" s="18" t="s">
        <v>567</v>
      </c>
      <c r="J48" s="20" t="s">
        <v>567</v>
      </c>
      <c r="K48" s="18" t="n">
        <v>0.10661037</v>
      </c>
      <c r="L48" s="20" t="n">
        <v>0.07498389</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(4971.0/B50*100)</f>
        <v/>
      </c>
      <c r="D50" s="19" t="n">
        <v>666</v>
      </c>
      <c r="E50" s="18" t="n">
        <v>53.98590637</v>
      </c>
      <c r="F50" s="20" t="n">
        <v>2.65716746</v>
      </c>
      <c r="G50" s="18" t="n">
        <v>43.45207314</v>
      </c>
      <c r="H50" s="20" t="n">
        <v>2.46785449</v>
      </c>
      <c r="I50" s="18" t="s">
        <v>567</v>
      </c>
      <c r="J50" s="20" t="s">
        <v>567</v>
      </c>
      <c r="K50" s="18" t="n">
        <v>1.68710395</v>
      </c>
      <c r="L50" s="20" t="n">
        <v>0.8902274999999999</v>
      </c>
      <c r="M50" s="18" t="n">
        <v>0</v>
      </c>
      <c r="N50" s="20" t="n">
        <v>0</v>
      </c>
      <c r="O50" s="18" t="n">
        <v>0</v>
      </c>
      <c r="P50" s="20" t="n">
        <v>0</v>
      </c>
      <c r="Q50" s="18" t="n">
        <v>0.87491654</v>
      </c>
      <c r="R50" s="20" t="n">
        <v>0.47226798</v>
      </c>
    </row>
    <row r="51" spans="1:18">
      <c r="A51" s="15" t="s">
        <v>611</v>
      </c>
      <c r="B51" s="17" t="n">
        <v>3372</v>
      </c>
      <c r="C51" s="18">
        <f>(3058.0/B51*100)</f>
        <v/>
      </c>
      <c r="D51" s="19" t="n">
        <v>314</v>
      </c>
      <c r="E51" s="18" t="n">
        <v>61.86010021</v>
      </c>
      <c r="F51" s="20" t="n">
        <v>2.66221537</v>
      </c>
      <c r="G51" s="18" t="n">
        <v>37.69666924</v>
      </c>
      <c r="H51" s="20" t="n">
        <v>2.68292624</v>
      </c>
      <c r="I51" s="18" t="s">
        <v>567</v>
      </c>
      <c r="J51" s="20" t="s">
        <v>567</v>
      </c>
      <c r="K51" s="18" t="n">
        <v>0</v>
      </c>
      <c r="L51" s="20" t="n">
        <v>0</v>
      </c>
      <c r="M51" s="18" t="n">
        <v>0</v>
      </c>
      <c r="N51" s="20" t="n">
        <v>0</v>
      </c>
      <c r="O51" s="18" t="n">
        <v>0</v>
      </c>
      <c r="P51" s="20" t="n">
        <v>0</v>
      </c>
      <c r="Q51" s="18" t="n">
        <v>0.44323055</v>
      </c>
      <c r="R51" s="20" t="n">
        <v>0.32117081</v>
      </c>
    </row>
    <row r="52" spans="1:18">
      <c r="A52" s="15" t="s">
        <v>612</v>
      </c>
      <c r="B52" s="17" t="n">
        <v>2796</v>
      </c>
      <c r="C52" s="18">
        <f>(2478.0/B52*100)</f>
        <v/>
      </c>
      <c r="D52" s="19" t="n">
        <v>318</v>
      </c>
      <c r="E52" s="18" t="n">
        <v>52.47723332</v>
      </c>
      <c r="F52" s="20" t="n">
        <v>3.24672452</v>
      </c>
      <c r="G52" s="18" t="n">
        <v>46.98522633</v>
      </c>
      <c r="H52" s="20" t="n">
        <v>3.2367361</v>
      </c>
      <c r="I52" s="18" t="s">
        <v>567</v>
      </c>
      <c r="J52" s="20" t="s">
        <v>567</v>
      </c>
      <c r="K52" s="18" t="n">
        <v>0.23640031</v>
      </c>
      <c r="L52" s="20" t="n">
        <v>0.23795567</v>
      </c>
      <c r="M52" s="18" t="n">
        <v>0</v>
      </c>
      <c r="N52" s="20" t="n">
        <v>0</v>
      </c>
      <c r="O52" s="18" t="n">
        <v>0</v>
      </c>
      <c r="P52" s="20" t="n">
        <v>0</v>
      </c>
      <c r="Q52" s="18" t="n">
        <v>0.30114004</v>
      </c>
      <c r="R52" s="20" t="n">
        <v>0.29883581</v>
      </c>
    </row>
    <row r="53" spans="1:18">
      <c r="A53" s="15" t="s">
        <v>613</v>
      </c>
      <c r="B53" s="17" t="n">
        <v>2811</v>
      </c>
      <c r="C53" s="18">
        <f>(2501.0/B53*100)</f>
        <v/>
      </c>
      <c r="D53" s="19" t="n">
        <v>310</v>
      </c>
      <c r="E53" s="18" t="n">
        <v>45.3094221</v>
      </c>
      <c r="F53" s="20" t="n">
        <v>2.98259509</v>
      </c>
      <c r="G53" s="18" t="n">
        <v>52.10347118</v>
      </c>
      <c r="H53" s="20" t="n">
        <v>2.97519343</v>
      </c>
      <c r="I53" s="18" t="s">
        <v>567</v>
      </c>
      <c r="J53" s="20" t="s">
        <v>567</v>
      </c>
      <c r="K53" s="18" t="n">
        <v>0.60094176</v>
      </c>
      <c r="L53" s="20" t="n">
        <v>0.5941642</v>
      </c>
      <c r="M53" s="18" t="n">
        <v>0</v>
      </c>
      <c r="N53" s="20" t="n">
        <v>0</v>
      </c>
      <c r="O53" s="18" t="n">
        <v>0</v>
      </c>
      <c r="P53" s="20" t="n">
        <v>0</v>
      </c>
      <c r="Q53" s="18" t="n">
        <v>1.98616496</v>
      </c>
      <c r="R53" s="20" t="n">
        <v>0.84715801</v>
      </c>
    </row>
    <row r="54" spans="1:18">
      <c r="A54" s="15" t="s">
        <v>614</v>
      </c>
      <c r="B54" s="17" t="n">
        <v>2266</v>
      </c>
      <c r="C54" s="18">
        <f>(2013.0/B54*100)</f>
        <v/>
      </c>
      <c r="D54" s="19" t="n">
        <v>253</v>
      </c>
      <c r="E54" s="18" t="n">
        <v>53.86650323</v>
      </c>
      <c r="F54" s="20" t="n">
        <v>3.58683706</v>
      </c>
      <c r="G54" s="18" t="n">
        <v>29.45678464</v>
      </c>
      <c r="H54" s="20" t="n">
        <v>3.14236577</v>
      </c>
      <c r="I54" s="18" t="s">
        <v>567</v>
      </c>
      <c r="J54" s="20" t="s">
        <v>567</v>
      </c>
      <c r="K54" s="18" t="n">
        <v>11.57156386</v>
      </c>
      <c r="L54" s="20" t="n">
        <v>2.71391352</v>
      </c>
      <c r="M54" s="18" t="n">
        <v>0</v>
      </c>
      <c r="N54" s="20" t="n">
        <v>0</v>
      </c>
      <c r="O54" s="18" t="n">
        <v>0</v>
      </c>
      <c r="P54" s="20" t="n">
        <v>0</v>
      </c>
      <c r="Q54" s="18" t="n">
        <v>5.10514826</v>
      </c>
      <c r="R54" s="20" t="n">
        <v>1.448121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(2376.0/B56*100)</f>
        <v/>
      </c>
      <c r="D56" s="19" t="n">
        <v>308</v>
      </c>
      <c r="E56" s="18" t="n">
        <v>16.7152639</v>
      </c>
      <c r="F56" s="20" t="n">
        <v>2.37931143</v>
      </c>
      <c r="G56" s="18" t="n">
        <v>82.65171333000001</v>
      </c>
      <c r="H56" s="20" t="n">
        <v>2.44044533</v>
      </c>
      <c r="I56" s="18" t="s">
        <v>567</v>
      </c>
      <c r="J56" s="20" t="s">
        <v>567</v>
      </c>
      <c r="K56" s="18" t="n">
        <v>0.41299646</v>
      </c>
      <c r="L56" s="20" t="n">
        <v>0.35065983</v>
      </c>
      <c r="M56" s="18" t="n">
        <v>0</v>
      </c>
      <c r="N56" s="20" t="n">
        <v>0</v>
      </c>
      <c r="O56" s="18" t="n">
        <v>0</v>
      </c>
      <c r="P56" s="20" t="n">
        <v>0</v>
      </c>
      <c r="Q56" s="18" t="n">
        <v>0.22002631</v>
      </c>
      <c r="R56" s="20" t="n">
        <v>0.21816998</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(2939.0/B61*100)</f>
        <v/>
      </c>
      <c r="D61" s="19" t="n">
        <v>385</v>
      </c>
      <c r="E61" s="18" t="n">
        <v>48.58086665</v>
      </c>
      <c r="F61" s="20" t="n">
        <v>2.66486052</v>
      </c>
      <c r="G61" s="18" t="n">
        <v>50.83208775</v>
      </c>
      <c r="H61" s="20" t="n">
        <v>2.65190457</v>
      </c>
      <c r="I61" s="18" t="s">
        <v>567</v>
      </c>
      <c r="J61" s="20" t="s">
        <v>567</v>
      </c>
      <c r="K61" s="18" t="n">
        <v>0</v>
      </c>
      <c r="L61" s="20" t="n">
        <v>0</v>
      </c>
      <c r="M61" s="18" t="n">
        <v>0</v>
      </c>
      <c r="N61" s="20" t="n">
        <v>0</v>
      </c>
      <c r="O61" s="18" t="n">
        <v>0</v>
      </c>
      <c r="P61" s="20" t="n">
        <v>0</v>
      </c>
      <c r="Q61" s="18" t="n">
        <v>0.5870455999999999</v>
      </c>
      <c r="R61" s="20" t="n">
        <v>0.41562793</v>
      </c>
    </row>
    <row r="62" spans="1:18">
      <c r="A62" s="15" t="s">
        <v>622</v>
      </c>
      <c r="B62" s="17" t="n">
        <v>2246</v>
      </c>
      <c r="C62" s="18">
        <f>(1996.0/B62*100)</f>
        <v/>
      </c>
      <c r="D62" s="19" t="n">
        <v>250</v>
      </c>
      <c r="E62" s="18" t="n">
        <v>25.60542643</v>
      </c>
      <c r="F62" s="20" t="n">
        <v>3.14993847</v>
      </c>
      <c r="G62" s="18" t="n">
        <v>73.98777994</v>
      </c>
      <c r="H62" s="20" t="n">
        <v>3.15910573</v>
      </c>
      <c r="I62" s="18" t="s">
        <v>567</v>
      </c>
      <c r="J62" s="20" t="s">
        <v>567</v>
      </c>
      <c r="K62" s="18" t="n">
        <v>0</v>
      </c>
      <c r="L62" s="20" t="n">
        <v>0</v>
      </c>
      <c r="M62" s="18" t="n">
        <v>0</v>
      </c>
      <c r="N62" s="20" t="n">
        <v>0</v>
      </c>
      <c r="O62" s="18" t="n">
        <v>0</v>
      </c>
      <c r="P62" s="20" t="n">
        <v>0</v>
      </c>
      <c r="Q62" s="18" t="n">
        <v>0.40679363</v>
      </c>
      <c r="R62" s="20" t="n">
        <v>0.40742051</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(2593.0/B66*100)</f>
        <v/>
      </c>
      <c r="D66" s="19" t="n">
        <v>301</v>
      </c>
      <c r="E66" s="18" t="n">
        <v>54.55395893</v>
      </c>
      <c r="F66" s="20" t="n">
        <v>2.85934678</v>
      </c>
      <c r="G66" s="18" t="n">
        <v>41.86929219</v>
      </c>
      <c r="H66" s="20" t="n">
        <v>2.71339527</v>
      </c>
      <c r="I66" s="18" t="s">
        <v>567</v>
      </c>
      <c r="J66" s="20" t="s">
        <v>567</v>
      </c>
      <c r="K66" s="18" t="n">
        <v>0.29627667</v>
      </c>
      <c r="L66" s="20" t="n">
        <v>0.29669203</v>
      </c>
      <c r="M66" s="18" t="n">
        <v>0</v>
      </c>
      <c r="N66" s="20" t="n">
        <v>0</v>
      </c>
      <c r="O66" s="18" t="n">
        <v>0</v>
      </c>
      <c r="P66" s="20" t="n">
        <v>0</v>
      </c>
      <c r="Q66" s="18" t="n">
        <v>3.28047221</v>
      </c>
      <c r="R66" s="20" t="n">
        <v>1.07488111</v>
      </c>
    </row>
    <row r="67" spans="1:18">
      <c r="A67" s="15" t="s">
        <v>627</v>
      </c>
      <c r="B67" s="17" t="n">
        <v>3511</v>
      </c>
      <c r="C67" s="18">
        <f>(3155.0/B67*100)</f>
        <v/>
      </c>
      <c r="D67" s="19" t="n">
        <v>356</v>
      </c>
      <c r="E67" s="18" t="n">
        <v>62.47181535</v>
      </c>
      <c r="F67" s="20" t="n">
        <v>2.35873715</v>
      </c>
      <c r="G67" s="18" t="n">
        <v>37.02124729</v>
      </c>
      <c r="H67" s="20" t="n">
        <v>2.38406067</v>
      </c>
      <c r="I67" s="18" t="s">
        <v>567</v>
      </c>
      <c r="J67" s="20" t="s">
        <v>567</v>
      </c>
      <c r="K67" s="18" t="n">
        <v>0.22752764</v>
      </c>
      <c r="L67" s="20" t="n">
        <v>0.23090361</v>
      </c>
      <c r="M67" s="18" t="n">
        <v>0</v>
      </c>
      <c r="N67" s="20" t="n">
        <v>0</v>
      </c>
      <c r="O67" s="18" t="n">
        <v>0</v>
      </c>
      <c r="P67" s="20" t="n">
        <v>0</v>
      </c>
      <c r="Q67" s="18" t="n">
        <v>0.27940971</v>
      </c>
      <c r="R67" s="20" t="n">
        <v>0.27819379</v>
      </c>
    </row>
    <row r="68" spans="1:18">
      <c r="A68" s="15" t="s">
        <v>628</v>
      </c>
      <c r="B68" s="17" t="n">
        <v>6049</v>
      </c>
      <c r="C68" s="18">
        <f>(5388.0/B68*100)</f>
        <v/>
      </c>
      <c r="D68" s="19" t="n">
        <v>661</v>
      </c>
      <c r="E68" s="18" t="n">
        <v>49.24305655</v>
      </c>
      <c r="F68" s="20" t="n">
        <v>2.11755609</v>
      </c>
      <c r="G68" s="18" t="n">
        <v>45.71205971</v>
      </c>
      <c r="H68" s="20" t="n">
        <v>2.24162736</v>
      </c>
      <c r="I68" s="18" t="s">
        <v>567</v>
      </c>
      <c r="J68" s="20" t="s">
        <v>567</v>
      </c>
      <c r="K68" s="18" t="n">
        <v>2.37641888</v>
      </c>
      <c r="L68" s="20" t="n">
        <v>0.65208811</v>
      </c>
      <c r="M68" s="18" t="n">
        <v>0</v>
      </c>
      <c r="N68" s="20" t="n">
        <v>0</v>
      </c>
      <c r="O68" s="18" t="n">
        <v>0</v>
      </c>
      <c r="P68" s="20" t="n">
        <v>0</v>
      </c>
      <c r="Q68" s="18" t="n">
        <v>2.66846485</v>
      </c>
      <c r="R68" s="20" t="n">
        <v>0.49521678</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(2611.0/B70*100)</f>
        <v/>
      </c>
      <c r="D70" s="19" t="n">
        <v>318</v>
      </c>
      <c r="E70" s="18" t="n">
        <v>32.8704082</v>
      </c>
      <c r="F70" s="20" t="n">
        <v>4.02631201</v>
      </c>
      <c r="G70" s="18" t="n">
        <v>66.19142300999999</v>
      </c>
      <c r="H70" s="20" t="n">
        <v>4.05204188</v>
      </c>
      <c r="I70" s="18" t="s">
        <v>567</v>
      </c>
      <c r="J70" s="20" t="s">
        <v>567</v>
      </c>
      <c r="K70" s="18" t="n">
        <v>0</v>
      </c>
      <c r="L70" s="20" t="n">
        <v>0</v>
      </c>
      <c r="M70" s="18" t="n">
        <v>0</v>
      </c>
      <c r="N70" s="20" t="n">
        <v>0</v>
      </c>
      <c r="O70" s="18" t="n">
        <v>0</v>
      </c>
      <c r="P70" s="20" t="n">
        <v>0</v>
      </c>
      <c r="Q70" s="18" t="n">
        <v>0.93816879</v>
      </c>
      <c r="R70" s="20" t="n">
        <v>0.52769295</v>
      </c>
    </row>
    <row r="71" spans="1:18">
      <c r="A71" s="15" t="s">
        <v>631</v>
      </c>
      <c r="B71" s="17" t="n">
        <v>3142</v>
      </c>
      <c r="C71" s="18">
        <f>(2801.0/B71*100)</f>
        <v/>
      </c>
      <c r="D71" s="19" t="n">
        <v>341</v>
      </c>
      <c r="E71" s="18" t="n">
        <v>30.7358915</v>
      </c>
      <c r="F71" s="20" t="n">
        <v>2.49349367</v>
      </c>
      <c r="G71" s="18" t="n">
        <v>68.99242868</v>
      </c>
      <c r="H71" s="20" t="n">
        <v>2.4618309</v>
      </c>
      <c r="I71" s="18" t="s">
        <v>567</v>
      </c>
      <c r="J71" s="20" t="s">
        <v>567</v>
      </c>
      <c r="K71" s="18" t="n">
        <v>0</v>
      </c>
      <c r="L71" s="20" t="n">
        <v>0</v>
      </c>
      <c r="M71" s="18" t="n">
        <v>0</v>
      </c>
      <c r="N71" s="20" t="n">
        <v>0</v>
      </c>
      <c r="O71" s="18" t="n">
        <v>0</v>
      </c>
      <c r="P71" s="20" t="n">
        <v>0</v>
      </c>
      <c r="Q71" s="18" t="n">
        <v>0.27167982</v>
      </c>
      <c r="R71" s="20" t="n">
        <v>0.27178652</v>
      </c>
    </row>
    <row r="72" spans="1:18">
      <c r="A72" s="15" t="s">
        <v>632</v>
      </c>
      <c r="B72" s="17" t="n">
        <v>3889</v>
      </c>
      <c r="C72" s="18">
        <f>(3471.0/B72*100)</f>
        <v/>
      </c>
      <c r="D72" s="19" t="n">
        <v>418</v>
      </c>
      <c r="E72" s="18" t="n">
        <v>33.33162397</v>
      </c>
      <c r="F72" s="20" t="n">
        <v>2.23614527</v>
      </c>
      <c r="G72" s="18" t="n">
        <v>66.06703627</v>
      </c>
      <c r="H72" s="20" t="n">
        <v>2.22493579</v>
      </c>
      <c r="I72" s="18" t="s">
        <v>567</v>
      </c>
      <c r="J72" s="20" t="s">
        <v>567</v>
      </c>
      <c r="K72" s="18" t="n">
        <v>0</v>
      </c>
      <c r="L72" s="20" t="n">
        <v>0</v>
      </c>
      <c r="M72" s="18" t="n">
        <v>0</v>
      </c>
      <c r="N72" s="20" t="n">
        <v>0</v>
      </c>
      <c r="O72" s="18" t="n">
        <v>0</v>
      </c>
      <c r="P72" s="20" t="n">
        <v>0</v>
      </c>
      <c r="Q72" s="18" t="n">
        <v>0.60133976</v>
      </c>
      <c r="R72" s="20" t="n">
        <v>0.42211797</v>
      </c>
    </row>
    <row r="73" spans="1:18">
      <c r="A73" s="15" t="s">
        <v>633</v>
      </c>
      <c r="B73" s="17" t="n">
        <v>3597</v>
      </c>
      <c r="C73" s="18">
        <f>(3211.0/B73*100)</f>
        <v/>
      </c>
      <c r="D73" s="19" t="n">
        <v>386</v>
      </c>
      <c r="E73" s="18" t="n">
        <v>51.99105769</v>
      </c>
      <c r="F73" s="20" t="n">
        <v>2.60543661</v>
      </c>
      <c r="G73" s="18" t="n">
        <v>47.883267</v>
      </c>
      <c r="H73" s="20" t="n">
        <v>2.59758018</v>
      </c>
      <c r="I73" s="18" t="s">
        <v>567</v>
      </c>
      <c r="J73" s="20" t="s">
        <v>567</v>
      </c>
      <c r="K73" s="18" t="n">
        <v>0</v>
      </c>
      <c r="L73" s="20" t="n">
        <v>0</v>
      </c>
      <c r="M73" s="18" t="n">
        <v>0</v>
      </c>
      <c r="N73" s="20" t="n">
        <v>0</v>
      </c>
      <c r="O73" s="18" t="n">
        <v>0</v>
      </c>
      <c r="P73" s="20" t="n">
        <v>0</v>
      </c>
      <c r="Q73" s="18" t="n">
        <v>0.12567531</v>
      </c>
      <c r="R73" s="20" t="n">
        <v>0.10993118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(2158.0/B75*100)</f>
        <v/>
      </c>
      <c r="D75" s="19" t="n">
        <v>248</v>
      </c>
      <c r="E75" s="18" t="n">
        <v>51.74374799</v>
      </c>
      <c r="F75" s="20" t="n">
        <v>3.19782355</v>
      </c>
      <c r="G75" s="18" t="n">
        <v>43.12283072</v>
      </c>
      <c r="H75" s="20" t="n">
        <v>3.30713746</v>
      </c>
      <c r="I75" s="18" t="s">
        <v>567</v>
      </c>
      <c r="J75" s="20" t="s">
        <v>567</v>
      </c>
      <c r="K75" s="18" t="n">
        <v>1.59111554</v>
      </c>
      <c r="L75" s="20" t="n">
        <v>0.80821059</v>
      </c>
      <c r="M75" s="18" t="n">
        <v>0</v>
      </c>
      <c r="N75" s="20" t="n">
        <v>0</v>
      </c>
      <c r="O75" s="18" t="n">
        <v>0</v>
      </c>
      <c r="P75" s="20" t="n">
        <v>0</v>
      </c>
      <c r="Q75" s="18" t="n">
        <v>3.54230576</v>
      </c>
      <c r="R75" s="20" t="n">
        <v>1.72459882</v>
      </c>
    </row>
    <row r="76" spans="1:18">
      <c r="A76" s="15" t="s">
        <v>636</v>
      </c>
      <c r="B76" s="17" t="n">
        <v>7052</v>
      </c>
      <c r="C76" s="18">
        <f>(6306.0/B76*100)</f>
        <v/>
      </c>
      <c r="D76" s="19" t="n">
        <v>746</v>
      </c>
      <c r="E76" s="18" t="n">
        <v>54.14962028</v>
      </c>
      <c r="F76" s="20" t="n">
        <v>2.38506238</v>
      </c>
      <c r="G76" s="18" t="n">
        <v>43.14976567</v>
      </c>
      <c r="H76" s="20" t="n">
        <v>2.39923344</v>
      </c>
      <c r="I76" s="18" t="s">
        <v>567</v>
      </c>
      <c r="J76" s="20" t="s">
        <v>567</v>
      </c>
      <c r="K76" s="18" t="n">
        <v>0.65824781</v>
      </c>
      <c r="L76" s="20" t="n">
        <v>0.32992734</v>
      </c>
      <c r="M76" s="18" t="n">
        <v>0</v>
      </c>
      <c r="N76" s="20" t="n">
        <v>0</v>
      </c>
      <c r="O76" s="18" t="n">
        <v>0</v>
      </c>
      <c r="P76" s="20" t="n">
        <v>0</v>
      </c>
      <c r="Q76" s="18" t="n">
        <v>2.04236624</v>
      </c>
      <c r="R76" s="20" t="n">
        <v>0.61455954</v>
      </c>
    </row>
    <row r="77" spans="1:18">
      <c r="A77" s="15" t="s">
        <v>637</v>
      </c>
      <c r="B77" s="17" t="n">
        <v>2908</v>
      </c>
      <c r="C77" s="18">
        <f>(2578.0/B77*100)</f>
        <v/>
      </c>
      <c r="D77" s="19" t="n">
        <v>330</v>
      </c>
      <c r="E77" s="18" t="n">
        <v>49.50998062</v>
      </c>
      <c r="F77" s="20" t="n">
        <v>2.92743389</v>
      </c>
      <c r="G77" s="18" t="n">
        <v>48.73213309</v>
      </c>
      <c r="H77" s="20" t="n">
        <v>2.91739235</v>
      </c>
      <c r="I77" s="18" t="s">
        <v>567</v>
      </c>
      <c r="J77" s="20" t="s">
        <v>567</v>
      </c>
      <c r="K77" s="18" t="n">
        <v>0.46591886</v>
      </c>
      <c r="L77" s="20" t="n">
        <v>0.3639331</v>
      </c>
      <c r="M77" s="18" t="n">
        <v>0</v>
      </c>
      <c r="N77" s="20" t="n">
        <v>0</v>
      </c>
      <c r="O77" s="18" t="n">
        <v>0</v>
      </c>
      <c r="P77" s="20" t="n">
        <v>0</v>
      </c>
      <c r="Q77" s="18" t="n">
        <v>1.29196742</v>
      </c>
      <c r="R77" s="20" t="n">
        <v>0.65061117</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(3688.0/B81*100)</f>
        <v/>
      </c>
      <c r="D81" s="19" t="n">
        <v>475</v>
      </c>
      <c r="E81" s="18" t="n">
        <v>45.77132</v>
      </c>
      <c r="F81" s="20" t="n">
        <v>2.81618406</v>
      </c>
      <c r="G81" s="18" t="n">
        <v>53.85072278</v>
      </c>
      <c r="H81" s="20" t="n">
        <v>2.81366731</v>
      </c>
      <c r="I81" s="18" t="s">
        <v>567</v>
      </c>
      <c r="J81" s="20" t="s">
        <v>567</v>
      </c>
      <c r="K81" s="18" t="n">
        <v>0.37795722</v>
      </c>
      <c r="L81" s="20" t="n">
        <v>0.46253796</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(6588.0/B7*100)</f>
        <v/>
      </c>
      <c r="D7" s="19" t="n">
        <v>779</v>
      </c>
      <c r="E7" s="18" t="n">
        <v>58.90743531</v>
      </c>
      <c r="F7" s="20" t="n">
        <v>2.12360472</v>
      </c>
      <c r="G7" s="18" t="n">
        <v>37.57322905</v>
      </c>
      <c r="H7" s="20" t="n">
        <v>2.06400825</v>
      </c>
      <c r="I7" s="18" t="s">
        <v>567</v>
      </c>
      <c r="J7" s="20" t="s">
        <v>567</v>
      </c>
      <c r="K7" s="18" t="n">
        <v>0.30630664</v>
      </c>
      <c r="L7" s="20" t="n">
        <v>0.22146644</v>
      </c>
      <c r="M7" s="18" t="n">
        <v>0</v>
      </c>
      <c r="N7" s="20" t="n">
        <v>0</v>
      </c>
      <c r="O7" s="18" t="n">
        <v>0</v>
      </c>
      <c r="P7" s="20" t="n">
        <v>0</v>
      </c>
      <c r="Q7" s="18" t="n">
        <v>3.213029</v>
      </c>
      <c r="R7" s="20" t="n">
        <v>0.61128467</v>
      </c>
    </row>
    <row r="8" spans="1:18">
      <c r="A8" s="15" t="s">
        <v>568</v>
      </c>
      <c r="B8" s="17" t="n">
        <v>3564</v>
      </c>
      <c r="C8" s="18">
        <f>(3175.0/B8*100)</f>
        <v/>
      </c>
      <c r="D8" s="19" t="n">
        <v>389</v>
      </c>
      <c r="E8" s="18" t="n">
        <v>53.28678035</v>
      </c>
      <c r="F8" s="20" t="n">
        <v>3.29171011</v>
      </c>
      <c r="G8" s="18" t="n">
        <v>44.86793666</v>
      </c>
      <c r="H8" s="20" t="n">
        <v>3.34151899</v>
      </c>
      <c r="I8" s="18" t="s">
        <v>567</v>
      </c>
      <c r="J8" s="20" t="s">
        <v>567</v>
      </c>
      <c r="K8" s="18" t="n">
        <v>0</v>
      </c>
      <c r="L8" s="20" t="n">
        <v>0</v>
      </c>
      <c r="M8" s="18" t="n">
        <v>0</v>
      </c>
      <c r="N8" s="20" t="n">
        <v>0</v>
      </c>
      <c r="O8" s="18" t="n">
        <v>0</v>
      </c>
      <c r="P8" s="20" t="n">
        <v>0</v>
      </c>
      <c r="Q8" s="18" t="n">
        <v>1.84528299</v>
      </c>
      <c r="R8" s="20" t="n">
        <v>0.77909951</v>
      </c>
    </row>
    <row r="9" spans="1:18">
      <c r="A9" s="15" t="s">
        <v>569</v>
      </c>
      <c r="B9" s="17" t="n">
        <v>4899</v>
      </c>
      <c r="C9" s="18">
        <f>(4375.0/B9*100)</f>
        <v/>
      </c>
      <c r="D9" s="19" t="n">
        <v>524</v>
      </c>
      <c r="E9" s="18" t="n">
        <v>66.46972674</v>
      </c>
      <c r="F9" s="20" t="n">
        <v>1.88235999</v>
      </c>
      <c r="G9" s="18" t="n">
        <v>30.96617218</v>
      </c>
      <c r="H9" s="20" t="n">
        <v>1.95355935</v>
      </c>
      <c r="I9" s="18" t="s">
        <v>567</v>
      </c>
      <c r="J9" s="20" t="s">
        <v>567</v>
      </c>
      <c r="K9" s="18" t="n">
        <v>0.15847832</v>
      </c>
      <c r="L9" s="20" t="n">
        <v>0.15265988</v>
      </c>
      <c r="M9" s="18" t="n">
        <v>0</v>
      </c>
      <c r="N9" s="20" t="n">
        <v>0</v>
      </c>
      <c r="O9" s="18" t="n">
        <v>0</v>
      </c>
      <c r="P9" s="20" t="n">
        <v>0</v>
      </c>
      <c r="Q9" s="18" t="n">
        <v>2.40562276</v>
      </c>
      <c r="R9" s="20" t="n">
        <v>0.7435365</v>
      </c>
    </row>
    <row r="10" spans="1:18">
      <c r="A10" s="15" t="s">
        <v>570</v>
      </c>
      <c r="B10" s="17" t="n">
        <v>10036</v>
      </c>
      <c r="C10" s="18">
        <f>(8879.0/B10*100)</f>
        <v/>
      </c>
      <c r="D10" s="19" t="n">
        <v>1157</v>
      </c>
      <c r="E10" s="18" t="n">
        <v>49.96874375</v>
      </c>
      <c r="F10" s="20" t="n">
        <v>1.98599778</v>
      </c>
      <c r="G10" s="18" t="n">
        <v>47.96579528</v>
      </c>
      <c r="H10" s="20" t="n">
        <v>1.95292332</v>
      </c>
      <c r="I10" s="18" t="s">
        <v>567</v>
      </c>
      <c r="J10" s="20" t="s">
        <v>567</v>
      </c>
      <c r="K10" s="18" t="n">
        <v>0.40348125</v>
      </c>
      <c r="L10" s="20" t="n">
        <v>0.25701123</v>
      </c>
      <c r="M10" s="18" t="n">
        <v>0</v>
      </c>
      <c r="N10" s="20" t="n">
        <v>0</v>
      </c>
      <c r="O10" s="18" t="n">
        <v>0</v>
      </c>
      <c r="P10" s="20" t="n">
        <v>0</v>
      </c>
      <c r="Q10" s="18" t="n">
        <v>1.66197973</v>
      </c>
      <c r="R10" s="20" t="n">
        <v>0.49763154</v>
      </c>
    </row>
    <row r="11" spans="1:18">
      <c r="A11" s="15" t="s">
        <v>571</v>
      </c>
      <c r="B11" s="17" t="n">
        <v>3553</v>
      </c>
      <c r="C11" s="18">
        <f>(3173.0/B11*100)</f>
        <v/>
      </c>
      <c r="D11" s="19" t="n">
        <v>380</v>
      </c>
      <c r="E11" s="18" t="n">
        <v>71.69153206999999</v>
      </c>
      <c r="F11" s="20" t="n">
        <v>2.64772349</v>
      </c>
      <c r="G11" s="18" t="n">
        <v>23.93972529</v>
      </c>
      <c r="H11" s="20" t="n">
        <v>2.5849432</v>
      </c>
      <c r="I11" s="18" t="s">
        <v>567</v>
      </c>
      <c r="J11" s="20" t="s">
        <v>567</v>
      </c>
      <c r="K11" s="18" t="n">
        <v>0.90736387</v>
      </c>
      <c r="L11" s="20" t="n">
        <v>0.46170783</v>
      </c>
      <c r="M11" s="18" t="n">
        <v>0</v>
      </c>
      <c r="N11" s="20" t="n">
        <v>0</v>
      </c>
      <c r="O11" s="18" t="n">
        <v>0</v>
      </c>
      <c r="P11" s="20" t="n">
        <v>0</v>
      </c>
      <c r="Q11" s="18" t="n">
        <v>3.46137877</v>
      </c>
      <c r="R11" s="20" t="n">
        <v>1.0007192</v>
      </c>
    </row>
    <row r="12" spans="1:18">
      <c r="A12" s="15" t="s">
        <v>572</v>
      </c>
      <c r="B12" s="17" t="n">
        <v>3472</v>
      </c>
      <c r="C12" s="18">
        <f>(3070.0/B12*100)</f>
        <v/>
      </c>
      <c r="D12" s="19" t="n">
        <v>402</v>
      </c>
      <c r="E12" s="18" t="n">
        <v>54.47321456</v>
      </c>
      <c r="F12" s="20" t="n">
        <v>2.98785379</v>
      </c>
      <c r="G12" s="18" t="n">
        <v>42.15294718</v>
      </c>
      <c r="H12" s="20" t="n">
        <v>2.96762756</v>
      </c>
      <c r="I12" s="18" t="s">
        <v>567</v>
      </c>
      <c r="J12" s="20" t="s">
        <v>567</v>
      </c>
      <c r="K12" s="18" t="n">
        <v>0.22864299</v>
      </c>
      <c r="L12" s="20" t="n">
        <v>0.22470567</v>
      </c>
      <c r="M12" s="18" t="n">
        <v>0</v>
      </c>
      <c r="N12" s="20" t="n">
        <v>0</v>
      </c>
      <c r="O12" s="18" t="n">
        <v>0</v>
      </c>
      <c r="P12" s="20" t="n">
        <v>0</v>
      </c>
      <c r="Q12" s="18" t="n">
        <v>3.14519527</v>
      </c>
      <c r="R12" s="20" t="n">
        <v>0.79988183</v>
      </c>
    </row>
    <row r="13" spans="1:18">
      <c r="A13" s="15" t="s">
        <v>573</v>
      </c>
      <c r="B13" s="17" t="n">
        <v>3559</v>
      </c>
      <c r="C13" s="18">
        <f>(3181.0/B13*100)</f>
        <v/>
      </c>
      <c r="D13" s="19" t="n">
        <v>378</v>
      </c>
      <c r="E13" s="18" t="n">
        <v>64.03405772000001</v>
      </c>
      <c r="F13" s="20" t="n">
        <v>2.93100302</v>
      </c>
      <c r="G13" s="18" t="n">
        <v>32.84323338</v>
      </c>
      <c r="H13" s="20" t="n">
        <v>2.86257646</v>
      </c>
      <c r="I13" s="18" t="s">
        <v>567</v>
      </c>
      <c r="J13" s="20" t="s">
        <v>567</v>
      </c>
      <c r="K13" s="18" t="n">
        <v>0.58596304</v>
      </c>
      <c r="L13" s="20" t="n">
        <v>0.50954132</v>
      </c>
      <c r="M13" s="18" t="n">
        <v>0</v>
      </c>
      <c r="N13" s="20" t="n">
        <v>0</v>
      </c>
      <c r="O13" s="18" t="n">
        <v>0</v>
      </c>
      <c r="P13" s="20" t="n">
        <v>0</v>
      </c>
      <c r="Q13" s="18" t="n">
        <v>2.53674585</v>
      </c>
      <c r="R13" s="20" t="n">
        <v>0.89303825</v>
      </c>
    </row>
    <row r="14" spans="1:18">
      <c r="A14" s="15" t="s">
        <v>574</v>
      </c>
      <c r="B14" s="17" t="n">
        <v>2799</v>
      </c>
      <c r="C14" s="18">
        <f>(2486.0/B14*100)</f>
        <v/>
      </c>
      <c r="D14" s="19" t="n">
        <v>313</v>
      </c>
      <c r="E14" s="18" t="n">
        <v>45.85337366</v>
      </c>
      <c r="F14" s="20" t="n">
        <v>3.56354826</v>
      </c>
      <c r="G14" s="18" t="n">
        <v>53.10514941</v>
      </c>
      <c r="H14" s="20" t="n">
        <v>3.46724669</v>
      </c>
      <c r="I14" s="18" t="s">
        <v>567</v>
      </c>
      <c r="J14" s="20" t="s">
        <v>567</v>
      </c>
      <c r="K14" s="18" t="n">
        <v>0</v>
      </c>
      <c r="L14" s="20" t="n">
        <v>0</v>
      </c>
      <c r="M14" s="18" t="n">
        <v>0</v>
      </c>
      <c r="N14" s="20" t="n">
        <v>0</v>
      </c>
      <c r="O14" s="18" t="n">
        <v>0</v>
      </c>
      <c r="P14" s="20" t="n">
        <v>0</v>
      </c>
      <c r="Q14" s="18" t="n">
        <v>1.04147693</v>
      </c>
      <c r="R14" s="20" t="n">
        <v>0.53307245</v>
      </c>
    </row>
    <row r="15" spans="1:18">
      <c r="A15" s="15" t="s">
        <v>575</v>
      </c>
      <c r="B15" s="17" t="n">
        <v>3019</v>
      </c>
      <c r="C15" s="18">
        <f>(2720.0/B15*100)</f>
        <v/>
      </c>
      <c r="D15" s="19" t="n">
        <v>299</v>
      </c>
      <c r="E15" s="18" t="n">
        <v>46.24323039</v>
      </c>
      <c r="F15" s="20" t="n">
        <v>3.19837647</v>
      </c>
      <c r="G15" s="18" t="n">
        <v>52.08951309</v>
      </c>
      <c r="H15" s="20" t="n">
        <v>3.22171446</v>
      </c>
      <c r="I15" s="18" t="s">
        <v>567</v>
      </c>
      <c r="J15" s="20" t="s">
        <v>567</v>
      </c>
      <c r="K15" s="18" t="n">
        <v>0</v>
      </c>
      <c r="L15" s="20" t="n">
        <v>0</v>
      </c>
      <c r="M15" s="18" t="n">
        <v>0</v>
      </c>
      <c r="N15" s="20" t="n">
        <v>0</v>
      </c>
      <c r="O15" s="18" t="n">
        <v>0</v>
      </c>
      <c r="P15" s="20" t="n">
        <v>0</v>
      </c>
      <c r="Q15" s="18" t="n">
        <v>1.66725652</v>
      </c>
      <c r="R15" s="20" t="n">
        <v>0.75120854</v>
      </c>
    </row>
    <row r="16" spans="1:18">
      <c r="A16" s="15" t="s">
        <v>576</v>
      </c>
      <c r="B16" s="17" t="n">
        <v>2997</v>
      </c>
      <c r="C16" s="18">
        <f>(2672.0/B16*100)</f>
        <v/>
      </c>
      <c r="D16" s="19" t="n">
        <v>325</v>
      </c>
      <c r="E16" s="18" t="n">
        <v>54.58851126</v>
      </c>
      <c r="F16" s="20" t="n">
        <v>2.70255582</v>
      </c>
      <c r="G16" s="18" t="n">
        <v>40.81332902</v>
      </c>
      <c r="H16" s="20" t="n">
        <v>2.63758519</v>
      </c>
      <c r="I16" s="18" t="s">
        <v>567</v>
      </c>
      <c r="J16" s="20" t="s">
        <v>567</v>
      </c>
      <c r="K16" s="18" t="n">
        <v>1.18803725</v>
      </c>
      <c r="L16" s="20" t="n">
        <v>0.93916838</v>
      </c>
      <c r="M16" s="18" t="n">
        <v>0</v>
      </c>
      <c r="N16" s="20" t="n">
        <v>0</v>
      </c>
      <c r="O16" s="18" t="n">
        <v>0</v>
      </c>
      <c r="P16" s="20" t="n">
        <v>0</v>
      </c>
      <c r="Q16" s="18" t="n">
        <v>3.41012247</v>
      </c>
      <c r="R16" s="20" t="n">
        <v>0.94497111</v>
      </c>
    </row>
    <row r="17" spans="1:18">
      <c r="A17" s="15" t="s">
        <v>577</v>
      </c>
      <c r="B17" s="17" t="n">
        <v>3307</v>
      </c>
      <c r="C17" s="18">
        <f>(2971.0/B17*100)</f>
        <v/>
      </c>
      <c r="D17" s="19" t="n">
        <v>336</v>
      </c>
      <c r="E17" s="18" t="n">
        <v>48.5494138</v>
      </c>
      <c r="F17" s="20" t="n">
        <v>2.62368019</v>
      </c>
      <c r="G17" s="18" t="n">
        <v>48.36531365</v>
      </c>
      <c r="H17" s="20" t="n">
        <v>2.5242418</v>
      </c>
      <c r="I17" s="18" t="s">
        <v>567</v>
      </c>
      <c r="J17" s="20" t="s">
        <v>567</v>
      </c>
      <c r="K17" s="18" t="n">
        <v>0.37484992</v>
      </c>
      <c r="L17" s="20" t="n">
        <v>0.18578785</v>
      </c>
      <c r="M17" s="18" t="n">
        <v>0</v>
      </c>
      <c r="N17" s="20" t="n">
        <v>0</v>
      </c>
      <c r="O17" s="18" t="n">
        <v>0</v>
      </c>
      <c r="P17" s="20" t="n">
        <v>0</v>
      </c>
      <c r="Q17" s="18" t="n">
        <v>2.71042263</v>
      </c>
      <c r="R17" s="20" t="n">
        <v>1.06854634</v>
      </c>
    </row>
    <row r="18" spans="1:18">
      <c r="A18" s="15" t="s">
        <v>578</v>
      </c>
      <c r="B18" s="17" t="n">
        <v>2826</v>
      </c>
      <c r="C18" s="18">
        <f>(2495.0/B18*100)</f>
        <v/>
      </c>
      <c r="D18" s="19" t="n">
        <v>331</v>
      </c>
      <c r="E18" s="18" t="n">
        <v>66.47488202</v>
      </c>
      <c r="F18" s="20" t="n">
        <v>2.75722169</v>
      </c>
      <c r="G18" s="18" t="n">
        <v>30.4612475</v>
      </c>
      <c r="H18" s="20" t="n">
        <v>2.58436628</v>
      </c>
      <c r="I18" s="18" t="s">
        <v>567</v>
      </c>
      <c r="J18" s="20" t="s">
        <v>567</v>
      </c>
      <c r="K18" s="18" t="n">
        <v>0</v>
      </c>
      <c r="L18" s="20" t="n">
        <v>0</v>
      </c>
      <c r="M18" s="18" t="n">
        <v>0</v>
      </c>
      <c r="N18" s="20" t="n">
        <v>0</v>
      </c>
      <c r="O18" s="18" t="n">
        <v>0</v>
      </c>
      <c r="P18" s="20" t="n">
        <v>0</v>
      </c>
      <c r="Q18" s="18" t="n">
        <v>3.06387048</v>
      </c>
      <c r="R18" s="20" t="n">
        <v>0.97533388</v>
      </c>
    </row>
    <row r="19" spans="1:18">
      <c r="A19" s="15" t="s">
        <v>579</v>
      </c>
      <c r="B19" s="17" t="n">
        <v>2808</v>
      </c>
      <c r="C19" s="18">
        <f>(2507.0/B19*100)</f>
        <v/>
      </c>
      <c r="D19" s="19" t="n">
        <v>301</v>
      </c>
      <c r="E19" s="18" t="n">
        <v>55.9041382</v>
      </c>
      <c r="F19" s="20" t="n">
        <v>3.19914025</v>
      </c>
      <c r="G19" s="18" t="n">
        <v>40.79629385</v>
      </c>
      <c r="H19" s="20" t="n">
        <v>2.96170586</v>
      </c>
      <c r="I19" s="18" t="s">
        <v>567</v>
      </c>
      <c r="J19" s="20" t="s">
        <v>567</v>
      </c>
      <c r="K19" s="18" t="n">
        <v>0</v>
      </c>
      <c r="L19" s="20" t="n">
        <v>0</v>
      </c>
      <c r="M19" s="18" t="n">
        <v>0</v>
      </c>
      <c r="N19" s="20" t="n">
        <v>0</v>
      </c>
      <c r="O19" s="18" t="n">
        <v>0</v>
      </c>
      <c r="P19" s="20" t="n">
        <v>0</v>
      </c>
      <c r="Q19" s="18" t="n">
        <v>3.29956795</v>
      </c>
      <c r="R19" s="20" t="n">
        <v>1.16574413</v>
      </c>
    </row>
    <row r="20" spans="1:18">
      <c r="A20" s="15" t="s">
        <v>580</v>
      </c>
      <c r="B20" s="17" t="n">
        <v>1630</v>
      </c>
      <c r="C20" s="18">
        <f>(1454.0/B20*100)</f>
        <v/>
      </c>
      <c r="D20" s="19" t="n">
        <v>176</v>
      </c>
      <c r="E20" s="18" t="n">
        <v>54.8669018</v>
      </c>
      <c r="F20" s="20" t="n">
        <v>4.25536537</v>
      </c>
      <c r="G20" s="18" t="n">
        <v>40.88278457</v>
      </c>
      <c r="H20" s="20" t="n">
        <v>3.98524924</v>
      </c>
      <c r="I20" s="18" t="s">
        <v>567</v>
      </c>
      <c r="J20" s="20" t="s">
        <v>567</v>
      </c>
      <c r="K20" s="18" t="n">
        <v>0.56129912</v>
      </c>
      <c r="L20" s="20" t="n">
        <v>0.57000437</v>
      </c>
      <c r="M20" s="18" t="n">
        <v>0</v>
      </c>
      <c r="N20" s="20" t="n">
        <v>0</v>
      </c>
      <c r="O20" s="18" t="n">
        <v>0</v>
      </c>
      <c r="P20" s="20" t="n">
        <v>0</v>
      </c>
      <c r="Q20" s="18" t="n">
        <v>3.68901452</v>
      </c>
      <c r="R20" s="20" t="n">
        <v>1.61064549</v>
      </c>
    </row>
    <row r="21" spans="1:18">
      <c r="A21" s="15" t="s">
        <v>581</v>
      </c>
      <c r="B21" s="17" t="n">
        <v>2908</v>
      </c>
      <c r="C21" s="18">
        <f>(2589.0/B21*100)</f>
        <v/>
      </c>
      <c r="D21" s="19" t="n">
        <v>319</v>
      </c>
      <c r="E21" s="18" t="n">
        <v>52.82584659</v>
      </c>
      <c r="F21" s="20" t="n">
        <v>3.01546556</v>
      </c>
      <c r="G21" s="18" t="n">
        <v>44.89585598</v>
      </c>
      <c r="H21" s="20" t="n">
        <v>2.9108659</v>
      </c>
      <c r="I21" s="18" t="s">
        <v>567</v>
      </c>
      <c r="J21" s="20" t="s">
        <v>567</v>
      </c>
      <c r="K21" s="18" t="n">
        <v>0.25899989</v>
      </c>
      <c r="L21" s="20" t="n">
        <v>0.25759498</v>
      </c>
      <c r="M21" s="18" t="n">
        <v>0</v>
      </c>
      <c r="N21" s="20" t="n">
        <v>0</v>
      </c>
      <c r="O21" s="18" t="n">
        <v>0</v>
      </c>
      <c r="P21" s="20" t="n">
        <v>0</v>
      </c>
      <c r="Q21" s="18" t="n">
        <v>2.01929755</v>
      </c>
      <c r="R21" s="20" t="n">
        <v>0.79773024</v>
      </c>
    </row>
    <row r="22" spans="1:18">
      <c r="A22" s="15" t="s">
        <v>582</v>
      </c>
      <c r="B22" s="17" t="n">
        <v>2931</v>
      </c>
      <c r="C22" s="18">
        <f>(2609.0/B22*100)</f>
        <v/>
      </c>
      <c r="D22" s="19" t="n">
        <v>322</v>
      </c>
      <c r="E22" s="18" t="n">
        <v>60.12806045</v>
      </c>
      <c r="F22" s="20" t="n">
        <v>3.06284757</v>
      </c>
      <c r="G22" s="18" t="n">
        <v>34.27630532</v>
      </c>
      <c r="H22" s="20" t="n">
        <v>2.83377017</v>
      </c>
      <c r="I22" s="18" t="s">
        <v>567</v>
      </c>
      <c r="J22" s="20" t="s">
        <v>567</v>
      </c>
      <c r="K22" s="18" t="n">
        <v>1.23780897</v>
      </c>
      <c r="L22" s="20" t="n">
        <v>0.59805829</v>
      </c>
      <c r="M22" s="18" t="n">
        <v>0</v>
      </c>
      <c r="N22" s="20" t="n">
        <v>0</v>
      </c>
      <c r="O22" s="18" t="n">
        <v>0</v>
      </c>
      <c r="P22" s="20" t="n">
        <v>0</v>
      </c>
      <c r="Q22" s="18" t="n">
        <v>4.35782527</v>
      </c>
      <c r="R22" s="20" t="n">
        <v>1.08927172</v>
      </c>
    </row>
    <row r="23" spans="1:18">
      <c r="A23" s="15" t="s">
        <v>583</v>
      </c>
      <c r="B23" s="17" t="n">
        <v>5791</v>
      </c>
      <c r="C23" s="18">
        <f>(5185.0/B23*100)</f>
        <v/>
      </c>
      <c r="D23" s="19" t="n">
        <v>606</v>
      </c>
      <c r="E23" s="18" t="n">
        <v>60.53181306</v>
      </c>
      <c r="F23" s="20" t="n">
        <v>2.71215226</v>
      </c>
      <c r="G23" s="18" t="n">
        <v>34.30735225</v>
      </c>
      <c r="H23" s="20" t="n">
        <v>2.64352312</v>
      </c>
      <c r="I23" s="18" t="s">
        <v>567</v>
      </c>
      <c r="J23" s="20" t="s">
        <v>567</v>
      </c>
      <c r="K23" s="18" t="n">
        <v>0.14785836</v>
      </c>
      <c r="L23" s="20" t="n">
        <v>0.13463048</v>
      </c>
      <c r="M23" s="18" t="n">
        <v>0</v>
      </c>
      <c r="N23" s="20" t="n">
        <v>0</v>
      </c>
      <c r="O23" s="18" t="n">
        <v>0</v>
      </c>
      <c r="P23" s="20" t="n">
        <v>0</v>
      </c>
      <c r="Q23" s="18" t="n">
        <v>5.01297633</v>
      </c>
      <c r="R23" s="20" t="n">
        <v>1.11105744</v>
      </c>
    </row>
    <row r="24" spans="1:18">
      <c r="A24" s="15" t="s">
        <v>584</v>
      </c>
      <c r="B24" s="17" t="n">
        <v>3338</v>
      </c>
      <c r="C24" s="18">
        <f>(2971.0/B24*100)</f>
        <v/>
      </c>
      <c r="D24" s="19" t="n">
        <v>367</v>
      </c>
      <c r="E24" s="18" t="n">
        <v>42.65812666</v>
      </c>
      <c r="F24" s="20" t="n">
        <v>3.09347939</v>
      </c>
      <c r="G24" s="18" t="n">
        <v>55.18932603</v>
      </c>
      <c r="H24" s="20" t="n">
        <v>3.04610138</v>
      </c>
      <c r="I24" s="18" t="s">
        <v>567</v>
      </c>
      <c r="J24" s="20" t="s">
        <v>567</v>
      </c>
      <c r="K24" s="18" t="n">
        <v>0</v>
      </c>
      <c r="L24" s="20" t="n">
        <v>0</v>
      </c>
      <c r="M24" s="18" t="n">
        <v>0</v>
      </c>
      <c r="N24" s="20" t="n">
        <v>0</v>
      </c>
      <c r="O24" s="18" t="n">
        <v>0</v>
      </c>
      <c r="P24" s="20" t="n">
        <v>0</v>
      </c>
      <c r="Q24" s="18" t="n">
        <v>2.15254731</v>
      </c>
      <c r="R24" s="20" t="n">
        <v>0.91315455</v>
      </c>
    </row>
    <row r="25" spans="1:18">
      <c r="A25" s="15" t="s">
        <v>585</v>
      </c>
      <c r="B25" s="17" t="n">
        <v>2912</v>
      </c>
      <c r="C25" s="18">
        <f>(2601.0/B25*100)</f>
        <v/>
      </c>
      <c r="D25" s="19" t="n">
        <v>311</v>
      </c>
      <c r="E25" s="18" t="n">
        <v>52.59882407</v>
      </c>
      <c r="F25" s="20" t="n">
        <v>3.42606031</v>
      </c>
      <c r="G25" s="18" t="n">
        <v>45.56704275</v>
      </c>
      <c r="H25" s="20" t="n">
        <v>3.57716833</v>
      </c>
      <c r="I25" s="18" t="s">
        <v>567</v>
      </c>
      <c r="J25" s="20" t="s">
        <v>567</v>
      </c>
      <c r="K25" s="18" t="n">
        <v>0.62230212</v>
      </c>
      <c r="L25" s="20" t="n">
        <v>0.45412028</v>
      </c>
      <c r="M25" s="18" t="n">
        <v>0</v>
      </c>
      <c r="N25" s="20" t="n">
        <v>0</v>
      </c>
      <c r="O25" s="18" t="n">
        <v>0</v>
      </c>
      <c r="P25" s="20" t="n">
        <v>0</v>
      </c>
      <c r="Q25" s="18" t="n">
        <v>1.21183106</v>
      </c>
      <c r="R25" s="20" t="n">
        <v>0.61078102</v>
      </c>
    </row>
    <row r="26" spans="1:18">
      <c r="A26" s="15" t="s">
        <v>586</v>
      </c>
      <c r="B26" s="17" t="n">
        <v>2450</v>
      </c>
      <c r="C26" s="18">
        <f>(2171.0/B26*100)</f>
        <v/>
      </c>
      <c r="D26" s="19" t="n">
        <v>279</v>
      </c>
      <c r="E26" s="18" t="n">
        <v>60.3692629</v>
      </c>
      <c r="F26" s="20" t="n">
        <v>3.42361408</v>
      </c>
      <c r="G26" s="18" t="n">
        <v>39.28858952</v>
      </c>
      <c r="H26" s="20" t="n">
        <v>3.42450495</v>
      </c>
      <c r="I26" s="18" t="s">
        <v>567</v>
      </c>
      <c r="J26" s="20" t="s">
        <v>567</v>
      </c>
      <c r="K26" s="18" t="n">
        <v>0</v>
      </c>
      <c r="L26" s="20" t="n">
        <v>0</v>
      </c>
      <c r="M26" s="18" t="n">
        <v>0</v>
      </c>
      <c r="N26" s="20" t="n">
        <v>0</v>
      </c>
      <c r="O26" s="18" t="n">
        <v>0</v>
      </c>
      <c r="P26" s="20" t="n">
        <v>0</v>
      </c>
      <c r="Q26" s="18" t="n">
        <v>0.34214757</v>
      </c>
      <c r="R26" s="20" t="n">
        <v>0.32510379</v>
      </c>
    </row>
    <row r="27" spans="1:18">
      <c r="A27" s="15" t="s">
        <v>587</v>
      </c>
      <c r="B27" s="17" t="n">
        <v>2616</v>
      </c>
      <c r="C27" s="18">
        <f>(2343.0/B27*100)</f>
        <v/>
      </c>
      <c r="D27" s="19" t="n">
        <v>273</v>
      </c>
      <c r="E27" s="18" t="n">
        <v>53.72903188</v>
      </c>
      <c r="F27" s="20" t="n">
        <v>2.78630972</v>
      </c>
      <c r="G27" s="18" t="n">
        <v>42.64823854</v>
      </c>
      <c r="H27" s="20" t="n">
        <v>2.80040942</v>
      </c>
      <c r="I27" s="18" t="s">
        <v>567</v>
      </c>
      <c r="J27" s="20" t="s">
        <v>567</v>
      </c>
      <c r="K27" s="18" t="n">
        <v>0.73725211</v>
      </c>
      <c r="L27" s="20" t="n">
        <v>0.52301893</v>
      </c>
      <c r="M27" s="18" t="n">
        <v>0</v>
      </c>
      <c r="N27" s="20" t="n">
        <v>0</v>
      </c>
      <c r="O27" s="18" t="n">
        <v>0</v>
      </c>
      <c r="P27" s="20" t="n">
        <v>0</v>
      </c>
      <c r="Q27" s="18" t="n">
        <v>2.88547747</v>
      </c>
      <c r="R27" s="20" t="n">
        <v>0.99188243</v>
      </c>
    </row>
    <row r="28" spans="1:18">
      <c r="A28" s="15" t="s">
        <v>588</v>
      </c>
      <c r="B28" s="17" t="n">
        <v>3765</v>
      </c>
      <c r="C28" s="18">
        <f>(3379.0/B28*100)</f>
        <v/>
      </c>
      <c r="D28" s="19" t="n">
        <v>386</v>
      </c>
      <c r="E28" s="18" t="n">
        <v>83.37298321999999</v>
      </c>
      <c r="F28" s="20" t="n">
        <v>2.46476559</v>
      </c>
      <c r="G28" s="18" t="n">
        <v>12.64940832</v>
      </c>
      <c r="H28" s="20" t="n">
        <v>2.15129717</v>
      </c>
      <c r="I28" s="18" t="s">
        <v>567</v>
      </c>
      <c r="J28" s="20" t="s">
        <v>567</v>
      </c>
      <c r="K28" s="18" t="n">
        <v>0.41573379</v>
      </c>
      <c r="L28" s="20" t="n">
        <v>0.41643737</v>
      </c>
      <c r="M28" s="18" t="n">
        <v>0</v>
      </c>
      <c r="N28" s="20" t="n">
        <v>0</v>
      </c>
      <c r="O28" s="18" t="n">
        <v>0</v>
      </c>
      <c r="P28" s="20" t="n">
        <v>0</v>
      </c>
      <c r="Q28" s="18" t="n">
        <v>3.56187467</v>
      </c>
      <c r="R28" s="20" t="n">
        <v>1.40056315</v>
      </c>
    </row>
    <row r="29" spans="1:18">
      <c r="A29" s="15" t="s">
        <v>589</v>
      </c>
      <c r="B29" s="17" t="n">
        <v>2685</v>
      </c>
      <c r="C29" s="18">
        <f>(2394.0/B29*100)</f>
        <v/>
      </c>
      <c r="D29" s="19" t="n">
        <v>291</v>
      </c>
      <c r="E29" s="18" t="n">
        <v>60.53036221</v>
      </c>
      <c r="F29" s="20" t="n">
        <v>2.72602803</v>
      </c>
      <c r="G29" s="18" t="n">
        <v>38.01614215</v>
      </c>
      <c r="H29" s="20" t="n">
        <v>2.64165899</v>
      </c>
      <c r="I29" s="18" t="s">
        <v>567</v>
      </c>
      <c r="J29" s="20" t="s">
        <v>567</v>
      </c>
      <c r="K29" s="18" t="n">
        <v>0</v>
      </c>
      <c r="L29" s="20" t="n">
        <v>0</v>
      </c>
      <c r="M29" s="18" t="n">
        <v>0</v>
      </c>
      <c r="N29" s="20" t="n">
        <v>0</v>
      </c>
      <c r="O29" s="18" t="n">
        <v>0</v>
      </c>
      <c r="P29" s="20" t="n">
        <v>0</v>
      </c>
      <c r="Q29" s="18" t="n">
        <v>1.45349564</v>
      </c>
      <c r="R29" s="20" t="n">
        <v>0.6634716000000001</v>
      </c>
    </row>
    <row r="30" spans="1:18">
      <c r="A30" s="15" t="s">
        <v>590</v>
      </c>
      <c r="B30" s="17" t="n">
        <v>2263</v>
      </c>
      <c r="C30" s="18">
        <f>(2038.0/B30*100)</f>
        <v/>
      </c>
      <c r="D30" s="19" t="n">
        <v>225</v>
      </c>
      <c r="E30" s="18" t="n">
        <v>58.56014225</v>
      </c>
      <c r="F30" s="20" t="n">
        <v>3.78985484</v>
      </c>
      <c r="G30" s="18" t="n">
        <v>36.43827721</v>
      </c>
      <c r="H30" s="20" t="n">
        <v>3.71154522</v>
      </c>
      <c r="I30" s="18" t="s">
        <v>567</v>
      </c>
      <c r="J30" s="20" t="s">
        <v>567</v>
      </c>
      <c r="K30" s="18" t="n">
        <v>0</v>
      </c>
      <c r="L30" s="20" t="n">
        <v>0</v>
      </c>
      <c r="M30" s="18" t="n">
        <v>0</v>
      </c>
      <c r="N30" s="20" t="n">
        <v>0</v>
      </c>
      <c r="O30" s="18" t="n">
        <v>0</v>
      </c>
      <c r="P30" s="20" t="n">
        <v>0</v>
      </c>
      <c r="Q30" s="18" t="n">
        <v>5.00158053</v>
      </c>
      <c r="R30" s="20" t="n">
        <v>1.61312416</v>
      </c>
    </row>
    <row r="31" spans="1:18">
      <c r="A31" s="15" t="s">
        <v>591</v>
      </c>
      <c r="B31" s="17" t="n">
        <v>2750</v>
      </c>
      <c r="C31" s="18">
        <f>(2438.0/B31*100)</f>
        <v/>
      </c>
      <c r="D31" s="19" t="n">
        <v>312</v>
      </c>
      <c r="E31" s="18" t="n">
        <v>64.76001872000001</v>
      </c>
      <c r="F31" s="20" t="n">
        <v>2.67526381</v>
      </c>
      <c r="G31" s="18" t="n">
        <v>32.38136208</v>
      </c>
      <c r="H31" s="20" t="n">
        <v>2.74588785</v>
      </c>
      <c r="I31" s="18" t="s">
        <v>567</v>
      </c>
      <c r="J31" s="20" t="s">
        <v>567</v>
      </c>
      <c r="K31" s="18" t="n">
        <v>0</v>
      </c>
      <c r="L31" s="20" t="n">
        <v>0</v>
      </c>
      <c r="M31" s="18" t="n">
        <v>0</v>
      </c>
      <c r="N31" s="20" t="n">
        <v>0</v>
      </c>
      <c r="O31" s="18" t="n">
        <v>0</v>
      </c>
      <c r="P31" s="20" t="n">
        <v>0</v>
      </c>
      <c r="Q31" s="18" t="n">
        <v>2.8586192</v>
      </c>
      <c r="R31" s="20" t="n">
        <v>0.90191195</v>
      </c>
    </row>
    <row r="32" spans="1:18">
      <c r="A32" s="15" t="s">
        <v>592</v>
      </c>
      <c r="B32" s="17" t="n">
        <v>2269</v>
      </c>
      <c r="C32" s="18">
        <f>(2004.0/B32*100)</f>
        <v/>
      </c>
      <c r="D32" s="19" t="n">
        <v>265</v>
      </c>
      <c r="E32" s="18" t="n">
        <v>55.76253827</v>
      </c>
      <c r="F32" s="20" t="n">
        <v>3.30811273</v>
      </c>
      <c r="G32" s="18" t="n">
        <v>44.23746173</v>
      </c>
      <c r="H32" s="20" t="n">
        <v>3.30811273</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(3252.0/B33*100)</f>
        <v/>
      </c>
      <c r="D33" s="19" t="n">
        <v>422</v>
      </c>
      <c r="E33" s="18" t="n">
        <v>61.76805573</v>
      </c>
      <c r="F33" s="20" t="n">
        <v>2.54784943</v>
      </c>
      <c r="G33" s="18" t="n">
        <v>37.03840579</v>
      </c>
      <c r="H33" s="20" t="n">
        <v>2.5905234</v>
      </c>
      <c r="I33" s="18" t="s">
        <v>567</v>
      </c>
      <c r="J33" s="20" t="s">
        <v>567</v>
      </c>
      <c r="K33" s="18" t="n">
        <v>0.3582698</v>
      </c>
      <c r="L33" s="20" t="n">
        <v>0.32203621</v>
      </c>
      <c r="M33" s="18" t="n">
        <v>0</v>
      </c>
      <c r="N33" s="20" t="n">
        <v>0</v>
      </c>
      <c r="O33" s="18" t="n">
        <v>0</v>
      </c>
      <c r="P33" s="20" t="n">
        <v>0</v>
      </c>
      <c r="Q33" s="18" t="n">
        <v>0.83526869</v>
      </c>
      <c r="R33" s="20" t="n">
        <v>0.45671371</v>
      </c>
    </row>
    <row r="34" spans="1:18">
      <c r="A34" s="15" t="s">
        <v>594</v>
      </c>
      <c r="B34" s="17" t="n">
        <v>3315</v>
      </c>
      <c r="C34" s="18">
        <f>(2954.0/B34*100)</f>
        <v/>
      </c>
      <c r="D34" s="19" t="n">
        <v>361</v>
      </c>
      <c r="E34" s="18" t="n">
        <v>61.28540865</v>
      </c>
      <c r="F34" s="20" t="n">
        <v>2.69996274</v>
      </c>
      <c r="G34" s="18" t="n">
        <v>34.76421202</v>
      </c>
      <c r="H34" s="20" t="n">
        <v>2.5408419</v>
      </c>
      <c r="I34" s="18" t="s">
        <v>567</v>
      </c>
      <c r="J34" s="20" t="s">
        <v>567</v>
      </c>
      <c r="K34" s="18" t="n">
        <v>0.25327346</v>
      </c>
      <c r="L34" s="20" t="n">
        <v>0.25282553</v>
      </c>
      <c r="M34" s="18" t="n">
        <v>0</v>
      </c>
      <c r="N34" s="20" t="n">
        <v>0</v>
      </c>
      <c r="O34" s="18" t="n">
        <v>0</v>
      </c>
      <c r="P34" s="20" t="n">
        <v>0</v>
      </c>
      <c r="Q34" s="18" t="n">
        <v>3.69710587</v>
      </c>
      <c r="R34" s="20" t="n">
        <v>1.0883757</v>
      </c>
    </row>
    <row r="35" spans="1:18">
      <c r="A35" s="15" t="s">
        <v>595</v>
      </c>
      <c r="B35" s="17" t="n">
        <v>3505</v>
      </c>
      <c r="C35" s="18">
        <f>(3142.0/B35*100)</f>
        <v/>
      </c>
      <c r="D35" s="19" t="n">
        <v>363</v>
      </c>
      <c r="E35" s="18" t="n">
        <v>52.15888659</v>
      </c>
      <c r="F35" s="20" t="n">
        <v>3.5038183</v>
      </c>
      <c r="G35" s="18" t="n">
        <v>45.93276523</v>
      </c>
      <c r="H35" s="20" t="n">
        <v>3.70189293</v>
      </c>
      <c r="I35" s="18" t="s">
        <v>567</v>
      </c>
      <c r="J35" s="20" t="s">
        <v>567</v>
      </c>
      <c r="K35" s="18" t="n">
        <v>0</v>
      </c>
      <c r="L35" s="20" t="n">
        <v>0</v>
      </c>
      <c r="M35" s="18" t="n">
        <v>0</v>
      </c>
      <c r="N35" s="20" t="n">
        <v>0</v>
      </c>
      <c r="O35" s="18" t="n">
        <v>0</v>
      </c>
      <c r="P35" s="20" t="n">
        <v>0</v>
      </c>
      <c r="Q35" s="18" t="n">
        <v>1.90834818</v>
      </c>
      <c r="R35" s="20" t="n">
        <v>0.71975344</v>
      </c>
    </row>
    <row r="36" spans="1:18">
      <c r="A36" s="15" t="s">
        <v>596</v>
      </c>
      <c r="B36" s="17" t="n">
        <v>3332</v>
      </c>
      <c r="C36" s="18">
        <f>(2980.0/B36*100)</f>
        <v/>
      </c>
      <c r="D36" s="19" t="n">
        <v>352</v>
      </c>
      <c r="E36" s="18" t="n">
        <v>59.51379778</v>
      </c>
      <c r="F36" s="20" t="n">
        <v>2.55933639</v>
      </c>
      <c r="G36" s="18" t="n">
        <v>38.10507171</v>
      </c>
      <c r="H36" s="20" t="n">
        <v>2.62449745</v>
      </c>
      <c r="I36" s="18" t="s">
        <v>567</v>
      </c>
      <c r="J36" s="20" t="s">
        <v>567</v>
      </c>
      <c r="K36" s="18" t="n">
        <v>0.33337477</v>
      </c>
      <c r="L36" s="20" t="n">
        <v>0.24686547</v>
      </c>
      <c r="M36" s="18" t="n">
        <v>0</v>
      </c>
      <c r="N36" s="20" t="n">
        <v>0</v>
      </c>
      <c r="O36" s="18" t="n">
        <v>0</v>
      </c>
      <c r="P36" s="20" t="n">
        <v>0</v>
      </c>
      <c r="Q36" s="18" t="n">
        <v>2.04775574</v>
      </c>
      <c r="R36" s="20" t="n">
        <v>0.59331418</v>
      </c>
    </row>
    <row r="37" spans="1:18">
      <c r="A37" s="15" t="s">
        <v>597</v>
      </c>
      <c r="B37" s="17" t="n">
        <v>2727</v>
      </c>
      <c r="C37" s="18">
        <f>(2430.0/B37*100)</f>
        <v/>
      </c>
      <c r="D37" s="19" t="n">
        <v>297</v>
      </c>
      <c r="E37" s="18" t="n">
        <v>69.01729349</v>
      </c>
      <c r="F37" s="20" t="n">
        <v>2.43824101</v>
      </c>
      <c r="G37" s="18" t="n">
        <v>26.42416849</v>
      </c>
      <c r="H37" s="20" t="n">
        <v>2.74495395</v>
      </c>
      <c r="I37" s="18" t="s">
        <v>567</v>
      </c>
      <c r="J37" s="20" t="s">
        <v>567</v>
      </c>
      <c r="K37" s="18" t="n">
        <v>0.61793563</v>
      </c>
      <c r="L37" s="20" t="n">
        <v>0.43632219</v>
      </c>
      <c r="M37" s="18" t="n">
        <v>0</v>
      </c>
      <c r="N37" s="20" t="n">
        <v>0</v>
      </c>
      <c r="O37" s="18" t="n">
        <v>0</v>
      </c>
      <c r="P37" s="20" t="n">
        <v>0</v>
      </c>
      <c r="Q37" s="18" t="n">
        <v>3.9406024</v>
      </c>
      <c r="R37" s="20" t="n">
        <v>1.20126923</v>
      </c>
    </row>
    <row r="38" spans="1:18">
      <c r="A38" s="15" t="s">
        <v>598</v>
      </c>
      <c r="B38" s="17" t="n">
        <v>3053</v>
      </c>
      <c r="C38" s="18">
        <f>(2713.0/B38*100)</f>
        <v/>
      </c>
      <c r="D38" s="19" t="n">
        <v>340</v>
      </c>
      <c r="E38" s="18" t="n">
        <v>48.948005</v>
      </c>
      <c r="F38" s="20" t="n">
        <v>3.04006086</v>
      </c>
      <c r="G38" s="18" t="n">
        <v>47.83205498</v>
      </c>
      <c r="H38" s="20" t="n">
        <v>2.88808424</v>
      </c>
      <c r="I38" s="18" t="s">
        <v>567</v>
      </c>
      <c r="J38" s="20" t="s">
        <v>567</v>
      </c>
      <c r="K38" s="18" t="n">
        <v>0.39811676</v>
      </c>
      <c r="L38" s="20" t="n">
        <v>0.32905015</v>
      </c>
      <c r="M38" s="18" t="n">
        <v>0</v>
      </c>
      <c r="N38" s="20" t="n">
        <v>0</v>
      </c>
      <c r="O38" s="18" t="n">
        <v>0</v>
      </c>
      <c r="P38" s="20" t="n">
        <v>0</v>
      </c>
      <c r="Q38" s="18" t="n">
        <v>2.82182326</v>
      </c>
      <c r="R38" s="20" t="n">
        <v>1.09965635</v>
      </c>
    </row>
    <row r="39" spans="1:18">
      <c r="A39" s="15" t="s">
        <v>599</v>
      </c>
      <c r="B39" s="17" t="n">
        <v>2957</v>
      </c>
      <c r="C39" s="18">
        <f>(2613.0/B39*100)</f>
        <v/>
      </c>
      <c r="D39" s="19" t="n">
        <v>344</v>
      </c>
      <c r="E39" s="18" t="n">
        <v>68.50540673</v>
      </c>
      <c r="F39" s="20" t="n">
        <v>3.19140916</v>
      </c>
      <c r="G39" s="18" t="n">
        <v>27.78527397</v>
      </c>
      <c r="H39" s="20" t="n">
        <v>2.98396567</v>
      </c>
      <c r="I39" s="18" t="s">
        <v>567</v>
      </c>
      <c r="J39" s="20" t="s">
        <v>567</v>
      </c>
      <c r="K39" s="18" t="n">
        <v>0</v>
      </c>
      <c r="L39" s="20" t="n">
        <v>0</v>
      </c>
      <c r="M39" s="18" t="n">
        <v>0</v>
      </c>
      <c r="N39" s="20" t="n">
        <v>0</v>
      </c>
      <c r="O39" s="18" t="n">
        <v>0</v>
      </c>
      <c r="P39" s="20" t="n">
        <v>0</v>
      </c>
      <c r="Q39" s="18" t="n">
        <v>3.7093193</v>
      </c>
      <c r="R39" s="20" t="n">
        <v>1.15898964</v>
      </c>
    </row>
    <row r="40" spans="1:18">
      <c r="A40" s="15" t="s">
        <v>600</v>
      </c>
      <c r="B40" s="17" t="n">
        <v>7235</v>
      </c>
      <c r="C40" s="18">
        <f>(6454.0/B40*100)</f>
        <v/>
      </c>
      <c r="D40" s="19" t="n">
        <v>781</v>
      </c>
      <c r="E40" s="18" t="n">
        <v>62.09577781</v>
      </c>
      <c r="F40" s="20" t="n">
        <v>2.57199669</v>
      </c>
      <c r="G40" s="18" t="n">
        <v>35.14031304</v>
      </c>
      <c r="H40" s="20" t="n">
        <v>2.56209351</v>
      </c>
      <c r="I40" s="18" t="s">
        <v>567</v>
      </c>
      <c r="J40" s="20" t="s">
        <v>567</v>
      </c>
      <c r="K40" s="18" t="n">
        <v>0.15218046</v>
      </c>
      <c r="L40" s="20" t="n">
        <v>0.15207776</v>
      </c>
      <c r="M40" s="18" t="n">
        <v>0</v>
      </c>
      <c r="N40" s="20" t="n">
        <v>0</v>
      </c>
      <c r="O40" s="18" t="n">
        <v>0</v>
      </c>
      <c r="P40" s="20" t="n">
        <v>0</v>
      </c>
      <c r="Q40" s="18" t="n">
        <v>2.61172868</v>
      </c>
      <c r="R40" s="20" t="n">
        <v>0.72603867</v>
      </c>
    </row>
    <row r="41" spans="1:18">
      <c r="A41" s="15" t="s">
        <v>601</v>
      </c>
      <c r="B41" s="17" t="n">
        <v>2858</v>
      </c>
      <c r="C41" s="18">
        <f>(2539.0/B41*100)</f>
        <v/>
      </c>
      <c r="D41" s="19" t="n">
        <v>319</v>
      </c>
      <c r="E41" s="18" t="n">
        <v>63.62156052</v>
      </c>
      <c r="F41" s="20" t="n">
        <v>3.27678891</v>
      </c>
      <c r="G41" s="18" t="n">
        <v>35.75357686</v>
      </c>
      <c r="H41" s="20" t="n">
        <v>3.20714526</v>
      </c>
      <c r="I41" s="18" t="s">
        <v>567</v>
      </c>
      <c r="J41" s="20" t="s">
        <v>567</v>
      </c>
      <c r="K41" s="18" t="n">
        <v>0</v>
      </c>
      <c r="L41" s="20" t="n">
        <v>0</v>
      </c>
      <c r="M41" s="18" t="n">
        <v>0</v>
      </c>
      <c r="N41" s="20" t="n">
        <v>0</v>
      </c>
      <c r="O41" s="18" t="n">
        <v>0</v>
      </c>
      <c r="P41" s="20" t="n">
        <v>0</v>
      </c>
      <c r="Q41" s="18" t="n">
        <v>0.62486263</v>
      </c>
      <c r="R41" s="20" t="n">
        <v>0.46085884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(10072.0/B46*100)</f>
        <v/>
      </c>
      <c r="D46" s="19" t="n">
        <v>996</v>
      </c>
      <c r="E46" s="18" t="n">
        <v>68.46346497</v>
      </c>
      <c r="F46" s="20" t="n">
        <v>1.97579617</v>
      </c>
      <c r="G46" s="18" t="n">
        <v>21.65412378</v>
      </c>
      <c r="H46" s="20" t="n">
        <v>1.66958948</v>
      </c>
      <c r="I46" s="18" t="s">
        <v>567</v>
      </c>
      <c r="J46" s="20" t="s">
        <v>567</v>
      </c>
      <c r="K46" s="18" t="n">
        <v>0.96804923</v>
      </c>
      <c r="L46" s="20" t="n">
        <v>0.39907826</v>
      </c>
      <c r="M46" s="18" t="n">
        <v>0</v>
      </c>
      <c r="N46" s="20" t="n">
        <v>0</v>
      </c>
      <c r="O46" s="18" t="n">
        <v>0</v>
      </c>
      <c r="P46" s="20" t="n">
        <v>0</v>
      </c>
      <c r="Q46" s="18" t="n">
        <v>8.91436202</v>
      </c>
      <c r="R46" s="20" t="n">
        <v>1.31026793</v>
      </c>
    </row>
    <row r="47" spans="1:18">
      <c r="A47" s="15" t="s">
        <v>607</v>
      </c>
      <c r="B47" s="17" t="n">
        <v>3105</v>
      </c>
      <c r="C47" s="18">
        <f>(2756.0/B47*100)</f>
        <v/>
      </c>
      <c r="D47" s="19" t="n">
        <v>349</v>
      </c>
      <c r="E47" s="18" t="n">
        <v>65.07677008</v>
      </c>
      <c r="F47" s="20" t="n">
        <v>2.82649095</v>
      </c>
      <c r="G47" s="18" t="n">
        <v>26.47517559</v>
      </c>
      <c r="H47" s="20" t="n">
        <v>2.70484729</v>
      </c>
      <c r="I47" s="18" t="s">
        <v>567</v>
      </c>
      <c r="J47" s="20" t="s">
        <v>567</v>
      </c>
      <c r="K47" s="18" t="n">
        <v>0.5430914</v>
      </c>
      <c r="L47" s="20" t="n">
        <v>0.48172933</v>
      </c>
      <c r="M47" s="18" t="n">
        <v>0</v>
      </c>
      <c r="N47" s="20" t="n">
        <v>0</v>
      </c>
      <c r="O47" s="18" t="n">
        <v>0</v>
      </c>
      <c r="P47" s="20" t="n">
        <v>0</v>
      </c>
      <c r="Q47" s="18" t="n">
        <v>7.90496293</v>
      </c>
      <c r="R47" s="20" t="n">
        <v>1.58671321</v>
      </c>
    </row>
    <row r="48" spans="1:18">
      <c r="A48" s="15" t="s">
        <v>608</v>
      </c>
      <c r="B48" s="17" t="n">
        <v>5159</v>
      </c>
      <c r="C48" s="18">
        <f>(4559.0/B48*100)</f>
        <v/>
      </c>
      <c r="D48" s="19" t="n">
        <v>600</v>
      </c>
      <c r="E48" s="18" t="n">
        <v>49.46100853</v>
      </c>
      <c r="F48" s="20" t="n">
        <v>2.3790631</v>
      </c>
      <c r="G48" s="18" t="n">
        <v>49.60160069</v>
      </c>
      <c r="H48" s="20" t="n">
        <v>2.36787467</v>
      </c>
      <c r="I48" s="18" t="s">
        <v>567</v>
      </c>
      <c r="J48" s="20" t="s">
        <v>567</v>
      </c>
      <c r="K48" s="18" t="n">
        <v>0.10661037</v>
      </c>
      <c r="L48" s="20" t="n">
        <v>0.07498389</v>
      </c>
      <c r="M48" s="18" t="n">
        <v>0</v>
      </c>
      <c r="N48" s="20" t="n">
        <v>0</v>
      </c>
      <c r="O48" s="18" t="n">
        <v>0</v>
      </c>
      <c r="P48" s="20" t="n">
        <v>0</v>
      </c>
      <c r="Q48" s="18" t="n">
        <v>0.83078041</v>
      </c>
      <c r="R48" s="20" t="n">
        <v>0.43531818</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(4975.0/B50*100)</f>
        <v/>
      </c>
      <c r="D50" s="19" t="n">
        <v>662</v>
      </c>
      <c r="E50" s="18" t="n">
        <v>80.06966466999999</v>
      </c>
      <c r="F50" s="20" t="n">
        <v>2.60261769</v>
      </c>
      <c r="G50" s="18" t="n">
        <v>15.12730477</v>
      </c>
      <c r="H50" s="20" t="n">
        <v>2.21157747</v>
      </c>
      <c r="I50" s="18" t="s">
        <v>567</v>
      </c>
      <c r="J50" s="20" t="s">
        <v>567</v>
      </c>
      <c r="K50" s="18" t="n">
        <v>2.19526223</v>
      </c>
      <c r="L50" s="20" t="n">
        <v>0.95453791</v>
      </c>
      <c r="M50" s="18" t="n">
        <v>0</v>
      </c>
      <c r="N50" s="20" t="n">
        <v>0</v>
      </c>
      <c r="O50" s="18" t="n">
        <v>0</v>
      </c>
      <c r="P50" s="20" t="n">
        <v>0</v>
      </c>
      <c r="Q50" s="18" t="n">
        <v>2.60776833</v>
      </c>
      <c r="R50" s="20" t="n">
        <v>0.92902878</v>
      </c>
    </row>
    <row r="51" spans="1:18">
      <c r="A51" s="15" t="s">
        <v>611</v>
      </c>
      <c r="B51" s="17" t="n">
        <v>3372</v>
      </c>
      <c r="C51" s="18">
        <f>(3061.0/B51*100)</f>
        <v/>
      </c>
      <c r="D51" s="19" t="n">
        <v>311</v>
      </c>
      <c r="E51" s="18" t="n">
        <v>78.97843647000001</v>
      </c>
      <c r="F51" s="20" t="n">
        <v>2.47313455</v>
      </c>
      <c r="G51" s="18" t="n">
        <v>16.60475511</v>
      </c>
      <c r="H51" s="20" t="n">
        <v>2.06012809</v>
      </c>
      <c r="I51" s="18" t="s">
        <v>567</v>
      </c>
      <c r="J51" s="20" t="s">
        <v>567</v>
      </c>
      <c r="K51" s="18" t="n">
        <v>0</v>
      </c>
      <c r="L51" s="20" t="n">
        <v>0</v>
      </c>
      <c r="M51" s="18" t="n">
        <v>0</v>
      </c>
      <c r="N51" s="20" t="n">
        <v>0</v>
      </c>
      <c r="O51" s="18" t="n">
        <v>0</v>
      </c>
      <c r="P51" s="20" t="n">
        <v>0</v>
      </c>
      <c r="Q51" s="18" t="n">
        <v>4.41680842</v>
      </c>
      <c r="R51" s="20" t="n">
        <v>1.32249867</v>
      </c>
    </row>
    <row r="52" spans="1:18">
      <c r="A52" s="15" t="s">
        <v>612</v>
      </c>
      <c r="B52" s="17" t="n">
        <v>2796</v>
      </c>
      <c r="C52" s="18">
        <f>(2478.0/B52*100)</f>
        <v/>
      </c>
      <c r="D52" s="19" t="n">
        <v>318</v>
      </c>
      <c r="E52" s="18" t="n">
        <v>56.20671438</v>
      </c>
      <c r="F52" s="20" t="n">
        <v>2.95440214</v>
      </c>
      <c r="G52" s="18" t="n">
        <v>41.06992871</v>
      </c>
      <c r="H52" s="20" t="n">
        <v>2.98063506</v>
      </c>
      <c r="I52" s="18" t="s">
        <v>567</v>
      </c>
      <c r="J52" s="20" t="s">
        <v>567</v>
      </c>
      <c r="K52" s="18" t="n">
        <v>0.23640031</v>
      </c>
      <c r="L52" s="20" t="n">
        <v>0.23795567</v>
      </c>
      <c r="M52" s="18" t="n">
        <v>0</v>
      </c>
      <c r="N52" s="20" t="n">
        <v>0</v>
      </c>
      <c r="O52" s="18" t="n">
        <v>0</v>
      </c>
      <c r="P52" s="20" t="n">
        <v>0</v>
      </c>
      <c r="Q52" s="18" t="n">
        <v>2.4869566</v>
      </c>
      <c r="R52" s="20" t="n">
        <v>0.86646629</v>
      </c>
    </row>
    <row r="53" spans="1:18">
      <c r="A53" s="15" t="s">
        <v>613</v>
      </c>
      <c r="B53" s="17" t="n">
        <v>2811</v>
      </c>
      <c r="C53" s="18">
        <f>(2501.0/B53*100)</f>
        <v/>
      </c>
      <c r="D53" s="19" t="n">
        <v>310</v>
      </c>
      <c r="E53" s="18" t="n">
        <v>68.51548887</v>
      </c>
      <c r="F53" s="20" t="n">
        <v>2.89035198</v>
      </c>
      <c r="G53" s="18" t="n">
        <v>26.8862313</v>
      </c>
      <c r="H53" s="20" t="n">
        <v>2.70841673</v>
      </c>
      <c r="I53" s="18" t="s">
        <v>567</v>
      </c>
      <c r="J53" s="20" t="s">
        <v>567</v>
      </c>
      <c r="K53" s="18" t="n">
        <v>0.60094176</v>
      </c>
      <c r="L53" s="20" t="n">
        <v>0.5941642</v>
      </c>
      <c r="M53" s="18" t="n">
        <v>0</v>
      </c>
      <c r="N53" s="20" t="n">
        <v>0</v>
      </c>
      <c r="O53" s="18" t="n">
        <v>0</v>
      </c>
      <c r="P53" s="20" t="n">
        <v>0</v>
      </c>
      <c r="Q53" s="18" t="n">
        <v>3.99733808</v>
      </c>
      <c r="R53" s="20" t="n">
        <v>1.13775693</v>
      </c>
    </row>
    <row r="54" spans="1:18">
      <c r="A54" s="15" t="s">
        <v>614</v>
      </c>
      <c r="B54" s="17" t="n">
        <v>2266</v>
      </c>
      <c r="C54" s="18">
        <f>(2013.0/B54*100)</f>
        <v/>
      </c>
      <c r="D54" s="19" t="n">
        <v>253</v>
      </c>
      <c r="E54" s="18" t="n">
        <v>65.93241392</v>
      </c>
      <c r="F54" s="20" t="n">
        <v>3.59216834</v>
      </c>
      <c r="G54" s="18" t="n">
        <v>3.35279797</v>
      </c>
      <c r="H54" s="20" t="n">
        <v>1.03749577</v>
      </c>
      <c r="I54" s="18" t="s">
        <v>567</v>
      </c>
      <c r="J54" s="20" t="s">
        <v>567</v>
      </c>
      <c r="K54" s="18" t="n">
        <v>12.55007405</v>
      </c>
      <c r="L54" s="20" t="n">
        <v>2.7945877</v>
      </c>
      <c r="M54" s="18" t="n">
        <v>0</v>
      </c>
      <c r="N54" s="20" t="n">
        <v>0</v>
      </c>
      <c r="O54" s="18" t="n">
        <v>0</v>
      </c>
      <c r="P54" s="20" t="n">
        <v>0</v>
      </c>
      <c r="Q54" s="18" t="n">
        <v>18.16471405</v>
      </c>
      <c r="R54" s="20" t="n">
        <v>2.5804685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(2378.0/B56*100)</f>
        <v/>
      </c>
      <c r="D56" s="19" t="n">
        <v>306</v>
      </c>
      <c r="E56" s="18" t="n">
        <v>54.75739225</v>
      </c>
      <c r="F56" s="20" t="n">
        <v>3.66739214</v>
      </c>
      <c r="G56" s="18" t="n">
        <v>44.82757515</v>
      </c>
      <c r="H56" s="20" t="n">
        <v>3.62630208</v>
      </c>
      <c r="I56" s="18" t="s">
        <v>567</v>
      </c>
      <c r="J56" s="20" t="s">
        <v>567</v>
      </c>
      <c r="K56" s="18" t="n">
        <v>0.4150326</v>
      </c>
      <c r="L56" s="20" t="n">
        <v>0.35239571</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(2939.0/B61*100)</f>
        <v/>
      </c>
      <c r="D61" s="19" t="n">
        <v>385</v>
      </c>
      <c r="E61" s="18" t="n">
        <v>57.95023852</v>
      </c>
      <c r="F61" s="20" t="n">
        <v>3.19502391</v>
      </c>
      <c r="G61" s="18" t="n">
        <v>38.7009165</v>
      </c>
      <c r="H61" s="20" t="n">
        <v>3.24888138</v>
      </c>
      <c r="I61" s="18" t="s">
        <v>567</v>
      </c>
      <c r="J61" s="20" t="s">
        <v>567</v>
      </c>
      <c r="K61" s="18" t="n">
        <v>0</v>
      </c>
      <c r="L61" s="20" t="n">
        <v>0</v>
      </c>
      <c r="M61" s="18" t="n">
        <v>0</v>
      </c>
      <c r="N61" s="20" t="n">
        <v>0</v>
      </c>
      <c r="O61" s="18" t="n">
        <v>0</v>
      </c>
      <c r="P61" s="20" t="n">
        <v>0</v>
      </c>
      <c r="Q61" s="18" t="n">
        <v>3.34884498</v>
      </c>
      <c r="R61" s="20" t="n">
        <v>1.30106954</v>
      </c>
    </row>
    <row r="62" spans="1:18">
      <c r="A62" s="15" t="s">
        <v>622</v>
      </c>
      <c r="B62" s="17" t="n">
        <v>2246</v>
      </c>
      <c r="C62" s="18">
        <f>(1996.0/B62*100)</f>
        <v/>
      </c>
      <c r="D62" s="19" t="n">
        <v>250</v>
      </c>
      <c r="E62" s="18" t="n">
        <v>48.43867151</v>
      </c>
      <c r="F62" s="20" t="n">
        <v>3.11635281</v>
      </c>
      <c r="G62" s="18" t="n">
        <v>49.97199596</v>
      </c>
      <c r="H62" s="20" t="n">
        <v>3.19068572</v>
      </c>
      <c r="I62" s="18" t="s">
        <v>567</v>
      </c>
      <c r="J62" s="20" t="s">
        <v>567</v>
      </c>
      <c r="K62" s="18" t="n">
        <v>0</v>
      </c>
      <c r="L62" s="20" t="n">
        <v>0</v>
      </c>
      <c r="M62" s="18" t="n">
        <v>0</v>
      </c>
      <c r="N62" s="20" t="n">
        <v>0</v>
      </c>
      <c r="O62" s="18" t="n">
        <v>0</v>
      </c>
      <c r="P62" s="20" t="n">
        <v>0</v>
      </c>
      <c r="Q62" s="18" t="n">
        <v>1.58933253</v>
      </c>
      <c r="R62" s="20" t="n">
        <v>0.77552128</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(2594.0/B66*100)</f>
        <v/>
      </c>
      <c r="D66" s="19" t="n">
        <v>300</v>
      </c>
      <c r="E66" s="18" t="n">
        <v>68.05154354</v>
      </c>
      <c r="F66" s="20" t="n">
        <v>2.48924147</v>
      </c>
      <c r="G66" s="18" t="n">
        <v>22.09714517</v>
      </c>
      <c r="H66" s="20" t="n">
        <v>2.45787731</v>
      </c>
      <c r="I66" s="18" t="s">
        <v>567</v>
      </c>
      <c r="J66" s="20" t="s">
        <v>567</v>
      </c>
      <c r="K66" s="18" t="n">
        <v>0.29736504</v>
      </c>
      <c r="L66" s="20" t="n">
        <v>0.29690848</v>
      </c>
      <c r="M66" s="18" t="n">
        <v>0</v>
      </c>
      <c r="N66" s="20" t="n">
        <v>0</v>
      </c>
      <c r="O66" s="18" t="n">
        <v>0</v>
      </c>
      <c r="P66" s="20" t="n">
        <v>0</v>
      </c>
      <c r="Q66" s="18" t="n">
        <v>9.55394626</v>
      </c>
      <c r="R66" s="20" t="n">
        <v>1.83346251</v>
      </c>
    </row>
    <row r="67" spans="1:18">
      <c r="A67" s="15" t="s">
        <v>627</v>
      </c>
      <c r="B67" s="17" t="n">
        <v>3511</v>
      </c>
      <c r="C67" s="18">
        <f>(3159.0/B67*100)</f>
        <v/>
      </c>
      <c r="D67" s="19" t="n">
        <v>352</v>
      </c>
      <c r="E67" s="18" t="n">
        <v>79.01133544</v>
      </c>
      <c r="F67" s="20" t="n">
        <v>2.57855354</v>
      </c>
      <c r="G67" s="18" t="n">
        <v>10.91788301</v>
      </c>
      <c r="H67" s="20" t="n">
        <v>1.87451353</v>
      </c>
      <c r="I67" s="18" t="s">
        <v>567</v>
      </c>
      <c r="J67" s="20" t="s">
        <v>567</v>
      </c>
      <c r="K67" s="18" t="n">
        <v>0.22990203</v>
      </c>
      <c r="L67" s="20" t="n">
        <v>0.2333162</v>
      </c>
      <c r="M67" s="18" t="n">
        <v>0</v>
      </c>
      <c r="N67" s="20" t="n">
        <v>0</v>
      </c>
      <c r="O67" s="18" t="n">
        <v>0</v>
      </c>
      <c r="P67" s="20" t="n">
        <v>0</v>
      </c>
      <c r="Q67" s="18" t="n">
        <v>9.84087952</v>
      </c>
      <c r="R67" s="20" t="n">
        <v>1.74206147</v>
      </c>
    </row>
    <row r="68" spans="1:18">
      <c r="A68" s="15" t="s">
        <v>628</v>
      </c>
      <c r="B68" s="17" t="n">
        <v>6049</v>
      </c>
      <c r="C68" s="18">
        <f>(5389.0/B68*100)</f>
        <v/>
      </c>
      <c r="D68" s="19" t="n">
        <v>660</v>
      </c>
      <c r="E68" s="18" t="n">
        <v>68.49816788</v>
      </c>
      <c r="F68" s="20" t="n">
        <v>1.94280473</v>
      </c>
      <c r="G68" s="18" t="n">
        <v>22.62101664</v>
      </c>
      <c r="H68" s="20" t="n">
        <v>1.85501569</v>
      </c>
      <c r="I68" s="18" t="s">
        <v>567</v>
      </c>
      <c r="J68" s="20" t="s">
        <v>567</v>
      </c>
      <c r="K68" s="18" t="n">
        <v>2.37979663</v>
      </c>
      <c r="L68" s="20" t="n">
        <v>0.65317524</v>
      </c>
      <c r="M68" s="18" t="n">
        <v>0</v>
      </c>
      <c r="N68" s="20" t="n">
        <v>0</v>
      </c>
      <c r="O68" s="18" t="n">
        <v>0</v>
      </c>
      <c r="P68" s="20" t="n">
        <v>0</v>
      </c>
      <c r="Q68" s="18" t="n">
        <v>6.50101886</v>
      </c>
      <c r="R68" s="20" t="n">
        <v>0.99827956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(2611.0/B70*100)</f>
        <v/>
      </c>
      <c r="D70" s="19" t="n">
        <v>318</v>
      </c>
      <c r="E70" s="18" t="n">
        <v>60.77389348</v>
      </c>
      <c r="F70" s="20" t="n">
        <v>2.84220146</v>
      </c>
      <c r="G70" s="18" t="n">
        <v>37.56455842</v>
      </c>
      <c r="H70" s="20" t="n">
        <v>3.04241871</v>
      </c>
      <c r="I70" s="18" t="s">
        <v>567</v>
      </c>
      <c r="J70" s="20" t="s">
        <v>567</v>
      </c>
      <c r="K70" s="18" t="n">
        <v>0</v>
      </c>
      <c r="L70" s="20" t="n">
        <v>0</v>
      </c>
      <c r="M70" s="18" t="n">
        <v>0</v>
      </c>
      <c r="N70" s="20" t="n">
        <v>0</v>
      </c>
      <c r="O70" s="18" t="n">
        <v>0</v>
      </c>
      <c r="P70" s="20" t="n">
        <v>0</v>
      </c>
      <c r="Q70" s="18" t="n">
        <v>1.6615481</v>
      </c>
      <c r="R70" s="20" t="n">
        <v>0.6809271</v>
      </c>
    </row>
    <row r="71" spans="1:18">
      <c r="A71" s="15" t="s">
        <v>631</v>
      </c>
      <c r="B71" s="17" t="n">
        <v>3142</v>
      </c>
      <c r="C71" s="18">
        <f>(2803.0/B71*100)</f>
        <v/>
      </c>
      <c r="D71" s="19" t="n">
        <v>339</v>
      </c>
      <c r="E71" s="18" t="n">
        <v>38.48632098</v>
      </c>
      <c r="F71" s="20" t="n">
        <v>2.5795164</v>
      </c>
      <c r="G71" s="18" t="n">
        <v>60.90200017</v>
      </c>
      <c r="H71" s="20" t="n">
        <v>2.54407833</v>
      </c>
      <c r="I71" s="18" t="s">
        <v>567</v>
      </c>
      <c r="J71" s="20" t="s">
        <v>567</v>
      </c>
      <c r="K71" s="18" t="n">
        <v>0</v>
      </c>
      <c r="L71" s="20" t="n">
        <v>0</v>
      </c>
      <c r="M71" s="18" t="n">
        <v>0</v>
      </c>
      <c r="N71" s="20" t="n">
        <v>0</v>
      </c>
      <c r="O71" s="18" t="n">
        <v>0</v>
      </c>
      <c r="P71" s="20" t="n">
        <v>0</v>
      </c>
      <c r="Q71" s="18" t="n">
        <v>0.61167885</v>
      </c>
      <c r="R71" s="20" t="n">
        <v>0.43347078</v>
      </c>
    </row>
    <row r="72" spans="1:18">
      <c r="A72" s="15" t="s">
        <v>632</v>
      </c>
      <c r="B72" s="17" t="n">
        <v>3889</v>
      </c>
      <c r="C72" s="18">
        <f>(3472.0/B72*100)</f>
        <v/>
      </c>
      <c r="D72" s="19" t="n">
        <v>417</v>
      </c>
      <c r="E72" s="18" t="n">
        <v>49.72127698</v>
      </c>
      <c r="F72" s="20" t="n">
        <v>2.40600029</v>
      </c>
      <c r="G72" s="18" t="n">
        <v>49.56988765</v>
      </c>
      <c r="H72" s="20" t="n">
        <v>2.4040572</v>
      </c>
      <c r="I72" s="18" t="s">
        <v>567</v>
      </c>
      <c r="J72" s="20" t="s">
        <v>567</v>
      </c>
      <c r="K72" s="18" t="n">
        <v>0</v>
      </c>
      <c r="L72" s="20" t="n">
        <v>0</v>
      </c>
      <c r="M72" s="18" t="n">
        <v>0</v>
      </c>
      <c r="N72" s="20" t="n">
        <v>0</v>
      </c>
      <c r="O72" s="18" t="n">
        <v>0</v>
      </c>
      <c r="P72" s="20" t="n">
        <v>0</v>
      </c>
      <c r="Q72" s="18" t="n">
        <v>0.70883537</v>
      </c>
      <c r="R72" s="20" t="n">
        <v>0.42497666</v>
      </c>
    </row>
    <row r="73" spans="1:18">
      <c r="A73" s="15" t="s">
        <v>633</v>
      </c>
      <c r="B73" s="17" t="n">
        <v>3597</v>
      </c>
      <c r="C73" s="18">
        <f>(3212.0/B73*100)</f>
        <v/>
      </c>
      <c r="D73" s="19" t="n">
        <v>385</v>
      </c>
      <c r="E73" s="18" t="n">
        <v>75.28889234</v>
      </c>
      <c r="F73" s="20" t="n">
        <v>2.28512603</v>
      </c>
      <c r="G73" s="18" t="n">
        <v>18.08343457</v>
      </c>
      <c r="H73" s="20" t="n">
        <v>2.2692473</v>
      </c>
      <c r="I73" s="18" t="s">
        <v>567</v>
      </c>
      <c r="J73" s="20" t="s">
        <v>567</v>
      </c>
      <c r="K73" s="18" t="n">
        <v>0</v>
      </c>
      <c r="L73" s="20" t="n">
        <v>0</v>
      </c>
      <c r="M73" s="18" t="n">
        <v>0</v>
      </c>
      <c r="N73" s="20" t="n">
        <v>0</v>
      </c>
      <c r="O73" s="18" t="n">
        <v>0</v>
      </c>
      <c r="P73" s="20" t="n">
        <v>0</v>
      </c>
      <c r="Q73" s="18" t="n">
        <v>6.62767309</v>
      </c>
      <c r="R73" s="20" t="n">
        <v>1.42508608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(2160.0/B75*100)</f>
        <v/>
      </c>
      <c r="D75" s="19" t="n">
        <v>246</v>
      </c>
      <c r="E75" s="18" t="n">
        <v>72.68694643000001</v>
      </c>
      <c r="F75" s="20" t="n">
        <v>2.88984426</v>
      </c>
      <c r="G75" s="18" t="n">
        <v>17.52392357</v>
      </c>
      <c r="H75" s="20" t="n">
        <v>2.49406018</v>
      </c>
      <c r="I75" s="18" t="s">
        <v>567</v>
      </c>
      <c r="J75" s="20" t="s">
        <v>567</v>
      </c>
      <c r="K75" s="18" t="n">
        <v>2.57391522</v>
      </c>
      <c r="L75" s="20" t="n">
        <v>1.23183101</v>
      </c>
      <c r="M75" s="18" t="n">
        <v>0</v>
      </c>
      <c r="N75" s="20" t="n">
        <v>0</v>
      </c>
      <c r="O75" s="18" t="n">
        <v>0</v>
      </c>
      <c r="P75" s="20" t="n">
        <v>0</v>
      </c>
      <c r="Q75" s="18" t="n">
        <v>7.21521478</v>
      </c>
      <c r="R75" s="20" t="n">
        <v>1.58019112</v>
      </c>
    </row>
    <row r="76" spans="1:18">
      <c r="A76" s="15" t="s">
        <v>636</v>
      </c>
      <c r="B76" s="17" t="n">
        <v>7052</v>
      </c>
      <c r="C76" s="18">
        <f>(6307.0/B76*100)</f>
        <v/>
      </c>
      <c r="D76" s="19" t="n">
        <v>745</v>
      </c>
      <c r="E76" s="18" t="n">
        <v>68.80286381000001</v>
      </c>
      <c r="F76" s="20" t="n">
        <v>1.65837036</v>
      </c>
      <c r="G76" s="18" t="n">
        <v>26.68198082</v>
      </c>
      <c r="H76" s="20" t="n">
        <v>1.73223401</v>
      </c>
      <c r="I76" s="18" t="s">
        <v>567</v>
      </c>
      <c r="J76" s="20" t="s">
        <v>567</v>
      </c>
      <c r="K76" s="18" t="n">
        <v>0.82751555</v>
      </c>
      <c r="L76" s="20" t="n">
        <v>0.3697767</v>
      </c>
      <c r="M76" s="18" t="n">
        <v>0</v>
      </c>
      <c r="N76" s="20" t="n">
        <v>0</v>
      </c>
      <c r="O76" s="18" t="n">
        <v>0</v>
      </c>
      <c r="P76" s="20" t="n">
        <v>0</v>
      </c>
      <c r="Q76" s="18" t="n">
        <v>3.68763982</v>
      </c>
      <c r="R76" s="20" t="n">
        <v>0.7602821400000001</v>
      </c>
    </row>
    <row r="77" spans="1:18">
      <c r="A77" s="15" t="s">
        <v>637</v>
      </c>
      <c r="B77" s="17" t="n">
        <v>2908</v>
      </c>
      <c r="C77" s="18">
        <f>(2581.0/B77*100)</f>
        <v/>
      </c>
      <c r="D77" s="19" t="n">
        <v>327</v>
      </c>
      <c r="E77" s="18" t="n">
        <v>66.88364995000001</v>
      </c>
      <c r="F77" s="20" t="n">
        <v>2.91857588</v>
      </c>
      <c r="G77" s="18" t="n">
        <v>26.42425399</v>
      </c>
      <c r="H77" s="20" t="n">
        <v>2.6169443</v>
      </c>
      <c r="I77" s="18" t="s">
        <v>567</v>
      </c>
      <c r="J77" s="20" t="s">
        <v>567</v>
      </c>
      <c r="K77" s="18" t="n">
        <v>0.46928795</v>
      </c>
      <c r="L77" s="20" t="n">
        <v>0.36658089</v>
      </c>
      <c r="M77" s="18" t="n">
        <v>0</v>
      </c>
      <c r="N77" s="20" t="n">
        <v>0</v>
      </c>
      <c r="O77" s="18" t="n">
        <v>0</v>
      </c>
      <c r="P77" s="20" t="n">
        <v>0</v>
      </c>
      <c r="Q77" s="18" t="n">
        <v>6.22280812</v>
      </c>
      <c r="R77" s="20" t="n">
        <v>1.54899848</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(3689.0/B81*100)</f>
        <v/>
      </c>
      <c r="D81" s="19" t="n">
        <v>474</v>
      </c>
      <c r="E81" s="18" t="n">
        <v>69.99138886</v>
      </c>
      <c r="F81" s="20" t="n">
        <v>2.39592753</v>
      </c>
      <c r="G81" s="18" t="n">
        <v>27.41395578</v>
      </c>
      <c r="H81" s="20" t="n">
        <v>2.47452013</v>
      </c>
      <c r="I81" s="18" t="s">
        <v>567</v>
      </c>
      <c r="J81" s="20" t="s">
        <v>567</v>
      </c>
      <c r="K81" s="18" t="n">
        <v>0.37928997</v>
      </c>
      <c r="L81" s="20" t="n">
        <v>0.46420758</v>
      </c>
      <c r="M81" s="18" t="n">
        <v>0</v>
      </c>
      <c r="N81" s="20" t="n">
        <v>0</v>
      </c>
      <c r="O81" s="18" t="n">
        <v>0</v>
      </c>
      <c r="P81" s="20" t="n">
        <v>0</v>
      </c>
      <c r="Q81" s="18" t="n">
        <v>2.2153654</v>
      </c>
      <c r="R81" s="20" t="n">
        <v>0.79897562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(6589.0/B7*100)</f>
        <v/>
      </c>
      <c r="D7" s="19" t="n">
        <v>778</v>
      </c>
      <c r="E7" s="18" t="n">
        <v>50.03461155</v>
      </c>
      <c r="F7" s="20" t="n">
        <v>2.14863913</v>
      </c>
      <c r="G7" s="18" t="n">
        <v>48.99400591</v>
      </c>
      <c r="H7" s="20" t="n">
        <v>2.13191832</v>
      </c>
      <c r="I7" s="18" t="s">
        <v>567</v>
      </c>
      <c r="J7" s="20" t="s">
        <v>567</v>
      </c>
      <c r="K7" s="18" t="n">
        <v>0.30660438</v>
      </c>
      <c r="L7" s="20" t="n">
        <v>0.22167904</v>
      </c>
      <c r="M7" s="18" t="n">
        <v>0</v>
      </c>
      <c r="N7" s="20" t="n">
        <v>0</v>
      </c>
      <c r="O7" s="18" t="n">
        <v>0</v>
      </c>
      <c r="P7" s="20" t="n">
        <v>0</v>
      </c>
      <c r="Q7" s="18" t="n">
        <v>0.66477816</v>
      </c>
      <c r="R7" s="20" t="n">
        <v>0.36439315</v>
      </c>
    </row>
    <row r="8" spans="1:18">
      <c r="A8" s="15" t="s">
        <v>568</v>
      </c>
      <c r="B8" s="17" t="n">
        <v>3564</v>
      </c>
      <c r="C8" s="18">
        <f>(3175.0/B8*100)</f>
        <v/>
      </c>
      <c r="D8" s="19" t="n">
        <v>389</v>
      </c>
      <c r="E8" s="18" t="n">
        <v>45.44085204</v>
      </c>
      <c r="F8" s="20" t="n">
        <v>2.56425036</v>
      </c>
      <c r="G8" s="18" t="n">
        <v>54.18694806</v>
      </c>
      <c r="H8" s="20" t="n">
        <v>2.66781771</v>
      </c>
      <c r="I8" s="18" t="s">
        <v>567</v>
      </c>
      <c r="J8" s="20" t="s">
        <v>567</v>
      </c>
      <c r="K8" s="18" t="n">
        <v>0</v>
      </c>
      <c r="L8" s="20" t="n">
        <v>0</v>
      </c>
      <c r="M8" s="18" t="n">
        <v>0</v>
      </c>
      <c r="N8" s="20" t="n">
        <v>0</v>
      </c>
      <c r="O8" s="18" t="n">
        <v>0</v>
      </c>
      <c r="P8" s="20" t="n">
        <v>0</v>
      </c>
      <c r="Q8" s="18" t="n">
        <v>0.37219989</v>
      </c>
      <c r="R8" s="20" t="n">
        <v>0.40448625</v>
      </c>
    </row>
    <row r="9" spans="1:18">
      <c r="A9" s="15" t="s">
        <v>569</v>
      </c>
      <c r="B9" s="17" t="n">
        <v>4899</v>
      </c>
      <c r="C9" s="18">
        <f>(4375.0/B9*100)</f>
        <v/>
      </c>
      <c r="D9" s="19" t="n">
        <v>524</v>
      </c>
      <c r="E9" s="18" t="n">
        <v>67.28208478000001</v>
      </c>
      <c r="F9" s="20" t="n">
        <v>2.13609226</v>
      </c>
      <c r="G9" s="18" t="n">
        <v>31.88123888</v>
      </c>
      <c r="H9" s="20" t="n">
        <v>2.08732299</v>
      </c>
      <c r="I9" s="18" t="s">
        <v>567</v>
      </c>
      <c r="J9" s="20" t="s">
        <v>567</v>
      </c>
      <c r="K9" s="18" t="n">
        <v>0.15846573</v>
      </c>
      <c r="L9" s="20" t="n">
        <v>0.15264295</v>
      </c>
      <c r="M9" s="18" t="n">
        <v>0</v>
      </c>
      <c r="N9" s="20" t="n">
        <v>0</v>
      </c>
      <c r="O9" s="18" t="n">
        <v>0</v>
      </c>
      <c r="P9" s="20" t="n">
        <v>0</v>
      </c>
      <c r="Q9" s="18" t="n">
        <v>0.67821061</v>
      </c>
      <c r="R9" s="20" t="n">
        <v>0.38188462</v>
      </c>
    </row>
    <row r="10" spans="1:18">
      <c r="A10" s="15" t="s">
        <v>570</v>
      </c>
      <c r="B10" s="17" t="n">
        <v>10036</v>
      </c>
      <c r="C10" s="18">
        <f>(8878.0/B10*100)</f>
        <v/>
      </c>
      <c r="D10" s="19" t="n">
        <v>1158</v>
      </c>
      <c r="E10" s="18" t="n">
        <v>46.54200655</v>
      </c>
      <c r="F10" s="20" t="n">
        <v>2.2588818</v>
      </c>
      <c r="G10" s="18" t="n">
        <v>52.58311999</v>
      </c>
      <c r="H10" s="20" t="n">
        <v>2.2557191</v>
      </c>
      <c r="I10" s="18" t="s">
        <v>567</v>
      </c>
      <c r="J10" s="20" t="s">
        <v>567</v>
      </c>
      <c r="K10" s="18" t="n">
        <v>0.6470927400000001</v>
      </c>
      <c r="L10" s="20" t="n">
        <v>0.34188165</v>
      </c>
      <c r="M10" s="18" t="n">
        <v>0</v>
      </c>
      <c r="N10" s="20" t="n">
        <v>0</v>
      </c>
      <c r="O10" s="18" t="n">
        <v>0</v>
      </c>
      <c r="P10" s="20" t="n">
        <v>0</v>
      </c>
      <c r="Q10" s="18" t="n">
        <v>0.22778071</v>
      </c>
      <c r="R10" s="20" t="n">
        <v>0.14165693</v>
      </c>
    </row>
    <row r="11" spans="1:18">
      <c r="A11" s="15" t="s">
        <v>571</v>
      </c>
      <c r="B11" s="17" t="n">
        <v>3553</v>
      </c>
      <c r="C11" s="18">
        <f>(3174.0/B11*100)</f>
        <v/>
      </c>
      <c r="D11" s="19" t="n">
        <v>379</v>
      </c>
      <c r="E11" s="18" t="n">
        <v>69.25956169</v>
      </c>
      <c r="F11" s="20" t="n">
        <v>3.08612961</v>
      </c>
      <c r="G11" s="18" t="n">
        <v>28.89098162</v>
      </c>
      <c r="H11" s="20" t="n">
        <v>3.13744981</v>
      </c>
      <c r="I11" s="18" t="s">
        <v>567</v>
      </c>
      <c r="J11" s="20" t="s">
        <v>567</v>
      </c>
      <c r="K11" s="18" t="n">
        <v>0.91111332</v>
      </c>
      <c r="L11" s="20" t="n">
        <v>0.46342563</v>
      </c>
      <c r="M11" s="18" t="n">
        <v>0</v>
      </c>
      <c r="N11" s="20" t="n">
        <v>0</v>
      </c>
      <c r="O11" s="18" t="n">
        <v>0</v>
      </c>
      <c r="P11" s="20" t="n">
        <v>0</v>
      </c>
      <c r="Q11" s="18" t="n">
        <v>0.93834337</v>
      </c>
      <c r="R11" s="20" t="n">
        <v>0.5230404</v>
      </c>
    </row>
    <row r="12" spans="1:18">
      <c r="A12" s="15" t="s">
        <v>572</v>
      </c>
      <c r="B12" s="17" t="n">
        <v>3472</v>
      </c>
      <c r="C12" s="18">
        <f>(3070.0/B12*100)</f>
        <v/>
      </c>
      <c r="D12" s="19" t="n">
        <v>402</v>
      </c>
      <c r="E12" s="18" t="n">
        <v>56.32663598</v>
      </c>
      <c r="F12" s="20" t="n">
        <v>3.00835534</v>
      </c>
      <c r="G12" s="18" t="n">
        <v>42.50426235</v>
      </c>
      <c r="H12" s="20" t="n">
        <v>2.83644533</v>
      </c>
      <c r="I12" s="18" t="s">
        <v>567</v>
      </c>
      <c r="J12" s="20" t="s">
        <v>567</v>
      </c>
      <c r="K12" s="18" t="n">
        <v>0.22864299</v>
      </c>
      <c r="L12" s="20" t="n">
        <v>0.22470567</v>
      </c>
      <c r="M12" s="18" t="n">
        <v>0</v>
      </c>
      <c r="N12" s="20" t="n">
        <v>0</v>
      </c>
      <c r="O12" s="18" t="n">
        <v>0</v>
      </c>
      <c r="P12" s="20" t="n">
        <v>0</v>
      </c>
      <c r="Q12" s="18" t="n">
        <v>0.94045868</v>
      </c>
      <c r="R12" s="20" t="n">
        <v>0.75363814</v>
      </c>
    </row>
    <row r="13" spans="1:18">
      <c r="A13" s="15" t="s">
        <v>573</v>
      </c>
      <c r="B13" s="17" t="n">
        <v>3559</v>
      </c>
      <c r="C13" s="18">
        <f>(3181.0/B13*100)</f>
        <v/>
      </c>
      <c r="D13" s="19" t="n">
        <v>378</v>
      </c>
      <c r="E13" s="18" t="n">
        <v>59.23977989</v>
      </c>
      <c r="F13" s="20" t="n">
        <v>3.23972074</v>
      </c>
      <c r="G13" s="18" t="n">
        <v>38.65843805</v>
      </c>
      <c r="H13" s="20" t="n">
        <v>3.02670296</v>
      </c>
      <c r="I13" s="18" t="s">
        <v>567</v>
      </c>
      <c r="J13" s="20" t="s">
        <v>567</v>
      </c>
      <c r="K13" s="18" t="n">
        <v>0.58596304</v>
      </c>
      <c r="L13" s="20" t="n">
        <v>0.50954132</v>
      </c>
      <c r="M13" s="18" t="n">
        <v>0</v>
      </c>
      <c r="N13" s="20" t="n">
        <v>0</v>
      </c>
      <c r="O13" s="18" t="n">
        <v>0</v>
      </c>
      <c r="P13" s="20" t="n">
        <v>0</v>
      </c>
      <c r="Q13" s="18" t="n">
        <v>1.51581901</v>
      </c>
      <c r="R13" s="20" t="n">
        <v>0.6630141899999999</v>
      </c>
    </row>
    <row r="14" spans="1:18">
      <c r="A14" s="15" t="s">
        <v>574</v>
      </c>
      <c r="B14" s="17" t="n">
        <v>2799</v>
      </c>
      <c r="C14" s="18">
        <f>(2486.0/B14*100)</f>
        <v/>
      </c>
      <c r="D14" s="19" t="n">
        <v>313</v>
      </c>
      <c r="E14" s="18" t="n">
        <v>46.15860154</v>
      </c>
      <c r="F14" s="20" t="n">
        <v>2.77247958</v>
      </c>
      <c r="G14" s="18" t="n">
        <v>53.84139846</v>
      </c>
      <c r="H14" s="20" t="n">
        <v>2.77247958</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(2720.0/B15*100)</f>
        <v/>
      </c>
      <c r="D15" s="19" t="n">
        <v>299</v>
      </c>
      <c r="E15" s="18" t="n">
        <v>27.11025732</v>
      </c>
      <c r="F15" s="20" t="n">
        <v>2.8812308</v>
      </c>
      <c r="G15" s="18" t="n">
        <v>72.88974268</v>
      </c>
      <c r="H15" s="20" t="n">
        <v>2.8812308</v>
      </c>
      <c r="I15" s="18" t="s">
        <v>567</v>
      </c>
      <c r="J15" s="20" t="s">
        <v>567</v>
      </c>
      <c r="K15" s="18" t="n">
        <v>0</v>
      </c>
      <c r="L15" s="20" t="n">
        <v>0</v>
      </c>
      <c r="M15" s="18" t="n">
        <v>0</v>
      </c>
      <c r="N15" s="20" t="n">
        <v>0</v>
      </c>
      <c r="O15" s="18" t="n">
        <v>0</v>
      </c>
      <c r="P15" s="20" t="n">
        <v>0</v>
      </c>
      <c r="Q15" s="18" t="n">
        <v>0</v>
      </c>
      <c r="R15" s="20" t="n">
        <v>0</v>
      </c>
    </row>
    <row r="16" spans="1:18">
      <c r="A16" s="15" t="s">
        <v>576</v>
      </c>
      <c r="B16" s="17" t="n">
        <v>2997</v>
      </c>
      <c r="C16" s="18">
        <f>(2672.0/B16*100)</f>
        <v/>
      </c>
      <c r="D16" s="19" t="n">
        <v>325</v>
      </c>
      <c r="E16" s="18" t="n">
        <v>67.40107762</v>
      </c>
      <c r="F16" s="20" t="n">
        <v>2.51450913</v>
      </c>
      <c r="G16" s="18" t="n">
        <v>30.18888858</v>
      </c>
      <c r="H16" s="20" t="n">
        <v>2.58303625</v>
      </c>
      <c r="I16" s="18" t="s">
        <v>567</v>
      </c>
      <c r="J16" s="20" t="s">
        <v>567</v>
      </c>
      <c r="K16" s="18" t="n">
        <v>1.18803725</v>
      </c>
      <c r="L16" s="20" t="n">
        <v>0.93916838</v>
      </c>
      <c r="M16" s="18" t="n">
        <v>0</v>
      </c>
      <c r="N16" s="20" t="n">
        <v>0</v>
      </c>
      <c r="O16" s="18" t="n">
        <v>0</v>
      </c>
      <c r="P16" s="20" t="n">
        <v>0</v>
      </c>
      <c r="Q16" s="18" t="n">
        <v>1.22199655</v>
      </c>
      <c r="R16" s="20" t="n">
        <v>0.57241805</v>
      </c>
    </row>
    <row r="17" spans="1:18">
      <c r="A17" s="15" t="s">
        <v>577</v>
      </c>
      <c r="B17" s="17" t="n">
        <v>3307</v>
      </c>
      <c r="C17" s="18">
        <f>(2971.0/B17*100)</f>
        <v/>
      </c>
      <c r="D17" s="19" t="n">
        <v>336</v>
      </c>
      <c r="E17" s="18" t="n">
        <v>40.86085453</v>
      </c>
      <c r="F17" s="20" t="n">
        <v>2.80791461</v>
      </c>
      <c r="G17" s="18" t="n">
        <v>58.02138545</v>
      </c>
      <c r="H17" s="20" t="n">
        <v>2.77335362</v>
      </c>
      <c r="I17" s="18" t="s">
        <v>567</v>
      </c>
      <c r="J17" s="20" t="s">
        <v>567</v>
      </c>
      <c r="K17" s="18" t="n">
        <v>0.37484992</v>
      </c>
      <c r="L17" s="20" t="n">
        <v>0.18578785</v>
      </c>
      <c r="M17" s="18" t="n">
        <v>0</v>
      </c>
      <c r="N17" s="20" t="n">
        <v>0</v>
      </c>
      <c r="O17" s="18" t="n">
        <v>0</v>
      </c>
      <c r="P17" s="20" t="n">
        <v>0</v>
      </c>
      <c r="Q17" s="18" t="n">
        <v>0.74291009</v>
      </c>
      <c r="R17" s="20" t="n">
        <v>0.44439312</v>
      </c>
    </row>
    <row r="18" spans="1:18">
      <c r="A18" s="15" t="s">
        <v>578</v>
      </c>
      <c r="B18" s="17" t="n">
        <v>2826</v>
      </c>
      <c r="C18" s="18">
        <f>(2495.0/B18*100)</f>
        <v/>
      </c>
      <c r="D18" s="19" t="n">
        <v>331</v>
      </c>
      <c r="E18" s="18" t="n">
        <v>75.7486123</v>
      </c>
      <c r="F18" s="20" t="n">
        <v>2.54161666</v>
      </c>
      <c r="G18" s="18" t="n">
        <v>23.18823636</v>
      </c>
      <c r="H18" s="20" t="n">
        <v>2.47483365</v>
      </c>
      <c r="I18" s="18" t="s">
        <v>567</v>
      </c>
      <c r="J18" s="20" t="s">
        <v>567</v>
      </c>
      <c r="K18" s="18" t="n">
        <v>0.31449286</v>
      </c>
      <c r="L18" s="20" t="n">
        <v>0.29331343</v>
      </c>
      <c r="M18" s="18" t="n">
        <v>0</v>
      </c>
      <c r="N18" s="20" t="n">
        <v>0</v>
      </c>
      <c r="O18" s="18" t="n">
        <v>0</v>
      </c>
      <c r="P18" s="20" t="n">
        <v>0</v>
      </c>
      <c r="Q18" s="18" t="n">
        <v>0.74865848</v>
      </c>
      <c r="R18" s="20" t="n">
        <v>0.43585216</v>
      </c>
    </row>
    <row r="19" spans="1:18">
      <c r="A19" s="15" t="s">
        <v>579</v>
      </c>
      <c r="B19" s="17" t="n">
        <v>2808</v>
      </c>
      <c r="C19" s="18">
        <f>(2508.0/B19*100)</f>
        <v/>
      </c>
      <c r="D19" s="19" t="n">
        <v>300</v>
      </c>
      <c r="E19" s="18" t="n">
        <v>59.19133004</v>
      </c>
      <c r="F19" s="20" t="n">
        <v>2.96865466</v>
      </c>
      <c r="G19" s="18" t="n">
        <v>40.5072557</v>
      </c>
      <c r="H19" s="20" t="n">
        <v>2.94233607</v>
      </c>
      <c r="I19" s="18" t="s">
        <v>567</v>
      </c>
      <c r="J19" s="20" t="s">
        <v>567</v>
      </c>
      <c r="K19" s="18" t="n">
        <v>0</v>
      </c>
      <c r="L19" s="20" t="n">
        <v>0</v>
      </c>
      <c r="M19" s="18" t="n">
        <v>0</v>
      </c>
      <c r="N19" s="20" t="n">
        <v>0</v>
      </c>
      <c r="O19" s="18" t="n">
        <v>0</v>
      </c>
      <c r="P19" s="20" t="n">
        <v>0</v>
      </c>
      <c r="Q19" s="18" t="n">
        <v>0.30141426</v>
      </c>
      <c r="R19" s="20" t="n">
        <v>0.29549753</v>
      </c>
    </row>
    <row r="20" spans="1:18">
      <c r="A20" s="15" t="s">
        <v>580</v>
      </c>
      <c r="B20" s="17" t="n">
        <v>1630</v>
      </c>
      <c r="C20" s="18">
        <f>(1455.0/B20*100)</f>
        <v/>
      </c>
      <c r="D20" s="19" t="n">
        <v>175</v>
      </c>
      <c r="E20" s="18" t="n">
        <v>49.70507872</v>
      </c>
      <c r="F20" s="20" t="n">
        <v>3.65514285</v>
      </c>
      <c r="G20" s="18" t="n">
        <v>48.57155991</v>
      </c>
      <c r="H20" s="20" t="n">
        <v>3.61301592</v>
      </c>
      <c r="I20" s="18" t="s">
        <v>567</v>
      </c>
      <c r="J20" s="20" t="s">
        <v>567</v>
      </c>
      <c r="K20" s="18" t="n">
        <v>0.56411155</v>
      </c>
      <c r="L20" s="20" t="n">
        <v>0.57287294</v>
      </c>
      <c r="M20" s="18" t="n">
        <v>0</v>
      </c>
      <c r="N20" s="20" t="n">
        <v>0</v>
      </c>
      <c r="O20" s="18" t="n">
        <v>0</v>
      </c>
      <c r="P20" s="20" t="n">
        <v>0</v>
      </c>
      <c r="Q20" s="18" t="n">
        <v>1.15924982</v>
      </c>
      <c r="R20" s="20" t="n">
        <v>0.7130687100000001</v>
      </c>
    </row>
    <row r="21" spans="1:18">
      <c r="A21" s="15" t="s">
        <v>581</v>
      </c>
      <c r="B21" s="17" t="n">
        <v>2908</v>
      </c>
      <c r="C21" s="18">
        <f>(2589.0/B21*100)</f>
        <v/>
      </c>
      <c r="D21" s="19" t="n">
        <v>319</v>
      </c>
      <c r="E21" s="18" t="n">
        <v>46.818058</v>
      </c>
      <c r="F21" s="20" t="n">
        <v>3.19754114</v>
      </c>
      <c r="G21" s="18" t="n">
        <v>52.19486699</v>
      </c>
      <c r="H21" s="20" t="n">
        <v>3.25576093</v>
      </c>
      <c r="I21" s="18" t="s">
        <v>567</v>
      </c>
      <c r="J21" s="20" t="s">
        <v>567</v>
      </c>
      <c r="K21" s="18" t="n">
        <v>0.25899989</v>
      </c>
      <c r="L21" s="20" t="n">
        <v>0.25759498</v>
      </c>
      <c r="M21" s="18" t="n">
        <v>0</v>
      </c>
      <c r="N21" s="20" t="n">
        <v>0</v>
      </c>
      <c r="O21" s="18" t="n">
        <v>0</v>
      </c>
      <c r="P21" s="20" t="n">
        <v>0</v>
      </c>
      <c r="Q21" s="18" t="n">
        <v>0.72807512</v>
      </c>
      <c r="R21" s="20" t="n">
        <v>0.52074825</v>
      </c>
    </row>
    <row r="22" spans="1:18">
      <c r="A22" s="15" t="s">
        <v>582</v>
      </c>
      <c r="B22" s="17" t="n">
        <v>2931</v>
      </c>
      <c r="C22" s="18">
        <f>(2610.0/B22*100)</f>
        <v/>
      </c>
      <c r="D22" s="19" t="n">
        <v>321</v>
      </c>
      <c r="E22" s="18" t="n">
        <v>60.71154993</v>
      </c>
      <c r="F22" s="20" t="n">
        <v>3.49805475</v>
      </c>
      <c r="G22" s="18" t="n">
        <v>36.5448866</v>
      </c>
      <c r="H22" s="20" t="n">
        <v>3.58111869</v>
      </c>
      <c r="I22" s="18" t="s">
        <v>567</v>
      </c>
      <c r="J22" s="20" t="s">
        <v>567</v>
      </c>
      <c r="K22" s="18" t="n">
        <v>1.24088825</v>
      </c>
      <c r="L22" s="20" t="n">
        <v>0.59932192</v>
      </c>
      <c r="M22" s="18" t="n">
        <v>0</v>
      </c>
      <c r="N22" s="20" t="n">
        <v>0</v>
      </c>
      <c r="O22" s="18" t="n">
        <v>0</v>
      </c>
      <c r="P22" s="20" t="n">
        <v>0</v>
      </c>
      <c r="Q22" s="18" t="n">
        <v>1.50267523</v>
      </c>
      <c r="R22" s="20" t="n">
        <v>0.78495081</v>
      </c>
    </row>
    <row r="23" spans="1:18">
      <c r="A23" s="15" t="s">
        <v>583</v>
      </c>
      <c r="B23" s="17" t="n">
        <v>5791</v>
      </c>
      <c r="C23" s="18">
        <f>(5185.0/B23*100)</f>
        <v/>
      </c>
      <c r="D23" s="19" t="n">
        <v>606</v>
      </c>
      <c r="E23" s="18" t="n">
        <v>67.62357019</v>
      </c>
      <c r="F23" s="20" t="n">
        <v>2.86044634</v>
      </c>
      <c r="G23" s="18" t="n">
        <v>31.22599285</v>
      </c>
      <c r="H23" s="20" t="n">
        <v>2.75058408</v>
      </c>
      <c r="I23" s="18" t="s">
        <v>567</v>
      </c>
      <c r="J23" s="20" t="s">
        <v>567</v>
      </c>
      <c r="K23" s="18" t="n">
        <v>0.14785836</v>
      </c>
      <c r="L23" s="20" t="n">
        <v>0.13463048</v>
      </c>
      <c r="M23" s="18" t="n">
        <v>0</v>
      </c>
      <c r="N23" s="20" t="n">
        <v>0</v>
      </c>
      <c r="O23" s="18" t="n">
        <v>0</v>
      </c>
      <c r="P23" s="20" t="n">
        <v>0</v>
      </c>
      <c r="Q23" s="18" t="n">
        <v>1.00257859</v>
      </c>
      <c r="R23" s="20" t="n">
        <v>0.46523661</v>
      </c>
    </row>
    <row r="24" spans="1:18">
      <c r="A24" s="15" t="s">
        <v>584</v>
      </c>
      <c r="B24" s="17" t="n">
        <v>3338</v>
      </c>
      <c r="C24" s="18">
        <f>(2971.0/B24*100)</f>
        <v/>
      </c>
      <c r="D24" s="19" t="n">
        <v>367</v>
      </c>
      <c r="E24" s="18" t="n">
        <v>39.87262489</v>
      </c>
      <c r="F24" s="20" t="n">
        <v>2.71925097</v>
      </c>
      <c r="G24" s="18" t="n">
        <v>59.89993529</v>
      </c>
      <c r="H24" s="20" t="n">
        <v>2.74094228</v>
      </c>
      <c r="I24" s="18" t="s">
        <v>567</v>
      </c>
      <c r="J24" s="20" t="s">
        <v>567</v>
      </c>
      <c r="K24" s="18" t="n">
        <v>0</v>
      </c>
      <c r="L24" s="20" t="n">
        <v>0</v>
      </c>
      <c r="M24" s="18" t="n">
        <v>0</v>
      </c>
      <c r="N24" s="20" t="n">
        <v>0</v>
      </c>
      <c r="O24" s="18" t="n">
        <v>0</v>
      </c>
      <c r="P24" s="20" t="n">
        <v>0</v>
      </c>
      <c r="Q24" s="18" t="n">
        <v>0.22743982</v>
      </c>
      <c r="R24" s="20" t="n">
        <v>0.22629093</v>
      </c>
    </row>
    <row r="25" spans="1:18">
      <c r="A25" s="15" t="s">
        <v>585</v>
      </c>
      <c r="B25" s="17" t="n">
        <v>2912</v>
      </c>
      <c r="C25" s="18">
        <f>(2601.0/B25*100)</f>
        <v/>
      </c>
      <c r="D25" s="19" t="n">
        <v>311</v>
      </c>
      <c r="E25" s="18" t="n">
        <v>55.10606164</v>
      </c>
      <c r="F25" s="20" t="n">
        <v>3.3551951</v>
      </c>
      <c r="G25" s="18" t="n">
        <v>44.27163624</v>
      </c>
      <c r="H25" s="20" t="n">
        <v>3.39377578</v>
      </c>
      <c r="I25" s="18" t="s">
        <v>567</v>
      </c>
      <c r="J25" s="20" t="s">
        <v>567</v>
      </c>
      <c r="K25" s="18" t="n">
        <v>0.62230212</v>
      </c>
      <c r="L25" s="20" t="n">
        <v>0.45412028</v>
      </c>
      <c r="M25" s="18" t="n">
        <v>0</v>
      </c>
      <c r="N25" s="20" t="n">
        <v>0</v>
      </c>
      <c r="O25" s="18" t="n">
        <v>0</v>
      </c>
      <c r="P25" s="20" t="n">
        <v>0</v>
      </c>
      <c r="Q25" s="18" t="n">
        <v>0</v>
      </c>
      <c r="R25" s="20" t="n">
        <v>0</v>
      </c>
    </row>
    <row r="26" spans="1:18">
      <c r="A26" s="15" t="s">
        <v>586</v>
      </c>
      <c r="B26" s="17" t="n">
        <v>2450</v>
      </c>
      <c r="C26" s="18">
        <f>(2171.0/B26*100)</f>
        <v/>
      </c>
      <c r="D26" s="19" t="n">
        <v>279</v>
      </c>
      <c r="E26" s="18" t="n">
        <v>58.14613735</v>
      </c>
      <c r="F26" s="20" t="n">
        <v>3.17323774</v>
      </c>
      <c r="G26" s="18" t="n">
        <v>41.46153054</v>
      </c>
      <c r="H26" s="20" t="n">
        <v>3.13505607</v>
      </c>
      <c r="I26" s="18" t="s">
        <v>567</v>
      </c>
      <c r="J26" s="20" t="s">
        <v>567</v>
      </c>
      <c r="K26" s="18" t="n">
        <v>0</v>
      </c>
      <c r="L26" s="20" t="n">
        <v>0</v>
      </c>
      <c r="M26" s="18" t="n">
        <v>0</v>
      </c>
      <c r="N26" s="20" t="n">
        <v>0</v>
      </c>
      <c r="O26" s="18" t="n">
        <v>0</v>
      </c>
      <c r="P26" s="20" t="n">
        <v>0</v>
      </c>
      <c r="Q26" s="18" t="n">
        <v>0.39233211</v>
      </c>
      <c r="R26" s="20" t="n">
        <v>0.26858268</v>
      </c>
    </row>
    <row r="27" spans="1:18">
      <c r="A27" s="15" t="s">
        <v>587</v>
      </c>
      <c r="B27" s="17" t="n">
        <v>2616</v>
      </c>
      <c r="C27" s="18">
        <f>(2343.0/B27*100)</f>
        <v/>
      </c>
      <c r="D27" s="19" t="n">
        <v>273</v>
      </c>
      <c r="E27" s="18" t="n">
        <v>54.7175478</v>
      </c>
      <c r="F27" s="20" t="n">
        <v>2.62403404</v>
      </c>
      <c r="G27" s="18" t="n">
        <v>42.73015971</v>
      </c>
      <c r="H27" s="20" t="n">
        <v>2.65956528</v>
      </c>
      <c r="I27" s="18" t="s">
        <v>567</v>
      </c>
      <c r="J27" s="20" t="s">
        <v>567</v>
      </c>
      <c r="K27" s="18" t="n">
        <v>1.09965673</v>
      </c>
      <c r="L27" s="20" t="n">
        <v>0.62921317</v>
      </c>
      <c r="M27" s="18" t="n">
        <v>0</v>
      </c>
      <c r="N27" s="20" t="n">
        <v>0</v>
      </c>
      <c r="O27" s="18" t="n">
        <v>0</v>
      </c>
      <c r="P27" s="20" t="n">
        <v>0</v>
      </c>
      <c r="Q27" s="18" t="n">
        <v>1.45263577</v>
      </c>
      <c r="R27" s="20" t="n">
        <v>0.7278503200000001</v>
      </c>
    </row>
    <row r="28" spans="1:18">
      <c r="A28" s="15" t="s">
        <v>588</v>
      </c>
      <c r="B28" s="17" t="n">
        <v>3765</v>
      </c>
      <c r="C28" s="18">
        <f>(3384.0/B28*100)</f>
        <v/>
      </c>
      <c r="D28" s="19" t="n">
        <v>381</v>
      </c>
      <c r="E28" s="18" t="n">
        <v>70.27964489</v>
      </c>
      <c r="F28" s="20" t="n">
        <v>2.84678136</v>
      </c>
      <c r="G28" s="18" t="n">
        <v>29.29824547</v>
      </c>
      <c r="H28" s="20" t="n">
        <v>2.82181006</v>
      </c>
      <c r="I28" s="18" t="s">
        <v>567</v>
      </c>
      <c r="J28" s="20" t="s">
        <v>567</v>
      </c>
      <c r="K28" s="18" t="n">
        <v>0.42210964</v>
      </c>
      <c r="L28" s="20" t="n">
        <v>0.42278447</v>
      </c>
      <c r="M28" s="18" t="n">
        <v>0</v>
      </c>
      <c r="N28" s="20" t="n">
        <v>0</v>
      </c>
      <c r="O28" s="18" t="n">
        <v>0</v>
      </c>
      <c r="P28" s="20" t="n">
        <v>0</v>
      </c>
      <c r="Q28" s="18" t="n">
        <v>0</v>
      </c>
      <c r="R28" s="20" t="n">
        <v>0</v>
      </c>
    </row>
    <row r="29" spans="1:18">
      <c r="A29" s="15" t="s">
        <v>589</v>
      </c>
      <c r="B29" s="17" t="n">
        <v>2685</v>
      </c>
      <c r="C29" s="18">
        <f>(2394.0/B29*100)</f>
        <v/>
      </c>
      <c r="D29" s="19" t="n">
        <v>291</v>
      </c>
      <c r="E29" s="18" t="n">
        <v>58.3366088</v>
      </c>
      <c r="F29" s="20" t="n">
        <v>2.66184924</v>
      </c>
      <c r="G29" s="18" t="n">
        <v>41.03971363</v>
      </c>
      <c r="H29" s="20" t="n">
        <v>2.61326772</v>
      </c>
      <c r="I29" s="18" t="s">
        <v>567</v>
      </c>
      <c r="J29" s="20" t="s">
        <v>567</v>
      </c>
      <c r="K29" s="18" t="n">
        <v>0</v>
      </c>
      <c r="L29" s="20" t="n">
        <v>0</v>
      </c>
      <c r="M29" s="18" t="n">
        <v>0</v>
      </c>
      <c r="N29" s="20" t="n">
        <v>0</v>
      </c>
      <c r="O29" s="18" t="n">
        <v>0</v>
      </c>
      <c r="P29" s="20" t="n">
        <v>0</v>
      </c>
      <c r="Q29" s="18" t="n">
        <v>0.62367757</v>
      </c>
      <c r="R29" s="20" t="n">
        <v>0.41892407</v>
      </c>
    </row>
    <row r="30" spans="1:18">
      <c r="A30" s="15" t="s">
        <v>590</v>
      </c>
      <c r="B30" s="17" t="n">
        <v>2263</v>
      </c>
      <c r="C30" s="18">
        <f>(2037.0/B30*100)</f>
        <v/>
      </c>
      <c r="D30" s="19" t="n">
        <v>226</v>
      </c>
      <c r="E30" s="18" t="n">
        <v>49.78312362</v>
      </c>
      <c r="F30" s="20" t="n">
        <v>3.2911956</v>
      </c>
      <c r="G30" s="18" t="n">
        <v>48.13391431</v>
      </c>
      <c r="H30" s="20" t="n">
        <v>3.45193133</v>
      </c>
      <c r="I30" s="18" t="s">
        <v>567</v>
      </c>
      <c r="J30" s="20" t="s">
        <v>567</v>
      </c>
      <c r="K30" s="18" t="n">
        <v>0</v>
      </c>
      <c r="L30" s="20" t="n">
        <v>0</v>
      </c>
      <c r="M30" s="18" t="n">
        <v>0</v>
      </c>
      <c r="N30" s="20" t="n">
        <v>0</v>
      </c>
      <c r="O30" s="18" t="n">
        <v>0</v>
      </c>
      <c r="P30" s="20" t="n">
        <v>0</v>
      </c>
      <c r="Q30" s="18" t="n">
        <v>2.08296208</v>
      </c>
      <c r="R30" s="20" t="n">
        <v>1.01895398</v>
      </c>
    </row>
    <row r="31" spans="1:18">
      <c r="A31" s="15" t="s">
        <v>591</v>
      </c>
      <c r="B31" s="17" t="n">
        <v>2750</v>
      </c>
      <c r="C31" s="18">
        <f>(2438.0/B31*100)</f>
        <v/>
      </c>
      <c r="D31" s="19" t="n">
        <v>312</v>
      </c>
      <c r="E31" s="18" t="n">
        <v>55.51098721</v>
      </c>
      <c r="F31" s="20" t="n">
        <v>3.12648802</v>
      </c>
      <c r="G31" s="18" t="n">
        <v>42.59813573</v>
      </c>
      <c r="H31" s="20" t="n">
        <v>3.14227119</v>
      </c>
      <c r="I31" s="18" t="s">
        <v>567</v>
      </c>
      <c r="J31" s="20" t="s">
        <v>567</v>
      </c>
      <c r="K31" s="18" t="n">
        <v>0.32377209</v>
      </c>
      <c r="L31" s="20" t="n">
        <v>0.30794514</v>
      </c>
      <c r="M31" s="18" t="n">
        <v>0</v>
      </c>
      <c r="N31" s="20" t="n">
        <v>0</v>
      </c>
      <c r="O31" s="18" t="n">
        <v>0</v>
      </c>
      <c r="P31" s="20" t="n">
        <v>0</v>
      </c>
      <c r="Q31" s="18" t="n">
        <v>1.56710497</v>
      </c>
      <c r="R31" s="20" t="n">
        <v>0.68373405</v>
      </c>
    </row>
    <row r="32" spans="1:18">
      <c r="A32" s="15" t="s">
        <v>592</v>
      </c>
      <c r="B32" s="17" t="n">
        <v>2269</v>
      </c>
      <c r="C32" s="18">
        <f>(2004.0/B32*100)</f>
        <v/>
      </c>
      <c r="D32" s="19" t="n">
        <v>265</v>
      </c>
      <c r="E32" s="18" t="n">
        <v>51.69657702</v>
      </c>
      <c r="F32" s="20" t="n">
        <v>3.38306352</v>
      </c>
      <c r="G32" s="18" t="n">
        <v>48.30342298</v>
      </c>
      <c r="H32" s="20" t="n">
        <v>3.38306352</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(3253.0/B33*100)</f>
        <v/>
      </c>
      <c r="D33" s="19" t="n">
        <v>421</v>
      </c>
      <c r="E33" s="18" t="n">
        <v>72.10639711</v>
      </c>
      <c r="F33" s="20" t="n">
        <v>2.48375337</v>
      </c>
      <c r="G33" s="18" t="n">
        <v>26.91161996</v>
      </c>
      <c r="H33" s="20" t="n">
        <v>2.53119784</v>
      </c>
      <c r="I33" s="18" t="s">
        <v>567</v>
      </c>
      <c r="J33" s="20" t="s">
        <v>567</v>
      </c>
      <c r="K33" s="18" t="n">
        <v>0.3585056</v>
      </c>
      <c r="L33" s="20" t="n">
        <v>0.32227199</v>
      </c>
      <c r="M33" s="18" t="n">
        <v>0</v>
      </c>
      <c r="N33" s="20" t="n">
        <v>0</v>
      </c>
      <c r="O33" s="18" t="n">
        <v>0</v>
      </c>
      <c r="P33" s="20" t="n">
        <v>0</v>
      </c>
      <c r="Q33" s="18" t="n">
        <v>0.6234773300000001</v>
      </c>
      <c r="R33" s="20" t="n">
        <v>0.37643131</v>
      </c>
    </row>
    <row r="34" spans="1:18">
      <c r="A34" s="15" t="s">
        <v>594</v>
      </c>
      <c r="B34" s="17" t="n">
        <v>3315</v>
      </c>
      <c r="C34" s="18">
        <f>(2953.0/B34*100)</f>
        <v/>
      </c>
      <c r="D34" s="19" t="n">
        <v>362</v>
      </c>
      <c r="E34" s="18" t="n">
        <v>59.22206885</v>
      </c>
      <c r="F34" s="20" t="n">
        <v>2.76768492</v>
      </c>
      <c r="G34" s="18" t="n">
        <v>40.28691004</v>
      </c>
      <c r="H34" s="20" t="n">
        <v>2.73121524</v>
      </c>
      <c r="I34" s="18" t="s">
        <v>567</v>
      </c>
      <c r="J34" s="20" t="s">
        <v>567</v>
      </c>
      <c r="K34" s="18" t="n">
        <v>0.25266978</v>
      </c>
      <c r="L34" s="20" t="n">
        <v>0.25163433</v>
      </c>
      <c r="M34" s="18" t="n">
        <v>0</v>
      </c>
      <c r="N34" s="20" t="n">
        <v>0</v>
      </c>
      <c r="O34" s="18" t="n">
        <v>0</v>
      </c>
      <c r="P34" s="20" t="n">
        <v>0</v>
      </c>
      <c r="Q34" s="18" t="n">
        <v>0.23835133</v>
      </c>
      <c r="R34" s="20" t="n">
        <v>0.23407318</v>
      </c>
    </row>
    <row r="35" spans="1:18">
      <c r="A35" s="15" t="s">
        <v>595</v>
      </c>
      <c r="B35" s="17" t="n">
        <v>3505</v>
      </c>
      <c r="C35" s="18">
        <f>(3142.0/B35*100)</f>
        <v/>
      </c>
      <c r="D35" s="19" t="n">
        <v>363</v>
      </c>
      <c r="E35" s="18" t="n">
        <v>65.6463255</v>
      </c>
      <c r="F35" s="20" t="n">
        <v>3.38171402</v>
      </c>
      <c r="G35" s="18" t="n">
        <v>33.80179857</v>
      </c>
      <c r="H35" s="20" t="n">
        <v>3.35871516</v>
      </c>
      <c r="I35" s="18" t="s">
        <v>567</v>
      </c>
      <c r="J35" s="20" t="s">
        <v>567</v>
      </c>
      <c r="K35" s="18" t="n">
        <v>0</v>
      </c>
      <c r="L35" s="20" t="n">
        <v>0</v>
      </c>
      <c r="M35" s="18" t="n">
        <v>0</v>
      </c>
      <c r="N35" s="20" t="n">
        <v>0</v>
      </c>
      <c r="O35" s="18" t="n">
        <v>0</v>
      </c>
      <c r="P35" s="20" t="n">
        <v>0</v>
      </c>
      <c r="Q35" s="18" t="n">
        <v>0.55187593</v>
      </c>
      <c r="R35" s="20" t="n">
        <v>0.44184751</v>
      </c>
    </row>
    <row r="36" spans="1:18">
      <c r="A36" s="15" t="s">
        <v>596</v>
      </c>
      <c r="B36" s="17" t="n">
        <v>3332</v>
      </c>
      <c r="C36" s="18">
        <f>(2980.0/B36*100)</f>
        <v/>
      </c>
      <c r="D36" s="19" t="n">
        <v>352</v>
      </c>
      <c r="E36" s="18" t="n">
        <v>67.52920503</v>
      </c>
      <c r="F36" s="20" t="n">
        <v>2.41442342</v>
      </c>
      <c r="G36" s="18" t="n">
        <v>32.1374202</v>
      </c>
      <c r="H36" s="20" t="n">
        <v>2.4120013</v>
      </c>
      <c r="I36" s="18" t="s">
        <v>567</v>
      </c>
      <c r="J36" s="20" t="s">
        <v>567</v>
      </c>
      <c r="K36" s="18" t="n">
        <v>0.33337477</v>
      </c>
      <c r="L36" s="20" t="n">
        <v>0.24686547</v>
      </c>
      <c r="M36" s="18" t="n">
        <v>0</v>
      </c>
      <c r="N36" s="20" t="n">
        <v>0</v>
      </c>
      <c r="O36" s="18" t="n">
        <v>0</v>
      </c>
      <c r="P36" s="20" t="n">
        <v>0</v>
      </c>
      <c r="Q36" s="18" t="n">
        <v>0</v>
      </c>
      <c r="R36" s="20" t="n">
        <v>0</v>
      </c>
    </row>
    <row r="37" spans="1:18">
      <c r="A37" s="15" t="s">
        <v>597</v>
      </c>
      <c r="B37" s="17" t="n">
        <v>2727</v>
      </c>
      <c r="C37" s="18">
        <f>(2431.0/B37*100)</f>
        <v/>
      </c>
      <c r="D37" s="19" t="n">
        <v>296</v>
      </c>
      <c r="E37" s="18" t="n">
        <v>59.74005613</v>
      </c>
      <c r="F37" s="20" t="n">
        <v>2.83636859</v>
      </c>
      <c r="G37" s="18" t="n">
        <v>38.34248861</v>
      </c>
      <c r="H37" s="20" t="n">
        <v>2.9481862</v>
      </c>
      <c r="I37" s="18" t="s">
        <v>567</v>
      </c>
      <c r="J37" s="20" t="s">
        <v>567</v>
      </c>
      <c r="K37" s="18" t="n">
        <v>0.91614617</v>
      </c>
      <c r="L37" s="20" t="n">
        <v>0.52487556</v>
      </c>
      <c r="M37" s="18" t="n">
        <v>0</v>
      </c>
      <c r="N37" s="20" t="n">
        <v>0</v>
      </c>
      <c r="O37" s="18" t="n">
        <v>0</v>
      </c>
      <c r="P37" s="20" t="n">
        <v>0</v>
      </c>
      <c r="Q37" s="18" t="n">
        <v>1.0013091</v>
      </c>
      <c r="R37" s="20" t="n">
        <v>0.58570462</v>
      </c>
    </row>
    <row r="38" spans="1:18">
      <c r="A38" s="15" t="s">
        <v>598</v>
      </c>
      <c r="B38" s="17" t="n">
        <v>3053</v>
      </c>
      <c r="C38" s="18">
        <f>(2713.0/B38*100)</f>
        <v/>
      </c>
      <c r="D38" s="19" t="n">
        <v>340</v>
      </c>
      <c r="E38" s="18" t="n">
        <v>56.3212158</v>
      </c>
      <c r="F38" s="20" t="n">
        <v>3.4540681</v>
      </c>
      <c r="G38" s="18" t="n">
        <v>42.42862181</v>
      </c>
      <c r="H38" s="20" t="n">
        <v>3.42201485</v>
      </c>
      <c r="I38" s="18" t="s">
        <v>567</v>
      </c>
      <c r="J38" s="20" t="s">
        <v>567</v>
      </c>
      <c r="K38" s="18" t="n">
        <v>0.39811676</v>
      </c>
      <c r="L38" s="20" t="n">
        <v>0.32905015</v>
      </c>
      <c r="M38" s="18" t="n">
        <v>0</v>
      </c>
      <c r="N38" s="20" t="n">
        <v>0</v>
      </c>
      <c r="O38" s="18" t="n">
        <v>0</v>
      </c>
      <c r="P38" s="20" t="n">
        <v>0</v>
      </c>
      <c r="Q38" s="18" t="n">
        <v>0.85204563</v>
      </c>
      <c r="R38" s="20" t="n">
        <v>0.4955104</v>
      </c>
    </row>
    <row r="39" spans="1:18">
      <c r="A39" s="15" t="s">
        <v>599</v>
      </c>
      <c r="B39" s="17" t="n">
        <v>2957</v>
      </c>
      <c r="C39" s="18">
        <f>(2613.0/B39*100)</f>
        <v/>
      </c>
      <c r="D39" s="19" t="n">
        <v>344</v>
      </c>
      <c r="E39" s="18" t="n">
        <v>70.19213012</v>
      </c>
      <c r="F39" s="20" t="n">
        <v>3.09101554</v>
      </c>
      <c r="G39" s="18" t="n">
        <v>29.61915914</v>
      </c>
      <c r="H39" s="20" t="n">
        <v>3.11475851</v>
      </c>
      <c r="I39" s="18" t="s">
        <v>567</v>
      </c>
      <c r="J39" s="20" t="s">
        <v>567</v>
      </c>
      <c r="K39" s="18" t="n">
        <v>0</v>
      </c>
      <c r="L39" s="20" t="n">
        <v>0</v>
      </c>
      <c r="M39" s="18" t="n">
        <v>0</v>
      </c>
      <c r="N39" s="20" t="n">
        <v>0</v>
      </c>
      <c r="O39" s="18" t="n">
        <v>0</v>
      </c>
      <c r="P39" s="20" t="n">
        <v>0</v>
      </c>
      <c r="Q39" s="18" t="n">
        <v>0.18871074</v>
      </c>
      <c r="R39" s="20" t="n">
        <v>0.19022551</v>
      </c>
    </row>
    <row r="40" spans="1:18">
      <c r="A40" s="15" t="s">
        <v>600</v>
      </c>
      <c r="B40" s="17" t="n">
        <v>7235</v>
      </c>
      <c r="C40" s="18">
        <f>(6455.0/B40*100)</f>
        <v/>
      </c>
      <c r="D40" s="19" t="n">
        <v>780</v>
      </c>
      <c r="E40" s="18" t="n">
        <v>47.71982984</v>
      </c>
      <c r="F40" s="20" t="n">
        <v>2.54413165</v>
      </c>
      <c r="G40" s="18" t="n">
        <v>52.08654604</v>
      </c>
      <c r="H40" s="20" t="n">
        <v>2.57262725</v>
      </c>
      <c r="I40" s="18" t="s">
        <v>567</v>
      </c>
      <c r="J40" s="20" t="s">
        <v>567</v>
      </c>
      <c r="K40" s="18" t="n">
        <v>0.15224057</v>
      </c>
      <c r="L40" s="20" t="n">
        <v>0.15213913</v>
      </c>
      <c r="M40" s="18" t="n">
        <v>0</v>
      </c>
      <c r="N40" s="20" t="n">
        <v>0</v>
      </c>
      <c r="O40" s="18" t="n">
        <v>0</v>
      </c>
      <c r="P40" s="20" t="n">
        <v>0</v>
      </c>
      <c r="Q40" s="18" t="n">
        <v>0.04138355</v>
      </c>
      <c r="R40" s="20" t="n">
        <v>0.02928375</v>
      </c>
    </row>
    <row r="41" spans="1:18">
      <c r="A41" s="15" t="s">
        <v>601</v>
      </c>
      <c r="B41" s="17" t="n">
        <v>2858</v>
      </c>
      <c r="C41" s="18">
        <f>(2540.0/B41*100)</f>
        <v/>
      </c>
      <c r="D41" s="19" t="n">
        <v>318</v>
      </c>
      <c r="E41" s="18" t="n">
        <v>58.65626539</v>
      </c>
      <c r="F41" s="20" t="n">
        <v>3.25682901</v>
      </c>
      <c r="G41" s="18" t="n">
        <v>41.01984952</v>
      </c>
      <c r="H41" s="20" t="n">
        <v>3.22196526</v>
      </c>
      <c r="I41" s="18" t="s">
        <v>567</v>
      </c>
      <c r="J41" s="20" t="s">
        <v>567</v>
      </c>
      <c r="K41" s="18" t="n">
        <v>0</v>
      </c>
      <c r="L41" s="20" t="n">
        <v>0</v>
      </c>
      <c r="M41" s="18" t="n">
        <v>0</v>
      </c>
      <c r="N41" s="20" t="n">
        <v>0</v>
      </c>
      <c r="O41" s="18" t="n">
        <v>0</v>
      </c>
      <c r="P41" s="20" t="n">
        <v>0</v>
      </c>
      <c r="Q41" s="18" t="n">
        <v>0.32388509</v>
      </c>
      <c r="R41" s="20" t="n">
        <v>0.36417301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(10091.0/B46*100)</f>
        <v/>
      </c>
      <c r="D46" s="19" t="n">
        <v>977</v>
      </c>
      <c r="E46" s="18" t="n">
        <v>75.76337112</v>
      </c>
      <c r="F46" s="20" t="n">
        <v>2.18780649</v>
      </c>
      <c r="G46" s="18" t="n">
        <v>22.32071941</v>
      </c>
      <c r="H46" s="20" t="n">
        <v>2.22964173</v>
      </c>
      <c r="I46" s="18" t="s">
        <v>567</v>
      </c>
      <c r="J46" s="20" t="s">
        <v>567</v>
      </c>
      <c r="K46" s="18" t="n">
        <v>1.04255399</v>
      </c>
      <c r="L46" s="20" t="n">
        <v>0.40423043</v>
      </c>
      <c r="M46" s="18" t="n">
        <v>0</v>
      </c>
      <c r="N46" s="20" t="n">
        <v>0</v>
      </c>
      <c r="O46" s="18" t="n">
        <v>0</v>
      </c>
      <c r="P46" s="20" t="n">
        <v>0</v>
      </c>
      <c r="Q46" s="18" t="n">
        <v>0.87335549</v>
      </c>
      <c r="R46" s="20" t="n">
        <v>0.34219484</v>
      </c>
    </row>
    <row r="47" spans="1:18">
      <c r="A47" s="15" t="s">
        <v>607</v>
      </c>
      <c r="B47" s="17" t="n">
        <v>3105</v>
      </c>
      <c r="C47" s="18">
        <f>(2759.0/B47*100)</f>
        <v/>
      </c>
      <c r="D47" s="19" t="n">
        <v>346</v>
      </c>
      <c r="E47" s="18" t="n">
        <v>71.10346183</v>
      </c>
      <c r="F47" s="20" t="n">
        <v>2.44423776</v>
      </c>
      <c r="G47" s="18" t="n">
        <v>27.5170936</v>
      </c>
      <c r="H47" s="20" t="n">
        <v>2.57416223</v>
      </c>
      <c r="I47" s="18" t="s">
        <v>567</v>
      </c>
      <c r="J47" s="20" t="s">
        <v>567</v>
      </c>
      <c r="K47" s="18" t="n">
        <v>0.5475683</v>
      </c>
      <c r="L47" s="20" t="n">
        <v>0.48468272</v>
      </c>
      <c r="M47" s="18" t="n">
        <v>0</v>
      </c>
      <c r="N47" s="20" t="n">
        <v>0</v>
      </c>
      <c r="O47" s="18" t="n">
        <v>0</v>
      </c>
      <c r="P47" s="20" t="n">
        <v>0</v>
      </c>
      <c r="Q47" s="18" t="n">
        <v>0.83187627</v>
      </c>
      <c r="R47" s="20" t="n">
        <v>0.45111969</v>
      </c>
    </row>
    <row r="48" spans="1:18">
      <c r="A48" s="15" t="s">
        <v>608</v>
      </c>
      <c r="B48" s="17" t="n">
        <v>5159</v>
      </c>
      <c r="C48" s="18">
        <f>(4559.0/B48*100)</f>
        <v/>
      </c>
      <c r="D48" s="19" t="n">
        <v>600</v>
      </c>
      <c r="E48" s="18" t="n">
        <v>52.96018716</v>
      </c>
      <c r="F48" s="20" t="n">
        <v>2.52009174</v>
      </c>
      <c r="G48" s="18" t="n">
        <v>46.68526357</v>
      </c>
      <c r="H48" s="20" t="n">
        <v>2.51050102</v>
      </c>
      <c r="I48" s="18" t="s">
        <v>567</v>
      </c>
      <c r="J48" s="20" t="s">
        <v>567</v>
      </c>
      <c r="K48" s="18" t="n">
        <v>0.10661037</v>
      </c>
      <c r="L48" s="20" t="n">
        <v>0.07498389</v>
      </c>
      <c r="M48" s="18" t="n">
        <v>0</v>
      </c>
      <c r="N48" s="20" t="n">
        <v>0</v>
      </c>
      <c r="O48" s="18" t="n">
        <v>0</v>
      </c>
      <c r="P48" s="20" t="n">
        <v>0</v>
      </c>
      <c r="Q48" s="18" t="n">
        <v>0.24793891</v>
      </c>
      <c r="R48" s="20" t="n">
        <v>0.24677615</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(4976.0/B50*100)</f>
        <v/>
      </c>
      <c r="D50" s="19" t="n">
        <v>661</v>
      </c>
      <c r="E50" s="18" t="n">
        <v>73.47075390000001</v>
      </c>
      <c r="F50" s="20" t="n">
        <v>2.67656653</v>
      </c>
      <c r="G50" s="18" t="n">
        <v>23.21625079</v>
      </c>
      <c r="H50" s="20" t="n">
        <v>2.28950595</v>
      </c>
      <c r="I50" s="18" t="s">
        <v>567</v>
      </c>
      <c r="J50" s="20" t="s">
        <v>567</v>
      </c>
      <c r="K50" s="18" t="n">
        <v>2.52031201</v>
      </c>
      <c r="L50" s="20" t="n">
        <v>0.97397299</v>
      </c>
      <c r="M50" s="18" t="n">
        <v>0</v>
      </c>
      <c r="N50" s="20" t="n">
        <v>0</v>
      </c>
      <c r="O50" s="18" t="n">
        <v>0</v>
      </c>
      <c r="P50" s="20" t="n">
        <v>0</v>
      </c>
      <c r="Q50" s="18" t="n">
        <v>0.7926833</v>
      </c>
      <c r="R50" s="20" t="n">
        <v>0.4118033</v>
      </c>
    </row>
    <row r="51" spans="1:18">
      <c r="A51" s="15" t="s">
        <v>611</v>
      </c>
      <c r="B51" s="17" t="n">
        <v>3372</v>
      </c>
      <c r="C51" s="18">
        <f>(3061.0/B51*100)</f>
        <v/>
      </c>
      <c r="D51" s="19" t="n">
        <v>311</v>
      </c>
      <c r="E51" s="18" t="n">
        <v>75.36227936</v>
      </c>
      <c r="F51" s="20" t="n">
        <v>2.81614396</v>
      </c>
      <c r="G51" s="18" t="n">
        <v>24.30529374</v>
      </c>
      <c r="H51" s="20" t="n">
        <v>2.83353101</v>
      </c>
      <c r="I51" s="18" t="s">
        <v>567</v>
      </c>
      <c r="J51" s="20" t="s">
        <v>567</v>
      </c>
      <c r="K51" s="18" t="n">
        <v>0</v>
      </c>
      <c r="L51" s="20" t="n">
        <v>0</v>
      </c>
      <c r="M51" s="18" t="n">
        <v>0</v>
      </c>
      <c r="N51" s="20" t="n">
        <v>0</v>
      </c>
      <c r="O51" s="18" t="n">
        <v>0</v>
      </c>
      <c r="P51" s="20" t="n">
        <v>0</v>
      </c>
      <c r="Q51" s="18" t="n">
        <v>0.3324269</v>
      </c>
      <c r="R51" s="20" t="n">
        <v>0.35691997</v>
      </c>
    </row>
    <row r="52" spans="1:18">
      <c r="A52" s="15" t="s">
        <v>612</v>
      </c>
      <c r="B52" s="17" t="n">
        <v>2796</v>
      </c>
      <c r="C52" s="18">
        <f>(2478.0/B52*100)</f>
        <v/>
      </c>
      <c r="D52" s="19" t="n">
        <v>318</v>
      </c>
      <c r="E52" s="18" t="n">
        <v>63.39952136</v>
      </c>
      <c r="F52" s="20" t="n">
        <v>2.82970106</v>
      </c>
      <c r="G52" s="18" t="n">
        <v>35.49136064</v>
      </c>
      <c r="H52" s="20" t="n">
        <v>2.90054556</v>
      </c>
      <c r="I52" s="18" t="s">
        <v>567</v>
      </c>
      <c r="J52" s="20" t="s">
        <v>567</v>
      </c>
      <c r="K52" s="18" t="n">
        <v>0.23640031</v>
      </c>
      <c r="L52" s="20" t="n">
        <v>0.23795567</v>
      </c>
      <c r="M52" s="18" t="n">
        <v>0</v>
      </c>
      <c r="N52" s="20" t="n">
        <v>0</v>
      </c>
      <c r="O52" s="18" t="n">
        <v>0</v>
      </c>
      <c r="P52" s="20" t="n">
        <v>0</v>
      </c>
      <c r="Q52" s="18" t="n">
        <v>0.87271769</v>
      </c>
      <c r="R52" s="20" t="n">
        <v>0.49257138</v>
      </c>
    </row>
    <row r="53" spans="1:18">
      <c r="A53" s="15" t="s">
        <v>613</v>
      </c>
      <c r="B53" s="17" t="n">
        <v>2811</v>
      </c>
      <c r="C53" s="18">
        <f>(2501.0/B53*100)</f>
        <v/>
      </c>
      <c r="D53" s="19" t="n">
        <v>310</v>
      </c>
      <c r="E53" s="18" t="n">
        <v>77.0394245</v>
      </c>
      <c r="F53" s="20" t="n">
        <v>2.34858475</v>
      </c>
      <c r="G53" s="18" t="n">
        <v>20.25212441</v>
      </c>
      <c r="H53" s="20" t="n">
        <v>2.22451592</v>
      </c>
      <c r="I53" s="18" t="s">
        <v>567</v>
      </c>
      <c r="J53" s="20" t="s">
        <v>567</v>
      </c>
      <c r="K53" s="18" t="n">
        <v>0.60094176</v>
      </c>
      <c r="L53" s="20" t="n">
        <v>0.5941642</v>
      </c>
      <c r="M53" s="18" t="n">
        <v>0</v>
      </c>
      <c r="N53" s="20" t="n">
        <v>0</v>
      </c>
      <c r="O53" s="18" t="n">
        <v>0</v>
      </c>
      <c r="P53" s="20" t="n">
        <v>0</v>
      </c>
      <c r="Q53" s="18" t="n">
        <v>2.10750933</v>
      </c>
      <c r="R53" s="20" t="n">
        <v>0.86810771</v>
      </c>
    </row>
    <row r="54" spans="1:18">
      <c r="A54" s="15" t="s">
        <v>614</v>
      </c>
      <c r="B54" s="17" t="n">
        <v>2266</v>
      </c>
      <c r="C54" s="18">
        <f>(2013.0/B54*100)</f>
        <v/>
      </c>
      <c r="D54" s="19" t="n">
        <v>253</v>
      </c>
      <c r="E54" s="18" t="n">
        <v>62.41425048</v>
      </c>
      <c r="F54" s="20" t="n">
        <v>3.3714413</v>
      </c>
      <c r="G54" s="18" t="n">
        <v>21.05259294</v>
      </c>
      <c r="H54" s="20" t="n">
        <v>2.58765246</v>
      </c>
      <c r="I54" s="18" t="s">
        <v>567</v>
      </c>
      <c r="J54" s="20" t="s">
        <v>567</v>
      </c>
      <c r="K54" s="18" t="n">
        <v>13.19017578</v>
      </c>
      <c r="L54" s="20" t="n">
        <v>2.85147483</v>
      </c>
      <c r="M54" s="18" t="n">
        <v>0</v>
      </c>
      <c r="N54" s="20" t="n">
        <v>0</v>
      </c>
      <c r="O54" s="18" t="n">
        <v>0</v>
      </c>
      <c r="P54" s="20" t="n">
        <v>0</v>
      </c>
      <c r="Q54" s="18" t="n">
        <v>3.3429808</v>
      </c>
      <c r="R54" s="20" t="n">
        <v>1.11148339</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(2377.0/B56*100)</f>
        <v/>
      </c>
      <c r="D56" s="19" t="n">
        <v>307</v>
      </c>
      <c r="E56" s="18" t="n">
        <v>38.65996921</v>
      </c>
      <c r="F56" s="20" t="n">
        <v>2.61583255</v>
      </c>
      <c r="G56" s="18" t="n">
        <v>60.92604884</v>
      </c>
      <c r="H56" s="20" t="n">
        <v>2.63811215</v>
      </c>
      <c r="I56" s="18" t="s">
        <v>567</v>
      </c>
      <c r="J56" s="20" t="s">
        <v>567</v>
      </c>
      <c r="K56" s="18" t="n">
        <v>0.41398195</v>
      </c>
      <c r="L56" s="20" t="n">
        <v>0.35148343</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(2939.0/B61*100)</f>
        <v/>
      </c>
      <c r="D61" s="19" t="n">
        <v>385</v>
      </c>
      <c r="E61" s="18" t="n">
        <v>64.49950693</v>
      </c>
      <c r="F61" s="20" t="n">
        <v>2.6161265</v>
      </c>
      <c r="G61" s="18" t="n">
        <v>34.97681164</v>
      </c>
      <c r="H61" s="20" t="n">
        <v>2.61214344</v>
      </c>
      <c r="I61" s="18" t="s">
        <v>567</v>
      </c>
      <c r="J61" s="20" t="s">
        <v>567</v>
      </c>
      <c r="K61" s="18" t="n">
        <v>0</v>
      </c>
      <c r="L61" s="20" t="n">
        <v>0</v>
      </c>
      <c r="M61" s="18" t="n">
        <v>0</v>
      </c>
      <c r="N61" s="20" t="n">
        <v>0</v>
      </c>
      <c r="O61" s="18" t="n">
        <v>0</v>
      </c>
      <c r="P61" s="20" t="n">
        <v>0</v>
      </c>
      <c r="Q61" s="18" t="n">
        <v>0.52368143</v>
      </c>
      <c r="R61" s="20" t="n">
        <v>0.3656128</v>
      </c>
    </row>
    <row r="62" spans="1:18">
      <c r="A62" s="15" t="s">
        <v>622</v>
      </c>
      <c r="B62" s="17" t="n">
        <v>2246</v>
      </c>
      <c r="C62" s="18">
        <f>(1996.0/B62*100)</f>
        <v/>
      </c>
      <c r="D62" s="19" t="n">
        <v>250</v>
      </c>
      <c r="E62" s="18" t="n">
        <v>57.23453041</v>
      </c>
      <c r="F62" s="20" t="n">
        <v>3.2486427</v>
      </c>
      <c r="G62" s="18" t="n">
        <v>42.76546959</v>
      </c>
      <c r="H62" s="20" t="n">
        <v>3.2486427</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(2595.0/B66*100)</f>
        <v/>
      </c>
      <c r="D66" s="19" t="n">
        <v>299</v>
      </c>
      <c r="E66" s="18" t="n">
        <v>78.09861241</v>
      </c>
      <c r="F66" s="20" t="n">
        <v>2.56177826</v>
      </c>
      <c r="G66" s="18" t="n">
        <v>19.72427862</v>
      </c>
      <c r="H66" s="20" t="n">
        <v>2.47273782</v>
      </c>
      <c r="I66" s="18" t="s">
        <v>567</v>
      </c>
      <c r="J66" s="20" t="s">
        <v>567</v>
      </c>
      <c r="K66" s="18" t="n">
        <v>0.2983083</v>
      </c>
      <c r="L66" s="20" t="n">
        <v>0.29783569</v>
      </c>
      <c r="M66" s="18" t="n">
        <v>0</v>
      </c>
      <c r="N66" s="20" t="n">
        <v>0</v>
      </c>
      <c r="O66" s="18" t="n">
        <v>0</v>
      </c>
      <c r="P66" s="20" t="n">
        <v>0</v>
      </c>
      <c r="Q66" s="18" t="n">
        <v>1.87880067</v>
      </c>
      <c r="R66" s="20" t="n">
        <v>0.7497402</v>
      </c>
    </row>
    <row r="67" spans="1:18">
      <c r="A67" s="15" t="s">
        <v>627</v>
      </c>
      <c r="B67" s="17" t="n">
        <v>3511</v>
      </c>
      <c r="C67" s="18">
        <f>(3165.0/B67*100)</f>
        <v/>
      </c>
      <c r="D67" s="19" t="n">
        <v>346</v>
      </c>
      <c r="E67" s="18" t="n">
        <v>76.52577852</v>
      </c>
      <c r="F67" s="20" t="n">
        <v>2.32021935</v>
      </c>
      <c r="G67" s="18" t="n">
        <v>22.34898284</v>
      </c>
      <c r="H67" s="20" t="n">
        <v>2.30001504</v>
      </c>
      <c r="I67" s="18" t="s">
        <v>567</v>
      </c>
      <c r="J67" s="20" t="s">
        <v>567</v>
      </c>
      <c r="K67" s="18" t="n">
        <v>0.23353417</v>
      </c>
      <c r="L67" s="20" t="n">
        <v>0.23696084</v>
      </c>
      <c r="M67" s="18" t="n">
        <v>0</v>
      </c>
      <c r="N67" s="20" t="n">
        <v>0</v>
      </c>
      <c r="O67" s="18" t="n">
        <v>0</v>
      </c>
      <c r="P67" s="20" t="n">
        <v>0</v>
      </c>
      <c r="Q67" s="18" t="n">
        <v>0.89170447</v>
      </c>
      <c r="R67" s="20" t="n">
        <v>0.52971489</v>
      </c>
    </row>
    <row r="68" spans="1:18">
      <c r="A68" s="15" t="s">
        <v>628</v>
      </c>
      <c r="B68" s="17" t="n">
        <v>6049</v>
      </c>
      <c r="C68" s="18">
        <f>(5388.0/B68*100)</f>
        <v/>
      </c>
      <c r="D68" s="19" t="n">
        <v>661</v>
      </c>
      <c r="E68" s="18" t="n">
        <v>71.09965697</v>
      </c>
      <c r="F68" s="20" t="n">
        <v>1.8132432</v>
      </c>
      <c r="G68" s="18" t="n">
        <v>23.9058624</v>
      </c>
      <c r="H68" s="20" t="n">
        <v>1.58258978</v>
      </c>
      <c r="I68" s="18" t="s">
        <v>567</v>
      </c>
      <c r="J68" s="20" t="s">
        <v>567</v>
      </c>
      <c r="K68" s="18" t="n">
        <v>2.65623221</v>
      </c>
      <c r="L68" s="20" t="n">
        <v>0.65207388</v>
      </c>
      <c r="M68" s="18" t="n">
        <v>0</v>
      </c>
      <c r="N68" s="20" t="n">
        <v>0</v>
      </c>
      <c r="O68" s="18" t="n">
        <v>0</v>
      </c>
      <c r="P68" s="20" t="n">
        <v>0</v>
      </c>
      <c r="Q68" s="18" t="n">
        <v>2.33824842</v>
      </c>
      <c r="R68" s="20" t="n">
        <v>0.51913793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(2612.0/B70*100)</f>
        <v/>
      </c>
      <c r="D70" s="19" t="n">
        <v>317</v>
      </c>
      <c r="E70" s="18" t="n">
        <v>55.77438788</v>
      </c>
      <c r="F70" s="20" t="n">
        <v>3.28597334</v>
      </c>
      <c r="G70" s="18" t="n">
        <v>43.87170085</v>
      </c>
      <c r="H70" s="20" t="n">
        <v>3.37592621</v>
      </c>
      <c r="I70" s="18" t="s">
        <v>567</v>
      </c>
      <c r="J70" s="20" t="s">
        <v>567</v>
      </c>
      <c r="K70" s="18" t="n">
        <v>0</v>
      </c>
      <c r="L70" s="20" t="n">
        <v>0</v>
      </c>
      <c r="M70" s="18" t="n">
        <v>0</v>
      </c>
      <c r="N70" s="20" t="n">
        <v>0</v>
      </c>
      <c r="O70" s="18" t="n">
        <v>0</v>
      </c>
      <c r="P70" s="20" t="n">
        <v>0</v>
      </c>
      <c r="Q70" s="18" t="n">
        <v>0.35391127</v>
      </c>
      <c r="R70" s="20" t="n">
        <v>0.36468532</v>
      </c>
    </row>
    <row r="71" spans="1:18">
      <c r="A71" s="15" t="s">
        <v>631</v>
      </c>
      <c r="B71" s="17" t="n">
        <v>3142</v>
      </c>
      <c r="C71" s="18">
        <f>(2803.0/B71*100)</f>
        <v/>
      </c>
      <c r="D71" s="19" t="n">
        <v>339</v>
      </c>
      <c r="E71" s="18" t="n">
        <v>34.50678853</v>
      </c>
      <c r="F71" s="20" t="n">
        <v>2.37614089</v>
      </c>
      <c r="G71" s="18" t="n">
        <v>65.49321147000001</v>
      </c>
      <c r="H71" s="20" t="n">
        <v>2.37614089</v>
      </c>
      <c r="I71" s="18" t="s">
        <v>567</v>
      </c>
      <c r="J71" s="20" t="s">
        <v>567</v>
      </c>
      <c r="K71" s="18" t="n">
        <v>0</v>
      </c>
      <c r="L71" s="20" t="n">
        <v>0</v>
      </c>
      <c r="M71" s="18" t="n">
        <v>0</v>
      </c>
      <c r="N71" s="20" t="n">
        <v>0</v>
      </c>
      <c r="O71" s="18" t="n">
        <v>0</v>
      </c>
      <c r="P71" s="20" t="n">
        <v>0</v>
      </c>
      <c r="Q71" s="18" t="n">
        <v>0</v>
      </c>
      <c r="R71" s="20" t="n">
        <v>0</v>
      </c>
    </row>
    <row r="72" spans="1:18">
      <c r="A72" s="15" t="s">
        <v>632</v>
      </c>
      <c r="B72" s="17" t="n">
        <v>3889</v>
      </c>
      <c r="C72" s="18">
        <f>(3472.0/B72*100)</f>
        <v/>
      </c>
      <c r="D72" s="19" t="n">
        <v>417</v>
      </c>
      <c r="E72" s="18" t="n">
        <v>52.60528396</v>
      </c>
      <c r="F72" s="20" t="n">
        <v>2.45875869</v>
      </c>
      <c r="G72" s="18" t="n">
        <v>46.79599413</v>
      </c>
      <c r="H72" s="20" t="n">
        <v>2.44380274</v>
      </c>
      <c r="I72" s="18" t="s">
        <v>567</v>
      </c>
      <c r="J72" s="20" t="s">
        <v>567</v>
      </c>
      <c r="K72" s="18" t="n">
        <v>0</v>
      </c>
      <c r="L72" s="20" t="n">
        <v>0</v>
      </c>
      <c r="M72" s="18" t="n">
        <v>0</v>
      </c>
      <c r="N72" s="20" t="n">
        <v>0</v>
      </c>
      <c r="O72" s="18" t="n">
        <v>0</v>
      </c>
      <c r="P72" s="20" t="n">
        <v>0</v>
      </c>
      <c r="Q72" s="18" t="n">
        <v>0.5987219</v>
      </c>
      <c r="R72" s="20" t="n">
        <v>0.42538006</v>
      </c>
    </row>
    <row r="73" spans="1:18">
      <c r="A73" s="15" t="s">
        <v>633</v>
      </c>
      <c r="B73" s="17" t="n">
        <v>3597</v>
      </c>
      <c r="C73" s="18">
        <f>(3212.0/B73*100)</f>
        <v/>
      </c>
      <c r="D73" s="19" t="n">
        <v>385</v>
      </c>
      <c r="E73" s="18" t="n">
        <v>71.70161695</v>
      </c>
      <c r="F73" s="20" t="n">
        <v>2.70493112</v>
      </c>
      <c r="G73" s="18" t="n">
        <v>27.5084692</v>
      </c>
      <c r="H73" s="20" t="n">
        <v>2.58241009</v>
      </c>
      <c r="I73" s="18" t="s">
        <v>567</v>
      </c>
      <c r="J73" s="20" t="s">
        <v>567</v>
      </c>
      <c r="K73" s="18" t="n">
        <v>0</v>
      </c>
      <c r="L73" s="20" t="n">
        <v>0</v>
      </c>
      <c r="M73" s="18" t="n">
        <v>0</v>
      </c>
      <c r="N73" s="20" t="n">
        <v>0</v>
      </c>
      <c r="O73" s="18" t="n">
        <v>0</v>
      </c>
      <c r="P73" s="20" t="n">
        <v>0</v>
      </c>
      <c r="Q73" s="18" t="n">
        <v>0.78991386</v>
      </c>
      <c r="R73" s="20" t="n">
        <v>0.54864058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(2159.0/B75*100)</f>
        <v/>
      </c>
      <c r="D75" s="19" t="n">
        <v>247</v>
      </c>
      <c r="E75" s="18" t="n">
        <v>75.21232039</v>
      </c>
      <c r="F75" s="20" t="n">
        <v>2.35312914</v>
      </c>
      <c r="G75" s="18" t="n">
        <v>19.37125151</v>
      </c>
      <c r="H75" s="20" t="n">
        <v>2.24016366</v>
      </c>
      <c r="I75" s="18" t="s">
        <v>567</v>
      </c>
      <c r="J75" s="20" t="s">
        <v>567</v>
      </c>
      <c r="K75" s="18" t="n">
        <v>3.09025163</v>
      </c>
      <c r="L75" s="20" t="n">
        <v>1.04878303</v>
      </c>
      <c r="M75" s="18" t="n">
        <v>0</v>
      </c>
      <c r="N75" s="20" t="n">
        <v>0</v>
      </c>
      <c r="O75" s="18" t="n">
        <v>0</v>
      </c>
      <c r="P75" s="20" t="n">
        <v>0</v>
      </c>
      <c r="Q75" s="18" t="n">
        <v>2.32617647</v>
      </c>
      <c r="R75" s="20" t="n">
        <v>0.90141856</v>
      </c>
    </row>
    <row r="76" spans="1:18">
      <c r="A76" s="15" t="s">
        <v>636</v>
      </c>
      <c r="B76" s="17" t="n">
        <v>7052</v>
      </c>
      <c r="C76" s="18">
        <f>(6307.0/B76*100)</f>
        <v/>
      </c>
      <c r="D76" s="19" t="n">
        <v>745</v>
      </c>
      <c r="E76" s="18" t="n">
        <v>69.55878462</v>
      </c>
      <c r="F76" s="20" t="n">
        <v>2.16085661</v>
      </c>
      <c r="G76" s="18" t="n">
        <v>28.65230807</v>
      </c>
      <c r="H76" s="20" t="n">
        <v>2.1263582</v>
      </c>
      <c r="I76" s="18" t="s">
        <v>567</v>
      </c>
      <c r="J76" s="20" t="s">
        <v>567</v>
      </c>
      <c r="K76" s="18" t="n">
        <v>0.82751555</v>
      </c>
      <c r="L76" s="20" t="n">
        <v>0.3697767</v>
      </c>
      <c r="M76" s="18" t="n">
        <v>0</v>
      </c>
      <c r="N76" s="20" t="n">
        <v>0</v>
      </c>
      <c r="O76" s="18" t="n">
        <v>0</v>
      </c>
      <c r="P76" s="20" t="n">
        <v>0</v>
      </c>
      <c r="Q76" s="18" t="n">
        <v>0.96139176</v>
      </c>
      <c r="R76" s="20" t="n">
        <v>0.41245433</v>
      </c>
    </row>
    <row r="77" spans="1:18">
      <c r="A77" s="15" t="s">
        <v>637</v>
      </c>
      <c r="B77" s="17" t="n">
        <v>2908</v>
      </c>
      <c r="C77" s="18">
        <f>(2585.0/B77*100)</f>
        <v/>
      </c>
      <c r="D77" s="19" t="n">
        <v>323</v>
      </c>
      <c r="E77" s="18" t="n">
        <v>65.53474712000001</v>
      </c>
      <c r="F77" s="20" t="n">
        <v>2.39342109</v>
      </c>
      <c r="G77" s="18" t="n">
        <v>31.99179544</v>
      </c>
      <c r="H77" s="20" t="n">
        <v>2.41272069</v>
      </c>
      <c r="I77" s="18" t="s">
        <v>567</v>
      </c>
      <c r="J77" s="20" t="s">
        <v>567</v>
      </c>
      <c r="K77" s="18" t="n">
        <v>0.73938937</v>
      </c>
      <c r="L77" s="20" t="n">
        <v>0.42821798</v>
      </c>
      <c r="M77" s="18" t="n">
        <v>0</v>
      </c>
      <c r="N77" s="20" t="n">
        <v>0</v>
      </c>
      <c r="O77" s="18" t="n">
        <v>0</v>
      </c>
      <c r="P77" s="20" t="n">
        <v>0</v>
      </c>
      <c r="Q77" s="18" t="n">
        <v>1.73406808</v>
      </c>
      <c r="R77" s="20" t="n">
        <v>0.71772627</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(3689.0/B81*100)</f>
        <v/>
      </c>
      <c r="D81" s="19" t="n">
        <v>474</v>
      </c>
      <c r="E81" s="18" t="n">
        <v>75.58023865</v>
      </c>
      <c r="F81" s="20" t="n">
        <v>2.0314201</v>
      </c>
      <c r="G81" s="18" t="n">
        <v>24.04047138</v>
      </c>
      <c r="H81" s="20" t="n">
        <v>1.97204016</v>
      </c>
      <c r="I81" s="18" t="s">
        <v>567</v>
      </c>
      <c r="J81" s="20" t="s">
        <v>567</v>
      </c>
      <c r="K81" s="18" t="n">
        <v>0.37928997</v>
      </c>
      <c r="L81" s="20" t="n">
        <v>0.46420758</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(6592.0/B7*100)</f>
        <v/>
      </c>
      <c r="D7" s="19" t="n">
        <v>775</v>
      </c>
      <c r="E7" s="18" t="n">
        <v>28.87479825</v>
      </c>
      <c r="F7" s="20" t="n">
        <v>1.8260553</v>
      </c>
      <c r="G7" s="18" t="n">
        <v>69.35405014</v>
      </c>
      <c r="H7" s="20" t="n">
        <v>1.83398635</v>
      </c>
      <c r="I7" s="18" t="s">
        <v>567</v>
      </c>
      <c r="J7" s="20" t="s">
        <v>567</v>
      </c>
      <c r="K7" s="18" t="n">
        <v>0.30790906</v>
      </c>
      <c r="L7" s="20" t="n">
        <v>0.22263572</v>
      </c>
      <c r="M7" s="18" t="n">
        <v>0</v>
      </c>
      <c r="N7" s="20" t="n">
        <v>0</v>
      </c>
      <c r="O7" s="18" t="n">
        <v>0</v>
      </c>
      <c r="P7" s="20" t="n">
        <v>0</v>
      </c>
      <c r="Q7" s="18" t="n">
        <v>1.46324255</v>
      </c>
      <c r="R7" s="20" t="n">
        <v>0.56278884</v>
      </c>
    </row>
    <row r="8" spans="1:18">
      <c r="A8" s="15" t="s">
        <v>568</v>
      </c>
      <c r="B8" s="17" t="n">
        <v>3564</v>
      </c>
      <c r="C8" s="18">
        <f>(3176.0/B8*100)</f>
        <v/>
      </c>
      <c r="D8" s="19" t="n">
        <v>388</v>
      </c>
      <c r="E8" s="18" t="n">
        <v>26.00614655</v>
      </c>
      <c r="F8" s="20" t="n">
        <v>2.42105993</v>
      </c>
      <c r="G8" s="18" t="n">
        <v>73.39983110999999</v>
      </c>
      <c r="H8" s="20" t="n">
        <v>2.40834553</v>
      </c>
      <c r="I8" s="18" t="s">
        <v>567</v>
      </c>
      <c r="J8" s="20" t="s">
        <v>567</v>
      </c>
      <c r="K8" s="18" t="n">
        <v>0</v>
      </c>
      <c r="L8" s="20" t="n">
        <v>0</v>
      </c>
      <c r="M8" s="18" t="n">
        <v>0</v>
      </c>
      <c r="N8" s="20" t="n">
        <v>0</v>
      </c>
      <c r="O8" s="18" t="n">
        <v>0</v>
      </c>
      <c r="P8" s="20" t="n">
        <v>0</v>
      </c>
      <c r="Q8" s="18" t="n">
        <v>0.59402234</v>
      </c>
      <c r="R8" s="20" t="n">
        <v>0.52091518</v>
      </c>
    </row>
    <row r="9" spans="1:18">
      <c r="A9" s="15" t="s">
        <v>569</v>
      </c>
      <c r="B9" s="17" t="n">
        <v>4899</v>
      </c>
      <c r="C9" s="18">
        <f>(4376.0/B9*100)</f>
        <v/>
      </c>
      <c r="D9" s="19" t="n">
        <v>523</v>
      </c>
      <c r="E9" s="18" t="n">
        <v>32.0853233</v>
      </c>
      <c r="F9" s="20" t="n">
        <v>2.20985229</v>
      </c>
      <c r="G9" s="18" t="n">
        <v>65.85157999</v>
      </c>
      <c r="H9" s="20" t="n">
        <v>2.33499524</v>
      </c>
      <c r="I9" s="18" t="s">
        <v>567</v>
      </c>
      <c r="J9" s="20" t="s">
        <v>567</v>
      </c>
      <c r="K9" s="18" t="n">
        <v>0.158765</v>
      </c>
      <c r="L9" s="20" t="n">
        <v>0.15293208</v>
      </c>
      <c r="M9" s="18" t="n">
        <v>0</v>
      </c>
      <c r="N9" s="20" t="n">
        <v>0</v>
      </c>
      <c r="O9" s="18" t="n">
        <v>0</v>
      </c>
      <c r="P9" s="20" t="n">
        <v>0</v>
      </c>
      <c r="Q9" s="18" t="n">
        <v>1.90433172</v>
      </c>
      <c r="R9" s="20" t="n">
        <v>0.63510279</v>
      </c>
    </row>
    <row r="10" spans="1:18">
      <c r="A10" s="15" t="s">
        <v>570</v>
      </c>
      <c r="B10" s="17" t="n">
        <v>10036</v>
      </c>
      <c r="C10" s="18">
        <f>(8878.0/B10*100)</f>
        <v/>
      </c>
      <c r="D10" s="19" t="n">
        <v>1158</v>
      </c>
      <c r="E10" s="18" t="n">
        <v>31.09337269</v>
      </c>
      <c r="F10" s="20" t="n">
        <v>1.95838258</v>
      </c>
      <c r="G10" s="18" t="n">
        <v>67.35462515</v>
      </c>
      <c r="H10" s="20" t="n">
        <v>2.04262813</v>
      </c>
      <c r="I10" s="18" t="s">
        <v>567</v>
      </c>
      <c r="J10" s="20" t="s">
        <v>567</v>
      </c>
      <c r="K10" s="18" t="n">
        <v>0.6630852</v>
      </c>
      <c r="L10" s="20" t="n">
        <v>0.34183402</v>
      </c>
      <c r="M10" s="18" t="n">
        <v>0</v>
      </c>
      <c r="N10" s="20" t="n">
        <v>0</v>
      </c>
      <c r="O10" s="18" t="n">
        <v>0</v>
      </c>
      <c r="P10" s="20" t="n">
        <v>0</v>
      </c>
      <c r="Q10" s="18" t="n">
        <v>0.88891697</v>
      </c>
      <c r="R10" s="20" t="n">
        <v>0.36071243</v>
      </c>
    </row>
    <row r="11" spans="1:18">
      <c r="A11" s="15" t="s">
        <v>571</v>
      </c>
      <c r="B11" s="17" t="n">
        <v>3553</v>
      </c>
      <c r="C11" s="18">
        <f>(3175.0/B11*100)</f>
        <v/>
      </c>
      <c r="D11" s="19" t="n">
        <v>378</v>
      </c>
      <c r="E11" s="18" t="n">
        <v>43.78302021</v>
      </c>
      <c r="F11" s="20" t="n">
        <v>3.29607074</v>
      </c>
      <c r="G11" s="18" t="n">
        <v>53.29135116</v>
      </c>
      <c r="H11" s="20" t="n">
        <v>3.36268221</v>
      </c>
      <c r="I11" s="18" t="s">
        <v>567</v>
      </c>
      <c r="J11" s="20" t="s">
        <v>567</v>
      </c>
      <c r="K11" s="18" t="n">
        <v>1.29540503</v>
      </c>
      <c r="L11" s="20" t="n">
        <v>0.63055772</v>
      </c>
      <c r="M11" s="18" t="n">
        <v>0</v>
      </c>
      <c r="N11" s="20" t="n">
        <v>0</v>
      </c>
      <c r="O11" s="18" t="n">
        <v>0</v>
      </c>
      <c r="P11" s="20" t="n">
        <v>0</v>
      </c>
      <c r="Q11" s="18" t="n">
        <v>1.6302236</v>
      </c>
      <c r="R11" s="20" t="n">
        <v>0.71553341</v>
      </c>
    </row>
    <row r="12" spans="1:18">
      <c r="A12" s="15" t="s">
        <v>572</v>
      </c>
      <c r="B12" s="17" t="n">
        <v>3472</v>
      </c>
      <c r="C12" s="18">
        <f>(3071.0/B12*100)</f>
        <v/>
      </c>
      <c r="D12" s="19" t="n">
        <v>401</v>
      </c>
      <c r="E12" s="18" t="n">
        <v>19.41955457</v>
      </c>
      <c r="F12" s="20" t="n">
        <v>2.12251305</v>
      </c>
      <c r="G12" s="18" t="n">
        <v>78.80815466</v>
      </c>
      <c r="H12" s="20" t="n">
        <v>1.98610728</v>
      </c>
      <c r="I12" s="18" t="s">
        <v>567</v>
      </c>
      <c r="J12" s="20" t="s">
        <v>567</v>
      </c>
      <c r="K12" s="18" t="n">
        <v>0.22909867</v>
      </c>
      <c r="L12" s="20" t="n">
        <v>0.22516262</v>
      </c>
      <c r="M12" s="18" t="n">
        <v>0</v>
      </c>
      <c r="N12" s="20" t="n">
        <v>0</v>
      </c>
      <c r="O12" s="18" t="n">
        <v>0</v>
      </c>
      <c r="P12" s="20" t="n">
        <v>0</v>
      </c>
      <c r="Q12" s="18" t="n">
        <v>1.5431921</v>
      </c>
      <c r="R12" s="20" t="n">
        <v>0.83730312</v>
      </c>
    </row>
    <row r="13" spans="1:18">
      <c r="A13" s="15" t="s">
        <v>573</v>
      </c>
      <c r="B13" s="17" t="n">
        <v>3559</v>
      </c>
      <c r="C13" s="18">
        <f>(3181.0/B13*100)</f>
        <v/>
      </c>
      <c r="D13" s="19" t="n">
        <v>378</v>
      </c>
      <c r="E13" s="18" t="n">
        <v>32.73934464</v>
      </c>
      <c r="F13" s="20" t="n">
        <v>3.19308314</v>
      </c>
      <c r="G13" s="18" t="n">
        <v>64.94546475</v>
      </c>
      <c r="H13" s="20" t="n">
        <v>3.22714191</v>
      </c>
      <c r="I13" s="18" t="s">
        <v>567</v>
      </c>
      <c r="J13" s="20" t="s">
        <v>567</v>
      </c>
      <c r="K13" s="18" t="n">
        <v>0.58596304</v>
      </c>
      <c r="L13" s="20" t="n">
        <v>0.50954132</v>
      </c>
      <c r="M13" s="18" t="n">
        <v>0</v>
      </c>
      <c r="N13" s="20" t="n">
        <v>0</v>
      </c>
      <c r="O13" s="18" t="n">
        <v>0</v>
      </c>
      <c r="P13" s="20" t="n">
        <v>0</v>
      </c>
      <c r="Q13" s="18" t="n">
        <v>1.72922757</v>
      </c>
      <c r="R13" s="20" t="n">
        <v>0.85979551</v>
      </c>
    </row>
    <row r="14" spans="1:18">
      <c r="A14" s="15" t="s">
        <v>574</v>
      </c>
      <c r="B14" s="17" t="n">
        <v>2799</v>
      </c>
      <c r="C14" s="18">
        <f>(2487.0/B14*100)</f>
        <v/>
      </c>
      <c r="D14" s="19" t="n">
        <v>312</v>
      </c>
      <c r="E14" s="18" t="n">
        <v>25.36549245</v>
      </c>
      <c r="F14" s="20" t="n">
        <v>2.73231192</v>
      </c>
      <c r="G14" s="18" t="n">
        <v>74.63450755</v>
      </c>
      <c r="H14" s="20" t="n">
        <v>2.73231192</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(2720.0/B15*100)</f>
        <v/>
      </c>
      <c r="D15" s="19" t="n">
        <v>299</v>
      </c>
      <c r="E15" s="18" t="n">
        <v>14.96524597</v>
      </c>
      <c r="F15" s="20" t="n">
        <v>2.19993754</v>
      </c>
      <c r="G15" s="18" t="n">
        <v>85.03475403</v>
      </c>
      <c r="H15" s="20" t="n">
        <v>2.19993754</v>
      </c>
      <c r="I15" s="18" t="s">
        <v>567</v>
      </c>
      <c r="J15" s="20" t="s">
        <v>567</v>
      </c>
      <c r="K15" s="18" t="n">
        <v>0</v>
      </c>
      <c r="L15" s="20" t="n">
        <v>0</v>
      </c>
      <c r="M15" s="18" t="n">
        <v>0</v>
      </c>
      <c r="N15" s="20" t="n">
        <v>0</v>
      </c>
      <c r="O15" s="18" t="n">
        <v>0</v>
      </c>
      <c r="P15" s="20" t="n">
        <v>0</v>
      </c>
      <c r="Q15" s="18" t="n">
        <v>0</v>
      </c>
      <c r="R15" s="20" t="n">
        <v>0</v>
      </c>
    </row>
    <row r="16" spans="1:18">
      <c r="A16" s="15" t="s">
        <v>576</v>
      </c>
      <c r="B16" s="17" t="n">
        <v>2997</v>
      </c>
      <c r="C16" s="18">
        <f>(2672.0/B16*100)</f>
        <v/>
      </c>
      <c r="D16" s="19" t="n">
        <v>325</v>
      </c>
      <c r="E16" s="18" t="n">
        <v>28.898789</v>
      </c>
      <c r="F16" s="20" t="n">
        <v>2.75843724</v>
      </c>
      <c r="G16" s="18" t="n">
        <v>68.1630808</v>
      </c>
      <c r="H16" s="20" t="n">
        <v>2.86674267</v>
      </c>
      <c r="I16" s="18" t="s">
        <v>567</v>
      </c>
      <c r="J16" s="20" t="s">
        <v>567</v>
      </c>
      <c r="K16" s="18" t="n">
        <v>1.18803725</v>
      </c>
      <c r="L16" s="20" t="n">
        <v>0.93916838</v>
      </c>
      <c r="M16" s="18" t="n">
        <v>0</v>
      </c>
      <c r="N16" s="20" t="n">
        <v>0</v>
      </c>
      <c r="O16" s="18" t="n">
        <v>0</v>
      </c>
      <c r="P16" s="20" t="n">
        <v>0</v>
      </c>
      <c r="Q16" s="18" t="n">
        <v>1.75009295</v>
      </c>
      <c r="R16" s="20" t="n">
        <v>0.48244937</v>
      </c>
    </row>
    <row r="17" spans="1:18">
      <c r="A17" s="15" t="s">
        <v>577</v>
      </c>
      <c r="B17" s="17" t="n">
        <v>3307</v>
      </c>
      <c r="C17" s="18">
        <f>(2971.0/B17*100)</f>
        <v/>
      </c>
      <c r="D17" s="19" t="n">
        <v>336</v>
      </c>
      <c r="E17" s="18" t="n">
        <v>24.75254229</v>
      </c>
      <c r="F17" s="20" t="n">
        <v>2.13859575</v>
      </c>
      <c r="G17" s="18" t="n">
        <v>74.12969769</v>
      </c>
      <c r="H17" s="20" t="n">
        <v>2.02287403</v>
      </c>
      <c r="I17" s="18" t="s">
        <v>567</v>
      </c>
      <c r="J17" s="20" t="s">
        <v>567</v>
      </c>
      <c r="K17" s="18" t="n">
        <v>0.37484992</v>
      </c>
      <c r="L17" s="20" t="n">
        <v>0.18578785</v>
      </c>
      <c r="M17" s="18" t="n">
        <v>0</v>
      </c>
      <c r="N17" s="20" t="n">
        <v>0</v>
      </c>
      <c r="O17" s="18" t="n">
        <v>0</v>
      </c>
      <c r="P17" s="20" t="n">
        <v>0</v>
      </c>
      <c r="Q17" s="18" t="n">
        <v>0.74291009</v>
      </c>
      <c r="R17" s="20" t="n">
        <v>0.44439312</v>
      </c>
    </row>
    <row r="18" spans="1:18">
      <c r="A18" s="15" t="s">
        <v>578</v>
      </c>
      <c r="B18" s="17" t="n">
        <v>2826</v>
      </c>
      <c r="C18" s="18">
        <f>(2495.0/B18*100)</f>
        <v/>
      </c>
      <c r="D18" s="19" t="n">
        <v>331</v>
      </c>
      <c r="E18" s="18" t="n">
        <v>33.60266738</v>
      </c>
      <c r="F18" s="20" t="n">
        <v>3.66138533</v>
      </c>
      <c r="G18" s="18" t="n">
        <v>64.50280727000001</v>
      </c>
      <c r="H18" s="20" t="n">
        <v>3.66940298</v>
      </c>
      <c r="I18" s="18" t="s">
        <v>567</v>
      </c>
      <c r="J18" s="20" t="s">
        <v>567</v>
      </c>
      <c r="K18" s="18" t="n">
        <v>0.31449286</v>
      </c>
      <c r="L18" s="20" t="n">
        <v>0.29331343</v>
      </c>
      <c r="M18" s="18" t="n">
        <v>0</v>
      </c>
      <c r="N18" s="20" t="n">
        <v>0</v>
      </c>
      <c r="O18" s="18" t="n">
        <v>0</v>
      </c>
      <c r="P18" s="20" t="n">
        <v>0</v>
      </c>
      <c r="Q18" s="18" t="n">
        <v>1.58003249</v>
      </c>
      <c r="R18" s="20" t="n">
        <v>0.64525991</v>
      </c>
    </row>
    <row r="19" spans="1:18">
      <c r="A19" s="15" t="s">
        <v>579</v>
      </c>
      <c r="B19" s="17" t="n">
        <v>2808</v>
      </c>
      <c r="C19" s="18">
        <f>(2509.0/B19*100)</f>
        <v/>
      </c>
      <c r="D19" s="19" t="n">
        <v>299</v>
      </c>
      <c r="E19" s="18" t="n">
        <v>26.20247174</v>
      </c>
      <c r="F19" s="20" t="n">
        <v>2.65065586</v>
      </c>
      <c r="G19" s="18" t="n">
        <v>73.40264062999999</v>
      </c>
      <c r="H19" s="20" t="n">
        <v>2.63965608</v>
      </c>
      <c r="I19" s="18" t="s">
        <v>567</v>
      </c>
      <c r="J19" s="20" t="s">
        <v>567</v>
      </c>
      <c r="K19" s="18" t="n">
        <v>0</v>
      </c>
      <c r="L19" s="20" t="n">
        <v>0</v>
      </c>
      <c r="M19" s="18" t="n">
        <v>0</v>
      </c>
      <c r="N19" s="20" t="n">
        <v>0</v>
      </c>
      <c r="O19" s="18" t="n">
        <v>0</v>
      </c>
      <c r="P19" s="20" t="n">
        <v>0</v>
      </c>
      <c r="Q19" s="18" t="n">
        <v>0.39488763</v>
      </c>
      <c r="R19" s="20" t="n">
        <v>0.4203121</v>
      </c>
    </row>
    <row r="20" spans="1:18">
      <c r="A20" s="15" t="s">
        <v>580</v>
      </c>
      <c r="B20" s="17" t="n">
        <v>1630</v>
      </c>
      <c r="C20" s="18">
        <f>(1455.0/B20*100)</f>
        <v/>
      </c>
      <c r="D20" s="19" t="n">
        <v>175</v>
      </c>
      <c r="E20" s="18" t="n">
        <v>28.01595158</v>
      </c>
      <c r="F20" s="20" t="n">
        <v>3.59698045</v>
      </c>
      <c r="G20" s="18" t="n">
        <v>68.70838035</v>
      </c>
      <c r="H20" s="20" t="n">
        <v>3.87797133</v>
      </c>
      <c r="I20" s="18" t="s">
        <v>567</v>
      </c>
      <c r="J20" s="20" t="s">
        <v>567</v>
      </c>
      <c r="K20" s="18" t="n">
        <v>0.56411155</v>
      </c>
      <c r="L20" s="20" t="n">
        <v>0.57287294</v>
      </c>
      <c r="M20" s="18" t="n">
        <v>0</v>
      </c>
      <c r="N20" s="20" t="n">
        <v>0</v>
      </c>
      <c r="O20" s="18" t="n">
        <v>0</v>
      </c>
      <c r="P20" s="20" t="n">
        <v>0</v>
      </c>
      <c r="Q20" s="18" t="n">
        <v>2.71155652</v>
      </c>
      <c r="R20" s="20" t="n">
        <v>1.14804089</v>
      </c>
    </row>
    <row r="21" spans="1:18">
      <c r="A21" s="15" t="s">
        <v>581</v>
      </c>
      <c r="B21" s="17" t="n">
        <v>2908</v>
      </c>
      <c r="C21" s="18">
        <f>(2589.0/B21*100)</f>
        <v/>
      </c>
      <c r="D21" s="19" t="n">
        <v>319</v>
      </c>
      <c r="E21" s="18" t="n">
        <v>32.40451618</v>
      </c>
      <c r="F21" s="20" t="n">
        <v>2.70719693</v>
      </c>
      <c r="G21" s="18" t="n">
        <v>66.14140814</v>
      </c>
      <c r="H21" s="20" t="n">
        <v>2.79567972</v>
      </c>
      <c r="I21" s="18" t="s">
        <v>567</v>
      </c>
      <c r="J21" s="20" t="s">
        <v>567</v>
      </c>
      <c r="K21" s="18" t="n">
        <v>0.25899989</v>
      </c>
      <c r="L21" s="20" t="n">
        <v>0.25759498</v>
      </c>
      <c r="M21" s="18" t="n">
        <v>0</v>
      </c>
      <c r="N21" s="20" t="n">
        <v>0</v>
      </c>
      <c r="O21" s="18" t="n">
        <v>0</v>
      </c>
      <c r="P21" s="20" t="n">
        <v>0</v>
      </c>
      <c r="Q21" s="18" t="n">
        <v>1.19507579</v>
      </c>
      <c r="R21" s="20" t="n">
        <v>0.68302082</v>
      </c>
    </row>
    <row r="22" spans="1:18">
      <c r="A22" s="15" t="s">
        <v>582</v>
      </c>
      <c r="B22" s="17" t="n">
        <v>2931</v>
      </c>
      <c r="C22" s="18">
        <f>(2612.0/B22*100)</f>
        <v/>
      </c>
      <c r="D22" s="19" t="n">
        <v>319</v>
      </c>
      <c r="E22" s="18" t="n">
        <v>39.73631089</v>
      </c>
      <c r="F22" s="20" t="n">
        <v>2.75193649</v>
      </c>
      <c r="G22" s="18" t="n">
        <v>56.10442751</v>
      </c>
      <c r="H22" s="20" t="n">
        <v>2.87324025</v>
      </c>
      <c r="I22" s="18" t="s">
        <v>567</v>
      </c>
      <c r="J22" s="20" t="s">
        <v>567</v>
      </c>
      <c r="K22" s="18" t="n">
        <v>1.51452373</v>
      </c>
      <c r="L22" s="20" t="n">
        <v>0.6646190199999999</v>
      </c>
      <c r="M22" s="18" t="n">
        <v>0</v>
      </c>
      <c r="N22" s="20" t="n">
        <v>0</v>
      </c>
      <c r="O22" s="18" t="n">
        <v>0</v>
      </c>
      <c r="P22" s="20" t="n">
        <v>0</v>
      </c>
      <c r="Q22" s="18" t="n">
        <v>2.64473787</v>
      </c>
      <c r="R22" s="20" t="n">
        <v>0.94116746</v>
      </c>
    </row>
    <row r="23" spans="1:18">
      <c r="A23" s="15" t="s">
        <v>583</v>
      </c>
      <c r="B23" s="17" t="n">
        <v>5791</v>
      </c>
      <c r="C23" s="18">
        <f>(5185.0/B23*100)</f>
        <v/>
      </c>
      <c r="D23" s="19" t="n">
        <v>606</v>
      </c>
      <c r="E23" s="18" t="n">
        <v>29.43562229</v>
      </c>
      <c r="F23" s="20" t="n">
        <v>2.22663469</v>
      </c>
      <c r="G23" s="18" t="n">
        <v>69.38806615999999</v>
      </c>
      <c r="H23" s="20" t="n">
        <v>2.23472591</v>
      </c>
      <c r="I23" s="18" t="s">
        <v>567</v>
      </c>
      <c r="J23" s="20" t="s">
        <v>567</v>
      </c>
      <c r="K23" s="18" t="n">
        <v>0.14785836</v>
      </c>
      <c r="L23" s="20" t="n">
        <v>0.13463048</v>
      </c>
      <c r="M23" s="18" t="n">
        <v>0</v>
      </c>
      <c r="N23" s="20" t="n">
        <v>0</v>
      </c>
      <c r="O23" s="18" t="n">
        <v>0</v>
      </c>
      <c r="P23" s="20" t="n">
        <v>0</v>
      </c>
      <c r="Q23" s="18" t="n">
        <v>1.02845318</v>
      </c>
      <c r="R23" s="20" t="n">
        <v>0.5343987100000001</v>
      </c>
    </row>
    <row r="24" spans="1:18">
      <c r="A24" s="15" t="s">
        <v>584</v>
      </c>
      <c r="B24" s="17" t="n">
        <v>3338</v>
      </c>
      <c r="C24" s="18">
        <f>(2971.0/B24*100)</f>
        <v/>
      </c>
      <c r="D24" s="19" t="n">
        <v>367</v>
      </c>
      <c r="E24" s="18" t="n">
        <v>22.28577813</v>
      </c>
      <c r="F24" s="20" t="n">
        <v>1.96984618</v>
      </c>
      <c r="G24" s="18" t="n">
        <v>76.30813274</v>
      </c>
      <c r="H24" s="20" t="n">
        <v>2.09152233</v>
      </c>
      <c r="I24" s="18" t="s">
        <v>567</v>
      </c>
      <c r="J24" s="20" t="s">
        <v>567</v>
      </c>
      <c r="K24" s="18" t="n">
        <v>0</v>
      </c>
      <c r="L24" s="20" t="n">
        <v>0</v>
      </c>
      <c r="M24" s="18" t="n">
        <v>0</v>
      </c>
      <c r="N24" s="20" t="n">
        <v>0</v>
      </c>
      <c r="O24" s="18" t="n">
        <v>0</v>
      </c>
      <c r="P24" s="20" t="n">
        <v>0</v>
      </c>
      <c r="Q24" s="18" t="n">
        <v>1.40608912</v>
      </c>
      <c r="R24" s="20" t="n">
        <v>0.61185766</v>
      </c>
    </row>
    <row r="25" spans="1:18">
      <c r="A25" s="15" t="s">
        <v>585</v>
      </c>
      <c r="B25" s="17" t="n">
        <v>2912</v>
      </c>
      <c r="C25" s="18">
        <f>(2601.0/B25*100)</f>
        <v/>
      </c>
      <c r="D25" s="19" t="n">
        <v>311</v>
      </c>
      <c r="E25" s="18" t="n">
        <v>25.58872117</v>
      </c>
      <c r="F25" s="20" t="n">
        <v>2.63291286</v>
      </c>
      <c r="G25" s="18" t="n">
        <v>73.44695331</v>
      </c>
      <c r="H25" s="20" t="n">
        <v>2.74234759</v>
      </c>
      <c r="I25" s="18" t="s">
        <v>567</v>
      </c>
      <c r="J25" s="20" t="s">
        <v>567</v>
      </c>
      <c r="K25" s="18" t="n">
        <v>0.62230212</v>
      </c>
      <c r="L25" s="20" t="n">
        <v>0.45412028</v>
      </c>
      <c r="M25" s="18" t="n">
        <v>0</v>
      </c>
      <c r="N25" s="20" t="n">
        <v>0</v>
      </c>
      <c r="O25" s="18" t="n">
        <v>0</v>
      </c>
      <c r="P25" s="20" t="n">
        <v>0</v>
      </c>
      <c r="Q25" s="18" t="n">
        <v>0.3420234</v>
      </c>
      <c r="R25" s="20" t="n">
        <v>0.34470479</v>
      </c>
    </row>
    <row r="26" spans="1:18">
      <c r="A26" s="15" t="s">
        <v>586</v>
      </c>
      <c r="B26" s="17" t="n">
        <v>2450</v>
      </c>
      <c r="C26" s="18">
        <f>(2171.0/B26*100)</f>
        <v/>
      </c>
      <c r="D26" s="19" t="n">
        <v>279</v>
      </c>
      <c r="E26" s="18" t="n">
        <v>27.14318084</v>
      </c>
      <c r="F26" s="20" t="n">
        <v>2.82878799</v>
      </c>
      <c r="G26" s="18" t="n">
        <v>72.46448705</v>
      </c>
      <c r="H26" s="20" t="n">
        <v>2.81086117</v>
      </c>
      <c r="I26" s="18" t="s">
        <v>567</v>
      </c>
      <c r="J26" s="20" t="s">
        <v>567</v>
      </c>
      <c r="K26" s="18" t="n">
        <v>0</v>
      </c>
      <c r="L26" s="20" t="n">
        <v>0</v>
      </c>
      <c r="M26" s="18" t="n">
        <v>0</v>
      </c>
      <c r="N26" s="20" t="n">
        <v>0</v>
      </c>
      <c r="O26" s="18" t="n">
        <v>0</v>
      </c>
      <c r="P26" s="20" t="n">
        <v>0</v>
      </c>
      <c r="Q26" s="18" t="n">
        <v>0.39233211</v>
      </c>
      <c r="R26" s="20" t="n">
        <v>0.26858268</v>
      </c>
    </row>
    <row r="27" spans="1:18">
      <c r="A27" s="15" t="s">
        <v>587</v>
      </c>
      <c r="B27" s="17" t="n">
        <v>2616</v>
      </c>
      <c r="C27" s="18">
        <f>(2343.0/B27*100)</f>
        <v/>
      </c>
      <c r="D27" s="19" t="n">
        <v>273</v>
      </c>
      <c r="E27" s="18" t="n">
        <v>40.19082695</v>
      </c>
      <c r="F27" s="20" t="n">
        <v>3.1356343</v>
      </c>
      <c r="G27" s="18" t="n">
        <v>57.97102446</v>
      </c>
      <c r="H27" s="20" t="n">
        <v>3.24624269</v>
      </c>
      <c r="I27" s="18" t="s">
        <v>567</v>
      </c>
      <c r="J27" s="20" t="s">
        <v>567</v>
      </c>
      <c r="K27" s="18" t="n">
        <v>1.09965673</v>
      </c>
      <c r="L27" s="20" t="n">
        <v>0.62921317</v>
      </c>
      <c r="M27" s="18" t="n">
        <v>0</v>
      </c>
      <c r="N27" s="20" t="n">
        <v>0</v>
      </c>
      <c r="O27" s="18" t="n">
        <v>0</v>
      </c>
      <c r="P27" s="20" t="n">
        <v>0</v>
      </c>
      <c r="Q27" s="18" t="n">
        <v>0.73849186</v>
      </c>
      <c r="R27" s="20" t="n">
        <v>0.52064386</v>
      </c>
    </row>
    <row r="28" spans="1:18">
      <c r="A28" s="15" t="s">
        <v>588</v>
      </c>
      <c r="B28" s="17" t="n">
        <v>3765</v>
      </c>
      <c r="C28" s="18">
        <f>(3385.0/B28*100)</f>
        <v/>
      </c>
      <c r="D28" s="19" t="n">
        <v>380</v>
      </c>
      <c r="E28" s="18" t="n">
        <v>37.61589892</v>
      </c>
      <c r="F28" s="20" t="n">
        <v>2.58947554</v>
      </c>
      <c r="G28" s="18" t="n">
        <v>60.6675982</v>
      </c>
      <c r="H28" s="20" t="n">
        <v>2.58324035</v>
      </c>
      <c r="I28" s="18" t="s">
        <v>567</v>
      </c>
      <c r="J28" s="20" t="s">
        <v>567</v>
      </c>
      <c r="K28" s="18" t="n">
        <v>0.59575936</v>
      </c>
      <c r="L28" s="20" t="n">
        <v>0.45879052</v>
      </c>
      <c r="M28" s="18" t="n">
        <v>0</v>
      </c>
      <c r="N28" s="20" t="n">
        <v>0</v>
      </c>
      <c r="O28" s="18" t="n">
        <v>0</v>
      </c>
      <c r="P28" s="20" t="n">
        <v>0</v>
      </c>
      <c r="Q28" s="18" t="n">
        <v>1.12074352</v>
      </c>
      <c r="R28" s="20" t="n">
        <v>1.11548688</v>
      </c>
    </row>
    <row r="29" spans="1:18">
      <c r="A29" s="15" t="s">
        <v>589</v>
      </c>
      <c r="B29" s="17" t="n">
        <v>2685</v>
      </c>
      <c r="C29" s="18">
        <f>(2394.0/B29*100)</f>
        <v/>
      </c>
      <c r="D29" s="19" t="n">
        <v>291</v>
      </c>
      <c r="E29" s="18" t="n">
        <v>33.29961402</v>
      </c>
      <c r="F29" s="20" t="n">
        <v>2.79417635</v>
      </c>
      <c r="G29" s="18" t="n">
        <v>65.70253714</v>
      </c>
      <c r="H29" s="20" t="n">
        <v>2.84297477</v>
      </c>
      <c r="I29" s="18" t="s">
        <v>567</v>
      </c>
      <c r="J29" s="20" t="s">
        <v>567</v>
      </c>
      <c r="K29" s="18" t="n">
        <v>0</v>
      </c>
      <c r="L29" s="20" t="n">
        <v>0</v>
      </c>
      <c r="M29" s="18" t="n">
        <v>0</v>
      </c>
      <c r="N29" s="20" t="n">
        <v>0</v>
      </c>
      <c r="O29" s="18" t="n">
        <v>0</v>
      </c>
      <c r="P29" s="20" t="n">
        <v>0</v>
      </c>
      <c r="Q29" s="18" t="n">
        <v>0.99784884</v>
      </c>
      <c r="R29" s="20" t="n">
        <v>0.55091489</v>
      </c>
    </row>
    <row r="30" spans="1:18">
      <c r="A30" s="15" t="s">
        <v>590</v>
      </c>
      <c r="B30" s="17" t="n">
        <v>2263</v>
      </c>
      <c r="C30" s="18">
        <f>(2037.0/B30*100)</f>
        <v/>
      </c>
      <c r="D30" s="19" t="n">
        <v>226</v>
      </c>
      <c r="E30" s="18" t="n">
        <v>37.08016842</v>
      </c>
      <c r="F30" s="20" t="n">
        <v>3.2719007</v>
      </c>
      <c r="G30" s="18" t="n">
        <v>60.14405139</v>
      </c>
      <c r="H30" s="20" t="n">
        <v>3.29014953</v>
      </c>
      <c r="I30" s="18" t="s">
        <v>567</v>
      </c>
      <c r="J30" s="20" t="s">
        <v>567</v>
      </c>
      <c r="K30" s="18" t="n">
        <v>0.5257123299999999</v>
      </c>
      <c r="L30" s="20" t="n">
        <v>0.4913263</v>
      </c>
      <c r="M30" s="18" t="n">
        <v>0</v>
      </c>
      <c r="N30" s="20" t="n">
        <v>0</v>
      </c>
      <c r="O30" s="18" t="n">
        <v>0</v>
      </c>
      <c r="P30" s="20" t="n">
        <v>0</v>
      </c>
      <c r="Q30" s="18" t="n">
        <v>2.25006786</v>
      </c>
      <c r="R30" s="20" t="n">
        <v>1.11122575</v>
      </c>
    </row>
    <row r="31" spans="1:18">
      <c r="A31" s="15" t="s">
        <v>591</v>
      </c>
      <c r="B31" s="17" t="n">
        <v>2750</v>
      </c>
      <c r="C31" s="18">
        <f>(2438.0/B31*100)</f>
        <v/>
      </c>
      <c r="D31" s="19" t="n">
        <v>312</v>
      </c>
      <c r="E31" s="18" t="n">
        <v>33.92792741</v>
      </c>
      <c r="F31" s="20" t="n">
        <v>2.62777546</v>
      </c>
      <c r="G31" s="18" t="n">
        <v>64.20343095</v>
      </c>
      <c r="H31" s="20" t="n">
        <v>2.61076929</v>
      </c>
      <c r="I31" s="18" t="s">
        <v>567</v>
      </c>
      <c r="J31" s="20" t="s">
        <v>567</v>
      </c>
      <c r="K31" s="18" t="n">
        <v>0.32377209</v>
      </c>
      <c r="L31" s="20" t="n">
        <v>0.30794514</v>
      </c>
      <c r="M31" s="18" t="n">
        <v>0</v>
      </c>
      <c r="N31" s="20" t="n">
        <v>0</v>
      </c>
      <c r="O31" s="18" t="n">
        <v>0</v>
      </c>
      <c r="P31" s="20" t="n">
        <v>0</v>
      </c>
      <c r="Q31" s="18" t="n">
        <v>1.54486955</v>
      </c>
      <c r="R31" s="20" t="n">
        <v>0.69442972</v>
      </c>
    </row>
    <row r="32" spans="1:18">
      <c r="A32" s="15" t="s">
        <v>592</v>
      </c>
      <c r="B32" s="17" t="n">
        <v>2269</v>
      </c>
      <c r="C32" s="18">
        <f>(2004.0/B32*100)</f>
        <v/>
      </c>
      <c r="D32" s="19" t="n">
        <v>265</v>
      </c>
      <c r="E32" s="18" t="n">
        <v>15.32119833</v>
      </c>
      <c r="F32" s="20" t="n">
        <v>2.48857287</v>
      </c>
      <c r="G32" s="18" t="n">
        <v>84.67880167</v>
      </c>
      <c r="H32" s="20" t="n">
        <v>2.48857287</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(3254.0/B33*100)</f>
        <v/>
      </c>
      <c r="D33" s="19" t="n">
        <v>420</v>
      </c>
      <c r="E33" s="18" t="n">
        <v>22.83749726</v>
      </c>
      <c r="F33" s="20" t="n">
        <v>2.03171522</v>
      </c>
      <c r="G33" s="18" t="n">
        <v>76.06205839</v>
      </c>
      <c r="H33" s="20" t="n">
        <v>2.00403366</v>
      </c>
      <c r="I33" s="18" t="s">
        <v>567</v>
      </c>
      <c r="J33" s="20" t="s">
        <v>567</v>
      </c>
      <c r="K33" s="18" t="n">
        <v>0.37777775</v>
      </c>
      <c r="L33" s="20" t="n">
        <v>0.32373353</v>
      </c>
      <c r="M33" s="18" t="n">
        <v>0</v>
      </c>
      <c r="N33" s="20" t="n">
        <v>0</v>
      </c>
      <c r="O33" s="18" t="n">
        <v>0</v>
      </c>
      <c r="P33" s="20" t="n">
        <v>0</v>
      </c>
      <c r="Q33" s="18" t="n">
        <v>0.7226666</v>
      </c>
      <c r="R33" s="20" t="n">
        <v>0.51306228</v>
      </c>
    </row>
    <row r="34" spans="1:18">
      <c r="A34" s="15" t="s">
        <v>594</v>
      </c>
      <c r="B34" s="17" t="n">
        <v>3315</v>
      </c>
      <c r="C34" s="18">
        <f>(2953.0/B34*100)</f>
        <v/>
      </c>
      <c r="D34" s="19" t="n">
        <v>362</v>
      </c>
      <c r="E34" s="18" t="n">
        <v>27.05024414</v>
      </c>
      <c r="F34" s="20" t="n">
        <v>2.3792022</v>
      </c>
      <c r="G34" s="18" t="n">
        <v>71.93275404000001</v>
      </c>
      <c r="H34" s="20" t="n">
        <v>2.44141532</v>
      </c>
      <c r="I34" s="18" t="s">
        <v>567</v>
      </c>
      <c r="J34" s="20" t="s">
        <v>567</v>
      </c>
      <c r="K34" s="18" t="n">
        <v>0.25266978</v>
      </c>
      <c r="L34" s="20" t="n">
        <v>0.25163433</v>
      </c>
      <c r="M34" s="18" t="n">
        <v>0</v>
      </c>
      <c r="N34" s="20" t="n">
        <v>0</v>
      </c>
      <c r="O34" s="18" t="n">
        <v>0</v>
      </c>
      <c r="P34" s="20" t="n">
        <v>0</v>
      </c>
      <c r="Q34" s="18" t="n">
        <v>0.76433204</v>
      </c>
      <c r="R34" s="20" t="n">
        <v>0.44869464</v>
      </c>
    </row>
    <row r="35" spans="1:18">
      <c r="A35" s="15" t="s">
        <v>595</v>
      </c>
      <c r="B35" s="17" t="n">
        <v>3505</v>
      </c>
      <c r="C35" s="18">
        <f>(3142.0/B35*100)</f>
        <v/>
      </c>
      <c r="D35" s="19" t="n">
        <v>363</v>
      </c>
      <c r="E35" s="18" t="n">
        <v>24.05767524</v>
      </c>
      <c r="F35" s="20" t="n">
        <v>3.07233366</v>
      </c>
      <c r="G35" s="18" t="n">
        <v>75.00022118</v>
      </c>
      <c r="H35" s="20" t="n">
        <v>3.11492153</v>
      </c>
      <c r="I35" s="18" t="s">
        <v>567</v>
      </c>
      <c r="J35" s="20" t="s">
        <v>567</v>
      </c>
      <c r="K35" s="18" t="n">
        <v>0</v>
      </c>
      <c r="L35" s="20" t="n">
        <v>0</v>
      </c>
      <c r="M35" s="18" t="n">
        <v>0</v>
      </c>
      <c r="N35" s="20" t="n">
        <v>0</v>
      </c>
      <c r="O35" s="18" t="n">
        <v>0</v>
      </c>
      <c r="P35" s="20" t="n">
        <v>0</v>
      </c>
      <c r="Q35" s="18" t="n">
        <v>0.9421035800000001</v>
      </c>
      <c r="R35" s="20" t="n">
        <v>0.521191</v>
      </c>
    </row>
    <row r="36" spans="1:18">
      <c r="A36" s="15" t="s">
        <v>596</v>
      </c>
      <c r="B36" s="17" t="n">
        <v>3332</v>
      </c>
      <c r="C36" s="18">
        <f>(2982.0/B36*100)</f>
        <v/>
      </c>
      <c r="D36" s="19" t="n">
        <v>350</v>
      </c>
      <c r="E36" s="18" t="n">
        <v>29.54325981</v>
      </c>
      <c r="F36" s="20" t="n">
        <v>2.59949842</v>
      </c>
      <c r="G36" s="18" t="n">
        <v>69.25950364000001</v>
      </c>
      <c r="H36" s="20" t="n">
        <v>2.54382146</v>
      </c>
      <c r="I36" s="18" t="s">
        <v>567</v>
      </c>
      <c r="J36" s="20" t="s">
        <v>567</v>
      </c>
      <c r="K36" s="18" t="n">
        <v>0.33532914</v>
      </c>
      <c r="L36" s="20" t="n">
        <v>0.24833296</v>
      </c>
      <c r="M36" s="18" t="n">
        <v>0</v>
      </c>
      <c r="N36" s="20" t="n">
        <v>0</v>
      </c>
      <c r="O36" s="18" t="n">
        <v>0</v>
      </c>
      <c r="P36" s="20" t="n">
        <v>0</v>
      </c>
      <c r="Q36" s="18" t="n">
        <v>0.86190741</v>
      </c>
      <c r="R36" s="20" t="n">
        <v>0.52647082</v>
      </c>
    </row>
    <row r="37" spans="1:18">
      <c r="A37" s="15" t="s">
        <v>597</v>
      </c>
      <c r="B37" s="17" t="n">
        <v>2727</v>
      </c>
      <c r="C37" s="18">
        <f>(2431.0/B37*100)</f>
        <v/>
      </c>
      <c r="D37" s="19" t="n">
        <v>296</v>
      </c>
      <c r="E37" s="18" t="n">
        <v>38.83517871</v>
      </c>
      <c r="F37" s="20" t="n">
        <v>2.91893041</v>
      </c>
      <c r="G37" s="18" t="n">
        <v>58.91732774</v>
      </c>
      <c r="H37" s="20" t="n">
        <v>3.05384998</v>
      </c>
      <c r="I37" s="18" t="s">
        <v>567</v>
      </c>
      <c r="J37" s="20" t="s">
        <v>567</v>
      </c>
      <c r="K37" s="18" t="n">
        <v>0.91614617</v>
      </c>
      <c r="L37" s="20" t="n">
        <v>0.52487556</v>
      </c>
      <c r="M37" s="18" t="n">
        <v>0</v>
      </c>
      <c r="N37" s="20" t="n">
        <v>0</v>
      </c>
      <c r="O37" s="18" t="n">
        <v>0</v>
      </c>
      <c r="P37" s="20" t="n">
        <v>0</v>
      </c>
      <c r="Q37" s="18" t="n">
        <v>1.33134738</v>
      </c>
      <c r="R37" s="20" t="n">
        <v>0.67070942</v>
      </c>
    </row>
    <row r="38" spans="1:18">
      <c r="A38" s="15" t="s">
        <v>598</v>
      </c>
      <c r="B38" s="17" t="n">
        <v>3053</v>
      </c>
      <c r="C38" s="18">
        <f>(2713.0/B38*100)</f>
        <v/>
      </c>
      <c r="D38" s="19" t="n">
        <v>340</v>
      </c>
      <c r="E38" s="18" t="n">
        <v>34.07725292</v>
      </c>
      <c r="F38" s="20" t="n">
        <v>2.71054487</v>
      </c>
      <c r="G38" s="18" t="n">
        <v>64.13028197</v>
      </c>
      <c r="H38" s="20" t="n">
        <v>2.72783992</v>
      </c>
      <c r="I38" s="18" t="s">
        <v>567</v>
      </c>
      <c r="J38" s="20" t="s">
        <v>567</v>
      </c>
      <c r="K38" s="18" t="n">
        <v>0.39811676</v>
      </c>
      <c r="L38" s="20" t="n">
        <v>0.32905015</v>
      </c>
      <c r="M38" s="18" t="n">
        <v>0</v>
      </c>
      <c r="N38" s="20" t="n">
        <v>0</v>
      </c>
      <c r="O38" s="18" t="n">
        <v>0</v>
      </c>
      <c r="P38" s="20" t="n">
        <v>0</v>
      </c>
      <c r="Q38" s="18" t="n">
        <v>1.39434835</v>
      </c>
      <c r="R38" s="20" t="n">
        <v>0.66773433</v>
      </c>
    </row>
    <row r="39" spans="1:18">
      <c r="A39" s="15" t="s">
        <v>599</v>
      </c>
      <c r="B39" s="17" t="n">
        <v>2957</v>
      </c>
      <c r="C39" s="18">
        <f>(2613.0/B39*100)</f>
        <v/>
      </c>
      <c r="D39" s="19" t="n">
        <v>344</v>
      </c>
      <c r="E39" s="18" t="n">
        <v>36.17020456</v>
      </c>
      <c r="F39" s="20" t="n">
        <v>3.25342767</v>
      </c>
      <c r="G39" s="18" t="n">
        <v>62.18278462</v>
      </c>
      <c r="H39" s="20" t="n">
        <v>3.32835898</v>
      </c>
      <c r="I39" s="18" t="s">
        <v>567</v>
      </c>
      <c r="J39" s="20" t="s">
        <v>567</v>
      </c>
      <c r="K39" s="18" t="n">
        <v>0</v>
      </c>
      <c r="L39" s="20" t="n">
        <v>0</v>
      </c>
      <c r="M39" s="18" t="n">
        <v>0</v>
      </c>
      <c r="N39" s="20" t="n">
        <v>0</v>
      </c>
      <c r="O39" s="18" t="n">
        <v>0</v>
      </c>
      <c r="P39" s="20" t="n">
        <v>0</v>
      </c>
      <c r="Q39" s="18" t="n">
        <v>1.64701083</v>
      </c>
      <c r="R39" s="20" t="n">
        <v>0.71619926</v>
      </c>
    </row>
    <row r="40" spans="1:18">
      <c r="A40" s="15" t="s">
        <v>600</v>
      </c>
      <c r="B40" s="17" t="n">
        <v>7235</v>
      </c>
      <c r="C40" s="18">
        <f>(6457.0/B40*100)</f>
        <v/>
      </c>
      <c r="D40" s="19" t="n">
        <v>778</v>
      </c>
      <c r="E40" s="18" t="n">
        <v>38.68668771</v>
      </c>
      <c r="F40" s="20" t="n">
        <v>2.77597645</v>
      </c>
      <c r="G40" s="18" t="n">
        <v>60.90811055</v>
      </c>
      <c r="H40" s="20" t="n">
        <v>2.76923297</v>
      </c>
      <c r="I40" s="18" t="s">
        <v>567</v>
      </c>
      <c r="J40" s="20" t="s">
        <v>567</v>
      </c>
      <c r="K40" s="18" t="n">
        <v>0.20194654</v>
      </c>
      <c r="L40" s="20" t="n">
        <v>0.16018481</v>
      </c>
      <c r="M40" s="18" t="n">
        <v>0</v>
      </c>
      <c r="N40" s="20" t="n">
        <v>0</v>
      </c>
      <c r="O40" s="18" t="n">
        <v>0</v>
      </c>
      <c r="P40" s="20" t="n">
        <v>0</v>
      </c>
      <c r="Q40" s="18" t="n">
        <v>0.2032552</v>
      </c>
      <c r="R40" s="20" t="n">
        <v>0.07781299</v>
      </c>
    </row>
    <row r="41" spans="1:18">
      <c r="A41" s="15" t="s">
        <v>601</v>
      </c>
      <c r="B41" s="17" t="n">
        <v>2858</v>
      </c>
      <c r="C41" s="18">
        <f>(2540.0/B41*100)</f>
        <v/>
      </c>
      <c r="D41" s="19" t="n">
        <v>318</v>
      </c>
      <c r="E41" s="18" t="n">
        <v>40.01433262</v>
      </c>
      <c r="F41" s="20" t="n">
        <v>3.49119442</v>
      </c>
      <c r="G41" s="18" t="n">
        <v>59.4642816</v>
      </c>
      <c r="H41" s="20" t="n">
        <v>3.49349922</v>
      </c>
      <c r="I41" s="18" t="s">
        <v>567</v>
      </c>
      <c r="J41" s="20" t="s">
        <v>567</v>
      </c>
      <c r="K41" s="18" t="n">
        <v>0</v>
      </c>
      <c r="L41" s="20" t="n">
        <v>0</v>
      </c>
      <c r="M41" s="18" t="n">
        <v>0</v>
      </c>
      <c r="N41" s="20" t="n">
        <v>0</v>
      </c>
      <c r="O41" s="18" t="n">
        <v>0</v>
      </c>
      <c r="P41" s="20" t="n">
        <v>0</v>
      </c>
      <c r="Q41" s="18" t="n">
        <v>0.52138578</v>
      </c>
      <c r="R41" s="20" t="n">
        <v>0.41421111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(10103.0/B46*100)</f>
        <v/>
      </c>
      <c r="D46" s="19" t="n">
        <v>965</v>
      </c>
      <c r="E46" s="18" t="n">
        <v>45.38674797</v>
      </c>
      <c r="F46" s="20" t="n">
        <v>1.97046414</v>
      </c>
      <c r="G46" s="18" t="n">
        <v>50.51739837</v>
      </c>
      <c r="H46" s="20" t="n">
        <v>2.17896809</v>
      </c>
      <c r="I46" s="18" t="s">
        <v>567</v>
      </c>
      <c r="J46" s="20" t="s">
        <v>567</v>
      </c>
      <c r="K46" s="18" t="n">
        <v>1.17281766</v>
      </c>
      <c r="L46" s="20" t="n">
        <v>0.42002225</v>
      </c>
      <c r="M46" s="18" t="n">
        <v>0</v>
      </c>
      <c r="N46" s="20" t="n">
        <v>0</v>
      </c>
      <c r="O46" s="18" t="n">
        <v>0</v>
      </c>
      <c r="P46" s="20" t="n">
        <v>0</v>
      </c>
      <c r="Q46" s="18" t="n">
        <v>2.923036</v>
      </c>
      <c r="R46" s="20" t="n">
        <v>0.72907003</v>
      </c>
    </row>
    <row r="47" spans="1:18">
      <c r="A47" s="15" t="s">
        <v>607</v>
      </c>
      <c r="B47" s="17" t="n">
        <v>3105</v>
      </c>
      <c r="C47" s="18">
        <f>(2759.0/B47*100)</f>
        <v/>
      </c>
      <c r="D47" s="19" t="n">
        <v>346</v>
      </c>
      <c r="E47" s="18" t="n">
        <v>41.52270007</v>
      </c>
      <c r="F47" s="20" t="n">
        <v>2.99649629</v>
      </c>
      <c r="G47" s="18" t="n">
        <v>55.16293495</v>
      </c>
      <c r="H47" s="20" t="n">
        <v>2.99850141</v>
      </c>
      <c r="I47" s="18" t="s">
        <v>567</v>
      </c>
      <c r="J47" s="20" t="s">
        <v>567</v>
      </c>
      <c r="K47" s="18" t="n">
        <v>0.5475683</v>
      </c>
      <c r="L47" s="20" t="n">
        <v>0.48468272</v>
      </c>
      <c r="M47" s="18" t="n">
        <v>0</v>
      </c>
      <c r="N47" s="20" t="n">
        <v>0</v>
      </c>
      <c r="O47" s="18" t="n">
        <v>0</v>
      </c>
      <c r="P47" s="20" t="n">
        <v>0</v>
      </c>
      <c r="Q47" s="18" t="n">
        <v>2.76679668</v>
      </c>
      <c r="R47" s="20" t="n">
        <v>0.97933975</v>
      </c>
    </row>
    <row r="48" spans="1:18">
      <c r="A48" s="15" t="s">
        <v>608</v>
      </c>
      <c r="B48" s="17" t="n">
        <v>5159</v>
      </c>
      <c r="C48" s="18">
        <f>(4559.0/B48*100)</f>
        <v/>
      </c>
      <c r="D48" s="19" t="n">
        <v>600</v>
      </c>
      <c r="E48" s="18" t="n">
        <v>22.89750689</v>
      </c>
      <c r="F48" s="20" t="n">
        <v>2.30169552</v>
      </c>
      <c r="G48" s="18" t="n">
        <v>75.92177780999999</v>
      </c>
      <c r="H48" s="20" t="n">
        <v>2.35495626</v>
      </c>
      <c r="I48" s="18" t="s">
        <v>567</v>
      </c>
      <c r="J48" s="20" t="s">
        <v>567</v>
      </c>
      <c r="K48" s="18" t="n">
        <v>0.10661037</v>
      </c>
      <c r="L48" s="20" t="n">
        <v>0.07498389</v>
      </c>
      <c r="M48" s="18" t="n">
        <v>0</v>
      </c>
      <c r="N48" s="20" t="n">
        <v>0</v>
      </c>
      <c r="O48" s="18" t="n">
        <v>0</v>
      </c>
      <c r="P48" s="20" t="n">
        <v>0</v>
      </c>
      <c r="Q48" s="18" t="n">
        <v>1.07410494</v>
      </c>
      <c r="R48" s="20" t="n">
        <v>0.37061592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(4978.0/B50*100)</f>
        <v/>
      </c>
      <c r="D50" s="19" t="n">
        <v>659</v>
      </c>
      <c r="E50" s="18" t="n">
        <v>39.85420368</v>
      </c>
      <c r="F50" s="20" t="n">
        <v>2.504421</v>
      </c>
      <c r="G50" s="18" t="n">
        <v>55.78080359</v>
      </c>
      <c r="H50" s="20" t="n">
        <v>2.71895017</v>
      </c>
      <c r="I50" s="18" t="s">
        <v>567</v>
      </c>
      <c r="J50" s="20" t="s">
        <v>567</v>
      </c>
      <c r="K50" s="18" t="n">
        <v>2.88229289</v>
      </c>
      <c r="L50" s="20" t="n">
        <v>1.03092732</v>
      </c>
      <c r="M50" s="18" t="n">
        <v>0</v>
      </c>
      <c r="N50" s="20" t="n">
        <v>0</v>
      </c>
      <c r="O50" s="18" t="n">
        <v>0</v>
      </c>
      <c r="P50" s="20" t="n">
        <v>0</v>
      </c>
      <c r="Q50" s="18" t="n">
        <v>1.48269984</v>
      </c>
      <c r="R50" s="20" t="n">
        <v>0.55038836</v>
      </c>
    </row>
    <row r="51" spans="1:18">
      <c r="A51" s="15" t="s">
        <v>611</v>
      </c>
      <c r="B51" s="17" t="n">
        <v>3372</v>
      </c>
      <c r="C51" s="18">
        <f>(3063.0/B51*100)</f>
        <v/>
      </c>
      <c r="D51" s="19" t="n">
        <v>309</v>
      </c>
      <c r="E51" s="18" t="n">
        <v>38.73552636</v>
      </c>
      <c r="F51" s="20" t="n">
        <v>2.89852591</v>
      </c>
      <c r="G51" s="18" t="n">
        <v>60.48121578</v>
      </c>
      <c r="H51" s="20" t="n">
        <v>2.81272907</v>
      </c>
      <c r="I51" s="18" t="s">
        <v>567</v>
      </c>
      <c r="J51" s="20" t="s">
        <v>567</v>
      </c>
      <c r="K51" s="18" t="n">
        <v>0</v>
      </c>
      <c r="L51" s="20" t="n">
        <v>0</v>
      </c>
      <c r="M51" s="18" t="n">
        <v>0</v>
      </c>
      <c r="N51" s="20" t="n">
        <v>0</v>
      </c>
      <c r="O51" s="18" t="n">
        <v>0</v>
      </c>
      <c r="P51" s="20" t="n">
        <v>0</v>
      </c>
      <c r="Q51" s="18" t="n">
        <v>0.78325786</v>
      </c>
      <c r="R51" s="20" t="n">
        <v>0.89264442</v>
      </c>
    </row>
    <row r="52" spans="1:18">
      <c r="A52" s="15" t="s">
        <v>612</v>
      </c>
      <c r="B52" s="17" t="n">
        <v>2796</v>
      </c>
      <c r="C52" s="18">
        <f>(2478.0/B52*100)</f>
        <v/>
      </c>
      <c r="D52" s="19" t="n">
        <v>318</v>
      </c>
      <c r="E52" s="18" t="n">
        <v>29.51319748</v>
      </c>
      <c r="F52" s="20" t="n">
        <v>2.45811362</v>
      </c>
      <c r="G52" s="18" t="n">
        <v>68.79255750999999</v>
      </c>
      <c r="H52" s="20" t="n">
        <v>2.60061417</v>
      </c>
      <c r="I52" s="18" t="s">
        <v>567</v>
      </c>
      <c r="J52" s="20" t="s">
        <v>567</v>
      </c>
      <c r="K52" s="18" t="n">
        <v>0.23640031</v>
      </c>
      <c r="L52" s="20" t="n">
        <v>0.23795567</v>
      </c>
      <c r="M52" s="18" t="n">
        <v>0</v>
      </c>
      <c r="N52" s="20" t="n">
        <v>0</v>
      </c>
      <c r="O52" s="18" t="n">
        <v>0</v>
      </c>
      <c r="P52" s="20" t="n">
        <v>0</v>
      </c>
      <c r="Q52" s="18" t="n">
        <v>1.4578447</v>
      </c>
      <c r="R52" s="20" t="n">
        <v>0.76691477</v>
      </c>
    </row>
    <row r="53" spans="1:18">
      <c r="A53" s="15" t="s">
        <v>613</v>
      </c>
      <c r="B53" s="17" t="n">
        <v>2811</v>
      </c>
      <c r="C53" s="18">
        <f>(2501.0/B53*100)</f>
        <v/>
      </c>
      <c r="D53" s="19" t="n">
        <v>310</v>
      </c>
      <c r="E53" s="18" t="n">
        <v>41.5246242</v>
      </c>
      <c r="F53" s="20" t="n">
        <v>3.08469434</v>
      </c>
      <c r="G53" s="18" t="n">
        <v>56.04777996</v>
      </c>
      <c r="H53" s="20" t="n">
        <v>2.99708476</v>
      </c>
      <c r="I53" s="18" t="s">
        <v>567</v>
      </c>
      <c r="J53" s="20" t="s">
        <v>567</v>
      </c>
      <c r="K53" s="18" t="n">
        <v>1.03466516</v>
      </c>
      <c r="L53" s="20" t="n">
        <v>0.73032339</v>
      </c>
      <c r="M53" s="18" t="n">
        <v>0</v>
      </c>
      <c r="N53" s="20" t="n">
        <v>0</v>
      </c>
      <c r="O53" s="18" t="n">
        <v>0</v>
      </c>
      <c r="P53" s="20" t="n">
        <v>0</v>
      </c>
      <c r="Q53" s="18" t="n">
        <v>1.39293068</v>
      </c>
      <c r="R53" s="20" t="n">
        <v>0.69026738</v>
      </c>
    </row>
    <row r="54" spans="1:18">
      <c r="A54" s="15" t="s">
        <v>614</v>
      </c>
      <c r="B54" s="17" t="n">
        <v>2266</v>
      </c>
      <c r="C54" s="18">
        <f>(2013.0/B54*100)</f>
        <v/>
      </c>
      <c r="D54" s="19" t="n">
        <v>253</v>
      </c>
      <c r="E54" s="18" t="n">
        <v>40.59192785</v>
      </c>
      <c r="F54" s="20" t="n">
        <v>3.75129762</v>
      </c>
      <c r="G54" s="18" t="n">
        <v>38.57601129</v>
      </c>
      <c r="H54" s="20" t="n">
        <v>3.47040046</v>
      </c>
      <c r="I54" s="18" t="s">
        <v>567</v>
      </c>
      <c r="J54" s="20" t="s">
        <v>567</v>
      </c>
      <c r="K54" s="18" t="n">
        <v>13.4910499</v>
      </c>
      <c r="L54" s="20" t="n">
        <v>2.90277597</v>
      </c>
      <c r="M54" s="18" t="n">
        <v>0</v>
      </c>
      <c r="N54" s="20" t="n">
        <v>0</v>
      </c>
      <c r="O54" s="18" t="n">
        <v>0</v>
      </c>
      <c r="P54" s="20" t="n">
        <v>0</v>
      </c>
      <c r="Q54" s="18" t="n">
        <v>7.34101096</v>
      </c>
      <c r="R54" s="20" t="n">
        <v>1.95361579</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(2377.0/B56*100)</f>
        <v/>
      </c>
      <c r="D56" s="19" t="n">
        <v>307</v>
      </c>
      <c r="E56" s="18" t="n">
        <v>29.6050249</v>
      </c>
      <c r="F56" s="20" t="n">
        <v>2.94788274</v>
      </c>
      <c r="G56" s="18" t="n">
        <v>69.39849271</v>
      </c>
      <c r="H56" s="20" t="n">
        <v>3.00537762</v>
      </c>
      <c r="I56" s="18" t="s">
        <v>567</v>
      </c>
      <c r="J56" s="20" t="s">
        <v>567</v>
      </c>
      <c r="K56" s="18" t="n">
        <v>0.41398195</v>
      </c>
      <c r="L56" s="20" t="n">
        <v>0.35148343</v>
      </c>
      <c r="M56" s="18" t="n">
        <v>0</v>
      </c>
      <c r="N56" s="20" t="n">
        <v>0</v>
      </c>
      <c r="O56" s="18" t="n">
        <v>0</v>
      </c>
      <c r="P56" s="20" t="n">
        <v>0</v>
      </c>
      <c r="Q56" s="18" t="n">
        <v>0.58250044</v>
      </c>
      <c r="R56" s="20" t="n">
        <v>0.42815325</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(2939.0/B61*100)</f>
        <v/>
      </c>
      <c r="D61" s="19" t="n">
        <v>385</v>
      </c>
      <c r="E61" s="18" t="n">
        <v>40.97148272</v>
      </c>
      <c r="F61" s="20" t="n">
        <v>2.5433984</v>
      </c>
      <c r="G61" s="18" t="n">
        <v>58.47626524</v>
      </c>
      <c r="H61" s="20" t="n">
        <v>2.60192802</v>
      </c>
      <c r="I61" s="18" t="s">
        <v>567</v>
      </c>
      <c r="J61" s="20" t="s">
        <v>567</v>
      </c>
      <c r="K61" s="18" t="n">
        <v>0</v>
      </c>
      <c r="L61" s="20" t="n">
        <v>0</v>
      </c>
      <c r="M61" s="18" t="n">
        <v>0</v>
      </c>
      <c r="N61" s="20" t="n">
        <v>0</v>
      </c>
      <c r="O61" s="18" t="n">
        <v>0</v>
      </c>
      <c r="P61" s="20" t="n">
        <v>0</v>
      </c>
      <c r="Q61" s="18" t="n">
        <v>0.55225205</v>
      </c>
      <c r="R61" s="20" t="n">
        <v>0.3908269</v>
      </c>
    </row>
    <row r="62" spans="1:18">
      <c r="A62" s="15" t="s">
        <v>622</v>
      </c>
      <c r="B62" s="17" t="n">
        <v>2246</v>
      </c>
      <c r="C62" s="18">
        <f>(1996.0/B62*100)</f>
        <v/>
      </c>
      <c r="D62" s="19" t="n">
        <v>250</v>
      </c>
      <c r="E62" s="18" t="n">
        <v>27.28786205</v>
      </c>
      <c r="F62" s="20" t="n">
        <v>2.72428555</v>
      </c>
      <c r="G62" s="18" t="n">
        <v>72.30534431</v>
      </c>
      <c r="H62" s="20" t="n">
        <v>2.73793151</v>
      </c>
      <c r="I62" s="18" t="s">
        <v>567</v>
      </c>
      <c r="J62" s="20" t="s">
        <v>567</v>
      </c>
      <c r="K62" s="18" t="n">
        <v>0</v>
      </c>
      <c r="L62" s="20" t="n">
        <v>0</v>
      </c>
      <c r="M62" s="18" t="n">
        <v>0</v>
      </c>
      <c r="N62" s="20" t="n">
        <v>0</v>
      </c>
      <c r="O62" s="18" t="n">
        <v>0</v>
      </c>
      <c r="P62" s="20" t="n">
        <v>0</v>
      </c>
      <c r="Q62" s="18" t="n">
        <v>0.40679363</v>
      </c>
      <c r="R62" s="20" t="n">
        <v>0.40742051</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(2596.0/B66*100)</f>
        <v/>
      </c>
      <c r="D66" s="19" t="n">
        <v>298</v>
      </c>
      <c r="E66" s="18" t="n">
        <v>45.97415202</v>
      </c>
      <c r="F66" s="20" t="n">
        <v>3.35343665</v>
      </c>
      <c r="G66" s="18" t="n">
        <v>50.91386613</v>
      </c>
      <c r="H66" s="20" t="n">
        <v>3.33144986</v>
      </c>
      <c r="I66" s="18" t="s">
        <v>567</v>
      </c>
      <c r="J66" s="20" t="s">
        <v>567</v>
      </c>
      <c r="K66" s="18" t="n">
        <v>0.59123437</v>
      </c>
      <c r="L66" s="20" t="n">
        <v>0.59044829</v>
      </c>
      <c r="M66" s="18" t="n">
        <v>0</v>
      </c>
      <c r="N66" s="20" t="n">
        <v>0</v>
      </c>
      <c r="O66" s="18" t="n">
        <v>0</v>
      </c>
      <c r="P66" s="20" t="n">
        <v>0</v>
      </c>
      <c r="Q66" s="18" t="n">
        <v>2.52074748</v>
      </c>
      <c r="R66" s="20" t="n">
        <v>0.88716887</v>
      </c>
    </row>
    <row r="67" spans="1:18">
      <c r="A67" s="15" t="s">
        <v>627</v>
      </c>
      <c r="B67" s="17" t="n">
        <v>3511</v>
      </c>
      <c r="C67" s="18">
        <f>(3172.0/B67*100)</f>
        <v/>
      </c>
      <c r="D67" s="19" t="n">
        <v>339</v>
      </c>
      <c r="E67" s="18" t="n">
        <v>44.03651642</v>
      </c>
      <c r="F67" s="20" t="n">
        <v>2.78032181</v>
      </c>
      <c r="G67" s="18" t="n">
        <v>53.3162177</v>
      </c>
      <c r="H67" s="20" t="n">
        <v>2.79549213</v>
      </c>
      <c r="I67" s="18" t="s">
        <v>567</v>
      </c>
      <c r="J67" s="20" t="s">
        <v>567</v>
      </c>
      <c r="K67" s="18" t="n">
        <v>0.2376755</v>
      </c>
      <c r="L67" s="20" t="n">
        <v>0.24115851</v>
      </c>
      <c r="M67" s="18" t="n">
        <v>0</v>
      </c>
      <c r="N67" s="20" t="n">
        <v>0</v>
      </c>
      <c r="O67" s="18" t="n">
        <v>0</v>
      </c>
      <c r="P67" s="20" t="n">
        <v>0</v>
      </c>
      <c r="Q67" s="18" t="n">
        <v>2.40959038</v>
      </c>
      <c r="R67" s="20" t="n">
        <v>0.8981772099999999</v>
      </c>
    </row>
    <row r="68" spans="1:18">
      <c r="A68" s="15" t="s">
        <v>628</v>
      </c>
      <c r="B68" s="17" t="n">
        <v>6049</v>
      </c>
      <c r="C68" s="18">
        <f>(5388.0/B68*100)</f>
        <v/>
      </c>
      <c r="D68" s="19" t="n">
        <v>661</v>
      </c>
      <c r="E68" s="18" t="n">
        <v>44.41877395</v>
      </c>
      <c r="F68" s="20" t="n">
        <v>2.03261122</v>
      </c>
      <c r="G68" s="18" t="n">
        <v>48.65118134</v>
      </c>
      <c r="H68" s="20" t="n">
        <v>2.05604385</v>
      </c>
      <c r="I68" s="18" t="s">
        <v>567</v>
      </c>
      <c r="J68" s="20" t="s">
        <v>567</v>
      </c>
      <c r="K68" s="18" t="n">
        <v>2.65623221</v>
      </c>
      <c r="L68" s="20" t="n">
        <v>0.65207388</v>
      </c>
      <c r="M68" s="18" t="n">
        <v>0</v>
      </c>
      <c r="N68" s="20" t="n">
        <v>0</v>
      </c>
      <c r="O68" s="18" t="n">
        <v>0</v>
      </c>
      <c r="P68" s="20" t="n">
        <v>0</v>
      </c>
      <c r="Q68" s="18" t="n">
        <v>4.2738125</v>
      </c>
      <c r="R68" s="20" t="n">
        <v>0.71775439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(2615.0/B70*100)</f>
        <v/>
      </c>
      <c r="D70" s="19" t="n">
        <v>314</v>
      </c>
      <c r="E70" s="18" t="n">
        <v>23.79545745</v>
      </c>
      <c r="F70" s="20" t="n">
        <v>3.38510671</v>
      </c>
      <c r="G70" s="18" t="n">
        <v>75.35861197</v>
      </c>
      <c r="H70" s="20" t="n">
        <v>3.43238677</v>
      </c>
      <c r="I70" s="18" t="s">
        <v>567</v>
      </c>
      <c r="J70" s="20" t="s">
        <v>567</v>
      </c>
      <c r="K70" s="18" t="n">
        <v>0</v>
      </c>
      <c r="L70" s="20" t="n">
        <v>0</v>
      </c>
      <c r="M70" s="18" t="n">
        <v>0</v>
      </c>
      <c r="N70" s="20" t="n">
        <v>0</v>
      </c>
      <c r="O70" s="18" t="n">
        <v>0</v>
      </c>
      <c r="P70" s="20" t="n">
        <v>0</v>
      </c>
      <c r="Q70" s="18" t="n">
        <v>0.84593058</v>
      </c>
      <c r="R70" s="20" t="n">
        <v>0.49085683</v>
      </c>
    </row>
    <row r="71" spans="1:18">
      <c r="A71" s="15" t="s">
        <v>631</v>
      </c>
      <c r="B71" s="17" t="n">
        <v>3142</v>
      </c>
      <c r="C71" s="18">
        <f>(2803.0/B71*100)</f>
        <v/>
      </c>
      <c r="D71" s="19" t="n">
        <v>339</v>
      </c>
      <c r="E71" s="18" t="n">
        <v>33.78571504</v>
      </c>
      <c r="F71" s="20" t="n">
        <v>2.39575621</v>
      </c>
      <c r="G71" s="18" t="n">
        <v>65.90652588</v>
      </c>
      <c r="H71" s="20" t="n">
        <v>2.39131949</v>
      </c>
      <c r="I71" s="18" t="s">
        <v>567</v>
      </c>
      <c r="J71" s="20" t="s">
        <v>567</v>
      </c>
      <c r="K71" s="18" t="n">
        <v>0.30775908</v>
      </c>
      <c r="L71" s="20" t="n">
        <v>0.30840838</v>
      </c>
      <c r="M71" s="18" t="n">
        <v>0</v>
      </c>
      <c r="N71" s="20" t="n">
        <v>0</v>
      </c>
      <c r="O71" s="18" t="n">
        <v>0</v>
      </c>
      <c r="P71" s="20" t="n">
        <v>0</v>
      </c>
      <c r="Q71" s="18" t="n">
        <v>0</v>
      </c>
      <c r="R71" s="20" t="n">
        <v>0</v>
      </c>
    </row>
    <row r="72" spans="1:18">
      <c r="A72" s="15" t="s">
        <v>632</v>
      </c>
      <c r="B72" s="17" t="n">
        <v>3889</v>
      </c>
      <c r="C72" s="18">
        <f>(3472.0/B72*100)</f>
        <v/>
      </c>
      <c r="D72" s="19" t="n">
        <v>417</v>
      </c>
      <c r="E72" s="18" t="n">
        <v>25.06804616</v>
      </c>
      <c r="F72" s="20" t="n">
        <v>2.12561841</v>
      </c>
      <c r="G72" s="18" t="n">
        <v>74.01057623</v>
      </c>
      <c r="H72" s="20" t="n">
        <v>2.15094498</v>
      </c>
      <c r="I72" s="18" t="s">
        <v>567</v>
      </c>
      <c r="J72" s="20" t="s">
        <v>567</v>
      </c>
      <c r="K72" s="18" t="n">
        <v>0</v>
      </c>
      <c r="L72" s="20" t="n">
        <v>0</v>
      </c>
      <c r="M72" s="18" t="n">
        <v>0</v>
      </c>
      <c r="N72" s="20" t="n">
        <v>0</v>
      </c>
      <c r="O72" s="18" t="n">
        <v>0</v>
      </c>
      <c r="P72" s="20" t="n">
        <v>0</v>
      </c>
      <c r="Q72" s="18" t="n">
        <v>0.9213776</v>
      </c>
      <c r="R72" s="20" t="n">
        <v>0.60352277</v>
      </c>
    </row>
    <row r="73" spans="1:18">
      <c r="A73" s="15" t="s">
        <v>633</v>
      </c>
      <c r="B73" s="17" t="n">
        <v>3597</v>
      </c>
      <c r="C73" s="18">
        <f>(3213.0/B73*100)</f>
        <v/>
      </c>
      <c r="D73" s="19" t="n">
        <v>384</v>
      </c>
      <c r="E73" s="18" t="n">
        <v>42.1882391</v>
      </c>
      <c r="F73" s="20" t="n">
        <v>3.02918167</v>
      </c>
      <c r="G73" s="18" t="n">
        <v>56.31927239</v>
      </c>
      <c r="H73" s="20" t="n">
        <v>3.06933875</v>
      </c>
      <c r="I73" s="18" t="s">
        <v>567</v>
      </c>
      <c r="J73" s="20" t="s">
        <v>567</v>
      </c>
      <c r="K73" s="18" t="n">
        <v>0.01113201</v>
      </c>
      <c r="L73" s="20" t="n">
        <v>0.01121708</v>
      </c>
      <c r="M73" s="18" t="n">
        <v>0</v>
      </c>
      <c r="N73" s="20" t="n">
        <v>0</v>
      </c>
      <c r="O73" s="18" t="n">
        <v>0</v>
      </c>
      <c r="P73" s="20" t="n">
        <v>0</v>
      </c>
      <c r="Q73" s="18" t="n">
        <v>1.4813565</v>
      </c>
      <c r="R73" s="20" t="n">
        <v>0.6875083400000001</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(2160.0/B75*100)</f>
        <v/>
      </c>
      <c r="D75" s="19" t="n">
        <v>246</v>
      </c>
      <c r="E75" s="18" t="n">
        <v>37.55916304</v>
      </c>
      <c r="F75" s="20" t="n">
        <v>2.96556507</v>
      </c>
      <c r="G75" s="18" t="n">
        <v>54.66049853</v>
      </c>
      <c r="H75" s="20" t="n">
        <v>2.6590206</v>
      </c>
      <c r="I75" s="18" t="s">
        <v>567</v>
      </c>
      <c r="J75" s="20" t="s">
        <v>567</v>
      </c>
      <c r="K75" s="18" t="n">
        <v>3.53380968</v>
      </c>
      <c r="L75" s="20" t="n">
        <v>1.08681807</v>
      </c>
      <c r="M75" s="18" t="n">
        <v>0</v>
      </c>
      <c r="N75" s="20" t="n">
        <v>0</v>
      </c>
      <c r="O75" s="18" t="n">
        <v>0</v>
      </c>
      <c r="P75" s="20" t="n">
        <v>0</v>
      </c>
      <c r="Q75" s="18" t="n">
        <v>4.24652875</v>
      </c>
      <c r="R75" s="20" t="n">
        <v>1.34782713</v>
      </c>
    </row>
    <row r="76" spans="1:18">
      <c r="A76" s="15" t="s">
        <v>636</v>
      </c>
      <c r="B76" s="17" t="n">
        <v>7052</v>
      </c>
      <c r="C76" s="18">
        <f>(6307.0/B76*100)</f>
        <v/>
      </c>
      <c r="D76" s="19" t="n">
        <v>745</v>
      </c>
      <c r="E76" s="18" t="n">
        <v>43.36756326</v>
      </c>
      <c r="F76" s="20" t="n">
        <v>1.9436174</v>
      </c>
      <c r="G76" s="18" t="n">
        <v>52.92714649</v>
      </c>
      <c r="H76" s="20" t="n">
        <v>1.81764193</v>
      </c>
      <c r="I76" s="18" t="s">
        <v>567</v>
      </c>
      <c r="J76" s="20" t="s">
        <v>567</v>
      </c>
      <c r="K76" s="18" t="n">
        <v>0.99640923</v>
      </c>
      <c r="L76" s="20" t="n">
        <v>0.47064193</v>
      </c>
      <c r="M76" s="18" t="n">
        <v>0</v>
      </c>
      <c r="N76" s="20" t="n">
        <v>0</v>
      </c>
      <c r="O76" s="18" t="n">
        <v>0</v>
      </c>
      <c r="P76" s="20" t="n">
        <v>0</v>
      </c>
      <c r="Q76" s="18" t="n">
        <v>2.70888101</v>
      </c>
      <c r="R76" s="20" t="n">
        <v>0.64014358</v>
      </c>
    </row>
    <row r="77" spans="1:18">
      <c r="A77" s="15" t="s">
        <v>637</v>
      </c>
      <c r="B77" s="17" t="n">
        <v>2908</v>
      </c>
      <c r="C77" s="18">
        <f>(2586.0/B77*100)</f>
        <v/>
      </c>
      <c r="D77" s="19" t="n">
        <v>322</v>
      </c>
      <c r="E77" s="18" t="n">
        <v>34.72764934</v>
      </c>
      <c r="F77" s="20" t="n">
        <v>2.76832531</v>
      </c>
      <c r="G77" s="18" t="n">
        <v>61.66589183</v>
      </c>
      <c r="H77" s="20" t="n">
        <v>3.17807739</v>
      </c>
      <c r="I77" s="18" t="s">
        <v>567</v>
      </c>
      <c r="J77" s="20" t="s">
        <v>567</v>
      </c>
      <c r="K77" s="18" t="n">
        <v>1.06661491</v>
      </c>
      <c r="L77" s="20" t="n">
        <v>0.55848653</v>
      </c>
      <c r="M77" s="18" t="n">
        <v>0</v>
      </c>
      <c r="N77" s="20" t="n">
        <v>0</v>
      </c>
      <c r="O77" s="18" t="n">
        <v>0</v>
      </c>
      <c r="P77" s="20" t="n">
        <v>0</v>
      </c>
      <c r="Q77" s="18" t="n">
        <v>2.53984392</v>
      </c>
      <c r="R77" s="20" t="n">
        <v>0.7778735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(3689.0/B81*100)</f>
        <v/>
      </c>
      <c r="D81" s="19" t="n">
        <v>474</v>
      </c>
      <c r="E81" s="18" t="n">
        <v>40.3375973</v>
      </c>
      <c r="F81" s="20" t="n">
        <v>2.74556101</v>
      </c>
      <c r="G81" s="18" t="n">
        <v>58.38294917</v>
      </c>
      <c r="H81" s="20" t="n">
        <v>2.77661892</v>
      </c>
      <c r="I81" s="18" t="s">
        <v>567</v>
      </c>
      <c r="J81" s="20" t="s">
        <v>567</v>
      </c>
      <c r="K81" s="18" t="n">
        <v>0.37928997</v>
      </c>
      <c r="L81" s="20" t="n">
        <v>0.46420758</v>
      </c>
      <c r="M81" s="18" t="n">
        <v>0</v>
      </c>
      <c r="N81" s="20" t="n">
        <v>0</v>
      </c>
      <c r="O81" s="18" t="n">
        <v>0</v>
      </c>
      <c r="P81" s="20" t="n">
        <v>0</v>
      </c>
      <c r="Q81" s="18" t="n">
        <v>0.90016357</v>
      </c>
      <c r="R81" s="20" t="n">
        <v>0.5229735599999999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(6596.0/B7*100)</f>
        <v/>
      </c>
      <c r="D7" s="19" t="n">
        <v>771</v>
      </c>
      <c r="E7" s="18" t="n">
        <v>61.50223985</v>
      </c>
      <c r="F7" s="20" t="n">
        <v>2.19552381</v>
      </c>
      <c r="G7" s="18" t="n">
        <v>37.41683388</v>
      </c>
      <c r="H7" s="20" t="n">
        <v>2.21910903</v>
      </c>
      <c r="I7" s="18" t="s">
        <v>567</v>
      </c>
      <c r="J7" s="20" t="s">
        <v>567</v>
      </c>
      <c r="K7" s="18" t="n">
        <v>0.31052962</v>
      </c>
      <c r="L7" s="20" t="n">
        <v>0.22450529</v>
      </c>
      <c r="M7" s="18" t="n">
        <v>0</v>
      </c>
      <c r="N7" s="20" t="n">
        <v>0</v>
      </c>
      <c r="O7" s="18" t="n">
        <v>0</v>
      </c>
      <c r="P7" s="20" t="n">
        <v>0</v>
      </c>
      <c r="Q7" s="18" t="n">
        <v>0.77039665</v>
      </c>
      <c r="R7" s="20" t="n">
        <v>0.35470451</v>
      </c>
    </row>
    <row r="8" spans="1:18">
      <c r="A8" s="15" t="s">
        <v>568</v>
      </c>
      <c r="B8" s="17" t="n">
        <v>3564</v>
      </c>
      <c r="C8" s="18">
        <f>(3176.0/B8*100)</f>
        <v/>
      </c>
      <c r="D8" s="19" t="n">
        <v>388</v>
      </c>
      <c r="E8" s="18" t="n">
        <v>56.63147043</v>
      </c>
      <c r="F8" s="20" t="n">
        <v>2.50368355</v>
      </c>
      <c r="G8" s="18" t="n">
        <v>42.48410188</v>
      </c>
      <c r="H8" s="20" t="n">
        <v>2.48187824</v>
      </c>
      <c r="I8" s="18" t="s">
        <v>567</v>
      </c>
      <c r="J8" s="20" t="s">
        <v>567</v>
      </c>
      <c r="K8" s="18" t="n">
        <v>0</v>
      </c>
      <c r="L8" s="20" t="n">
        <v>0</v>
      </c>
      <c r="M8" s="18" t="n">
        <v>0</v>
      </c>
      <c r="N8" s="20" t="n">
        <v>0</v>
      </c>
      <c r="O8" s="18" t="n">
        <v>0</v>
      </c>
      <c r="P8" s="20" t="n">
        <v>0</v>
      </c>
      <c r="Q8" s="18" t="n">
        <v>0.88442769</v>
      </c>
      <c r="R8" s="20" t="n">
        <v>0.54675284</v>
      </c>
    </row>
    <row r="9" spans="1:18">
      <c r="A9" s="15" t="s">
        <v>569</v>
      </c>
      <c r="B9" s="17" t="n">
        <v>4899</v>
      </c>
      <c r="C9" s="18">
        <f>(4379.0/B9*100)</f>
        <v/>
      </c>
      <c r="D9" s="19" t="n">
        <v>520</v>
      </c>
      <c r="E9" s="18" t="n">
        <v>48.47417226</v>
      </c>
      <c r="F9" s="20" t="n">
        <v>2.76420466</v>
      </c>
      <c r="G9" s="18" t="n">
        <v>50.56804282</v>
      </c>
      <c r="H9" s="20" t="n">
        <v>2.79356937</v>
      </c>
      <c r="I9" s="18" t="s">
        <v>567</v>
      </c>
      <c r="J9" s="20" t="s">
        <v>567</v>
      </c>
      <c r="K9" s="18" t="n">
        <v>0.1599885</v>
      </c>
      <c r="L9" s="20" t="n">
        <v>0.15411054</v>
      </c>
      <c r="M9" s="18" t="n">
        <v>0</v>
      </c>
      <c r="N9" s="20" t="n">
        <v>0</v>
      </c>
      <c r="O9" s="18" t="n">
        <v>0</v>
      </c>
      <c r="P9" s="20" t="n">
        <v>0</v>
      </c>
      <c r="Q9" s="18" t="n">
        <v>0.79779643</v>
      </c>
      <c r="R9" s="20" t="n">
        <v>0.39896403</v>
      </c>
    </row>
    <row r="10" spans="1:18">
      <c r="A10" s="15" t="s">
        <v>570</v>
      </c>
      <c r="B10" s="17" t="n">
        <v>10036</v>
      </c>
      <c r="C10" s="18">
        <f>(8881.0/B10*100)</f>
        <v/>
      </c>
      <c r="D10" s="19" t="n">
        <v>1155</v>
      </c>
      <c r="E10" s="18" t="n">
        <v>54.14484849</v>
      </c>
      <c r="F10" s="20" t="n">
        <v>1.69704886</v>
      </c>
      <c r="G10" s="18" t="n">
        <v>45.15155819</v>
      </c>
      <c r="H10" s="20" t="n">
        <v>1.69308473</v>
      </c>
      <c r="I10" s="18" t="s">
        <v>567</v>
      </c>
      <c r="J10" s="20" t="s">
        <v>567</v>
      </c>
      <c r="K10" s="18" t="n">
        <v>0.66361404</v>
      </c>
      <c r="L10" s="20" t="n">
        <v>0.34211892</v>
      </c>
      <c r="M10" s="18" t="n">
        <v>0</v>
      </c>
      <c r="N10" s="20" t="n">
        <v>0</v>
      </c>
      <c r="O10" s="18" t="n">
        <v>0</v>
      </c>
      <c r="P10" s="20" t="n">
        <v>0</v>
      </c>
      <c r="Q10" s="18" t="n">
        <v>0.03997928</v>
      </c>
      <c r="R10" s="20" t="n">
        <v>0.03157494</v>
      </c>
    </row>
    <row r="11" spans="1:18">
      <c r="A11" s="15" t="s">
        <v>571</v>
      </c>
      <c r="B11" s="17" t="n">
        <v>3553</v>
      </c>
      <c r="C11" s="18">
        <f>(3178.0/B11*100)</f>
        <v/>
      </c>
      <c r="D11" s="19" t="n">
        <v>375</v>
      </c>
      <c r="E11" s="18" t="n">
        <v>57.59788939</v>
      </c>
      <c r="F11" s="20" t="n">
        <v>3.20945539</v>
      </c>
      <c r="G11" s="18" t="n">
        <v>39.88838387</v>
      </c>
      <c r="H11" s="20" t="n">
        <v>3.10597558</v>
      </c>
      <c r="I11" s="18" t="s">
        <v>567</v>
      </c>
      <c r="J11" s="20" t="s">
        <v>567</v>
      </c>
      <c r="K11" s="18" t="n">
        <v>1.30757709</v>
      </c>
      <c r="L11" s="20" t="n">
        <v>0.63627355</v>
      </c>
      <c r="M11" s="18" t="n">
        <v>0</v>
      </c>
      <c r="N11" s="20" t="n">
        <v>0</v>
      </c>
      <c r="O11" s="18" t="n">
        <v>0</v>
      </c>
      <c r="P11" s="20" t="n">
        <v>0</v>
      </c>
      <c r="Q11" s="18" t="n">
        <v>1.20614965</v>
      </c>
      <c r="R11" s="20" t="n">
        <v>0.64400647</v>
      </c>
    </row>
    <row r="12" spans="1:18">
      <c r="A12" s="15" t="s">
        <v>572</v>
      </c>
      <c r="B12" s="17" t="n">
        <v>3472</v>
      </c>
      <c r="C12" s="18">
        <f>(3075.0/B12*100)</f>
        <v/>
      </c>
      <c r="D12" s="19" t="n">
        <v>397</v>
      </c>
      <c r="E12" s="18" t="n">
        <v>53.19873241</v>
      </c>
      <c r="F12" s="20" t="n">
        <v>3.51657251</v>
      </c>
      <c r="G12" s="18" t="n">
        <v>46.18316804</v>
      </c>
      <c r="H12" s="20" t="n">
        <v>3.50539465</v>
      </c>
      <c r="I12" s="18" t="s">
        <v>567</v>
      </c>
      <c r="J12" s="20" t="s">
        <v>567</v>
      </c>
      <c r="K12" s="18" t="n">
        <v>0.23200558</v>
      </c>
      <c r="L12" s="20" t="n">
        <v>0.22799361</v>
      </c>
      <c r="M12" s="18" t="n">
        <v>0</v>
      </c>
      <c r="N12" s="20" t="n">
        <v>0</v>
      </c>
      <c r="O12" s="18" t="n">
        <v>0</v>
      </c>
      <c r="P12" s="20" t="n">
        <v>0</v>
      </c>
      <c r="Q12" s="18" t="n">
        <v>0.38609397</v>
      </c>
      <c r="R12" s="20" t="n">
        <v>0.20435281</v>
      </c>
    </row>
    <row r="13" spans="1:18">
      <c r="A13" s="15" t="s">
        <v>573</v>
      </c>
      <c r="B13" s="17" t="n">
        <v>3559</v>
      </c>
      <c r="C13" s="18">
        <f>(3182.0/B13*100)</f>
        <v/>
      </c>
      <c r="D13" s="19" t="n">
        <v>377</v>
      </c>
      <c r="E13" s="18" t="n">
        <v>56.83437086</v>
      </c>
      <c r="F13" s="20" t="n">
        <v>2.9168158</v>
      </c>
      <c r="G13" s="18" t="n">
        <v>41.23679319</v>
      </c>
      <c r="H13" s="20" t="n">
        <v>2.88579208</v>
      </c>
      <c r="I13" s="18" t="s">
        <v>567</v>
      </c>
      <c r="J13" s="20" t="s">
        <v>567</v>
      </c>
      <c r="K13" s="18" t="n">
        <v>1.43922784</v>
      </c>
      <c r="L13" s="20" t="n">
        <v>0.99510479</v>
      </c>
      <c r="M13" s="18" t="n">
        <v>0</v>
      </c>
      <c r="N13" s="20" t="n">
        <v>0</v>
      </c>
      <c r="O13" s="18" t="n">
        <v>0</v>
      </c>
      <c r="P13" s="20" t="n">
        <v>0</v>
      </c>
      <c r="Q13" s="18" t="n">
        <v>0.48960811</v>
      </c>
      <c r="R13" s="20" t="n">
        <v>0.34995221</v>
      </c>
    </row>
    <row r="14" spans="1:18">
      <c r="A14" s="15" t="s">
        <v>574</v>
      </c>
      <c r="B14" s="17" t="n">
        <v>2799</v>
      </c>
      <c r="C14" s="18">
        <f>(2487.0/B14*100)</f>
        <v/>
      </c>
      <c r="D14" s="19" t="n">
        <v>312</v>
      </c>
      <c r="E14" s="18" t="n">
        <v>55.87160341</v>
      </c>
      <c r="F14" s="20" t="n">
        <v>3.16727654</v>
      </c>
      <c r="G14" s="18" t="n">
        <v>44.12839659</v>
      </c>
      <c r="H14" s="20" t="n">
        <v>3.16727654</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(2720.0/B15*100)</f>
        <v/>
      </c>
      <c r="D15" s="19" t="n">
        <v>299</v>
      </c>
      <c r="E15" s="18" t="n">
        <v>62.44888846</v>
      </c>
      <c r="F15" s="20" t="n">
        <v>2.78988239</v>
      </c>
      <c r="G15" s="18" t="n">
        <v>37.25556607</v>
      </c>
      <c r="H15" s="20" t="n">
        <v>2.8059329</v>
      </c>
      <c r="I15" s="18" t="s">
        <v>567</v>
      </c>
      <c r="J15" s="20" t="s">
        <v>567</v>
      </c>
      <c r="K15" s="18" t="n">
        <v>0</v>
      </c>
      <c r="L15" s="20" t="n">
        <v>0</v>
      </c>
      <c r="M15" s="18" t="n">
        <v>0</v>
      </c>
      <c r="N15" s="20" t="n">
        <v>0</v>
      </c>
      <c r="O15" s="18" t="n">
        <v>0</v>
      </c>
      <c r="P15" s="20" t="n">
        <v>0</v>
      </c>
      <c r="Q15" s="18" t="n">
        <v>0.29554547</v>
      </c>
      <c r="R15" s="20" t="n">
        <v>0.29638539</v>
      </c>
    </row>
    <row r="16" spans="1:18">
      <c r="A16" s="15" t="s">
        <v>576</v>
      </c>
      <c r="B16" s="17" t="n">
        <v>2997</v>
      </c>
      <c r="C16" s="18">
        <f>(2673.0/B16*100)</f>
        <v/>
      </c>
      <c r="D16" s="19" t="n">
        <v>324</v>
      </c>
      <c r="E16" s="18" t="n">
        <v>55.16775619</v>
      </c>
      <c r="F16" s="20" t="n">
        <v>2.46887494</v>
      </c>
      <c r="G16" s="18" t="n">
        <v>42.41562217</v>
      </c>
      <c r="H16" s="20" t="n">
        <v>2.49035074</v>
      </c>
      <c r="I16" s="18" t="s">
        <v>567</v>
      </c>
      <c r="J16" s="20" t="s">
        <v>567</v>
      </c>
      <c r="K16" s="18" t="n">
        <v>1.1913042</v>
      </c>
      <c r="L16" s="20" t="n">
        <v>0.94161355</v>
      </c>
      <c r="M16" s="18" t="n">
        <v>0</v>
      </c>
      <c r="N16" s="20" t="n">
        <v>0</v>
      </c>
      <c r="O16" s="18" t="n">
        <v>0</v>
      </c>
      <c r="P16" s="20" t="n">
        <v>0</v>
      </c>
      <c r="Q16" s="18" t="n">
        <v>1.22531744</v>
      </c>
      <c r="R16" s="20" t="n">
        <v>0.9390471500000001</v>
      </c>
    </row>
    <row r="17" spans="1:18">
      <c r="A17" s="15" t="s">
        <v>577</v>
      </c>
      <c r="B17" s="17" t="n">
        <v>3307</v>
      </c>
      <c r="C17" s="18">
        <f>(2973.0/B17*100)</f>
        <v/>
      </c>
      <c r="D17" s="19" t="n">
        <v>334</v>
      </c>
      <c r="E17" s="18" t="n">
        <v>50.09557504</v>
      </c>
      <c r="F17" s="20" t="n">
        <v>3.15349482</v>
      </c>
      <c r="G17" s="18" t="n">
        <v>48.82974922</v>
      </c>
      <c r="H17" s="20" t="n">
        <v>3.07593046</v>
      </c>
      <c r="I17" s="18" t="s">
        <v>567</v>
      </c>
      <c r="J17" s="20" t="s">
        <v>567</v>
      </c>
      <c r="K17" s="18" t="n">
        <v>0.3773637</v>
      </c>
      <c r="L17" s="20" t="n">
        <v>0.18701166</v>
      </c>
      <c r="M17" s="18" t="n">
        <v>0</v>
      </c>
      <c r="N17" s="20" t="n">
        <v>0</v>
      </c>
      <c r="O17" s="18" t="n">
        <v>0</v>
      </c>
      <c r="P17" s="20" t="n">
        <v>0</v>
      </c>
      <c r="Q17" s="18" t="n">
        <v>0.69731203</v>
      </c>
      <c r="R17" s="20" t="n">
        <v>0.41148565</v>
      </c>
    </row>
    <row r="18" spans="1:18">
      <c r="A18" s="15" t="s">
        <v>578</v>
      </c>
      <c r="B18" s="17" t="n">
        <v>2826</v>
      </c>
      <c r="C18" s="18">
        <f>(2496.0/B18*100)</f>
        <v/>
      </c>
      <c r="D18" s="19" t="n">
        <v>330</v>
      </c>
      <c r="E18" s="18" t="n">
        <v>65.78541249</v>
      </c>
      <c r="F18" s="20" t="n">
        <v>2.55674091</v>
      </c>
      <c r="G18" s="18" t="n">
        <v>33.0046363</v>
      </c>
      <c r="H18" s="20" t="n">
        <v>2.55618366</v>
      </c>
      <c r="I18" s="18" t="s">
        <v>567</v>
      </c>
      <c r="J18" s="20" t="s">
        <v>567</v>
      </c>
      <c r="K18" s="18" t="n">
        <v>0.31647014</v>
      </c>
      <c r="L18" s="20" t="n">
        <v>0.29516684</v>
      </c>
      <c r="M18" s="18" t="n">
        <v>0</v>
      </c>
      <c r="N18" s="20" t="n">
        <v>0</v>
      </c>
      <c r="O18" s="18" t="n">
        <v>0</v>
      </c>
      <c r="P18" s="20" t="n">
        <v>0</v>
      </c>
      <c r="Q18" s="18" t="n">
        <v>0.89348106</v>
      </c>
      <c r="R18" s="20" t="n">
        <v>0.53629161</v>
      </c>
    </row>
    <row r="19" spans="1:18">
      <c r="A19" s="15" t="s">
        <v>579</v>
      </c>
      <c r="B19" s="17" t="n">
        <v>2808</v>
      </c>
      <c r="C19" s="18">
        <f>(2511.0/B19*100)</f>
        <v/>
      </c>
      <c r="D19" s="19" t="n">
        <v>297</v>
      </c>
      <c r="E19" s="18" t="n">
        <v>52.60420692</v>
      </c>
      <c r="F19" s="20" t="n">
        <v>3.12084945</v>
      </c>
      <c r="G19" s="18" t="n">
        <v>47.11783915</v>
      </c>
      <c r="H19" s="20" t="n">
        <v>3.03113776</v>
      </c>
      <c r="I19" s="18" t="s">
        <v>567</v>
      </c>
      <c r="J19" s="20" t="s">
        <v>567</v>
      </c>
      <c r="K19" s="18" t="n">
        <v>0</v>
      </c>
      <c r="L19" s="20" t="n">
        <v>0</v>
      </c>
      <c r="M19" s="18" t="n">
        <v>0</v>
      </c>
      <c r="N19" s="20" t="n">
        <v>0</v>
      </c>
      <c r="O19" s="18" t="n">
        <v>0</v>
      </c>
      <c r="P19" s="20" t="n">
        <v>0</v>
      </c>
      <c r="Q19" s="18" t="n">
        <v>0.27795393</v>
      </c>
      <c r="R19" s="20" t="n">
        <v>0.27431295</v>
      </c>
    </row>
    <row r="20" spans="1:18">
      <c r="A20" s="15" t="s">
        <v>580</v>
      </c>
      <c r="B20" s="17" t="n">
        <v>1630</v>
      </c>
      <c r="C20" s="18">
        <f>(1455.0/B20*100)</f>
        <v/>
      </c>
      <c r="D20" s="19" t="n">
        <v>175</v>
      </c>
      <c r="E20" s="18" t="n">
        <v>66.11385844</v>
      </c>
      <c r="F20" s="20" t="n">
        <v>3.24090835</v>
      </c>
      <c r="G20" s="18" t="n">
        <v>31.69688916</v>
      </c>
      <c r="H20" s="20" t="n">
        <v>3.2409481</v>
      </c>
      <c r="I20" s="18" t="s">
        <v>567</v>
      </c>
      <c r="J20" s="20" t="s">
        <v>567</v>
      </c>
      <c r="K20" s="18" t="n">
        <v>0.56411155</v>
      </c>
      <c r="L20" s="20" t="n">
        <v>0.57287294</v>
      </c>
      <c r="M20" s="18" t="n">
        <v>0</v>
      </c>
      <c r="N20" s="20" t="n">
        <v>0</v>
      </c>
      <c r="O20" s="18" t="n">
        <v>0</v>
      </c>
      <c r="P20" s="20" t="n">
        <v>0</v>
      </c>
      <c r="Q20" s="18" t="n">
        <v>1.62514084</v>
      </c>
      <c r="R20" s="20" t="n">
        <v>0.91866168</v>
      </c>
    </row>
    <row r="21" spans="1:18">
      <c r="A21" s="15" t="s">
        <v>581</v>
      </c>
      <c r="B21" s="17" t="n">
        <v>2908</v>
      </c>
      <c r="C21" s="18">
        <f>(2589.0/B21*100)</f>
        <v/>
      </c>
      <c r="D21" s="19" t="n">
        <v>319</v>
      </c>
      <c r="E21" s="18" t="n">
        <v>52.27596456</v>
      </c>
      <c r="F21" s="20" t="n">
        <v>2.83379529</v>
      </c>
      <c r="G21" s="18" t="n">
        <v>46.28963034</v>
      </c>
      <c r="H21" s="20" t="n">
        <v>2.84565781</v>
      </c>
      <c r="I21" s="18" t="s">
        <v>567</v>
      </c>
      <c r="J21" s="20" t="s">
        <v>567</v>
      </c>
      <c r="K21" s="18" t="n">
        <v>0.50321633</v>
      </c>
      <c r="L21" s="20" t="n">
        <v>0.34608997</v>
      </c>
      <c r="M21" s="18" t="n">
        <v>0</v>
      </c>
      <c r="N21" s="20" t="n">
        <v>0</v>
      </c>
      <c r="O21" s="18" t="n">
        <v>0</v>
      </c>
      <c r="P21" s="20" t="n">
        <v>0</v>
      </c>
      <c r="Q21" s="18" t="n">
        <v>0.93118877</v>
      </c>
      <c r="R21" s="20" t="n">
        <v>0.19794741</v>
      </c>
    </row>
    <row r="22" spans="1:18">
      <c r="A22" s="15" t="s">
        <v>582</v>
      </c>
      <c r="B22" s="17" t="n">
        <v>2931</v>
      </c>
      <c r="C22" s="18">
        <f>(2613.0/B22*100)</f>
        <v/>
      </c>
      <c r="D22" s="19" t="n">
        <v>318</v>
      </c>
      <c r="E22" s="18" t="n">
        <v>56.23082732</v>
      </c>
      <c r="F22" s="20" t="n">
        <v>3.2881415</v>
      </c>
      <c r="G22" s="18" t="n">
        <v>41.40253745</v>
      </c>
      <c r="H22" s="20" t="n">
        <v>3.25616528</v>
      </c>
      <c r="I22" s="18" t="s">
        <v>567</v>
      </c>
      <c r="J22" s="20" t="s">
        <v>567</v>
      </c>
      <c r="K22" s="18" t="n">
        <v>1.51822511</v>
      </c>
      <c r="L22" s="20" t="n">
        <v>0.66616776</v>
      </c>
      <c r="M22" s="18" t="n">
        <v>0</v>
      </c>
      <c r="N22" s="20" t="n">
        <v>0</v>
      </c>
      <c r="O22" s="18" t="n">
        <v>0</v>
      </c>
      <c r="P22" s="20" t="n">
        <v>0</v>
      </c>
      <c r="Q22" s="18" t="n">
        <v>0.84841012</v>
      </c>
      <c r="R22" s="20" t="n">
        <v>0.45951177</v>
      </c>
    </row>
    <row r="23" spans="1:18">
      <c r="A23" s="15" t="s">
        <v>583</v>
      </c>
      <c r="B23" s="17" t="n">
        <v>5791</v>
      </c>
      <c r="C23" s="18">
        <f>(5190.0/B23*100)</f>
        <v/>
      </c>
      <c r="D23" s="19" t="n">
        <v>601</v>
      </c>
      <c r="E23" s="18" t="n">
        <v>50.47545249</v>
      </c>
      <c r="F23" s="20" t="n">
        <v>2.72907724</v>
      </c>
      <c r="G23" s="18" t="n">
        <v>48.59914224</v>
      </c>
      <c r="H23" s="20" t="n">
        <v>2.73153732</v>
      </c>
      <c r="I23" s="18" t="s">
        <v>567</v>
      </c>
      <c r="J23" s="20" t="s">
        <v>567</v>
      </c>
      <c r="K23" s="18" t="n">
        <v>0.58212703</v>
      </c>
      <c r="L23" s="20" t="n">
        <v>0.4176946</v>
      </c>
      <c r="M23" s="18" t="n">
        <v>0</v>
      </c>
      <c r="N23" s="20" t="n">
        <v>0</v>
      </c>
      <c r="O23" s="18" t="n">
        <v>0</v>
      </c>
      <c r="P23" s="20" t="n">
        <v>0</v>
      </c>
      <c r="Q23" s="18" t="n">
        <v>0.34327824</v>
      </c>
      <c r="R23" s="20" t="n">
        <v>0.22313743</v>
      </c>
    </row>
    <row r="24" spans="1:18">
      <c r="A24" s="15" t="s">
        <v>584</v>
      </c>
      <c r="B24" s="17" t="n">
        <v>3338</v>
      </c>
      <c r="C24" s="18">
        <f>(2973.0/B24*100)</f>
        <v/>
      </c>
      <c r="D24" s="19" t="n">
        <v>365</v>
      </c>
      <c r="E24" s="18" t="n">
        <v>50.91942423</v>
      </c>
      <c r="F24" s="20" t="n">
        <v>2.51721831</v>
      </c>
      <c r="G24" s="18" t="n">
        <v>48.81787442</v>
      </c>
      <c r="H24" s="20" t="n">
        <v>2.51502039</v>
      </c>
      <c r="I24" s="18" t="s">
        <v>567</v>
      </c>
      <c r="J24" s="20" t="s">
        <v>567</v>
      </c>
      <c r="K24" s="18" t="n">
        <v>0</v>
      </c>
      <c r="L24" s="20" t="n">
        <v>0</v>
      </c>
      <c r="M24" s="18" t="n">
        <v>0</v>
      </c>
      <c r="N24" s="20" t="n">
        <v>0</v>
      </c>
      <c r="O24" s="18" t="n">
        <v>0</v>
      </c>
      <c r="P24" s="20" t="n">
        <v>0</v>
      </c>
      <c r="Q24" s="18" t="n">
        <v>0.26270135</v>
      </c>
      <c r="R24" s="20" t="n">
        <v>0.26384371</v>
      </c>
    </row>
    <row r="25" spans="1:18">
      <c r="A25" s="15" t="s">
        <v>585</v>
      </c>
      <c r="B25" s="17" t="n">
        <v>2912</v>
      </c>
      <c r="C25" s="18">
        <f>(2601.0/B25*100)</f>
        <v/>
      </c>
      <c r="D25" s="19" t="n">
        <v>311</v>
      </c>
      <c r="E25" s="18" t="n">
        <v>57.72843187</v>
      </c>
      <c r="F25" s="20" t="n">
        <v>3.08457563</v>
      </c>
      <c r="G25" s="18" t="n">
        <v>41.34957068</v>
      </c>
      <c r="H25" s="20" t="n">
        <v>3.14689518</v>
      </c>
      <c r="I25" s="18" t="s">
        <v>567</v>
      </c>
      <c r="J25" s="20" t="s">
        <v>567</v>
      </c>
      <c r="K25" s="18" t="n">
        <v>0.9219974399999999</v>
      </c>
      <c r="L25" s="20" t="n">
        <v>0.55009847</v>
      </c>
      <c r="M25" s="18" t="n">
        <v>0</v>
      </c>
      <c r="N25" s="20" t="n">
        <v>0</v>
      </c>
      <c r="O25" s="18" t="n">
        <v>0</v>
      </c>
      <c r="P25" s="20" t="n">
        <v>0</v>
      </c>
      <c r="Q25" s="18" t="n">
        <v>0</v>
      </c>
      <c r="R25" s="20" t="n">
        <v>0</v>
      </c>
    </row>
    <row r="26" spans="1:18">
      <c r="A26" s="15" t="s">
        <v>586</v>
      </c>
      <c r="B26" s="17" t="n">
        <v>2450</v>
      </c>
      <c r="C26" s="18">
        <f>(2172.0/B26*100)</f>
        <v/>
      </c>
      <c r="D26" s="19" t="n">
        <v>278</v>
      </c>
      <c r="E26" s="18" t="n">
        <v>55.11698832</v>
      </c>
      <c r="F26" s="20" t="n">
        <v>2.67279226</v>
      </c>
      <c r="G26" s="18" t="n">
        <v>44.19918546</v>
      </c>
      <c r="H26" s="20" t="n">
        <v>2.65898323</v>
      </c>
      <c r="I26" s="18" t="s">
        <v>567</v>
      </c>
      <c r="J26" s="20" t="s">
        <v>567</v>
      </c>
      <c r="K26" s="18" t="n">
        <v>0.28958264</v>
      </c>
      <c r="L26" s="20" t="n">
        <v>0.2970642</v>
      </c>
      <c r="M26" s="18" t="n">
        <v>0</v>
      </c>
      <c r="N26" s="20" t="n">
        <v>0</v>
      </c>
      <c r="O26" s="18" t="n">
        <v>0</v>
      </c>
      <c r="P26" s="20" t="n">
        <v>0</v>
      </c>
      <c r="Q26" s="18" t="n">
        <v>0.39424358</v>
      </c>
      <c r="R26" s="20" t="n">
        <v>0.26965142</v>
      </c>
    </row>
    <row r="27" spans="1:18">
      <c r="A27" s="15" t="s">
        <v>587</v>
      </c>
      <c r="B27" s="17" t="n">
        <v>2616</v>
      </c>
      <c r="C27" s="18">
        <f>(2344.0/B27*100)</f>
        <v/>
      </c>
      <c r="D27" s="19" t="n">
        <v>272</v>
      </c>
      <c r="E27" s="18" t="n">
        <v>58.6213978</v>
      </c>
      <c r="F27" s="20" t="n">
        <v>2.29830395</v>
      </c>
      <c r="G27" s="18" t="n">
        <v>39.54430101</v>
      </c>
      <c r="H27" s="20" t="n">
        <v>2.32658231</v>
      </c>
      <c r="I27" s="18" t="s">
        <v>567</v>
      </c>
      <c r="J27" s="20" t="s">
        <v>567</v>
      </c>
      <c r="K27" s="18" t="n">
        <v>1.10351046</v>
      </c>
      <c r="L27" s="20" t="n">
        <v>0.63338238</v>
      </c>
      <c r="M27" s="18" t="n">
        <v>0</v>
      </c>
      <c r="N27" s="20" t="n">
        <v>0</v>
      </c>
      <c r="O27" s="18" t="n">
        <v>0</v>
      </c>
      <c r="P27" s="20" t="n">
        <v>0</v>
      </c>
      <c r="Q27" s="18" t="n">
        <v>0.73079072</v>
      </c>
      <c r="R27" s="20" t="n">
        <v>0.50834945</v>
      </c>
    </row>
    <row r="28" spans="1:18">
      <c r="A28" s="15" t="s">
        <v>588</v>
      </c>
      <c r="B28" s="17" t="n">
        <v>3765</v>
      </c>
      <c r="C28" s="18">
        <f>(3389.0/B28*100)</f>
        <v/>
      </c>
      <c r="D28" s="19" t="n">
        <v>376</v>
      </c>
      <c r="E28" s="18" t="n">
        <v>68.98110908</v>
      </c>
      <c r="F28" s="20" t="n">
        <v>2.46203239</v>
      </c>
      <c r="G28" s="18" t="n">
        <v>30.41886903</v>
      </c>
      <c r="H28" s="20" t="n">
        <v>2.44302915</v>
      </c>
      <c r="I28" s="18" t="s">
        <v>567</v>
      </c>
      <c r="J28" s="20" t="s">
        <v>567</v>
      </c>
      <c r="K28" s="18" t="n">
        <v>0.6000219</v>
      </c>
      <c r="L28" s="20" t="n">
        <v>0.46204022</v>
      </c>
      <c r="M28" s="18" t="n">
        <v>0</v>
      </c>
      <c r="N28" s="20" t="n">
        <v>0</v>
      </c>
      <c r="O28" s="18" t="n">
        <v>0</v>
      </c>
      <c r="P28" s="20" t="n">
        <v>0</v>
      </c>
      <c r="Q28" s="18" t="n">
        <v>0</v>
      </c>
      <c r="R28" s="20" t="n">
        <v>0</v>
      </c>
    </row>
    <row r="29" spans="1:18">
      <c r="A29" s="15" t="s">
        <v>589</v>
      </c>
      <c r="B29" s="17" t="n">
        <v>2685</v>
      </c>
      <c r="C29" s="18">
        <f>(2394.0/B29*100)</f>
        <v/>
      </c>
      <c r="D29" s="19" t="n">
        <v>291</v>
      </c>
      <c r="E29" s="18" t="n">
        <v>45.3106668</v>
      </c>
      <c r="F29" s="20" t="n">
        <v>2.67240774</v>
      </c>
      <c r="G29" s="18" t="n">
        <v>54.06565563</v>
      </c>
      <c r="H29" s="20" t="n">
        <v>2.62380928</v>
      </c>
      <c r="I29" s="18" t="s">
        <v>567</v>
      </c>
      <c r="J29" s="20" t="s">
        <v>567</v>
      </c>
      <c r="K29" s="18" t="n">
        <v>0</v>
      </c>
      <c r="L29" s="20" t="n">
        <v>0</v>
      </c>
      <c r="M29" s="18" t="n">
        <v>0</v>
      </c>
      <c r="N29" s="20" t="n">
        <v>0</v>
      </c>
      <c r="O29" s="18" t="n">
        <v>0</v>
      </c>
      <c r="P29" s="20" t="n">
        <v>0</v>
      </c>
      <c r="Q29" s="18" t="n">
        <v>0.62367757</v>
      </c>
      <c r="R29" s="20" t="n">
        <v>0.41892407</v>
      </c>
    </row>
    <row r="30" spans="1:18">
      <c r="A30" s="15" t="s">
        <v>590</v>
      </c>
      <c r="B30" s="17" t="n">
        <v>2263</v>
      </c>
      <c r="C30" s="18">
        <f>(2039.0/B30*100)</f>
        <v/>
      </c>
      <c r="D30" s="19" t="n">
        <v>224</v>
      </c>
      <c r="E30" s="18" t="n">
        <v>61.52458585</v>
      </c>
      <c r="F30" s="20" t="n">
        <v>3.32442167</v>
      </c>
      <c r="G30" s="18" t="n">
        <v>36.54796553</v>
      </c>
      <c r="H30" s="20" t="n">
        <v>3.22933812</v>
      </c>
      <c r="I30" s="18" t="s">
        <v>567</v>
      </c>
      <c r="J30" s="20" t="s">
        <v>567</v>
      </c>
      <c r="K30" s="18" t="n">
        <v>0.53063218</v>
      </c>
      <c r="L30" s="20" t="n">
        <v>0.49583067</v>
      </c>
      <c r="M30" s="18" t="n">
        <v>0</v>
      </c>
      <c r="N30" s="20" t="n">
        <v>0</v>
      </c>
      <c r="O30" s="18" t="n">
        <v>0</v>
      </c>
      <c r="P30" s="20" t="n">
        <v>0</v>
      </c>
      <c r="Q30" s="18" t="n">
        <v>1.39681645</v>
      </c>
      <c r="R30" s="20" t="n">
        <v>0.77086113</v>
      </c>
    </row>
    <row r="31" spans="1:18">
      <c r="A31" s="15" t="s">
        <v>591</v>
      </c>
      <c r="B31" s="17" t="n">
        <v>2750</v>
      </c>
      <c r="C31" s="18">
        <f>(2439.0/B31*100)</f>
        <v/>
      </c>
      <c r="D31" s="19" t="n">
        <v>311</v>
      </c>
      <c r="E31" s="18" t="n">
        <v>58.20045517</v>
      </c>
      <c r="F31" s="20" t="n">
        <v>2.90267602</v>
      </c>
      <c r="G31" s="18" t="n">
        <v>39.57584816</v>
      </c>
      <c r="H31" s="20" t="n">
        <v>2.78315605</v>
      </c>
      <c r="I31" s="18" t="s">
        <v>567</v>
      </c>
      <c r="J31" s="20" t="s">
        <v>567</v>
      </c>
      <c r="K31" s="18" t="n">
        <v>0.67455607</v>
      </c>
      <c r="L31" s="20" t="n">
        <v>0.46551785</v>
      </c>
      <c r="M31" s="18" t="n">
        <v>0</v>
      </c>
      <c r="N31" s="20" t="n">
        <v>0</v>
      </c>
      <c r="O31" s="18" t="n">
        <v>0</v>
      </c>
      <c r="P31" s="20" t="n">
        <v>0</v>
      </c>
      <c r="Q31" s="18" t="n">
        <v>1.54914059</v>
      </c>
      <c r="R31" s="20" t="n">
        <v>0.70450443</v>
      </c>
    </row>
    <row r="32" spans="1:18">
      <c r="A32" s="15" t="s">
        <v>592</v>
      </c>
      <c r="B32" s="17" t="n">
        <v>2269</v>
      </c>
      <c r="C32" s="18">
        <f>(2005.0/B32*100)</f>
        <v/>
      </c>
      <c r="D32" s="19" t="n">
        <v>264</v>
      </c>
      <c r="E32" s="18" t="n">
        <v>42.85569202</v>
      </c>
      <c r="F32" s="20" t="n">
        <v>3.21224652</v>
      </c>
      <c r="G32" s="18" t="n">
        <v>57.14430798</v>
      </c>
      <c r="H32" s="20" t="n">
        <v>3.21224652</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(3256.0/B33*100)</f>
        <v/>
      </c>
      <c r="D33" s="19" t="n">
        <v>418</v>
      </c>
      <c r="E33" s="18" t="n">
        <v>53.0786583</v>
      </c>
      <c r="F33" s="20" t="n">
        <v>2.69035014</v>
      </c>
      <c r="G33" s="18" t="n">
        <v>46.51757943</v>
      </c>
      <c r="H33" s="20" t="n">
        <v>2.65016144</v>
      </c>
      <c r="I33" s="18" t="s">
        <v>567</v>
      </c>
      <c r="J33" s="20" t="s">
        <v>567</v>
      </c>
      <c r="K33" s="18" t="n">
        <v>0.40376227</v>
      </c>
      <c r="L33" s="20" t="n">
        <v>0.32724388</v>
      </c>
      <c r="M33" s="18" t="n">
        <v>0</v>
      </c>
      <c r="N33" s="20" t="n">
        <v>0</v>
      </c>
      <c r="O33" s="18" t="n">
        <v>0</v>
      </c>
      <c r="P33" s="20" t="n">
        <v>0</v>
      </c>
      <c r="Q33" s="18" t="n">
        <v>0</v>
      </c>
      <c r="R33" s="20" t="n">
        <v>0</v>
      </c>
    </row>
    <row r="34" spans="1:18">
      <c r="A34" s="15" t="s">
        <v>594</v>
      </c>
      <c r="B34" s="17" t="n">
        <v>3315</v>
      </c>
      <c r="C34" s="18">
        <f>(2955.0/B34*100)</f>
        <v/>
      </c>
      <c r="D34" s="19" t="n">
        <v>360</v>
      </c>
      <c r="E34" s="18" t="n">
        <v>51.60633283</v>
      </c>
      <c r="F34" s="20" t="n">
        <v>2.51459014</v>
      </c>
      <c r="G34" s="18" t="n">
        <v>47.89935048</v>
      </c>
      <c r="H34" s="20" t="n">
        <v>2.57810701</v>
      </c>
      <c r="I34" s="18" t="s">
        <v>567</v>
      </c>
      <c r="J34" s="20" t="s">
        <v>567</v>
      </c>
      <c r="K34" s="18" t="n">
        <v>0.25436562</v>
      </c>
      <c r="L34" s="20" t="n">
        <v>0.25325734</v>
      </c>
      <c r="M34" s="18" t="n">
        <v>0</v>
      </c>
      <c r="N34" s="20" t="n">
        <v>0</v>
      </c>
      <c r="O34" s="18" t="n">
        <v>0</v>
      </c>
      <c r="P34" s="20" t="n">
        <v>0</v>
      </c>
      <c r="Q34" s="18" t="n">
        <v>0.23995107</v>
      </c>
      <c r="R34" s="20" t="n">
        <v>0.2356124</v>
      </c>
    </row>
    <row r="35" spans="1:18">
      <c r="A35" s="15" t="s">
        <v>595</v>
      </c>
      <c r="B35" s="17" t="n">
        <v>3505</v>
      </c>
      <c r="C35" s="18">
        <f>(3142.0/B35*100)</f>
        <v/>
      </c>
      <c r="D35" s="19" t="n">
        <v>363</v>
      </c>
      <c r="E35" s="18" t="n">
        <v>59.26715324</v>
      </c>
      <c r="F35" s="20" t="n">
        <v>3.17455653</v>
      </c>
      <c r="G35" s="18" t="n">
        <v>40.07526415</v>
      </c>
      <c r="H35" s="20" t="n">
        <v>3.15270357</v>
      </c>
      <c r="I35" s="18" t="s">
        <v>567</v>
      </c>
      <c r="J35" s="20" t="s">
        <v>567</v>
      </c>
      <c r="K35" s="18" t="n">
        <v>0</v>
      </c>
      <c r="L35" s="20" t="n">
        <v>0</v>
      </c>
      <c r="M35" s="18" t="n">
        <v>0</v>
      </c>
      <c r="N35" s="20" t="n">
        <v>0</v>
      </c>
      <c r="O35" s="18" t="n">
        <v>0</v>
      </c>
      <c r="P35" s="20" t="n">
        <v>0</v>
      </c>
      <c r="Q35" s="18" t="n">
        <v>0.65758261</v>
      </c>
      <c r="R35" s="20" t="n">
        <v>0.33322927</v>
      </c>
    </row>
    <row r="36" spans="1:18">
      <c r="A36" s="15" t="s">
        <v>596</v>
      </c>
      <c r="B36" s="17" t="n">
        <v>3332</v>
      </c>
      <c r="C36" s="18">
        <f>(2983.0/B36*100)</f>
        <v/>
      </c>
      <c r="D36" s="19" t="n">
        <v>349</v>
      </c>
      <c r="E36" s="18" t="n">
        <v>56.84254484</v>
      </c>
      <c r="F36" s="20" t="n">
        <v>3.0325203</v>
      </c>
      <c r="G36" s="18" t="n">
        <v>42.61140919</v>
      </c>
      <c r="H36" s="20" t="n">
        <v>3.00492373</v>
      </c>
      <c r="I36" s="18" t="s">
        <v>567</v>
      </c>
      <c r="J36" s="20" t="s">
        <v>567</v>
      </c>
      <c r="K36" s="18" t="n">
        <v>0.33586315</v>
      </c>
      <c r="L36" s="20" t="n">
        <v>0.24874628</v>
      </c>
      <c r="M36" s="18" t="n">
        <v>0</v>
      </c>
      <c r="N36" s="20" t="n">
        <v>0</v>
      </c>
      <c r="O36" s="18" t="n">
        <v>0</v>
      </c>
      <c r="P36" s="20" t="n">
        <v>0</v>
      </c>
      <c r="Q36" s="18" t="n">
        <v>0.21018282</v>
      </c>
      <c r="R36" s="20" t="n">
        <v>0.20710393</v>
      </c>
    </row>
    <row r="37" spans="1:18">
      <c r="A37" s="15" t="s">
        <v>597</v>
      </c>
      <c r="B37" s="17" t="n">
        <v>2727</v>
      </c>
      <c r="C37" s="18">
        <f>(2434.0/B37*100)</f>
        <v/>
      </c>
      <c r="D37" s="19" t="n">
        <v>293</v>
      </c>
      <c r="E37" s="18" t="n">
        <v>63.59665111</v>
      </c>
      <c r="F37" s="20" t="n">
        <v>2.59120131</v>
      </c>
      <c r="G37" s="18" t="n">
        <v>34.77981691</v>
      </c>
      <c r="H37" s="20" t="n">
        <v>2.59468442</v>
      </c>
      <c r="I37" s="18" t="s">
        <v>567</v>
      </c>
      <c r="J37" s="20" t="s">
        <v>567</v>
      </c>
      <c r="K37" s="18" t="n">
        <v>0.92469031</v>
      </c>
      <c r="L37" s="20" t="n">
        <v>0.52982373</v>
      </c>
      <c r="M37" s="18" t="n">
        <v>0</v>
      </c>
      <c r="N37" s="20" t="n">
        <v>0</v>
      </c>
      <c r="O37" s="18" t="n">
        <v>0</v>
      </c>
      <c r="P37" s="20" t="n">
        <v>0</v>
      </c>
      <c r="Q37" s="18" t="n">
        <v>0.69884167</v>
      </c>
      <c r="R37" s="20" t="n">
        <v>0.49845213</v>
      </c>
    </row>
    <row r="38" spans="1:18">
      <c r="A38" s="15" t="s">
        <v>598</v>
      </c>
      <c r="B38" s="17" t="n">
        <v>3053</v>
      </c>
      <c r="C38" s="18">
        <f>(2713.0/B38*100)</f>
        <v/>
      </c>
      <c r="D38" s="19" t="n">
        <v>340</v>
      </c>
      <c r="E38" s="18" t="n">
        <v>49.09378629</v>
      </c>
      <c r="F38" s="20" t="n">
        <v>3.35164264</v>
      </c>
      <c r="G38" s="18" t="n">
        <v>49.56037622</v>
      </c>
      <c r="H38" s="20" t="n">
        <v>3.43673638</v>
      </c>
      <c r="I38" s="18" t="s">
        <v>567</v>
      </c>
      <c r="J38" s="20" t="s">
        <v>567</v>
      </c>
      <c r="K38" s="18" t="n">
        <v>0.70360933</v>
      </c>
      <c r="L38" s="20" t="n">
        <v>0.44541027</v>
      </c>
      <c r="M38" s="18" t="n">
        <v>0</v>
      </c>
      <c r="N38" s="20" t="n">
        <v>0</v>
      </c>
      <c r="O38" s="18" t="n">
        <v>0</v>
      </c>
      <c r="P38" s="20" t="n">
        <v>0</v>
      </c>
      <c r="Q38" s="18" t="n">
        <v>0.64222816</v>
      </c>
      <c r="R38" s="20" t="n">
        <v>0.40044661</v>
      </c>
    </row>
    <row r="39" spans="1:18">
      <c r="A39" s="15" t="s">
        <v>599</v>
      </c>
      <c r="B39" s="17" t="n">
        <v>2957</v>
      </c>
      <c r="C39" s="18">
        <f>(2614.0/B39*100)</f>
        <v/>
      </c>
      <c r="D39" s="19" t="n">
        <v>343</v>
      </c>
      <c r="E39" s="18" t="n">
        <v>67.76702050999999</v>
      </c>
      <c r="F39" s="20" t="n">
        <v>2.49012878</v>
      </c>
      <c r="G39" s="18" t="n">
        <v>31.9179835</v>
      </c>
      <c r="H39" s="20" t="n">
        <v>2.48514746</v>
      </c>
      <c r="I39" s="18" t="s">
        <v>567</v>
      </c>
      <c r="J39" s="20" t="s">
        <v>567</v>
      </c>
      <c r="K39" s="18" t="n">
        <v>0</v>
      </c>
      <c r="L39" s="20" t="n">
        <v>0</v>
      </c>
      <c r="M39" s="18" t="n">
        <v>0</v>
      </c>
      <c r="N39" s="20" t="n">
        <v>0</v>
      </c>
      <c r="O39" s="18" t="n">
        <v>0</v>
      </c>
      <c r="P39" s="20" t="n">
        <v>0</v>
      </c>
      <c r="Q39" s="18" t="n">
        <v>0.314996</v>
      </c>
      <c r="R39" s="20" t="n">
        <v>0.21286713</v>
      </c>
    </row>
    <row r="40" spans="1:18">
      <c r="A40" s="15" t="s">
        <v>600</v>
      </c>
      <c r="B40" s="17" t="n">
        <v>7235</v>
      </c>
      <c r="C40" s="18">
        <f>(6457.0/B40*100)</f>
        <v/>
      </c>
      <c r="D40" s="19" t="n">
        <v>778</v>
      </c>
      <c r="E40" s="18" t="n">
        <v>60.07803005</v>
      </c>
      <c r="F40" s="20" t="n">
        <v>2.48546054</v>
      </c>
      <c r="G40" s="18" t="n">
        <v>39.47154135</v>
      </c>
      <c r="H40" s="20" t="n">
        <v>2.46298857</v>
      </c>
      <c r="I40" s="18" t="s">
        <v>567</v>
      </c>
      <c r="J40" s="20" t="s">
        <v>567</v>
      </c>
      <c r="K40" s="18" t="n">
        <v>0.20194654</v>
      </c>
      <c r="L40" s="20" t="n">
        <v>0.16018481</v>
      </c>
      <c r="M40" s="18" t="n">
        <v>0</v>
      </c>
      <c r="N40" s="20" t="n">
        <v>0</v>
      </c>
      <c r="O40" s="18" t="n">
        <v>0</v>
      </c>
      <c r="P40" s="20" t="n">
        <v>0</v>
      </c>
      <c r="Q40" s="18" t="n">
        <v>0.24848207</v>
      </c>
      <c r="R40" s="20" t="n">
        <v>0.07314196000000001</v>
      </c>
    </row>
    <row r="41" spans="1:18">
      <c r="A41" s="15" t="s">
        <v>601</v>
      </c>
      <c r="B41" s="17" t="n">
        <v>2858</v>
      </c>
      <c r="C41" s="18">
        <f>(2542.0/B41*100)</f>
        <v/>
      </c>
      <c r="D41" s="19" t="n">
        <v>316</v>
      </c>
      <c r="E41" s="18" t="n">
        <v>59.0926997</v>
      </c>
      <c r="F41" s="20" t="n">
        <v>3.21752659</v>
      </c>
      <c r="G41" s="18" t="n">
        <v>40.58116456</v>
      </c>
      <c r="H41" s="20" t="n">
        <v>3.22075177</v>
      </c>
      <c r="I41" s="18" t="s">
        <v>567</v>
      </c>
      <c r="J41" s="20" t="s">
        <v>567</v>
      </c>
      <c r="K41" s="18" t="n">
        <v>0</v>
      </c>
      <c r="L41" s="20" t="n">
        <v>0</v>
      </c>
      <c r="M41" s="18" t="n">
        <v>0</v>
      </c>
      <c r="N41" s="20" t="n">
        <v>0</v>
      </c>
      <c r="O41" s="18" t="n">
        <v>0</v>
      </c>
      <c r="P41" s="20" t="n">
        <v>0</v>
      </c>
      <c r="Q41" s="18" t="n">
        <v>0.32613574</v>
      </c>
      <c r="R41" s="20" t="n">
        <v>0.3666332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(10133.0/B46*100)</f>
        <v/>
      </c>
      <c r="D46" s="19" t="n">
        <v>935</v>
      </c>
      <c r="E46" s="18" t="n">
        <v>66.55448892</v>
      </c>
      <c r="F46" s="20" t="n">
        <v>2.23000355</v>
      </c>
      <c r="G46" s="18" t="n">
        <v>32.15995192</v>
      </c>
      <c r="H46" s="20" t="n">
        <v>2.16358585</v>
      </c>
      <c r="I46" s="18" t="s">
        <v>567</v>
      </c>
      <c r="J46" s="20" t="s">
        <v>567</v>
      </c>
      <c r="K46" s="18" t="n">
        <v>1.24831405</v>
      </c>
      <c r="L46" s="20" t="n">
        <v>0.43324816</v>
      </c>
      <c r="M46" s="18" t="n">
        <v>0</v>
      </c>
      <c r="N46" s="20" t="n">
        <v>0</v>
      </c>
      <c r="O46" s="18" t="n">
        <v>0</v>
      </c>
      <c r="P46" s="20" t="n">
        <v>0</v>
      </c>
      <c r="Q46" s="18" t="n">
        <v>0.03724512</v>
      </c>
      <c r="R46" s="20" t="n">
        <v>0.0265145</v>
      </c>
    </row>
    <row r="47" spans="1:18">
      <c r="A47" s="15" t="s">
        <v>607</v>
      </c>
      <c r="B47" s="17" t="n">
        <v>3105</v>
      </c>
      <c r="C47" s="18">
        <f>(2762.0/B47*100)</f>
        <v/>
      </c>
      <c r="D47" s="19" t="n">
        <v>343</v>
      </c>
      <c r="E47" s="18" t="n">
        <v>53.04407913</v>
      </c>
      <c r="F47" s="20" t="n">
        <v>2.37814355</v>
      </c>
      <c r="G47" s="18" t="n">
        <v>44.96830999</v>
      </c>
      <c r="H47" s="20" t="n">
        <v>2.42539077</v>
      </c>
      <c r="I47" s="18" t="s">
        <v>567</v>
      </c>
      <c r="J47" s="20" t="s">
        <v>567</v>
      </c>
      <c r="K47" s="18" t="n">
        <v>0.55186867</v>
      </c>
      <c r="L47" s="20" t="n">
        <v>0.48849313</v>
      </c>
      <c r="M47" s="18" t="n">
        <v>0</v>
      </c>
      <c r="N47" s="20" t="n">
        <v>0</v>
      </c>
      <c r="O47" s="18" t="n">
        <v>0</v>
      </c>
      <c r="P47" s="20" t="n">
        <v>0</v>
      </c>
      <c r="Q47" s="18" t="n">
        <v>1.4357422</v>
      </c>
      <c r="R47" s="20" t="n">
        <v>0.64049492</v>
      </c>
    </row>
    <row r="48" spans="1:18">
      <c r="A48" s="15" t="s">
        <v>608</v>
      </c>
      <c r="B48" s="17" t="n">
        <v>5159</v>
      </c>
      <c r="C48" s="18">
        <f>(4559.0/B48*100)</f>
        <v/>
      </c>
      <c r="D48" s="19" t="n">
        <v>600</v>
      </c>
      <c r="E48" s="18" t="n">
        <v>53.07153524</v>
      </c>
      <c r="F48" s="20" t="n">
        <v>2.19080581</v>
      </c>
      <c r="G48" s="18" t="n">
        <v>46.57391549</v>
      </c>
      <c r="H48" s="20" t="n">
        <v>2.12700189</v>
      </c>
      <c r="I48" s="18" t="s">
        <v>567</v>
      </c>
      <c r="J48" s="20" t="s">
        <v>567</v>
      </c>
      <c r="K48" s="18" t="n">
        <v>0.10661037</v>
      </c>
      <c r="L48" s="20" t="n">
        <v>0.07498389</v>
      </c>
      <c r="M48" s="18" t="n">
        <v>0</v>
      </c>
      <c r="N48" s="20" t="n">
        <v>0</v>
      </c>
      <c r="O48" s="18" t="n">
        <v>0</v>
      </c>
      <c r="P48" s="20" t="n">
        <v>0</v>
      </c>
      <c r="Q48" s="18" t="n">
        <v>0.24793891</v>
      </c>
      <c r="R48" s="20" t="n">
        <v>0.24677615</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(4986.0/B50*100)</f>
        <v/>
      </c>
      <c r="D50" s="19" t="n">
        <v>651</v>
      </c>
      <c r="E50" s="18" t="n">
        <v>65.66683698</v>
      </c>
      <c r="F50" s="20" t="n">
        <v>2.09207874</v>
      </c>
      <c r="G50" s="18" t="n">
        <v>30.86405968</v>
      </c>
      <c r="H50" s="20" t="n">
        <v>2.0193725</v>
      </c>
      <c r="I50" s="18" t="s">
        <v>567</v>
      </c>
      <c r="J50" s="20" t="s">
        <v>567</v>
      </c>
      <c r="K50" s="18" t="n">
        <v>3.03803418</v>
      </c>
      <c r="L50" s="20" t="n">
        <v>1.03997528</v>
      </c>
      <c r="M50" s="18" t="n">
        <v>0</v>
      </c>
      <c r="N50" s="20" t="n">
        <v>0</v>
      </c>
      <c r="O50" s="18" t="n">
        <v>0</v>
      </c>
      <c r="P50" s="20" t="n">
        <v>0</v>
      </c>
      <c r="Q50" s="18" t="n">
        <v>0.43106916</v>
      </c>
      <c r="R50" s="20" t="n">
        <v>0.31191453</v>
      </c>
    </row>
    <row r="51" spans="1:18">
      <c r="A51" s="15" t="s">
        <v>611</v>
      </c>
      <c r="B51" s="17" t="n">
        <v>3372</v>
      </c>
      <c r="C51" s="18">
        <f>(3064.0/B51*100)</f>
        <v/>
      </c>
      <c r="D51" s="19" t="n">
        <v>308</v>
      </c>
      <c r="E51" s="18" t="n">
        <v>67.36395005</v>
      </c>
      <c r="F51" s="20" t="n">
        <v>2.93076389</v>
      </c>
      <c r="G51" s="18" t="n">
        <v>32.63604995</v>
      </c>
      <c r="H51" s="20" t="n">
        <v>2.93076389</v>
      </c>
      <c r="I51" s="18" t="s">
        <v>567</v>
      </c>
      <c r="J51" s="20" t="s">
        <v>567</v>
      </c>
      <c r="K51" s="18" t="n">
        <v>0</v>
      </c>
      <c r="L51" s="20" t="n">
        <v>0</v>
      </c>
      <c r="M51" s="18" t="n">
        <v>0</v>
      </c>
      <c r="N51" s="20" t="n">
        <v>0</v>
      </c>
      <c r="O51" s="18" t="n">
        <v>0</v>
      </c>
      <c r="P51" s="20" t="n">
        <v>0</v>
      </c>
      <c r="Q51" s="18" t="n">
        <v>0</v>
      </c>
      <c r="R51" s="20" t="n">
        <v>0</v>
      </c>
    </row>
    <row r="52" spans="1:18">
      <c r="A52" s="15" t="s">
        <v>612</v>
      </c>
      <c r="B52" s="17" t="n">
        <v>2796</v>
      </c>
      <c r="C52" s="18">
        <f>(2478.0/B52*100)</f>
        <v/>
      </c>
      <c r="D52" s="19" t="n">
        <v>318</v>
      </c>
      <c r="E52" s="18" t="n">
        <v>63.67412399</v>
      </c>
      <c r="F52" s="20" t="n">
        <v>3.28474921</v>
      </c>
      <c r="G52" s="18" t="n">
        <v>35.75573404</v>
      </c>
      <c r="H52" s="20" t="n">
        <v>3.20183045</v>
      </c>
      <c r="I52" s="18" t="s">
        <v>567</v>
      </c>
      <c r="J52" s="20" t="s">
        <v>567</v>
      </c>
      <c r="K52" s="18" t="n">
        <v>0.23640031</v>
      </c>
      <c r="L52" s="20" t="n">
        <v>0.23795567</v>
      </c>
      <c r="M52" s="18" t="n">
        <v>0</v>
      </c>
      <c r="N52" s="20" t="n">
        <v>0</v>
      </c>
      <c r="O52" s="18" t="n">
        <v>0</v>
      </c>
      <c r="P52" s="20" t="n">
        <v>0</v>
      </c>
      <c r="Q52" s="18" t="n">
        <v>0.33374167</v>
      </c>
      <c r="R52" s="20" t="n">
        <v>0.33219263</v>
      </c>
    </row>
    <row r="53" spans="1:18">
      <c r="A53" s="15" t="s">
        <v>613</v>
      </c>
      <c r="B53" s="17" t="n">
        <v>2811</v>
      </c>
      <c r="C53" s="18">
        <f>(2502.0/B53*100)</f>
        <v/>
      </c>
      <c r="D53" s="19" t="n">
        <v>309</v>
      </c>
      <c r="E53" s="18" t="n">
        <v>66.83478503000001</v>
      </c>
      <c r="F53" s="20" t="n">
        <v>3.27712911</v>
      </c>
      <c r="G53" s="18" t="n">
        <v>31.74714456</v>
      </c>
      <c r="H53" s="20" t="n">
        <v>3.22302957</v>
      </c>
      <c r="I53" s="18" t="s">
        <v>567</v>
      </c>
      <c r="J53" s="20" t="s">
        <v>567</v>
      </c>
      <c r="K53" s="18" t="n">
        <v>1.03824588</v>
      </c>
      <c r="L53" s="20" t="n">
        <v>0.7330168500000001</v>
      </c>
      <c r="M53" s="18" t="n">
        <v>0</v>
      </c>
      <c r="N53" s="20" t="n">
        <v>0</v>
      </c>
      <c r="O53" s="18" t="n">
        <v>0</v>
      </c>
      <c r="P53" s="20" t="n">
        <v>0</v>
      </c>
      <c r="Q53" s="18" t="n">
        <v>0.37982453</v>
      </c>
      <c r="R53" s="20" t="n">
        <v>0.37707784</v>
      </c>
    </row>
    <row r="54" spans="1:18">
      <c r="A54" s="15" t="s">
        <v>614</v>
      </c>
      <c r="B54" s="17" t="n">
        <v>2266</v>
      </c>
      <c r="C54" s="18">
        <f>(2014.0/B54*100)</f>
        <v/>
      </c>
      <c r="D54" s="19" t="n">
        <v>252</v>
      </c>
      <c r="E54" s="18" t="n">
        <v>63.10792624</v>
      </c>
      <c r="F54" s="20" t="n">
        <v>3.34376855</v>
      </c>
      <c r="G54" s="18" t="n">
        <v>19.7892836</v>
      </c>
      <c r="H54" s="20" t="n">
        <v>2.8426577</v>
      </c>
      <c r="I54" s="18" t="s">
        <v>567</v>
      </c>
      <c r="J54" s="20" t="s">
        <v>567</v>
      </c>
      <c r="K54" s="18" t="n">
        <v>14.82326806</v>
      </c>
      <c r="L54" s="20" t="n">
        <v>2.91229467</v>
      </c>
      <c r="M54" s="18" t="n">
        <v>0</v>
      </c>
      <c r="N54" s="20" t="n">
        <v>0</v>
      </c>
      <c r="O54" s="18" t="n">
        <v>0</v>
      </c>
      <c r="P54" s="20" t="n">
        <v>0</v>
      </c>
      <c r="Q54" s="18" t="n">
        <v>2.2795221</v>
      </c>
      <c r="R54" s="20" t="n">
        <v>1.10140563</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(2377.0/B56*100)</f>
        <v/>
      </c>
      <c r="D56" s="19" t="n">
        <v>307</v>
      </c>
      <c r="E56" s="18" t="n">
        <v>54.13849277</v>
      </c>
      <c r="F56" s="20" t="n">
        <v>2.68544388</v>
      </c>
      <c r="G56" s="18" t="n">
        <v>45.44752528</v>
      </c>
      <c r="H56" s="20" t="n">
        <v>2.74753884</v>
      </c>
      <c r="I56" s="18" t="s">
        <v>567</v>
      </c>
      <c r="J56" s="20" t="s">
        <v>567</v>
      </c>
      <c r="K56" s="18" t="n">
        <v>0.41398195</v>
      </c>
      <c r="L56" s="20" t="n">
        <v>0.35148343</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(2939.0/B61*100)</f>
        <v/>
      </c>
      <c r="D61" s="19" t="n">
        <v>385</v>
      </c>
      <c r="E61" s="18" t="n">
        <v>64.35504533</v>
      </c>
      <c r="F61" s="20" t="n">
        <v>2.79574737</v>
      </c>
      <c r="G61" s="18" t="n">
        <v>35.04853296</v>
      </c>
      <c r="H61" s="20" t="n">
        <v>2.79538428</v>
      </c>
      <c r="I61" s="18" t="s">
        <v>567</v>
      </c>
      <c r="J61" s="20" t="s">
        <v>567</v>
      </c>
      <c r="K61" s="18" t="n">
        <v>0</v>
      </c>
      <c r="L61" s="20" t="n">
        <v>0</v>
      </c>
      <c r="M61" s="18" t="n">
        <v>0</v>
      </c>
      <c r="N61" s="20" t="n">
        <v>0</v>
      </c>
      <c r="O61" s="18" t="n">
        <v>0</v>
      </c>
      <c r="P61" s="20" t="n">
        <v>0</v>
      </c>
      <c r="Q61" s="18" t="n">
        <v>0.59642171</v>
      </c>
      <c r="R61" s="20" t="n">
        <v>0.51545902</v>
      </c>
    </row>
    <row r="62" spans="1:18">
      <c r="A62" s="15" t="s">
        <v>622</v>
      </c>
      <c r="B62" s="17" t="n">
        <v>2246</v>
      </c>
      <c r="C62" s="18">
        <f>(1996.0/B62*100)</f>
        <v/>
      </c>
      <c r="D62" s="19" t="n">
        <v>250</v>
      </c>
      <c r="E62" s="18" t="n">
        <v>48.85355485</v>
      </c>
      <c r="F62" s="20" t="n">
        <v>3.14493168</v>
      </c>
      <c r="G62" s="18" t="n">
        <v>51.14644515</v>
      </c>
      <c r="H62" s="20" t="n">
        <v>3.14493168</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(2601.0/B66*100)</f>
        <v/>
      </c>
      <c r="D66" s="19" t="n">
        <v>293</v>
      </c>
      <c r="E66" s="18" t="n">
        <v>67.89525908</v>
      </c>
      <c r="F66" s="20" t="n">
        <v>2.91722717</v>
      </c>
      <c r="G66" s="18" t="n">
        <v>29.91307116</v>
      </c>
      <c r="H66" s="20" t="n">
        <v>2.90840987</v>
      </c>
      <c r="I66" s="18" t="s">
        <v>567</v>
      </c>
      <c r="J66" s="20" t="s">
        <v>567</v>
      </c>
      <c r="K66" s="18" t="n">
        <v>0.60232743</v>
      </c>
      <c r="L66" s="20" t="n">
        <v>0.60137771</v>
      </c>
      <c r="M66" s="18" t="n">
        <v>0</v>
      </c>
      <c r="N66" s="20" t="n">
        <v>0</v>
      </c>
      <c r="O66" s="18" t="n">
        <v>0</v>
      </c>
      <c r="P66" s="20" t="n">
        <v>0</v>
      </c>
      <c r="Q66" s="18" t="n">
        <v>1.58934232</v>
      </c>
      <c r="R66" s="20" t="n">
        <v>0.71255806</v>
      </c>
    </row>
    <row r="67" spans="1:18">
      <c r="A67" s="15" t="s">
        <v>627</v>
      </c>
      <c r="B67" s="17" t="n">
        <v>3511</v>
      </c>
      <c r="C67" s="18">
        <f>(3180.0/B67*100)</f>
        <v/>
      </c>
      <c r="D67" s="19" t="n">
        <v>331</v>
      </c>
      <c r="E67" s="18" t="n">
        <v>65.11302077000001</v>
      </c>
      <c r="F67" s="20" t="n">
        <v>2.76976933</v>
      </c>
      <c r="G67" s="18" t="n">
        <v>34.34259823</v>
      </c>
      <c r="H67" s="20" t="n">
        <v>2.83837913</v>
      </c>
      <c r="I67" s="18" t="s">
        <v>567</v>
      </c>
      <c r="J67" s="20" t="s">
        <v>567</v>
      </c>
      <c r="K67" s="18" t="n">
        <v>0.2443334</v>
      </c>
      <c r="L67" s="20" t="n">
        <v>0.24789751</v>
      </c>
      <c r="M67" s="18" t="n">
        <v>0</v>
      </c>
      <c r="N67" s="20" t="n">
        <v>0</v>
      </c>
      <c r="O67" s="18" t="n">
        <v>0</v>
      </c>
      <c r="P67" s="20" t="n">
        <v>0</v>
      </c>
      <c r="Q67" s="18" t="n">
        <v>0.3000476</v>
      </c>
      <c r="R67" s="20" t="n">
        <v>0.29870162</v>
      </c>
    </row>
    <row r="68" spans="1:18">
      <c r="A68" s="15" t="s">
        <v>628</v>
      </c>
      <c r="B68" s="17" t="n">
        <v>6049</v>
      </c>
      <c r="C68" s="18">
        <f>(5389.0/B68*100)</f>
        <v/>
      </c>
      <c r="D68" s="19" t="n">
        <v>660</v>
      </c>
      <c r="E68" s="18" t="n">
        <v>64.97760175000001</v>
      </c>
      <c r="F68" s="20" t="n">
        <v>1.88690606</v>
      </c>
      <c r="G68" s="18" t="n">
        <v>31.18285999</v>
      </c>
      <c r="H68" s="20" t="n">
        <v>1.89643918</v>
      </c>
      <c r="I68" s="18" t="s">
        <v>567</v>
      </c>
      <c r="J68" s="20" t="s">
        <v>567</v>
      </c>
      <c r="K68" s="18" t="n">
        <v>2.94455837</v>
      </c>
      <c r="L68" s="20" t="n">
        <v>0.6828007699999999</v>
      </c>
      <c r="M68" s="18" t="n">
        <v>0</v>
      </c>
      <c r="N68" s="20" t="n">
        <v>0</v>
      </c>
      <c r="O68" s="18" t="n">
        <v>0</v>
      </c>
      <c r="P68" s="20" t="n">
        <v>0</v>
      </c>
      <c r="Q68" s="18" t="n">
        <v>0.89497989</v>
      </c>
      <c r="R68" s="20" t="n">
        <v>0.34779352</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(2619.0/B70*100)</f>
        <v/>
      </c>
      <c r="D70" s="19" t="n">
        <v>310</v>
      </c>
      <c r="E70" s="18" t="n">
        <v>61.35529047</v>
      </c>
      <c r="F70" s="20" t="n">
        <v>2.783499</v>
      </c>
      <c r="G70" s="18" t="n">
        <v>38.28152767</v>
      </c>
      <c r="H70" s="20" t="n">
        <v>2.90322805</v>
      </c>
      <c r="I70" s="18" t="s">
        <v>567</v>
      </c>
      <c r="J70" s="20" t="s">
        <v>567</v>
      </c>
      <c r="K70" s="18" t="n">
        <v>0</v>
      </c>
      <c r="L70" s="20" t="n">
        <v>0</v>
      </c>
      <c r="M70" s="18" t="n">
        <v>0</v>
      </c>
      <c r="N70" s="20" t="n">
        <v>0</v>
      </c>
      <c r="O70" s="18" t="n">
        <v>0</v>
      </c>
      <c r="P70" s="20" t="n">
        <v>0</v>
      </c>
      <c r="Q70" s="18" t="n">
        <v>0.36318185</v>
      </c>
      <c r="R70" s="20" t="n">
        <v>0.3748155</v>
      </c>
    </row>
    <row r="71" spans="1:18">
      <c r="A71" s="15" t="s">
        <v>631</v>
      </c>
      <c r="B71" s="17" t="n">
        <v>3142</v>
      </c>
      <c r="C71" s="18">
        <f>(2803.0/B71*100)</f>
        <v/>
      </c>
      <c r="D71" s="19" t="n">
        <v>339</v>
      </c>
      <c r="E71" s="18" t="n">
        <v>40.92232051</v>
      </c>
      <c r="F71" s="20" t="n">
        <v>2.61280653</v>
      </c>
      <c r="G71" s="18" t="n">
        <v>58.49790114</v>
      </c>
      <c r="H71" s="20" t="n">
        <v>2.5878485</v>
      </c>
      <c r="I71" s="18" t="s">
        <v>567</v>
      </c>
      <c r="J71" s="20" t="s">
        <v>567</v>
      </c>
      <c r="K71" s="18" t="n">
        <v>0.57977835</v>
      </c>
      <c r="L71" s="20" t="n">
        <v>0.4107158</v>
      </c>
      <c r="M71" s="18" t="n">
        <v>0</v>
      </c>
      <c r="N71" s="20" t="n">
        <v>0</v>
      </c>
      <c r="O71" s="18" t="n">
        <v>0</v>
      </c>
      <c r="P71" s="20" t="n">
        <v>0</v>
      </c>
      <c r="Q71" s="18" t="n">
        <v>0</v>
      </c>
      <c r="R71" s="20" t="n">
        <v>0</v>
      </c>
    </row>
    <row r="72" spans="1:18">
      <c r="A72" s="15" t="s">
        <v>632</v>
      </c>
      <c r="B72" s="17" t="n">
        <v>3889</v>
      </c>
      <c r="C72" s="18">
        <f>(3472.0/B72*100)</f>
        <v/>
      </c>
      <c r="D72" s="19" t="n">
        <v>417</v>
      </c>
      <c r="E72" s="18" t="n">
        <v>58.09671427</v>
      </c>
      <c r="F72" s="20" t="n">
        <v>2.47898514</v>
      </c>
      <c r="G72" s="18" t="n">
        <v>41.90328573</v>
      </c>
      <c r="H72" s="20" t="n">
        <v>2.47898514</v>
      </c>
      <c r="I72" s="18" t="s">
        <v>567</v>
      </c>
      <c r="J72" s="20" t="s">
        <v>567</v>
      </c>
      <c r="K72" s="18" t="n">
        <v>0</v>
      </c>
      <c r="L72" s="20" t="n">
        <v>0</v>
      </c>
      <c r="M72" s="18" t="n">
        <v>0</v>
      </c>
      <c r="N72" s="20" t="n">
        <v>0</v>
      </c>
      <c r="O72" s="18" t="n">
        <v>0</v>
      </c>
      <c r="P72" s="20" t="n">
        <v>0</v>
      </c>
      <c r="Q72" s="18" t="n">
        <v>0</v>
      </c>
      <c r="R72" s="20" t="n">
        <v>0</v>
      </c>
    </row>
    <row r="73" spans="1:18">
      <c r="A73" s="15" t="s">
        <v>633</v>
      </c>
      <c r="B73" s="17" t="n">
        <v>3597</v>
      </c>
      <c r="C73" s="18">
        <f>(3220.0/B73*100)</f>
        <v/>
      </c>
      <c r="D73" s="19" t="n">
        <v>377</v>
      </c>
      <c r="E73" s="18" t="n">
        <v>72.35160406999999</v>
      </c>
      <c r="F73" s="20" t="n">
        <v>2.34852346</v>
      </c>
      <c r="G73" s="18" t="n">
        <v>27.63710996</v>
      </c>
      <c r="H73" s="20" t="n">
        <v>2.34851502</v>
      </c>
      <c r="I73" s="18" t="s">
        <v>567</v>
      </c>
      <c r="J73" s="20" t="s">
        <v>567</v>
      </c>
      <c r="K73" s="18" t="n">
        <v>0.01128596</v>
      </c>
      <c r="L73" s="20" t="n">
        <v>0.01137625</v>
      </c>
      <c r="M73" s="18" t="n">
        <v>0</v>
      </c>
      <c r="N73" s="20" t="n">
        <v>0</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(2164.0/B75*100)</f>
        <v/>
      </c>
      <c r="D75" s="19" t="n">
        <v>242</v>
      </c>
      <c r="E75" s="18" t="n">
        <v>68.57314241</v>
      </c>
      <c r="F75" s="20" t="n">
        <v>3.10522879</v>
      </c>
      <c r="G75" s="18" t="n">
        <v>24.22639169</v>
      </c>
      <c r="H75" s="20" t="n">
        <v>3.08481645</v>
      </c>
      <c r="I75" s="18" t="s">
        <v>567</v>
      </c>
      <c r="J75" s="20" t="s">
        <v>567</v>
      </c>
      <c r="K75" s="18" t="n">
        <v>4.63130939</v>
      </c>
      <c r="L75" s="20" t="n">
        <v>1.25630082</v>
      </c>
      <c r="M75" s="18" t="n">
        <v>0</v>
      </c>
      <c r="N75" s="20" t="n">
        <v>0</v>
      </c>
      <c r="O75" s="18" t="n">
        <v>0</v>
      </c>
      <c r="P75" s="20" t="n">
        <v>0</v>
      </c>
      <c r="Q75" s="18" t="n">
        <v>2.56915651</v>
      </c>
      <c r="R75" s="20" t="n">
        <v>0.94100287</v>
      </c>
    </row>
    <row r="76" spans="1:18">
      <c r="A76" s="15" t="s">
        <v>636</v>
      </c>
      <c r="B76" s="17" t="n">
        <v>7052</v>
      </c>
      <c r="C76" s="18">
        <f>(6309.0/B76*100)</f>
        <v/>
      </c>
      <c r="D76" s="19" t="n">
        <v>743</v>
      </c>
      <c r="E76" s="18" t="n">
        <v>63.67182233</v>
      </c>
      <c r="F76" s="20" t="n">
        <v>2.22270227</v>
      </c>
      <c r="G76" s="18" t="n">
        <v>34.81347438</v>
      </c>
      <c r="H76" s="20" t="n">
        <v>2.09112717</v>
      </c>
      <c r="I76" s="18" t="s">
        <v>567</v>
      </c>
      <c r="J76" s="20" t="s">
        <v>567</v>
      </c>
      <c r="K76" s="18" t="n">
        <v>1.1570969</v>
      </c>
      <c r="L76" s="20" t="n">
        <v>0.49909907</v>
      </c>
      <c r="M76" s="18" t="n">
        <v>0</v>
      </c>
      <c r="N76" s="20" t="n">
        <v>0</v>
      </c>
      <c r="O76" s="18" t="n">
        <v>0</v>
      </c>
      <c r="P76" s="20" t="n">
        <v>0</v>
      </c>
      <c r="Q76" s="18" t="n">
        <v>0.3576064</v>
      </c>
      <c r="R76" s="20" t="n">
        <v>0.25311316</v>
      </c>
    </row>
    <row r="77" spans="1:18">
      <c r="A77" s="15" t="s">
        <v>637</v>
      </c>
      <c r="B77" s="17" t="n">
        <v>2908</v>
      </c>
      <c r="C77" s="18">
        <f>(2587.0/B77*100)</f>
        <v/>
      </c>
      <c r="D77" s="19" t="n">
        <v>321</v>
      </c>
      <c r="E77" s="18" t="n">
        <v>63.65114732</v>
      </c>
      <c r="F77" s="20" t="n">
        <v>2.97587688</v>
      </c>
      <c r="G77" s="18" t="n">
        <v>33.79850414</v>
      </c>
      <c r="H77" s="20" t="n">
        <v>2.85902065</v>
      </c>
      <c r="I77" s="18" t="s">
        <v>567</v>
      </c>
      <c r="J77" s="20" t="s">
        <v>567</v>
      </c>
      <c r="K77" s="18" t="n">
        <v>1.07008144</v>
      </c>
      <c r="L77" s="20" t="n">
        <v>0.56025395</v>
      </c>
      <c r="M77" s="18" t="n">
        <v>0</v>
      </c>
      <c r="N77" s="20" t="n">
        <v>0</v>
      </c>
      <c r="O77" s="18" t="n">
        <v>0</v>
      </c>
      <c r="P77" s="20" t="n">
        <v>0</v>
      </c>
      <c r="Q77" s="18" t="n">
        <v>1.48026711</v>
      </c>
      <c r="R77" s="20" t="n">
        <v>0.65892414</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(3689.0/B81*100)</f>
        <v/>
      </c>
      <c r="D81" s="19" t="n">
        <v>474</v>
      </c>
      <c r="E81" s="18" t="n">
        <v>61.10483841</v>
      </c>
      <c r="F81" s="20" t="n">
        <v>2.89277841</v>
      </c>
      <c r="G81" s="18" t="n">
        <v>38.51587163</v>
      </c>
      <c r="H81" s="20" t="n">
        <v>2.84323919</v>
      </c>
      <c r="I81" s="18" t="s">
        <v>567</v>
      </c>
      <c r="J81" s="20" t="s">
        <v>567</v>
      </c>
      <c r="K81" s="18" t="n">
        <v>0.37928997</v>
      </c>
      <c r="L81" s="20" t="n">
        <v>0.46420758</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(6597.0/B7*100)</f>
        <v/>
      </c>
      <c r="D7" s="19" t="n">
        <v>770</v>
      </c>
      <c r="E7" s="18" t="n">
        <v>51.5400445</v>
      </c>
      <c r="F7" s="20" t="n">
        <v>2.21649978</v>
      </c>
      <c r="G7" s="18" t="n">
        <v>45.7678059</v>
      </c>
      <c r="H7" s="20" t="n">
        <v>2.30008536</v>
      </c>
      <c r="I7" s="18" t="s">
        <v>567</v>
      </c>
      <c r="J7" s="20" t="s">
        <v>567</v>
      </c>
      <c r="K7" s="18" t="n">
        <v>0.5486491</v>
      </c>
      <c r="L7" s="20" t="n">
        <v>0.28346006</v>
      </c>
      <c r="M7" s="18" t="n">
        <v>0</v>
      </c>
      <c r="N7" s="20" t="n">
        <v>0</v>
      </c>
      <c r="O7" s="18" t="n">
        <v>0</v>
      </c>
      <c r="P7" s="20" t="n">
        <v>0</v>
      </c>
      <c r="Q7" s="18" t="n">
        <v>2.14350051</v>
      </c>
      <c r="R7" s="20" t="n">
        <v>0.5967927200000001</v>
      </c>
    </row>
    <row r="8" spans="1:18">
      <c r="A8" s="15" t="s">
        <v>568</v>
      </c>
      <c r="B8" s="17" t="n">
        <v>3564</v>
      </c>
      <c r="C8" s="18">
        <f>(3176.0/B8*100)</f>
        <v/>
      </c>
      <c r="D8" s="19" t="n">
        <v>388</v>
      </c>
      <c r="E8" s="18" t="n">
        <v>62.1608054</v>
      </c>
      <c r="F8" s="20" t="n">
        <v>2.35385462</v>
      </c>
      <c r="G8" s="18" t="n">
        <v>36.66537834</v>
      </c>
      <c r="H8" s="20" t="n">
        <v>2.37943835</v>
      </c>
      <c r="I8" s="18" t="s">
        <v>567</v>
      </c>
      <c r="J8" s="20" t="s">
        <v>567</v>
      </c>
      <c r="K8" s="18" t="n">
        <v>0</v>
      </c>
      <c r="L8" s="20" t="n">
        <v>0</v>
      </c>
      <c r="M8" s="18" t="n">
        <v>0</v>
      </c>
      <c r="N8" s="20" t="n">
        <v>0</v>
      </c>
      <c r="O8" s="18" t="n">
        <v>0</v>
      </c>
      <c r="P8" s="20" t="n">
        <v>0</v>
      </c>
      <c r="Q8" s="18" t="n">
        <v>1.17381626</v>
      </c>
      <c r="R8" s="20" t="n">
        <v>0.65210731</v>
      </c>
    </row>
    <row r="9" spans="1:18">
      <c r="A9" s="15" t="s">
        <v>569</v>
      </c>
      <c r="B9" s="17" t="n">
        <v>4899</v>
      </c>
      <c r="C9" s="18">
        <f>(4383.0/B9*100)</f>
        <v/>
      </c>
      <c r="D9" s="19" t="n">
        <v>516</v>
      </c>
      <c r="E9" s="18" t="n">
        <v>57.00061681</v>
      </c>
      <c r="F9" s="20" t="n">
        <v>2.70099311</v>
      </c>
      <c r="G9" s="18" t="n">
        <v>41.43836548</v>
      </c>
      <c r="H9" s="20" t="n">
        <v>2.61035955</v>
      </c>
      <c r="I9" s="18" t="s">
        <v>567</v>
      </c>
      <c r="J9" s="20" t="s">
        <v>567</v>
      </c>
      <c r="K9" s="18" t="n">
        <v>0.16129665</v>
      </c>
      <c r="L9" s="20" t="n">
        <v>0.15539653</v>
      </c>
      <c r="M9" s="18" t="n">
        <v>0</v>
      </c>
      <c r="N9" s="20" t="n">
        <v>0</v>
      </c>
      <c r="O9" s="18" t="n">
        <v>0</v>
      </c>
      <c r="P9" s="20" t="n">
        <v>0</v>
      </c>
      <c r="Q9" s="18" t="n">
        <v>1.39972106</v>
      </c>
      <c r="R9" s="20" t="n">
        <v>0.63634368</v>
      </c>
    </row>
    <row r="10" spans="1:18">
      <c r="A10" s="15" t="s">
        <v>570</v>
      </c>
      <c r="B10" s="17" t="n">
        <v>10036</v>
      </c>
      <c r="C10" s="18">
        <f>(8881.0/B10*100)</f>
        <v/>
      </c>
      <c r="D10" s="19" t="n">
        <v>1155</v>
      </c>
      <c r="E10" s="18" t="n">
        <v>52.87557727</v>
      </c>
      <c r="F10" s="20" t="n">
        <v>2.09832267</v>
      </c>
      <c r="G10" s="18" t="n">
        <v>46.12942037</v>
      </c>
      <c r="H10" s="20" t="n">
        <v>2.10618583</v>
      </c>
      <c r="I10" s="18" t="s">
        <v>567</v>
      </c>
      <c r="J10" s="20" t="s">
        <v>567</v>
      </c>
      <c r="K10" s="18" t="n">
        <v>0.88163518</v>
      </c>
      <c r="L10" s="20" t="n">
        <v>0.38776563</v>
      </c>
      <c r="M10" s="18" t="n">
        <v>0</v>
      </c>
      <c r="N10" s="20" t="n">
        <v>0</v>
      </c>
      <c r="O10" s="18" t="n">
        <v>0</v>
      </c>
      <c r="P10" s="20" t="n">
        <v>0</v>
      </c>
      <c r="Q10" s="18" t="n">
        <v>0.11336718</v>
      </c>
      <c r="R10" s="20" t="n">
        <v>0.05811163</v>
      </c>
    </row>
    <row r="11" spans="1:18">
      <c r="A11" s="15" t="s">
        <v>571</v>
      </c>
      <c r="B11" s="17" t="n">
        <v>3553</v>
      </c>
      <c r="C11" s="18">
        <f>(3179.0/B11*100)</f>
        <v/>
      </c>
      <c r="D11" s="19" t="n">
        <v>374</v>
      </c>
      <c r="E11" s="18" t="n">
        <v>55.85441333</v>
      </c>
      <c r="F11" s="20" t="n">
        <v>3.34317282</v>
      </c>
      <c r="G11" s="18" t="n">
        <v>40.64568219</v>
      </c>
      <c r="H11" s="20" t="n">
        <v>3.57266326</v>
      </c>
      <c r="I11" s="18" t="s">
        <v>567</v>
      </c>
      <c r="J11" s="20" t="s">
        <v>567</v>
      </c>
      <c r="K11" s="18" t="n">
        <v>1.72714559</v>
      </c>
      <c r="L11" s="20" t="n">
        <v>0.72906544</v>
      </c>
      <c r="M11" s="18" t="n">
        <v>0</v>
      </c>
      <c r="N11" s="20" t="n">
        <v>0</v>
      </c>
      <c r="O11" s="18" t="n">
        <v>0</v>
      </c>
      <c r="P11" s="20" t="n">
        <v>0</v>
      </c>
      <c r="Q11" s="18" t="n">
        <v>1.77275889</v>
      </c>
      <c r="R11" s="20" t="n">
        <v>0.74388538</v>
      </c>
    </row>
    <row r="12" spans="1:18">
      <c r="A12" s="15" t="s">
        <v>572</v>
      </c>
      <c r="B12" s="17" t="n">
        <v>3472</v>
      </c>
      <c r="C12" s="18">
        <f>(3074.0/B12*100)</f>
        <v/>
      </c>
      <c r="D12" s="19" t="n">
        <v>398</v>
      </c>
      <c r="E12" s="18" t="n">
        <v>54.01591957</v>
      </c>
      <c r="F12" s="20" t="n">
        <v>2.87138673</v>
      </c>
      <c r="G12" s="18" t="n">
        <v>44.80602739</v>
      </c>
      <c r="H12" s="20" t="n">
        <v>2.84148084</v>
      </c>
      <c r="I12" s="18" t="s">
        <v>567</v>
      </c>
      <c r="J12" s="20" t="s">
        <v>567</v>
      </c>
      <c r="K12" s="18" t="n">
        <v>0.23039362</v>
      </c>
      <c r="L12" s="20" t="n">
        <v>0.22641253</v>
      </c>
      <c r="M12" s="18" t="n">
        <v>0</v>
      </c>
      <c r="N12" s="20" t="n">
        <v>0</v>
      </c>
      <c r="O12" s="18" t="n">
        <v>0</v>
      </c>
      <c r="P12" s="20" t="n">
        <v>0</v>
      </c>
      <c r="Q12" s="18" t="n">
        <v>0.94765942</v>
      </c>
      <c r="R12" s="20" t="n">
        <v>0.7593238</v>
      </c>
    </row>
    <row r="13" spans="1:18">
      <c r="A13" s="15" t="s">
        <v>573</v>
      </c>
      <c r="B13" s="17" t="n">
        <v>3559</v>
      </c>
      <c r="C13" s="18">
        <f>(3184.0/B13*100)</f>
        <v/>
      </c>
      <c r="D13" s="19" t="n">
        <v>375</v>
      </c>
      <c r="E13" s="18" t="n">
        <v>59.15474455</v>
      </c>
      <c r="F13" s="20" t="n">
        <v>2.75978721</v>
      </c>
      <c r="G13" s="18" t="n">
        <v>38.62694096</v>
      </c>
      <c r="H13" s="20" t="n">
        <v>2.93821805</v>
      </c>
      <c r="I13" s="18" t="s">
        <v>567</v>
      </c>
      <c r="J13" s="20" t="s">
        <v>567</v>
      </c>
      <c r="K13" s="18" t="n">
        <v>1.44242359</v>
      </c>
      <c r="L13" s="20" t="n">
        <v>0.99716273</v>
      </c>
      <c r="M13" s="18" t="n">
        <v>0</v>
      </c>
      <c r="N13" s="20" t="n">
        <v>0</v>
      </c>
      <c r="O13" s="18" t="n">
        <v>0</v>
      </c>
      <c r="P13" s="20" t="n">
        <v>0</v>
      </c>
      <c r="Q13" s="18" t="n">
        <v>0.7758909</v>
      </c>
      <c r="R13" s="20" t="n">
        <v>0.48021061</v>
      </c>
    </row>
    <row r="14" spans="1:18">
      <c r="A14" s="15" t="s">
        <v>574</v>
      </c>
      <c r="B14" s="17" t="n">
        <v>2799</v>
      </c>
      <c r="C14" s="18">
        <f>(2487.0/B14*100)</f>
        <v/>
      </c>
      <c r="D14" s="19" t="n">
        <v>312</v>
      </c>
      <c r="E14" s="18" t="n">
        <v>53.62113457</v>
      </c>
      <c r="F14" s="20" t="n">
        <v>3.0160693</v>
      </c>
      <c r="G14" s="18" t="n">
        <v>45.59876141</v>
      </c>
      <c r="H14" s="20" t="n">
        <v>3.0268147</v>
      </c>
      <c r="I14" s="18" t="s">
        <v>567</v>
      </c>
      <c r="J14" s="20" t="s">
        <v>567</v>
      </c>
      <c r="K14" s="18" t="n">
        <v>0</v>
      </c>
      <c r="L14" s="20" t="n">
        <v>0</v>
      </c>
      <c r="M14" s="18" t="n">
        <v>0</v>
      </c>
      <c r="N14" s="20" t="n">
        <v>0</v>
      </c>
      <c r="O14" s="18" t="n">
        <v>0</v>
      </c>
      <c r="P14" s="20" t="n">
        <v>0</v>
      </c>
      <c r="Q14" s="18" t="n">
        <v>0.78010402</v>
      </c>
      <c r="R14" s="20" t="n">
        <v>0.4504272</v>
      </c>
    </row>
    <row r="15" spans="1:18">
      <c r="A15" s="15" t="s">
        <v>575</v>
      </c>
      <c r="B15" s="17" t="n">
        <v>3019</v>
      </c>
      <c r="C15" s="18">
        <f>(2721.0/B15*100)</f>
        <v/>
      </c>
      <c r="D15" s="19" t="n">
        <v>298</v>
      </c>
      <c r="E15" s="18" t="n">
        <v>52.00340798</v>
      </c>
      <c r="F15" s="20" t="n">
        <v>2.94257073</v>
      </c>
      <c r="G15" s="18" t="n">
        <v>47.37448428</v>
      </c>
      <c r="H15" s="20" t="n">
        <v>2.91758438</v>
      </c>
      <c r="I15" s="18" t="s">
        <v>567</v>
      </c>
      <c r="J15" s="20" t="s">
        <v>567</v>
      </c>
      <c r="K15" s="18" t="n">
        <v>0</v>
      </c>
      <c r="L15" s="20" t="n">
        <v>0</v>
      </c>
      <c r="M15" s="18" t="n">
        <v>0</v>
      </c>
      <c r="N15" s="20" t="n">
        <v>0</v>
      </c>
      <c r="O15" s="18" t="n">
        <v>0</v>
      </c>
      <c r="P15" s="20" t="n">
        <v>0</v>
      </c>
      <c r="Q15" s="18" t="n">
        <v>0.62210774</v>
      </c>
      <c r="R15" s="20" t="n">
        <v>0.44312032</v>
      </c>
    </row>
    <row r="16" spans="1:18">
      <c r="A16" s="15" t="s">
        <v>576</v>
      </c>
      <c r="B16" s="17" t="n">
        <v>2997</v>
      </c>
      <c r="C16" s="18">
        <f>(2675.0/B16*100)</f>
        <v/>
      </c>
      <c r="D16" s="19" t="n">
        <v>322</v>
      </c>
      <c r="E16" s="18" t="n">
        <v>49.92920511</v>
      </c>
      <c r="F16" s="20" t="n">
        <v>2.88796579</v>
      </c>
      <c r="G16" s="18" t="n">
        <v>45.1782359</v>
      </c>
      <c r="H16" s="20" t="n">
        <v>2.38422963</v>
      </c>
      <c r="I16" s="18" t="s">
        <v>567</v>
      </c>
      <c r="J16" s="20" t="s">
        <v>567</v>
      </c>
      <c r="K16" s="18" t="n">
        <v>1.55619577</v>
      </c>
      <c r="L16" s="20" t="n">
        <v>0.99872675</v>
      </c>
      <c r="M16" s="18" t="n">
        <v>0</v>
      </c>
      <c r="N16" s="20" t="n">
        <v>0</v>
      </c>
      <c r="O16" s="18" t="n">
        <v>0</v>
      </c>
      <c r="P16" s="20" t="n">
        <v>0</v>
      </c>
      <c r="Q16" s="18" t="n">
        <v>3.33636322</v>
      </c>
      <c r="R16" s="20" t="n">
        <v>1.26835518</v>
      </c>
    </row>
    <row r="17" spans="1:18">
      <c r="A17" s="15" t="s">
        <v>577</v>
      </c>
      <c r="B17" s="17" t="n">
        <v>3307</v>
      </c>
      <c r="C17" s="18">
        <f>(2974.0/B17*100)</f>
        <v/>
      </c>
      <c r="D17" s="19" t="n">
        <v>333</v>
      </c>
      <c r="E17" s="18" t="n">
        <v>61.96960444</v>
      </c>
      <c r="F17" s="20" t="n">
        <v>2.6182724</v>
      </c>
      <c r="G17" s="18" t="n">
        <v>36.99856054</v>
      </c>
      <c r="H17" s="20" t="n">
        <v>2.58952453</v>
      </c>
      <c r="I17" s="18" t="s">
        <v>567</v>
      </c>
      <c r="J17" s="20" t="s">
        <v>567</v>
      </c>
      <c r="K17" s="18" t="n">
        <v>0.37877485</v>
      </c>
      <c r="L17" s="20" t="n">
        <v>0.18766421</v>
      </c>
      <c r="M17" s="18" t="n">
        <v>0</v>
      </c>
      <c r="N17" s="20" t="n">
        <v>0</v>
      </c>
      <c r="O17" s="18" t="n">
        <v>0</v>
      </c>
      <c r="P17" s="20" t="n">
        <v>0</v>
      </c>
      <c r="Q17" s="18" t="n">
        <v>0.6530601700000001</v>
      </c>
      <c r="R17" s="20" t="n">
        <v>0.38653125</v>
      </c>
    </row>
    <row r="18" spans="1:18">
      <c r="A18" s="15" t="s">
        <v>578</v>
      </c>
      <c r="B18" s="17" t="n">
        <v>2826</v>
      </c>
      <c r="C18" s="18">
        <f>(2496.0/B18*100)</f>
        <v/>
      </c>
      <c r="D18" s="19" t="n">
        <v>330</v>
      </c>
      <c r="E18" s="18" t="n">
        <v>63.98244215</v>
      </c>
      <c r="F18" s="20" t="n">
        <v>2.99050851</v>
      </c>
      <c r="G18" s="18" t="n">
        <v>34.56997149</v>
      </c>
      <c r="H18" s="20" t="n">
        <v>3.0309013</v>
      </c>
      <c r="I18" s="18" t="s">
        <v>567</v>
      </c>
      <c r="J18" s="20" t="s">
        <v>567</v>
      </c>
      <c r="K18" s="18" t="n">
        <v>0.31647014</v>
      </c>
      <c r="L18" s="20" t="n">
        <v>0.29516684</v>
      </c>
      <c r="M18" s="18" t="n">
        <v>0</v>
      </c>
      <c r="N18" s="20" t="n">
        <v>0</v>
      </c>
      <c r="O18" s="18" t="n">
        <v>0</v>
      </c>
      <c r="P18" s="20" t="n">
        <v>0</v>
      </c>
      <c r="Q18" s="18" t="n">
        <v>1.13111622</v>
      </c>
      <c r="R18" s="20" t="n">
        <v>0.57241396</v>
      </c>
    </row>
    <row r="19" spans="1:18">
      <c r="A19" s="15" t="s">
        <v>579</v>
      </c>
      <c r="B19" s="17" t="n">
        <v>2808</v>
      </c>
      <c r="C19" s="18">
        <f>(2511.0/B19*100)</f>
        <v/>
      </c>
      <c r="D19" s="19" t="n">
        <v>297</v>
      </c>
      <c r="E19" s="18" t="n">
        <v>0</v>
      </c>
      <c r="F19" s="20" t="n">
        <v>0</v>
      </c>
      <c r="G19" s="18" t="n">
        <v>0</v>
      </c>
      <c r="H19" s="20" t="n">
        <v>0</v>
      </c>
      <c r="I19" s="18" t="s">
        <v>567</v>
      </c>
      <c r="J19" s="20" t="s">
        <v>567</v>
      </c>
      <c r="K19" s="18" t="n">
        <v>0</v>
      </c>
      <c r="L19" s="20" t="n">
        <v>0</v>
      </c>
      <c r="M19" s="18" t="n">
        <v>100</v>
      </c>
      <c r="N19" s="20" t="n">
        <v>0</v>
      </c>
      <c r="O19" s="18" t="n">
        <v>0</v>
      </c>
      <c r="P19" s="20" t="n">
        <v>0</v>
      </c>
      <c r="Q19" s="18" t="n">
        <v>0</v>
      </c>
      <c r="R19" s="20" t="n">
        <v>0</v>
      </c>
    </row>
    <row r="20" spans="1:18">
      <c r="A20" s="15" t="s">
        <v>580</v>
      </c>
      <c r="B20" s="17" t="n">
        <v>1630</v>
      </c>
      <c r="C20" s="18">
        <f>(1455.0/B20*100)</f>
        <v/>
      </c>
      <c r="D20" s="19" t="n">
        <v>175</v>
      </c>
      <c r="E20" s="18" t="n">
        <v>54.09988322</v>
      </c>
      <c r="F20" s="20" t="n">
        <v>3.45743251</v>
      </c>
      <c r="G20" s="18" t="n">
        <v>43.71843176</v>
      </c>
      <c r="H20" s="20" t="n">
        <v>3.5368685</v>
      </c>
      <c r="I20" s="18" t="s">
        <v>567</v>
      </c>
      <c r="J20" s="20" t="s">
        <v>567</v>
      </c>
      <c r="K20" s="18" t="n">
        <v>0.56411155</v>
      </c>
      <c r="L20" s="20" t="n">
        <v>0.57287294</v>
      </c>
      <c r="M20" s="18" t="n">
        <v>0</v>
      </c>
      <c r="N20" s="20" t="n">
        <v>0</v>
      </c>
      <c r="O20" s="18" t="n">
        <v>0</v>
      </c>
      <c r="P20" s="20" t="n">
        <v>0</v>
      </c>
      <c r="Q20" s="18" t="n">
        <v>1.61757347</v>
      </c>
      <c r="R20" s="20" t="n">
        <v>0.91842043</v>
      </c>
    </row>
    <row r="21" spans="1:18">
      <c r="A21" s="15" t="s">
        <v>581</v>
      </c>
      <c r="B21" s="17" t="n">
        <v>2908</v>
      </c>
      <c r="C21" s="18">
        <f>(2589.0/B21*100)</f>
        <v/>
      </c>
      <c r="D21" s="19" t="n">
        <v>319</v>
      </c>
      <c r="E21" s="18" t="n">
        <v>47.50986749</v>
      </c>
      <c r="F21" s="20" t="n">
        <v>3.12450866</v>
      </c>
      <c r="G21" s="18" t="n">
        <v>50.05737822</v>
      </c>
      <c r="H21" s="20" t="n">
        <v>3.1272135</v>
      </c>
      <c r="I21" s="18" t="s">
        <v>567</v>
      </c>
      <c r="J21" s="20" t="s">
        <v>567</v>
      </c>
      <c r="K21" s="18" t="n">
        <v>0.9077421</v>
      </c>
      <c r="L21" s="20" t="n">
        <v>0.5716795</v>
      </c>
      <c r="M21" s="18" t="n">
        <v>0</v>
      </c>
      <c r="N21" s="20" t="n">
        <v>0</v>
      </c>
      <c r="O21" s="18" t="n">
        <v>0</v>
      </c>
      <c r="P21" s="20" t="n">
        <v>0</v>
      </c>
      <c r="Q21" s="18" t="n">
        <v>1.52501219</v>
      </c>
      <c r="R21" s="20" t="n">
        <v>0.6384755</v>
      </c>
    </row>
    <row r="22" spans="1:18">
      <c r="A22" s="15" t="s">
        <v>582</v>
      </c>
      <c r="B22" s="17" t="n">
        <v>2931</v>
      </c>
      <c r="C22" s="18">
        <f>(2613.0/B22*100)</f>
        <v/>
      </c>
      <c r="D22" s="19" t="n">
        <v>318</v>
      </c>
      <c r="E22" s="18" t="n">
        <v>65.67501279</v>
      </c>
      <c r="F22" s="20" t="n">
        <v>2.55731111</v>
      </c>
      <c r="G22" s="18" t="n">
        <v>29.85654775</v>
      </c>
      <c r="H22" s="20" t="n">
        <v>2.75362544</v>
      </c>
      <c r="I22" s="18" t="s">
        <v>567</v>
      </c>
      <c r="J22" s="20" t="s">
        <v>567</v>
      </c>
      <c r="K22" s="18" t="n">
        <v>1.76054471</v>
      </c>
      <c r="L22" s="20" t="n">
        <v>0.7080092</v>
      </c>
      <c r="M22" s="18" t="n">
        <v>0</v>
      </c>
      <c r="N22" s="20" t="n">
        <v>0</v>
      </c>
      <c r="O22" s="18" t="n">
        <v>0</v>
      </c>
      <c r="P22" s="20" t="n">
        <v>0</v>
      </c>
      <c r="Q22" s="18" t="n">
        <v>2.70789475</v>
      </c>
      <c r="R22" s="20" t="n">
        <v>1.04310202</v>
      </c>
    </row>
    <row r="23" spans="1:18">
      <c r="A23" s="15" t="s">
        <v>583</v>
      </c>
      <c r="B23" s="17" t="n">
        <v>5791</v>
      </c>
      <c r="C23" s="18">
        <f>(5189.0/B23*100)</f>
        <v/>
      </c>
      <c r="D23" s="19" t="n">
        <v>602</v>
      </c>
      <c r="E23" s="18" t="n">
        <v>65.20197883</v>
      </c>
      <c r="F23" s="20" t="n">
        <v>2.85409477</v>
      </c>
      <c r="G23" s="18" t="n">
        <v>33.76349042</v>
      </c>
      <c r="H23" s="20" t="n">
        <v>2.83467234</v>
      </c>
      <c r="I23" s="18" t="s">
        <v>567</v>
      </c>
      <c r="J23" s="20" t="s">
        <v>567</v>
      </c>
      <c r="K23" s="18" t="n">
        <v>0.70211031</v>
      </c>
      <c r="L23" s="20" t="n">
        <v>0.43558593</v>
      </c>
      <c r="M23" s="18" t="n">
        <v>0</v>
      </c>
      <c r="N23" s="20" t="n">
        <v>0</v>
      </c>
      <c r="O23" s="18" t="n">
        <v>0</v>
      </c>
      <c r="P23" s="20" t="n">
        <v>0</v>
      </c>
      <c r="Q23" s="18" t="n">
        <v>0.33242044</v>
      </c>
      <c r="R23" s="20" t="n">
        <v>0.23194966</v>
      </c>
    </row>
    <row r="24" spans="1:18">
      <c r="A24" s="15" t="s">
        <v>584</v>
      </c>
      <c r="B24" s="17" t="n">
        <v>3338</v>
      </c>
      <c r="C24" s="18">
        <f>(2973.0/B24*100)</f>
        <v/>
      </c>
      <c r="D24" s="19" t="n">
        <v>365</v>
      </c>
      <c r="E24" s="18" t="n">
        <v>50.61065715</v>
      </c>
      <c r="F24" s="20" t="n">
        <v>2.9167907</v>
      </c>
      <c r="G24" s="18" t="n">
        <v>48.58324317</v>
      </c>
      <c r="H24" s="20" t="n">
        <v>2.95687976</v>
      </c>
      <c r="I24" s="18" t="s">
        <v>567</v>
      </c>
      <c r="J24" s="20" t="s">
        <v>567</v>
      </c>
      <c r="K24" s="18" t="n">
        <v>0</v>
      </c>
      <c r="L24" s="20" t="n">
        <v>0</v>
      </c>
      <c r="M24" s="18" t="n">
        <v>0</v>
      </c>
      <c r="N24" s="20" t="n">
        <v>0</v>
      </c>
      <c r="O24" s="18" t="n">
        <v>0</v>
      </c>
      <c r="P24" s="20" t="n">
        <v>0</v>
      </c>
      <c r="Q24" s="18" t="n">
        <v>0.80609968</v>
      </c>
      <c r="R24" s="20" t="n">
        <v>0.46310404</v>
      </c>
    </row>
    <row r="25" spans="1:18">
      <c r="A25" s="15" t="s">
        <v>585</v>
      </c>
      <c r="B25" s="17" t="n">
        <v>2912</v>
      </c>
      <c r="C25" s="18">
        <f>(2601.0/B25*100)</f>
        <v/>
      </c>
      <c r="D25" s="19" t="n">
        <v>311</v>
      </c>
      <c r="E25" s="18" t="n">
        <v>65.96826908</v>
      </c>
      <c r="F25" s="20" t="n">
        <v>3.02238459</v>
      </c>
      <c r="G25" s="18" t="n">
        <v>33.10973348</v>
      </c>
      <c r="H25" s="20" t="n">
        <v>3.10762589</v>
      </c>
      <c r="I25" s="18" t="s">
        <v>567</v>
      </c>
      <c r="J25" s="20" t="s">
        <v>567</v>
      </c>
      <c r="K25" s="18" t="n">
        <v>0.9219974399999999</v>
      </c>
      <c r="L25" s="20" t="n">
        <v>0.55009847</v>
      </c>
      <c r="M25" s="18" t="n">
        <v>0</v>
      </c>
      <c r="N25" s="20" t="n">
        <v>0</v>
      </c>
      <c r="O25" s="18" t="n">
        <v>0</v>
      </c>
      <c r="P25" s="20" t="n">
        <v>0</v>
      </c>
      <c r="Q25" s="18" t="n">
        <v>0</v>
      </c>
      <c r="R25" s="20" t="n">
        <v>0</v>
      </c>
    </row>
    <row r="26" spans="1:18">
      <c r="A26" s="15" t="s">
        <v>586</v>
      </c>
      <c r="B26" s="17" t="n">
        <v>2450</v>
      </c>
      <c r="C26" s="18">
        <f>(2172.0/B26*100)</f>
        <v/>
      </c>
      <c r="D26" s="19" t="n">
        <v>278</v>
      </c>
      <c r="E26" s="18" t="n">
        <v>60.70023712</v>
      </c>
      <c r="F26" s="20" t="n">
        <v>3.20766986</v>
      </c>
      <c r="G26" s="18" t="n">
        <v>38.07758201</v>
      </c>
      <c r="H26" s="20" t="n">
        <v>3.288728</v>
      </c>
      <c r="I26" s="18" t="s">
        <v>567</v>
      </c>
      <c r="J26" s="20" t="s">
        <v>567</v>
      </c>
      <c r="K26" s="18" t="n">
        <v>0.28958264</v>
      </c>
      <c r="L26" s="20" t="n">
        <v>0.2970642</v>
      </c>
      <c r="M26" s="18" t="n">
        <v>0</v>
      </c>
      <c r="N26" s="20" t="n">
        <v>0</v>
      </c>
      <c r="O26" s="18" t="n">
        <v>0</v>
      </c>
      <c r="P26" s="20" t="n">
        <v>0</v>
      </c>
      <c r="Q26" s="18" t="n">
        <v>0.93259823</v>
      </c>
      <c r="R26" s="20" t="n">
        <v>0.4484063</v>
      </c>
    </row>
    <row r="27" spans="1:18">
      <c r="A27" s="15" t="s">
        <v>587</v>
      </c>
      <c r="B27" s="17" t="n">
        <v>2616</v>
      </c>
      <c r="C27" s="18">
        <f>(2345.0/B27*100)</f>
        <v/>
      </c>
      <c r="D27" s="19" t="n">
        <v>271</v>
      </c>
      <c r="E27" s="18" t="n">
        <v>62.375888</v>
      </c>
      <c r="F27" s="20" t="n">
        <v>2.51146104</v>
      </c>
      <c r="G27" s="18" t="n">
        <v>34.29629985</v>
      </c>
      <c r="H27" s="20" t="n">
        <v>2.56413518</v>
      </c>
      <c r="I27" s="18" t="s">
        <v>567</v>
      </c>
      <c r="J27" s="20" t="s">
        <v>567</v>
      </c>
      <c r="K27" s="18" t="n">
        <v>1.10770295</v>
      </c>
      <c r="L27" s="20" t="n">
        <v>0.63585886</v>
      </c>
      <c r="M27" s="18" t="n">
        <v>0</v>
      </c>
      <c r="N27" s="20" t="n">
        <v>0</v>
      </c>
      <c r="O27" s="18" t="n">
        <v>0</v>
      </c>
      <c r="P27" s="20" t="n">
        <v>0</v>
      </c>
      <c r="Q27" s="18" t="n">
        <v>2.2201092</v>
      </c>
      <c r="R27" s="20" t="n">
        <v>0.89513722</v>
      </c>
    </row>
    <row r="28" spans="1:18">
      <c r="A28" s="15" t="s">
        <v>588</v>
      </c>
      <c r="B28" s="17" t="n">
        <v>3765</v>
      </c>
      <c r="C28" s="18">
        <f>(3390.0/B28*100)</f>
        <v/>
      </c>
      <c r="D28" s="19" t="n">
        <v>375</v>
      </c>
      <c r="E28" s="18" t="n">
        <v>63.60560282</v>
      </c>
      <c r="F28" s="20" t="n">
        <v>2.95182714</v>
      </c>
      <c r="G28" s="18" t="n">
        <v>34.60875309</v>
      </c>
      <c r="H28" s="20" t="n">
        <v>2.84436835</v>
      </c>
      <c r="I28" s="18" t="s">
        <v>567</v>
      </c>
      <c r="J28" s="20" t="s">
        <v>567</v>
      </c>
      <c r="K28" s="18" t="n">
        <v>0.6014709499999999</v>
      </c>
      <c r="L28" s="20" t="n">
        <v>0.46317954</v>
      </c>
      <c r="M28" s="18" t="n">
        <v>0</v>
      </c>
      <c r="N28" s="20" t="n">
        <v>0</v>
      </c>
      <c r="O28" s="18" t="n">
        <v>0</v>
      </c>
      <c r="P28" s="20" t="n">
        <v>0</v>
      </c>
      <c r="Q28" s="18" t="n">
        <v>1.18417314</v>
      </c>
      <c r="R28" s="20" t="n">
        <v>0.6795004</v>
      </c>
    </row>
    <row r="29" spans="1:18">
      <c r="A29" s="15" t="s">
        <v>589</v>
      </c>
      <c r="B29" s="17" t="n">
        <v>2685</v>
      </c>
      <c r="C29" s="18">
        <f>(2394.0/B29*100)</f>
        <v/>
      </c>
      <c r="D29" s="19" t="n">
        <v>291</v>
      </c>
      <c r="E29" s="18" t="n">
        <v>47.02487674</v>
      </c>
      <c r="F29" s="20" t="n">
        <v>2.91474203</v>
      </c>
      <c r="G29" s="18" t="n">
        <v>51.39051744</v>
      </c>
      <c r="H29" s="20" t="n">
        <v>2.92156026</v>
      </c>
      <c r="I29" s="18" t="s">
        <v>567</v>
      </c>
      <c r="J29" s="20" t="s">
        <v>567</v>
      </c>
      <c r="K29" s="18" t="n">
        <v>0.26946692</v>
      </c>
      <c r="L29" s="20" t="n">
        <v>0.26478749</v>
      </c>
      <c r="M29" s="18" t="n">
        <v>0</v>
      </c>
      <c r="N29" s="20" t="n">
        <v>0</v>
      </c>
      <c r="O29" s="18" t="n">
        <v>0</v>
      </c>
      <c r="P29" s="20" t="n">
        <v>0</v>
      </c>
      <c r="Q29" s="18" t="n">
        <v>1.3151389</v>
      </c>
      <c r="R29" s="20" t="n">
        <v>0.67776959</v>
      </c>
    </row>
    <row r="30" spans="1:18">
      <c r="A30" s="15" t="s">
        <v>590</v>
      </c>
      <c r="B30" s="17" t="n">
        <v>2263</v>
      </c>
      <c r="C30" s="18">
        <f>(2039.0/B30*100)</f>
        <v/>
      </c>
      <c r="D30" s="19" t="n">
        <v>224</v>
      </c>
      <c r="E30" s="18" t="n">
        <v>53.64294688</v>
      </c>
      <c r="F30" s="20" t="n">
        <v>3.34564503</v>
      </c>
      <c r="G30" s="18" t="n">
        <v>42.51578382</v>
      </c>
      <c r="H30" s="20" t="n">
        <v>3.36114162</v>
      </c>
      <c r="I30" s="18" t="s">
        <v>567</v>
      </c>
      <c r="J30" s="20" t="s">
        <v>567</v>
      </c>
      <c r="K30" s="18" t="n">
        <v>0.53034643</v>
      </c>
      <c r="L30" s="20" t="n">
        <v>0.49579595</v>
      </c>
      <c r="M30" s="18" t="n">
        <v>0</v>
      </c>
      <c r="N30" s="20" t="n">
        <v>0</v>
      </c>
      <c r="O30" s="18" t="n">
        <v>0</v>
      </c>
      <c r="P30" s="20" t="n">
        <v>0</v>
      </c>
      <c r="Q30" s="18" t="n">
        <v>3.31092287</v>
      </c>
      <c r="R30" s="20" t="n">
        <v>1.16987564</v>
      </c>
    </row>
    <row r="31" spans="1:18">
      <c r="A31" s="15" t="s">
        <v>591</v>
      </c>
      <c r="B31" s="17" t="n">
        <v>2750</v>
      </c>
      <c r="C31" s="18">
        <f>(2438.0/B31*100)</f>
        <v/>
      </c>
      <c r="D31" s="19" t="n">
        <v>312</v>
      </c>
      <c r="E31" s="18" t="n">
        <v>57.67472072</v>
      </c>
      <c r="F31" s="20" t="n">
        <v>2.98315347</v>
      </c>
      <c r="G31" s="18" t="n">
        <v>39.50402792</v>
      </c>
      <c r="H31" s="20" t="n">
        <v>2.90705411</v>
      </c>
      <c r="I31" s="18" t="s">
        <v>567</v>
      </c>
      <c r="J31" s="20" t="s">
        <v>567</v>
      </c>
      <c r="K31" s="18" t="n">
        <v>0.94914038</v>
      </c>
      <c r="L31" s="20" t="n">
        <v>0.53854674</v>
      </c>
      <c r="M31" s="18" t="n">
        <v>0</v>
      </c>
      <c r="N31" s="20" t="n">
        <v>0</v>
      </c>
      <c r="O31" s="18" t="n">
        <v>0</v>
      </c>
      <c r="P31" s="20" t="n">
        <v>0</v>
      </c>
      <c r="Q31" s="18" t="n">
        <v>1.87211098</v>
      </c>
      <c r="R31" s="20" t="n">
        <v>0.76019147</v>
      </c>
    </row>
    <row r="32" spans="1:18">
      <c r="A32" s="15" t="s">
        <v>592</v>
      </c>
      <c r="B32" s="17" t="n">
        <v>2269</v>
      </c>
      <c r="C32" s="18">
        <f>(2006.0/B32*100)</f>
        <v/>
      </c>
      <c r="D32" s="19" t="n">
        <v>263</v>
      </c>
      <c r="E32" s="18" t="n">
        <v>58.35204752</v>
      </c>
      <c r="F32" s="20" t="n">
        <v>3.19816166</v>
      </c>
      <c r="G32" s="18" t="n">
        <v>40.889473</v>
      </c>
      <c r="H32" s="20" t="n">
        <v>3.2033457</v>
      </c>
      <c r="I32" s="18" t="s">
        <v>567</v>
      </c>
      <c r="J32" s="20" t="s">
        <v>567</v>
      </c>
      <c r="K32" s="18" t="n">
        <v>0</v>
      </c>
      <c r="L32" s="20" t="n">
        <v>0</v>
      </c>
      <c r="M32" s="18" t="n">
        <v>0</v>
      </c>
      <c r="N32" s="20" t="n">
        <v>0</v>
      </c>
      <c r="O32" s="18" t="n">
        <v>0</v>
      </c>
      <c r="P32" s="20" t="n">
        <v>0</v>
      </c>
      <c r="Q32" s="18" t="n">
        <v>0.75847948</v>
      </c>
      <c r="R32" s="20" t="n">
        <v>0.55839485</v>
      </c>
    </row>
    <row r="33" spans="1:18">
      <c r="A33" s="15" t="s">
        <v>593</v>
      </c>
      <c r="B33" s="17" t="n">
        <v>3674</v>
      </c>
      <c r="C33" s="18">
        <f>(3257.0/B33*100)</f>
        <v/>
      </c>
      <c r="D33" s="19" t="n">
        <v>417</v>
      </c>
      <c r="E33" s="18" t="n">
        <v>59.33615739</v>
      </c>
      <c r="F33" s="20" t="n">
        <v>2.89591114</v>
      </c>
      <c r="G33" s="18" t="n">
        <v>38.95948742</v>
      </c>
      <c r="H33" s="20" t="n">
        <v>2.88155911</v>
      </c>
      <c r="I33" s="18" t="s">
        <v>567</v>
      </c>
      <c r="J33" s="20" t="s">
        <v>567</v>
      </c>
      <c r="K33" s="18" t="n">
        <v>0.70573517</v>
      </c>
      <c r="L33" s="20" t="n">
        <v>0.45153388</v>
      </c>
      <c r="M33" s="18" t="n">
        <v>0</v>
      </c>
      <c r="N33" s="20" t="n">
        <v>0</v>
      </c>
      <c r="O33" s="18" t="n">
        <v>0</v>
      </c>
      <c r="P33" s="20" t="n">
        <v>0</v>
      </c>
      <c r="Q33" s="18" t="n">
        <v>0.9986200200000001</v>
      </c>
      <c r="R33" s="20" t="n">
        <v>0.43522463</v>
      </c>
    </row>
    <row r="34" spans="1:18">
      <c r="A34" s="15" t="s">
        <v>594</v>
      </c>
      <c r="B34" s="17" t="n">
        <v>3315</v>
      </c>
      <c r="C34" s="18">
        <f>(2957.0/B34*100)</f>
        <v/>
      </c>
      <c r="D34" s="19" t="n">
        <v>358</v>
      </c>
      <c r="E34" s="18" t="n">
        <v>63.70541962</v>
      </c>
      <c r="F34" s="20" t="n">
        <v>2.56435769</v>
      </c>
      <c r="G34" s="18" t="n">
        <v>34.86919604</v>
      </c>
      <c r="H34" s="20" t="n">
        <v>2.70602205</v>
      </c>
      <c r="I34" s="18" t="s">
        <v>567</v>
      </c>
      <c r="J34" s="20" t="s">
        <v>567</v>
      </c>
      <c r="K34" s="18" t="n">
        <v>0.25578653</v>
      </c>
      <c r="L34" s="20" t="n">
        <v>0.25466935</v>
      </c>
      <c r="M34" s="18" t="n">
        <v>0</v>
      </c>
      <c r="N34" s="20" t="n">
        <v>0</v>
      </c>
      <c r="O34" s="18" t="n">
        <v>0</v>
      </c>
      <c r="P34" s="20" t="n">
        <v>0</v>
      </c>
      <c r="Q34" s="18" t="n">
        <v>1.16959782</v>
      </c>
      <c r="R34" s="20" t="n">
        <v>0.58996819</v>
      </c>
    </row>
    <row r="35" spans="1:18">
      <c r="A35" s="15" t="s">
        <v>595</v>
      </c>
      <c r="B35" s="17" t="n">
        <v>3505</v>
      </c>
      <c r="C35" s="18">
        <f>(3142.0/B35*100)</f>
        <v/>
      </c>
      <c r="D35" s="19" t="n">
        <v>363</v>
      </c>
      <c r="E35" s="18" t="n">
        <v>66.80592163999999</v>
      </c>
      <c r="F35" s="20" t="n">
        <v>2.9623266</v>
      </c>
      <c r="G35" s="18" t="n">
        <v>31.44638646</v>
      </c>
      <c r="H35" s="20" t="n">
        <v>2.98484935</v>
      </c>
      <c r="I35" s="18" t="s">
        <v>567</v>
      </c>
      <c r="J35" s="20" t="s">
        <v>567</v>
      </c>
      <c r="K35" s="18" t="n">
        <v>0</v>
      </c>
      <c r="L35" s="20" t="n">
        <v>0</v>
      </c>
      <c r="M35" s="18" t="n">
        <v>0</v>
      </c>
      <c r="N35" s="20" t="n">
        <v>0</v>
      </c>
      <c r="O35" s="18" t="n">
        <v>0</v>
      </c>
      <c r="P35" s="20" t="n">
        <v>0</v>
      </c>
      <c r="Q35" s="18" t="n">
        <v>1.7476919</v>
      </c>
      <c r="R35" s="20" t="n">
        <v>0.67210129</v>
      </c>
    </row>
    <row r="36" spans="1:18">
      <c r="A36" s="15" t="s">
        <v>596</v>
      </c>
      <c r="B36" s="17" t="n">
        <v>3332</v>
      </c>
      <c r="C36" s="18">
        <f>(2984.0/B36*100)</f>
        <v/>
      </c>
      <c r="D36" s="19" t="n">
        <v>348</v>
      </c>
      <c r="E36" s="18" t="n">
        <v>58.93949586</v>
      </c>
      <c r="F36" s="20" t="n">
        <v>2.76585997</v>
      </c>
      <c r="G36" s="18" t="n">
        <v>40.55351249</v>
      </c>
      <c r="H36" s="20" t="n">
        <v>2.78693171</v>
      </c>
      <c r="I36" s="18" t="s">
        <v>567</v>
      </c>
      <c r="J36" s="20" t="s">
        <v>567</v>
      </c>
      <c r="K36" s="18" t="n">
        <v>0.33685295</v>
      </c>
      <c r="L36" s="20" t="n">
        <v>0.24949362</v>
      </c>
      <c r="M36" s="18" t="n">
        <v>0</v>
      </c>
      <c r="N36" s="20" t="n">
        <v>0</v>
      </c>
      <c r="O36" s="18" t="n">
        <v>0</v>
      </c>
      <c r="P36" s="20" t="n">
        <v>0</v>
      </c>
      <c r="Q36" s="18" t="n">
        <v>0.17013869</v>
      </c>
      <c r="R36" s="20" t="n">
        <v>0.12426327</v>
      </c>
    </row>
    <row r="37" spans="1:18">
      <c r="A37" s="15" t="s">
        <v>597</v>
      </c>
      <c r="B37" s="17" t="n">
        <v>2727</v>
      </c>
      <c r="C37" s="18">
        <f>(2435.0/B37*100)</f>
        <v/>
      </c>
      <c r="D37" s="19" t="n">
        <v>292</v>
      </c>
      <c r="E37" s="18" t="n">
        <v>58.90711871</v>
      </c>
      <c r="F37" s="20" t="n">
        <v>3.14506168</v>
      </c>
      <c r="G37" s="18" t="n">
        <v>37.74621108</v>
      </c>
      <c r="H37" s="20" t="n">
        <v>2.9726396</v>
      </c>
      <c r="I37" s="18" t="s">
        <v>567</v>
      </c>
      <c r="J37" s="20" t="s">
        <v>567</v>
      </c>
      <c r="K37" s="18" t="n">
        <v>0.92790339</v>
      </c>
      <c r="L37" s="20" t="n">
        <v>0.5316440099999999</v>
      </c>
      <c r="M37" s="18" t="n">
        <v>0</v>
      </c>
      <c r="N37" s="20" t="n">
        <v>0</v>
      </c>
      <c r="O37" s="18" t="n">
        <v>0</v>
      </c>
      <c r="P37" s="20" t="n">
        <v>0</v>
      </c>
      <c r="Q37" s="18" t="n">
        <v>2.41876681</v>
      </c>
      <c r="R37" s="20" t="n">
        <v>0.90051432</v>
      </c>
    </row>
    <row r="38" spans="1:18">
      <c r="A38" s="15" t="s">
        <v>598</v>
      </c>
      <c r="B38" s="17" t="n">
        <v>3053</v>
      </c>
      <c r="C38" s="18">
        <f>(2715.0/B38*100)</f>
        <v/>
      </c>
      <c r="D38" s="19" t="n">
        <v>338</v>
      </c>
      <c r="E38" s="18" t="n">
        <v>63.79918955</v>
      </c>
      <c r="F38" s="20" t="n">
        <v>3.37013719</v>
      </c>
      <c r="G38" s="18" t="n">
        <v>33.41927465</v>
      </c>
      <c r="H38" s="20" t="n">
        <v>3.45409977</v>
      </c>
      <c r="I38" s="18" t="s">
        <v>567</v>
      </c>
      <c r="J38" s="20" t="s">
        <v>567</v>
      </c>
      <c r="K38" s="18" t="n">
        <v>0.70603407</v>
      </c>
      <c r="L38" s="20" t="n">
        <v>0.44697912</v>
      </c>
      <c r="M38" s="18" t="n">
        <v>0</v>
      </c>
      <c r="N38" s="20" t="n">
        <v>0</v>
      </c>
      <c r="O38" s="18" t="n">
        <v>0</v>
      </c>
      <c r="P38" s="20" t="n">
        <v>0</v>
      </c>
      <c r="Q38" s="18" t="n">
        <v>2.07550172</v>
      </c>
      <c r="R38" s="20" t="n">
        <v>0.81591588</v>
      </c>
    </row>
    <row r="39" spans="1:18">
      <c r="A39" s="15" t="s">
        <v>599</v>
      </c>
      <c r="B39" s="17" t="n">
        <v>2957</v>
      </c>
      <c r="C39" s="18">
        <f>(2614.0/B39*100)</f>
        <v/>
      </c>
      <c r="D39" s="19" t="n">
        <v>343</v>
      </c>
      <c r="E39" s="18" t="n">
        <v>65.25478131</v>
      </c>
      <c r="F39" s="20" t="n">
        <v>2.24853364</v>
      </c>
      <c r="G39" s="18" t="n">
        <v>34.08864326</v>
      </c>
      <c r="H39" s="20" t="n">
        <v>2.23098697</v>
      </c>
      <c r="I39" s="18" t="s">
        <v>567</v>
      </c>
      <c r="J39" s="20" t="s">
        <v>567</v>
      </c>
      <c r="K39" s="18" t="n">
        <v>0.20424228</v>
      </c>
      <c r="L39" s="20" t="n">
        <v>0.20431178</v>
      </c>
      <c r="M39" s="18" t="n">
        <v>0</v>
      </c>
      <c r="N39" s="20" t="n">
        <v>0</v>
      </c>
      <c r="O39" s="18" t="n">
        <v>0</v>
      </c>
      <c r="P39" s="20" t="n">
        <v>0</v>
      </c>
      <c r="Q39" s="18" t="n">
        <v>0.45233315</v>
      </c>
      <c r="R39" s="20" t="n">
        <v>0.27445133</v>
      </c>
    </row>
    <row r="40" spans="1:18">
      <c r="A40" s="15" t="s">
        <v>600</v>
      </c>
      <c r="B40" s="17" t="n">
        <v>7235</v>
      </c>
      <c r="C40" s="18">
        <f>(6457.0/B40*100)</f>
        <v/>
      </c>
      <c r="D40" s="19" t="n">
        <v>778</v>
      </c>
      <c r="E40" s="18" t="n">
        <v>53.69336395</v>
      </c>
      <c r="F40" s="20" t="n">
        <v>2.98071982</v>
      </c>
      <c r="G40" s="18" t="n">
        <v>45.60120771</v>
      </c>
      <c r="H40" s="20" t="n">
        <v>2.95075015</v>
      </c>
      <c r="I40" s="18" t="s">
        <v>567</v>
      </c>
      <c r="J40" s="20" t="s">
        <v>567</v>
      </c>
      <c r="K40" s="18" t="n">
        <v>0.22770765</v>
      </c>
      <c r="L40" s="20" t="n">
        <v>0.1624</v>
      </c>
      <c r="M40" s="18" t="n">
        <v>0</v>
      </c>
      <c r="N40" s="20" t="n">
        <v>0</v>
      </c>
      <c r="O40" s="18" t="n">
        <v>0</v>
      </c>
      <c r="P40" s="20" t="n">
        <v>0</v>
      </c>
      <c r="Q40" s="18" t="n">
        <v>0.47772069</v>
      </c>
      <c r="R40" s="20" t="n">
        <v>0.24910828</v>
      </c>
    </row>
    <row r="41" spans="1:18">
      <c r="A41" s="15" t="s">
        <v>601</v>
      </c>
      <c r="B41" s="17" t="n">
        <v>2858</v>
      </c>
      <c r="C41" s="18">
        <f>(2544.0/B41*100)</f>
        <v/>
      </c>
      <c r="D41" s="19" t="n">
        <v>314</v>
      </c>
      <c r="E41" s="18" t="n">
        <v>54.53465514</v>
      </c>
      <c r="F41" s="20" t="n">
        <v>3.16992051</v>
      </c>
      <c r="G41" s="18" t="n">
        <v>44.64273248</v>
      </c>
      <c r="H41" s="20" t="n">
        <v>3.15557119</v>
      </c>
      <c r="I41" s="18" t="s">
        <v>567</v>
      </c>
      <c r="J41" s="20" t="s">
        <v>567</v>
      </c>
      <c r="K41" s="18" t="n">
        <v>0</v>
      </c>
      <c r="L41" s="20" t="n">
        <v>0</v>
      </c>
      <c r="M41" s="18" t="n">
        <v>0</v>
      </c>
      <c r="N41" s="20" t="n">
        <v>0</v>
      </c>
      <c r="O41" s="18" t="n">
        <v>0</v>
      </c>
      <c r="P41" s="20" t="n">
        <v>0</v>
      </c>
      <c r="Q41" s="18" t="n">
        <v>0.82261238</v>
      </c>
      <c r="R41" s="20" t="n">
        <v>0.5686967000000001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(10145.0/B46*100)</f>
        <v/>
      </c>
      <c r="D46" s="19" t="n">
        <v>923</v>
      </c>
      <c r="E46" s="18" t="n">
        <v>61.11982292</v>
      </c>
      <c r="F46" s="20" t="n">
        <v>1.83377691</v>
      </c>
      <c r="G46" s="18" t="n">
        <v>35.65135165</v>
      </c>
      <c r="H46" s="20" t="n">
        <v>1.75535441</v>
      </c>
      <c r="I46" s="18" t="s">
        <v>567</v>
      </c>
      <c r="J46" s="20" t="s">
        <v>567</v>
      </c>
      <c r="K46" s="18" t="n">
        <v>1.25885967</v>
      </c>
      <c r="L46" s="20" t="n">
        <v>0.43661117</v>
      </c>
      <c r="M46" s="18" t="n">
        <v>0</v>
      </c>
      <c r="N46" s="20" t="n">
        <v>0</v>
      </c>
      <c r="O46" s="18" t="n">
        <v>0</v>
      </c>
      <c r="P46" s="20" t="n">
        <v>0</v>
      </c>
      <c r="Q46" s="18" t="n">
        <v>1.96996576</v>
      </c>
      <c r="R46" s="20" t="n">
        <v>0.70164153</v>
      </c>
    </row>
    <row r="47" spans="1:18">
      <c r="A47" s="15" t="s">
        <v>607</v>
      </c>
      <c r="B47" s="17" t="n">
        <v>3105</v>
      </c>
      <c r="C47" s="18">
        <f>(2763.0/B47*100)</f>
        <v/>
      </c>
      <c r="D47" s="19" t="n">
        <v>342</v>
      </c>
      <c r="E47" s="18" t="n">
        <v>67.14866259999999</v>
      </c>
      <c r="F47" s="20" t="n">
        <v>2.81702333</v>
      </c>
      <c r="G47" s="18" t="n">
        <v>29.45029212</v>
      </c>
      <c r="H47" s="20" t="n">
        <v>2.73301875</v>
      </c>
      <c r="I47" s="18" t="s">
        <v>567</v>
      </c>
      <c r="J47" s="20" t="s">
        <v>567</v>
      </c>
      <c r="K47" s="18" t="n">
        <v>0.85264937</v>
      </c>
      <c r="L47" s="20" t="n">
        <v>0.57405279</v>
      </c>
      <c r="M47" s="18" t="n">
        <v>0</v>
      </c>
      <c r="N47" s="20" t="n">
        <v>0</v>
      </c>
      <c r="O47" s="18" t="n">
        <v>0</v>
      </c>
      <c r="P47" s="20" t="n">
        <v>0</v>
      </c>
      <c r="Q47" s="18" t="n">
        <v>2.54839591</v>
      </c>
      <c r="R47" s="20" t="n">
        <v>0.82969169</v>
      </c>
    </row>
    <row r="48" spans="1:18">
      <c r="A48" s="15" t="s">
        <v>608</v>
      </c>
      <c r="B48" s="17" t="n">
        <v>5159</v>
      </c>
      <c r="C48" s="18">
        <f>(4559.0/B48*100)</f>
        <v/>
      </c>
      <c r="D48" s="19" t="n">
        <v>600</v>
      </c>
      <c r="E48" s="18" t="n">
        <v>55.27945624</v>
      </c>
      <c r="F48" s="20" t="n">
        <v>2.43035478</v>
      </c>
      <c r="G48" s="18" t="n">
        <v>43.94336772</v>
      </c>
      <c r="H48" s="20" t="n">
        <v>2.34801058</v>
      </c>
      <c r="I48" s="18" t="s">
        <v>567</v>
      </c>
      <c r="J48" s="20" t="s">
        <v>567</v>
      </c>
      <c r="K48" s="18" t="n">
        <v>0.10661037</v>
      </c>
      <c r="L48" s="20" t="n">
        <v>0.07498389</v>
      </c>
      <c r="M48" s="18" t="n">
        <v>0</v>
      </c>
      <c r="N48" s="20" t="n">
        <v>0</v>
      </c>
      <c r="O48" s="18" t="n">
        <v>0</v>
      </c>
      <c r="P48" s="20" t="n">
        <v>0</v>
      </c>
      <c r="Q48" s="18" t="n">
        <v>0.67056567</v>
      </c>
      <c r="R48" s="20" t="n">
        <v>0.39247186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(4986.0/B50*100)</f>
        <v/>
      </c>
      <c r="D50" s="19" t="n">
        <v>651</v>
      </c>
      <c r="E50" s="18" t="n">
        <v>58.49548607</v>
      </c>
      <c r="F50" s="20" t="n">
        <v>2.39434091</v>
      </c>
      <c r="G50" s="18" t="n">
        <v>37.30475289</v>
      </c>
      <c r="H50" s="20" t="n">
        <v>2.26273794</v>
      </c>
      <c r="I50" s="18" t="s">
        <v>567</v>
      </c>
      <c r="J50" s="20" t="s">
        <v>567</v>
      </c>
      <c r="K50" s="18" t="n">
        <v>3.30795517</v>
      </c>
      <c r="L50" s="20" t="n">
        <v>1.06282352</v>
      </c>
      <c r="M50" s="18" t="n">
        <v>0</v>
      </c>
      <c r="N50" s="20" t="n">
        <v>0</v>
      </c>
      <c r="O50" s="18" t="n">
        <v>0</v>
      </c>
      <c r="P50" s="20" t="n">
        <v>0</v>
      </c>
      <c r="Q50" s="18" t="n">
        <v>0.89180586</v>
      </c>
      <c r="R50" s="20" t="n">
        <v>0.44403412</v>
      </c>
    </row>
    <row r="51" spans="1:18">
      <c r="A51" s="15" t="s">
        <v>611</v>
      </c>
      <c r="B51" s="17" t="n">
        <v>3372</v>
      </c>
      <c r="C51" s="18">
        <f>(3065.0/B51*100)</f>
        <v/>
      </c>
      <c r="D51" s="19" t="n">
        <v>307</v>
      </c>
      <c r="E51" s="18" t="n">
        <v>69.77178674</v>
      </c>
      <c r="F51" s="20" t="n">
        <v>2.75537799</v>
      </c>
      <c r="G51" s="18" t="n">
        <v>29.42144595</v>
      </c>
      <c r="H51" s="20" t="n">
        <v>2.71971068</v>
      </c>
      <c r="I51" s="18" t="s">
        <v>567</v>
      </c>
      <c r="J51" s="20" t="s">
        <v>567</v>
      </c>
      <c r="K51" s="18" t="n">
        <v>0</v>
      </c>
      <c r="L51" s="20" t="n">
        <v>0</v>
      </c>
      <c r="M51" s="18" t="n">
        <v>0</v>
      </c>
      <c r="N51" s="20" t="n">
        <v>0</v>
      </c>
      <c r="O51" s="18" t="n">
        <v>0</v>
      </c>
      <c r="P51" s="20" t="n">
        <v>0</v>
      </c>
      <c r="Q51" s="18" t="n">
        <v>0.80676731</v>
      </c>
      <c r="R51" s="20" t="n">
        <v>0.48638784</v>
      </c>
    </row>
    <row r="52" spans="1:18">
      <c r="A52" s="15" t="s">
        <v>612</v>
      </c>
      <c r="B52" s="17" t="n">
        <v>2796</v>
      </c>
      <c r="C52" s="18">
        <f>(2478.0/B52*100)</f>
        <v/>
      </c>
      <c r="D52" s="19" t="n">
        <v>318</v>
      </c>
      <c r="E52" s="18" t="n">
        <v>64.61554323999999</v>
      </c>
      <c r="F52" s="20" t="n">
        <v>2.61503328</v>
      </c>
      <c r="G52" s="18" t="n">
        <v>33.9521282</v>
      </c>
      <c r="H52" s="20" t="n">
        <v>2.66028656</v>
      </c>
      <c r="I52" s="18" t="s">
        <v>567</v>
      </c>
      <c r="J52" s="20" t="s">
        <v>567</v>
      </c>
      <c r="K52" s="18" t="n">
        <v>0.23640031</v>
      </c>
      <c r="L52" s="20" t="n">
        <v>0.23795567</v>
      </c>
      <c r="M52" s="18" t="n">
        <v>0</v>
      </c>
      <c r="N52" s="20" t="n">
        <v>0</v>
      </c>
      <c r="O52" s="18" t="n">
        <v>0</v>
      </c>
      <c r="P52" s="20" t="n">
        <v>0</v>
      </c>
      <c r="Q52" s="18" t="n">
        <v>1.19592825</v>
      </c>
      <c r="R52" s="20" t="n">
        <v>0.58478719</v>
      </c>
    </row>
    <row r="53" spans="1:18">
      <c r="A53" s="15" t="s">
        <v>613</v>
      </c>
      <c r="B53" s="17" t="n">
        <v>2811</v>
      </c>
      <c r="C53" s="18">
        <f>(2503.0/B53*100)</f>
        <v/>
      </c>
      <c r="D53" s="19" t="n">
        <v>308</v>
      </c>
      <c r="E53" s="18" t="n">
        <v>60.77856455</v>
      </c>
      <c r="F53" s="20" t="n">
        <v>2.68501614</v>
      </c>
      <c r="G53" s="18" t="n">
        <v>36.0009821</v>
      </c>
      <c r="H53" s="20" t="n">
        <v>2.81488927</v>
      </c>
      <c r="I53" s="18" t="s">
        <v>567</v>
      </c>
      <c r="J53" s="20" t="s">
        <v>567</v>
      </c>
      <c r="K53" s="18" t="n">
        <v>1.2756906</v>
      </c>
      <c r="L53" s="20" t="n">
        <v>0.56477104</v>
      </c>
      <c r="M53" s="18" t="n">
        <v>0</v>
      </c>
      <c r="N53" s="20" t="n">
        <v>0</v>
      </c>
      <c r="O53" s="18" t="n">
        <v>0</v>
      </c>
      <c r="P53" s="20" t="n">
        <v>0</v>
      </c>
      <c r="Q53" s="18" t="n">
        <v>1.94476274</v>
      </c>
      <c r="R53" s="20" t="n">
        <v>0.74796142</v>
      </c>
    </row>
    <row r="54" spans="1:18">
      <c r="A54" s="15" t="s">
        <v>614</v>
      </c>
      <c r="B54" s="17" t="n">
        <v>2266</v>
      </c>
      <c r="C54" s="18">
        <f>(2014.0/B54*100)</f>
        <v/>
      </c>
      <c r="D54" s="19" t="n">
        <v>252</v>
      </c>
      <c r="E54" s="18" t="n">
        <v>52.51437073</v>
      </c>
      <c r="F54" s="20" t="n">
        <v>3.71795945</v>
      </c>
      <c r="G54" s="18" t="n">
        <v>29.20519443</v>
      </c>
      <c r="H54" s="20" t="n">
        <v>3.24992287</v>
      </c>
      <c r="I54" s="18" t="s">
        <v>567</v>
      </c>
      <c r="J54" s="20" t="s">
        <v>567</v>
      </c>
      <c r="K54" s="18" t="n">
        <v>14.86604753</v>
      </c>
      <c r="L54" s="20" t="n">
        <v>2.91087493</v>
      </c>
      <c r="M54" s="18" t="n">
        <v>0</v>
      </c>
      <c r="N54" s="20" t="n">
        <v>0</v>
      </c>
      <c r="O54" s="18" t="n">
        <v>0</v>
      </c>
      <c r="P54" s="20" t="n">
        <v>0</v>
      </c>
      <c r="Q54" s="18" t="n">
        <v>3.41438732</v>
      </c>
      <c r="R54" s="20" t="n">
        <v>1.22531501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(2377.0/B56*100)</f>
        <v/>
      </c>
      <c r="D56" s="19" t="n">
        <v>307</v>
      </c>
      <c r="E56" s="18" t="n">
        <v>49.77961581</v>
      </c>
      <c r="F56" s="20" t="n">
        <v>2.84648244</v>
      </c>
      <c r="G56" s="18" t="n">
        <v>49.80640225</v>
      </c>
      <c r="H56" s="20" t="n">
        <v>2.79159912</v>
      </c>
      <c r="I56" s="18" t="s">
        <v>567</v>
      </c>
      <c r="J56" s="20" t="s">
        <v>567</v>
      </c>
      <c r="K56" s="18" t="n">
        <v>0.41398195</v>
      </c>
      <c r="L56" s="20" t="n">
        <v>0.35148343</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(2940.0/B61*100)</f>
        <v/>
      </c>
      <c r="D61" s="19" t="n">
        <v>384</v>
      </c>
      <c r="E61" s="18" t="n">
        <v>62.03818199</v>
      </c>
      <c r="F61" s="20" t="n">
        <v>2.92157726</v>
      </c>
      <c r="G61" s="18" t="n">
        <v>36.80229546</v>
      </c>
      <c r="H61" s="20" t="n">
        <v>2.98434713</v>
      </c>
      <c r="I61" s="18" t="s">
        <v>567</v>
      </c>
      <c r="J61" s="20" t="s">
        <v>567</v>
      </c>
      <c r="K61" s="18" t="n">
        <v>0</v>
      </c>
      <c r="L61" s="20" t="n">
        <v>0</v>
      </c>
      <c r="M61" s="18" t="n">
        <v>0</v>
      </c>
      <c r="N61" s="20" t="n">
        <v>0</v>
      </c>
      <c r="O61" s="18" t="n">
        <v>0</v>
      </c>
      <c r="P61" s="20" t="n">
        <v>0</v>
      </c>
      <c r="Q61" s="18" t="n">
        <v>1.15952255</v>
      </c>
      <c r="R61" s="20" t="n">
        <v>0.54171294</v>
      </c>
    </row>
    <row r="62" spans="1:18">
      <c r="A62" s="15" t="s">
        <v>622</v>
      </c>
      <c r="B62" s="17" t="n">
        <v>2246</v>
      </c>
      <c r="C62" s="18">
        <f>(1997.0/B62*100)</f>
        <v/>
      </c>
      <c r="D62" s="19" t="n">
        <v>249</v>
      </c>
      <c r="E62" s="18" t="n">
        <v>64.59329615</v>
      </c>
      <c r="F62" s="20" t="n">
        <v>2.99944787</v>
      </c>
      <c r="G62" s="18" t="n">
        <v>35.40670385</v>
      </c>
      <c r="H62" s="20" t="n">
        <v>2.99944787</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(2600.0/B66*100)</f>
        <v/>
      </c>
      <c r="D66" s="19" t="n">
        <v>294</v>
      </c>
      <c r="E66" s="18" t="n">
        <v>66.16881709</v>
      </c>
      <c r="F66" s="20" t="n">
        <v>3.03183093</v>
      </c>
      <c r="G66" s="18" t="n">
        <v>29.79686796</v>
      </c>
      <c r="H66" s="20" t="n">
        <v>2.75144361</v>
      </c>
      <c r="I66" s="18" t="s">
        <v>567</v>
      </c>
      <c r="J66" s="20" t="s">
        <v>567</v>
      </c>
      <c r="K66" s="18" t="n">
        <v>0.94849989</v>
      </c>
      <c r="L66" s="20" t="n">
        <v>0.68852814</v>
      </c>
      <c r="M66" s="18" t="n">
        <v>0</v>
      </c>
      <c r="N66" s="20" t="n">
        <v>0</v>
      </c>
      <c r="O66" s="18" t="n">
        <v>0</v>
      </c>
      <c r="P66" s="20" t="n">
        <v>0</v>
      </c>
      <c r="Q66" s="18" t="n">
        <v>3.08581506</v>
      </c>
      <c r="R66" s="20" t="n">
        <v>0.8697713500000001</v>
      </c>
    </row>
    <row r="67" spans="1:18">
      <c r="A67" s="15" t="s">
        <v>627</v>
      </c>
      <c r="B67" s="17" t="n">
        <v>3511</v>
      </c>
      <c r="C67" s="18">
        <f>(3182.0/B67*100)</f>
        <v/>
      </c>
      <c r="D67" s="19" t="n">
        <v>329</v>
      </c>
      <c r="E67" s="18" t="n">
        <v>64.18788487</v>
      </c>
      <c r="F67" s="20" t="n">
        <v>2.9917454</v>
      </c>
      <c r="G67" s="18" t="n">
        <v>34.43717491</v>
      </c>
      <c r="H67" s="20" t="n">
        <v>3.04559166</v>
      </c>
      <c r="I67" s="18" t="s">
        <v>567</v>
      </c>
      <c r="J67" s="20" t="s">
        <v>567</v>
      </c>
      <c r="K67" s="18" t="n">
        <v>0.65875355</v>
      </c>
      <c r="L67" s="20" t="n">
        <v>0.48365956</v>
      </c>
      <c r="M67" s="18" t="n">
        <v>0</v>
      </c>
      <c r="N67" s="20" t="n">
        <v>0</v>
      </c>
      <c r="O67" s="18" t="n">
        <v>0</v>
      </c>
      <c r="P67" s="20" t="n">
        <v>0</v>
      </c>
      <c r="Q67" s="18" t="n">
        <v>0.71618667</v>
      </c>
      <c r="R67" s="20" t="n">
        <v>0.43020224</v>
      </c>
    </row>
    <row r="68" spans="1:18">
      <c r="A68" s="15" t="s">
        <v>628</v>
      </c>
      <c r="B68" s="17" t="n">
        <v>6049</v>
      </c>
      <c r="C68" s="18">
        <f>(5389.0/B68*100)</f>
        <v/>
      </c>
      <c r="D68" s="19" t="n">
        <v>660</v>
      </c>
      <c r="E68" s="18" t="n">
        <v>62.07741831</v>
      </c>
      <c r="F68" s="20" t="n">
        <v>1.69591701</v>
      </c>
      <c r="G68" s="18" t="n">
        <v>31.42811098</v>
      </c>
      <c r="H68" s="20" t="n">
        <v>1.68990499</v>
      </c>
      <c r="I68" s="18" t="s">
        <v>567</v>
      </c>
      <c r="J68" s="20" t="s">
        <v>567</v>
      </c>
      <c r="K68" s="18" t="n">
        <v>3.51680376</v>
      </c>
      <c r="L68" s="20" t="n">
        <v>0.72621139</v>
      </c>
      <c r="M68" s="18" t="n">
        <v>0</v>
      </c>
      <c r="N68" s="20" t="n">
        <v>0</v>
      </c>
      <c r="O68" s="18" t="n">
        <v>0</v>
      </c>
      <c r="P68" s="20" t="n">
        <v>0</v>
      </c>
      <c r="Q68" s="18" t="n">
        <v>2.97766696</v>
      </c>
      <c r="R68" s="20" t="n">
        <v>0.61229939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(2619.0/B70*100)</f>
        <v/>
      </c>
      <c r="D70" s="19" t="n">
        <v>310</v>
      </c>
      <c r="E70" s="18" t="n">
        <v>64.7505049</v>
      </c>
      <c r="F70" s="20" t="n">
        <v>2.75946465</v>
      </c>
      <c r="G70" s="18" t="n">
        <v>34.39365036</v>
      </c>
      <c r="H70" s="20" t="n">
        <v>2.93526936</v>
      </c>
      <c r="I70" s="18" t="s">
        <v>567</v>
      </c>
      <c r="J70" s="20" t="s">
        <v>567</v>
      </c>
      <c r="K70" s="18" t="n">
        <v>0</v>
      </c>
      <c r="L70" s="20" t="n">
        <v>0</v>
      </c>
      <c r="M70" s="18" t="n">
        <v>0</v>
      </c>
      <c r="N70" s="20" t="n">
        <v>0</v>
      </c>
      <c r="O70" s="18" t="n">
        <v>0</v>
      </c>
      <c r="P70" s="20" t="n">
        <v>0</v>
      </c>
      <c r="Q70" s="18" t="n">
        <v>0.85584474</v>
      </c>
      <c r="R70" s="20" t="n">
        <v>0.53127507</v>
      </c>
    </row>
    <row r="71" spans="1:18">
      <c r="A71" s="15" t="s">
        <v>631</v>
      </c>
      <c r="B71" s="17" t="n">
        <v>3142</v>
      </c>
      <c r="C71" s="18">
        <f>(2803.0/B71*100)</f>
        <v/>
      </c>
      <c r="D71" s="19" t="n">
        <v>339</v>
      </c>
      <c r="E71" s="18" t="n">
        <v>43.50836556</v>
      </c>
      <c r="F71" s="20" t="n">
        <v>2.93267601</v>
      </c>
      <c r="G71" s="18" t="n">
        <v>55.72376198</v>
      </c>
      <c r="H71" s="20" t="n">
        <v>2.87863422</v>
      </c>
      <c r="I71" s="18" t="s">
        <v>567</v>
      </c>
      <c r="J71" s="20" t="s">
        <v>567</v>
      </c>
      <c r="K71" s="18" t="n">
        <v>0.57977835</v>
      </c>
      <c r="L71" s="20" t="n">
        <v>0.4107158</v>
      </c>
      <c r="M71" s="18" t="n">
        <v>0</v>
      </c>
      <c r="N71" s="20" t="n">
        <v>0</v>
      </c>
      <c r="O71" s="18" t="n">
        <v>0</v>
      </c>
      <c r="P71" s="20" t="n">
        <v>0</v>
      </c>
      <c r="Q71" s="18" t="n">
        <v>0.1880941</v>
      </c>
      <c r="R71" s="20" t="n">
        <v>0.18866052</v>
      </c>
    </row>
    <row r="72" spans="1:18">
      <c r="A72" s="15" t="s">
        <v>632</v>
      </c>
      <c r="B72" s="17" t="n">
        <v>3889</v>
      </c>
      <c r="C72" s="18">
        <f>(3472.0/B72*100)</f>
        <v/>
      </c>
      <c r="D72" s="19" t="n">
        <v>417</v>
      </c>
      <c r="E72" s="18" t="n">
        <v>58.47175259</v>
      </c>
      <c r="F72" s="20" t="n">
        <v>2.59676187</v>
      </c>
      <c r="G72" s="18" t="n">
        <v>40.66394961</v>
      </c>
      <c r="H72" s="20" t="n">
        <v>2.62155749</v>
      </c>
      <c r="I72" s="18" t="s">
        <v>567</v>
      </c>
      <c r="J72" s="20" t="s">
        <v>567</v>
      </c>
      <c r="K72" s="18" t="n">
        <v>0</v>
      </c>
      <c r="L72" s="20" t="n">
        <v>0</v>
      </c>
      <c r="M72" s="18" t="n">
        <v>0</v>
      </c>
      <c r="N72" s="20" t="n">
        <v>0</v>
      </c>
      <c r="O72" s="18" t="n">
        <v>0</v>
      </c>
      <c r="P72" s="20" t="n">
        <v>0</v>
      </c>
      <c r="Q72" s="18" t="n">
        <v>0.8642978</v>
      </c>
      <c r="R72" s="20" t="n">
        <v>0.5038972900000001</v>
      </c>
    </row>
    <row r="73" spans="1:18">
      <c r="A73" s="15" t="s">
        <v>633</v>
      </c>
      <c r="B73" s="17" t="n">
        <v>3597</v>
      </c>
      <c r="C73" s="18">
        <f>(3221.0/B73*100)</f>
        <v/>
      </c>
      <c r="D73" s="19" t="n">
        <v>376</v>
      </c>
      <c r="E73" s="18" t="n">
        <v>56.89110409</v>
      </c>
      <c r="F73" s="20" t="n">
        <v>3.20791379</v>
      </c>
      <c r="G73" s="18" t="n">
        <v>42.32377831</v>
      </c>
      <c r="H73" s="20" t="n">
        <v>3.17762472</v>
      </c>
      <c r="I73" s="18" t="s">
        <v>567</v>
      </c>
      <c r="J73" s="20" t="s">
        <v>567</v>
      </c>
      <c r="K73" s="18" t="n">
        <v>0.38491904</v>
      </c>
      <c r="L73" s="20" t="n">
        <v>0.37798182</v>
      </c>
      <c r="M73" s="18" t="n">
        <v>0</v>
      </c>
      <c r="N73" s="20" t="n">
        <v>0</v>
      </c>
      <c r="O73" s="18" t="n">
        <v>0</v>
      </c>
      <c r="P73" s="20" t="n">
        <v>0</v>
      </c>
      <c r="Q73" s="18" t="n">
        <v>0.40019856</v>
      </c>
      <c r="R73" s="20" t="n">
        <v>0.40122599</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(2160.0/B75*100)</f>
        <v/>
      </c>
      <c r="D75" s="19" t="n">
        <v>246</v>
      </c>
      <c r="E75" s="18" t="n">
        <v>66.70523126000001</v>
      </c>
      <c r="F75" s="20" t="n">
        <v>2.70739394</v>
      </c>
      <c r="G75" s="18" t="n">
        <v>23.61718348</v>
      </c>
      <c r="H75" s="20" t="n">
        <v>2.38136445</v>
      </c>
      <c r="I75" s="18" t="s">
        <v>567</v>
      </c>
      <c r="J75" s="20" t="s">
        <v>567</v>
      </c>
      <c r="K75" s="18" t="n">
        <v>5.30561517</v>
      </c>
      <c r="L75" s="20" t="n">
        <v>1.34700407</v>
      </c>
      <c r="M75" s="18" t="n">
        <v>0</v>
      </c>
      <c r="N75" s="20" t="n">
        <v>0</v>
      </c>
      <c r="O75" s="18" t="n">
        <v>0</v>
      </c>
      <c r="P75" s="20" t="n">
        <v>0</v>
      </c>
      <c r="Q75" s="18" t="n">
        <v>4.37197009</v>
      </c>
      <c r="R75" s="20" t="n">
        <v>1.11810798</v>
      </c>
    </row>
    <row r="76" spans="1:18">
      <c r="A76" s="15" t="s">
        <v>636</v>
      </c>
      <c r="B76" s="17" t="n">
        <v>7052</v>
      </c>
      <c r="C76" s="18">
        <f>(6309.0/B76*100)</f>
        <v/>
      </c>
      <c r="D76" s="19" t="n">
        <v>743</v>
      </c>
      <c r="E76" s="18" t="n">
        <v>63.78066897</v>
      </c>
      <c r="F76" s="20" t="n">
        <v>2.58525237</v>
      </c>
      <c r="G76" s="18" t="n">
        <v>32.87149693</v>
      </c>
      <c r="H76" s="20" t="n">
        <v>2.47781398</v>
      </c>
      <c r="I76" s="18" t="s">
        <v>567</v>
      </c>
      <c r="J76" s="20" t="s">
        <v>567</v>
      </c>
      <c r="K76" s="18" t="n">
        <v>1.19983331</v>
      </c>
      <c r="L76" s="20" t="n">
        <v>0.50085748</v>
      </c>
      <c r="M76" s="18" t="n">
        <v>0</v>
      </c>
      <c r="N76" s="20" t="n">
        <v>0</v>
      </c>
      <c r="O76" s="18" t="n">
        <v>0</v>
      </c>
      <c r="P76" s="20" t="n">
        <v>0</v>
      </c>
      <c r="Q76" s="18" t="n">
        <v>2.14800079</v>
      </c>
      <c r="R76" s="20" t="n">
        <v>0.61453074</v>
      </c>
    </row>
    <row r="77" spans="1:18">
      <c r="A77" s="15" t="s">
        <v>637</v>
      </c>
      <c r="B77" s="17" t="n">
        <v>2908</v>
      </c>
      <c r="C77" s="18">
        <f>(2588.0/B77*100)</f>
        <v/>
      </c>
      <c r="D77" s="19" t="n">
        <v>320</v>
      </c>
      <c r="E77" s="18" t="n">
        <v>65.23889344</v>
      </c>
      <c r="F77" s="20" t="n">
        <v>2.63965549</v>
      </c>
      <c r="G77" s="18" t="n">
        <v>30.7503123</v>
      </c>
      <c r="H77" s="20" t="n">
        <v>2.49125406</v>
      </c>
      <c r="I77" s="18" t="s">
        <v>567</v>
      </c>
      <c r="J77" s="20" t="s">
        <v>567</v>
      </c>
      <c r="K77" s="18" t="n">
        <v>1.39328406</v>
      </c>
      <c r="L77" s="20" t="n">
        <v>0.65133292</v>
      </c>
      <c r="M77" s="18" t="n">
        <v>0</v>
      </c>
      <c r="N77" s="20" t="n">
        <v>0</v>
      </c>
      <c r="O77" s="18" t="n">
        <v>0</v>
      </c>
      <c r="P77" s="20" t="n">
        <v>0</v>
      </c>
      <c r="Q77" s="18" t="n">
        <v>2.6175102</v>
      </c>
      <c r="R77" s="20" t="n">
        <v>0.90483134</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(3690.0/B81*100)</f>
        <v/>
      </c>
      <c r="D81" s="19" t="n">
        <v>473</v>
      </c>
      <c r="E81" s="18" t="n">
        <v>62.01094847</v>
      </c>
      <c r="F81" s="20" t="n">
        <v>2.80066733</v>
      </c>
      <c r="G81" s="18" t="n">
        <v>37.07631495</v>
      </c>
      <c r="H81" s="20" t="n">
        <v>2.76221817</v>
      </c>
      <c r="I81" s="18" t="s">
        <v>567</v>
      </c>
      <c r="J81" s="20" t="s">
        <v>567</v>
      </c>
      <c r="K81" s="18" t="n">
        <v>0.38009698</v>
      </c>
      <c r="L81" s="20" t="n">
        <v>0.4652082</v>
      </c>
      <c r="M81" s="18" t="n">
        <v>0</v>
      </c>
      <c r="N81" s="20" t="n">
        <v>0</v>
      </c>
      <c r="O81" s="18" t="n">
        <v>0</v>
      </c>
      <c r="P81" s="20" t="n">
        <v>0</v>
      </c>
      <c r="Q81" s="18" t="n">
        <v>0.5326396</v>
      </c>
      <c r="R81" s="20" t="n">
        <v>0.42193458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694</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7367</v>
      </c>
      <c r="C7" s="18">
        <f>(6597.0/B7*100)</f>
        <v/>
      </c>
      <c r="D7" s="19" t="n">
        <v>770</v>
      </c>
      <c r="E7" s="18" t="n">
        <v>32.49559843</v>
      </c>
      <c r="F7" s="20" t="n">
        <v>1.78360115</v>
      </c>
      <c r="G7" s="18" t="n">
        <v>11.86757957</v>
      </c>
      <c r="H7" s="20" t="n">
        <v>1.36761749</v>
      </c>
      <c r="I7" s="18" t="n">
        <v>51.98831254</v>
      </c>
      <c r="J7" s="20" t="n">
        <v>2.25788744</v>
      </c>
      <c r="K7" s="18" t="s">
        <v>567</v>
      </c>
      <c r="L7" s="20" t="s">
        <v>567</v>
      </c>
      <c r="M7" s="18" t="n">
        <v>0.68158914</v>
      </c>
      <c r="N7" s="20" t="n">
        <v>0.32317573</v>
      </c>
      <c r="O7" s="18" t="n">
        <v>0.06942573</v>
      </c>
      <c r="P7" s="20" t="n">
        <v>0.03415223</v>
      </c>
      <c r="Q7" s="18" t="n">
        <v>0</v>
      </c>
      <c r="R7" s="20" t="n">
        <v>0</v>
      </c>
      <c r="S7" s="18" t="n">
        <v>2.8974946</v>
      </c>
      <c r="T7" s="20" t="n">
        <v>0.7687348000000001</v>
      </c>
    </row>
    <row r="8" spans="1:20">
      <c r="A8" s="15" t="s">
        <v>568</v>
      </c>
      <c r="B8" s="17" t="n">
        <v>3564</v>
      </c>
      <c r="C8" s="18">
        <f>(3177.0/B8*100)</f>
        <v/>
      </c>
      <c r="D8" s="19" t="n">
        <v>387</v>
      </c>
      <c r="E8" s="18" t="n">
        <v>45.56217376</v>
      </c>
      <c r="F8" s="20" t="n">
        <v>2.89640187</v>
      </c>
      <c r="G8" s="18" t="n">
        <v>5.10410954</v>
      </c>
      <c r="H8" s="20" t="n">
        <v>1.13257979</v>
      </c>
      <c r="I8" s="18" t="n">
        <v>46.69215743</v>
      </c>
      <c r="J8" s="20" t="n">
        <v>2.52260683</v>
      </c>
      <c r="K8" s="18" t="s">
        <v>567</v>
      </c>
      <c r="L8" s="20" t="s">
        <v>567</v>
      </c>
      <c r="M8" s="18" t="n">
        <v>1.11836061</v>
      </c>
      <c r="N8" s="20" t="n">
        <v>0.56934</v>
      </c>
      <c r="O8" s="18" t="n">
        <v>0</v>
      </c>
      <c r="P8" s="20" t="n">
        <v>0</v>
      </c>
      <c r="Q8" s="18" t="n">
        <v>0</v>
      </c>
      <c r="R8" s="20" t="n">
        <v>0</v>
      </c>
      <c r="S8" s="18" t="n">
        <v>1.52319867</v>
      </c>
      <c r="T8" s="20" t="n">
        <v>0.66975112</v>
      </c>
    </row>
    <row r="9" spans="1:20">
      <c r="A9" s="15" t="s">
        <v>569</v>
      </c>
      <c r="B9" s="17" t="n">
        <v>4899</v>
      </c>
      <c r="C9" s="18">
        <f>(4384.0/B9*100)</f>
        <v/>
      </c>
      <c r="D9" s="19" t="n">
        <v>515</v>
      </c>
      <c r="E9" s="18" t="n">
        <v>31.07002602</v>
      </c>
      <c r="F9" s="20" t="n">
        <v>2.2029184</v>
      </c>
      <c r="G9" s="18" t="n">
        <v>4.48268235</v>
      </c>
      <c r="H9" s="20" t="n">
        <v>0.87211796</v>
      </c>
      <c r="I9" s="18" t="n">
        <v>60.97942595</v>
      </c>
      <c r="J9" s="20" t="n">
        <v>1.98139627</v>
      </c>
      <c r="K9" s="18" t="s">
        <v>567</v>
      </c>
      <c r="L9" s="20" t="s">
        <v>567</v>
      </c>
      <c r="M9" s="18" t="n">
        <v>0.39924267</v>
      </c>
      <c r="N9" s="20" t="n">
        <v>0.27878651</v>
      </c>
      <c r="O9" s="18" t="n">
        <v>0.67435863</v>
      </c>
      <c r="P9" s="20" t="n">
        <v>0.40761209</v>
      </c>
      <c r="Q9" s="18" t="n">
        <v>0</v>
      </c>
      <c r="R9" s="20" t="n">
        <v>0</v>
      </c>
      <c r="S9" s="18" t="n">
        <v>2.39426437</v>
      </c>
      <c r="T9" s="20" t="n">
        <v>0.79243155</v>
      </c>
    </row>
    <row r="10" spans="1:20">
      <c r="A10" s="15" t="s">
        <v>570</v>
      </c>
      <c r="B10" s="17" t="n">
        <v>10036</v>
      </c>
      <c r="C10" s="18">
        <f>(8882.0/B10*100)</f>
        <v/>
      </c>
      <c r="D10" s="19" t="n">
        <v>1154</v>
      </c>
      <c r="E10" s="18" t="n">
        <v>28.02652823</v>
      </c>
      <c r="F10" s="20" t="n">
        <v>1.86111</v>
      </c>
      <c r="G10" s="18" t="n">
        <v>7.39942617</v>
      </c>
      <c r="H10" s="20" t="n">
        <v>1.06263047</v>
      </c>
      <c r="I10" s="18" t="n">
        <v>62.6821938</v>
      </c>
      <c r="J10" s="20" t="n">
        <v>1.95187157</v>
      </c>
      <c r="K10" s="18" t="s">
        <v>567</v>
      </c>
      <c r="L10" s="20" t="s">
        <v>567</v>
      </c>
      <c r="M10" s="18" t="n">
        <v>1.11388752</v>
      </c>
      <c r="N10" s="20" t="n">
        <v>0.4222784</v>
      </c>
      <c r="O10" s="18" t="n">
        <v>0</v>
      </c>
      <c r="P10" s="20" t="n">
        <v>0</v>
      </c>
      <c r="Q10" s="18" t="n">
        <v>0</v>
      </c>
      <c r="R10" s="20" t="n">
        <v>0</v>
      </c>
      <c r="S10" s="18" t="n">
        <v>0.77796428</v>
      </c>
      <c r="T10" s="20" t="n">
        <v>0.38025444</v>
      </c>
    </row>
    <row r="11" spans="1:20">
      <c r="A11" s="15" t="s">
        <v>571</v>
      </c>
      <c r="B11" s="17" t="n">
        <v>3553</v>
      </c>
      <c r="C11" s="18">
        <f>(3181.0/B11*100)</f>
        <v/>
      </c>
      <c r="D11" s="19" t="n">
        <v>372</v>
      </c>
      <c r="E11" s="18" t="n">
        <v>50.30377904</v>
      </c>
      <c r="F11" s="20" t="n">
        <v>3.56825166</v>
      </c>
      <c r="G11" s="18" t="n">
        <v>20.94865776</v>
      </c>
      <c r="H11" s="20" t="n">
        <v>2.54066246</v>
      </c>
      <c r="I11" s="18" t="n">
        <v>25.53579002</v>
      </c>
      <c r="J11" s="20" t="n">
        <v>2.69116057</v>
      </c>
      <c r="K11" s="18" t="s">
        <v>567</v>
      </c>
      <c r="L11" s="20" t="s">
        <v>567</v>
      </c>
      <c r="M11" s="18" t="n">
        <v>1.73502341</v>
      </c>
      <c r="N11" s="20" t="n">
        <v>0.73265718</v>
      </c>
      <c r="O11" s="18" t="n">
        <v>0</v>
      </c>
      <c r="P11" s="20" t="n">
        <v>0</v>
      </c>
      <c r="Q11" s="18" t="n">
        <v>0</v>
      </c>
      <c r="R11" s="20" t="n">
        <v>0</v>
      </c>
      <c r="S11" s="18" t="n">
        <v>1.47674977</v>
      </c>
      <c r="T11" s="20" t="n">
        <v>0.77962308</v>
      </c>
    </row>
    <row r="12" spans="1:20">
      <c r="A12" s="15" t="s">
        <v>572</v>
      </c>
      <c r="B12" s="17" t="n">
        <v>3472</v>
      </c>
      <c r="C12" s="18">
        <f>(3075.0/B12*100)</f>
        <v/>
      </c>
      <c r="D12" s="19" t="n">
        <v>397</v>
      </c>
      <c r="E12" s="18" t="n">
        <v>55.5441178</v>
      </c>
      <c r="F12" s="20" t="n">
        <v>3.16578633</v>
      </c>
      <c r="G12" s="18" t="n">
        <v>9.149097210000001</v>
      </c>
      <c r="H12" s="20" t="n">
        <v>1.46742462</v>
      </c>
      <c r="I12" s="18" t="n">
        <v>33.42606408</v>
      </c>
      <c r="J12" s="20" t="n">
        <v>3.18527659</v>
      </c>
      <c r="K12" s="18" t="s">
        <v>567</v>
      </c>
      <c r="L12" s="20" t="s">
        <v>567</v>
      </c>
      <c r="M12" s="18" t="n">
        <v>0.23089276</v>
      </c>
      <c r="N12" s="20" t="n">
        <v>0.22690194</v>
      </c>
      <c r="O12" s="18" t="n">
        <v>0</v>
      </c>
      <c r="P12" s="20" t="n">
        <v>0</v>
      </c>
      <c r="Q12" s="18" t="n">
        <v>0</v>
      </c>
      <c r="R12" s="20" t="n">
        <v>0</v>
      </c>
      <c r="S12" s="18" t="n">
        <v>1.64982815</v>
      </c>
      <c r="T12" s="20" t="n">
        <v>0.89310725</v>
      </c>
    </row>
    <row r="13" spans="1:20">
      <c r="A13" s="15" t="s">
        <v>573</v>
      </c>
      <c r="B13" s="17" t="n">
        <v>3559</v>
      </c>
      <c r="C13" s="18">
        <f>(3186.0/B13*100)</f>
        <v/>
      </c>
      <c r="D13" s="19" t="n">
        <v>373</v>
      </c>
      <c r="E13" s="18" t="n">
        <v>31.41569684</v>
      </c>
      <c r="F13" s="20" t="n">
        <v>2.82109234</v>
      </c>
      <c r="G13" s="18" t="n">
        <v>6.90633063</v>
      </c>
      <c r="H13" s="20" t="n">
        <v>1.40166846</v>
      </c>
      <c r="I13" s="18" t="n">
        <v>58.9875994</v>
      </c>
      <c r="J13" s="20" t="n">
        <v>2.90704103</v>
      </c>
      <c r="K13" s="18" t="s">
        <v>567</v>
      </c>
      <c r="L13" s="20" t="s">
        <v>567</v>
      </c>
      <c r="M13" s="18" t="n">
        <v>1.7892552</v>
      </c>
      <c r="N13" s="20" t="n">
        <v>1.05691775</v>
      </c>
      <c r="O13" s="18" t="n">
        <v>0</v>
      </c>
      <c r="P13" s="20" t="n">
        <v>0</v>
      </c>
      <c r="Q13" s="18" t="n">
        <v>0</v>
      </c>
      <c r="R13" s="20" t="n">
        <v>0</v>
      </c>
      <c r="S13" s="18" t="n">
        <v>0.90111792</v>
      </c>
      <c r="T13" s="20" t="n">
        <v>0.47794102</v>
      </c>
    </row>
    <row r="14" spans="1:20">
      <c r="A14" s="15" t="s">
        <v>574</v>
      </c>
      <c r="B14" s="17" t="n">
        <v>2799</v>
      </c>
      <c r="C14" s="18">
        <f>(2487.0/B14*100)</f>
        <v/>
      </c>
      <c r="D14" s="19" t="n">
        <v>312</v>
      </c>
      <c r="E14" s="18" t="n">
        <v>15.22201976</v>
      </c>
      <c r="F14" s="20" t="n">
        <v>2.14756671</v>
      </c>
      <c r="G14" s="18" t="n">
        <v>31.0569294</v>
      </c>
      <c r="H14" s="20" t="n">
        <v>2.89043606</v>
      </c>
      <c r="I14" s="18" t="n">
        <v>53.06481721</v>
      </c>
      <c r="J14" s="20" t="n">
        <v>3.05407518</v>
      </c>
      <c r="K14" s="18" t="s">
        <v>567</v>
      </c>
      <c r="L14" s="20" t="s">
        <v>567</v>
      </c>
      <c r="M14" s="18" t="n">
        <v>0</v>
      </c>
      <c r="N14" s="20" t="n">
        <v>0</v>
      </c>
      <c r="O14" s="18" t="n">
        <v>0</v>
      </c>
      <c r="P14" s="20" t="n">
        <v>0</v>
      </c>
      <c r="Q14" s="18" t="n">
        <v>0</v>
      </c>
      <c r="R14" s="20" t="n">
        <v>0</v>
      </c>
      <c r="S14" s="18" t="n">
        <v>0.65623362</v>
      </c>
      <c r="T14" s="20" t="n">
        <v>0.46445025</v>
      </c>
    </row>
    <row r="15" spans="1:20">
      <c r="A15" s="15" t="s">
        <v>575</v>
      </c>
      <c r="B15" s="17" t="n">
        <v>3019</v>
      </c>
      <c r="C15" s="18">
        <f>(2722.0/B15*100)</f>
        <v/>
      </c>
      <c r="D15" s="19" t="n">
        <v>297</v>
      </c>
      <c r="E15" s="18" t="n">
        <v>37.61980666</v>
      </c>
      <c r="F15" s="20" t="n">
        <v>2.66285314</v>
      </c>
      <c r="G15" s="18" t="n">
        <v>6.86586293</v>
      </c>
      <c r="H15" s="20" t="n">
        <v>1.60049863</v>
      </c>
      <c r="I15" s="18" t="n">
        <v>52.8180735</v>
      </c>
      <c r="J15" s="20" t="n">
        <v>3.52387461</v>
      </c>
      <c r="K15" s="18" t="s">
        <v>567</v>
      </c>
      <c r="L15" s="20" t="s">
        <v>567</v>
      </c>
      <c r="M15" s="18" t="n">
        <v>0</v>
      </c>
      <c r="N15" s="20" t="n">
        <v>0</v>
      </c>
      <c r="O15" s="18" t="n">
        <v>0</v>
      </c>
      <c r="P15" s="20" t="n">
        <v>0</v>
      </c>
      <c r="Q15" s="18" t="n">
        <v>0</v>
      </c>
      <c r="R15" s="20" t="n">
        <v>0</v>
      </c>
      <c r="S15" s="18" t="n">
        <v>2.69625691</v>
      </c>
      <c r="T15" s="20" t="n">
        <v>0.94296326</v>
      </c>
    </row>
    <row r="16" spans="1:20">
      <c r="A16" s="15" t="s">
        <v>576</v>
      </c>
      <c r="B16" s="17" t="n">
        <v>2997</v>
      </c>
      <c r="C16" s="18">
        <f>(2677.0/B16*100)</f>
        <v/>
      </c>
      <c r="D16" s="19" t="n">
        <v>320</v>
      </c>
      <c r="E16" s="18" t="n">
        <v>29.31238877</v>
      </c>
      <c r="F16" s="20" t="n">
        <v>2.81616261</v>
      </c>
      <c r="G16" s="18" t="n">
        <v>2.81391097</v>
      </c>
      <c r="H16" s="20" t="n">
        <v>0.84657176</v>
      </c>
      <c r="I16" s="18" t="n">
        <v>63.84484429</v>
      </c>
      <c r="J16" s="20" t="n">
        <v>3.00252595</v>
      </c>
      <c r="K16" s="18" t="s">
        <v>567</v>
      </c>
      <c r="L16" s="20" t="s">
        <v>567</v>
      </c>
      <c r="M16" s="18" t="n">
        <v>1.56493791</v>
      </c>
      <c r="N16" s="20" t="n">
        <v>1.00456675</v>
      </c>
      <c r="O16" s="18" t="n">
        <v>0</v>
      </c>
      <c r="P16" s="20" t="n">
        <v>0</v>
      </c>
      <c r="Q16" s="18" t="n">
        <v>0</v>
      </c>
      <c r="R16" s="20" t="n">
        <v>0</v>
      </c>
      <c r="S16" s="18" t="n">
        <v>2.46391806</v>
      </c>
      <c r="T16" s="20" t="n">
        <v>1.1477053</v>
      </c>
    </row>
    <row r="17" spans="1:20">
      <c r="A17" s="15" t="s">
        <v>577</v>
      </c>
      <c r="B17" s="17" t="n">
        <v>3307</v>
      </c>
      <c r="C17" s="18">
        <f>(2979.0/B17*100)</f>
        <v/>
      </c>
      <c r="D17" s="19" t="n">
        <v>328</v>
      </c>
      <c r="E17" s="18" t="n">
        <v>29.53774452</v>
      </c>
      <c r="F17" s="20" t="n">
        <v>2.49734116</v>
      </c>
      <c r="G17" s="18" t="n">
        <v>5.26037267</v>
      </c>
      <c r="H17" s="20" t="n">
        <v>1.22014281</v>
      </c>
      <c r="I17" s="18" t="n">
        <v>60.70427229</v>
      </c>
      <c r="J17" s="20" t="n">
        <v>2.93266095</v>
      </c>
      <c r="K17" s="18" t="s">
        <v>567</v>
      </c>
      <c r="L17" s="20" t="s">
        <v>567</v>
      </c>
      <c r="M17" s="18" t="n">
        <v>0.66634634</v>
      </c>
      <c r="N17" s="20" t="n">
        <v>0.34327444</v>
      </c>
      <c r="O17" s="18" t="n">
        <v>0</v>
      </c>
      <c r="P17" s="20" t="n">
        <v>0</v>
      </c>
      <c r="Q17" s="18" t="n">
        <v>0</v>
      </c>
      <c r="R17" s="20" t="n">
        <v>0</v>
      </c>
      <c r="S17" s="18" t="n">
        <v>3.83126417</v>
      </c>
      <c r="T17" s="20" t="n">
        <v>1.35420819</v>
      </c>
    </row>
    <row r="18" spans="1:20">
      <c r="A18" s="15" t="s">
        <v>578</v>
      </c>
      <c r="B18" s="17" t="n">
        <v>2826</v>
      </c>
      <c r="C18" s="18">
        <f>(2496.0/B18*100)</f>
        <v/>
      </c>
      <c r="D18" s="19" t="n">
        <v>330</v>
      </c>
      <c r="E18" s="18" t="n">
        <v>52.59647042</v>
      </c>
      <c r="F18" s="20" t="n">
        <v>3.03424427</v>
      </c>
      <c r="G18" s="18" t="n">
        <v>7.31893781</v>
      </c>
      <c r="H18" s="20" t="n">
        <v>1.58752444</v>
      </c>
      <c r="I18" s="18" t="n">
        <v>37.73291198</v>
      </c>
      <c r="J18" s="20" t="n">
        <v>2.62378057</v>
      </c>
      <c r="K18" s="18" t="s">
        <v>567</v>
      </c>
      <c r="L18" s="20" t="s">
        <v>567</v>
      </c>
      <c r="M18" s="18" t="n">
        <v>0.63082999</v>
      </c>
      <c r="N18" s="20" t="n">
        <v>0.43867373</v>
      </c>
      <c r="O18" s="18" t="n">
        <v>0</v>
      </c>
      <c r="P18" s="20" t="n">
        <v>0</v>
      </c>
      <c r="Q18" s="18" t="n">
        <v>0</v>
      </c>
      <c r="R18" s="20" t="n">
        <v>0</v>
      </c>
      <c r="S18" s="18" t="n">
        <v>1.72084979</v>
      </c>
      <c r="T18" s="20" t="n">
        <v>0.75463938</v>
      </c>
    </row>
    <row r="19" spans="1:20">
      <c r="A19" s="15" t="s">
        <v>579</v>
      </c>
      <c r="B19" s="17" t="n">
        <v>2808</v>
      </c>
      <c r="C19" s="18">
        <f>(2511.0/B19*100)</f>
        <v/>
      </c>
      <c r="D19" s="19" t="n">
        <v>297</v>
      </c>
      <c r="E19" s="18" t="n">
        <v>51.05420557</v>
      </c>
      <c r="F19" s="20" t="n">
        <v>3.64237229</v>
      </c>
      <c r="G19" s="18" t="n">
        <v>5.83463606</v>
      </c>
      <c r="H19" s="20" t="n">
        <v>1.3835948</v>
      </c>
      <c r="I19" s="18" t="n">
        <v>43.11115838</v>
      </c>
      <c r="J19" s="20" t="n">
        <v>3.43274566</v>
      </c>
      <c r="K19" s="18" t="s">
        <v>567</v>
      </c>
      <c r="L19" s="20" t="s">
        <v>567</v>
      </c>
      <c r="M19" s="18" t="n">
        <v>0</v>
      </c>
      <c r="N19" s="20" t="n">
        <v>0</v>
      </c>
      <c r="O19" s="18" t="n">
        <v>0</v>
      </c>
      <c r="P19" s="20" t="n">
        <v>0</v>
      </c>
      <c r="Q19" s="18" t="n">
        <v>0</v>
      </c>
      <c r="R19" s="20" t="n">
        <v>0</v>
      </c>
      <c r="S19" s="18" t="n">
        <v>0</v>
      </c>
      <c r="T19" s="20" t="n">
        <v>0</v>
      </c>
    </row>
    <row r="20" spans="1:20">
      <c r="A20" s="15" t="s">
        <v>580</v>
      </c>
      <c r="B20" s="17" t="n">
        <v>1630</v>
      </c>
      <c r="C20" s="18">
        <f>(1455.0/B20*100)</f>
        <v/>
      </c>
      <c r="D20" s="19" t="n">
        <v>175</v>
      </c>
      <c r="E20" s="18" t="n">
        <v>66.94763838</v>
      </c>
      <c r="F20" s="20" t="n">
        <v>3.74806271</v>
      </c>
      <c r="G20" s="18" t="n">
        <v>5.65370678</v>
      </c>
      <c r="H20" s="20" t="n">
        <v>1.43112598</v>
      </c>
      <c r="I20" s="18" t="n">
        <v>25.65729485</v>
      </c>
      <c r="J20" s="20" t="n">
        <v>3.75992467</v>
      </c>
      <c r="K20" s="18" t="s">
        <v>567</v>
      </c>
      <c r="L20" s="20" t="s">
        <v>567</v>
      </c>
      <c r="M20" s="18" t="n">
        <v>0.56411155</v>
      </c>
      <c r="N20" s="20" t="n">
        <v>0.57287294</v>
      </c>
      <c r="O20" s="18" t="n">
        <v>0</v>
      </c>
      <c r="P20" s="20" t="n">
        <v>0</v>
      </c>
      <c r="Q20" s="18" t="n">
        <v>0</v>
      </c>
      <c r="R20" s="20" t="n">
        <v>0</v>
      </c>
      <c r="S20" s="18" t="n">
        <v>1.17724843</v>
      </c>
      <c r="T20" s="20" t="n">
        <v>0.80408442</v>
      </c>
    </row>
    <row r="21" spans="1:20">
      <c r="A21" s="15" t="s">
        <v>581</v>
      </c>
      <c r="B21" s="17" t="n">
        <v>2908</v>
      </c>
      <c r="C21" s="18">
        <f>(2590.0/B21*100)</f>
        <v/>
      </c>
      <c r="D21" s="19" t="n">
        <v>318</v>
      </c>
      <c r="E21" s="18" t="n">
        <v>21.40317743</v>
      </c>
      <c r="F21" s="20" t="n">
        <v>2.63809885</v>
      </c>
      <c r="G21" s="18" t="n">
        <v>7.73437464</v>
      </c>
      <c r="H21" s="20" t="n">
        <v>1.66608793</v>
      </c>
      <c r="I21" s="18" t="n">
        <v>67.62273245</v>
      </c>
      <c r="J21" s="20" t="n">
        <v>2.81439306</v>
      </c>
      <c r="K21" s="18" t="s">
        <v>567</v>
      </c>
      <c r="L21" s="20" t="s">
        <v>567</v>
      </c>
      <c r="M21" s="18" t="n">
        <v>0.91048394</v>
      </c>
      <c r="N21" s="20" t="n">
        <v>0.57346303</v>
      </c>
      <c r="O21" s="18" t="n">
        <v>0</v>
      </c>
      <c r="P21" s="20" t="n">
        <v>0</v>
      </c>
      <c r="Q21" s="18" t="n">
        <v>0</v>
      </c>
      <c r="R21" s="20" t="n">
        <v>0</v>
      </c>
      <c r="S21" s="18" t="n">
        <v>2.32923154</v>
      </c>
      <c r="T21" s="20" t="n">
        <v>0.98840646</v>
      </c>
    </row>
    <row r="22" spans="1:20">
      <c r="A22" s="15" t="s">
        <v>582</v>
      </c>
      <c r="B22" s="17" t="n">
        <v>2931</v>
      </c>
      <c r="C22" s="18">
        <f>(2615.0/B22*100)</f>
        <v/>
      </c>
      <c r="D22" s="19" t="n">
        <v>316</v>
      </c>
      <c r="E22" s="18" t="n">
        <v>42.39432463</v>
      </c>
      <c r="F22" s="20" t="n">
        <v>3.62482771</v>
      </c>
      <c r="G22" s="18" t="n">
        <v>8.89938325</v>
      </c>
      <c r="H22" s="20" t="n">
        <v>1.6422151</v>
      </c>
      <c r="I22" s="18" t="n">
        <v>44.42404582</v>
      </c>
      <c r="J22" s="20" t="n">
        <v>4.07485501</v>
      </c>
      <c r="K22" s="18" t="s">
        <v>567</v>
      </c>
      <c r="L22" s="20" t="s">
        <v>567</v>
      </c>
      <c r="M22" s="18" t="n">
        <v>2.60124599</v>
      </c>
      <c r="N22" s="20" t="n">
        <v>0.88730369</v>
      </c>
      <c r="O22" s="18" t="n">
        <v>0</v>
      </c>
      <c r="P22" s="20" t="n">
        <v>0</v>
      </c>
      <c r="Q22" s="18" t="n">
        <v>0</v>
      </c>
      <c r="R22" s="20" t="n">
        <v>0</v>
      </c>
      <c r="S22" s="18" t="n">
        <v>1.68100032</v>
      </c>
      <c r="T22" s="20" t="n">
        <v>0.70716992</v>
      </c>
    </row>
    <row r="23" spans="1:20">
      <c r="A23" s="15" t="s">
        <v>583</v>
      </c>
      <c r="B23" s="17" t="n">
        <v>5791</v>
      </c>
      <c r="C23" s="18">
        <f>(5190.0/B23*100)</f>
        <v/>
      </c>
      <c r="D23" s="19" t="n">
        <v>601</v>
      </c>
      <c r="E23" s="18" t="n">
        <v>36.80465525</v>
      </c>
      <c r="F23" s="20" t="n">
        <v>2.25531881</v>
      </c>
      <c r="G23" s="18" t="n">
        <v>4.29448623</v>
      </c>
      <c r="H23" s="20" t="n">
        <v>1.06634356</v>
      </c>
      <c r="I23" s="18" t="n">
        <v>54.50326445</v>
      </c>
      <c r="J23" s="20" t="n">
        <v>2.2427092</v>
      </c>
      <c r="K23" s="18" t="s">
        <v>567</v>
      </c>
      <c r="L23" s="20" t="s">
        <v>567</v>
      </c>
      <c r="M23" s="18" t="n">
        <v>0.70215994</v>
      </c>
      <c r="N23" s="20" t="n">
        <v>0.43562384</v>
      </c>
      <c r="O23" s="18" t="n">
        <v>0</v>
      </c>
      <c r="P23" s="20" t="n">
        <v>0</v>
      </c>
      <c r="Q23" s="18" t="n">
        <v>0</v>
      </c>
      <c r="R23" s="20" t="n">
        <v>0</v>
      </c>
      <c r="S23" s="18" t="n">
        <v>3.69543414</v>
      </c>
      <c r="T23" s="20" t="n">
        <v>0.88714439</v>
      </c>
    </row>
    <row r="24" spans="1:20">
      <c r="A24" s="15" t="s">
        <v>584</v>
      </c>
      <c r="B24" s="17" t="n">
        <v>3338</v>
      </c>
      <c r="C24" s="18">
        <f>(2975.0/B24*100)</f>
        <v/>
      </c>
      <c r="D24" s="19" t="n">
        <v>363</v>
      </c>
      <c r="E24" s="18" t="n">
        <v>32.48950028</v>
      </c>
      <c r="F24" s="20" t="n">
        <v>2.56238092</v>
      </c>
      <c r="G24" s="18" t="n">
        <v>7.83558571</v>
      </c>
      <c r="H24" s="20" t="n">
        <v>1.58357119</v>
      </c>
      <c r="I24" s="18" t="n">
        <v>58.19816028</v>
      </c>
      <c r="J24" s="20" t="n">
        <v>2.81588091</v>
      </c>
      <c r="K24" s="18" t="s">
        <v>567</v>
      </c>
      <c r="L24" s="20" t="s">
        <v>567</v>
      </c>
      <c r="M24" s="18" t="n">
        <v>0.26676081</v>
      </c>
      <c r="N24" s="20" t="n">
        <v>0.26574305</v>
      </c>
      <c r="O24" s="18" t="n">
        <v>0</v>
      </c>
      <c r="P24" s="20" t="n">
        <v>0</v>
      </c>
      <c r="Q24" s="18" t="n">
        <v>0</v>
      </c>
      <c r="R24" s="20" t="n">
        <v>0</v>
      </c>
      <c r="S24" s="18" t="n">
        <v>1.20999292</v>
      </c>
      <c r="T24" s="20" t="n">
        <v>0.78063027</v>
      </c>
    </row>
    <row r="25" spans="1:20">
      <c r="A25" s="15" t="s">
        <v>585</v>
      </c>
      <c r="B25" s="17" t="n">
        <v>2912</v>
      </c>
      <c r="C25" s="18">
        <f>(2601.0/B25*100)</f>
        <v/>
      </c>
      <c r="D25" s="19" t="n">
        <v>311</v>
      </c>
      <c r="E25" s="18" t="n">
        <v>31.98253442</v>
      </c>
      <c r="F25" s="20" t="n">
        <v>2.57505163</v>
      </c>
      <c r="G25" s="18" t="n">
        <v>2.01375282</v>
      </c>
      <c r="H25" s="20" t="n">
        <v>0.90951388</v>
      </c>
      <c r="I25" s="18" t="n">
        <v>63.91814794</v>
      </c>
      <c r="J25" s="20" t="n">
        <v>2.67081056</v>
      </c>
      <c r="K25" s="18" t="s">
        <v>567</v>
      </c>
      <c r="L25" s="20" t="s">
        <v>567</v>
      </c>
      <c r="M25" s="18" t="n">
        <v>0.9219974399999999</v>
      </c>
      <c r="N25" s="20" t="n">
        <v>0.55009847</v>
      </c>
      <c r="O25" s="18" t="n">
        <v>0</v>
      </c>
      <c r="P25" s="20" t="n">
        <v>0</v>
      </c>
      <c r="Q25" s="18" t="n">
        <v>0</v>
      </c>
      <c r="R25" s="20" t="n">
        <v>0</v>
      </c>
      <c r="S25" s="18" t="n">
        <v>1.16356737</v>
      </c>
      <c r="T25" s="20" t="n">
        <v>0.59179134</v>
      </c>
    </row>
    <row r="26" spans="1:20">
      <c r="A26" s="15" t="s">
        <v>586</v>
      </c>
      <c r="B26" s="17" t="n">
        <v>2450</v>
      </c>
      <c r="C26" s="18">
        <f>(2174.0/B26*100)</f>
        <v/>
      </c>
      <c r="D26" s="19" t="n">
        <v>276</v>
      </c>
      <c r="E26" s="18" t="n">
        <v>30.34034436</v>
      </c>
      <c r="F26" s="20" t="n">
        <v>2.96064464</v>
      </c>
      <c r="G26" s="18" t="n">
        <v>34.02535271</v>
      </c>
      <c r="H26" s="20" t="n">
        <v>3.21592183</v>
      </c>
      <c r="I26" s="18" t="n">
        <v>34.64875891</v>
      </c>
      <c r="J26" s="20" t="n">
        <v>3.30055949</v>
      </c>
      <c r="K26" s="18" t="s">
        <v>567</v>
      </c>
      <c r="L26" s="20" t="s">
        <v>567</v>
      </c>
      <c r="M26" s="18" t="n">
        <v>0.29194021</v>
      </c>
      <c r="N26" s="20" t="n">
        <v>0.29962657</v>
      </c>
      <c r="O26" s="18" t="n">
        <v>0</v>
      </c>
      <c r="P26" s="20" t="n">
        <v>0</v>
      </c>
      <c r="Q26" s="18" t="n">
        <v>0</v>
      </c>
      <c r="R26" s="20" t="n">
        <v>0</v>
      </c>
      <c r="S26" s="18" t="n">
        <v>0.69360382</v>
      </c>
      <c r="T26" s="20" t="n">
        <v>0.40459427</v>
      </c>
    </row>
    <row r="27" spans="1:20">
      <c r="A27" s="15" t="s">
        <v>587</v>
      </c>
      <c r="B27" s="17" t="n">
        <v>2616</v>
      </c>
      <c r="C27" s="18">
        <f>(2346.0/B27*100)</f>
        <v/>
      </c>
      <c r="D27" s="19" t="n">
        <v>270</v>
      </c>
      <c r="E27" s="18" t="n">
        <v>43.11615007</v>
      </c>
      <c r="F27" s="20" t="n">
        <v>2.96141822</v>
      </c>
      <c r="G27" s="18" t="n">
        <v>4.80614061</v>
      </c>
      <c r="H27" s="20" t="n">
        <v>1.20912274</v>
      </c>
      <c r="I27" s="18" t="n">
        <v>49.10609</v>
      </c>
      <c r="J27" s="20" t="n">
        <v>3.39481485</v>
      </c>
      <c r="K27" s="18" t="s">
        <v>567</v>
      </c>
      <c r="L27" s="20" t="s">
        <v>567</v>
      </c>
      <c r="M27" s="18" t="n">
        <v>1.11161338</v>
      </c>
      <c r="N27" s="20" t="n">
        <v>0.63815901</v>
      </c>
      <c r="O27" s="18" t="n">
        <v>0</v>
      </c>
      <c r="P27" s="20" t="n">
        <v>0</v>
      </c>
      <c r="Q27" s="18" t="n">
        <v>0</v>
      </c>
      <c r="R27" s="20" t="n">
        <v>0</v>
      </c>
      <c r="S27" s="18" t="n">
        <v>1.86000594</v>
      </c>
      <c r="T27" s="20" t="n">
        <v>0.84049787</v>
      </c>
    </row>
    <row r="28" spans="1:20">
      <c r="A28" s="15" t="s">
        <v>588</v>
      </c>
      <c r="B28" s="17" t="n">
        <v>3765</v>
      </c>
      <c r="C28" s="18">
        <f>(3395.0/B28*100)</f>
        <v/>
      </c>
      <c r="D28" s="19" t="n">
        <v>370</v>
      </c>
      <c r="E28" s="18" t="n">
        <v>69.56911607000001</v>
      </c>
      <c r="F28" s="20" t="n">
        <v>2.1560924</v>
      </c>
      <c r="G28" s="18" t="n">
        <v>13.56942019</v>
      </c>
      <c r="H28" s="20" t="n">
        <v>1.82083497</v>
      </c>
      <c r="I28" s="18" t="n">
        <v>15.37150238</v>
      </c>
      <c r="J28" s="20" t="n">
        <v>1.47691835</v>
      </c>
      <c r="K28" s="18" t="s">
        <v>567</v>
      </c>
      <c r="L28" s="20" t="s">
        <v>567</v>
      </c>
      <c r="M28" s="18" t="n">
        <v>0.60911718</v>
      </c>
      <c r="N28" s="20" t="n">
        <v>0.46898954</v>
      </c>
      <c r="O28" s="18" t="n">
        <v>0</v>
      </c>
      <c r="P28" s="20" t="n">
        <v>0</v>
      </c>
      <c r="Q28" s="18" t="n">
        <v>0</v>
      </c>
      <c r="R28" s="20" t="n">
        <v>0</v>
      </c>
      <c r="S28" s="18" t="n">
        <v>0.88084418</v>
      </c>
      <c r="T28" s="20" t="n">
        <v>0.60059635</v>
      </c>
    </row>
    <row r="29" spans="1:20">
      <c r="A29" s="15" t="s">
        <v>589</v>
      </c>
      <c r="B29" s="17" t="n">
        <v>2685</v>
      </c>
      <c r="C29" s="18">
        <f>(2394.0/B29*100)</f>
        <v/>
      </c>
      <c r="D29" s="19" t="n">
        <v>291</v>
      </c>
      <c r="E29" s="18" t="n">
        <v>40.22469519</v>
      </c>
      <c r="F29" s="20" t="n">
        <v>3.03358221</v>
      </c>
      <c r="G29" s="18" t="n">
        <v>8.30308076</v>
      </c>
      <c r="H29" s="20" t="n">
        <v>1.506853</v>
      </c>
      <c r="I29" s="18" t="n">
        <v>49.7686981</v>
      </c>
      <c r="J29" s="20" t="n">
        <v>2.85087183</v>
      </c>
      <c r="K29" s="18" t="s">
        <v>567</v>
      </c>
      <c r="L29" s="20" t="s">
        <v>567</v>
      </c>
      <c r="M29" s="18" t="n">
        <v>0.26946692</v>
      </c>
      <c r="N29" s="20" t="n">
        <v>0.26478749</v>
      </c>
      <c r="O29" s="18" t="n">
        <v>0</v>
      </c>
      <c r="P29" s="20" t="n">
        <v>0</v>
      </c>
      <c r="Q29" s="18" t="n">
        <v>0</v>
      </c>
      <c r="R29" s="20" t="n">
        <v>0</v>
      </c>
      <c r="S29" s="18" t="n">
        <v>1.43405904</v>
      </c>
      <c r="T29" s="20" t="n">
        <v>0.74468044</v>
      </c>
    </row>
    <row r="30" spans="1:20">
      <c r="A30" s="15" t="s">
        <v>590</v>
      </c>
      <c r="B30" s="17" t="n">
        <v>2263</v>
      </c>
      <c r="C30" s="18">
        <f>(2040.0/B30*100)</f>
        <v/>
      </c>
      <c r="D30" s="19" t="n">
        <v>223</v>
      </c>
      <c r="E30" s="18" t="n">
        <v>33.74548131</v>
      </c>
      <c r="F30" s="20" t="n">
        <v>3.45839947</v>
      </c>
      <c r="G30" s="18" t="n">
        <v>2.93630902</v>
      </c>
      <c r="H30" s="20" t="n">
        <v>1.14668713</v>
      </c>
      <c r="I30" s="18" t="n">
        <v>59.11441416</v>
      </c>
      <c r="J30" s="20" t="n">
        <v>3.39567763</v>
      </c>
      <c r="K30" s="18" t="s">
        <v>567</v>
      </c>
      <c r="L30" s="20" t="s">
        <v>567</v>
      </c>
      <c r="M30" s="18" t="n">
        <v>0.94100035</v>
      </c>
      <c r="N30" s="20" t="n">
        <v>0.62233379</v>
      </c>
      <c r="O30" s="18" t="n">
        <v>0</v>
      </c>
      <c r="P30" s="20" t="n">
        <v>0</v>
      </c>
      <c r="Q30" s="18" t="n">
        <v>0</v>
      </c>
      <c r="R30" s="20" t="n">
        <v>0</v>
      </c>
      <c r="S30" s="18" t="n">
        <v>3.26279516</v>
      </c>
      <c r="T30" s="20" t="n">
        <v>1.08745099</v>
      </c>
    </row>
    <row r="31" spans="1:20">
      <c r="A31" s="15" t="s">
        <v>591</v>
      </c>
      <c r="B31" s="17" t="n">
        <v>2750</v>
      </c>
      <c r="C31" s="18">
        <f>(2440.0/B31*100)</f>
        <v/>
      </c>
      <c r="D31" s="19" t="n">
        <v>310</v>
      </c>
      <c r="E31" s="18" t="n">
        <v>43.55784943</v>
      </c>
      <c r="F31" s="20" t="n">
        <v>3.14320399</v>
      </c>
      <c r="G31" s="18" t="n">
        <v>5.45678762</v>
      </c>
      <c r="H31" s="20" t="n">
        <v>1.09339139</v>
      </c>
      <c r="I31" s="18" t="n">
        <v>48.11848581</v>
      </c>
      <c r="J31" s="20" t="n">
        <v>2.87341023</v>
      </c>
      <c r="K31" s="18" t="s">
        <v>567</v>
      </c>
      <c r="L31" s="20" t="s">
        <v>567</v>
      </c>
      <c r="M31" s="18" t="n">
        <v>0.9548915</v>
      </c>
      <c r="N31" s="20" t="n">
        <v>0.54176103</v>
      </c>
      <c r="O31" s="18" t="n">
        <v>0.6552390299999999</v>
      </c>
      <c r="P31" s="20" t="n">
        <v>0.75125425</v>
      </c>
      <c r="Q31" s="18" t="n">
        <v>0</v>
      </c>
      <c r="R31" s="20" t="n">
        <v>0</v>
      </c>
      <c r="S31" s="18" t="n">
        <v>1.25674661</v>
      </c>
      <c r="T31" s="20" t="n">
        <v>0.6378855</v>
      </c>
    </row>
    <row r="32" spans="1:20">
      <c r="A32" s="15" t="s">
        <v>592</v>
      </c>
      <c r="B32" s="17" t="n">
        <v>2269</v>
      </c>
      <c r="C32" s="18">
        <f>(2006.0/B32*100)</f>
        <v/>
      </c>
      <c r="D32" s="19" t="n">
        <v>263</v>
      </c>
      <c r="E32" s="18" t="n">
        <v>34.03793427</v>
      </c>
      <c r="F32" s="20" t="n">
        <v>2.9191927</v>
      </c>
      <c r="G32" s="18" t="n">
        <v>3.32485664</v>
      </c>
      <c r="H32" s="20" t="n">
        <v>1.09863066</v>
      </c>
      <c r="I32" s="18" t="n">
        <v>62.28147699</v>
      </c>
      <c r="J32" s="20" t="n">
        <v>3.13874374</v>
      </c>
      <c r="K32" s="18" t="s">
        <v>567</v>
      </c>
      <c r="L32" s="20" t="s">
        <v>567</v>
      </c>
      <c r="M32" s="18" t="n">
        <v>0</v>
      </c>
      <c r="N32" s="20" t="n">
        <v>0</v>
      </c>
      <c r="O32" s="18" t="n">
        <v>0</v>
      </c>
      <c r="P32" s="20" t="n">
        <v>0</v>
      </c>
      <c r="Q32" s="18" t="n">
        <v>0</v>
      </c>
      <c r="R32" s="20" t="n">
        <v>0</v>
      </c>
      <c r="S32" s="18" t="n">
        <v>0.3557321</v>
      </c>
      <c r="T32" s="20" t="n">
        <v>0.36838469</v>
      </c>
    </row>
    <row r="33" spans="1:20">
      <c r="A33" s="15" t="s">
        <v>593</v>
      </c>
      <c r="B33" s="17" t="n">
        <v>3674</v>
      </c>
      <c r="C33" s="18">
        <f>(3261.0/B33*100)</f>
        <v/>
      </c>
      <c r="D33" s="19" t="n">
        <v>413</v>
      </c>
      <c r="E33" s="18" t="n">
        <v>36.39329432</v>
      </c>
      <c r="F33" s="20" t="n">
        <v>2.56178695</v>
      </c>
      <c r="G33" s="18" t="n">
        <v>4.48645528</v>
      </c>
      <c r="H33" s="20" t="n">
        <v>1.42259114</v>
      </c>
      <c r="I33" s="18" t="n">
        <v>56.73720683</v>
      </c>
      <c r="J33" s="20" t="n">
        <v>2.80858143</v>
      </c>
      <c r="K33" s="18" t="s">
        <v>567</v>
      </c>
      <c r="L33" s="20" t="s">
        <v>567</v>
      </c>
      <c r="M33" s="18" t="n">
        <v>0.70981752</v>
      </c>
      <c r="N33" s="20" t="n">
        <v>0.45307618</v>
      </c>
      <c r="O33" s="18" t="n">
        <v>0</v>
      </c>
      <c r="P33" s="20" t="n">
        <v>0</v>
      </c>
      <c r="Q33" s="18" t="n">
        <v>0</v>
      </c>
      <c r="R33" s="20" t="n">
        <v>0</v>
      </c>
      <c r="S33" s="18" t="n">
        <v>1.67322606</v>
      </c>
      <c r="T33" s="20" t="n">
        <v>0.65693073</v>
      </c>
    </row>
    <row r="34" spans="1:20">
      <c r="A34" s="15" t="s">
        <v>594</v>
      </c>
      <c r="B34" s="17" t="n">
        <v>3315</v>
      </c>
      <c r="C34" s="18">
        <f>(2957.0/B34*100)</f>
        <v/>
      </c>
      <c r="D34" s="19" t="n">
        <v>358</v>
      </c>
      <c r="E34" s="18" t="n">
        <v>58.55167112</v>
      </c>
      <c r="F34" s="20" t="n">
        <v>2.57210435</v>
      </c>
      <c r="G34" s="18" t="n">
        <v>8.008519039999999</v>
      </c>
      <c r="H34" s="20" t="n">
        <v>1.53676515</v>
      </c>
      <c r="I34" s="18" t="n">
        <v>32.16492129</v>
      </c>
      <c r="J34" s="20" t="n">
        <v>2.50845464</v>
      </c>
      <c r="K34" s="18" t="s">
        <v>567</v>
      </c>
      <c r="L34" s="20" t="s">
        <v>567</v>
      </c>
      <c r="M34" s="18" t="n">
        <v>0.25578653</v>
      </c>
      <c r="N34" s="20" t="n">
        <v>0.25466935</v>
      </c>
      <c r="O34" s="18" t="n">
        <v>0</v>
      </c>
      <c r="P34" s="20" t="n">
        <v>0</v>
      </c>
      <c r="Q34" s="18" t="n">
        <v>0</v>
      </c>
      <c r="R34" s="20" t="n">
        <v>0</v>
      </c>
      <c r="S34" s="18" t="n">
        <v>1.01910202</v>
      </c>
      <c r="T34" s="20" t="n">
        <v>0.50414946</v>
      </c>
    </row>
    <row r="35" spans="1:20">
      <c r="A35" s="15" t="s">
        <v>595</v>
      </c>
      <c r="B35" s="17" t="n">
        <v>3505</v>
      </c>
      <c r="C35" s="18">
        <f>(3143.0/B35*100)</f>
        <v/>
      </c>
      <c r="D35" s="19" t="n">
        <v>362</v>
      </c>
      <c r="E35" s="18" t="n">
        <v>40.51957186</v>
      </c>
      <c r="F35" s="20" t="n">
        <v>2.80710765</v>
      </c>
      <c r="G35" s="18" t="n">
        <v>6.24536959</v>
      </c>
      <c r="H35" s="20" t="n">
        <v>1.6604497</v>
      </c>
      <c r="I35" s="18" t="n">
        <v>50.6597048</v>
      </c>
      <c r="J35" s="20" t="n">
        <v>2.86934466</v>
      </c>
      <c r="K35" s="18" t="s">
        <v>567</v>
      </c>
      <c r="L35" s="20" t="s">
        <v>567</v>
      </c>
      <c r="M35" s="18" t="n">
        <v>0</v>
      </c>
      <c r="N35" s="20" t="n">
        <v>0</v>
      </c>
      <c r="O35" s="18" t="n">
        <v>0</v>
      </c>
      <c r="P35" s="20" t="n">
        <v>0</v>
      </c>
      <c r="Q35" s="18" t="n">
        <v>0</v>
      </c>
      <c r="R35" s="20" t="n">
        <v>0</v>
      </c>
      <c r="S35" s="18" t="n">
        <v>2.57535375</v>
      </c>
      <c r="T35" s="20" t="n">
        <v>0.98608357</v>
      </c>
    </row>
    <row r="36" spans="1:20">
      <c r="A36" s="15" t="s">
        <v>596</v>
      </c>
      <c r="B36" s="17" t="n">
        <v>3332</v>
      </c>
      <c r="C36" s="18">
        <f>(2984.0/B36*100)</f>
        <v/>
      </c>
      <c r="D36" s="19" t="n">
        <v>348</v>
      </c>
      <c r="E36" s="18" t="n">
        <v>41.49310799</v>
      </c>
      <c r="F36" s="20" t="n">
        <v>2.80215089</v>
      </c>
      <c r="G36" s="18" t="n">
        <v>13.22637358</v>
      </c>
      <c r="H36" s="20" t="n">
        <v>2.24078445</v>
      </c>
      <c r="I36" s="18" t="n">
        <v>43.93576959</v>
      </c>
      <c r="J36" s="20" t="n">
        <v>2.95170843</v>
      </c>
      <c r="K36" s="18" t="s">
        <v>567</v>
      </c>
      <c r="L36" s="20" t="s">
        <v>567</v>
      </c>
      <c r="M36" s="18" t="n">
        <v>0.33685295</v>
      </c>
      <c r="N36" s="20" t="n">
        <v>0.24949362</v>
      </c>
      <c r="O36" s="18" t="n">
        <v>0</v>
      </c>
      <c r="P36" s="20" t="n">
        <v>0</v>
      </c>
      <c r="Q36" s="18" t="n">
        <v>0</v>
      </c>
      <c r="R36" s="20" t="n">
        <v>0</v>
      </c>
      <c r="S36" s="18" t="n">
        <v>1.00789587</v>
      </c>
      <c r="T36" s="20" t="n">
        <v>0.58590317</v>
      </c>
    </row>
    <row r="37" spans="1:20">
      <c r="A37" s="15" t="s">
        <v>597</v>
      </c>
      <c r="B37" s="17" t="n">
        <v>2727</v>
      </c>
      <c r="C37" s="18">
        <f>(2436.0/B37*100)</f>
        <v/>
      </c>
      <c r="D37" s="19" t="n">
        <v>291</v>
      </c>
      <c r="E37" s="18" t="n">
        <v>51.93072805</v>
      </c>
      <c r="F37" s="20" t="n">
        <v>3.22216006</v>
      </c>
      <c r="G37" s="18" t="n">
        <v>4.36983362</v>
      </c>
      <c r="H37" s="20" t="n">
        <v>1.13350879</v>
      </c>
      <c r="I37" s="18" t="n">
        <v>40.48963682</v>
      </c>
      <c r="J37" s="20" t="n">
        <v>3.66233841</v>
      </c>
      <c r="K37" s="18" t="s">
        <v>567</v>
      </c>
      <c r="L37" s="20" t="s">
        <v>567</v>
      </c>
      <c r="M37" s="18" t="n">
        <v>0.9310669499999999</v>
      </c>
      <c r="N37" s="20" t="n">
        <v>0.53292617</v>
      </c>
      <c r="O37" s="18" t="n">
        <v>0</v>
      </c>
      <c r="P37" s="20" t="n">
        <v>0</v>
      </c>
      <c r="Q37" s="18" t="n">
        <v>0</v>
      </c>
      <c r="R37" s="20" t="n">
        <v>0</v>
      </c>
      <c r="S37" s="18" t="n">
        <v>2.27873457</v>
      </c>
      <c r="T37" s="20" t="n">
        <v>0.94407111</v>
      </c>
    </row>
    <row r="38" spans="1:20">
      <c r="A38" s="15" t="s">
        <v>598</v>
      </c>
      <c r="B38" s="17" t="n">
        <v>3053</v>
      </c>
      <c r="C38" s="18">
        <f>(2717.0/B38*100)</f>
        <v/>
      </c>
      <c r="D38" s="19" t="n">
        <v>336</v>
      </c>
      <c r="E38" s="18" t="n">
        <v>34.76648632</v>
      </c>
      <c r="F38" s="20" t="n">
        <v>3.03116154</v>
      </c>
      <c r="G38" s="18" t="n">
        <v>7.37346488</v>
      </c>
      <c r="H38" s="20" t="n">
        <v>1.49492339</v>
      </c>
      <c r="I38" s="18" t="n">
        <v>48.62724593</v>
      </c>
      <c r="J38" s="20" t="n">
        <v>3.44563092</v>
      </c>
      <c r="K38" s="18" t="s">
        <v>567</v>
      </c>
      <c r="L38" s="20" t="s">
        <v>567</v>
      </c>
      <c r="M38" s="18" t="n">
        <v>0.7108341</v>
      </c>
      <c r="N38" s="20" t="n">
        <v>0.45019699</v>
      </c>
      <c r="O38" s="18" t="n">
        <v>5.40759746</v>
      </c>
      <c r="P38" s="20" t="n">
        <v>1.31977002</v>
      </c>
      <c r="Q38" s="18" t="n">
        <v>0</v>
      </c>
      <c r="R38" s="20" t="n">
        <v>0</v>
      </c>
      <c r="S38" s="18" t="n">
        <v>3.11437131</v>
      </c>
      <c r="T38" s="20" t="n">
        <v>1.08145184</v>
      </c>
    </row>
    <row r="39" spans="1:20">
      <c r="A39" s="15" t="s">
        <v>599</v>
      </c>
      <c r="B39" s="17" t="n">
        <v>2957</v>
      </c>
      <c r="C39" s="18">
        <f>(2614.0/B39*100)</f>
        <v/>
      </c>
      <c r="D39" s="19" t="n">
        <v>343</v>
      </c>
      <c r="E39" s="18" t="n">
        <v>68.79176787</v>
      </c>
      <c r="F39" s="20" t="n">
        <v>2.86214198</v>
      </c>
      <c r="G39" s="18" t="n">
        <v>8.217125080000001</v>
      </c>
      <c r="H39" s="20" t="n">
        <v>1.44262295</v>
      </c>
      <c r="I39" s="18" t="n">
        <v>21.24292842</v>
      </c>
      <c r="J39" s="20" t="n">
        <v>2.67838444</v>
      </c>
      <c r="K39" s="18" t="s">
        <v>567</v>
      </c>
      <c r="L39" s="20" t="s">
        <v>567</v>
      </c>
      <c r="M39" s="18" t="n">
        <v>0.20424228</v>
      </c>
      <c r="N39" s="20" t="n">
        <v>0.20431178</v>
      </c>
      <c r="O39" s="18" t="n">
        <v>0</v>
      </c>
      <c r="P39" s="20" t="n">
        <v>0</v>
      </c>
      <c r="Q39" s="18" t="n">
        <v>0</v>
      </c>
      <c r="R39" s="20" t="n">
        <v>0</v>
      </c>
      <c r="S39" s="18" t="n">
        <v>1.54393634</v>
      </c>
      <c r="T39" s="20" t="n">
        <v>0.76276575</v>
      </c>
    </row>
    <row r="40" spans="1:20">
      <c r="A40" s="15" t="s">
        <v>600</v>
      </c>
      <c r="B40" s="17" t="n">
        <v>7235</v>
      </c>
      <c r="C40" s="18">
        <f>(6457.0/B40*100)</f>
        <v/>
      </c>
      <c r="D40" s="19" t="n">
        <v>778</v>
      </c>
      <c r="E40" s="18" t="n">
        <v>26.52358943</v>
      </c>
      <c r="F40" s="20" t="n">
        <v>2.64476804</v>
      </c>
      <c r="G40" s="18" t="n">
        <v>4.17666204</v>
      </c>
      <c r="H40" s="20" t="n">
        <v>1.21387954</v>
      </c>
      <c r="I40" s="18" t="n">
        <v>66.64921237999999</v>
      </c>
      <c r="J40" s="20" t="n">
        <v>2.97857397</v>
      </c>
      <c r="K40" s="18" t="s">
        <v>567</v>
      </c>
      <c r="L40" s="20" t="s">
        <v>567</v>
      </c>
      <c r="M40" s="18" t="n">
        <v>0.27826987</v>
      </c>
      <c r="N40" s="20" t="n">
        <v>0.17380579</v>
      </c>
      <c r="O40" s="18" t="n">
        <v>0</v>
      </c>
      <c r="P40" s="20" t="n">
        <v>0</v>
      </c>
      <c r="Q40" s="18" t="n">
        <v>0</v>
      </c>
      <c r="R40" s="20" t="n">
        <v>0</v>
      </c>
      <c r="S40" s="18" t="n">
        <v>2.37226627</v>
      </c>
      <c r="T40" s="20" t="n">
        <v>0.77763635</v>
      </c>
    </row>
    <row r="41" spans="1:20">
      <c r="A41" s="15" t="s">
        <v>601</v>
      </c>
      <c r="B41" s="17" t="n">
        <v>2858</v>
      </c>
      <c r="C41" s="18">
        <f>(2548.0/B41*100)</f>
        <v/>
      </c>
      <c r="D41" s="19" t="n">
        <v>310</v>
      </c>
      <c r="E41" s="18" t="n">
        <v>36.47313242</v>
      </c>
      <c r="F41" s="20" t="n">
        <v>3.1115345</v>
      </c>
      <c r="G41" s="18" t="n">
        <v>10.96465496</v>
      </c>
      <c r="H41" s="20" t="n">
        <v>2.05581189</v>
      </c>
      <c r="I41" s="18" t="n">
        <v>52.2302216</v>
      </c>
      <c r="J41" s="20" t="n">
        <v>3.06176171</v>
      </c>
      <c r="K41" s="18" t="s">
        <v>567</v>
      </c>
      <c r="L41" s="20" t="s">
        <v>567</v>
      </c>
      <c r="M41" s="18" t="n">
        <v>0.33199101</v>
      </c>
      <c r="N41" s="20" t="n">
        <v>0.37314699</v>
      </c>
      <c r="O41" s="18" t="n">
        <v>0</v>
      </c>
      <c r="P41" s="20" t="n">
        <v>0</v>
      </c>
      <c r="Q41" s="18" t="n">
        <v>0</v>
      </c>
      <c r="R41" s="20" t="n">
        <v>0</v>
      </c>
      <c r="S41" s="18" t="n">
        <v>0</v>
      </c>
      <c r="T41" s="20" t="n">
        <v>0</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11068</v>
      </c>
      <c r="C46" s="18">
        <f>(10168.0/B46*100)</f>
        <v/>
      </c>
      <c r="D46" s="19" t="n">
        <v>900</v>
      </c>
      <c r="E46" s="18" t="n">
        <v>54.94703621</v>
      </c>
      <c r="F46" s="20" t="n">
        <v>2.54303344</v>
      </c>
      <c r="G46" s="18" t="n">
        <v>20.06238334</v>
      </c>
      <c r="H46" s="20" t="n">
        <v>1.65496475</v>
      </c>
      <c r="I46" s="18" t="n">
        <v>20.49718962</v>
      </c>
      <c r="J46" s="20" t="n">
        <v>1.65439538</v>
      </c>
      <c r="K46" s="18" t="s">
        <v>567</v>
      </c>
      <c r="L46" s="20" t="s">
        <v>567</v>
      </c>
      <c r="M46" s="18" t="n">
        <v>1.2821546</v>
      </c>
      <c r="N46" s="20" t="n">
        <v>0.4444577</v>
      </c>
      <c r="O46" s="18" t="n">
        <v>0.59820505</v>
      </c>
      <c r="P46" s="20" t="n">
        <v>0.26061652</v>
      </c>
      <c r="Q46" s="18" t="n">
        <v>0</v>
      </c>
      <c r="R46" s="20" t="n">
        <v>0</v>
      </c>
      <c r="S46" s="18" t="n">
        <v>2.61303118</v>
      </c>
      <c r="T46" s="20" t="n">
        <v>0.6368172600000001</v>
      </c>
    </row>
    <row r="47" spans="1:20">
      <c r="A47" s="15" t="s">
        <v>607</v>
      </c>
      <c r="B47" s="17" t="n">
        <v>3105</v>
      </c>
      <c r="C47" s="18">
        <f>(2765.0/B47*100)</f>
        <v/>
      </c>
      <c r="D47" s="19" t="n">
        <v>340</v>
      </c>
      <c r="E47" s="18" t="n">
        <v>59.82826235</v>
      </c>
      <c r="F47" s="20" t="n">
        <v>2.97472009</v>
      </c>
      <c r="G47" s="18" t="n">
        <v>13.49147639</v>
      </c>
      <c r="H47" s="20" t="n">
        <v>1.57112105</v>
      </c>
      <c r="I47" s="18" t="n">
        <v>23.85876</v>
      </c>
      <c r="J47" s="20" t="n">
        <v>2.7784028</v>
      </c>
      <c r="K47" s="18" t="s">
        <v>567</v>
      </c>
      <c r="L47" s="20" t="s">
        <v>567</v>
      </c>
      <c r="M47" s="18" t="n">
        <v>1.14845378</v>
      </c>
      <c r="N47" s="20" t="n">
        <v>0.649512</v>
      </c>
      <c r="O47" s="18" t="n">
        <v>0</v>
      </c>
      <c r="P47" s="20" t="n">
        <v>0</v>
      </c>
      <c r="Q47" s="18" t="n">
        <v>0</v>
      </c>
      <c r="R47" s="20" t="n">
        <v>0</v>
      </c>
      <c r="S47" s="18" t="n">
        <v>1.67304748</v>
      </c>
      <c r="T47" s="20" t="n">
        <v>0.53110099</v>
      </c>
    </row>
    <row r="48" spans="1:20">
      <c r="A48" s="15" t="s">
        <v>608</v>
      </c>
      <c r="B48" s="17" t="n">
        <v>5159</v>
      </c>
      <c r="C48" s="18">
        <f>(4559.0/B48*100)</f>
        <v/>
      </c>
      <c r="D48" s="19" t="n">
        <v>600</v>
      </c>
      <c r="E48" s="18" t="n">
        <v>33.20376177</v>
      </c>
      <c r="F48" s="20" t="n">
        <v>2.77147186</v>
      </c>
      <c r="G48" s="18" t="n">
        <v>1.34777393</v>
      </c>
      <c r="H48" s="20" t="n">
        <v>0.57451556</v>
      </c>
      <c r="I48" s="18" t="n">
        <v>63.98068049</v>
      </c>
      <c r="J48" s="20" t="n">
        <v>2.84776409</v>
      </c>
      <c r="K48" s="18" t="s">
        <v>567</v>
      </c>
      <c r="L48" s="20" t="s">
        <v>567</v>
      </c>
      <c r="M48" s="18" t="n">
        <v>0.10661037</v>
      </c>
      <c r="N48" s="20" t="n">
        <v>0.07498389</v>
      </c>
      <c r="O48" s="18" t="n">
        <v>0</v>
      </c>
      <c r="P48" s="20" t="n">
        <v>0</v>
      </c>
      <c r="Q48" s="18" t="n">
        <v>0</v>
      </c>
      <c r="R48" s="20" t="n">
        <v>0</v>
      </c>
      <c r="S48" s="18" t="n">
        <v>1.36117345</v>
      </c>
      <c r="T48" s="20" t="n">
        <v>0.59219047</v>
      </c>
    </row>
    <row r="49" spans="1:20">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5637</v>
      </c>
      <c r="C50" s="18">
        <f>(4990.0/B50*100)</f>
        <v/>
      </c>
      <c r="D50" s="19" t="n">
        <v>647</v>
      </c>
      <c r="E50" s="18" t="n">
        <v>43.64176696</v>
      </c>
      <c r="F50" s="20" t="n">
        <v>2.61744683</v>
      </c>
      <c r="G50" s="18" t="n">
        <v>29.96126927</v>
      </c>
      <c r="H50" s="20" t="n">
        <v>1.97713257</v>
      </c>
      <c r="I50" s="18" t="n">
        <v>21.10439077</v>
      </c>
      <c r="J50" s="20" t="n">
        <v>2.06216</v>
      </c>
      <c r="K50" s="18" t="s">
        <v>567</v>
      </c>
      <c r="L50" s="20" t="s">
        <v>567</v>
      </c>
      <c r="M50" s="18" t="n">
        <v>3.33152645</v>
      </c>
      <c r="N50" s="20" t="n">
        <v>1.06991275</v>
      </c>
      <c r="O50" s="18" t="n">
        <v>0.18815824</v>
      </c>
      <c r="P50" s="20" t="n">
        <v>0.19222724</v>
      </c>
      <c r="Q50" s="18" t="n">
        <v>0</v>
      </c>
      <c r="R50" s="20" t="n">
        <v>0</v>
      </c>
      <c r="S50" s="18" t="n">
        <v>1.77288831</v>
      </c>
      <c r="T50" s="20" t="n">
        <v>0.6862378099999999</v>
      </c>
    </row>
    <row r="51" spans="1:20">
      <c r="A51" s="15" t="s">
        <v>611</v>
      </c>
      <c r="B51" s="17" t="n">
        <v>3372</v>
      </c>
      <c r="C51" s="18">
        <f>(3070.0/B51*100)</f>
        <v/>
      </c>
      <c r="D51" s="19" t="n">
        <v>302</v>
      </c>
      <c r="E51" s="18" t="n">
        <v>41.8626729</v>
      </c>
      <c r="F51" s="20" t="n">
        <v>3.2849729</v>
      </c>
      <c r="G51" s="18" t="n">
        <v>24.2219561</v>
      </c>
      <c r="H51" s="20" t="n">
        <v>2.78082227</v>
      </c>
      <c r="I51" s="18" t="n">
        <v>32.56358417</v>
      </c>
      <c r="J51" s="20" t="n">
        <v>3.30153482</v>
      </c>
      <c r="K51" s="18" t="s">
        <v>567</v>
      </c>
      <c r="L51" s="20" t="s">
        <v>567</v>
      </c>
      <c r="M51" s="18" t="n">
        <v>0</v>
      </c>
      <c r="N51" s="20" t="n">
        <v>0</v>
      </c>
      <c r="O51" s="18" t="n">
        <v>0</v>
      </c>
      <c r="P51" s="20" t="n">
        <v>0</v>
      </c>
      <c r="Q51" s="18" t="n">
        <v>0</v>
      </c>
      <c r="R51" s="20" t="n">
        <v>0</v>
      </c>
      <c r="S51" s="18" t="n">
        <v>1.35178684</v>
      </c>
      <c r="T51" s="20" t="n">
        <v>0.65479646</v>
      </c>
    </row>
    <row r="52" spans="1:20">
      <c r="A52" s="15" t="s">
        <v>612</v>
      </c>
      <c r="B52" s="17" t="n">
        <v>2796</v>
      </c>
      <c r="C52" s="18">
        <f>(2479.0/B52*100)</f>
        <v/>
      </c>
      <c r="D52" s="19" t="n">
        <v>317</v>
      </c>
      <c r="E52" s="18" t="n">
        <v>44.01551827</v>
      </c>
      <c r="F52" s="20" t="n">
        <v>2.91863506</v>
      </c>
      <c r="G52" s="18" t="n">
        <v>3.09656358</v>
      </c>
      <c r="H52" s="20" t="n">
        <v>0.84459038</v>
      </c>
      <c r="I52" s="18" t="n">
        <v>50.37335072</v>
      </c>
      <c r="J52" s="20" t="n">
        <v>2.9774022</v>
      </c>
      <c r="K52" s="18" t="s">
        <v>567</v>
      </c>
      <c r="L52" s="20" t="s">
        <v>567</v>
      </c>
      <c r="M52" s="18" t="n">
        <v>0.53067389</v>
      </c>
      <c r="N52" s="20" t="n">
        <v>0.38288521</v>
      </c>
      <c r="O52" s="18" t="n">
        <v>0</v>
      </c>
      <c r="P52" s="20" t="n">
        <v>0</v>
      </c>
      <c r="Q52" s="18" t="n">
        <v>0</v>
      </c>
      <c r="R52" s="20" t="n">
        <v>0</v>
      </c>
      <c r="S52" s="18" t="n">
        <v>1.98389354</v>
      </c>
      <c r="T52" s="20" t="n">
        <v>0.7655381</v>
      </c>
    </row>
    <row r="53" spans="1:20">
      <c r="A53" s="15" t="s">
        <v>613</v>
      </c>
      <c r="B53" s="17" t="n">
        <v>2811</v>
      </c>
      <c r="C53" s="18">
        <f>(2502.0/B53*100)</f>
        <v/>
      </c>
      <c r="D53" s="19" t="n">
        <v>309</v>
      </c>
      <c r="E53" s="18" t="n">
        <v>54.99867681</v>
      </c>
      <c r="F53" s="20" t="n">
        <v>3.16070756</v>
      </c>
      <c r="G53" s="18" t="n">
        <v>10.90026554</v>
      </c>
      <c r="H53" s="20" t="n">
        <v>1.65578544</v>
      </c>
      <c r="I53" s="18" t="n">
        <v>30.36635867</v>
      </c>
      <c r="J53" s="20" t="n">
        <v>3.14549767</v>
      </c>
      <c r="K53" s="18" t="s">
        <v>567</v>
      </c>
      <c r="L53" s="20" t="s">
        <v>567</v>
      </c>
      <c r="M53" s="18" t="n">
        <v>1.27204072</v>
      </c>
      <c r="N53" s="20" t="n">
        <v>0.56087689</v>
      </c>
      <c r="O53" s="18" t="n">
        <v>0</v>
      </c>
      <c r="P53" s="20" t="n">
        <v>0</v>
      </c>
      <c r="Q53" s="18" t="n">
        <v>0</v>
      </c>
      <c r="R53" s="20" t="n">
        <v>0</v>
      </c>
      <c r="S53" s="18" t="n">
        <v>2.46265827</v>
      </c>
      <c r="T53" s="20" t="n">
        <v>0.8685794999999999</v>
      </c>
    </row>
    <row r="54" spans="1:20">
      <c r="A54" s="15" t="s">
        <v>614</v>
      </c>
      <c r="B54" s="17" t="n">
        <v>2266</v>
      </c>
      <c r="C54" s="18">
        <f>(2014.0/B54*100)</f>
        <v/>
      </c>
      <c r="D54" s="19" t="n">
        <v>252</v>
      </c>
      <c r="E54" s="18" t="n">
        <v>69.26393089</v>
      </c>
      <c r="F54" s="20" t="n">
        <v>3.32291331</v>
      </c>
      <c r="G54" s="18" t="n">
        <v>6.38285755</v>
      </c>
      <c r="H54" s="20" t="n">
        <v>1.5188027</v>
      </c>
      <c r="I54" s="18" t="n">
        <v>3.95078836</v>
      </c>
      <c r="J54" s="20" t="n">
        <v>1.15609827</v>
      </c>
      <c r="K54" s="18" t="s">
        <v>567</v>
      </c>
      <c r="L54" s="20" t="s">
        <v>567</v>
      </c>
      <c r="M54" s="18" t="n">
        <v>17.2145943</v>
      </c>
      <c r="N54" s="20" t="n">
        <v>3.13077727</v>
      </c>
      <c r="O54" s="18" t="n">
        <v>0.84063648</v>
      </c>
      <c r="P54" s="20" t="n">
        <v>0.8914060499999999</v>
      </c>
      <c r="Q54" s="18" t="n">
        <v>0</v>
      </c>
      <c r="R54" s="20" t="n">
        <v>0</v>
      </c>
      <c r="S54" s="18" t="n">
        <v>2.34719242</v>
      </c>
      <c r="T54" s="20" t="n">
        <v>0.90384418</v>
      </c>
    </row>
    <row r="55" spans="1:20">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2684</v>
      </c>
      <c r="C56" s="18">
        <f>(2377.0/B56*100)</f>
        <v/>
      </c>
      <c r="D56" s="19" t="n">
        <v>307</v>
      </c>
      <c r="E56" s="18" t="n">
        <v>22.99896292</v>
      </c>
      <c r="F56" s="20" t="n">
        <v>2.36652398</v>
      </c>
      <c r="G56" s="18" t="n">
        <v>3.87322847</v>
      </c>
      <c r="H56" s="20" t="n">
        <v>1.03755321</v>
      </c>
      <c r="I56" s="18" t="n">
        <v>72.1984578</v>
      </c>
      <c r="J56" s="20" t="n">
        <v>2.67334283</v>
      </c>
      <c r="K56" s="18" t="s">
        <v>567</v>
      </c>
      <c r="L56" s="20" t="s">
        <v>567</v>
      </c>
      <c r="M56" s="18" t="n">
        <v>0.6668164600000001</v>
      </c>
      <c r="N56" s="20" t="n">
        <v>0.43187853</v>
      </c>
      <c r="O56" s="18" t="n">
        <v>0</v>
      </c>
      <c r="P56" s="20" t="n">
        <v>0</v>
      </c>
      <c r="Q56" s="18" t="n">
        <v>0</v>
      </c>
      <c r="R56" s="20" t="n">
        <v>0</v>
      </c>
      <c r="S56" s="18" t="n">
        <v>0.26253435</v>
      </c>
      <c r="T56" s="20" t="n">
        <v>0.2617605</v>
      </c>
    </row>
    <row r="57" spans="1:20">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3324</v>
      </c>
      <c r="C61" s="18">
        <f>(2940.0/B61*100)</f>
        <v/>
      </c>
      <c r="D61" s="19" t="n">
        <v>384</v>
      </c>
      <c r="E61" s="18" t="n">
        <v>44.72053469</v>
      </c>
      <c r="F61" s="20" t="n">
        <v>3.03443107</v>
      </c>
      <c r="G61" s="18" t="n">
        <v>4.05468865</v>
      </c>
      <c r="H61" s="20" t="n">
        <v>1.01118221</v>
      </c>
      <c r="I61" s="18" t="n">
        <v>50.01341274</v>
      </c>
      <c r="J61" s="20" t="n">
        <v>3.10507686</v>
      </c>
      <c r="K61" s="18" t="s">
        <v>567</v>
      </c>
      <c r="L61" s="20" t="s">
        <v>567</v>
      </c>
      <c r="M61" s="18" t="n">
        <v>0</v>
      </c>
      <c r="N61" s="20" t="n">
        <v>0</v>
      </c>
      <c r="O61" s="18" t="n">
        <v>0.26179121</v>
      </c>
      <c r="P61" s="20" t="n">
        <v>0.25883722</v>
      </c>
      <c r="Q61" s="18" t="n">
        <v>0</v>
      </c>
      <c r="R61" s="20" t="n">
        <v>0</v>
      </c>
      <c r="S61" s="18" t="n">
        <v>0.94957271</v>
      </c>
      <c r="T61" s="20" t="n">
        <v>0.54775004</v>
      </c>
    </row>
    <row r="62" spans="1:20">
      <c r="A62" s="15" t="s">
        <v>622</v>
      </c>
      <c r="B62" s="17" t="n">
        <v>2246</v>
      </c>
      <c r="C62" s="18">
        <f>(1999.0/B62*100)</f>
        <v/>
      </c>
      <c r="D62" s="19" t="n">
        <v>247</v>
      </c>
      <c r="E62" s="18" t="n">
        <v>32.83759986</v>
      </c>
      <c r="F62" s="20" t="n">
        <v>2.8663367</v>
      </c>
      <c r="G62" s="18" t="n">
        <v>1.60850591</v>
      </c>
      <c r="H62" s="20" t="n">
        <v>0.77602899</v>
      </c>
      <c r="I62" s="18" t="n">
        <v>64.74964128000001</v>
      </c>
      <c r="J62" s="20" t="n">
        <v>2.83352234</v>
      </c>
      <c r="K62" s="18" t="s">
        <v>567</v>
      </c>
      <c r="L62" s="20" t="s">
        <v>567</v>
      </c>
      <c r="M62" s="18" t="n">
        <v>0</v>
      </c>
      <c r="N62" s="20" t="n">
        <v>0</v>
      </c>
      <c r="O62" s="18" t="n">
        <v>0</v>
      </c>
      <c r="P62" s="20" t="n">
        <v>0</v>
      </c>
      <c r="Q62" s="18" t="n">
        <v>0</v>
      </c>
      <c r="R62" s="20" t="n">
        <v>0</v>
      </c>
      <c r="S62" s="18" t="n">
        <v>0.80425295</v>
      </c>
      <c r="T62" s="20" t="n">
        <v>0.5584742</v>
      </c>
    </row>
    <row r="63" spans="1:20">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2894</v>
      </c>
      <c r="C66" s="18">
        <f>(2601.0/B66*100)</f>
        <v/>
      </c>
      <c r="D66" s="19" t="n">
        <v>293</v>
      </c>
      <c r="E66" s="18" t="n">
        <v>39.27894033</v>
      </c>
      <c r="F66" s="20" t="n">
        <v>3.09764325</v>
      </c>
      <c r="G66" s="18" t="n">
        <v>3.50854038</v>
      </c>
      <c r="H66" s="20" t="n">
        <v>1.13069403</v>
      </c>
      <c r="I66" s="18" t="n">
        <v>16.18718959</v>
      </c>
      <c r="J66" s="20" t="n">
        <v>2.17823727</v>
      </c>
      <c r="K66" s="18" t="s">
        <v>567</v>
      </c>
      <c r="L66" s="20" t="s">
        <v>567</v>
      </c>
      <c r="M66" s="18" t="n">
        <v>1.41667383</v>
      </c>
      <c r="N66" s="20" t="n">
        <v>0.83722946</v>
      </c>
      <c r="O66" s="18" t="n">
        <v>37.12058045</v>
      </c>
      <c r="P66" s="20" t="n">
        <v>3.04707633</v>
      </c>
      <c r="Q66" s="18" t="n">
        <v>0</v>
      </c>
      <c r="R66" s="20" t="n">
        <v>0</v>
      </c>
      <c r="S66" s="18" t="n">
        <v>2.48807543</v>
      </c>
      <c r="T66" s="20" t="n">
        <v>0.8529546099999999</v>
      </c>
    </row>
    <row r="67" spans="1:20">
      <c r="A67" s="15" t="s">
        <v>627</v>
      </c>
      <c r="B67" s="17" t="n">
        <v>3511</v>
      </c>
      <c r="C67" s="18">
        <f>(3192.0/B67*100)</f>
        <v/>
      </c>
      <c r="D67" s="19" t="n">
        <v>319</v>
      </c>
      <c r="E67" s="18" t="n">
        <v>66.00638358</v>
      </c>
      <c r="F67" s="20" t="n">
        <v>2.55934979</v>
      </c>
      <c r="G67" s="18" t="n">
        <v>4.41112443</v>
      </c>
      <c r="H67" s="20" t="n">
        <v>1.08597636</v>
      </c>
      <c r="I67" s="18" t="n">
        <v>26.46685651</v>
      </c>
      <c r="J67" s="20" t="n">
        <v>2.66372342</v>
      </c>
      <c r="K67" s="18" t="s">
        <v>567</v>
      </c>
      <c r="L67" s="20" t="s">
        <v>567</v>
      </c>
      <c r="M67" s="18" t="n">
        <v>0.67809983</v>
      </c>
      <c r="N67" s="20" t="n">
        <v>0.49711064</v>
      </c>
      <c r="O67" s="18" t="n">
        <v>0</v>
      </c>
      <c r="P67" s="20" t="n">
        <v>0</v>
      </c>
      <c r="Q67" s="18" t="n">
        <v>0</v>
      </c>
      <c r="R67" s="20" t="n">
        <v>0</v>
      </c>
      <c r="S67" s="18" t="n">
        <v>2.43753566</v>
      </c>
      <c r="T67" s="20" t="n">
        <v>0.90931758</v>
      </c>
    </row>
    <row r="68" spans="1:20">
      <c r="A68" s="15" t="s">
        <v>628</v>
      </c>
      <c r="B68" s="17" t="n">
        <v>6049</v>
      </c>
      <c r="C68" s="18">
        <f>(5389.0/B68*100)</f>
        <v/>
      </c>
      <c r="D68" s="19" t="n">
        <v>660</v>
      </c>
      <c r="E68" s="18" t="n">
        <v>53.53411062</v>
      </c>
      <c r="F68" s="20" t="n">
        <v>1.71164892</v>
      </c>
      <c r="G68" s="18" t="n">
        <v>5.58167375</v>
      </c>
      <c r="H68" s="20" t="n">
        <v>0.88162538</v>
      </c>
      <c r="I68" s="18" t="n">
        <v>34.1375165</v>
      </c>
      <c r="J68" s="20" t="n">
        <v>1.83309254</v>
      </c>
      <c r="K68" s="18" t="s">
        <v>567</v>
      </c>
      <c r="L68" s="20" t="s">
        <v>567</v>
      </c>
      <c r="M68" s="18" t="n">
        <v>3.81826768</v>
      </c>
      <c r="N68" s="20" t="n">
        <v>0.76514014</v>
      </c>
      <c r="O68" s="18" t="n">
        <v>0</v>
      </c>
      <c r="P68" s="20" t="n">
        <v>0</v>
      </c>
      <c r="Q68" s="18" t="n">
        <v>0</v>
      </c>
      <c r="R68" s="20" t="n">
        <v>0</v>
      </c>
      <c r="S68" s="18" t="n">
        <v>2.92843145</v>
      </c>
      <c r="T68" s="20" t="n">
        <v>0.79984033</v>
      </c>
    </row>
    <row r="69" spans="1:20">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2929</v>
      </c>
      <c r="C70" s="18">
        <f>(2621.0/B70*100)</f>
        <v/>
      </c>
      <c r="D70" s="19" t="n">
        <v>308</v>
      </c>
      <c r="E70" s="18" t="n">
        <v>47.39808551</v>
      </c>
      <c r="F70" s="20" t="n">
        <v>3.27894803</v>
      </c>
      <c r="G70" s="18" t="n">
        <v>20.72034073</v>
      </c>
      <c r="H70" s="20" t="n">
        <v>1.94100683</v>
      </c>
      <c r="I70" s="18" t="n">
        <v>31.2319344</v>
      </c>
      <c r="J70" s="20" t="n">
        <v>3.0378238</v>
      </c>
      <c r="K70" s="18" t="s">
        <v>567</v>
      </c>
      <c r="L70" s="20" t="s">
        <v>567</v>
      </c>
      <c r="M70" s="18" t="n">
        <v>0.17170865</v>
      </c>
      <c r="N70" s="20" t="n">
        <v>0.12218235</v>
      </c>
      <c r="O70" s="18" t="n">
        <v>0</v>
      </c>
      <c r="P70" s="20" t="n">
        <v>0</v>
      </c>
      <c r="Q70" s="18" t="n">
        <v>0</v>
      </c>
      <c r="R70" s="20" t="n">
        <v>0</v>
      </c>
      <c r="S70" s="18" t="n">
        <v>0.4779307</v>
      </c>
      <c r="T70" s="20" t="n">
        <v>0.3554876</v>
      </c>
    </row>
    <row r="71" spans="1:20">
      <c r="A71" s="15" t="s">
        <v>631</v>
      </c>
      <c r="B71" s="17" t="n">
        <v>3142</v>
      </c>
      <c r="C71" s="18">
        <f>(2803.0/B71*100)</f>
        <v/>
      </c>
      <c r="D71" s="19" t="n">
        <v>339</v>
      </c>
      <c r="E71" s="18" t="n">
        <v>15.86685247</v>
      </c>
      <c r="F71" s="20" t="n">
        <v>2.12244053</v>
      </c>
      <c r="G71" s="18" t="n">
        <v>1.59622986</v>
      </c>
      <c r="H71" s="20" t="n">
        <v>0.68234241</v>
      </c>
      <c r="I71" s="18" t="n">
        <v>81.95713933</v>
      </c>
      <c r="J71" s="20" t="n">
        <v>2.10635508</v>
      </c>
      <c r="K71" s="18" t="s">
        <v>567</v>
      </c>
      <c r="L71" s="20" t="s">
        <v>567</v>
      </c>
      <c r="M71" s="18" t="n">
        <v>0.57977835</v>
      </c>
      <c r="N71" s="20" t="n">
        <v>0.4107158</v>
      </c>
      <c r="O71" s="18" t="n">
        <v>0</v>
      </c>
      <c r="P71" s="20" t="n">
        <v>0</v>
      </c>
      <c r="Q71" s="18" t="n">
        <v>0</v>
      </c>
      <c r="R71" s="20" t="n">
        <v>0</v>
      </c>
      <c r="S71" s="18" t="n">
        <v>0</v>
      </c>
      <c r="T71" s="20" t="n">
        <v>0</v>
      </c>
    </row>
    <row r="72" spans="1:20">
      <c r="A72" s="15" t="s">
        <v>632</v>
      </c>
      <c r="B72" s="17" t="n">
        <v>3889</v>
      </c>
      <c r="C72" s="18">
        <f>(3473.0/B72*100)</f>
        <v/>
      </c>
      <c r="D72" s="19" t="n">
        <v>416</v>
      </c>
      <c r="E72" s="18" t="n">
        <v>34.8712343</v>
      </c>
      <c r="F72" s="20" t="n">
        <v>2.60328687</v>
      </c>
      <c r="G72" s="18" t="n">
        <v>4.04710201</v>
      </c>
      <c r="H72" s="20" t="n">
        <v>1.08258774</v>
      </c>
      <c r="I72" s="18" t="n">
        <v>60.73410864</v>
      </c>
      <c r="J72" s="20" t="n">
        <v>2.72988554</v>
      </c>
      <c r="K72" s="18" t="s">
        <v>567</v>
      </c>
      <c r="L72" s="20" t="s">
        <v>567</v>
      </c>
      <c r="M72" s="18" t="n">
        <v>0</v>
      </c>
      <c r="N72" s="20" t="n">
        <v>0</v>
      </c>
      <c r="O72" s="18" t="n">
        <v>0</v>
      </c>
      <c r="P72" s="20" t="n">
        <v>0</v>
      </c>
      <c r="Q72" s="18" t="n">
        <v>0</v>
      </c>
      <c r="R72" s="20" t="n">
        <v>0</v>
      </c>
      <c r="S72" s="18" t="n">
        <v>0.34755505</v>
      </c>
      <c r="T72" s="20" t="n">
        <v>0.34428964</v>
      </c>
    </row>
    <row r="73" spans="1:20">
      <c r="A73" s="15" t="s">
        <v>633</v>
      </c>
      <c r="B73" s="17" t="n">
        <v>3597</v>
      </c>
      <c r="C73" s="18">
        <f>(3226.0/B73*100)</f>
        <v/>
      </c>
      <c r="D73" s="19" t="n">
        <v>371</v>
      </c>
      <c r="E73" s="18" t="n">
        <v>63.30087762</v>
      </c>
      <c r="F73" s="20" t="n">
        <v>2.79995144</v>
      </c>
      <c r="G73" s="18" t="n">
        <v>2.89834946</v>
      </c>
      <c r="H73" s="20" t="n">
        <v>1.01881083</v>
      </c>
      <c r="I73" s="18" t="n">
        <v>31.65664477</v>
      </c>
      <c r="J73" s="20" t="n">
        <v>2.83379996</v>
      </c>
      <c r="K73" s="18" t="s">
        <v>567</v>
      </c>
      <c r="L73" s="20" t="s">
        <v>567</v>
      </c>
      <c r="M73" s="18" t="n">
        <v>0.39229489</v>
      </c>
      <c r="N73" s="20" t="n">
        <v>0.38522973</v>
      </c>
      <c r="O73" s="18" t="n">
        <v>0.16144793</v>
      </c>
      <c r="P73" s="20" t="n">
        <v>0.16174275</v>
      </c>
      <c r="Q73" s="18" t="n">
        <v>0</v>
      </c>
      <c r="R73" s="20" t="n">
        <v>0</v>
      </c>
      <c r="S73" s="18" t="n">
        <v>1.59038532</v>
      </c>
      <c r="T73" s="20" t="n">
        <v>0.71630193</v>
      </c>
    </row>
    <row r="74" spans="1:20">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2406</v>
      </c>
      <c r="C75" s="18">
        <f>(2162.0/B75*100)</f>
        <v/>
      </c>
      <c r="D75" s="19" t="n">
        <v>244</v>
      </c>
      <c r="E75" s="18" t="n">
        <v>60.07605199</v>
      </c>
      <c r="F75" s="20" t="n">
        <v>3.11658373</v>
      </c>
      <c r="G75" s="18" t="n">
        <v>9.984992780000001</v>
      </c>
      <c r="H75" s="20" t="n">
        <v>1.84836998</v>
      </c>
      <c r="I75" s="18" t="n">
        <v>19.53786744</v>
      </c>
      <c r="J75" s="20" t="n">
        <v>3.02014091</v>
      </c>
      <c r="K75" s="18" t="s">
        <v>567</v>
      </c>
      <c r="L75" s="20" t="s">
        <v>567</v>
      </c>
      <c r="M75" s="18" t="n">
        <v>5.73661891</v>
      </c>
      <c r="N75" s="20" t="n">
        <v>1.4112725</v>
      </c>
      <c r="O75" s="18" t="n">
        <v>2.00191152</v>
      </c>
      <c r="P75" s="20" t="n">
        <v>1.31426036</v>
      </c>
      <c r="Q75" s="18" t="n">
        <v>0</v>
      </c>
      <c r="R75" s="20" t="n">
        <v>0</v>
      </c>
      <c r="S75" s="18" t="n">
        <v>2.66255736</v>
      </c>
      <c r="T75" s="20" t="n">
        <v>0.97558984</v>
      </c>
    </row>
    <row r="76" spans="1:20">
      <c r="A76" s="15" t="s">
        <v>636</v>
      </c>
      <c r="B76" s="17" t="n">
        <v>7052</v>
      </c>
      <c r="C76" s="18">
        <f>(6309.0/B76*100)</f>
        <v/>
      </c>
      <c r="D76" s="19" t="n">
        <v>743</v>
      </c>
      <c r="E76" s="18" t="n">
        <v>54.54451289</v>
      </c>
      <c r="F76" s="20" t="n">
        <v>2.79742897</v>
      </c>
      <c r="G76" s="18" t="n">
        <v>8.25282093</v>
      </c>
      <c r="H76" s="20" t="n">
        <v>1.15667309</v>
      </c>
      <c r="I76" s="18" t="n">
        <v>32.04005361</v>
      </c>
      <c r="J76" s="20" t="n">
        <v>2.39241484</v>
      </c>
      <c r="K76" s="18" t="s">
        <v>567</v>
      </c>
      <c r="L76" s="20" t="s">
        <v>567</v>
      </c>
      <c r="M76" s="18" t="n">
        <v>1.19983331</v>
      </c>
      <c r="N76" s="20" t="n">
        <v>0.50085748</v>
      </c>
      <c r="O76" s="18" t="n">
        <v>0.0730364</v>
      </c>
      <c r="P76" s="20" t="n">
        <v>0.07337958</v>
      </c>
      <c r="Q76" s="18" t="n">
        <v>0</v>
      </c>
      <c r="R76" s="20" t="n">
        <v>0</v>
      </c>
      <c r="S76" s="18" t="n">
        <v>3.88974285</v>
      </c>
      <c r="T76" s="20" t="n">
        <v>1.026817</v>
      </c>
    </row>
    <row r="77" spans="1:20">
      <c r="A77" s="15" t="s">
        <v>637</v>
      </c>
      <c r="B77" s="17" t="n">
        <v>2908</v>
      </c>
      <c r="C77" s="18">
        <f>(2592.0/B77*100)</f>
        <v/>
      </c>
      <c r="D77" s="19" t="n">
        <v>316</v>
      </c>
      <c r="E77" s="18" t="n">
        <v>60.47771807</v>
      </c>
      <c r="F77" s="20" t="n">
        <v>3.03708657</v>
      </c>
      <c r="G77" s="18" t="n">
        <v>7.03985013</v>
      </c>
      <c r="H77" s="20" t="n">
        <v>1.64942603</v>
      </c>
      <c r="I77" s="18" t="n">
        <v>28.04539416</v>
      </c>
      <c r="J77" s="20" t="n">
        <v>2.50182368</v>
      </c>
      <c r="K77" s="18" t="s">
        <v>567</v>
      </c>
      <c r="L77" s="20" t="s">
        <v>567</v>
      </c>
      <c r="M77" s="18" t="n">
        <v>1.66000939</v>
      </c>
      <c r="N77" s="20" t="n">
        <v>0.71531557</v>
      </c>
      <c r="O77" s="18" t="n">
        <v>0</v>
      </c>
      <c r="P77" s="20" t="n">
        <v>0</v>
      </c>
      <c r="Q77" s="18" t="n">
        <v>0</v>
      </c>
      <c r="R77" s="20" t="n">
        <v>0</v>
      </c>
      <c r="S77" s="18" t="n">
        <v>2.77702825</v>
      </c>
      <c r="T77" s="20" t="n">
        <v>1.00990607</v>
      </c>
    </row>
    <row r="78" spans="1:20">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4163</v>
      </c>
      <c r="C81" s="18">
        <f>(3690.0/B81*100)</f>
        <v/>
      </c>
      <c r="D81" s="19" t="n">
        <v>473</v>
      </c>
      <c r="E81" s="18" t="n">
        <v>66.43854659</v>
      </c>
      <c r="F81" s="20" t="n">
        <v>2.36372953</v>
      </c>
      <c r="G81" s="18" t="n">
        <v>8.42047137</v>
      </c>
      <c r="H81" s="20" t="n">
        <v>1.52637432</v>
      </c>
      <c r="I81" s="18" t="n">
        <v>22.80089881</v>
      </c>
      <c r="J81" s="20" t="n">
        <v>2.04489092</v>
      </c>
      <c r="K81" s="18" t="s">
        <v>567</v>
      </c>
      <c r="L81" s="20" t="s">
        <v>567</v>
      </c>
      <c r="M81" s="18" t="n">
        <v>0.73382953</v>
      </c>
      <c r="N81" s="20" t="n">
        <v>0.58440492</v>
      </c>
      <c r="O81" s="18" t="n">
        <v>0</v>
      </c>
      <c r="P81" s="20" t="n">
        <v>0</v>
      </c>
      <c r="Q81" s="18" t="n">
        <v>0</v>
      </c>
      <c r="R81" s="20" t="n">
        <v>0</v>
      </c>
      <c r="S81" s="18" t="n">
        <v>1.60625371</v>
      </c>
      <c r="T81" s="20" t="n">
        <v>0.7296036299999999</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(6626.0/B7*100)</f>
        <v/>
      </c>
      <c r="D7" s="19" t="n">
        <v>741</v>
      </c>
      <c r="E7" s="18" t="n">
        <v>51.87897989</v>
      </c>
      <c r="F7" s="20" t="n">
        <v>2.33222654</v>
      </c>
      <c r="G7" s="18" t="n">
        <v>41.57577014</v>
      </c>
      <c r="H7" s="20" t="n">
        <v>2.3622004</v>
      </c>
      <c r="I7" s="18" t="s">
        <v>567</v>
      </c>
      <c r="J7" s="20" t="s">
        <v>567</v>
      </c>
      <c r="K7" s="18" t="n">
        <v>1.01579371</v>
      </c>
      <c r="L7" s="20" t="n">
        <v>0.41023616</v>
      </c>
      <c r="M7" s="18" t="n">
        <v>0.07183958999999999</v>
      </c>
      <c r="N7" s="20" t="n">
        <v>0.03536369</v>
      </c>
      <c r="O7" s="18" t="n">
        <v>0</v>
      </c>
      <c r="P7" s="20" t="n">
        <v>0</v>
      </c>
      <c r="Q7" s="18" t="n">
        <v>5.45761667</v>
      </c>
      <c r="R7" s="20" t="n">
        <v>0.83335052</v>
      </c>
    </row>
    <row r="8" spans="1:18">
      <c r="A8" s="15" t="s">
        <v>568</v>
      </c>
      <c r="B8" s="17" t="n">
        <v>3564</v>
      </c>
      <c r="C8" s="18">
        <f>(3181.0/B8*100)</f>
        <v/>
      </c>
      <c r="D8" s="19" t="n">
        <v>383</v>
      </c>
      <c r="E8" s="18" t="n">
        <v>52.13267712</v>
      </c>
      <c r="F8" s="20" t="n">
        <v>2.89989533</v>
      </c>
      <c r="G8" s="18" t="n">
        <v>37.38452853</v>
      </c>
      <c r="H8" s="20" t="n">
        <v>2.88546456</v>
      </c>
      <c r="I8" s="18" t="s">
        <v>567</v>
      </c>
      <c r="J8" s="20" t="s">
        <v>567</v>
      </c>
      <c r="K8" s="18" t="n">
        <v>2.10616709</v>
      </c>
      <c r="L8" s="20" t="n">
        <v>0.80893609</v>
      </c>
      <c r="M8" s="18" t="n">
        <v>0</v>
      </c>
      <c r="N8" s="20" t="n">
        <v>0</v>
      </c>
      <c r="O8" s="18" t="n">
        <v>0</v>
      </c>
      <c r="P8" s="20" t="n">
        <v>0</v>
      </c>
      <c r="Q8" s="18" t="n">
        <v>8.376627259999999</v>
      </c>
      <c r="R8" s="20" t="n">
        <v>1.61783796</v>
      </c>
    </row>
    <row r="9" spans="1:18">
      <c r="A9" s="15" t="s">
        <v>569</v>
      </c>
      <c r="B9" s="17" t="n">
        <v>4899</v>
      </c>
      <c r="C9" s="18">
        <f>(4405.0/B9*100)</f>
        <v/>
      </c>
      <c r="D9" s="19" t="n">
        <v>494</v>
      </c>
      <c r="E9" s="18" t="n">
        <v>44.42518689</v>
      </c>
      <c r="F9" s="20" t="n">
        <v>1.97501828</v>
      </c>
      <c r="G9" s="18" t="n">
        <v>46.56377585</v>
      </c>
      <c r="H9" s="20" t="n">
        <v>1.93384324</v>
      </c>
      <c r="I9" s="18" t="s">
        <v>567</v>
      </c>
      <c r="J9" s="20" t="s">
        <v>567</v>
      </c>
      <c r="K9" s="18" t="n">
        <v>1.3410953</v>
      </c>
      <c r="L9" s="20" t="n">
        <v>0.49452472</v>
      </c>
      <c r="M9" s="18" t="n">
        <v>0.7041940799999999</v>
      </c>
      <c r="N9" s="20" t="n">
        <v>0.42604743</v>
      </c>
      <c r="O9" s="18" t="n">
        <v>0</v>
      </c>
      <c r="P9" s="20" t="n">
        <v>0</v>
      </c>
      <c r="Q9" s="18" t="n">
        <v>6.96574787</v>
      </c>
      <c r="R9" s="20" t="n">
        <v>1.31721433</v>
      </c>
    </row>
    <row r="10" spans="1:18">
      <c r="A10" s="15" t="s">
        <v>570</v>
      </c>
      <c r="B10" s="17" t="n">
        <v>10036</v>
      </c>
      <c r="C10" s="18">
        <f>(8896.0/B10*100)</f>
        <v/>
      </c>
      <c r="D10" s="19" t="n">
        <v>1140</v>
      </c>
      <c r="E10" s="18" t="n">
        <v>53.53194612</v>
      </c>
      <c r="F10" s="20" t="n">
        <v>2.02255412</v>
      </c>
      <c r="G10" s="18" t="n">
        <v>42.83519843</v>
      </c>
      <c r="H10" s="20" t="n">
        <v>2.05604737</v>
      </c>
      <c r="I10" s="18" t="s">
        <v>567</v>
      </c>
      <c r="J10" s="20" t="s">
        <v>567</v>
      </c>
      <c r="K10" s="18" t="n">
        <v>1.61652037</v>
      </c>
      <c r="L10" s="20" t="n">
        <v>0.53414002</v>
      </c>
      <c r="M10" s="18" t="n">
        <v>0</v>
      </c>
      <c r="N10" s="20" t="n">
        <v>0</v>
      </c>
      <c r="O10" s="18" t="n">
        <v>0</v>
      </c>
      <c r="P10" s="20" t="n">
        <v>0</v>
      </c>
      <c r="Q10" s="18" t="n">
        <v>2.01633508</v>
      </c>
      <c r="R10" s="20" t="n">
        <v>0.64059751</v>
      </c>
    </row>
    <row r="11" spans="1:18">
      <c r="A11" s="15" t="s">
        <v>571</v>
      </c>
      <c r="B11" s="17" t="n">
        <v>3553</v>
      </c>
      <c r="C11" s="18">
        <f>(3191.0/B11*100)</f>
        <v/>
      </c>
      <c r="D11" s="19" t="n">
        <v>362</v>
      </c>
      <c r="E11" s="18" t="n">
        <v>42.13017547</v>
      </c>
      <c r="F11" s="20" t="n">
        <v>2.81133664</v>
      </c>
      <c r="G11" s="18" t="n">
        <v>37.82459549</v>
      </c>
      <c r="H11" s="20" t="n">
        <v>2.80566964</v>
      </c>
      <c r="I11" s="18" t="s">
        <v>567</v>
      </c>
      <c r="J11" s="20" t="s">
        <v>567</v>
      </c>
      <c r="K11" s="18" t="n">
        <v>3.46322169</v>
      </c>
      <c r="L11" s="20" t="n">
        <v>0.94255344</v>
      </c>
      <c r="M11" s="18" t="n">
        <v>0</v>
      </c>
      <c r="N11" s="20" t="n">
        <v>0</v>
      </c>
      <c r="O11" s="18" t="n">
        <v>0</v>
      </c>
      <c r="P11" s="20" t="n">
        <v>0</v>
      </c>
      <c r="Q11" s="18" t="n">
        <v>16.58200735</v>
      </c>
      <c r="R11" s="20" t="n">
        <v>2.73929132</v>
      </c>
    </row>
    <row r="12" spans="1:18">
      <c r="A12" s="15" t="s">
        <v>572</v>
      </c>
      <c r="B12" s="17" t="n">
        <v>3472</v>
      </c>
      <c r="C12" s="18">
        <f>(3080.0/B12*100)</f>
        <v/>
      </c>
      <c r="D12" s="19" t="n">
        <v>392</v>
      </c>
      <c r="E12" s="18" t="n">
        <v>30.72004242</v>
      </c>
      <c r="F12" s="20" t="n">
        <v>3.29650209</v>
      </c>
      <c r="G12" s="18" t="n">
        <v>51.3021821</v>
      </c>
      <c r="H12" s="20" t="n">
        <v>2.97165318</v>
      </c>
      <c r="I12" s="18" t="s">
        <v>567</v>
      </c>
      <c r="J12" s="20" t="s">
        <v>567</v>
      </c>
      <c r="K12" s="18" t="n">
        <v>1.24936843</v>
      </c>
      <c r="L12" s="20" t="n">
        <v>0.61641627</v>
      </c>
      <c r="M12" s="18" t="n">
        <v>0</v>
      </c>
      <c r="N12" s="20" t="n">
        <v>0</v>
      </c>
      <c r="O12" s="18" t="n">
        <v>0</v>
      </c>
      <c r="P12" s="20" t="n">
        <v>0</v>
      </c>
      <c r="Q12" s="18" t="n">
        <v>16.72840705</v>
      </c>
      <c r="R12" s="20" t="n">
        <v>2.21555683</v>
      </c>
    </row>
    <row r="13" spans="1:18">
      <c r="A13" s="15" t="s">
        <v>573</v>
      </c>
      <c r="B13" s="17" t="n">
        <v>3559</v>
      </c>
      <c r="C13" s="18">
        <f>(3191.0/B13*100)</f>
        <v/>
      </c>
      <c r="D13" s="19" t="n">
        <v>368</v>
      </c>
      <c r="E13" s="18" t="n">
        <v>36.93403259</v>
      </c>
      <c r="F13" s="20" t="n">
        <v>3.17568002</v>
      </c>
      <c r="G13" s="18" t="n">
        <v>53.4277743</v>
      </c>
      <c r="H13" s="20" t="n">
        <v>3.29906051</v>
      </c>
      <c r="I13" s="18" t="s">
        <v>567</v>
      </c>
      <c r="J13" s="20" t="s">
        <v>567</v>
      </c>
      <c r="K13" s="18" t="n">
        <v>3.11489661</v>
      </c>
      <c r="L13" s="20" t="n">
        <v>1.22142211</v>
      </c>
      <c r="M13" s="18" t="n">
        <v>0</v>
      </c>
      <c r="N13" s="20" t="n">
        <v>0</v>
      </c>
      <c r="O13" s="18" t="n">
        <v>0</v>
      </c>
      <c r="P13" s="20" t="n">
        <v>0</v>
      </c>
      <c r="Q13" s="18" t="n">
        <v>6.5232965</v>
      </c>
      <c r="R13" s="20" t="n">
        <v>1.41459885</v>
      </c>
    </row>
    <row r="14" spans="1:18">
      <c r="A14" s="15" t="s">
        <v>574</v>
      </c>
      <c r="B14" s="17" t="n">
        <v>2799</v>
      </c>
      <c r="C14" s="18">
        <f>(2492.0/B14*100)</f>
        <v/>
      </c>
      <c r="D14" s="19" t="n">
        <v>307</v>
      </c>
      <c r="E14" s="18" t="n">
        <v>31.13590827</v>
      </c>
      <c r="F14" s="20" t="n">
        <v>3.0651009</v>
      </c>
      <c r="G14" s="18" t="n">
        <v>62.44131952</v>
      </c>
      <c r="H14" s="20" t="n">
        <v>3.26111082</v>
      </c>
      <c r="I14" s="18" t="s">
        <v>567</v>
      </c>
      <c r="J14" s="20" t="s">
        <v>567</v>
      </c>
      <c r="K14" s="18" t="n">
        <v>0.30387207</v>
      </c>
      <c r="L14" s="20" t="n">
        <v>0.3047792</v>
      </c>
      <c r="M14" s="18" t="n">
        <v>0</v>
      </c>
      <c r="N14" s="20" t="n">
        <v>0</v>
      </c>
      <c r="O14" s="18" t="n">
        <v>0</v>
      </c>
      <c r="P14" s="20" t="n">
        <v>0</v>
      </c>
      <c r="Q14" s="18" t="n">
        <v>6.11890014</v>
      </c>
      <c r="R14" s="20" t="n">
        <v>1.42702182</v>
      </c>
    </row>
    <row r="15" spans="1:18">
      <c r="A15" s="15" t="s">
        <v>575</v>
      </c>
      <c r="B15" s="17" t="n">
        <v>3019</v>
      </c>
      <c r="C15" s="18">
        <f>(2725.0/B15*100)</f>
        <v/>
      </c>
      <c r="D15" s="19" t="n">
        <v>294</v>
      </c>
      <c r="E15" s="18" t="n">
        <v>52.09482394</v>
      </c>
      <c r="F15" s="20" t="n">
        <v>2.79436759</v>
      </c>
      <c r="G15" s="18" t="n">
        <v>41.19708289</v>
      </c>
      <c r="H15" s="20" t="n">
        <v>2.87975605</v>
      </c>
      <c r="I15" s="18" t="s">
        <v>567</v>
      </c>
      <c r="J15" s="20" t="s">
        <v>567</v>
      </c>
      <c r="K15" s="18" t="n">
        <v>0</v>
      </c>
      <c r="L15" s="20" t="n">
        <v>0</v>
      </c>
      <c r="M15" s="18" t="n">
        <v>0</v>
      </c>
      <c r="N15" s="20" t="n">
        <v>0</v>
      </c>
      <c r="O15" s="18" t="n">
        <v>0</v>
      </c>
      <c r="P15" s="20" t="n">
        <v>0</v>
      </c>
      <c r="Q15" s="18" t="n">
        <v>6.70809317</v>
      </c>
      <c r="R15" s="20" t="n">
        <v>1.55917428</v>
      </c>
    </row>
    <row r="16" spans="1:18">
      <c r="A16" s="15" t="s">
        <v>576</v>
      </c>
      <c r="B16" s="17" t="n">
        <v>2997</v>
      </c>
      <c r="C16" s="18">
        <f>(2688.0/B16*100)</f>
        <v/>
      </c>
      <c r="D16" s="19" t="n">
        <v>309</v>
      </c>
      <c r="E16" s="18" t="n">
        <v>39.75825119</v>
      </c>
      <c r="F16" s="20" t="n">
        <v>3.18642991</v>
      </c>
      <c r="G16" s="18" t="n">
        <v>44.24149826</v>
      </c>
      <c r="H16" s="20" t="n">
        <v>2.89420107</v>
      </c>
      <c r="I16" s="18" t="s">
        <v>567</v>
      </c>
      <c r="J16" s="20" t="s">
        <v>567</v>
      </c>
      <c r="K16" s="18" t="n">
        <v>3.15393155</v>
      </c>
      <c r="L16" s="20" t="n">
        <v>1.09807013</v>
      </c>
      <c r="M16" s="18" t="n">
        <v>0</v>
      </c>
      <c r="N16" s="20" t="n">
        <v>0</v>
      </c>
      <c r="O16" s="18" t="n">
        <v>0</v>
      </c>
      <c r="P16" s="20" t="n">
        <v>0</v>
      </c>
      <c r="Q16" s="18" t="n">
        <v>12.84631901</v>
      </c>
      <c r="R16" s="20" t="n">
        <v>2.16661594</v>
      </c>
    </row>
    <row r="17" spans="1:18">
      <c r="A17" s="15" t="s">
        <v>577</v>
      </c>
      <c r="B17" s="17" t="n">
        <v>3307</v>
      </c>
      <c r="C17" s="18">
        <f>(2989.0/B17*100)</f>
        <v/>
      </c>
      <c r="D17" s="19" t="n">
        <v>318</v>
      </c>
      <c r="E17" s="18" t="n">
        <v>47.4162777</v>
      </c>
      <c r="F17" s="20" t="n">
        <v>2.95034772</v>
      </c>
      <c r="G17" s="18" t="n">
        <v>43.22313989</v>
      </c>
      <c r="H17" s="20" t="n">
        <v>2.80243164</v>
      </c>
      <c r="I17" s="18" t="s">
        <v>567</v>
      </c>
      <c r="J17" s="20" t="s">
        <v>567</v>
      </c>
      <c r="K17" s="18" t="n">
        <v>1.24988035</v>
      </c>
      <c r="L17" s="20" t="n">
        <v>0.52457285</v>
      </c>
      <c r="M17" s="18" t="n">
        <v>0</v>
      </c>
      <c r="N17" s="20" t="n">
        <v>0</v>
      </c>
      <c r="O17" s="18" t="n">
        <v>0</v>
      </c>
      <c r="P17" s="20" t="n">
        <v>0</v>
      </c>
      <c r="Q17" s="18" t="n">
        <v>8.110702059999999</v>
      </c>
      <c r="R17" s="20" t="n">
        <v>1.52315174</v>
      </c>
    </row>
    <row r="18" spans="1:18">
      <c r="A18" s="15" t="s">
        <v>578</v>
      </c>
      <c r="B18" s="17" t="n">
        <v>2826</v>
      </c>
      <c r="C18" s="18">
        <f>(2497.0/B18*100)</f>
        <v/>
      </c>
      <c r="D18" s="19" t="n">
        <v>329</v>
      </c>
      <c r="E18" s="18" t="n">
        <v>44.4539961</v>
      </c>
      <c r="F18" s="20" t="n">
        <v>2.89370886</v>
      </c>
      <c r="G18" s="18" t="n">
        <v>38.90469198</v>
      </c>
      <c r="H18" s="20" t="n">
        <v>2.84889245</v>
      </c>
      <c r="I18" s="18" t="s">
        <v>567</v>
      </c>
      <c r="J18" s="20" t="s">
        <v>567</v>
      </c>
      <c r="K18" s="18" t="n">
        <v>2.09021608</v>
      </c>
      <c r="L18" s="20" t="n">
        <v>0.79413981</v>
      </c>
      <c r="M18" s="18" t="n">
        <v>0</v>
      </c>
      <c r="N18" s="20" t="n">
        <v>0</v>
      </c>
      <c r="O18" s="18" t="n">
        <v>0</v>
      </c>
      <c r="P18" s="20" t="n">
        <v>0</v>
      </c>
      <c r="Q18" s="18" t="n">
        <v>14.55109584</v>
      </c>
      <c r="R18" s="20" t="n">
        <v>2.03904271</v>
      </c>
    </row>
    <row r="19" spans="1:18">
      <c r="A19" s="15" t="s">
        <v>579</v>
      </c>
      <c r="B19" s="17" t="n">
        <v>2808</v>
      </c>
      <c r="C19" s="18">
        <f>(2520.0/B19*100)</f>
        <v/>
      </c>
      <c r="D19" s="19" t="n">
        <v>288</v>
      </c>
      <c r="E19" s="18" t="n">
        <v>49.3635276</v>
      </c>
      <c r="F19" s="20" t="n">
        <v>3.14017062</v>
      </c>
      <c r="G19" s="18" t="n">
        <v>32.43482315</v>
      </c>
      <c r="H19" s="20" t="n">
        <v>2.81336469</v>
      </c>
      <c r="I19" s="18" t="s">
        <v>567</v>
      </c>
      <c r="J19" s="20" t="s">
        <v>567</v>
      </c>
      <c r="K19" s="18" t="n">
        <v>0</v>
      </c>
      <c r="L19" s="20" t="n">
        <v>0</v>
      </c>
      <c r="M19" s="18" t="n">
        <v>0</v>
      </c>
      <c r="N19" s="20" t="n">
        <v>0</v>
      </c>
      <c r="O19" s="18" t="n">
        <v>0</v>
      </c>
      <c r="P19" s="20" t="n">
        <v>0</v>
      </c>
      <c r="Q19" s="18" t="n">
        <v>18.20164924</v>
      </c>
      <c r="R19" s="20" t="n">
        <v>2.20904442</v>
      </c>
    </row>
    <row r="20" spans="1:18">
      <c r="A20" s="15" t="s">
        <v>580</v>
      </c>
      <c r="B20" s="17" t="n">
        <v>1630</v>
      </c>
      <c r="C20" s="18">
        <f>(1458.0/B20*100)</f>
        <v/>
      </c>
      <c r="D20" s="19" t="n">
        <v>172</v>
      </c>
      <c r="E20" s="18" t="n">
        <v>51.5823305</v>
      </c>
      <c r="F20" s="20" t="n">
        <v>3.74454146</v>
      </c>
      <c r="G20" s="18" t="n">
        <v>36.91579117</v>
      </c>
      <c r="H20" s="20" t="n">
        <v>3.56603196</v>
      </c>
      <c r="I20" s="18" t="s">
        <v>567</v>
      </c>
      <c r="J20" s="20" t="s">
        <v>567</v>
      </c>
      <c r="K20" s="18" t="n">
        <v>1.08489019</v>
      </c>
      <c r="L20" s="20" t="n">
        <v>0.78745711</v>
      </c>
      <c r="M20" s="18" t="n">
        <v>0</v>
      </c>
      <c r="N20" s="20" t="n">
        <v>0</v>
      </c>
      <c r="O20" s="18" t="n">
        <v>0</v>
      </c>
      <c r="P20" s="20" t="n">
        <v>0</v>
      </c>
      <c r="Q20" s="18" t="n">
        <v>10.41698814</v>
      </c>
      <c r="R20" s="20" t="n">
        <v>2.36213926</v>
      </c>
    </row>
    <row r="21" spans="1:18">
      <c r="A21" s="15" t="s">
        <v>581</v>
      </c>
      <c r="B21" s="17" t="n">
        <v>2908</v>
      </c>
      <c r="C21" s="18">
        <f>(2596.0/B21*100)</f>
        <v/>
      </c>
      <c r="D21" s="19" t="n">
        <v>312</v>
      </c>
      <c r="E21" s="18" t="n">
        <v>48.07753952</v>
      </c>
      <c r="F21" s="20" t="n">
        <v>2.80167482</v>
      </c>
      <c r="G21" s="18" t="n">
        <v>45.60783593</v>
      </c>
      <c r="H21" s="20" t="n">
        <v>2.86966512</v>
      </c>
      <c r="I21" s="18" t="s">
        <v>567</v>
      </c>
      <c r="J21" s="20" t="s">
        <v>567</v>
      </c>
      <c r="K21" s="18" t="n">
        <v>1.8026934</v>
      </c>
      <c r="L21" s="20" t="n">
        <v>0.76329185</v>
      </c>
      <c r="M21" s="18" t="n">
        <v>0</v>
      </c>
      <c r="N21" s="20" t="n">
        <v>0</v>
      </c>
      <c r="O21" s="18" t="n">
        <v>0</v>
      </c>
      <c r="P21" s="20" t="n">
        <v>0</v>
      </c>
      <c r="Q21" s="18" t="n">
        <v>4.51193115</v>
      </c>
      <c r="R21" s="20" t="n">
        <v>1.22720721</v>
      </c>
    </row>
    <row r="22" spans="1:18">
      <c r="A22" s="15" t="s">
        <v>582</v>
      </c>
      <c r="B22" s="17" t="n">
        <v>2931</v>
      </c>
      <c r="C22" s="18">
        <f>(2635.0/B22*100)</f>
        <v/>
      </c>
      <c r="D22" s="19" t="n">
        <v>296</v>
      </c>
      <c r="E22" s="18" t="n">
        <v>48.53695969</v>
      </c>
      <c r="F22" s="20" t="n">
        <v>4.07745097</v>
      </c>
      <c r="G22" s="18" t="n">
        <v>36.08525171</v>
      </c>
      <c r="H22" s="20" t="n">
        <v>3.89889753</v>
      </c>
      <c r="I22" s="18" t="s">
        <v>567</v>
      </c>
      <c r="J22" s="20" t="s">
        <v>567</v>
      </c>
      <c r="K22" s="18" t="n">
        <v>2.87889056</v>
      </c>
      <c r="L22" s="20" t="n">
        <v>0.96096156</v>
      </c>
      <c r="M22" s="18" t="n">
        <v>0</v>
      </c>
      <c r="N22" s="20" t="n">
        <v>0</v>
      </c>
      <c r="O22" s="18" t="n">
        <v>0</v>
      </c>
      <c r="P22" s="20" t="n">
        <v>0</v>
      </c>
      <c r="Q22" s="18" t="n">
        <v>12.49889805</v>
      </c>
      <c r="R22" s="20" t="n">
        <v>2.22819346</v>
      </c>
    </row>
    <row r="23" spans="1:18">
      <c r="A23" s="15" t="s">
        <v>583</v>
      </c>
      <c r="B23" s="17" t="n">
        <v>5791</v>
      </c>
      <c r="C23" s="18">
        <f>(5199.0/B23*100)</f>
        <v/>
      </c>
      <c r="D23" s="19" t="n">
        <v>592</v>
      </c>
      <c r="E23" s="18" t="n">
        <v>54.29791604</v>
      </c>
      <c r="F23" s="20" t="n">
        <v>2.65494687</v>
      </c>
      <c r="G23" s="18" t="n">
        <v>28.82722214</v>
      </c>
      <c r="H23" s="20" t="n">
        <v>2.39977211</v>
      </c>
      <c r="I23" s="18" t="s">
        <v>567</v>
      </c>
      <c r="J23" s="20" t="s">
        <v>567</v>
      </c>
      <c r="K23" s="18" t="n">
        <v>1.11062278</v>
      </c>
      <c r="L23" s="20" t="n">
        <v>0.54437039</v>
      </c>
      <c r="M23" s="18" t="n">
        <v>0</v>
      </c>
      <c r="N23" s="20" t="n">
        <v>0</v>
      </c>
      <c r="O23" s="18" t="n">
        <v>0</v>
      </c>
      <c r="P23" s="20" t="n">
        <v>0</v>
      </c>
      <c r="Q23" s="18" t="n">
        <v>15.76423904</v>
      </c>
      <c r="R23" s="20" t="n">
        <v>1.99256355</v>
      </c>
    </row>
    <row r="24" spans="1:18">
      <c r="A24" s="15" t="s">
        <v>584</v>
      </c>
      <c r="B24" s="17" t="n">
        <v>3338</v>
      </c>
      <c r="C24" s="18">
        <f>(2988.0/B24*100)</f>
        <v/>
      </c>
      <c r="D24" s="19" t="n">
        <v>350</v>
      </c>
      <c r="E24" s="18" t="n">
        <v>51.62207776</v>
      </c>
      <c r="F24" s="20" t="n">
        <v>3.2018507</v>
      </c>
      <c r="G24" s="18" t="n">
        <v>42.69592769</v>
      </c>
      <c r="H24" s="20" t="n">
        <v>3.01819868</v>
      </c>
      <c r="I24" s="18" t="s">
        <v>567</v>
      </c>
      <c r="J24" s="20" t="s">
        <v>567</v>
      </c>
      <c r="K24" s="18" t="n">
        <v>0.8465597500000001</v>
      </c>
      <c r="L24" s="20" t="n">
        <v>0.4807141</v>
      </c>
      <c r="M24" s="18" t="n">
        <v>0</v>
      </c>
      <c r="N24" s="20" t="n">
        <v>0</v>
      </c>
      <c r="O24" s="18" t="n">
        <v>0</v>
      </c>
      <c r="P24" s="20" t="n">
        <v>0</v>
      </c>
      <c r="Q24" s="18" t="n">
        <v>4.8354348</v>
      </c>
      <c r="R24" s="20" t="n">
        <v>1.33872289</v>
      </c>
    </row>
    <row r="25" spans="1:18">
      <c r="A25" s="15" t="s">
        <v>585</v>
      </c>
      <c r="B25" s="17" t="n">
        <v>2912</v>
      </c>
      <c r="C25" s="18">
        <f>(2601.0/B25*100)</f>
        <v/>
      </c>
      <c r="D25" s="19" t="n">
        <v>311</v>
      </c>
      <c r="E25" s="18" t="n">
        <v>49.98880531</v>
      </c>
      <c r="F25" s="20" t="n">
        <v>2.90879028</v>
      </c>
      <c r="G25" s="18" t="n">
        <v>43.64043792</v>
      </c>
      <c r="H25" s="20" t="n">
        <v>2.94306978</v>
      </c>
      <c r="I25" s="18" t="s">
        <v>567</v>
      </c>
      <c r="J25" s="20" t="s">
        <v>567</v>
      </c>
      <c r="K25" s="18" t="n">
        <v>0.9219974399999999</v>
      </c>
      <c r="L25" s="20" t="n">
        <v>0.55009847</v>
      </c>
      <c r="M25" s="18" t="n">
        <v>0</v>
      </c>
      <c r="N25" s="20" t="n">
        <v>0</v>
      </c>
      <c r="O25" s="18" t="n">
        <v>0</v>
      </c>
      <c r="P25" s="20" t="n">
        <v>0</v>
      </c>
      <c r="Q25" s="18" t="n">
        <v>5.44875933</v>
      </c>
      <c r="R25" s="20" t="n">
        <v>1.22656981</v>
      </c>
    </row>
    <row r="26" spans="1:18">
      <c r="A26" s="15" t="s">
        <v>586</v>
      </c>
      <c r="B26" s="17" t="n">
        <v>2450</v>
      </c>
      <c r="C26" s="18">
        <f>(2185.0/B26*100)</f>
        <v/>
      </c>
      <c r="D26" s="19" t="n">
        <v>265</v>
      </c>
      <c r="E26" s="18" t="n">
        <v>54.44054085</v>
      </c>
      <c r="F26" s="20" t="n">
        <v>2.81077219</v>
      </c>
      <c r="G26" s="18" t="n">
        <v>41.03960887</v>
      </c>
      <c r="H26" s="20" t="n">
        <v>2.82352509</v>
      </c>
      <c r="I26" s="18" t="s">
        <v>567</v>
      </c>
      <c r="J26" s="20" t="s">
        <v>567</v>
      </c>
      <c r="K26" s="18" t="n">
        <v>0.30532022</v>
      </c>
      <c r="L26" s="20" t="n">
        <v>0.31343547</v>
      </c>
      <c r="M26" s="18" t="n">
        <v>0</v>
      </c>
      <c r="N26" s="20" t="n">
        <v>0</v>
      </c>
      <c r="O26" s="18" t="n">
        <v>0</v>
      </c>
      <c r="P26" s="20" t="n">
        <v>0</v>
      </c>
      <c r="Q26" s="18" t="n">
        <v>4.21453006</v>
      </c>
      <c r="R26" s="20" t="n">
        <v>1.1975562</v>
      </c>
    </row>
    <row r="27" spans="1:18">
      <c r="A27" s="15" t="s">
        <v>587</v>
      </c>
      <c r="B27" s="17" t="n">
        <v>2616</v>
      </c>
      <c r="C27" s="18">
        <f>(2356.0/B27*100)</f>
        <v/>
      </c>
      <c r="D27" s="19" t="n">
        <v>260</v>
      </c>
      <c r="E27" s="18" t="n">
        <v>42.96614812</v>
      </c>
      <c r="F27" s="20" t="n">
        <v>3.15172739</v>
      </c>
      <c r="G27" s="18" t="n">
        <v>42.70899275</v>
      </c>
      <c r="H27" s="20" t="n">
        <v>3.09740205</v>
      </c>
      <c r="I27" s="18" t="s">
        <v>567</v>
      </c>
      <c r="J27" s="20" t="s">
        <v>567</v>
      </c>
      <c r="K27" s="18" t="n">
        <v>2.68752594</v>
      </c>
      <c r="L27" s="20" t="n">
        <v>0.98767039</v>
      </c>
      <c r="M27" s="18" t="n">
        <v>0</v>
      </c>
      <c r="N27" s="20" t="n">
        <v>0</v>
      </c>
      <c r="O27" s="18" t="n">
        <v>0</v>
      </c>
      <c r="P27" s="20" t="n">
        <v>0</v>
      </c>
      <c r="Q27" s="18" t="n">
        <v>11.6373332</v>
      </c>
      <c r="R27" s="20" t="n">
        <v>2.05258609</v>
      </c>
    </row>
    <row r="28" spans="1:18">
      <c r="A28" s="15" t="s">
        <v>588</v>
      </c>
      <c r="B28" s="17" t="n">
        <v>3765</v>
      </c>
      <c r="C28" s="18">
        <f>(3421.0/B28*100)</f>
        <v/>
      </c>
      <c r="D28" s="19" t="n">
        <v>344</v>
      </c>
      <c r="E28" s="18" t="n">
        <v>56.26768109</v>
      </c>
      <c r="F28" s="20" t="n">
        <v>3.1900465</v>
      </c>
      <c r="G28" s="18" t="n">
        <v>35.94586989</v>
      </c>
      <c r="H28" s="20" t="n">
        <v>2.89504614</v>
      </c>
      <c r="I28" s="18" t="s">
        <v>567</v>
      </c>
      <c r="J28" s="20" t="s">
        <v>567</v>
      </c>
      <c r="K28" s="18" t="n">
        <v>1.1528239</v>
      </c>
      <c r="L28" s="20" t="n">
        <v>0.61387859</v>
      </c>
      <c r="M28" s="18" t="n">
        <v>0</v>
      </c>
      <c r="N28" s="20" t="n">
        <v>0</v>
      </c>
      <c r="O28" s="18" t="n">
        <v>0</v>
      </c>
      <c r="P28" s="20" t="n">
        <v>0</v>
      </c>
      <c r="Q28" s="18" t="n">
        <v>6.63362512</v>
      </c>
      <c r="R28" s="20" t="n">
        <v>1.9392932</v>
      </c>
    </row>
    <row r="29" spans="1:18">
      <c r="A29" s="15" t="s">
        <v>589</v>
      </c>
      <c r="B29" s="17" t="n">
        <v>2685</v>
      </c>
      <c r="C29" s="18">
        <f>(2394.0/B29*100)</f>
        <v/>
      </c>
      <c r="D29" s="19" t="n">
        <v>291</v>
      </c>
      <c r="E29" s="18" t="n">
        <v>53.90997143</v>
      </c>
      <c r="F29" s="20" t="n">
        <v>3.29549516</v>
      </c>
      <c r="G29" s="18" t="n">
        <v>42.61517952</v>
      </c>
      <c r="H29" s="20" t="n">
        <v>3.05949989</v>
      </c>
      <c r="I29" s="18" t="s">
        <v>567</v>
      </c>
      <c r="J29" s="20" t="s">
        <v>567</v>
      </c>
      <c r="K29" s="18" t="n">
        <v>0.26946692</v>
      </c>
      <c r="L29" s="20" t="n">
        <v>0.26478749</v>
      </c>
      <c r="M29" s="18" t="n">
        <v>0</v>
      </c>
      <c r="N29" s="20" t="n">
        <v>0</v>
      </c>
      <c r="O29" s="18" t="n">
        <v>0</v>
      </c>
      <c r="P29" s="20" t="n">
        <v>0</v>
      </c>
      <c r="Q29" s="18" t="n">
        <v>3.20538213</v>
      </c>
      <c r="R29" s="20" t="n">
        <v>1.13865607</v>
      </c>
    </row>
    <row r="30" spans="1:18">
      <c r="A30" s="15" t="s">
        <v>590</v>
      </c>
      <c r="B30" s="17" t="n">
        <v>2263</v>
      </c>
      <c r="C30" s="18">
        <f>(2049.0/B30*100)</f>
        <v/>
      </c>
      <c r="D30" s="19" t="n">
        <v>214</v>
      </c>
      <c r="E30" s="18" t="n">
        <v>53.67422686</v>
      </c>
      <c r="F30" s="20" t="n">
        <v>3.64781222</v>
      </c>
      <c r="G30" s="18" t="n">
        <v>38.46055586</v>
      </c>
      <c r="H30" s="20" t="n">
        <v>3.4721535</v>
      </c>
      <c r="I30" s="18" t="s">
        <v>567</v>
      </c>
      <c r="J30" s="20" t="s">
        <v>567</v>
      </c>
      <c r="K30" s="18" t="n">
        <v>1.55555458</v>
      </c>
      <c r="L30" s="20" t="n">
        <v>0.77271665</v>
      </c>
      <c r="M30" s="18" t="n">
        <v>0</v>
      </c>
      <c r="N30" s="20" t="n">
        <v>0</v>
      </c>
      <c r="O30" s="18" t="n">
        <v>0</v>
      </c>
      <c r="P30" s="20" t="n">
        <v>0</v>
      </c>
      <c r="Q30" s="18" t="n">
        <v>6.3096627</v>
      </c>
      <c r="R30" s="20" t="n">
        <v>1.50457639</v>
      </c>
    </row>
    <row r="31" spans="1:18">
      <c r="A31" s="15" t="s">
        <v>591</v>
      </c>
      <c r="B31" s="17" t="n">
        <v>2750</v>
      </c>
      <c r="C31" s="18">
        <f>(2444.0/B31*100)</f>
        <v/>
      </c>
      <c r="D31" s="19" t="n">
        <v>306</v>
      </c>
      <c r="E31" s="18" t="n">
        <v>46.50194062</v>
      </c>
      <c r="F31" s="20" t="n">
        <v>2.87249416</v>
      </c>
      <c r="G31" s="18" t="n">
        <v>39.54969136</v>
      </c>
      <c r="H31" s="20" t="n">
        <v>2.81935395</v>
      </c>
      <c r="I31" s="18" t="s">
        <v>567</v>
      </c>
      <c r="J31" s="20" t="s">
        <v>567</v>
      </c>
      <c r="K31" s="18" t="n">
        <v>1.62793758</v>
      </c>
      <c r="L31" s="20" t="n">
        <v>0.83415295</v>
      </c>
      <c r="M31" s="18" t="n">
        <v>0</v>
      </c>
      <c r="N31" s="20" t="n">
        <v>0</v>
      </c>
      <c r="O31" s="18" t="n">
        <v>0</v>
      </c>
      <c r="P31" s="20" t="n">
        <v>0</v>
      </c>
      <c r="Q31" s="18" t="n">
        <v>12.32043043</v>
      </c>
      <c r="R31" s="20" t="n">
        <v>1.83439996</v>
      </c>
    </row>
    <row r="32" spans="1:18">
      <c r="A32" s="15" t="s">
        <v>592</v>
      </c>
      <c r="B32" s="17" t="n">
        <v>2269</v>
      </c>
      <c r="C32" s="18">
        <f>(2009.0/B32*100)</f>
        <v/>
      </c>
      <c r="D32" s="19" t="n">
        <v>260</v>
      </c>
      <c r="E32" s="18" t="n">
        <v>32.01221819</v>
      </c>
      <c r="F32" s="20" t="n">
        <v>2.91399031</v>
      </c>
      <c r="G32" s="18" t="n">
        <v>55.85967516</v>
      </c>
      <c r="H32" s="20" t="n">
        <v>3.10295463</v>
      </c>
      <c r="I32" s="18" t="s">
        <v>567</v>
      </c>
      <c r="J32" s="20" t="s">
        <v>567</v>
      </c>
      <c r="K32" s="18" t="n">
        <v>0</v>
      </c>
      <c r="L32" s="20" t="n">
        <v>0</v>
      </c>
      <c r="M32" s="18" t="n">
        <v>0</v>
      </c>
      <c r="N32" s="20" t="n">
        <v>0</v>
      </c>
      <c r="O32" s="18" t="n">
        <v>0</v>
      </c>
      <c r="P32" s="20" t="n">
        <v>0</v>
      </c>
      <c r="Q32" s="18" t="n">
        <v>12.12810665</v>
      </c>
      <c r="R32" s="20" t="n">
        <v>1.95527633</v>
      </c>
    </row>
    <row r="33" spans="1:18">
      <c r="A33" s="15" t="s">
        <v>593</v>
      </c>
      <c r="B33" s="17" t="n">
        <v>3674</v>
      </c>
      <c r="C33" s="18">
        <f>(3282.0/B33*100)</f>
        <v/>
      </c>
      <c r="D33" s="19" t="n">
        <v>392</v>
      </c>
      <c r="E33" s="18" t="n">
        <v>53.58240119</v>
      </c>
      <c r="F33" s="20" t="n">
        <v>2.52273437</v>
      </c>
      <c r="G33" s="18" t="n">
        <v>36.49607926</v>
      </c>
      <c r="H33" s="20" t="n">
        <v>2.42942341</v>
      </c>
      <c r="I33" s="18" t="s">
        <v>567</v>
      </c>
      <c r="J33" s="20" t="s">
        <v>567</v>
      </c>
      <c r="K33" s="18" t="n">
        <v>1.15735066</v>
      </c>
      <c r="L33" s="20" t="n">
        <v>0.59600783</v>
      </c>
      <c r="M33" s="18" t="n">
        <v>0</v>
      </c>
      <c r="N33" s="20" t="n">
        <v>0</v>
      </c>
      <c r="O33" s="18" t="n">
        <v>0</v>
      </c>
      <c r="P33" s="20" t="n">
        <v>0</v>
      </c>
      <c r="Q33" s="18" t="n">
        <v>8.7641689</v>
      </c>
      <c r="R33" s="20" t="n">
        <v>1.33996778</v>
      </c>
    </row>
    <row r="34" spans="1:18">
      <c r="A34" s="15" t="s">
        <v>594</v>
      </c>
      <c r="B34" s="17" t="n">
        <v>3315</v>
      </c>
      <c r="C34" s="18">
        <f>(2964.0/B34*100)</f>
        <v/>
      </c>
      <c r="D34" s="19" t="n">
        <v>351</v>
      </c>
      <c r="E34" s="18" t="n">
        <v>60.51328709</v>
      </c>
      <c r="F34" s="20" t="n">
        <v>2.56967542</v>
      </c>
      <c r="G34" s="18" t="n">
        <v>23.8189117</v>
      </c>
      <c r="H34" s="20" t="n">
        <v>2.07881329</v>
      </c>
      <c r="I34" s="18" t="s">
        <v>567</v>
      </c>
      <c r="J34" s="20" t="s">
        <v>567</v>
      </c>
      <c r="K34" s="18" t="n">
        <v>1.14087134</v>
      </c>
      <c r="L34" s="20" t="n">
        <v>0.59778664</v>
      </c>
      <c r="M34" s="18" t="n">
        <v>0</v>
      </c>
      <c r="N34" s="20" t="n">
        <v>0</v>
      </c>
      <c r="O34" s="18" t="n">
        <v>0</v>
      </c>
      <c r="P34" s="20" t="n">
        <v>0</v>
      </c>
      <c r="Q34" s="18" t="n">
        <v>14.52692987</v>
      </c>
      <c r="R34" s="20" t="n">
        <v>1.61506384</v>
      </c>
    </row>
    <row r="35" spans="1:18">
      <c r="A35" s="15" t="s">
        <v>595</v>
      </c>
      <c r="B35" s="17" t="n">
        <v>3505</v>
      </c>
      <c r="C35" s="18">
        <f>(3150.0/B35*100)</f>
        <v/>
      </c>
      <c r="D35" s="19" t="n">
        <v>355</v>
      </c>
      <c r="E35" s="18" t="n">
        <v>34.6404907</v>
      </c>
      <c r="F35" s="20" t="n">
        <v>2.90503816</v>
      </c>
      <c r="G35" s="18" t="n">
        <v>60.92592941</v>
      </c>
      <c r="H35" s="20" t="n">
        <v>3.08032293</v>
      </c>
      <c r="I35" s="18" t="s">
        <v>567</v>
      </c>
      <c r="J35" s="20" t="s">
        <v>567</v>
      </c>
      <c r="K35" s="18" t="n">
        <v>0.43918142</v>
      </c>
      <c r="L35" s="20" t="n">
        <v>0.33047864</v>
      </c>
      <c r="M35" s="18" t="n">
        <v>0</v>
      </c>
      <c r="N35" s="20" t="n">
        <v>0</v>
      </c>
      <c r="O35" s="18" t="n">
        <v>0</v>
      </c>
      <c r="P35" s="20" t="n">
        <v>0</v>
      </c>
      <c r="Q35" s="18" t="n">
        <v>3.99439846</v>
      </c>
      <c r="R35" s="20" t="n">
        <v>0.99190321</v>
      </c>
    </row>
    <row r="36" spans="1:18">
      <c r="A36" s="15" t="s">
        <v>596</v>
      </c>
      <c r="B36" s="17" t="n">
        <v>3332</v>
      </c>
      <c r="C36" s="18">
        <f>(2996.0/B36*100)</f>
        <v/>
      </c>
      <c r="D36" s="19" t="n">
        <v>336</v>
      </c>
      <c r="E36" s="18" t="n">
        <v>49.57183358</v>
      </c>
      <c r="F36" s="20" t="n">
        <v>2.69940805</v>
      </c>
      <c r="G36" s="18" t="n">
        <v>40.22487331</v>
      </c>
      <c r="H36" s="20" t="n">
        <v>2.89016679</v>
      </c>
      <c r="I36" s="18" t="s">
        <v>567</v>
      </c>
      <c r="J36" s="20" t="s">
        <v>567</v>
      </c>
      <c r="K36" s="18" t="n">
        <v>1.36957579</v>
      </c>
      <c r="L36" s="20" t="n">
        <v>0.67026346</v>
      </c>
      <c r="M36" s="18" t="n">
        <v>0</v>
      </c>
      <c r="N36" s="20" t="n">
        <v>0</v>
      </c>
      <c r="O36" s="18" t="n">
        <v>0</v>
      </c>
      <c r="P36" s="20" t="n">
        <v>0</v>
      </c>
      <c r="Q36" s="18" t="n">
        <v>8.83371732</v>
      </c>
      <c r="R36" s="20" t="n">
        <v>1.95903065</v>
      </c>
    </row>
    <row r="37" spans="1:18">
      <c r="A37" s="15" t="s">
        <v>597</v>
      </c>
      <c r="B37" s="17" t="n">
        <v>2727</v>
      </c>
      <c r="C37" s="18">
        <f>(2449.0/B37*100)</f>
        <v/>
      </c>
      <c r="D37" s="19" t="n">
        <v>278</v>
      </c>
      <c r="E37" s="18" t="n">
        <v>52.18350063</v>
      </c>
      <c r="F37" s="20" t="n">
        <v>2.39353114</v>
      </c>
      <c r="G37" s="18" t="n">
        <v>35.66431713</v>
      </c>
      <c r="H37" s="20" t="n">
        <v>2.76602709</v>
      </c>
      <c r="I37" s="18" t="s">
        <v>567</v>
      </c>
      <c r="J37" s="20" t="s">
        <v>567</v>
      </c>
      <c r="K37" s="18" t="n">
        <v>2.7436277</v>
      </c>
      <c r="L37" s="20" t="n">
        <v>0.96635145</v>
      </c>
      <c r="M37" s="18" t="n">
        <v>0</v>
      </c>
      <c r="N37" s="20" t="n">
        <v>0</v>
      </c>
      <c r="O37" s="18" t="n">
        <v>0</v>
      </c>
      <c r="P37" s="20" t="n">
        <v>0</v>
      </c>
      <c r="Q37" s="18" t="n">
        <v>9.408554540000001</v>
      </c>
      <c r="R37" s="20" t="n">
        <v>1.94924424</v>
      </c>
    </row>
    <row r="38" spans="1:18">
      <c r="A38" s="15" t="s">
        <v>598</v>
      </c>
      <c r="B38" s="17" t="n">
        <v>3053</v>
      </c>
      <c r="C38" s="18">
        <f>(2724.0/B38*100)</f>
        <v/>
      </c>
      <c r="D38" s="19" t="n">
        <v>329</v>
      </c>
      <c r="E38" s="18" t="n">
        <v>45.96949665</v>
      </c>
      <c r="F38" s="20" t="n">
        <v>3.65752138</v>
      </c>
      <c r="G38" s="18" t="n">
        <v>40.74277804</v>
      </c>
      <c r="H38" s="20" t="n">
        <v>3.4992792</v>
      </c>
      <c r="I38" s="18" t="s">
        <v>567</v>
      </c>
      <c r="J38" s="20" t="s">
        <v>567</v>
      </c>
      <c r="K38" s="18" t="n">
        <v>1.33092446</v>
      </c>
      <c r="L38" s="20" t="n">
        <v>0.62889514</v>
      </c>
      <c r="M38" s="18" t="n">
        <v>4.5511361</v>
      </c>
      <c r="N38" s="20" t="n">
        <v>1.27531291</v>
      </c>
      <c r="O38" s="18" t="n">
        <v>0</v>
      </c>
      <c r="P38" s="20" t="n">
        <v>0</v>
      </c>
      <c r="Q38" s="18" t="n">
        <v>7.40566475</v>
      </c>
      <c r="R38" s="20" t="n">
        <v>1.60063689</v>
      </c>
    </row>
    <row r="39" spans="1:18">
      <c r="A39" s="15" t="s">
        <v>599</v>
      </c>
      <c r="B39" s="17" t="n">
        <v>2957</v>
      </c>
      <c r="C39" s="18">
        <f>(2614.0/B39*100)</f>
        <v/>
      </c>
      <c r="D39" s="19" t="n">
        <v>343</v>
      </c>
      <c r="E39" s="18" t="n">
        <v>59.61816188</v>
      </c>
      <c r="F39" s="20" t="n">
        <v>2.33311247</v>
      </c>
      <c r="G39" s="18" t="n">
        <v>30.00855553</v>
      </c>
      <c r="H39" s="20" t="n">
        <v>2.48067523</v>
      </c>
      <c r="I39" s="18" t="s">
        <v>567</v>
      </c>
      <c r="J39" s="20" t="s">
        <v>567</v>
      </c>
      <c r="K39" s="18" t="n">
        <v>0.77195465</v>
      </c>
      <c r="L39" s="20" t="n">
        <v>0.6042086</v>
      </c>
      <c r="M39" s="18" t="n">
        <v>0</v>
      </c>
      <c r="N39" s="20" t="n">
        <v>0</v>
      </c>
      <c r="O39" s="18" t="n">
        <v>0</v>
      </c>
      <c r="P39" s="20" t="n">
        <v>0</v>
      </c>
      <c r="Q39" s="18" t="n">
        <v>9.601327939999999</v>
      </c>
      <c r="R39" s="20" t="n">
        <v>1.71983717</v>
      </c>
    </row>
    <row r="40" spans="1:18">
      <c r="A40" s="15" t="s">
        <v>600</v>
      </c>
      <c r="B40" s="17" t="n">
        <v>7235</v>
      </c>
      <c r="C40" s="18">
        <f>(6463.0/B40*100)</f>
        <v/>
      </c>
      <c r="D40" s="19" t="n">
        <v>772</v>
      </c>
      <c r="E40" s="18" t="n">
        <v>52.95227305</v>
      </c>
      <c r="F40" s="20" t="n">
        <v>2.5339192</v>
      </c>
      <c r="G40" s="18" t="n">
        <v>37.76455</v>
      </c>
      <c r="H40" s="20" t="n">
        <v>2.4523433</v>
      </c>
      <c r="I40" s="18" t="s">
        <v>567</v>
      </c>
      <c r="J40" s="20" t="s">
        <v>567</v>
      </c>
      <c r="K40" s="18" t="n">
        <v>0.93599688</v>
      </c>
      <c r="L40" s="20" t="n">
        <v>0.58121174</v>
      </c>
      <c r="M40" s="18" t="n">
        <v>0</v>
      </c>
      <c r="N40" s="20" t="n">
        <v>0</v>
      </c>
      <c r="O40" s="18" t="n">
        <v>0</v>
      </c>
      <c r="P40" s="20" t="n">
        <v>0</v>
      </c>
      <c r="Q40" s="18" t="n">
        <v>8.347180059999999</v>
      </c>
      <c r="R40" s="20" t="n">
        <v>1.64664689</v>
      </c>
    </row>
    <row r="41" spans="1:18">
      <c r="A41" s="15" t="s">
        <v>601</v>
      </c>
      <c r="B41" s="17" t="n">
        <v>2858</v>
      </c>
      <c r="C41" s="18">
        <f>(2561.0/B41*100)</f>
        <v/>
      </c>
      <c r="D41" s="19" t="n">
        <v>297</v>
      </c>
      <c r="E41" s="18" t="n">
        <v>60.16491959</v>
      </c>
      <c r="F41" s="20" t="n">
        <v>2.86167558</v>
      </c>
      <c r="G41" s="18" t="n">
        <v>35.78054348</v>
      </c>
      <c r="H41" s="20" t="n">
        <v>2.7241887</v>
      </c>
      <c r="I41" s="18" t="s">
        <v>567</v>
      </c>
      <c r="J41" s="20" t="s">
        <v>567</v>
      </c>
      <c r="K41" s="18" t="n">
        <v>0.67555748</v>
      </c>
      <c r="L41" s="20" t="n">
        <v>0.50273155</v>
      </c>
      <c r="M41" s="18" t="n">
        <v>0</v>
      </c>
      <c r="N41" s="20" t="n">
        <v>0</v>
      </c>
      <c r="O41" s="18" t="n">
        <v>0</v>
      </c>
      <c r="P41" s="20" t="n">
        <v>0</v>
      </c>
      <c r="Q41" s="18" t="n">
        <v>3.37897944</v>
      </c>
      <c r="R41" s="20" t="n">
        <v>1.09940334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(10272.0/B46*100)</f>
        <v/>
      </c>
      <c r="D46" s="19" t="n">
        <v>796</v>
      </c>
      <c r="E46" s="18" t="n">
        <v>51.98639431</v>
      </c>
      <c r="F46" s="20" t="n">
        <v>2.53499667</v>
      </c>
      <c r="G46" s="18" t="n">
        <v>29.69369576</v>
      </c>
      <c r="H46" s="20" t="n">
        <v>2.51318838</v>
      </c>
      <c r="I46" s="18" t="s">
        <v>567</v>
      </c>
      <c r="J46" s="20" t="s">
        <v>567</v>
      </c>
      <c r="K46" s="18" t="n">
        <v>1.93042197</v>
      </c>
      <c r="L46" s="20" t="n">
        <v>0.6389034099999999</v>
      </c>
      <c r="M46" s="18" t="n">
        <v>0.56042703</v>
      </c>
      <c r="N46" s="20" t="n">
        <v>0.26418185</v>
      </c>
      <c r="O46" s="18" t="n">
        <v>0</v>
      </c>
      <c r="P46" s="20" t="n">
        <v>0</v>
      </c>
      <c r="Q46" s="18" t="n">
        <v>15.82906094</v>
      </c>
      <c r="R46" s="20" t="n">
        <v>1.77665741</v>
      </c>
    </row>
    <row r="47" spans="1:18">
      <c r="A47" s="15" t="s">
        <v>607</v>
      </c>
      <c r="B47" s="17" t="n">
        <v>3105</v>
      </c>
      <c r="C47" s="18">
        <f>(2776.0/B47*100)</f>
        <v/>
      </c>
      <c r="D47" s="19" t="n">
        <v>329</v>
      </c>
      <c r="E47" s="18" t="n">
        <v>40.39911663</v>
      </c>
      <c r="F47" s="20" t="n">
        <v>2.66672076</v>
      </c>
      <c r="G47" s="18" t="n">
        <v>30.63129331</v>
      </c>
      <c r="H47" s="20" t="n">
        <v>2.47299684</v>
      </c>
      <c r="I47" s="18" t="s">
        <v>567</v>
      </c>
      <c r="J47" s="20" t="s">
        <v>567</v>
      </c>
      <c r="K47" s="18" t="n">
        <v>1.49665822</v>
      </c>
      <c r="L47" s="20" t="n">
        <v>0.73511494</v>
      </c>
      <c r="M47" s="18" t="n">
        <v>0</v>
      </c>
      <c r="N47" s="20" t="n">
        <v>0</v>
      </c>
      <c r="O47" s="18" t="n">
        <v>0</v>
      </c>
      <c r="P47" s="20" t="n">
        <v>0</v>
      </c>
      <c r="Q47" s="18" t="n">
        <v>27.47293185</v>
      </c>
      <c r="R47" s="20" t="n">
        <v>3.02402654</v>
      </c>
    </row>
    <row r="48" spans="1:18">
      <c r="A48" s="15" t="s">
        <v>608</v>
      </c>
      <c r="B48" s="17" t="n">
        <v>5159</v>
      </c>
      <c r="C48" s="18">
        <f>(4568.0/B48*100)</f>
        <v/>
      </c>
      <c r="D48" s="19" t="n">
        <v>591</v>
      </c>
      <c r="E48" s="18" t="n">
        <v>44.69350818</v>
      </c>
      <c r="F48" s="20" t="n">
        <v>2.77071262</v>
      </c>
      <c r="G48" s="18" t="n">
        <v>48.591401</v>
      </c>
      <c r="H48" s="20" t="n">
        <v>2.86565511</v>
      </c>
      <c r="I48" s="18" t="s">
        <v>567</v>
      </c>
      <c r="J48" s="20" t="s">
        <v>567</v>
      </c>
      <c r="K48" s="18" t="n">
        <v>0.14621114</v>
      </c>
      <c r="L48" s="20" t="n">
        <v>0.08539814</v>
      </c>
      <c r="M48" s="18" t="n">
        <v>0</v>
      </c>
      <c r="N48" s="20" t="n">
        <v>0</v>
      </c>
      <c r="O48" s="18" t="n">
        <v>0</v>
      </c>
      <c r="P48" s="20" t="n">
        <v>0</v>
      </c>
      <c r="Q48" s="18" t="n">
        <v>6.56887969</v>
      </c>
      <c r="R48" s="20" t="n">
        <v>1.32737034</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(5022.0/B50*100)</f>
        <v/>
      </c>
      <c r="D50" s="19" t="n">
        <v>615</v>
      </c>
      <c r="E50" s="18" t="n">
        <v>61.91048249</v>
      </c>
      <c r="F50" s="20" t="n">
        <v>2.76207171</v>
      </c>
      <c r="G50" s="18" t="n">
        <v>26.41828121</v>
      </c>
      <c r="H50" s="20" t="n">
        <v>2.42790805</v>
      </c>
      <c r="I50" s="18" t="s">
        <v>567</v>
      </c>
      <c r="J50" s="20" t="s">
        <v>567</v>
      </c>
      <c r="K50" s="18" t="n">
        <v>5.71700875</v>
      </c>
      <c r="L50" s="20" t="n">
        <v>1.40943918</v>
      </c>
      <c r="M50" s="18" t="n">
        <v>0.15105787</v>
      </c>
      <c r="N50" s="20" t="n">
        <v>0.19822729</v>
      </c>
      <c r="O50" s="18" t="n">
        <v>0</v>
      </c>
      <c r="P50" s="20" t="n">
        <v>0</v>
      </c>
      <c r="Q50" s="18" t="n">
        <v>5.80316968</v>
      </c>
      <c r="R50" s="20" t="n">
        <v>1.01520066</v>
      </c>
    </row>
    <row r="51" spans="1:18">
      <c r="A51" s="15" t="s">
        <v>611</v>
      </c>
      <c r="B51" s="17" t="n">
        <v>3372</v>
      </c>
      <c r="C51" s="18">
        <f>(3089.0/B51*100)</f>
        <v/>
      </c>
      <c r="D51" s="19" t="n">
        <v>283</v>
      </c>
      <c r="E51" s="18" t="n">
        <v>45.36149023</v>
      </c>
      <c r="F51" s="20" t="n">
        <v>3.30095753</v>
      </c>
      <c r="G51" s="18" t="n">
        <v>49.37565693</v>
      </c>
      <c r="H51" s="20" t="n">
        <v>3.13554679</v>
      </c>
      <c r="I51" s="18" t="s">
        <v>567</v>
      </c>
      <c r="J51" s="20" t="s">
        <v>567</v>
      </c>
      <c r="K51" s="18" t="n">
        <v>0.35316687</v>
      </c>
      <c r="L51" s="20" t="n">
        <v>0.38245143</v>
      </c>
      <c r="M51" s="18" t="n">
        <v>0</v>
      </c>
      <c r="N51" s="20" t="n">
        <v>0</v>
      </c>
      <c r="O51" s="18" t="n">
        <v>0</v>
      </c>
      <c r="P51" s="20" t="n">
        <v>0</v>
      </c>
      <c r="Q51" s="18" t="n">
        <v>4.90968597</v>
      </c>
      <c r="R51" s="20" t="n">
        <v>1.32857322</v>
      </c>
    </row>
    <row r="52" spans="1:18">
      <c r="A52" s="15" t="s">
        <v>612</v>
      </c>
      <c r="B52" s="17" t="n">
        <v>2796</v>
      </c>
      <c r="C52" s="18">
        <f>(2487.0/B52*100)</f>
        <v/>
      </c>
      <c r="D52" s="19" t="n">
        <v>309</v>
      </c>
      <c r="E52" s="18" t="n">
        <v>38.96550371</v>
      </c>
      <c r="F52" s="20" t="n">
        <v>3.11831793</v>
      </c>
      <c r="G52" s="18" t="n">
        <v>49.20538013</v>
      </c>
      <c r="H52" s="20" t="n">
        <v>3.04558975</v>
      </c>
      <c r="I52" s="18" t="s">
        <v>567</v>
      </c>
      <c r="J52" s="20" t="s">
        <v>567</v>
      </c>
      <c r="K52" s="18" t="n">
        <v>1.13855938</v>
      </c>
      <c r="L52" s="20" t="n">
        <v>0.57656247</v>
      </c>
      <c r="M52" s="18" t="n">
        <v>0</v>
      </c>
      <c r="N52" s="20" t="n">
        <v>0</v>
      </c>
      <c r="O52" s="18" t="n">
        <v>0</v>
      </c>
      <c r="P52" s="20" t="n">
        <v>0</v>
      </c>
      <c r="Q52" s="18" t="n">
        <v>10.69055678</v>
      </c>
      <c r="R52" s="20" t="n">
        <v>1.83152827</v>
      </c>
    </row>
    <row r="53" spans="1:18">
      <c r="A53" s="15" t="s">
        <v>613</v>
      </c>
      <c r="B53" s="17" t="n">
        <v>2811</v>
      </c>
      <c r="C53" s="18">
        <f>(2508.0/B53*100)</f>
        <v/>
      </c>
      <c r="D53" s="19" t="n">
        <v>303</v>
      </c>
      <c r="E53" s="18" t="n">
        <v>47.20790328</v>
      </c>
      <c r="F53" s="20" t="n">
        <v>3.34464145</v>
      </c>
      <c r="G53" s="18" t="n">
        <v>32.18199113</v>
      </c>
      <c r="H53" s="20" t="n">
        <v>3.15550058</v>
      </c>
      <c r="I53" s="18" t="s">
        <v>567</v>
      </c>
      <c r="J53" s="20" t="s">
        <v>567</v>
      </c>
      <c r="K53" s="18" t="n">
        <v>2.45554422</v>
      </c>
      <c r="L53" s="20" t="n">
        <v>0.80919626</v>
      </c>
      <c r="M53" s="18" t="n">
        <v>0</v>
      </c>
      <c r="N53" s="20" t="n">
        <v>0</v>
      </c>
      <c r="O53" s="18" t="n">
        <v>0</v>
      </c>
      <c r="P53" s="20" t="n">
        <v>0</v>
      </c>
      <c r="Q53" s="18" t="n">
        <v>18.15456137</v>
      </c>
      <c r="R53" s="20" t="n">
        <v>2.29684783</v>
      </c>
    </row>
    <row r="54" spans="1:18">
      <c r="A54" s="15" t="s">
        <v>614</v>
      </c>
      <c r="B54" s="17" t="n">
        <v>2266</v>
      </c>
      <c r="C54" s="18">
        <f>(2014.0/B54*100)</f>
        <v/>
      </c>
      <c r="D54" s="19" t="n">
        <v>252</v>
      </c>
      <c r="E54" s="18" t="n">
        <v>47.74310036</v>
      </c>
      <c r="F54" s="20" t="n">
        <v>3.57599988</v>
      </c>
      <c r="G54" s="18" t="n">
        <v>7.82210979</v>
      </c>
      <c r="H54" s="20" t="n">
        <v>2.18704273</v>
      </c>
      <c r="I54" s="18" t="s">
        <v>567</v>
      </c>
      <c r="J54" s="20" t="s">
        <v>567</v>
      </c>
      <c r="K54" s="18" t="n">
        <v>21.46917722</v>
      </c>
      <c r="L54" s="20" t="n">
        <v>3.21263201</v>
      </c>
      <c r="M54" s="18" t="n">
        <v>0.84063648</v>
      </c>
      <c r="N54" s="20" t="n">
        <v>0.8914060499999999</v>
      </c>
      <c r="O54" s="18" t="n">
        <v>0</v>
      </c>
      <c r="P54" s="20" t="n">
        <v>0</v>
      </c>
      <c r="Q54" s="18" t="n">
        <v>22.12497614</v>
      </c>
      <c r="R54" s="20" t="n">
        <v>2.5755992</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(2380.0/B56*100)</f>
        <v/>
      </c>
      <c r="D56" s="19" t="n">
        <v>304</v>
      </c>
      <c r="E56" s="18" t="n">
        <v>52.77593497</v>
      </c>
      <c r="F56" s="20" t="n">
        <v>3.37893677</v>
      </c>
      <c r="G56" s="18" t="n">
        <v>42.95566413</v>
      </c>
      <c r="H56" s="20" t="n">
        <v>3.20227985</v>
      </c>
      <c r="I56" s="18" t="s">
        <v>567</v>
      </c>
      <c r="J56" s="20" t="s">
        <v>567</v>
      </c>
      <c r="K56" s="18" t="n">
        <v>1.08603112</v>
      </c>
      <c r="L56" s="20" t="n">
        <v>0.60732392</v>
      </c>
      <c r="M56" s="18" t="n">
        <v>0</v>
      </c>
      <c r="N56" s="20" t="n">
        <v>0</v>
      </c>
      <c r="O56" s="18" t="n">
        <v>0</v>
      </c>
      <c r="P56" s="20" t="n">
        <v>0</v>
      </c>
      <c r="Q56" s="18" t="n">
        <v>3.18236978</v>
      </c>
      <c r="R56" s="20" t="n">
        <v>0.89319182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(2946.0/B61*100)</f>
        <v/>
      </c>
      <c r="D61" s="19" t="n">
        <v>378</v>
      </c>
      <c r="E61" s="18" t="n">
        <v>48.60838082</v>
      </c>
      <c r="F61" s="20" t="n">
        <v>2.29314221</v>
      </c>
      <c r="G61" s="18" t="n">
        <v>40.56273395</v>
      </c>
      <c r="H61" s="20" t="n">
        <v>2.45014318</v>
      </c>
      <c r="I61" s="18" t="s">
        <v>567</v>
      </c>
      <c r="J61" s="20" t="s">
        <v>567</v>
      </c>
      <c r="K61" s="18" t="n">
        <v>0.8606679</v>
      </c>
      <c r="L61" s="20" t="n">
        <v>0.85301774</v>
      </c>
      <c r="M61" s="18" t="n">
        <v>0.26561273</v>
      </c>
      <c r="N61" s="20" t="n">
        <v>0.26261976</v>
      </c>
      <c r="O61" s="18" t="n">
        <v>0</v>
      </c>
      <c r="P61" s="20" t="n">
        <v>0</v>
      </c>
      <c r="Q61" s="18" t="n">
        <v>9.702604600000001</v>
      </c>
      <c r="R61" s="20" t="n">
        <v>1.52889153</v>
      </c>
    </row>
    <row r="62" spans="1:18">
      <c r="A62" s="15" t="s">
        <v>622</v>
      </c>
      <c r="B62" s="17" t="n">
        <v>2246</v>
      </c>
      <c r="C62" s="18">
        <f>(2008.0/B62*100)</f>
        <v/>
      </c>
      <c r="D62" s="19" t="n">
        <v>238</v>
      </c>
      <c r="E62" s="18" t="n">
        <v>54.66525739</v>
      </c>
      <c r="F62" s="20" t="n">
        <v>3.14978367</v>
      </c>
      <c r="G62" s="18" t="n">
        <v>42.39665877</v>
      </c>
      <c r="H62" s="20" t="n">
        <v>3.18341233</v>
      </c>
      <c r="I62" s="18" t="s">
        <v>567</v>
      </c>
      <c r="J62" s="20" t="s">
        <v>567</v>
      </c>
      <c r="K62" s="18" t="n">
        <v>0.42731235</v>
      </c>
      <c r="L62" s="20" t="n">
        <v>0.42767358</v>
      </c>
      <c r="M62" s="18" t="n">
        <v>0</v>
      </c>
      <c r="N62" s="20" t="n">
        <v>0</v>
      </c>
      <c r="O62" s="18" t="n">
        <v>0</v>
      </c>
      <c r="P62" s="20" t="n">
        <v>0</v>
      </c>
      <c r="Q62" s="18" t="n">
        <v>2.5107715</v>
      </c>
      <c r="R62" s="20" t="n">
        <v>1.01128096</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(2608.0/B66*100)</f>
        <v/>
      </c>
      <c r="D66" s="19" t="n">
        <v>286</v>
      </c>
      <c r="E66" s="18" t="n">
        <v>22.03261657</v>
      </c>
      <c r="F66" s="20" t="n">
        <v>2.59831531</v>
      </c>
      <c r="G66" s="18" t="n">
        <v>45.68339432</v>
      </c>
      <c r="H66" s="20" t="n">
        <v>3.20979383</v>
      </c>
      <c r="I66" s="18" t="s">
        <v>567</v>
      </c>
      <c r="J66" s="20" t="s">
        <v>567</v>
      </c>
      <c r="K66" s="18" t="n">
        <v>2.38407327</v>
      </c>
      <c r="L66" s="20" t="n">
        <v>1.09734931</v>
      </c>
      <c r="M66" s="18" t="n">
        <v>0.31425864</v>
      </c>
      <c r="N66" s="20" t="n">
        <v>0.31569432</v>
      </c>
      <c r="O66" s="18" t="n">
        <v>0</v>
      </c>
      <c r="P66" s="20" t="n">
        <v>0</v>
      </c>
      <c r="Q66" s="18" t="n">
        <v>29.5856572</v>
      </c>
      <c r="R66" s="20" t="n">
        <v>2.88909419</v>
      </c>
    </row>
    <row r="67" spans="1:18">
      <c r="A67" s="15" t="s">
        <v>627</v>
      </c>
      <c r="B67" s="17" t="n">
        <v>3511</v>
      </c>
      <c r="C67" s="18">
        <f>(3224.0/B67*100)</f>
        <v/>
      </c>
      <c r="D67" s="19" t="n">
        <v>287</v>
      </c>
      <c r="E67" s="18" t="n">
        <v>52.39921233</v>
      </c>
      <c r="F67" s="20" t="n">
        <v>2.77320839</v>
      </c>
      <c r="G67" s="18" t="n">
        <v>38.92830856</v>
      </c>
      <c r="H67" s="20" t="n">
        <v>2.93896634</v>
      </c>
      <c r="I67" s="18" t="s">
        <v>567</v>
      </c>
      <c r="J67" s="20" t="s">
        <v>567</v>
      </c>
      <c r="K67" s="18" t="n">
        <v>1.39685657</v>
      </c>
      <c r="L67" s="20" t="n">
        <v>0.72173202</v>
      </c>
      <c r="M67" s="18" t="n">
        <v>0</v>
      </c>
      <c r="N67" s="20" t="n">
        <v>0</v>
      </c>
      <c r="O67" s="18" t="n">
        <v>0</v>
      </c>
      <c r="P67" s="20" t="n">
        <v>0</v>
      </c>
      <c r="Q67" s="18" t="n">
        <v>7.27562254</v>
      </c>
      <c r="R67" s="20" t="n">
        <v>1.57773512</v>
      </c>
    </row>
    <row r="68" spans="1:18">
      <c r="A68" s="15" t="s">
        <v>628</v>
      </c>
      <c r="B68" s="17" t="n">
        <v>6049</v>
      </c>
      <c r="C68" s="18">
        <f>(5389.0/B68*100)</f>
        <v/>
      </c>
      <c r="D68" s="19" t="n">
        <v>660</v>
      </c>
      <c r="E68" s="18" t="n">
        <v>55.13566454</v>
      </c>
      <c r="F68" s="20" t="n">
        <v>1.79705805</v>
      </c>
      <c r="G68" s="18" t="n">
        <v>26.47107175</v>
      </c>
      <c r="H68" s="20" t="n">
        <v>1.62623093</v>
      </c>
      <c r="I68" s="18" t="s">
        <v>567</v>
      </c>
      <c r="J68" s="20" t="s">
        <v>567</v>
      </c>
      <c r="K68" s="18" t="n">
        <v>5.50159891</v>
      </c>
      <c r="L68" s="20" t="n">
        <v>0.83165699</v>
      </c>
      <c r="M68" s="18" t="n">
        <v>0</v>
      </c>
      <c r="N68" s="20" t="n">
        <v>0</v>
      </c>
      <c r="O68" s="18" t="n">
        <v>0</v>
      </c>
      <c r="P68" s="20" t="n">
        <v>0</v>
      </c>
      <c r="Q68" s="18" t="n">
        <v>12.8916648</v>
      </c>
      <c r="R68" s="20" t="n">
        <v>1.1151075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(2632.0/B70*100)</f>
        <v/>
      </c>
      <c r="D70" s="19" t="n">
        <v>297</v>
      </c>
      <c r="E70" s="18" t="n">
        <v>51.13881918</v>
      </c>
      <c r="F70" s="20" t="n">
        <v>3.48196487</v>
      </c>
      <c r="G70" s="18" t="n">
        <v>33.7591442</v>
      </c>
      <c r="H70" s="20" t="n">
        <v>3.32228549</v>
      </c>
      <c r="I70" s="18" t="s">
        <v>567</v>
      </c>
      <c r="J70" s="20" t="s">
        <v>567</v>
      </c>
      <c r="K70" s="18" t="n">
        <v>1.56703566</v>
      </c>
      <c r="L70" s="20" t="n">
        <v>0.7140631</v>
      </c>
      <c r="M70" s="18" t="n">
        <v>0</v>
      </c>
      <c r="N70" s="20" t="n">
        <v>0</v>
      </c>
      <c r="O70" s="18" t="n">
        <v>0</v>
      </c>
      <c r="P70" s="20" t="n">
        <v>0</v>
      </c>
      <c r="Q70" s="18" t="n">
        <v>13.53500096</v>
      </c>
      <c r="R70" s="20" t="n">
        <v>1.94368314</v>
      </c>
    </row>
    <row r="71" spans="1:18">
      <c r="A71" s="15" t="s">
        <v>631</v>
      </c>
      <c r="B71" s="17" t="n">
        <v>3142</v>
      </c>
      <c r="C71" s="18">
        <f>(2809.0/B71*100)</f>
        <v/>
      </c>
      <c r="D71" s="19" t="n">
        <v>333</v>
      </c>
      <c r="E71" s="18" t="n">
        <v>51.24922364</v>
      </c>
      <c r="F71" s="20" t="n">
        <v>2.57330977</v>
      </c>
      <c r="G71" s="18" t="n">
        <v>44.48454748</v>
      </c>
      <c r="H71" s="20" t="n">
        <v>2.35798647</v>
      </c>
      <c r="I71" s="18" t="s">
        <v>567</v>
      </c>
      <c r="J71" s="20" t="s">
        <v>567</v>
      </c>
      <c r="K71" s="18" t="n">
        <v>1.24441726</v>
      </c>
      <c r="L71" s="20" t="n">
        <v>0.61910987</v>
      </c>
      <c r="M71" s="18" t="n">
        <v>0</v>
      </c>
      <c r="N71" s="20" t="n">
        <v>0</v>
      </c>
      <c r="O71" s="18" t="n">
        <v>0</v>
      </c>
      <c r="P71" s="20" t="n">
        <v>0</v>
      </c>
      <c r="Q71" s="18" t="n">
        <v>3.02181161</v>
      </c>
      <c r="R71" s="20" t="n">
        <v>1.12935488</v>
      </c>
    </row>
    <row r="72" spans="1:18">
      <c r="A72" s="15" t="s">
        <v>632</v>
      </c>
      <c r="B72" s="17" t="n">
        <v>3889</v>
      </c>
      <c r="C72" s="18">
        <f>(3478.0/B72*100)</f>
        <v/>
      </c>
      <c r="D72" s="19" t="n">
        <v>411</v>
      </c>
      <c r="E72" s="18" t="n">
        <v>45.20546849</v>
      </c>
      <c r="F72" s="20" t="n">
        <v>2.23896549</v>
      </c>
      <c r="G72" s="18" t="n">
        <v>49.40154354</v>
      </c>
      <c r="H72" s="20" t="n">
        <v>2.26546845</v>
      </c>
      <c r="I72" s="18" t="s">
        <v>567</v>
      </c>
      <c r="J72" s="20" t="s">
        <v>567</v>
      </c>
      <c r="K72" s="18" t="n">
        <v>0.4830145</v>
      </c>
      <c r="L72" s="20" t="n">
        <v>0.35901993</v>
      </c>
      <c r="M72" s="18" t="n">
        <v>0</v>
      </c>
      <c r="N72" s="20" t="n">
        <v>0</v>
      </c>
      <c r="O72" s="18" t="n">
        <v>0</v>
      </c>
      <c r="P72" s="20" t="n">
        <v>0</v>
      </c>
      <c r="Q72" s="18" t="n">
        <v>4.90997348</v>
      </c>
      <c r="R72" s="20" t="n">
        <v>0.97666286</v>
      </c>
    </row>
    <row r="73" spans="1:18">
      <c r="A73" s="15" t="s">
        <v>633</v>
      </c>
      <c r="B73" s="17" t="n">
        <v>3597</v>
      </c>
      <c r="C73" s="18">
        <f>(3239.0/B73*100)</f>
        <v/>
      </c>
      <c r="D73" s="19" t="n">
        <v>358</v>
      </c>
      <c r="E73" s="18" t="n">
        <v>70.45113781000001</v>
      </c>
      <c r="F73" s="20" t="n">
        <v>2.54801094</v>
      </c>
      <c r="G73" s="18" t="n">
        <v>21.91614662</v>
      </c>
      <c r="H73" s="20" t="n">
        <v>2.52759178</v>
      </c>
      <c r="I73" s="18" t="s">
        <v>567</v>
      </c>
      <c r="J73" s="20" t="s">
        <v>567</v>
      </c>
      <c r="K73" s="18" t="n">
        <v>0.4074362</v>
      </c>
      <c r="L73" s="20" t="n">
        <v>0.4004318</v>
      </c>
      <c r="M73" s="18" t="n">
        <v>0.59898212</v>
      </c>
      <c r="N73" s="20" t="n">
        <v>0.43725023</v>
      </c>
      <c r="O73" s="18" t="n">
        <v>0</v>
      </c>
      <c r="P73" s="20" t="n">
        <v>0</v>
      </c>
      <c r="Q73" s="18" t="n">
        <v>6.62629726</v>
      </c>
      <c r="R73" s="20" t="n">
        <v>1.56406124</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(2171.0/B75*100)</f>
        <v/>
      </c>
      <c r="D75" s="19" t="n">
        <v>235</v>
      </c>
      <c r="E75" s="18" t="n">
        <v>51.53040133</v>
      </c>
      <c r="F75" s="20" t="n">
        <v>3.02633246</v>
      </c>
      <c r="G75" s="18" t="n">
        <v>12.04201994</v>
      </c>
      <c r="H75" s="20" t="n">
        <v>2.47045263</v>
      </c>
      <c r="I75" s="18" t="s">
        <v>567</v>
      </c>
      <c r="J75" s="20" t="s">
        <v>567</v>
      </c>
      <c r="K75" s="18" t="n">
        <v>7.89188466</v>
      </c>
      <c r="L75" s="20" t="n">
        <v>1.73128964</v>
      </c>
      <c r="M75" s="18" t="n">
        <v>2.07567486</v>
      </c>
      <c r="N75" s="20" t="n">
        <v>1.36630823</v>
      </c>
      <c r="O75" s="18" t="n">
        <v>0</v>
      </c>
      <c r="P75" s="20" t="n">
        <v>0</v>
      </c>
      <c r="Q75" s="18" t="n">
        <v>26.46001921</v>
      </c>
      <c r="R75" s="20" t="n">
        <v>2.72799048</v>
      </c>
    </row>
    <row r="76" spans="1:18">
      <c r="A76" s="15" t="s">
        <v>636</v>
      </c>
      <c r="B76" s="17" t="n">
        <v>7052</v>
      </c>
      <c r="C76" s="18">
        <f>(6315.0/B76*100)</f>
        <v/>
      </c>
      <c r="D76" s="19" t="n">
        <v>737</v>
      </c>
      <c r="E76" s="18" t="n">
        <v>66.43513245</v>
      </c>
      <c r="F76" s="20" t="n">
        <v>2.15438702</v>
      </c>
      <c r="G76" s="18" t="n">
        <v>22.53825253</v>
      </c>
      <c r="H76" s="20" t="n">
        <v>1.89576872</v>
      </c>
      <c r="I76" s="18" t="s">
        <v>567</v>
      </c>
      <c r="J76" s="20" t="s">
        <v>567</v>
      </c>
      <c r="K76" s="18" t="n">
        <v>1.33313071</v>
      </c>
      <c r="L76" s="20" t="n">
        <v>0.52022837</v>
      </c>
      <c r="M76" s="18" t="n">
        <v>0.07360443999999999</v>
      </c>
      <c r="N76" s="20" t="n">
        <v>0.07391308000000001</v>
      </c>
      <c r="O76" s="18" t="n">
        <v>0</v>
      </c>
      <c r="P76" s="20" t="n">
        <v>0</v>
      </c>
      <c r="Q76" s="18" t="n">
        <v>9.61987987</v>
      </c>
      <c r="R76" s="20" t="n">
        <v>1.56478444</v>
      </c>
    </row>
    <row r="77" spans="1:18">
      <c r="A77" s="15" t="s">
        <v>637</v>
      </c>
      <c r="B77" s="17" t="n">
        <v>2908</v>
      </c>
      <c r="C77" s="18">
        <f>(2607.0/B77*100)</f>
        <v/>
      </c>
      <c r="D77" s="19" t="n">
        <v>301</v>
      </c>
      <c r="E77" s="18" t="n">
        <v>40.61220275</v>
      </c>
      <c r="F77" s="20" t="n">
        <v>2.89661184</v>
      </c>
      <c r="G77" s="18" t="n">
        <v>31.833777</v>
      </c>
      <c r="H77" s="20" t="n">
        <v>2.90569805</v>
      </c>
      <c r="I77" s="18" t="s">
        <v>567</v>
      </c>
      <c r="J77" s="20" t="s">
        <v>567</v>
      </c>
      <c r="K77" s="18" t="n">
        <v>2.74412303</v>
      </c>
      <c r="L77" s="20" t="n">
        <v>0.94036469</v>
      </c>
      <c r="M77" s="18" t="n">
        <v>0</v>
      </c>
      <c r="N77" s="20" t="n">
        <v>0</v>
      </c>
      <c r="O77" s="18" t="n">
        <v>0</v>
      </c>
      <c r="P77" s="20" t="n">
        <v>0</v>
      </c>
      <c r="Q77" s="18" t="n">
        <v>24.80989722</v>
      </c>
      <c r="R77" s="20" t="n">
        <v>2.82203689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(3696.0/B81*100)</f>
        <v/>
      </c>
      <c r="D81" s="19" t="n">
        <v>467</v>
      </c>
      <c r="E81" s="18" t="n">
        <v>79.05774429</v>
      </c>
      <c r="F81" s="20" t="n">
        <v>2.64981961</v>
      </c>
      <c r="G81" s="18" t="n">
        <v>15.84531813</v>
      </c>
      <c r="H81" s="20" t="n">
        <v>2.23336097</v>
      </c>
      <c r="I81" s="18" t="s">
        <v>567</v>
      </c>
      <c r="J81" s="20" t="s">
        <v>567</v>
      </c>
      <c r="K81" s="18" t="n">
        <v>0.74627367</v>
      </c>
      <c r="L81" s="20" t="n">
        <v>0.59428346</v>
      </c>
      <c r="M81" s="18" t="n">
        <v>0</v>
      </c>
      <c r="N81" s="20" t="n">
        <v>0</v>
      </c>
      <c r="O81" s="18" t="n">
        <v>0</v>
      </c>
      <c r="P81" s="20" t="n">
        <v>0</v>
      </c>
      <c r="Q81" s="18" t="n">
        <v>4.35066391</v>
      </c>
      <c r="R81" s="20" t="n">
        <v>1.38044279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(6616.0/B7*100)</f>
        <v/>
      </c>
      <c r="D7" s="19" t="n">
        <v>751</v>
      </c>
      <c r="E7" s="18" t="n">
        <v>28.14614885</v>
      </c>
      <c r="F7" s="20" t="n">
        <v>2.07656829</v>
      </c>
      <c r="G7" s="18" t="n">
        <v>68.81963141999999</v>
      </c>
      <c r="H7" s="20" t="n">
        <v>2.05038905</v>
      </c>
      <c r="I7" s="18" t="s">
        <v>567</v>
      </c>
      <c r="J7" s="20" t="s">
        <v>567</v>
      </c>
      <c r="K7" s="18" t="n">
        <v>1.72904873</v>
      </c>
      <c r="L7" s="20" t="n">
        <v>0.5366907</v>
      </c>
      <c r="M7" s="18" t="n">
        <v>0</v>
      </c>
      <c r="N7" s="20" t="n">
        <v>0</v>
      </c>
      <c r="O7" s="18" t="n">
        <v>0</v>
      </c>
      <c r="P7" s="20" t="n">
        <v>0</v>
      </c>
      <c r="Q7" s="18" t="n">
        <v>1.305171</v>
      </c>
      <c r="R7" s="20" t="n">
        <v>0.4671513</v>
      </c>
    </row>
    <row r="8" spans="1:18">
      <c r="A8" s="15" t="s">
        <v>568</v>
      </c>
      <c r="B8" s="17" t="n">
        <v>3564</v>
      </c>
      <c r="C8" s="18">
        <f>(3178.0/B8*100)</f>
        <v/>
      </c>
      <c r="D8" s="19" t="n">
        <v>386</v>
      </c>
      <c r="E8" s="18" t="n">
        <v>32.22418556</v>
      </c>
      <c r="F8" s="20" t="n">
        <v>2.43892136</v>
      </c>
      <c r="G8" s="18" t="n">
        <v>65.06350136</v>
      </c>
      <c r="H8" s="20" t="n">
        <v>2.46332772</v>
      </c>
      <c r="I8" s="18" t="s">
        <v>567</v>
      </c>
      <c r="J8" s="20" t="s">
        <v>567</v>
      </c>
      <c r="K8" s="18" t="n">
        <v>2.1133248</v>
      </c>
      <c r="L8" s="20" t="n">
        <v>0.80175991</v>
      </c>
      <c r="M8" s="18" t="n">
        <v>0</v>
      </c>
      <c r="N8" s="20" t="n">
        <v>0</v>
      </c>
      <c r="O8" s="18" t="n">
        <v>0</v>
      </c>
      <c r="P8" s="20" t="n">
        <v>0</v>
      </c>
      <c r="Q8" s="18" t="n">
        <v>0.59898828</v>
      </c>
      <c r="R8" s="20" t="n">
        <v>0.36800236</v>
      </c>
    </row>
    <row r="9" spans="1:18">
      <c r="A9" s="15" t="s">
        <v>569</v>
      </c>
      <c r="B9" s="17" t="n">
        <v>4899</v>
      </c>
      <c r="C9" s="18">
        <f>(4395.0/B9*100)</f>
        <v/>
      </c>
      <c r="D9" s="19" t="n">
        <v>504</v>
      </c>
      <c r="E9" s="18" t="n">
        <v>33.73159996</v>
      </c>
      <c r="F9" s="20" t="n">
        <v>2.47093046</v>
      </c>
      <c r="G9" s="18" t="n">
        <v>63.44635415</v>
      </c>
      <c r="H9" s="20" t="n">
        <v>2.48150934</v>
      </c>
      <c r="I9" s="18" t="s">
        <v>567</v>
      </c>
      <c r="J9" s="20" t="s">
        <v>567</v>
      </c>
      <c r="K9" s="18" t="n">
        <v>2.06346026</v>
      </c>
      <c r="L9" s="20" t="n">
        <v>0.65233699</v>
      </c>
      <c r="M9" s="18" t="n">
        <v>0</v>
      </c>
      <c r="N9" s="20" t="n">
        <v>0</v>
      </c>
      <c r="O9" s="18" t="n">
        <v>0</v>
      </c>
      <c r="P9" s="20" t="n">
        <v>0</v>
      </c>
      <c r="Q9" s="18" t="n">
        <v>0.75858563</v>
      </c>
      <c r="R9" s="20" t="n">
        <v>0.38385819</v>
      </c>
    </row>
    <row r="10" spans="1:18">
      <c r="A10" s="15" t="s">
        <v>570</v>
      </c>
      <c r="B10" s="17" t="n">
        <v>10036</v>
      </c>
      <c r="C10" s="18">
        <f>(8889.0/B10*100)</f>
        <v/>
      </c>
      <c r="D10" s="19" t="n">
        <v>1147</v>
      </c>
      <c r="E10" s="18" t="n">
        <v>30.22363848</v>
      </c>
      <c r="F10" s="20" t="n">
        <v>1.80308779</v>
      </c>
      <c r="G10" s="18" t="n">
        <v>67.31641564</v>
      </c>
      <c r="H10" s="20" t="n">
        <v>1.87071017</v>
      </c>
      <c r="I10" s="18" t="s">
        <v>567</v>
      </c>
      <c r="J10" s="20" t="s">
        <v>567</v>
      </c>
      <c r="K10" s="18" t="n">
        <v>1.83637914</v>
      </c>
      <c r="L10" s="20" t="n">
        <v>0.54920482</v>
      </c>
      <c r="M10" s="18" t="n">
        <v>0</v>
      </c>
      <c r="N10" s="20" t="n">
        <v>0</v>
      </c>
      <c r="O10" s="18" t="n">
        <v>0</v>
      </c>
      <c r="P10" s="20" t="n">
        <v>0</v>
      </c>
      <c r="Q10" s="18" t="n">
        <v>0.62356674</v>
      </c>
      <c r="R10" s="20" t="n">
        <v>0.32998983</v>
      </c>
    </row>
    <row r="11" spans="1:18">
      <c r="A11" s="15" t="s">
        <v>571</v>
      </c>
      <c r="B11" s="17" t="n">
        <v>3553</v>
      </c>
      <c r="C11" s="18">
        <f>(3187.0/B11*100)</f>
        <v/>
      </c>
      <c r="D11" s="19" t="n">
        <v>366</v>
      </c>
      <c r="E11" s="18" t="n">
        <v>43.52185569</v>
      </c>
      <c r="F11" s="20" t="n">
        <v>3.11683801</v>
      </c>
      <c r="G11" s="18" t="n">
        <v>51.95900112</v>
      </c>
      <c r="H11" s="20" t="n">
        <v>3.07875914</v>
      </c>
      <c r="I11" s="18" t="s">
        <v>567</v>
      </c>
      <c r="J11" s="20" t="s">
        <v>567</v>
      </c>
      <c r="K11" s="18" t="n">
        <v>3.82528264</v>
      </c>
      <c r="L11" s="20" t="n">
        <v>1.13509642</v>
      </c>
      <c r="M11" s="18" t="n">
        <v>0</v>
      </c>
      <c r="N11" s="20" t="n">
        <v>0</v>
      </c>
      <c r="O11" s="18" t="n">
        <v>0</v>
      </c>
      <c r="P11" s="20" t="n">
        <v>0</v>
      </c>
      <c r="Q11" s="18" t="n">
        <v>0.69386055</v>
      </c>
      <c r="R11" s="20" t="n">
        <v>0.4833078</v>
      </c>
    </row>
    <row r="12" spans="1:18">
      <c r="A12" s="15" t="s">
        <v>572</v>
      </c>
      <c r="B12" s="17" t="n">
        <v>3472</v>
      </c>
      <c r="C12" s="18">
        <f>(3075.0/B12*100)</f>
        <v/>
      </c>
      <c r="D12" s="19" t="n">
        <v>397</v>
      </c>
      <c r="E12" s="18" t="n">
        <v>28.71517376</v>
      </c>
      <c r="F12" s="20" t="n">
        <v>2.5675021</v>
      </c>
      <c r="G12" s="18" t="n">
        <v>68.86931912999999</v>
      </c>
      <c r="H12" s="20" t="n">
        <v>2.6169088</v>
      </c>
      <c r="I12" s="18" t="s">
        <v>567</v>
      </c>
      <c r="J12" s="20" t="s">
        <v>567</v>
      </c>
      <c r="K12" s="18" t="n">
        <v>1.92088828</v>
      </c>
      <c r="L12" s="20" t="n">
        <v>0.70507229</v>
      </c>
      <c r="M12" s="18" t="n">
        <v>0</v>
      </c>
      <c r="N12" s="20" t="n">
        <v>0</v>
      </c>
      <c r="O12" s="18" t="n">
        <v>0</v>
      </c>
      <c r="P12" s="20" t="n">
        <v>0</v>
      </c>
      <c r="Q12" s="18" t="n">
        <v>0.49461883</v>
      </c>
      <c r="R12" s="20" t="n">
        <v>0.28817274</v>
      </c>
    </row>
    <row r="13" spans="1:18">
      <c r="A13" s="15" t="s">
        <v>573</v>
      </c>
      <c r="B13" s="17" t="n">
        <v>3559</v>
      </c>
      <c r="C13" s="18">
        <f>(3188.0/B13*100)</f>
        <v/>
      </c>
      <c r="D13" s="19" t="n">
        <v>371</v>
      </c>
      <c r="E13" s="18" t="n">
        <v>30.59863464</v>
      </c>
      <c r="F13" s="20" t="n">
        <v>2.85751658</v>
      </c>
      <c r="G13" s="18" t="n">
        <v>65.87282236</v>
      </c>
      <c r="H13" s="20" t="n">
        <v>2.89757816</v>
      </c>
      <c r="I13" s="18" t="s">
        <v>567</v>
      </c>
      <c r="J13" s="20" t="s">
        <v>567</v>
      </c>
      <c r="K13" s="18" t="n">
        <v>3.13293902</v>
      </c>
      <c r="L13" s="20" t="n">
        <v>1.21422161</v>
      </c>
      <c r="M13" s="18" t="n">
        <v>0</v>
      </c>
      <c r="N13" s="20" t="n">
        <v>0</v>
      </c>
      <c r="O13" s="18" t="n">
        <v>0</v>
      </c>
      <c r="P13" s="20" t="n">
        <v>0</v>
      </c>
      <c r="Q13" s="18" t="n">
        <v>0.39560398</v>
      </c>
      <c r="R13" s="20" t="n">
        <v>0.30969748</v>
      </c>
    </row>
    <row r="14" spans="1:18">
      <c r="A14" s="15" t="s">
        <v>574</v>
      </c>
      <c r="B14" s="17" t="n">
        <v>2799</v>
      </c>
      <c r="C14" s="18">
        <f>(2489.0/B14*100)</f>
        <v/>
      </c>
      <c r="D14" s="19" t="n">
        <v>310</v>
      </c>
      <c r="E14" s="18" t="n">
        <v>30.11087844</v>
      </c>
      <c r="F14" s="20" t="n">
        <v>2.78160243</v>
      </c>
      <c r="G14" s="18" t="n">
        <v>68.23109513</v>
      </c>
      <c r="H14" s="20" t="n">
        <v>2.79690367</v>
      </c>
      <c r="I14" s="18" t="s">
        <v>567</v>
      </c>
      <c r="J14" s="20" t="s">
        <v>567</v>
      </c>
      <c r="K14" s="18" t="n">
        <v>0.5391432</v>
      </c>
      <c r="L14" s="20" t="n">
        <v>0.38392617</v>
      </c>
      <c r="M14" s="18" t="n">
        <v>0</v>
      </c>
      <c r="N14" s="20" t="n">
        <v>0</v>
      </c>
      <c r="O14" s="18" t="n">
        <v>0</v>
      </c>
      <c r="P14" s="20" t="n">
        <v>0</v>
      </c>
      <c r="Q14" s="18" t="n">
        <v>1.11888324</v>
      </c>
      <c r="R14" s="20" t="n">
        <v>0.69370191</v>
      </c>
    </row>
    <row r="15" spans="1:18">
      <c r="A15" s="15" t="s">
        <v>575</v>
      </c>
      <c r="B15" s="17" t="n">
        <v>3019</v>
      </c>
      <c r="C15" s="18">
        <f>(2724.0/B15*100)</f>
        <v/>
      </c>
      <c r="D15" s="19" t="n">
        <v>295</v>
      </c>
      <c r="E15" s="18" t="n">
        <v>38.20472105</v>
      </c>
      <c r="F15" s="20" t="n">
        <v>2.89166586</v>
      </c>
      <c r="G15" s="18" t="n">
        <v>61.06251618</v>
      </c>
      <c r="H15" s="20" t="n">
        <v>2.98405872</v>
      </c>
      <c r="I15" s="18" t="s">
        <v>567</v>
      </c>
      <c r="J15" s="20" t="s">
        <v>567</v>
      </c>
      <c r="K15" s="18" t="n">
        <v>0</v>
      </c>
      <c r="L15" s="20" t="n">
        <v>0</v>
      </c>
      <c r="M15" s="18" t="n">
        <v>0</v>
      </c>
      <c r="N15" s="20" t="n">
        <v>0</v>
      </c>
      <c r="O15" s="18" t="n">
        <v>0</v>
      </c>
      <c r="P15" s="20" t="n">
        <v>0</v>
      </c>
      <c r="Q15" s="18" t="n">
        <v>0.73276276</v>
      </c>
      <c r="R15" s="20" t="n">
        <v>0.54587324</v>
      </c>
    </row>
    <row r="16" spans="1:18">
      <c r="A16" s="15" t="s">
        <v>576</v>
      </c>
      <c r="B16" s="17" t="n">
        <v>2997</v>
      </c>
      <c r="C16" s="18">
        <f>(2680.0/B16*100)</f>
        <v/>
      </c>
      <c r="D16" s="19" t="n">
        <v>317</v>
      </c>
      <c r="E16" s="18" t="n">
        <v>36.04001183</v>
      </c>
      <c r="F16" s="20" t="n">
        <v>3.04431217</v>
      </c>
      <c r="G16" s="18" t="n">
        <v>59.34864719</v>
      </c>
      <c r="H16" s="20" t="n">
        <v>2.96082192</v>
      </c>
      <c r="I16" s="18" t="s">
        <v>567</v>
      </c>
      <c r="J16" s="20" t="s">
        <v>567</v>
      </c>
      <c r="K16" s="18" t="n">
        <v>3.47222146</v>
      </c>
      <c r="L16" s="20" t="n">
        <v>1.1346693</v>
      </c>
      <c r="M16" s="18" t="n">
        <v>0</v>
      </c>
      <c r="N16" s="20" t="n">
        <v>0</v>
      </c>
      <c r="O16" s="18" t="n">
        <v>0</v>
      </c>
      <c r="P16" s="20" t="n">
        <v>0</v>
      </c>
      <c r="Q16" s="18" t="n">
        <v>1.13911952</v>
      </c>
      <c r="R16" s="20" t="n">
        <v>0.9444769</v>
      </c>
    </row>
    <row r="17" spans="1:18">
      <c r="A17" s="15" t="s">
        <v>577</v>
      </c>
      <c r="B17" s="17" t="n">
        <v>3307</v>
      </c>
      <c r="C17" s="18">
        <f>(2983.0/B17*100)</f>
        <v/>
      </c>
      <c r="D17" s="19" t="n">
        <v>324</v>
      </c>
      <c r="E17" s="18" t="n">
        <v>29.05194214</v>
      </c>
      <c r="F17" s="20" t="n">
        <v>2.62951712</v>
      </c>
      <c r="G17" s="18" t="n">
        <v>69.44887881</v>
      </c>
      <c r="H17" s="20" t="n">
        <v>2.66246197</v>
      </c>
      <c r="I17" s="18" t="s">
        <v>567</v>
      </c>
      <c r="J17" s="20" t="s">
        <v>567</v>
      </c>
      <c r="K17" s="18" t="n">
        <v>1.49917905</v>
      </c>
      <c r="L17" s="20" t="n">
        <v>0.58702811</v>
      </c>
      <c r="M17" s="18" t="n">
        <v>0</v>
      </c>
      <c r="N17" s="20" t="n">
        <v>0</v>
      </c>
      <c r="O17" s="18" t="n">
        <v>0</v>
      </c>
      <c r="P17" s="20" t="n">
        <v>0</v>
      </c>
      <c r="Q17" s="18" t="n">
        <v>0</v>
      </c>
      <c r="R17" s="20" t="n">
        <v>0</v>
      </c>
    </row>
    <row r="18" spans="1:18">
      <c r="A18" s="15" t="s">
        <v>578</v>
      </c>
      <c r="B18" s="17" t="n">
        <v>2826</v>
      </c>
      <c r="C18" s="18">
        <f>(2496.0/B18*100)</f>
        <v/>
      </c>
      <c r="D18" s="19" t="n">
        <v>330</v>
      </c>
      <c r="E18" s="18" t="n">
        <v>38.43878939</v>
      </c>
      <c r="F18" s="20" t="n">
        <v>3.51080737</v>
      </c>
      <c r="G18" s="18" t="n">
        <v>58.01999497</v>
      </c>
      <c r="H18" s="20" t="n">
        <v>3.33516489</v>
      </c>
      <c r="I18" s="18" t="s">
        <v>567</v>
      </c>
      <c r="J18" s="20" t="s">
        <v>567</v>
      </c>
      <c r="K18" s="18" t="n">
        <v>2.08507335</v>
      </c>
      <c r="L18" s="20" t="n">
        <v>0.79219742</v>
      </c>
      <c r="M18" s="18" t="n">
        <v>0</v>
      </c>
      <c r="N18" s="20" t="n">
        <v>0</v>
      </c>
      <c r="O18" s="18" t="n">
        <v>0</v>
      </c>
      <c r="P18" s="20" t="n">
        <v>0</v>
      </c>
      <c r="Q18" s="18" t="n">
        <v>1.4561423</v>
      </c>
      <c r="R18" s="20" t="n">
        <v>0.658484</v>
      </c>
    </row>
    <row r="19" spans="1:18">
      <c r="A19" s="15" t="s">
        <v>579</v>
      </c>
      <c r="B19" s="17" t="n">
        <v>2808</v>
      </c>
      <c r="C19" s="18">
        <f>(2517.0/B19*100)</f>
        <v/>
      </c>
      <c r="D19" s="19" t="n">
        <v>291</v>
      </c>
      <c r="E19" s="18" t="n">
        <v>38.29282683</v>
      </c>
      <c r="F19" s="20" t="n">
        <v>3.72623304</v>
      </c>
      <c r="G19" s="18" t="n">
        <v>60.19241482</v>
      </c>
      <c r="H19" s="20" t="n">
        <v>3.87793135</v>
      </c>
      <c r="I19" s="18" t="s">
        <v>567</v>
      </c>
      <c r="J19" s="20" t="s">
        <v>567</v>
      </c>
      <c r="K19" s="18" t="n">
        <v>0</v>
      </c>
      <c r="L19" s="20" t="n">
        <v>0</v>
      </c>
      <c r="M19" s="18" t="n">
        <v>0</v>
      </c>
      <c r="N19" s="20" t="n">
        <v>0</v>
      </c>
      <c r="O19" s="18" t="n">
        <v>0</v>
      </c>
      <c r="P19" s="20" t="n">
        <v>0</v>
      </c>
      <c r="Q19" s="18" t="n">
        <v>1.51475835</v>
      </c>
      <c r="R19" s="20" t="n">
        <v>0.98189446</v>
      </c>
    </row>
    <row r="20" spans="1:18">
      <c r="A20" s="15" t="s">
        <v>580</v>
      </c>
      <c r="B20" s="17" t="n">
        <v>1630</v>
      </c>
      <c r="C20" s="18">
        <f>(1456.0/B20*100)</f>
        <v/>
      </c>
      <c r="D20" s="19" t="n">
        <v>174</v>
      </c>
      <c r="E20" s="18" t="n">
        <v>42.29486059</v>
      </c>
      <c r="F20" s="20" t="n">
        <v>3.91764372</v>
      </c>
      <c r="G20" s="18" t="n">
        <v>54.84024764</v>
      </c>
      <c r="H20" s="20" t="n">
        <v>3.97538259</v>
      </c>
      <c r="I20" s="18" t="s">
        <v>567</v>
      </c>
      <c r="J20" s="20" t="s">
        <v>567</v>
      </c>
      <c r="K20" s="18" t="n">
        <v>1.0730798</v>
      </c>
      <c r="L20" s="20" t="n">
        <v>0.77851276</v>
      </c>
      <c r="M20" s="18" t="n">
        <v>0</v>
      </c>
      <c r="N20" s="20" t="n">
        <v>0</v>
      </c>
      <c r="O20" s="18" t="n">
        <v>0</v>
      </c>
      <c r="P20" s="20" t="n">
        <v>0</v>
      </c>
      <c r="Q20" s="18" t="n">
        <v>1.79181198</v>
      </c>
      <c r="R20" s="20" t="n">
        <v>1.18868569</v>
      </c>
    </row>
    <row r="21" spans="1:18">
      <c r="A21" s="15" t="s">
        <v>581</v>
      </c>
      <c r="B21" s="17" t="n">
        <v>2908</v>
      </c>
      <c r="C21" s="18">
        <f>(2593.0/B21*100)</f>
        <v/>
      </c>
      <c r="D21" s="19" t="n">
        <v>315</v>
      </c>
      <c r="E21" s="18" t="n">
        <v>37.81866975</v>
      </c>
      <c r="F21" s="20" t="n">
        <v>2.78629462</v>
      </c>
      <c r="G21" s="18" t="n">
        <v>58.51088124</v>
      </c>
      <c r="H21" s="20" t="n">
        <v>2.71366017</v>
      </c>
      <c r="I21" s="18" t="s">
        <v>567</v>
      </c>
      <c r="J21" s="20" t="s">
        <v>567</v>
      </c>
      <c r="K21" s="18" t="n">
        <v>2.2809381</v>
      </c>
      <c r="L21" s="20" t="n">
        <v>0.81188497</v>
      </c>
      <c r="M21" s="18" t="n">
        <v>0</v>
      </c>
      <c r="N21" s="20" t="n">
        <v>0</v>
      </c>
      <c r="O21" s="18" t="n">
        <v>0</v>
      </c>
      <c r="P21" s="20" t="n">
        <v>0</v>
      </c>
      <c r="Q21" s="18" t="n">
        <v>1.38951092</v>
      </c>
      <c r="R21" s="20" t="n">
        <v>0.75151469</v>
      </c>
    </row>
    <row r="22" spans="1:18">
      <c r="A22" s="15" t="s">
        <v>582</v>
      </c>
      <c r="B22" s="17" t="n">
        <v>2931</v>
      </c>
      <c r="C22" s="18">
        <f>(2629.0/B22*100)</f>
        <v/>
      </c>
      <c r="D22" s="19" t="n">
        <v>302</v>
      </c>
      <c r="E22" s="18" t="n">
        <v>33.37251155</v>
      </c>
      <c r="F22" s="20" t="n">
        <v>2.76928898</v>
      </c>
      <c r="G22" s="18" t="n">
        <v>61.05467979</v>
      </c>
      <c r="H22" s="20" t="n">
        <v>2.77304453</v>
      </c>
      <c r="I22" s="18" t="s">
        <v>567</v>
      </c>
      <c r="J22" s="20" t="s">
        <v>567</v>
      </c>
      <c r="K22" s="18" t="n">
        <v>3.66572518</v>
      </c>
      <c r="L22" s="20" t="n">
        <v>1.07853423</v>
      </c>
      <c r="M22" s="18" t="n">
        <v>0</v>
      </c>
      <c r="N22" s="20" t="n">
        <v>0</v>
      </c>
      <c r="O22" s="18" t="n">
        <v>0</v>
      </c>
      <c r="P22" s="20" t="n">
        <v>0</v>
      </c>
      <c r="Q22" s="18" t="n">
        <v>1.90708348</v>
      </c>
      <c r="R22" s="20" t="n">
        <v>0.76783122</v>
      </c>
    </row>
    <row r="23" spans="1:18">
      <c r="A23" s="15" t="s">
        <v>583</v>
      </c>
      <c r="B23" s="17" t="n">
        <v>5791</v>
      </c>
      <c r="C23" s="18">
        <f>(5195.0/B23*100)</f>
        <v/>
      </c>
      <c r="D23" s="19" t="n">
        <v>596</v>
      </c>
      <c r="E23" s="18" t="n">
        <v>29.26871733</v>
      </c>
      <c r="F23" s="20" t="n">
        <v>2.57080754</v>
      </c>
      <c r="G23" s="18" t="n">
        <v>68.39061516</v>
      </c>
      <c r="H23" s="20" t="n">
        <v>2.5229737</v>
      </c>
      <c r="I23" s="18" t="s">
        <v>567</v>
      </c>
      <c r="J23" s="20" t="s">
        <v>567</v>
      </c>
      <c r="K23" s="18" t="n">
        <v>1.398514</v>
      </c>
      <c r="L23" s="20" t="n">
        <v>0.61206131</v>
      </c>
      <c r="M23" s="18" t="n">
        <v>0</v>
      </c>
      <c r="N23" s="20" t="n">
        <v>0</v>
      </c>
      <c r="O23" s="18" t="n">
        <v>0</v>
      </c>
      <c r="P23" s="20" t="n">
        <v>0</v>
      </c>
      <c r="Q23" s="18" t="n">
        <v>0.9421535</v>
      </c>
      <c r="R23" s="20" t="n">
        <v>0.42220444</v>
      </c>
    </row>
    <row r="24" spans="1:18">
      <c r="A24" s="15" t="s">
        <v>584</v>
      </c>
      <c r="B24" s="17" t="n">
        <v>3338</v>
      </c>
      <c r="C24" s="18">
        <f>(2981.0/B24*100)</f>
        <v/>
      </c>
      <c r="D24" s="19" t="n">
        <v>357</v>
      </c>
      <c r="E24" s="18" t="n">
        <v>22.96431143</v>
      </c>
      <c r="F24" s="20" t="n">
        <v>1.83415026</v>
      </c>
      <c r="G24" s="18" t="n">
        <v>75.10679924999999</v>
      </c>
      <c r="H24" s="20" t="n">
        <v>1.83643652</v>
      </c>
      <c r="I24" s="18" t="s">
        <v>567</v>
      </c>
      <c r="J24" s="20" t="s">
        <v>567</v>
      </c>
      <c r="K24" s="18" t="n">
        <v>1.36630877</v>
      </c>
      <c r="L24" s="20" t="n">
        <v>0.60908438</v>
      </c>
      <c r="M24" s="18" t="n">
        <v>0</v>
      </c>
      <c r="N24" s="20" t="n">
        <v>0</v>
      </c>
      <c r="O24" s="18" t="n">
        <v>0</v>
      </c>
      <c r="P24" s="20" t="n">
        <v>0</v>
      </c>
      <c r="Q24" s="18" t="n">
        <v>0.56258055</v>
      </c>
      <c r="R24" s="20" t="n">
        <v>0.38509553</v>
      </c>
    </row>
    <row r="25" spans="1:18">
      <c r="A25" s="15" t="s">
        <v>585</v>
      </c>
      <c r="B25" s="17" t="n">
        <v>2912</v>
      </c>
      <c r="C25" s="18">
        <f>(2601.0/B25*100)</f>
        <v/>
      </c>
      <c r="D25" s="19" t="n">
        <v>311</v>
      </c>
      <c r="E25" s="18" t="n">
        <v>24.66991513</v>
      </c>
      <c r="F25" s="20" t="n">
        <v>2.37433175</v>
      </c>
      <c r="G25" s="18" t="n">
        <v>74.40808742999999</v>
      </c>
      <c r="H25" s="20" t="n">
        <v>2.50801949</v>
      </c>
      <c r="I25" s="18" t="s">
        <v>567</v>
      </c>
      <c r="J25" s="20" t="s">
        <v>567</v>
      </c>
      <c r="K25" s="18" t="n">
        <v>0.9219974399999999</v>
      </c>
      <c r="L25" s="20" t="n">
        <v>0.55009847</v>
      </c>
      <c r="M25" s="18" t="n">
        <v>0</v>
      </c>
      <c r="N25" s="20" t="n">
        <v>0</v>
      </c>
      <c r="O25" s="18" t="n">
        <v>0</v>
      </c>
      <c r="P25" s="20" t="n">
        <v>0</v>
      </c>
      <c r="Q25" s="18" t="n">
        <v>0</v>
      </c>
      <c r="R25" s="20" t="n">
        <v>0</v>
      </c>
    </row>
    <row r="26" spans="1:18">
      <c r="A26" s="15" t="s">
        <v>586</v>
      </c>
      <c r="B26" s="17" t="n">
        <v>2450</v>
      </c>
      <c r="C26" s="18">
        <f>(2182.0/B26*100)</f>
        <v/>
      </c>
      <c r="D26" s="19" t="n">
        <v>268</v>
      </c>
      <c r="E26" s="18" t="n">
        <v>40.46986741</v>
      </c>
      <c r="F26" s="20" t="n">
        <v>3.01115416</v>
      </c>
      <c r="G26" s="18" t="n">
        <v>58.88817678</v>
      </c>
      <c r="H26" s="20" t="n">
        <v>3.02053493</v>
      </c>
      <c r="I26" s="18" t="s">
        <v>567</v>
      </c>
      <c r="J26" s="20" t="s">
        <v>567</v>
      </c>
      <c r="K26" s="18" t="n">
        <v>0.30094949</v>
      </c>
      <c r="L26" s="20" t="n">
        <v>0.30899812</v>
      </c>
      <c r="M26" s="18" t="n">
        <v>0</v>
      </c>
      <c r="N26" s="20" t="n">
        <v>0</v>
      </c>
      <c r="O26" s="18" t="n">
        <v>0</v>
      </c>
      <c r="P26" s="20" t="n">
        <v>0</v>
      </c>
      <c r="Q26" s="18" t="n">
        <v>0.34100632</v>
      </c>
      <c r="R26" s="20" t="n">
        <v>0.34663816</v>
      </c>
    </row>
    <row r="27" spans="1:18">
      <c r="A27" s="15" t="s">
        <v>587</v>
      </c>
      <c r="B27" s="17" t="n">
        <v>2616</v>
      </c>
      <c r="C27" s="18">
        <f>(2351.0/B27*100)</f>
        <v/>
      </c>
      <c r="D27" s="19" t="n">
        <v>265</v>
      </c>
      <c r="E27" s="18" t="n">
        <v>36.40491433</v>
      </c>
      <c r="F27" s="20" t="n">
        <v>3.03618237</v>
      </c>
      <c r="G27" s="18" t="n">
        <v>59.81881492</v>
      </c>
      <c r="H27" s="20" t="n">
        <v>3.37870687</v>
      </c>
      <c r="I27" s="18" t="s">
        <v>567</v>
      </c>
      <c r="J27" s="20" t="s">
        <v>567</v>
      </c>
      <c r="K27" s="18" t="n">
        <v>3.02673331</v>
      </c>
      <c r="L27" s="20" t="n">
        <v>1.03861654</v>
      </c>
      <c r="M27" s="18" t="n">
        <v>0</v>
      </c>
      <c r="N27" s="20" t="n">
        <v>0</v>
      </c>
      <c r="O27" s="18" t="n">
        <v>0</v>
      </c>
      <c r="P27" s="20" t="n">
        <v>0</v>
      </c>
      <c r="Q27" s="18" t="n">
        <v>0.74953744</v>
      </c>
      <c r="R27" s="20" t="n">
        <v>0.52548311</v>
      </c>
    </row>
    <row r="28" spans="1:18">
      <c r="A28" s="15" t="s">
        <v>588</v>
      </c>
      <c r="B28" s="17" t="n">
        <v>3765</v>
      </c>
      <c r="C28" s="18">
        <f>(3410.0/B28*100)</f>
        <v/>
      </c>
      <c r="D28" s="19" t="n">
        <v>355</v>
      </c>
      <c r="E28" s="18" t="n">
        <v>43.57074367</v>
      </c>
      <c r="F28" s="20" t="n">
        <v>3.31349629</v>
      </c>
      <c r="G28" s="18" t="n">
        <v>54.78434388</v>
      </c>
      <c r="H28" s="20" t="n">
        <v>3.28963922</v>
      </c>
      <c r="I28" s="18" t="s">
        <v>567</v>
      </c>
      <c r="J28" s="20" t="s">
        <v>567</v>
      </c>
      <c r="K28" s="18" t="n">
        <v>1.12472526</v>
      </c>
      <c r="L28" s="20" t="n">
        <v>0.5992254</v>
      </c>
      <c r="M28" s="18" t="n">
        <v>0</v>
      </c>
      <c r="N28" s="20" t="n">
        <v>0</v>
      </c>
      <c r="O28" s="18" t="n">
        <v>0</v>
      </c>
      <c r="P28" s="20" t="n">
        <v>0</v>
      </c>
      <c r="Q28" s="18" t="n">
        <v>0.52018719</v>
      </c>
      <c r="R28" s="20" t="n">
        <v>0.37739985</v>
      </c>
    </row>
    <row r="29" spans="1:18">
      <c r="A29" s="15" t="s">
        <v>589</v>
      </c>
      <c r="B29" s="17" t="n">
        <v>2685</v>
      </c>
      <c r="C29" s="18">
        <f>(2394.0/B29*100)</f>
        <v/>
      </c>
      <c r="D29" s="19" t="n">
        <v>291</v>
      </c>
      <c r="E29" s="18" t="n">
        <v>29.84593563</v>
      </c>
      <c r="F29" s="20" t="n">
        <v>2.78186394</v>
      </c>
      <c r="G29" s="18" t="n">
        <v>69.20638621000001</v>
      </c>
      <c r="H29" s="20" t="n">
        <v>2.79747836</v>
      </c>
      <c r="I29" s="18" t="s">
        <v>567</v>
      </c>
      <c r="J29" s="20" t="s">
        <v>567</v>
      </c>
      <c r="K29" s="18" t="n">
        <v>0.57859427</v>
      </c>
      <c r="L29" s="20" t="n">
        <v>0.3936097</v>
      </c>
      <c r="M29" s="18" t="n">
        <v>0</v>
      </c>
      <c r="N29" s="20" t="n">
        <v>0</v>
      </c>
      <c r="O29" s="18" t="n">
        <v>0</v>
      </c>
      <c r="P29" s="20" t="n">
        <v>0</v>
      </c>
      <c r="Q29" s="18" t="n">
        <v>0.36908388</v>
      </c>
      <c r="R29" s="20" t="n">
        <v>0.36950835</v>
      </c>
    </row>
    <row r="30" spans="1:18">
      <c r="A30" s="15" t="s">
        <v>590</v>
      </c>
      <c r="B30" s="17" t="n">
        <v>2263</v>
      </c>
      <c r="C30" s="18">
        <f>(2048.0/B30*100)</f>
        <v/>
      </c>
      <c r="D30" s="19" t="n">
        <v>215</v>
      </c>
      <c r="E30" s="18" t="n">
        <v>31.13047918</v>
      </c>
      <c r="F30" s="20" t="n">
        <v>3.36707399</v>
      </c>
      <c r="G30" s="18" t="n">
        <v>66.20176476</v>
      </c>
      <c r="H30" s="20" t="n">
        <v>3.29681702</v>
      </c>
      <c r="I30" s="18" t="s">
        <v>567</v>
      </c>
      <c r="J30" s="20" t="s">
        <v>567</v>
      </c>
      <c r="K30" s="18" t="n">
        <v>2.17660047</v>
      </c>
      <c r="L30" s="20" t="n">
        <v>1.05786929</v>
      </c>
      <c r="M30" s="18" t="n">
        <v>0</v>
      </c>
      <c r="N30" s="20" t="n">
        <v>0</v>
      </c>
      <c r="O30" s="18" t="n">
        <v>0</v>
      </c>
      <c r="P30" s="20" t="n">
        <v>0</v>
      </c>
      <c r="Q30" s="18" t="n">
        <v>0.49115559</v>
      </c>
      <c r="R30" s="20" t="n">
        <v>0.43910717</v>
      </c>
    </row>
    <row r="31" spans="1:18">
      <c r="A31" s="15" t="s">
        <v>591</v>
      </c>
      <c r="B31" s="17" t="n">
        <v>2750</v>
      </c>
      <c r="C31" s="18">
        <f>(2444.0/B31*100)</f>
        <v/>
      </c>
      <c r="D31" s="19" t="n">
        <v>306</v>
      </c>
      <c r="E31" s="18" t="n">
        <v>36.01927627</v>
      </c>
      <c r="F31" s="20" t="n">
        <v>3.00420543</v>
      </c>
      <c r="G31" s="18" t="n">
        <v>61.37688064</v>
      </c>
      <c r="H31" s="20" t="n">
        <v>3.05450835</v>
      </c>
      <c r="I31" s="18" t="s">
        <v>567</v>
      </c>
      <c r="J31" s="20" t="s">
        <v>567</v>
      </c>
      <c r="K31" s="18" t="n">
        <v>2.60384309</v>
      </c>
      <c r="L31" s="20" t="n">
        <v>1.00214365</v>
      </c>
      <c r="M31" s="18" t="n">
        <v>0</v>
      </c>
      <c r="N31" s="20" t="n">
        <v>0</v>
      </c>
      <c r="O31" s="18" t="n">
        <v>0</v>
      </c>
      <c r="P31" s="20" t="n">
        <v>0</v>
      </c>
      <c r="Q31" s="18" t="n">
        <v>0</v>
      </c>
      <c r="R31" s="20" t="n">
        <v>0</v>
      </c>
    </row>
    <row r="32" spans="1:18">
      <c r="A32" s="15" t="s">
        <v>592</v>
      </c>
      <c r="B32" s="17" t="n">
        <v>2269</v>
      </c>
      <c r="C32" s="18">
        <f>(2005.0/B32*100)</f>
        <v/>
      </c>
      <c r="D32" s="19" t="n">
        <v>264</v>
      </c>
      <c r="E32" s="18" t="n">
        <v>36.22381241</v>
      </c>
      <c r="F32" s="20" t="n">
        <v>3.33521927</v>
      </c>
      <c r="G32" s="18" t="n">
        <v>63.00487277</v>
      </c>
      <c r="H32" s="20" t="n">
        <v>3.36534999</v>
      </c>
      <c r="I32" s="18" t="s">
        <v>567</v>
      </c>
      <c r="J32" s="20" t="s">
        <v>567</v>
      </c>
      <c r="K32" s="18" t="n">
        <v>0.38486575</v>
      </c>
      <c r="L32" s="20" t="n">
        <v>0.402081</v>
      </c>
      <c r="M32" s="18" t="n">
        <v>0</v>
      </c>
      <c r="N32" s="20" t="n">
        <v>0</v>
      </c>
      <c r="O32" s="18" t="n">
        <v>0</v>
      </c>
      <c r="P32" s="20" t="n">
        <v>0</v>
      </c>
      <c r="Q32" s="18" t="n">
        <v>0.38644907</v>
      </c>
      <c r="R32" s="20" t="n">
        <v>0.38484672</v>
      </c>
    </row>
    <row r="33" spans="1:18">
      <c r="A33" s="15" t="s">
        <v>593</v>
      </c>
      <c r="B33" s="17" t="n">
        <v>3674</v>
      </c>
      <c r="C33" s="18">
        <f>(3270.0/B33*100)</f>
        <v/>
      </c>
      <c r="D33" s="19" t="n">
        <v>404</v>
      </c>
      <c r="E33" s="18" t="n">
        <v>29.22682625</v>
      </c>
      <c r="F33" s="20" t="n">
        <v>2.44103112</v>
      </c>
      <c r="G33" s="18" t="n">
        <v>69.32586336</v>
      </c>
      <c r="H33" s="20" t="n">
        <v>2.45603901</v>
      </c>
      <c r="I33" s="18" t="s">
        <v>567</v>
      </c>
      <c r="J33" s="20" t="s">
        <v>567</v>
      </c>
      <c r="K33" s="18" t="n">
        <v>1.12223258</v>
      </c>
      <c r="L33" s="20" t="n">
        <v>0.57668286</v>
      </c>
      <c r="M33" s="18" t="n">
        <v>0</v>
      </c>
      <c r="N33" s="20" t="n">
        <v>0</v>
      </c>
      <c r="O33" s="18" t="n">
        <v>0</v>
      </c>
      <c r="P33" s="20" t="n">
        <v>0</v>
      </c>
      <c r="Q33" s="18" t="n">
        <v>0.3250778</v>
      </c>
      <c r="R33" s="20" t="n">
        <v>0.30157841</v>
      </c>
    </row>
    <row r="34" spans="1:18">
      <c r="A34" s="15" t="s">
        <v>594</v>
      </c>
      <c r="B34" s="17" t="n">
        <v>3315</v>
      </c>
      <c r="C34" s="18">
        <f>(2961.0/B34*100)</f>
        <v/>
      </c>
      <c r="D34" s="19" t="n">
        <v>354</v>
      </c>
      <c r="E34" s="18" t="n">
        <v>41.71615639</v>
      </c>
      <c r="F34" s="20" t="n">
        <v>2.47168072</v>
      </c>
      <c r="G34" s="18" t="n">
        <v>56.58151029</v>
      </c>
      <c r="H34" s="20" t="n">
        <v>2.55408631</v>
      </c>
      <c r="I34" s="18" t="s">
        <v>567</v>
      </c>
      <c r="J34" s="20" t="s">
        <v>567</v>
      </c>
      <c r="K34" s="18" t="n">
        <v>1.13097856</v>
      </c>
      <c r="L34" s="20" t="n">
        <v>0.59169901</v>
      </c>
      <c r="M34" s="18" t="n">
        <v>0</v>
      </c>
      <c r="N34" s="20" t="n">
        <v>0</v>
      </c>
      <c r="O34" s="18" t="n">
        <v>0</v>
      </c>
      <c r="P34" s="20" t="n">
        <v>0</v>
      </c>
      <c r="Q34" s="18" t="n">
        <v>0.57135475</v>
      </c>
      <c r="R34" s="20" t="n">
        <v>0.42009111</v>
      </c>
    </row>
    <row r="35" spans="1:18">
      <c r="A35" s="15" t="s">
        <v>595</v>
      </c>
      <c r="B35" s="17" t="n">
        <v>3505</v>
      </c>
      <c r="C35" s="18">
        <f>(3149.0/B35*100)</f>
        <v/>
      </c>
      <c r="D35" s="19" t="n">
        <v>356</v>
      </c>
      <c r="E35" s="18" t="n">
        <v>33.02467561</v>
      </c>
      <c r="F35" s="20" t="n">
        <v>3.48954427</v>
      </c>
      <c r="G35" s="18" t="n">
        <v>65.16088444</v>
      </c>
      <c r="H35" s="20" t="n">
        <v>3.40676946</v>
      </c>
      <c r="I35" s="18" t="s">
        <v>567</v>
      </c>
      <c r="J35" s="20" t="s">
        <v>567</v>
      </c>
      <c r="K35" s="18" t="n">
        <v>0.43767033</v>
      </c>
      <c r="L35" s="20" t="n">
        <v>0.32935672</v>
      </c>
      <c r="M35" s="18" t="n">
        <v>0</v>
      </c>
      <c r="N35" s="20" t="n">
        <v>0</v>
      </c>
      <c r="O35" s="18" t="n">
        <v>0</v>
      </c>
      <c r="P35" s="20" t="n">
        <v>0</v>
      </c>
      <c r="Q35" s="18" t="n">
        <v>1.37676962</v>
      </c>
      <c r="R35" s="20" t="n">
        <v>0.58676629</v>
      </c>
    </row>
    <row r="36" spans="1:18">
      <c r="A36" s="15" t="s">
        <v>596</v>
      </c>
      <c r="B36" s="17" t="n">
        <v>3332</v>
      </c>
      <c r="C36" s="18">
        <f>(2990.0/B36*100)</f>
        <v/>
      </c>
      <c r="D36" s="19" t="n">
        <v>342</v>
      </c>
      <c r="E36" s="18" t="n">
        <v>35.42062148</v>
      </c>
      <c r="F36" s="20" t="n">
        <v>2.80396007</v>
      </c>
      <c r="G36" s="18" t="n">
        <v>62.37890039</v>
      </c>
      <c r="H36" s="20" t="n">
        <v>2.78801771</v>
      </c>
      <c r="I36" s="18" t="s">
        <v>567</v>
      </c>
      <c r="J36" s="20" t="s">
        <v>567</v>
      </c>
      <c r="K36" s="18" t="n">
        <v>1.61871061</v>
      </c>
      <c r="L36" s="20" t="n">
        <v>0.71463482</v>
      </c>
      <c r="M36" s="18" t="n">
        <v>0</v>
      </c>
      <c r="N36" s="20" t="n">
        <v>0</v>
      </c>
      <c r="O36" s="18" t="n">
        <v>0</v>
      </c>
      <c r="P36" s="20" t="n">
        <v>0</v>
      </c>
      <c r="Q36" s="18" t="n">
        <v>0.58176752</v>
      </c>
      <c r="R36" s="20" t="n">
        <v>0.41479235</v>
      </c>
    </row>
    <row r="37" spans="1:18">
      <c r="A37" s="15" t="s">
        <v>597</v>
      </c>
      <c r="B37" s="17" t="n">
        <v>2727</v>
      </c>
      <c r="C37" s="18">
        <f>(2447.0/B37*100)</f>
        <v/>
      </c>
      <c r="D37" s="19" t="n">
        <v>280</v>
      </c>
      <c r="E37" s="18" t="n">
        <v>39.42285927</v>
      </c>
      <c r="F37" s="20" t="n">
        <v>2.62969517</v>
      </c>
      <c r="G37" s="18" t="n">
        <v>55.98666534</v>
      </c>
      <c r="H37" s="20" t="n">
        <v>2.65820645</v>
      </c>
      <c r="I37" s="18" t="s">
        <v>567</v>
      </c>
      <c r="J37" s="20" t="s">
        <v>567</v>
      </c>
      <c r="K37" s="18" t="n">
        <v>3.87066292</v>
      </c>
      <c r="L37" s="20" t="n">
        <v>1.1743393</v>
      </c>
      <c r="M37" s="18" t="n">
        <v>0</v>
      </c>
      <c r="N37" s="20" t="n">
        <v>0</v>
      </c>
      <c r="O37" s="18" t="n">
        <v>0</v>
      </c>
      <c r="P37" s="20" t="n">
        <v>0</v>
      </c>
      <c r="Q37" s="18" t="n">
        <v>0.71981247</v>
      </c>
      <c r="R37" s="20" t="n">
        <v>0.50470085</v>
      </c>
    </row>
    <row r="38" spans="1:18">
      <c r="A38" s="15" t="s">
        <v>598</v>
      </c>
      <c r="B38" s="17" t="n">
        <v>3053</v>
      </c>
      <c r="C38" s="18">
        <f>(2721.0/B38*100)</f>
        <v/>
      </c>
      <c r="D38" s="19" t="n">
        <v>332</v>
      </c>
      <c r="E38" s="18" t="n">
        <v>30.96530582</v>
      </c>
      <c r="F38" s="20" t="n">
        <v>2.92328931</v>
      </c>
      <c r="G38" s="18" t="n">
        <v>66.49340281000001</v>
      </c>
      <c r="H38" s="20" t="n">
        <v>2.98254599</v>
      </c>
      <c r="I38" s="18" t="s">
        <v>567</v>
      </c>
      <c r="J38" s="20" t="s">
        <v>567</v>
      </c>
      <c r="K38" s="18" t="n">
        <v>1.58928064</v>
      </c>
      <c r="L38" s="20" t="n">
        <v>0.67924324</v>
      </c>
      <c r="M38" s="18" t="n">
        <v>0</v>
      </c>
      <c r="N38" s="20" t="n">
        <v>0</v>
      </c>
      <c r="O38" s="18" t="n">
        <v>0</v>
      </c>
      <c r="P38" s="20" t="n">
        <v>0</v>
      </c>
      <c r="Q38" s="18" t="n">
        <v>0.95201072</v>
      </c>
      <c r="R38" s="20" t="n">
        <v>0.55120088</v>
      </c>
    </row>
    <row r="39" spans="1:18">
      <c r="A39" s="15" t="s">
        <v>599</v>
      </c>
      <c r="B39" s="17" t="n">
        <v>2957</v>
      </c>
      <c r="C39" s="18">
        <f>(2614.0/B39*100)</f>
        <v/>
      </c>
      <c r="D39" s="19" t="n">
        <v>343</v>
      </c>
      <c r="E39" s="18" t="n">
        <v>38.94012243</v>
      </c>
      <c r="F39" s="20" t="n">
        <v>2.79952381</v>
      </c>
      <c r="G39" s="18" t="n">
        <v>59.58567443</v>
      </c>
      <c r="H39" s="20" t="n">
        <v>2.88220476</v>
      </c>
      <c r="I39" s="18" t="s">
        <v>567</v>
      </c>
      <c r="J39" s="20" t="s">
        <v>567</v>
      </c>
      <c r="K39" s="18" t="n">
        <v>1.06294524</v>
      </c>
      <c r="L39" s="20" t="n">
        <v>0.66650535</v>
      </c>
      <c r="M39" s="18" t="n">
        <v>0</v>
      </c>
      <c r="N39" s="20" t="n">
        <v>0</v>
      </c>
      <c r="O39" s="18" t="n">
        <v>0</v>
      </c>
      <c r="P39" s="20" t="n">
        <v>0</v>
      </c>
      <c r="Q39" s="18" t="n">
        <v>0.4112579</v>
      </c>
      <c r="R39" s="20" t="n">
        <v>0.29360129</v>
      </c>
    </row>
    <row r="40" spans="1:18">
      <c r="A40" s="15" t="s">
        <v>600</v>
      </c>
      <c r="B40" s="17" t="n">
        <v>7235</v>
      </c>
      <c r="C40" s="18">
        <f>(6459.0/B40*100)</f>
        <v/>
      </c>
      <c r="D40" s="19" t="n">
        <v>776</v>
      </c>
      <c r="E40" s="18" t="n">
        <v>34.79300098</v>
      </c>
      <c r="F40" s="20" t="n">
        <v>2.28242434</v>
      </c>
      <c r="G40" s="18" t="n">
        <v>63.25367169</v>
      </c>
      <c r="H40" s="20" t="n">
        <v>2.15371852</v>
      </c>
      <c r="I40" s="18" t="s">
        <v>567</v>
      </c>
      <c r="J40" s="20" t="s">
        <v>567</v>
      </c>
      <c r="K40" s="18" t="n">
        <v>1.28405086</v>
      </c>
      <c r="L40" s="20" t="n">
        <v>0.67247896</v>
      </c>
      <c r="M40" s="18" t="n">
        <v>0</v>
      </c>
      <c r="N40" s="20" t="n">
        <v>0</v>
      </c>
      <c r="O40" s="18" t="n">
        <v>0</v>
      </c>
      <c r="P40" s="20" t="n">
        <v>0</v>
      </c>
      <c r="Q40" s="18" t="n">
        <v>0.66927647</v>
      </c>
      <c r="R40" s="20" t="n">
        <v>0.47928744</v>
      </c>
    </row>
    <row r="41" spans="1:18">
      <c r="A41" s="15" t="s">
        <v>601</v>
      </c>
      <c r="B41" s="17" t="n">
        <v>2858</v>
      </c>
      <c r="C41" s="18">
        <f>(2552.0/B41*100)</f>
        <v/>
      </c>
      <c r="D41" s="19" t="n">
        <v>306</v>
      </c>
      <c r="E41" s="18" t="n">
        <v>31.27935356</v>
      </c>
      <c r="F41" s="20" t="n">
        <v>3.30681344</v>
      </c>
      <c r="G41" s="18" t="n">
        <v>66.44068617000001</v>
      </c>
      <c r="H41" s="20" t="n">
        <v>3.22284561</v>
      </c>
      <c r="I41" s="18" t="s">
        <v>567</v>
      </c>
      <c r="J41" s="20" t="s">
        <v>567</v>
      </c>
      <c r="K41" s="18" t="n">
        <v>0.94973039</v>
      </c>
      <c r="L41" s="20" t="n">
        <v>0.57385974</v>
      </c>
      <c r="M41" s="18" t="n">
        <v>0</v>
      </c>
      <c r="N41" s="20" t="n">
        <v>0</v>
      </c>
      <c r="O41" s="18" t="n">
        <v>0</v>
      </c>
      <c r="P41" s="20" t="n">
        <v>0</v>
      </c>
      <c r="Q41" s="18" t="n">
        <v>1.33022988</v>
      </c>
      <c r="R41" s="20" t="n">
        <v>0.62035521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(10229.0/B46*100)</f>
        <v/>
      </c>
      <c r="D46" s="19" t="n">
        <v>839</v>
      </c>
      <c r="E46" s="18" t="n">
        <v>38.95971394</v>
      </c>
      <c r="F46" s="20" t="n">
        <v>1.99311798</v>
      </c>
      <c r="G46" s="18" t="n">
        <v>58.92934503</v>
      </c>
      <c r="H46" s="20" t="n">
        <v>2.03985586</v>
      </c>
      <c r="I46" s="18" t="s">
        <v>567</v>
      </c>
      <c r="J46" s="20" t="s">
        <v>567</v>
      </c>
      <c r="K46" s="18" t="n">
        <v>1.86865211</v>
      </c>
      <c r="L46" s="20" t="n">
        <v>0.60831009</v>
      </c>
      <c r="M46" s="18" t="n">
        <v>0</v>
      </c>
      <c r="N46" s="20" t="n">
        <v>0</v>
      </c>
      <c r="O46" s="18" t="n">
        <v>0</v>
      </c>
      <c r="P46" s="20" t="n">
        <v>0</v>
      </c>
      <c r="Q46" s="18" t="n">
        <v>0.24228893</v>
      </c>
      <c r="R46" s="20" t="n">
        <v>0.10426728</v>
      </c>
    </row>
    <row r="47" spans="1:18">
      <c r="A47" s="15" t="s">
        <v>607</v>
      </c>
      <c r="B47" s="17" t="n">
        <v>3105</v>
      </c>
      <c r="C47" s="18">
        <f>(2772.0/B47*100)</f>
        <v/>
      </c>
      <c r="D47" s="19" t="n">
        <v>333</v>
      </c>
      <c r="E47" s="18" t="n">
        <v>37.41269986</v>
      </c>
      <c r="F47" s="20" t="n">
        <v>2.71114874</v>
      </c>
      <c r="G47" s="18" t="n">
        <v>59.71265733</v>
      </c>
      <c r="H47" s="20" t="n">
        <v>2.87930796</v>
      </c>
      <c r="I47" s="18" t="s">
        <v>567</v>
      </c>
      <c r="J47" s="20" t="s">
        <v>567</v>
      </c>
      <c r="K47" s="18" t="n">
        <v>1.76076038</v>
      </c>
      <c r="L47" s="20" t="n">
        <v>0.78059894</v>
      </c>
      <c r="M47" s="18" t="n">
        <v>0</v>
      </c>
      <c r="N47" s="20" t="n">
        <v>0</v>
      </c>
      <c r="O47" s="18" t="n">
        <v>0</v>
      </c>
      <c r="P47" s="20" t="n">
        <v>0</v>
      </c>
      <c r="Q47" s="18" t="n">
        <v>1.11388243</v>
      </c>
      <c r="R47" s="20" t="n">
        <v>0.61904246</v>
      </c>
    </row>
    <row r="48" spans="1:18">
      <c r="A48" s="15" t="s">
        <v>608</v>
      </c>
      <c r="B48" s="17" t="n">
        <v>5159</v>
      </c>
      <c r="C48" s="18">
        <f>(4563.0/B48*100)</f>
        <v/>
      </c>
      <c r="D48" s="19" t="n">
        <v>596</v>
      </c>
      <c r="E48" s="18" t="n">
        <v>29.96579278</v>
      </c>
      <c r="F48" s="20" t="n">
        <v>2.60806117</v>
      </c>
      <c r="G48" s="18" t="n">
        <v>69.14390969999999</v>
      </c>
      <c r="H48" s="20" t="n">
        <v>2.70586858</v>
      </c>
      <c r="I48" s="18" t="s">
        <v>567</v>
      </c>
      <c r="J48" s="20" t="s">
        <v>567</v>
      </c>
      <c r="K48" s="18" t="n">
        <v>0.14484969</v>
      </c>
      <c r="L48" s="20" t="n">
        <v>0.08460366</v>
      </c>
      <c r="M48" s="18" t="n">
        <v>0</v>
      </c>
      <c r="N48" s="20" t="n">
        <v>0</v>
      </c>
      <c r="O48" s="18" t="n">
        <v>0</v>
      </c>
      <c r="P48" s="20" t="n">
        <v>0</v>
      </c>
      <c r="Q48" s="18" t="n">
        <v>0.74544783</v>
      </c>
      <c r="R48" s="20" t="n">
        <v>0.44073338</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(5008.0/B50*100)</f>
        <v/>
      </c>
      <c r="D50" s="19" t="n">
        <v>629</v>
      </c>
      <c r="E50" s="18" t="n">
        <v>40.9267198</v>
      </c>
      <c r="F50" s="20" t="n">
        <v>2.76676974</v>
      </c>
      <c r="G50" s="18" t="n">
        <v>52.24786853</v>
      </c>
      <c r="H50" s="20" t="n">
        <v>2.57276295</v>
      </c>
      <c r="I50" s="18" t="s">
        <v>567</v>
      </c>
      <c r="J50" s="20" t="s">
        <v>567</v>
      </c>
      <c r="K50" s="18" t="n">
        <v>5.53047381</v>
      </c>
      <c r="L50" s="20" t="n">
        <v>1.36851635</v>
      </c>
      <c r="M50" s="18" t="n">
        <v>0</v>
      </c>
      <c r="N50" s="20" t="n">
        <v>0</v>
      </c>
      <c r="O50" s="18" t="n">
        <v>0</v>
      </c>
      <c r="P50" s="20" t="n">
        <v>0</v>
      </c>
      <c r="Q50" s="18" t="n">
        <v>1.29493786</v>
      </c>
      <c r="R50" s="20" t="n">
        <v>0.5547525800000001</v>
      </c>
    </row>
    <row r="51" spans="1:18">
      <c r="A51" s="15" t="s">
        <v>611</v>
      </c>
      <c r="B51" s="17" t="n">
        <v>3372</v>
      </c>
      <c r="C51" s="18">
        <f>(3081.0/B51*100)</f>
        <v/>
      </c>
      <c r="D51" s="19" t="n">
        <v>291</v>
      </c>
      <c r="E51" s="18" t="n">
        <v>50.12002856</v>
      </c>
      <c r="F51" s="20" t="n">
        <v>2.86958318</v>
      </c>
      <c r="G51" s="18" t="n">
        <v>48.31722719</v>
      </c>
      <c r="H51" s="20" t="n">
        <v>2.92474303</v>
      </c>
      <c r="I51" s="18" t="s">
        <v>567</v>
      </c>
      <c r="J51" s="20" t="s">
        <v>567</v>
      </c>
      <c r="K51" s="18" t="n">
        <v>0.34360803</v>
      </c>
      <c r="L51" s="20" t="n">
        <v>0.37201075</v>
      </c>
      <c r="M51" s="18" t="n">
        <v>0</v>
      </c>
      <c r="N51" s="20" t="n">
        <v>0</v>
      </c>
      <c r="O51" s="18" t="n">
        <v>0</v>
      </c>
      <c r="P51" s="20" t="n">
        <v>0</v>
      </c>
      <c r="Q51" s="18" t="n">
        <v>1.21913622</v>
      </c>
      <c r="R51" s="20" t="n">
        <v>0.73255793</v>
      </c>
    </row>
    <row r="52" spans="1:18">
      <c r="A52" s="15" t="s">
        <v>612</v>
      </c>
      <c r="B52" s="17" t="n">
        <v>2796</v>
      </c>
      <c r="C52" s="18">
        <f>(2481.0/B52*100)</f>
        <v/>
      </c>
      <c r="D52" s="19" t="n">
        <v>315</v>
      </c>
      <c r="E52" s="18" t="n">
        <v>40.09245082</v>
      </c>
      <c r="F52" s="20" t="n">
        <v>3.18551605</v>
      </c>
      <c r="G52" s="18" t="n">
        <v>57.03654323</v>
      </c>
      <c r="H52" s="20" t="n">
        <v>3.19543699</v>
      </c>
      <c r="I52" s="18" t="s">
        <v>567</v>
      </c>
      <c r="J52" s="20" t="s">
        <v>567</v>
      </c>
      <c r="K52" s="18" t="n">
        <v>1.42139805</v>
      </c>
      <c r="L52" s="20" t="n">
        <v>0.63726019</v>
      </c>
      <c r="M52" s="18" t="n">
        <v>0</v>
      </c>
      <c r="N52" s="20" t="n">
        <v>0</v>
      </c>
      <c r="O52" s="18" t="n">
        <v>0</v>
      </c>
      <c r="P52" s="20" t="n">
        <v>0</v>
      </c>
      <c r="Q52" s="18" t="n">
        <v>1.44960789</v>
      </c>
      <c r="R52" s="20" t="n">
        <v>0.71659122</v>
      </c>
    </row>
    <row r="53" spans="1:18">
      <c r="A53" s="15" t="s">
        <v>613</v>
      </c>
      <c r="B53" s="17" t="n">
        <v>2811</v>
      </c>
      <c r="C53" s="18">
        <f>(2505.0/B53*100)</f>
        <v/>
      </c>
      <c r="D53" s="19" t="n">
        <v>306</v>
      </c>
      <c r="E53" s="18" t="n">
        <v>45.30844269</v>
      </c>
      <c r="F53" s="20" t="n">
        <v>3.26020677</v>
      </c>
      <c r="G53" s="18" t="n">
        <v>50.95472267</v>
      </c>
      <c r="H53" s="20" t="n">
        <v>3.30167781</v>
      </c>
      <c r="I53" s="18" t="s">
        <v>567</v>
      </c>
      <c r="J53" s="20" t="s">
        <v>567</v>
      </c>
      <c r="K53" s="18" t="n">
        <v>2.42985184</v>
      </c>
      <c r="L53" s="20" t="n">
        <v>0.8009597899999999</v>
      </c>
      <c r="M53" s="18" t="n">
        <v>0</v>
      </c>
      <c r="N53" s="20" t="n">
        <v>0</v>
      </c>
      <c r="O53" s="18" t="n">
        <v>0</v>
      </c>
      <c r="P53" s="20" t="n">
        <v>0</v>
      </c>
      <c r="Q53" s="18" t="n">
        <v>1.3069828</v>
      </c>
      <c r="R53" s="20" t="n">
        <v>0.7637705299999999</v>
      </c>
    </row>
    <row r="54" spans="1:18">
      <c r="A54" s="15" t="s">
        <v>614</v>
      </c>
      <c r="B54" s="17" t="n">
        <v>2266</v>
      </c>
      <c r="C54" s="18">
        <f>(2014.0/B54*100)</f>
        <v/>
      </c>
      <c r="D54" s="19" t="n">
        <v>252</v>
      </c>
      <c r="E54" s="18" t="n">
        <v>46.23217986</v>
      </c>
      <c r="F54" s="20" t="n">
        <v>3.24625029</v>
      </c>
      <c r="G54" s="18" t="n">
        <v>27.65644041</v>
      </c>
      <c r="H54" s="20" t="n">
        <v>2.93983801</v>
      </c>
      <c r="I54" s="18" t="s">
        <v>567</v>
      </c>
      <c r="J54" s="20" t="s">
        <v>567</v>
      </c>
      <c r="K54" s="18" t="n">
        <v>25.23272628</v>
      </c>
      <c r="L54" s="20" t="n">
        <v>3.32095851</v>
      </c>
      <c r="M54" s="18" t="n">
        <v>0</v>
      </c>
      <c r="N54" s="20" t="n">
        <v>0</v>
      </c>
      <c r="O54" s="18" t="n">
        <v>0</v>
      </c>
      <c r="P54" s="20" t="n">
        <v>0</v>
      </c>
      <c r="Q54" s="18" t="n">
        <v>0.8786534499999999</v>
      </c>
      <c r="R54" s="20" t="n">
        <v>0.49081464</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(2377.0/B56*100)</f>
        <v/>
      </c>
      <c r="D56" s="19" t="n">
        <v>307</v>
      </c>
      <c r="E56" s="18" t="n">
        <v>21.97221481</v>
      </c>
      <c r="F56" s="20" t="n">
        <v>2.13112176</v>
      </c>
      <c r="G56" s="18" t="n">
        <v>75.82406736</v>
      </c>
      <c r="H56" s="20" t="n">
        <v>2.19019847</v>
      </c>
      <c r="I56" s="18" t="s">
        <v>567</v>
      </c>
      <c r="J56" s="20" t="s">
        <v>567</v>
      </c>
      <c r="K56" s="18" t="n">
        <v>1.50913806</v>
      </c>
      <c r="L56" s="20" t="n">
        <v>0.4404485</v>
      </c>
      <c r="M56" s="18" t="n">
        <v>0</v>
      </c>
      <c r="N56" s="20" t="n">
        <v>0</v>
      </c>
      <c r="O56" s="18" t="n">
        <v>0</v>
      </c>
      <c r="P56" s="20" t="n">
        <v>0</v>
      </c>
      <c r="Q56" s="18" t="n">
        <v>0.69457977</v>
      </c>
      <c r="R56" s="20" t="n">
        <v>0.09894306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(2945.0/B61*100)</f>
        <v/>
      </c>
      <c r="D61" s="19" t="n">
        <v>379</v>
      </c>
      <c r="E61" s="18" t="n">
        <v>39.96718112</v>
      </c>
      <c r="F61" s="20" t="n">
        <v>2.60491217</v>
      </c>
      <c r="G61" s="18" t="n">
        <v>58.03333419</v>
      </c>
      <c r="H61" s="20" t="n">
        <v>2.62203121</v>
      </c>
      <c r="I61" s="18" t="s">
        <v>567</v>
      </c>
      <c r="J61" s="20" t="s">
        <v>567</v>
      </c>
      <c r="K61" s="18" t="n">
        <v>0.85682043</v>
      </c>
      <c r="L61" s="20" t="n">
        <v>0.84927885</v>
      </c>
      <c r="M61" s="18" t="n">
        <v>0</v>
      </c>
      <c r="N61" s="20" t="n">
        <v>0</v>
      </c>
      <c r="O61" s="18" t="n">
        <v>0</v>
      </c>
      <c r="P61" s="20" t="n">
        <v>0</v>
      </c>
      <c r="Q61" s="18" t="n">
        <v>1.14266425</v>
      </c>
      <c r="R61" s="20" t="n">
        <v>0.28563771</v>
      </c>
    </row>
    <row r="62" spans="1:18">
      <c r="A62" s="15" t="s">
        <v>622</v>
      </c>
      <c r="B62" s="17" t="n">
        <v>2246</v>
      </c>
      <c r="C62" s="18">
        <f>(2001.0/B62*100)</f>
        <v/>
      </c>
      <c r="D62" s="19" t="n">
        <v>245</v>
      </c>
      <c r="E62" s="18" t="n">
        <v>27.37671194</v>
      </c>
      <c r="F62" s="20" t="n">
        <v>2.65580119</v>
      </c>
      <c r="G62" s="18" t="n">
        <v>71.80286218000001</v>
      </c>
      <c r="H62" s="20" t="n">
        <v>2.65080878</v>
      </c>
      <c r="I62" s="18" t="s">
        <v>567</v>
      </c>
      <c r="J62" s="20" t="s">
        <v>567</v>
      </c>
      <c r="K62" s="18" t="n">
        <v>0.41503907</v>
      </c>
      <c r="L62" s="20" t="n">
        <v>0.41551789</v>
      </c>
      <c r="M62" s="18" t="n">
        <v>0</v>
      </c>
      <c r="N62" s="20" t="n">
        <v>0</v>
      </c>
      <c r="O62" s="18" t="n">
        <v>0</v>
      </c>
      <c r="P62" s="20" t="n">
        <v>0</v>
      </c>
      <c r="Q62" s="18" t="n">
        <v>0.40538681</v>
      </c>
      <c r="R62" s="20" t="n">
        <v>0.40938026</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(2607.0/B66*100)</f>
        <v/>
      </c>
      <c r="D66" s="19" t="n">
        <v>287</v>
      </c>
      <c r="E66" s="18" t="n">
        <v>55.93453618</v>
      </c>
      <c r="F66" s="20" t="n">
        <v>2.86403705</v>
      </c>
      <c r="G66" s="18" t="n">
        <v>38.63937964</v>
      </c>
      <c r="H66" s="20" t="n">
        <v>2.982578</v>
      </c>
      <c r="I66" s="18" t="s">
        <v>567</v>
      </c>
      <c r="J66" s="20" t="s">
        <v>567</v>
      </c>
      <c r="K66" s="18" t="n">
        <v>3.01119805</v>
      </c>
      <c r="L66" s="20" t="n">
        <v>1.17274201</v>
      </c>
      <c r="M66" s="18" t="n">
        <v>0</v>
      </c>
      <c r="N66" s="20" t="n">
        <v>0</v>
      </c>
      <c r="O66" s="18" t="n">
        <v>0</v>
      </c>
      <c r="P66" s="20" t="n">
        <v>0</v>
      </c>
      <c r="Q66" s="18" t="n">
        <v>2.41488613</v>
      </c>
      <c r="R66" s="20" t="n">
        <v>0.91499567</v>
      </c>
    </row>
    <row r="67" spans="1:18">
      <c r="A67" s="15" t="s">
        <v>627</v>
      </c>
      <c r="B67" s="17" t="n">
        <v>3511</v>
      </c>
      <c r="C67" s="18">
        <f>(3212.0/B67*100)</f>
        <v/>
      </c>
      <c r="D67" s="19" t="n">
        <v>299</v>
      </c>
      <c r="E67" s="18" t="n">
        <v>47.73913005</v>
      </c>
      <c r="F67" s="20" t="n">
        <v>3.11539332</v>
      </c>
      <c r="G67" s="18" t="n">
        <v>50.28328606</v>
      </c>
      <c r="H67" s="20" t="n">
        <v>3.22073276</v>
      </c>
      <c r="I67" s="18" t="s">
        <v>567</v>
      </c>
      <c r="J67" s="20" t="s">
        <v>567</v>
      </c>
      <c r="K67" s="18" t="n">
        <v>1.33074501</v>
      </c>
      <c r="L67" s="20" t="n">
        <v>0.68547266</v>
      </c>
      <c r="M67" s="18" t="n">
        <v>0</v>
      </c>
      <c r="N67" s="20" t="n">
        <v>0</v>
      </c>
      <c r="O67" s="18" t="n">
        <v>0</v>
      </c>
      <c r="P67" s="20" t="n">
        <v>0</v>
      </c>
      <c r="Q67" s="18" t="n">
        <v>0.64683888</v>
      </c>
      <c r="R67" s="20" t="n">
        <v>0.45107215</v>
      </c>
    </row>
    <row r="68" spans="1:18">
      <c r="A68" s="15" t="s">
        <v>628</v>
      </c>
      <c r="B68" s="17" t="n">
        <v>6049</v>
      </c>
      <c r="C68" s="18">
        <f>(5390.0/B68*100)</f>
        <v/>
      </c>
      <c r="D68" s="19" t="n">
        <v>659</v>
      </c>
      <c r="E68" s="18" t="n">
        <v>46.65953977</v>
      </c>
      <c r="F68" s="20" t="n">
        <v>1.84544053</v>
      </c>
      <c r="G68" s="18" t="n">
        <v>45.73632907</v>
      </c>
      <c r="H68" s="20" t="n">
        <v>1.74549014</v>
      </c>
      <c r="I68" s="18" t="s">
        <v>567</v>
      </c>
      <c r="J68" s="20" t="s">
        <v>567</v>
      </c>
      <c r="K68" s="18" t="n">
        <v>5.80057154</v>
      </c>
      <c r="L68" s="20" t="n">
        <v>0.84515023</v>
      </c>
      <c r="M68" s="18" t="n">
        <v>0</v>
      </c>
      <c r="N68" s="20" t="n">
        <v>0</v>
      </c>
      <c r="O68" s="18" t="n">
        <v>0</v>
      </c>
      <c r="P68" s="20" t="n">
        <v>0</v>
      </c>
      <c r="Q68" s="18" t="n">
        <v>1.80355962</v>
      </c>
      <c r="R68" s="20" t="n">
        <v>0.57263046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(2624.0/B70*100)</f>
        <v/>
      </c>
      <c r="D70" s="19" t="n">
        <v>305</v>
      </c>
      <c r="E70" s="18" t="n">
        <v>39.66961796</v>
      </c>
      <c r="F70" s="20" t="n">
        <v>3.30561708</v>
      </c>
      <c r="G70" s="18" t="n">
        <v>58.56589051</v>
      </c>
      <c r="H70" s="20" t="n">
        <v>3.35694777</v>
      </c>
      <c r="I70" s="18" t="s">
        <v>567</v>
      </c>
      <c r="J70" s="20" t="s">
        <v>567</v>
      </c>
      <c r="K70" s="18" t="n">
        <v>1.52896978</v>
      </c>
      <c r="L70" s="20" t="n">
        <v>0.69540546</v>
      </c>
      <c r="M70" s="18" t="n">
        <v>0</v>
      </c>
      <c r="N70" s="20" t="n">
        <v>0</v>
      </c>
      <c r="O70" s="18" t="n">
        <v>0</v>
      </c>
      <c r="P70" s="20" t="n">
        <v>0</v>
      </c>
      <c r="Q70" s="18" t="n">
        <v>0.23552175</v>
      </c>
      <c r="R70" s="20" t="n">
        <v>0.25942317</v>
      </c>
    </row>
    <row r="71" spans="1:18">
      <c r="A71" s="15" t="s">
        <v>631</v>
      </c>
      <c r="B71" s="17" t="n">
        <v>3142</v>
      </c>
      <c r="C71" s="18">
        <f>(2804.0/B71*100)</f>
        <v/>
      </c>
      <c r="D71" s="19" t="n">
        <v>338</v>
      </c>
      <c r="E71" s="18" t="n">
        <v>23.09563656</v>
      </c>
      <c r="F71" s="20" t="n">
        <v>2.1523539</v>
      </c>
      <c r="G71" s="18" t="n">
        <v>75.30390302000001</v>
      </c>
      <c r="H71" s="20" t="n">
        <v>2.26627618</v>
      </c>
      <c r="I71" s="18" t="s">
        <v>567</v>
      </c>
      <c r="J71" s="20" t="s">
        <v>567</v>
      </c>
      <c r="K71" s="18" t="n">
        <v>1.22623286</v>
      </c>
      <c r="L71" s="20" t="n">
        <v>0.60859282</v>
      </c>
      <c r="M71" s="18" t="n">
        <v>0</v>
      </c>
      <c r="N71" s="20" t="n">
        <v>0</v>
      </c>
      <c r="O71" s="18" t="n">
        <v>0</v>
      </c>
      <c r="P71" s="20" t="n">
        <v>0</v>
      </c>
      <c r="Q71" s="18" t="n">
        <v>0.37422756</v>
      </c>
      <c r="R71" s="20" t="n">
        <v>0.37299502</v>
      </c>
    </row>
    <row r="72" spans="1:18">
      <c r="A72" s="15" t="s">
        <v>632</v>
      </c>
      <c r="B72" s="17" t="n">
        <v>3889</v>
      </c>
      <c r="C72" s="18">
        <f>(3476.0/B72*100)</f>
        <v/>
      </c>
      <c r="D72" s="19" t="n">
        <v>413</v>
      </c>
      <c r="E72" s="18" t="n">
        <v>27.55133795</v>
      </c>
      <c r="F72" s="20" t="n">
        <v>2.03269363</v>
      </c>
      <c r="G72" s="18" t="n">
        <v>71.96805669</v>
      </c>
      <c r="H72" s="20" t="n">
        <v>2.07477135</v>
      </c>
      <c r="I72" s="18" t="s">
        <v>567</v>
      </c>
      <c r="J72" s="20" t="s">
        <v>567</v>
      </c>
      <c r="K72" s="18" t="n">
        <v>0.48060537</v>
      </c>
      <c r="L72" s="20" t="n">
        <v>0.35725573</v>
      </c>
      <c r="M72" s="18" t="n">
        <v>0</v>
      </c>
      <c r="N72" s="20" t="n">
        <v>0</v>
      </c>
      <c r="O72" s="18" t="n">
        <v>0</v>
      </c>
      <c r="P72" s="20" t="n">
        <v>0</v>
      </c>
      <c r="Q72" s="18" t="n">
        <v>0</v>
      </c>
      <c r="R72" s="20" t="n">
        <v>0</v>
      </c>
    </row>
    <row r="73" spans="1:18">
      <c r="A73" s="15" t="s">
        <v>633</v>
      </c>
      <c r="B73" s="17" t="n">
        <v>3597</v>
      </c>
      <c r="C73" s="18">
        <f>(3235.0/B73*100)</f>
        <v/>
      </c>
      <c r="D73" s="19" t="n">
        <v>362</v>
      </c>
      <c r="E73" s="18" t="n">
        <v>57.45652448</v>
      </c>
      <c r="F73" s="20" t="n">
        <v>2.96972907</v>
      </c>
      <c r="G73" s="18" t="n">
        <v>39.68201498</v>
      </c>
      <c r="H73" s="20" t="n">
        <v>3.0232615</v>
      </c>
      <c r="I73" s="18" t="s">
        <v>567</v>
      </c>
      <c r="J73" s="20" t="s">
        <v>567</v>
      </c>
      <c r="K73" s="18" t="n">
        <v>0.4031895</v>
      </c>
      <c r="L73" s="20" t="n">
        <v>0.39619914</v>
      </c>
      <c r="M73" s="18" t="n">
        <v>0</v>
      </c>
      <c r="N73" s="20" t="n">
        <v>0</v>
      </c>
      <c r="O73" s="18" t="n">
        <v>0</v>
      </c>
      <c r="P73" s="20" t="n">
        <v>0</v>
      </c>
      <c r="Q73" s="18" t="n">
        <v>2.45827104</v>
      </c>
      <c r="R73" s="20" t="n">
        <v>0.9628525100000001</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(2166.0/B75*100)</f>
        <v/>
      </c>
      <c r="D75" s="19" t="n">
        <v>240</v>
      </c>
      <c r="E75" s="18" t="n">
        <v>44.70762075</v>
      </c>
      <c r="F75" s="20" t="n">
        <v>3.352012</v>
      </c>
      <c r="G75" s="18" t="n">
        <v>43.16803417</v>
      </c>
      <c r="H75" s="20" t="n">
        <v>3.33398952</v>
      </c>
      <c r="I75" s="18" t="s">
        <v>567</v>
      </c>
      <c r="J75" s="20" t="s">
        <v>567</v>
      </c>
      <c r="K75" s="18" t="n">
        <v>9.825725139999999</v>
      </c>
      <c r="L75" s="20" t="n">
        <v>2.00188728</v>
      </c>
      <c r="M75" s="18" t="n">
        <v>0</v>
      </c>
      <c r="N75" s="20" t="n">
        <v>0</v>
      </c>
      <c r="O75" s="18" t="n">
        <v>0</v>
      </c>
      <c r="P75" s="20" t="n">
        <v>0</v>
      </c>
      <c r="Q75" s="18" t="n">
        <v>2.29861994</v>
      </c>
      <c r="R75" s="20" t="n">
        <v>0.77580618</v>
      </c>
    </row>
    <row r="76" spans="1:18">
      <c r="A76" s="15" t="s">
        <v>636</v>
      </c>
      <c r="B76" s="17" t="n">
        <v>7052</v>
      </c>
      <c r="C76" s="18">
        <f>(6312.0/B76*100)</f>
        <v/>
      </c>
      <c r="D76" s="19" t="n">
        <v>740</v>
      </c>
      <c r="E76" s="18" t="n">
        <v>43.05167309</v>
      </c>
      <c r="F76" s="20" t="n">
        <v>2.32333676</v>
      </c>
      <c r="G76" s="18" t="n">
        <v>54.083673</v>
      </c>
      <c r="H76" s="20" t="n">
        <v>2.35176506</v>
      </c>
      <c r="I76" s="18" t="s">
        <v>567</v>
      </c>
      <c r="J76" s="20" t="s">
        <v>567</v>
      </c>
      <c r="K76" s="18" t="n">
        <v>1.74860838</v>
      </c>
      <c r="L76" s="20" t="n">
        <v>0.64251715</v>
      </c>
      <c r="M76" s="18" t="n">
        <v>0</v>
      </c>
      <c r="N76" s="20" t="n">
        <v>0</v>
      </c>
      <c r="O76" s="18" t="n">
        <v>0</v>
      </c>
      <c r="P76" s="20" t="n">
        <v>0</v>
      </c>
      <c r="Q76" s="18" t="n">
        <v>1.11604553</v>
      </c>
      <c r="R76" s="20" t="n">
        <v>0.45510533</v>
      </c>
    </row>
    <row r="77" spans="1:18">
      <c r="A77" s="15" t="s">
        <v>637</v>
      </c>
      <c r="B77" s="17" t="n">
        <v>2908</v>
      </c>
      <c r="C77" s="18">
        <f>(2596.0/B77*100)</f>
        <v/>
      </c>
      <c r="D77" s="19" t="n">
        <v>312</v>
      </c>
      <c r="E77" s="18" t="n">
        <v>41.58495829</v>
      </c>
      <c r="F77" s="20" t="n">
        <v>2.31703537</v>
      </c>
      <c r="G77" s="18" t="n">
        <v>54.39351026</v>
      </c>
      <c r="H77" s="20" t="n">
        <v>2.4913792</v>
      </c>
      <c r="I77" s="18" t="s">
        <v>567</v>
      </c>
      <c r="J77" s="20" t="s">
        <v>567</v>
      </c>
      <c r="K77" s="18" t="n">
        <v>2.95567223</v>
      </c>
      <c r="L77" s="20" t="n">
        <v>0.95355965</v>
      </c>
      <c r="M77" s="18" t="n">
        <v>0</v>
      </c>
      <c r="N77" s="20" t="n">
        <v>0</v>
      </c>
      <c r="O77" s="18" t="n">
        <v>0</v>
      </c>
      <c r="P77" s="20" t="n">
        <v>0</v>
      </c>
      <c r="Q77" s="18" t="n">
        <v>1.06585922</v>
      </c>
      <c r="R77" s="20" t="n">
        <v>0.60276001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(3694.0/B81*100)</f>
        <v/>
      </c>
      <c r="D81" s="19" t="n">
        <v>469</v>
      </c>
      <c r="E81" s="18" t="n">
        <v>43.3658968</v>
      </c>
      <c r="F81" s="20" t="n">
        <v>2.83031366</v>
      </c>
      <c r="G81" s="18" t="n">
        <v>55.2154499</v>
      </c>
      <c r="H81" s="20" t="n">
        <v>2.80140145</v>
      </c>
      <c r="I81" s="18" t="s">
        <v>567</v>
      </c>
      <c r="J81" s="20" t="s">
        <v>567</v>
      </c>
      <c r="K81" s="18" t="n">
        <v>0.74314759</v>
      </c>
      <c r="L81" s="20" t="n">
        <v>0.59168836</v>
      </c>
      <c r="M81" s="18" t="n">
        <v>0</v>
      </c>
      <c r="N81" s="20" t="n">
        <v>0</v>
      </c>
      <c r="O81" s="18" t="n">
        <v>0</v>
      </c>
      <c r="P81" s="20" t="n">
        <v>0</v>
      </c>
      <c r="Q81" s="18" t="n">
        <v>0.67550571</v>
      </c>
      <c r="R81" s="20" t="n">
        <v>0.47821114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(6619.0/B7*100)</f>
        <v/>
      </c>
      <c r="D7" s="19" t="n">
        <v>748</v>
      </c>
      <c r="E7" s="18" t="n">
        <v>44.69731702</v>
      </c>
      <c r="F7" s="20" t="n">
        <v>2.23949996</v>
      </c>
      <c r="G7" s="18" t="n">
        <v>53.04177477</v>
      </c>
      <c r="H7" s="20" t="n">
        <v>2.0805579</v>
      </c>
      <c r="I7" s="18" t="s">
        <v>567</v>
      </c>
      <c r="J7" s="20" t="s">
        <v>567</v>
      </c>
      <c r="K7" s="18" t="n">
        <v>2.0058784</v>
      </c>
      <c r="L7" s="20" t="n">
        <v>0.58499536</v>
      </c>
      <c r="M7" s="18" t="n">
        <v>0</v>
      </c>
      <c r="N7" s="20" t="n">
        <v>0</v>
      </c>
      <c r="O7" s="18" t="n">
        <v>0</v>
      </c>
      <c r="P7" s="20" t="n">
        <v>0</v>
      </c>
      <c r="Q7" s="18" t="n">
        <v>0.25502981</v>
      </c>
      <c r="R7" s="20" t="n">
        <v>0.1179346</v>
      </c>
    </row>
    <row r="8" spans="1:18">
      <c r="A8" s="15" t="s">
        <v>568</v>
      </c>
      <c r="B8" s="17" t="n">
        <v>3564</v>
      </c>
      <c r="C8" s="18">
        <f>(3180.0/B8*100)</f>
        <v/>
      </c>
      <c r="D8" s="19" t="n">
        <v>384</v>
      </c>
      <c r="E8" s="18" t="n">
        <v>43.42246624</v>
      </c>
      <c r="F8" s="20" t="n">
        <v>2.79141571</v>
      </c>
      <c r="G8" s="18" t="n">
        <v>51.90490961</v>
      </c>
      <c r="H8" s="20" t="n">
        <v>2.64203502</v>
      </c>
      <c r="I8" s="18" t="s">
        <v>567</v>
      </c>
      <c r="J8" s="20" t="s">
        <v>567</v>
      </c>
      <c r="K8" s="18" t="n">
        <v>2.82354806</v>
      </c>
      <c r="L8" s="20" t="n">
        <v>0.90820116</v>
      </c>
      <c r="M8" s="18" t="n">
        <v>0</v>
      </c>
      <c r="N8" s="20" t="n">
        <v>0</v>
      </c>
      <c r="O8" s="18" t="n">
        <v>0</v>
      </c>
      <c r="P8" s="20" t="n">
        <v>0</v>
      </c>
      <c r="Q8" s="18" t="n">
        <v>1.84907609</v>
      </c>
      <c r="R8" s="20" t="n">
        <v>0.7460266800000001</v>
      </c>
    </row>
    <row r="9" spans="1:18">
      <c r="A9" s="15" t="s">
        <v>569</v>
      </c>
      <c r="B9" s="17" t="n">
        <v>4899</v>
      </c>
      <c r="C9" s="18">
        <f>(4402.0/B9*100)</f>
        <v/>
      </c>
      <c r="D9" s="19" t="n">
        <v>497</v>
      </c>
      <c r="E9" s="18" t="n">
        <v>39.95039355</v>
      </c>
      <c r="F9" s="20" t="n">
        <v>2.39600524</v>
      </c>
      <c r="G9" s="18" t="n">
        <v>56.52398914</v>
      </c>
      <c r="H9" s="20" t="n">
        <v>2.29003541</v>
      </c>
      <c r="I9" s="18" t="s">
        <v>567</v>
      </c>
      <c r="J9" s="20" t="s">
        <v>567</v>
      </c>
      <c r="K9" s="18" t="n">
        <v>2.44357472</v>
      </c>
      <c r="L9" s="20" t="n">
        <v>0.71395042</v>
      </c>
      <c r="M9" s="18" t="n">
        <v>0</v>
      </c>
      <c r="N9" s="20" t="n">
        <v>0</v>
      </c>
      <c r="O9" s="18" t="n">
        <v>0</v>
      </c>
      <c r="P9" s="20" t="n">
        <v>0</v>
      </c>
      <c r="Q9" s="18" t="n">
        <v>1.08204259</v>
      </c>
      <c r="R9" s="20" t="n">
        <v>0.51025634</v>
      </c>
    </row>
    <row r="10" spans="1:18">
      <c r="A10" s="15" t="s">
        <v>570</v>
      </c>
      <c r="B10" s="17" t="n">
        <v>10036</v>
      </c>
      <c r="C10" s="18">
        <f>(8891.0/B10*100)</f>
        <v/>
      </c>
      <c r="D10" s="19" t="n">
        <v>1145</v>
      </c>
      <c r="E10" s="18" t="n">
        <v>38.52296997</v>
      </c>
      <c r="F10" s="20" t="n">
        <v>2.02548803</v>
      </c>
      <c r="G10" s="18" t="n">
        <v>58.6005315</v>
      </c>
      <c r="H10" s="20" t="n">
        <v>2.10313589</v>
      </c>
      <c r="I10" s="18" t="s">
        <v>567</v>
      </c>
      <c r="J10" s="20" t="s">
        <v>567</v>
      </c>
      <c r="K10" s="18" t="n">
        <v>2.07082437</v>
      </c>
      <c r="L10" s="20" t="n">
        <v>0.55755414</v>
      </c>
      <c r="M10" s="18" t="n">
        <v>0</v>
      </c>
      <c r="N10" s="20" t="n">
        <v>0</v>
      </c>
      <c r="O10" s="18" t="n">
        <v>0</v>
      </c>
      <c r="P10" s="20" t="n">
        <v>0</v>
      </c>
      <c r="Q10" s="18" t="n">
        <v>0.80567416</v>
      </c>
      <c r="R10" s="20" t="n">
        <v>0.40049825</v>
      </c>
    </row>
    <row r="11" spans="1:18">
      <c r="A11" s="15" t="s">
        <v>571</v>
      </c>
      <c r="B11" s="17" t="n">
        <v>3553</v>
      </c>
      <c r="C11" s="18">
        <f>(3189.0/B11*100)</f>
        <v/>
      </c>
      <c r="D11" s="19" t="n">
        <v>364</v>
      </c>
      <c r="E11" s="18" t="n">
        <v>54.37758451</v>
      </c>
      <c r="F11" s="20" t="n">
        <v>2.92616405</v>
      </c>
      <c r="G11" s="18" t="n">
        <v>39.43986541</v>
      </c>
      <c r="H11" s="20" t="n">
        <v>2.86966278</v>
      </c>
      <c r="I11" s="18" t="s">
        <v>567</v>
      </c>
      <c r="J11" s="20" t="s">
        <v>567</v>
      </c>
      <c r="K11" s="18" t="n">
        <v>5.70919768</v>
      </c>
      <c r="L11" s="20" t="n">
        <v>1.31105779</v>
      </c>
      <c r="M11" s="18" t="n">
        <v>0</v>
      </c>
      <c r="N11" s="20" t="n">
        <v>0</v>
      </c>
      <c r="O11" s="18" t="n">
        <v>0</v>
      </c>
      <c r="P11" s="20" t="n">
        <v>0</v>
      </c>
      <c r="Q11" s="18" t="n">
        <v>0.47335241</v>
      </c>
      <c r="R11" s="20" t="n">
        <v>0.32292591</v>
      </c>
    </row>
    <row r="12" spans="1:18">
      <c r="A12" s="15" t="s">
        <v>572</v>
      </c>
      <c r="B12" s="17" t="n">
        <v>3472</v>
      </c>
      <c r="C12" s="18">
        <f>(3077.0/B12*100)</f>
        <v/>
      </c>
      <c r="D12" s="19" t="n">
        <v>395</v>
      </c>
      <c r="E12" s="18" t="n">
        <v>50.01765399</v>
      </c>
      <c r="F12" s="20" t="n">
        <v>3.03611195</v>
      </c>
      <c r="G12" s="18" t="n">
        <v>47.64098212</v>
      </c>
      <c r="H12" s="20" t="n">
        <v>3.2016197</v>
      </c>
      <c r="I12" s="18" t="s">
        <v>567</v>
      </c>
      <c r="J12" s="20" t="s">
        <v>567</v>
      </c>
      <c r="K12" s="18" t="n">
        <v>2.12797781</v>
      </c>
      <c r="L12" s="20" t="n">
        <v>0.71582581</v>
      </c>
      <c r="M12" s="18" t="n">
        <v>0</v>
      </c>
      <c r="N12" s="20" t="n">
        <v>0</v>
      </c>
      <c r="O12" s="18" t="n">
        <v>0</v>
      </c>
      <c r="P12" s="20" t="n">
        <v>0</v>
      </c>
      <c r="Q12" s="18" t="n">
        <v>0.21338608</v>
      </c>
      <c r="R12" s="20" t="n">
        <v>0.21112039</v>
      </c>
    </row>
    <row r="13" spans="1:18">
      <c r="A13" s="15" t="s">
        <v>573</v>
      </c>
      <c r="B13" s="17" t="n">
        <v>3559</v>
      </c>
      <c r="C13" s="18">
        <f>(3190.0/B13*100)</f>
        <v/>
      </c>
      <c r="D13" s="19" t="n">
        <v>369</v>
      </c>
      <c r="E13" s="18" t="n">
        <v>45.64566573</v>
      </c>
      <c r="F13" s="20" t="n">
        <v>3.29502339</v>
      </c>
      <c r="G13" s="18" t="n">
        <v>50.15874522</v>
      </c>
      <c r="H13" s="20" t="n">
        <v>3.52682506</v>
      </c>
      <c r="I13" s="18" t="s">
        <v>567</v>
      </c>
      <c r="J13" s="20" t="s">
        <v>567</v>
      </c>
      <c r="K13" s="18" t="n">
        <v>3.28491595</v>
      </c>
      <c r="L13" s="20" t="n">
        <v>1.16065109</v>
      </c>
      <c r="M13" s="18" t="n">
        <v>0</v>
      </c>
      <c r="N13" s="20" t="n">
        <v>0</v>
      </c>
      <c r="O13" s="18" t="n">
        <v>0</v>
      </c>
      <c r="P13" s="20" t="n">
        <v>0</v>
      </c>
      <c r="Q13" s="18" t="n">
        <v>0.9106731</v>
      </c>
      <c r="R13" s="20" t="n">
        <v>0.65043354</v>
      </c>
    </row>
    <row r="14" spans="1:18">
      <c r="A14" s="15" t="s">
        <v>574</v>
      </c>
      <c r="B14" s="17" t="n">
        <v>2799</v>
      </c>
      <c r="C14" s="18">
        <f>(2489.0/B14*100)</f>
        <v/>
      </c>
      <c r="D14" s="19" t="n">
        <v>310</v>
      </c>
      <c r="E14" s="18" t="n">
        <v>43.0375941</v>
      </c>
      <c r="F14" s="20" t="n">
        <v>2.86597532</v>
      </c>
      <c r="G14" s="18" t="n">
        <v>55.94139803</v>
      </c>
      <c r="H14" s="20" t="n">
        <v>2.82386783</v>
      </c>
      <c r="I14" s="18" t="s">
        <v>567</v>
      </c>
      <c r="J14" s="20" t="s">
        <v>567</v>
      </c>
      <c r="K14" s="18" t="n">
        <v>0.79608314</v>
      </c>
      <c r="L14" s="20" t="n">
        <v>0.4577615</v>
      </c>
      <c r="M14" s="18" t="n">
        <v>0</v>
      </c>
      <c r="N14" s="20" t="n">
        <v>0</v>
      </c>
      <c r="O14" s="18" t="n">
        <v>0</v>
      </c>
      <c r="P14" s="20" t="n">
        <v>0</v>
      </c>
      <c r="Q14" s="18" t="n">
        <v>0.22492473</v>
      </c>
      <c r="R14" s="20" t="n">
        <v>0.2193764</v>
      </c>
    </row>
    <row r="15" spans="1:18">
      <c r="A15" s="15" t="s">
        <v>575</v>
      </c>
      <c r="B15" s="17" t="n">
        <v>3019</v>
      </c>
      <c r="C15" s="18">
        <f>(2724.0/B15*100)</f>
        <v/>
      </c>
      <c r="D15" s="19" t="n">
        <v>295</v>
      </c>
      <c r="E15" s="18" t="n">
        <v>43.93646777</v>
      </c>
      <c r="F15" s="20" t="n">
        <v>3.09676527</v>
      </c>
      <c r="G15" s="18" t="n">
        <v>55.72186733</v>
      </c>
      <c r="H15" s="20" t="n">
        <v>3.17294121</v>
      </c>
      <c r="I15" s="18" t="s">
        <v>567</v>
      </c>
      <c r="J15" s="20" t="s">
        <v>567</v>
      </c>
      <c r="K15" s="18" t="n">
        <v>0</v>
      </c>
      <c r="L15" s="20" t="n">
        <v>0</v>
      </c>
      <c r="M15" s="18" t="n">
        <v>0</v>
      </c>
      <c r="N15" s="20" t="n">
        <v>0</v>
      </c>
      <c r="O15" s="18" t="n">
        <v>0</v>
      </c>
      <c r="P15" s="20" t="n">
        <v>0</v>
      </c>
      <c r="Q15" s="18" t="n">
        <v>0.34166491</v>
      </c>
      <c r="R15" s="20" t="n">
        <v>0.33344774</v>
      </c>
    </row>
    <row r="16" spans="1:18">
      <c r="A16" s="15" t="s">
        <v>576</v>
      </c>
      <c r="B16" s="17" t="n">
        <v>2997</v>
      </c>
      <c r="C16" s="18">
        <f>(2684.0/B16*100)</f>
        <v/>
      </c>
      <c r="D16" s="19" t="n">
        <v>313</v>
      </c>
      <c r="E16" s="18" t="n">
        <v>44.5214033</v>
      </c>
      <c r="F16" s="20" t="n">
        <v>2.9768813</v>
      </c>
      <c r="G16" s="18" t="n">
        <v>49.87902534</v>
      </c>
      <c r="H16" s="20" t="n">
        <v>2.580743</v>
      </c>
      <c r="I16" s="18" t="s">
        <v>567</v>
      </c>
      <c r="J16" s="20" t="s">
        <v>567</v>
      </c>
      <c r="K16" s="18" t="n">
        <v>4.90514247</v>
      </c>
      <c r="L16" s="20" t="n">
        <v>1.36075496</v>
      </c>
      <c r="M16" s="18" t="n">
        <v>0</v>
      </c>
      <c r="N16" s="20" t="n">
        <v>0</v>
      </c>
      <c r="O16" s="18" t="n">
        <v>0</v>
      </c>
      <c r="P16" s="20" t="n">
        <v>0</v>
      </c>
      <c r="Q16" s="18" t="n">
        <v>0.69442888</v>
      </c>
      <c r="R16" s="20" t="n">
        <v>0.61265306</v>
      </c>
    </row>
    <row r="17" spans="1:18">
      <c r="A17" s="15" t="s">
        <v>577</v>
      </c>
      <c r="B17" s="17" t="n">
        <v>3307</v>
      </c>
      <c r="C17" s="18">
        <f>(2985.0/B17*100)</f>
        <v/>
      </c>
      <c r="D17" s="19" t="n">
        <v>322</v>
      </c>
      <c r="E17" s="18" t="n">
        <v>37.66108718</v>
      </c>
      <c r="F17" s="20" t="n">
        <v>2.74412801</v>
      </c>
      <c r="G17" s="18" t="n">
        <v>60.61029775</v>
      </c>
      <c r="H17" s="20" t="n">
        <v>2.74489309</v>
      </c>
      <c r="I17" s="18" t="s">
        <v>567</v>
      </c>
      <c r="J17" s="20" t="s">
        <v>567</v>
      </c>
      <c r="K17" s="18" t="n">
        <v>1.72861507</v>
      </c>
      <c r="L17" s="20" t="n">
        <v>0.6377748600000001</v>
      </c>
      <c r="M17" s="18" t="n">
        <v>0</v>
      </c>
      <c r="N17" s="20" t="n">
        <v>0</v>
      </c>
      <c r="O17" s="18" t="n">
        <v>0</v>
      </c>
      <c r="P17" s="20" t="n">
        <v>0</v>
      </c>
      <c r="Q17" s="18" t="n">
        <v>0</v>
      </c>
      <c r="R17" s="20" t="n">
        <v>0</v>
      </c>
    </row>
    <row r="18" spans="1:18">
      <c r="A18" s="15" t="s">
        <v>578</v>
      </c>
      <c r="B18" s="17" t="n">
        <v>2826</v>
      </c>
      <c r="C18" s="18">
        <f>(2496.0/B18*100)</f>
        <v/>
      </c>
      <c r="D18" s="19" t="n">
        <v>330</v>
      </c>
      <c r="E18" s="18" t="n">
        <v>48.30235951</v>
      </c>
      <c r="F18" s="20" t="n">
        <v>3.1560578</v>
      </c>
      <c r="G18" s="18" t="n">
        <v>49.29188572</v>
      </c>
      <c r="H18" s="20" t="n">
        <v>3.07807087</v>
      </c>
      <c r="I18" s="18" t="s">
        <v>567</v>
      </c>
      <c r="J18" s="20" t="s">
        <v>567</v>
      </c>
      <c r="K18" s="18" t="n">
        <v>2.40575477</v>
      </c>
      <c r="L18" s="20" t="n">
        <v>0.8453297400000001</v>
      </c>
      <c r="M18" s="18" t="n">
        <v>0</v>
      </c>
      <c r="N18" s="20" t="n">
        <v>0</v>
      </c>
      <c r="O18" s="18" t="n">
        <v>0</v>
      </c>
      <c r="P18" s="20" t="n">
        <v>0</v>
      </c>
      <c r="Q18" s="18" t="n">
        <v>0</v>
      </c>
      <c r="R18" s="20" t="n">
        <v>0</v>
      </c>
    </row>
    <row r="19" spans="1:18">
      <c r="A19" s="15" t="s">
        <v>579</v>
      </c>
      <c r="B19" s="17" t="n">
        <v>2808</v>
      </c>
      <c r="C19" s="18">
        <f>(2518.0/B19*100)</f>
        <v/>
      </c>
      <c r="D19" s="19" t="n">
        <v>290</v>
      </c>
      <c r="E19" s="18" t="n">
        <v>51.69900321</v>
      </c>
      <c r="F19" s="20" t="n">
        <v>3.07918361</v>
      </c>
      <c r="G19" s="18" t="n">
        <v>47.51063515</v>
      </c>
      <c r="H19" s="20" t="n">
        <v>3.15367155</v>
      </c>
      <c r="I19" s="18" t="s">
        <v>567</v>
      </c>
      <c r="J19" s="20" t="s">
        <v>567</v>
      </c>
      <c r="K19" s="18" t="n">
        <v>0</v>
      </c>
      <c r="L19" s="20" t="n">
        <v>0</v>
      </c>
      <c r="M19" s="18" t="n">
        <v>0</v>
      </c>
      <c r="N19" s="20" t="n">
        <v>0</v>
      </c>
      <c r="O19" s="18" t="n">
        <v>0</v>
      </c>
      <c r="P19" s="20" t="n">
        <v>0</v>
      </c>
      <c r="Q19" s="18" t="n">
        <v>0.79036164</v>
      </c>
      <c r="R19" s="20" t="n">
        <v>0.74648565</v>
      </c>
    </row>
    <row r="20" spans="1:18">
      <c r="A20" s="15" t="s">
        <v>580</v>
      </c>
      <c r="B20" s="17" t="n">
        <v>1630</v>
      </c>
      <c r="C20" s="18">
        <f>(1457.0/B20*100)</f>
        <v/>
      </c>
      <c r="D20" s="19" t="n">
        <v>173</v>
      </c>
      <c r="E20" s="18" t="n">
        <v>43.8111935</v>
      </c>
      <c r="F20" s="20" t="n">
        <v>3.76125359</v>
      </c>
      <c r="G20" s="18" t="n">
        <v>52.04052135</v>
      </c>
      <c r="H20" s="20" t="n">
        <v>3.90397477</v>
      </c>
      <c r="I20" s="18" t="s">
        <v>567</v>
      </c>
      <c r="J20" s="20" t="s">
        <v>567</v>
      </c>
      <c r="K20" s="18" t="n">
        <v>1.56989037</v>
      </c>
      <c r="L20" s="20" t="n">
        <v>0.9252756600000001</v>
      </c>
      <c r="M20" s="18" t="n">
        <v>0</v>
      </c>
      <c r="N20" s="20" t="n">
        <v>0</v>
      </c>
      <c r="O20" s="18" t="n">
        <v>0</v>
      </c>
      <c r="P20" s="20" t="n">
        <v>0</v>
      </c>
      <c r="Q20" s="18" t="n">
        <v>2.57839478</v>
      </c>
      <c r="R20" s="20" t="n">
        <v>1.28510862</v>
      </c>
    </row>
    <row r="21" spans="1:18">
      <c r="A21" s="15" t="s">
        <v>581</v>
      </c>
      <c r="B21" s="17" t="n">
        <v>2908</v>
      </c>
      <c r="C21" s="18">
        <f>(2593.0/B21*100)</f>
        <v/>
      </c>
      <c r="D21" s="19" t="n">
        <v>315</v>
      </c>
      <c r="E21" s="18" t="n">
        <v>40.85650126</v>
      </c>
      <c r="F21" s="20" t="n">
        <v>2.40735456</v>
      </c>
      <c r="G21" s="18" t="n">
        <v>55.61742988</v>
      </c>
      <c r="H21" s="20" t="n">
        <v>2.42999333</v>
      </c>
      <c r="I21" s="18" t="s">
        <v>567</v>
      </c>
      <c r="J21" s="20" t="s">
        <v>567</v>
      </c>
      <c r="K21" s="18" t="n">
        <v>2.57196386</v>
      </c>
      <c r="L21" s="20" t="n">
        <v>0.87571086</v>
      </c>
      <c r="M21" s="18" t="n">
        <v>0</v>
      </c>
      <c r="N21" s="20" t="n">
        <v>0</v>
      </c>
      <c r="O21" s="18" t="n">
        <v>0</v>
      </c>
      <c r="P21" s="20" t="n">
        <v>0</v>
      </c>
      <c r="Q21" s="18" t="n">
        <v>0.954105</v>
      </c>
      <c r="R21" s="20" t="n">
        <v>0.57108272</v>
      </c>
    </row>
    <row r="22" spans="1:18">
      <c r="A22" s="15" t="s">
        <v>582</v>
      </c>
      <c r="B22" s="17" t="n">
        <v>2931</v>
      </c>
      <c r="C22" s="18">
        <f>(2630.0/B22*100)</f>
        <v/>
      </c>
      <c r="D22" s="19" t="n">
        <v>301</v>
      </c>
      <c r="E22" s="18" t="n">
        <v>42.83849807</v>
      </c>
      <c r="F22" s="20" t="n">
        <v>4.01082316</v>
      </c>
      <c r="G22" s="18" t="n">
        <v>51.48578732</v>
      </c>
      <c r="H22" s="20" t="n">
        <v>3.83573501</v>
      </c>
      <c r="I22" s="18" t="s">
        <v>567</v>
      </c>
      <c r="J22" s="20" t="s">
        <v>567</v>
      </c>
      <c r="K22" s="18" t="n">
        <v>4.52496311</v>
      </c>
      <c r="L22" s="20" t="n">
        <v>1.23671166</v>
      </c>
      <c r="M22" s="18" t="n">
        <v>0</v>
      </c>
      <c r="N22" s="20" t="n">
        <v>0</v>
      </c>
      <c r="O22" s="18" t="n">
        <v>0</v>
      </c>
      <c r="P22" s="20" t="n">
        <v>0</v>
      </c>
      <c r="Q22" s="18" t="n">
        <v>1.1507515</v>
      </c>
      <c r="R22" s="20" t="n">
        <v>0.67684301</v>
      </c>
    </row>
    <row r="23" spans="1:18">
      <c r="A23" s="15" t="s">
        <v>583</v>
      </c>
      <c r="B23" s="17" t="n">
        <v>5791</v>
      </c>
      <c r="C23" s="18">
        <f>(5195.0/B23*100)</f>
        <v/>
      </c>
      <c r="D23" s="19" t="n">
        <v>596</v>
      </c>
      <c r="E23" s="18" t="n">
        <v>47.4052006</v>
      </c>
      <c r="F23" s="20" t="n">
        <v>2.68784013</v>
      </c>
      <c r="G23" s="18" t="n">
        <v>49.44446021</v>
      </c>
      <c r="H23" s="20" t="n">
        <v>2.84409825</v>
      </c>
      <c r="I23" s="18" t="s">
        <v>567</v>
      </c>
      <c r="J23" s="20" t="s">
        <v>567</v>
      </c>
      <c r="K23" s="18" t="n">
        <v>2.13814648</v>
      </c>
      <c r="L23" s="20" t="n">
        <v>0.84993572</v>
      </c>
      <c r="M23" s="18" t="n">
        <v>0</v>
      </c>
      <c r="N23" s="20" t="n">
        <v>0</v>
      </c>
      <c r="O23" s="18" t="n">
        <v>0</v>
      </c>
      <c r="P23" s="20" t="n">
        <v>0</v>
      </c>
      <c r="Q23" s="18" t="n">
        <v>1.0121927</v>
      </c>
      <c r="R23" s="20" t="n">
        <v>0.50086841</v>
      </c>
    </row>
    <row r="24" spans="1:18">
      <c r="A24" s="15" t="s">
        <v>584</v>
      </c>
      <c r="B24" s="17" t="n">
        <v>3338</v>
      </c>
      <c r="C24" s="18">
        <f>(2983.0/B24*100)</f>
        <v/>
      </c>
      <c r="D24" s="19" t="n">
        <v>355</v>
      </c>
      <c r="E24" s="18" t="n">
        <v>38.38013492</v>
      </c>
      <c r="F24" s="20" t="n">
        <v>2.97646182</v>
      </c>
      <c r="G24" s="18" t="n">
        <v>58.89035868</v>
      </c>
      <c r="H24" s="20" t="n">
        <v>2.89697998</v>
      </c>
      <c r="I24" s="18" t="s">
        <v>567</v>
      </c>
      <c r="J24" s="20" t="s">
        <v>567</v>
      </c>
      <c r="K24" s="18" t="n">
        <v>2.18465801</v>
      </c>
      <c r="L24" s="20" t="n">
        <v>0.8529908899999999</v>
      </c>
      <c r="M24" s="18" t="n">
        <v>0</v>
      </c>
      <c r="N24" s="20" t="n">
        <v>0</v>
      </c>
      <c r="O24" s="18" t="n">
        <v>0</v>
      </c>
      <c r="P24" s="20" t="n">
        <v>0</v>
      </c>
      <c r="Q24" s="18" t="n">
        <v>0.54484839</v>
      </c>
      <c r="R24" s="20" t="n">
        <v>0.38962683</v>
      </c>
    </row>
    <row r="25" spans="1:18">
      <c r="A25" s="15" t="s">
        <v>585</v>
      </c>
      <c r="B25" s="17" t="n">
        <v>2912</v>
      </c>
      <c r="C25" s="18">
        <f>(2601.0/B25*100)</f>
        <v/>
      </c>
      <c r="D25" s="19" t="n">
        <v>311</v>
      </c>
      <c r="E25" s="18" t="n">
        <v>32.51794027</v>
      </c>
      <c r="F25" s="20" t="n">
        <v>2.53161833</v>
      </c>
      <c r="G25" s="18" t="n">
        <v>66.56006228</v>
      </c>
      <c r="H25" s="20" t="n">
        <v>2.51143915</v>
      </c>
      <c r="I25" s="18" t="s">
        <v>567</v>
      </c>
      <c r="J25" s="20" t="s">
        <v>567</v>
      </c>
      <c r="K25" s="18" t="n">
        <v>0.9219974399999999</v>
      </c>
      <c r="L25" s="20" t="n">
        <v>0.55009847</v>
      </c>
      <c r="M25" s="18" t="n">
        <v>0</v>
      </c>
      <c r="N25" s="20" t="n">
        <v>0</v>
      </c>
      <c r="O25" s="18" t="n">
        <v>0</v>
      </c>
      <c r="P25" s="20" t="n">
        <v>0</v>
      </c>
      <c r="Q25" s="18" t="n">
        <v>0</v>
      </c>
      <c r="R25" s="20" t="n">
        <v>0</v>
      </c>
    </row>
    <row r="26" spans="1:18">
      <c r="A26" s="15" t="s">
        <v>586</v>
      </c>
      <c r="B26" s="17" t="n">
        <v>2450</v>
      </c>
      <c r="C26" s="18">
        <f>(2183.0/B26*100)</f>
        <v/>
      </c>
      <c r="D26" s="19" t="n">
        <v>267</v>
      </c>
      <c r="E26" s="18" t="n">
        <v>49.35735093</v>
      </c>
      <c r="F26" s="20" t="n">
        <v>3.31730417</v>
      </c>
      <c r="G26" s="18" t="n">
        <v>50.3395274</v>
      </c>
      <c r="H26" s="20" t="n">
        <v>3.29815026</v>
      </c>
      <c r="I26" s="18" t="s">
        <v>567</v>
      </c>
      <c r="J26" s="20" t="s">
        <v>567</v>
      </c>
      <c r="K26" s="18" t="n">
        <v>0.30312167</v>
      </c>
      <c r="L26" s="20" t="n">
        <v>0.31114021</v>
      </c>
      <c r="M26" s="18" t="n">
        <v>0</v>
      </c>
      <c r="N26" s="20" t="n">
        <v>0</v>
      </c>
      <c r="O26" s="18" t="n">
        <v>0</v>
      </c>
      <c r="P26" s="20" t="n">
        <v>0</v>
      </c>
      <c r="Q26" s="18" t="n">
        <v>0</v>
      </c>
      <c r="R26" s="20" t="n">
        <v>0</v>
      </c>
    </row>
    <row r="27" spans="1:18">
      <c r="A27" s="15" t="s">
        <v>587</v>
      </c>
      <c r="B27" s="17" t="n">
        <v>2616</v>
      </c>
      <c r="C27" s="18">
        <f>(2351.0/B27*100)</f>
        <v/>
      </c>
      <c r="D27" s="19" t="n">
        <v>265</v>
      </c>
      <c r="E27" s="18" t="n">
        <v>42.03781524</v>
      </c>
      <c r="F27" s="20" t="n">
        <v>3.20912873</v>
      </c>
      <c r="G27" s="18" t="n">
        <v>53.05196014</v>
      </c>
      <c r="H27" s="20" t="n">
        <v>3.37370423</v>
      </c>
      <c r="I27" s="18" t="s">
        <v>567</v>
      </c>
      <c r="J27" s="20" t="s">
        <v>567</v>
      </c>
      <c r="K27" s="18" t="n">
        <v>4.17541587</v>
      </c>
      <c r="L27" s="20" t="n">
        <v>1.20528449</v>
      </c>
      <c r="M27" s="18" t="n">
        <v>0</v>
      </c>
      <c r="N27" s="20" t="n">
        <v>0</v>
      </c>
      <c r="O27" s="18" t="n">
        <v>0</v>
      </c>
      <c r="P27" s="20" t="n">
        <v>0</v>
      </c>
      <c r="Q27" s="18" t="n">
        <v>0.73480875</v>
      </c>
      <c r="R27" s="20" t="n">
        <v>0.52701184</v>
      </c>
    </row>
    <row r="28" spans="1:18">
      <c r="A28" s="15" t="s">
        <v>588</v>
      </c>
      <c r="B28" s="17" t="n">
        <v>3765</v>
      </c>
      <c r="C28" s="18">
        <f>(3410.0/B28*100)</f>
        <v/>
      </c>
      <c r="D28" s="19" t="n">
        <v>355</v>
      </c>
      <c r="E28" s="18" t="n">
        <v>60.84942079</v>
      </c>
      <c r="F28" s="20" t="n">
        <v>3.15636881</v>
      </c>
      <c r="G28" s="18" t="n">
        <v>37.83278879</v>
      </c>
      <c r="H28" s="20" t="n">
        <v>3.12577642</v>
      </c>
      <c r="I28" s="18" t="s">
        <v>567</v>
      </c>
      <c r="J28" s="20" t="s">
        <v>567</v>
      </c>
      <c r="K28" s="18" t="n">
        <v>1.12472526</v>
      </c>
      <c r="L28" s="20" t="n">
        <v>0.5992254</v>
      </c>
      <c r="M28" s="18" t="n">
        <v>0</v>
      </c>
      <c r="N28" s="20" t="n">
        <v>0</v>
      </c>
      <c r="O28" s="18" t="n">
        <v>0</v>
      </c>
      <c r="P28" s="20" t="n">
        <v>0</v>
      </c>
      <c r="Q28" s="18" t="n">
        <v>0.19306516</v>
      </c>
      <c r="R28" s="20" t="n">
        <v>0.18140671</v>
      </c>
    </row>
    <row r="29" spans="1:18">
      <c r="A29" s="15" t="s">
        <v>589</v>
      </c>
      <c r="B29" s="17" t="n">
        <v>2685</v>
      </c>
      <c r="C29" s="18">
        <f>(2394.0/B29*100)</f>
        <v/>
      </c>
      <c r="D29" s="19" t="n">
        <v>291</v>
      </c>
      <c r="E29" s="18" t="n">
        <v>41.96995716</v>
      </c>
      <c r="F29" s="20" t="n">
        <v>2.84387806</v>
      </c>
      <c r="G29" s="18" t="n">
        <v>57.45144857</v>
      </c>
      <c r="H29" s="20" t="n">
        <v>2.87923206</v>
      </c>
      <c r="I29" s="18" t="s">
        <v>567</v>
      </c>
      <c r="J29" s="20" t="s">
        <v>567</v>
      </c>
      <c r="K29" s="18" t="n">
        <v>0.57859427</v>
      </c>
      <c r="L29" s="20" t="n">
        <v>0.3936097</v>
      </c>
      <c r="M29" s="18" t="n">
        <v>0</v>
      </c>
      <c r="N29" s="20" t="n">
        <v>0</v>
      </c>
      <c r="O29" s="18" t="n">
        <v>0</v>
      </c>
      <c r="P29" s="20" t="n">
        <v>0</v>
      </c>
      <c r="Q29" s="18" t="n">
        <v>0</v>
      </c>
      <c r="R29" s="20" t="n">
        <v>0</v>
      </c>
    </row>
    <row r="30" spans="1:18">
      <c r="A30" s="15" t="s">
        <v>590</v>
      </c>
      <c r="B30" s="17" t="n">
        <v>2263</v>
      </c>
      <c r="C30" s="18">
        <f>(2047.0/B30*100)</f>
        <v/>
      </c>
      <c r="D30" s="19" t="n">
        <v>216</v>
      </c>
      <c r="E30" s="18" t="n">
        <v>41.88914714</v>
      </c>
      <c r="F30" s="20" t="n">
        <v>3.01940252</v>
      </c>
      <c r="G30" s="18" t="n">
        <v>54.46078367</v>
      </c>
      <c r="H30" s="20" t="n">
        <v>3.11878373</v>
      </c>
      <c r="I30" s="18" t="s">
        <v>567</v>
      </c>
      <c r="J30" s="20" t="s">
        <v>567</v>
      </c>
      <c r="K30" s="18" t="n">
        <v>2.92305278</v>
      </c>
      <c r="L30" s="20" t="n">
        <v>1.17731766</v>
      </c>
      <c r="M30" s="18" t="n">
        <v>0</v>
      </c>
      <c r="N30" s="20" t="n">
        <v>0</v>
      </c>
      <c r="O30" s="18" t="n">
        <v>0</v>
      </c>
      <c r="P30" s="20" t="n">
        <v>0</v>
      </c>
      <c r="Q30" s="18" t="n">
        <v>0.7270164099999999</v>
      </c>
      <c r="R30" s="20" t="n">
        <v>0.52259375</v>
      </c>
    </row>
    <row r="31" spans="1:18">
      <c r="A31" s="15" t="s">
        <v>591</v>
      </c>
      <c r="B31" s="17" t="n">
        <v>2750</v>
      </c>
      <c r="C31" s="18">
        <f>(2444.0/B31*100)</f>
        <v/>
      </c>
      <c r="D31" s="19" t="n">
        <v>306</v>
      </c>
      <c r="E31" s="18" t="n">
        <v>39.12816742</v>
      </c>
      <c r="F31" s="20" t="n">
        <v>2.52361393</v>
      </c>
      <c r="G31" s="18" t="n">
        <v>57.63945878</v>
      </c>
      <c r="H31" s="20" t="n">
        <v>2.57373556</v>
      </c>
      <c r="I31" s="18" t="s">
        <v>567</v>
      </c>
      <c r="J31" s="20" t="s">
        <v>567</v>
      </c>
      <c r="K31" s="18" t="n">
        <v>2.9312439</v>
      </c>
      <c r="L31" s="20" t="n">
        <v>1.05265444</v>
      </c>
      <c r="M31" s="18" t="n">
        <v>0</v>
      </c>
      <c r="N31" s="20" t="n">
        <v>0</v>
      </c>
      <c r="O31" s="18" t="n">
        <v>0</v>
      </c>
      <c r="P31" s="20" t="n">
        <v>0</v>
      </c>
      <c r="Q31" s="18" t="n">
        <v>0.3011299</v>
      </c>
      <c r="R31" s="20" t="n">
        <v>0.30709075</v>
      </c>
    </row>
    <row r="32" spans="1:18">
      <c r="A32" s="15" t="s">
        <v>592</v>
      </c>
      <c r="B32" s="17" t="n">
        <v>2269</v>
      </c>
      <c r="C32" s="18">
        <f>(2007.0/B32*100)</f>
        <v/>
      </c>
      <c r="D32" s="19" t="n">
        <v>262</v>
      </c>
      <c r="E32" s="18" t="n">
        <v>49.81446179</v>
      </c>
      <c r="F32" s="20" t="n">
        <v>3.27853748</v>
      </c>
      <c r="G32" s="18" t="n">
        <v>49.79787571</v>
      </c>
      <c r="H32" s="20" t="n">
        <v>3.25586412</v>
      </c>
      <c r="I32" s="18" t="s">
        <v>567</v>
      </c>
      <c r="J32" s="20" t="s">
        <v>567</v>
      </c>
      <c r="K32" s="18" t="n">
        <v>0.38766249</v>
      </c>
      <c r="L32" s="20" t="n">
        <v>0.40498236</v>
      </c>
      <c r="M32" s="18" t="n">
        <v>0</v>
      </c>
      <c r="N32" s="20" t="n">
        <v>0</v>
      </c>
      <c r="O32" s="18" t="n">
        <v>0</v>
      </c>
      <c r="P32" s="20" t="n">
        <v>0</v>
      </c>
      <c r="Q32" s="18" t="n">
        <v>0</v>
      </c>
      <c r="R32" s="20" t="n">
        <v>0</v>
      </c>
    </row>
    <row r="33" spans="1:18">
      <c r="A33" s="15" t="s">
        <v>593</v>
      </c>
      <c r="B33" s="17" t="n">
        <v>3674</v>
      </c>
      <c r="C33" s="18">
        <f>(3272.0/B33*100)</f>
        <v/>
      </c>
      <c r="D33" s="19" t="n">
        <v>402</v>
      </c>
      <c r="E33" s="18" t="n">
        <v>50.70279451</v>
      </c>
      <c r="F33" s="20" t="n">
        <v>2.45620818</v>
      </c>
      <c r="G33" s="18" t="n">
        <v>47.53651054</v>
      </c>
      <c r="H33" s="20" t="n">
        <v>2.39058573</v>
      </c>
      <c r="I33" s="18" t="s">
        <v>567</v>
      </c>
      <c r="J33" s="20" t="s">
        <v>567</v>
      </c>
      <c r="K33" s="18" t="n">
        <v>1.76069494</v>
      </c>
      <c r="L33" s="20" t="n">
        <v>0.72254156</v>
      </c>
      <c r="M33" s="18" t="n">
        <v>0</v>
      </c>
      <c r="N33" s="20" t="n">
        <v>0</v>
      </c>
      <c r="O33" s="18" t="n">
        <v>0</v>
      </c>
      <c r="P33" s="20" t="n">
        <v>0</v>
      </c>
      <c r="Q33" s="18" t="n">
        <v>0</v>
      </c>
      <c r="R33" s="20" t="n">
        <v>0</v>
      </c>
    </row>
    <row r="34" spans="1:18">
      <c r="A34" s="15" t="s">
        <v>594</v>
      </c>
      <c r="B34" s="17" t="n">
        <v>3315</v>
      </c>
      <c r="C34" s="18">
        <f>(2961.0/B34*100)</f>
        <v/>
      </c>
      <c r="D34" s="19" t="n">
        <v>354</v>
      </c>
      <c r="E34" s="18" t="n">
        <v>54.41243469</v>
      </c>
      <c r="F34" s="20" t="n">
        <v>2.51105125</v>
      </c>
      <c r="G34" s="18" t="n">
        <v>43.14706213</v>
      </c>
      <c r="H34" s="20" t="n">
        <v>2.55047025</v>
      </c>
      <c r="I34" s="18" t="s">
        <v>567</v>
      </c>
      <c r="J34" s="20" t="s">
        <v>567</v>
      </c>
      <c r="K34" s="18" t="n">
        <v>1.95458683</v>
      </c>
      <c r="L34" s="20" t="n">
        <v>0.7511910000000001</v>
      </c>
      <c r="M34" s="18" t="n">
        <v>0</v>
      </c>
      <c r="N34" s="20" t="n">
        <v>0</v>
      </c>
      <c r="O34" s="18" t="n">
        <v>0</v>
      </c>
      <c r="P34" s="20" t="n">
        <v>0</v>
      </c>
      <c r="Q34" s="18" t="n">
        <v>0.48591635</v>
      </c>
      <c r="R34" s="20" t="n">
        <v>0.35070652</v>
      </c>
    </row>
    <row r="35" spans="1:18">
      <c r="A35" s="15" t="s">
        <v>595</v>
      </c>
      <c r="B35" s="17" t="n">
        <v>3505</v>
      </c>
      <c r="C35" s="18">
        <f>(3150.0/B35*100)</f>
        <v/>
      </c>
      <c r="D35" s="19" t="n">
        <v>355</v>
      </c>
      <c r="E35" s="18" t="n">
        <v>51.59298348</v>
      </c>
      <c r="F35" s="20" t="n">
        <v>3.379987</v>
      </c>
      <c r="G35" s="18" t="n">
        <v>47.28577858</v>
      </c>
      <c r="H35" s="20" t="n">
        <v>3.29752422</v>
      </c>
      <c r="I35" s="18" t="s">
        <v>567</v>
      </c>
      <c r="J35" s="20" t="s">
        <v>567</v>
      </c>
      <c r="K35" s="18" t="n">
        <v>0.73924607</v>
      </c>
      <c r="L35" s="20" t="n">
        <v>0.45522207</v>
      </c>
      <c r="M35" s="18" t="n">
        <v>0</v>
      </c>
      <c r="N35" s="20" t="n">
        <v>0</v>
      </c>
      <c r="O35" s="18" t="n">
        <v>0</v>
      </c>
      <c r="P35" s="20" t="n">
        <v>0</v>
      </c>
      <c r="Q35" s="18" t="n">
        <v>0.38199187</v>
      </c>
      <c r="R35" s="20" t="n">
        <v>0.27473685</v>
      </c>
    </row>
    <row r="36" spans="1:18">
      <c r="A36" s="15" t="s">
        <v>596</v>
      </c>
      <c r="B36" s="17" t="n">
        <v>3332</v>
      </c>
      <c r="C36" s="18">
        <f>(2991.0/B36*100)</f>
        <v/>
      </c>
      <c r="D36" s="19" t="n">
        <v>341</v>
      </c>
      <c r="E36" s="18" t="n">
        <v>51.83559139</v>
      </c>
      <c r="F36" s="20" t="n">
        <v>3.22050585</v>
      </c>
      <c r="G36" s="18" t="n">
        <v>44.75849795</v>
      </c>
      <c r="H36" s="20" t="n">
        <v>2.99373216</v>
      </c>
      <c r="I36" s="18" t="s">
        <v>567</v>
      </c>
      <c r="J36" s="20" t="s">
        <v>567</v>
      </c>
      <c r="K36" s="18" t="n">
        <v>2.43752213</v>
      </c>
      <c r="L36" s="20" t="n">
        <v>0.99909953</v>
      </c>
      <c r="M36" s="18" t="n">
        <v>0</v>
      </c>
      <c r="N36" s="20" t="n">
        <v>0</v>
      </c>
      <c r="O36" s="18" t="n">
        <v>0</v>
      </c>
      <c r="P36" s="20" t="n">
        <v>0</v>
      </c>
      <c r="Q36" s="18" t="n">
        <v>0.96838854</v>
      </c>
      <c r="R36" s="20" t="n">
        <v>0.5650309999999999</v>
      </c>
    </row>
    <row r="37" spans="1:18">
      <c r="A37" s="15" t="s">
        <v>597</v>
      </c>
      <c r="B37" s="17" t="n">
        <v>2727</v>
      </c>
      <c r="C37" s="18">
        <f>(2447.0/B37*100)</f>
        <v/>
      </c>
      <c r="D37" s="19" t="n">
        <v>280</v>
      </c>
      <c r="E37" s="18" t="n">
        <v>41.92848091</v>
      </c>
      <c r="F37" s="20" t="n">
        <v>2.69158959</v>
      </c>
      <c r="G37" s="18" t="n">
        <v>53.08407025</v>
      </c>
      <c r="H37" s="20" t="n">
        <v>2.86156275</v>
      </c>
      <c r="I37" s="18" t="s">
        <v>567</v>
      </c>
      <c r="J37" s="20" t="s">
        <v>567</v>
      </c>
      <c r="K37" s="18" t="n">
        <v>3.87066292</v>
      </c>
      <c r="L37" s="20" t="n">
        <v>1.1743393</v>
      </c>
      <c r="M37" s="18" t="n">
        <v>0</v>
      </c>
      <c r="N37" s="20" t="n">
        <v>0</v>
      </c>
      <c r="O37" s="18" t="n">
        <v>0</v>
      </c>
      <c r="P37" s="20" t="n">
        <v>0</v>
      </c>
      <c r="Q37" s="18" t="n">
        <v>1.11678592</v>
      </c>
      <c r="R37" s="20" t="n">
        <v>0.6481313399999999</v>
      </c>
    </row>
    <row r="38" spans="1:18">
      <c r="A38" s="15" t="s">
        <v>598</v>
      </c>
      <c r="B38" s="17" t="n">
        <v>3053</v>
      </c>
      <c r="C38" s="18">
        <f>(2722.0/B38*100)</f>
        <v/>
      </c>
      <c r="D38" s="19" t="n">
        <v>331</v>
      </c>
      <c r="E38" s="18" t="n">
        <v>42.09879949</v>
      </c>
      <c r="F38" s="20" t="n">
        <v>3.121213</v>
      </c>
      <c r="G38" s="18" t="n">
        <v>54.36399249</v>
      </c>
      <c r="H38" s="20" t="n">
        <v>3.20638083</v>
      </c>
      <c r="I38" s="18" t="s">
        <v>567</v>
      </c>
      <c r="J38" s="20" t="s">
        <v>567</v>
      </c>
      <c r="K38" s="18" t="n">
        <v>2.58271705</v>
      </c>
      <c r="L38" s="20" t="n">
        <v>1.12348498</v>
      </c>
      <c r="M38" s="18" t="n">
        <v>0</v>
      </c>
      <c r="N38" s="20" t="n">
        <v>0</v>
      </c>
      <c r="O38" s="18" t="n">
        <v>0</v>
      </c>
      <c r="P38" s="20" t="n">
        <v>0</v>
      </c>
      <c r="Q38" s="18" t="n">
        <v>0.95449098</v>
      </c>
      <c r="R38" s="20" t="n">
        <v>0.54799826</v>
      </c>
    </row>
    <row r="39" spans="1:18">
      <c r="A39" s="15" t="s">
        <v>599</v>
      </c>
      <c r="B39" s="17" t="n">
        <v>2957</v>
      </c>
      <c r="C39" s="18">
        <f>(2614.0/B39*100)</f>
        <v/>
      </c>
      <c r="D39" s="19" t="n">
        <v>343</v>
      </c>
      <c r="E39" s="18" t="n">
        <v>57.74089654</v>
      </c>
      <c r="F39" s="20" t="n">
        <v>3.33625277</v>
      </c>
      <c r="G39" s="18" t="n">
        <v>39.92323927</v>
      </c>
      <c r="H39" s="20" t="n">
        <v>3.34474912</v>
      </c>
      <c r="I39" s="18" t="s">
        <v>567</v>
      </c>
      <c r="J39" s="20" t="s">
        <v>567</v>
      </c>
      <c r="K39" s="18" t="n">
        <v>1.69086818</v>
      </c>
      <c r="L39" s="20" t="n">
        <v>0.77043669</v>
      </c>
      <c r="M39" s="18" t="n">
        <v>0</v>
      </c>
      <c r="N39" s="20" t="n">
        <v>0</v>
      </c>
      <c r="O39" s="18" t="n">
        <v>0</v>
      </c>
      <c r="P39" s="20" t="n">
        <v>0</v>
      </c>
      <c r="Q39" s="18" t="n">
        <v>0.64499601</v>
      </c>
      <c r="R39" s="20" t="n">
        <v>0.41643797</v>
      </c>
    </row>
    <row r="40" spans="1:18">
      <c r="A40" s="15" t="s">
        <v>600</v>
      </c>
      <c r="B40" s="17" t="n">
        <v>7235</v>
      </c>
      <c r="C40" s="18">
        <f>(6462.0/B40*100)</f>
        <v/>
      </c>
      <c r="D40" s="19" t="n">
        <v>773</v>
      </c>
      <c r="E40" s="18" t="n">
        <v>47.02499831</v>
      </c>
      <c r="F40" s="20" t="n">
        <v>2.72010173</v>
      </c>
      <c r="G40" s="18" t="n">
        <v>50.51441822</v>
      </c>
      <c r="H40" s="20" t="n">
        <v>2.81052723</v>
      </c>
      <c r="I40" s="18" t="s">
        <v>567</v>
      </c>
      <c r="J40" s="20" t="s">
        <v>567</v>
      </c>
      <c r="K40" s="18" t="n">
        <v>1.75352093</v>
      </c>
      <c r="L40" s="20" t="n">
        <v>0.76045289</v>
      </c>
      <c r="M40" s="18" t="n">
        <v>0</v>
      </c>
      <c r="N40" s="20" t="n">
        <v>0</v>
      </c>
      <c r="O40" s="18" t="n">
        <v>0</v>
      </c>
      <c r="P40" s="20" t="n">
        <v>0</v>
      </c>
      <c r="Q40" s="18" t="n">
        <v>0.70706255</v>
      </c>
      <c r="R40" s="20" t="n">
        <v>0.39047678</v>
      </c>
    </row>
    <row r="41" spans="1:18">
      <c r="A41" s="15" t="s">
        <v>601</v>
      </c>
      <c r="B41" s="17" t="n">
        <v>2858</v>
      </c>
      <c r="C41" s="18">
        <f>(2554.0/B41*100)</f>
        <v/>
      </c>
      <c r="D41" s="19" t="n">
        <v>304</v>
      </c>
      <c r="E41" s="18" t="n">
        <v>47.09546084</v>
      </c>
      <c r="F41" s="20" t="n">
        <v>3.21284837</v>
      </c>
      <c r="G41" s="18" t="n">
        <v>51.59878624</v>
      </c>
      <c r="H41" s="20" t="n">
        <v>3.16724266</v>
      </c>
      <c r="I41" s="18" t="s">
        <v>567</v>
      </c>
      <c r="J41" s="20" t="s">
        <v>567</v>
      </c>
      <c r="K41" s="18" t="n">
        <v>1.30575292</v>
      </c>
      <c r="L41" s="20" t="n">
        <v>0.65353111</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(10238.0/B46*100)</f>
        <v/>
      </c>
      <c r="D46" s="19" t="n">
        <v>830</v>
      </c>
      <c r="E46" s="18" t="n">
        <v>59.84724505</v>
      </c>
      <c r="F46" s="20" t="n">
        <v>2.36559392</v>
      </c>
      <c r="G46" s="18" t="n">
        <v>36.2353096</v>
      </c>
      <c r="H46" s="20" t="n">
        <v>2.10060965</v>
      </c>
      <c r="I46" s="18" t="s">
        <v>567</v>
      </c>
      <c r="J46" s="20" t="s">
        <v>567</v>
      </c>
      <c r="K46" s="18" t="n">
        <v>3.28010856</v>
      </c>
      <c r="L46" s="20" t="n">
        <v>0.8752088099999999</v>
      </c>
      <c r="M46" s="18" t="n">
        <v>0</v>
      </c>
      <c r="N46" s="20" t="n">
        <v>0</v>
      </c>
      <c r="O46" s="18" t="n">
        <v>0</v>
      </c>
      <c r="P46" s="20" t="n">
        <v>0</v>
      </c>
      <c r="Q46" s="18" t="n">
        <v>0.63733679</v>
      </c>
      <c r="R46" s="20" t="n">
        <v>0.29668041</v>
      </c>
    </row>
    <row r="47" spans="1:18">
      <c r="A47" s="15" t="s">
        <v>607</v>
      </c>
      <c r="B47" s="17" t="n">
        <v>3105</v>
      </c>
      <c r="C47" s="18">
        <f>(2773.0/B47*100)</f>
        <v/>
      </c>
      <c r="D47" s="19" t="n">
        <v>332</v>
      </c>
      <c r="E47" s="18" t="n">
        <v>53.23307277</v>
      </c>
      <c r="F47" s="20" t="n">
        <v>3.28304475</v>
      </c>
      <c r="G47" s="18" t="n">
        <v>43.17740525</v>
      </c>
      <c r="H47" s="20" t="n">
        <v>3.30170523</v>
      </c>
      <c r="I47" s="18" t="s">
        <v>567</v>
      </c>
      <c r="J47" s="20" t="s">
        <v>567</v>
      </c>
      <c r="K47" s="18" t="n">
        <v>3.27675075</v>
      </c>
      <c r="L47" s="20" t="n">
        <v>1.10979119</v>
      </c>
      <c r="M47" s="18" t="n">
        <v>0</v>
      </c>
      <c r="N47" s="20" t="n">
        <v>0</v>
      </c>
      <c r="O47" s="18" t="n">
        <v>0</v>
      </c>
      <c r="P47" s="20" t="n">
        <v>0</v>
      </c>
      <c r="Q47" s="18" t="n">
        <v>0.31277123</v>
      </c>
      <c r="R47" s="20" t="n">
        <v>0.3180072</v>
      </c>
    </row>
    <row r="48" spans="1:18">
      <c r="A48" s="15" t="s">
        <v>608</v>
      </c>
      <c r="B48" s="17" t="n">
        <v>5159</v>
      </c>
      <c r="C48" s="18">
        <f>(4563.0/B48*100)</f>
        <v/>
      </c>
      <c r="D48" s="19" t="n">
        <v>596</v>
      </c>
      <c r="E48" s="18" t="n">
        <v>36.79557613</v>
      </c>
      <c r="F48" s="20" t="n">
        <v>2.34309723</v>
      </c>
      <c r="G48" s="18" t="n">
        <v>62.75115307</v>
      </c>
      <c r="H48" s="20" t="n">
        <v>2.37469531</v>
      </c>
      <c r="I48" s="18" t="s">
        <v>567</v>
      </c>
      <c r="J48" s="20" t="s">
        <v>567</v>
      </c>
      <c r="K48" s="18" t="n">
        <v>0.14484969</v>
      </c>
      <c r="L48" s="20" t="n">
        <v>0.08460366</v>
      </c>
      <c r="M48" s="18" t="n">
        <v>0</v>
      </c>
      <c r="N48" s="20" t="n">
        <v>0</v>
      </c>
      <c r="O48" s="18" t="n">
        <v>0</v>
      </c>
      <c r="P48" s="20" t="n">
        <v>0</v>
      </c>
      <c r="Q48" s="18" t="n">
        <v>0.30842111</v>
      </c>
      <c r="R48" s="20" t="n">
        <v>0.23376089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(5011.0/B50*100)</f>
        <v/>
      </c>
      <c r="D50" s="19" t="n">
        <v>626</v>
      </c>
      <c r="E50" s="18" t="n">
        <v>63.09905351</v>
      </c>
      <c r="F50" s="20" t="n">
        <v>2.74275477</v>
      </c>
      <c r="G50" s="18" t="n">
        <v>30.39176478</v>
      </c>
      <c r="H50" s="20" t="n">
        <v>2.4983318</v>
      </c>
      <c r="I50" s="18" t="s">
        <v>567</v>
      </c>
      <c r="J50" s="20" t="s">
        <v>567</v>
      </c>
      <c r="K50" s="18" t="n">
        <v>5.85401751</v>
      </c>
      <c r="L50" s="20" t="n">
        <v>1.391014</v>
      </c>
      <c r="M50" s="18" t="n">
        <v>0</v>
      </c>
      <c r="N50" s="20" t="n">
        <v>0</v>
      </c>
      <c r="O50" s="18" t="n">
        <v>0</v>
      </c>
      <c r="P50" s="20" t="n">
        <v>0</v>
      </c>
      <c r="Q50" s="18" t="n">
        <v>0.6551642</v>
      </c>
      <c r="R50" s="20" t="n">
        <v>0.3549988</v>
      </c>
    </row>
    <row r="51" spans="1:18">
      <c r="A51" s="15" t="s">
        <v>611</v>
      </c>
      <c r="B51" s="17" t="n">
        <v>3372</v>
      </c>
      <c r="C51" s="18">
        <f>(3083.0/B51*100)</f>
        <v/>
      </c>
      <c r="D51" s="19" t="n">
        <v>289</v>
      </c>
      <c r="E51" s="18" t="n">
        <v>56.33704702</v>
      </c>
      <c r="F51" s="20" t="n">
        <v>3.21019459</v>
      </c>
      <c r="G51" s="18" t="n">
        <v>42.26400393</v>
      </c>
      <c r="H51" s="20" t="n">
        <v>3.10131269</v>
      </c>
      <c r="I51" s="18" t="s">
        <v>567</v>
      </c>
      <c r="J51" s="20" t="s">
        <v>567</v>
      </c>
      <c r="K51" s="18" t="n">
        <v>0.34612182</v>
      </c>
      <c r="L51" s="20" t="n">
        <v>0.37472799</v>
      </c>
      <c r="M51" s="18" t="n">
        <v>0</v>
      </c>
      <c r="N51" s="20" t="n">
        <v>0</v>
      </c>
      <c r="O51" s="18" t="n">
        <v>0</v>
      </c>
      <c r="P51" s="20" t="n">
        <v>0</v>
      </c>
      <c r="Q51" s="18" t="n">
        <v>1.05282723</v>
      </c>
      <c r="R51" s="20" t="n">
        <v>0.74367761</v>
      </c>
    </row>
    <row r="52" spans="1:18">
      <c r="A52" s="15" t="s">
        <v>612</v>
      </c>
      <c r="B52" s="17" t="n">
        <v>2796</v>
      </c>
      <c r="C52" s="18">
        <f>(2484.0/B52*100)</f>
        <v/>
      </c>
      <c r="D52" s="19" t="n">
        <v>312</v>
      </c>
      <c r="E52" s="18" t="n">
        <v>55.19352624</v>
      </c>
      <c r="F52" s="20" t="n">
        <v>2.82387573</v>
      </c>
      <c r="G52" s="18" t="n">
        <v>41.99862765</v>
      </c>
      <c r="H52" s="20" t="n">
        <v>2.73383346</v>
      </c>
      <c r="I52" s="18" t="s">
        <v>567</v>
      </c>
      <c r="J52" s="20" t="s">
        <v>567</v>
      </c>
      <c r="K52" s="18" t="n">
        <v>2.43530426</v>
      </c>
      <c r="L52" s="20" t="n">
        <v>0.8494978399999999</v>
      </c>
      <c r="M52" s="18" t="n">
        <v>0</v>
      </c>
      <c r="N52" s="20" t="n">
        <v>0</v>
      </c>
      <c r="O52" s="18" t="n">
        <v>0</v>
      </c>
      <c r="P52" s="20" t="n">
        <v>0</v>
      </c>
      <c r="Q52" s="18" t="n">
        <v>0.37254185</v>
      </c>
      <c r="R52" s="20" t="n">
        <v>0.37723597</v>
      </c>
    </row>
    <row r="53" spans="1:18">
      <c r="A53" s="15" t="s">
        <v>613</v>
      </c>
      <c r="B53" s="17" t="n">
        <v>2811</v>
      </c>
      <c r="C53" s="18">
        <f>(2508.0/B53*100)</f>
        <v/>
      </c>
      <c r="D53" s="19" t="n">
        <v>303</v>
      </c>
      <c r="E53" s="18" t="n">
        <v>50.96440907</v>
      </c>
      <c r="F53" s="20" t="n">
        <v>3.46124414</v>
      </c>
      <c r="G53" s="18" t="n">
        <v>45.82299587</v>
      </c>
      <c r="H53" s="20" t="n">
        <v>3.40384969</v>
      </c>
      <c r="I53" s="18" t="s">
        <v>567</v>
      </c>
      <c r="J53" s="20" t="s">
        <v>567</v>
      </c>
      <c r="K53" s="18" t="n">
        <v>2.97380727</v>
      </c>
      <c r="L53" s="20" t="n">
        <v>0.8738558199999999</v>
      </c>
      <c r="M53" s="18" t="n">
        <v>0</v>
      </c>
      <c r="N53" s="20" t="n">
        <v>0</v>
      </c>
      <c r="O53" s="18" t="n">
        <v>0</v>
      </c>
      <c r="P53" s="20" t="n">
        <v>0</v>
      </c>
      <c r="Q53" s="18" t="n">
        <v>0.23878778</v>
      </c>
      <c r="R53" s="20" t="n">
        <v>0.23890735</v>
      </c>
    </row>
    <row r="54" spans="1:18">
      <c r="A54" s="15" t="s">
        <v>614</v>
      </c>
      <c r="B54" s="17" t="n">
        <v>2266</v>
      </c>
      <c r="C54" s="18">
        <f>(2014.0/B54*100)</f>
        <v/>
      </c>
      <c r="D54" s="19" t="n">
        <v>252</v>
      </c>
      <c r="E54" s="18" t="n">
        <v>56.82895177</v>
      </c>
      <c r="F54" s="20" t="n">
        <v>3.62604393</v>
      </c>
      <c r="G54" s="18" t="n">
        <v>16.46551022</v>
      </c>
      <c r="H54" s="20" t="n">
        <v>2.49599629</v>
      </c>
      <c r="I54" s="18" t="s">
        <v>567</v>
      </c>
      <c r="J54" s="20" t="s">
        <v>567</v>
      </c>
      <c r="K54" s="18" t="n">
        <v>25.9929192</v>
      </c>
      <c r="L54" s="20" t="n">
        <v>3.31171003</v>
      </c>
      <c r="M54" s="18" t="n">
        <v>0</v>
      </c>
      <c r="N54" s="20" t="n">
        <v>0</v>
      </c>
      <c r="O54" s="18" t="n">
        <v>0</v>
      </c>
      <c r="P54" s="20" t="n">
        <v>0</v>
      </c>
      <c r="Q54" s="18" t="n">
        <v>0.71261882</v>
      </c>
      <c r="R54" s="20" t="n">
        <v>0.49644959</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(2379.0/B56*100)</f>
        <v/>
      </c>
      <c r="D56" s="19" t="n">
        <v>305</v>
      </c>
      <c r="E56" s="18" t="n">
        <v>33.54731182</v>
      </c>
      <c r="F56" s="20" t="n">
        <v>3.20522688</v>
      </c>
      <c r="G56" s="18" t="n">
        <v>64.93389790000001</v>
      </c>
      <c r="H56" s="20" t="n">
        <v>3.25514039</v>
      </c>
      <c r="I56" s="18" t="s">
        <v>567</v>
      </c>
      <c r="J56" s="20" t="s">
        <v>567</v>
      </c>
      <c r="K56" s="18" t="n">
        <v>1.51879028</v>
      </c>
      <c r="L56" s="20" t="n">
        <v>0.44369356</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(2945.0/B61*100)</f>
        <v/>
      </c>
      <c r="D61" s="19" t="n">
        <v>379</v>
      </c>
      <c r="E61" s="18" t="n">
        <v>61.28411557</v>
      </c>
      <c r="F61" s="20" t="n">
        <v>2.32304853</v>
      </c>
      <c r="G61" s="18" t="n">
        <v>37.5503104</v>
      </c>
      <c r="H61" s="20" t="n">
        <v>2.28040177</v>
      </c>
      <c r="I61" s="18" t="s">
        <v>567</v>
      </c>
      <c r="J61" s="20" t="s">
        <v>567</v>
      </c>
      <c r="K61" s="18" t="n">
        <v>1.16557402</v>
      </c>
      <c r="L61" s="20" t="n">
        <v>0.9078023200000001</v>
      </c>
      <c r="M61" s="18" t="n">
        <v>0</v>
      </c>
      <c r="N61" s="20" t="n">
        <v>0</v>
      </c>
      <c r="O61" s="18" t="n">
        <v>0</v>
      </c>
      <c r="P61" s="20" t="n">
        <v>0</v>
      </c>
      <c r="Q61" s="18" t="n">
        <v>0</v>
      </c>
      <c r="R61" s="20" t="n">
        <v>0</v>
      </c>
    </row>
    <row r="62" spans="1:18">
      <c r="A62" s="15" t="s">
        <v>622</v>
      </c>
      <c r="B62" s="17" t="n">
        <v>2246</v>
      </c>
      <c r="C62" s="18">
        <f>(2002.0/B62*100)</f>
        <v/>
      </c>
      <c r="D62" s="19" t="n">
        <v>244</v>
      </c>
      <c r="E62" s="18" t="n">
        <v>35.64784395</v>
      </c>
      <c r="F62" s="20" t="n">
        <v>3.24730027</v>
      </c>
      <c r="G62" s="18" t="n">
        <v>63.52835505</v>
      </c>
      <c r="H62" s="20" t="n">
        <v>3.29862326</v>
      </c>
      <c r="I62" s="18" t="s">
        <v>567</v>
      </c>
      <c r="J62" s="20" t="s">
        <v>567</v>
      </c>
      <c r="K62" s="18" t="n">
        <v>0.41674648</v>
      </c>
      <c r="L62" s="20" t="n">
        <v>0.41719402</v>
      </c>
      <c r="M62" s="18" t="n">
        <v>0</v>
      </c>
      <c r="N62" s="20" t="n">
        <v>0</v>
      </c>
      <c r="O62" s="18" t="n">
        <v>0</v>
      </c>
      <c r="P62" s="20" t="n">
        <v>0</v>
      </c>
      <c r="Q62" s="18" t="n">
        <v>0.40705452</v>
      </c>
      <c r="R62" s="20" t="n">
        <v>0.40675274</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(2609.0/B66*100)</f>
        <v/>
      </c>
      <c r="D66" s="19" t="n">
        <v>285</v>
      </c>
      <c r="E66" s="18" t="n">
        <v>55.53744702</v>
      </c>
      <c r="F66" s="20" t="n">
        <v>2.90382802</v>
      </c>
      <c r="G66" s="18" t="n">
        <v>39.06393777</v>
      </c>
      <c r="H66" s="20" t="n">
        <v>3.00952031</v>
      </c>
      <c r="I66" s="18" t="s">
        <v>567</v>
      </c>
      <c r="J66" s="20" t="s">
        <v>567</v>
      </c>
      <c r="K66" s="18" t="n">
        <v>4.61400641</v>
      </c>
      <c r="L66" s="20" t="n">
        <v>1.35719415</v>
      </c>
      <c r="M66" s="18" t="n">
        <v>0</v>
      </c>
      <c r="N66" s="20" t="n">
        <v>0</v>
      </c>
      <c r="O66" s="18" t="n">
        <v>0</v>
      </c>
      <c r="P66" s="20" t="n">
        <v>0</v>
      </c>
      <c r="Q66" s="18" t="n">
        <v>0.7846087899999999</v>
      </c>
      <c r="R66" s="20" t="n">
        <v>0.56164205</v>
      </c>
    </row>
    <row r="67" spans="1:18">
      <c r="A67" s="15" t="s">
        <v>627</v>
      </c>
      <c r="B67" s="17" t="n">
        <v>3511</v>
      </c>
      <c r="C67" s="18">
        <f>(3215.0/B67*100)</f>
        <v/>
      </c>
      <c r="D67" s="19" t="n">
        <v>296</v>
      </c>
      <c r="E67" s="18" t="n">
        <v>66.51293104</v>
      </c>
      <c r="F67" s="20" t="n">
        <v>2.75515366</v>
      </c>
      <c r="G67" s="18" t="n">
        <v>30.66607662</v>
      </c>
      <c r="H67" s="20" t="n">
        <v>2.89503998</v>
      </c>
      <c r="I67" s="18" t="s">
        <v>567</v>
      </c>
      <c r="J67" s="20" t="s">
        <v>567</v>
      </c>
      <c r="K67" s="18" t="n">
        <v>2.19139335</v>
      </c>
      <c r="L67" s="20" t="n">
        <v>0.84324999</v>
      </c>
      <c r="M67" s="18" t="n">
        <v>0</v>
      </c>
      <c r="N67" s="20" t="n">
        <v>0</v>
      </c>
      <c r="O67" s="18" t="n">
        <v>0</v>
      </c>
      <c r="P67" s="20" t="n">
        <v>0</v>
      </c>
      <c r="Q67" s="18" t="n">
        <v>0.62959899</v>
      </c>
      <c r="R67" s="20" t="n">
        <v>0.43821284</v>
      </c>
    </row>
    <row r="68" spans="1:18">
      <c r="A68" s="15" t="s">
        <v>628</v>
      </c>
      <c r="B68" s="17" t="n">
        <v>6049</v>
      </c>
      <c r="C68" s="18">
        <f>(5389.0/B68*100)</f>
        <v/>
      </c>
      <c r="D68" s="19" t="n">
        <v>660</v>
      </c>
      <c r="E68" s="18" t="n">
        <v>55.0243794</v>
      </c>
      <c r="F68" s="20" t="n">
        <v>2.16305379</v>
      </c>
      <c r="G68" s="18" t="n">
        <v>37.33926475</v>
      </c>
      <c r="H68" s="20" t="n">
        <v>2.15307949</v>
      </c>
      <c r="I68" s="18" t="s">
        <v>567</v>
      </c>
      <c r="J68" s="20" t="s">
        <v>567</v>
      </c>
      <c r="K68" s="18" t="n">
        <v>6.69932443</v>
      </c>
      <c r="L68" s="20" t="n">
        <v>0.9186943400000001</v>
      </c>
      <c r="M68" s="18" t="n">
        <v>0</v>
      </c>
      <c r="N68" s="20" t="n">
        <v>0</v>
      </c>
      <c r="O68" s="18" t="n">
        <v>0</v>
      </c>
      <c r="P68" s="20" t="n">
        <v>0</v>
      </c>
      <c r="Q68" s="18" t="n">
        <v>0.9370314199999999</v>
      </c>
      <c r="R68" s="20" t="n">
        <v>0.36570433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(2626.0/B70*100)</f>
        <v/>
      </c>
      <c r="D70" s="19" t="n">
        <v>303</v>
      </c>
      <c r="E70" s="18" t="n">
        <v>53.68806414</v>
      </c>
      <c r="F70" s="20" t="n">
        <v>4.14896703</v>
      </c>
      <c r="G70" s="18" t="n">
        <v>44.13574227</v>
      </c>
      <c r="H70" s="20" t="n">
        <v>4.41089426</v>
      </c>
      <c r="I70" s="18" t="s">
        <v>567</v>
      </c>
      <c r="J70" s="20" t="s">
        <v>567</v>
      </c>
      <c r="K70" s="18" t="n">
        <v>2.17619359</v>
      </c>
      <c r="L70" s="20" t="n">
        <v>1.01211455</v>
      </c>
      <c r="M70" s="18" t="n">
        <v>0</v>
      </c>
      <c r="N70" s="20" t="n">
        <v>0</v>
      </c>
      <c r="O70" s="18" t="n">
        <v>0</v>
      </c>
      <c r="P70" s="20" t="n">
        <v>0</v>
      </c>
      <c r="Q70" s="18" t="n">
        <v>0</v>
      </c>
      <c r="R70" s="20" t="n">
        <v>0</v>
      </c>
    </row>
    <row r="71" spans="1:18">
      <c r="A71" s="15" t="s">
        <v>631</v>
      </c>
      <c r="B71" s="17" t="n">
        <v>3142</v>
      </c>
      <c r="C71" s="18">
        <f>(2805.0/B71*100)</f>
        <v/>
      </c>
      <c r="D71" s="19" t="n">
        <v>337</v>
      </c>
      <c r="E71" s="18" t="n">
        <v>28.81608239</v>
      </c>
      <c r="F71" s="20" t="n">
        <v>2.51051353</v>
      </c>
      <c r="G71" s="18" t="n">
        <v>69.9541479</v>
      </c>
      <c r="H71" s="20" t="n">
        <v>2.54100009</v>
      </c>
      <c r="I71" s="18" t="s">
        <v>567</v>
      </c>
      <c r="J71" s="20" t="s">
        <v>567</v>
      </c>
      <c r="K71" s="18" t="n">
        <v>1.22976972</v>
      </c>
      <c r="L71" s="20" t="n">
        <v>0.61020635</v>
      </c>
      <c r="M71" s="18" t="n">
        <v>0</v>
      </c>
      <c r="N71" s="20" t="n">
        <v>0</v>
      </c>
      <c r="O71" s="18" t="n">
        <v>0</v>
      </c>
      <c r="P71" s="20" t="n">
        <v>0</v>
      </c>
      <c r="Q71" s="18" t="n">
        <v>0</v>
      </c>
      <c r="R71" s="20" t="n">
        <v>0</v>
      </c>
    </row>
    <row r="72" spans="1:18">
      <c r="A72" s="15" t="s">
        <v>632</v>
      </c>
      <c r="B72" s="17" t="n">
        <v>3889</v>
      </c>
      <c r="C72" s="18">
        <f>(3478.0/B72*100)</f>
        <v/>
      </c>
      <c r="D72" s="19" t="n">
        <v>411</v>
      </c>
      <c r="E72" s="18" t="n">
        <v>34.6379894</v>
      </c>
      <c r="F72" s="20" t="n">
        <v>2.39003406</v>
      </c>
      <c r="G72" s="18" t="n">
        <v>64.37765997</v>
      </c>
      <c r="H72" s="20" t="n">
        <v>2.45553465</v>
      </c>
      <c r="I72" s="18" t="s">
        <v>567</v>
      </c>
      <c r="J72" s="20" t="s">
        <v>567</v>
      </c>
      <c r="K72" s="18" t="n">
        <v>0.7839862</v>
      </c>
      <c r="L72" s="20" t="n">
        <v>0.46279035</v>
      </c>
      <c r="M72" s="18" t="n">
        <v>0</v>
      </c>
      <c r="N72" s="20" t="n">
        <v>0</v>
      </c>
      <c r="O72" s="18" t="n">
        <v>0</v>
      </c>
      <c r="P72" s="20" t="n">
        <v>0</v>
      </c>
      <c r="Q72" s="18" t="n">
        <v>0.20036443</v>
      </c>
      <c r="R72" s="20" t="n">
        <v>0.20119501</v>
      </c>
    </row>
    <row r="73" spans="1:18">
      <c r="A73" s="15" t="s">
        <v>633</v>
      </c>
      <c r="B73" s="17" t="n">
        <v>3597</v>
      </c>
      <c r="C73" s="18">
        <f>(3236.0/B73*100)</f>
        <v/>
      </c>
      <c r="D73" s="19" t="n">
        <v>361</v>
      </c>
      <c r="E73" s="18" t="n">
        <v>62.83541406</v>
      </c>
      <c r="F73" s="20" t="n">
        <v>3.68190546</v>
      </c>
      <c r="G73" s="18" t="n">
        <v>36.6443639</v>
      </c>
      <c r="H73" s="20" t="n">
        <v>3.75189601</v>
      </c>
      <c r="I73" s="18" t="s">
        <v>567</v>
      </c>
      <c r="J73" s="20" t="s">
        <v>567</v>
      </c>
      <c r="K73" s="18" t="n">
        <v>0.40475376</v>
      </c>
      <c r="L73" s="20" t="n">
        <v>0.39776314</v>
      </c>
      <c r="M73" s="18" t="n">
        <v>0</v>
      </c>
      <c r="N73" s="20" t="n">
        <v>0</v>
      </c>
      <c r="O73" s="18" t="n">
        <v>0</v>
      </c>
      <c r="P73" s="20" t="n">
        <v>0</v>
      </c>
      <c r="Q73" s="18" t="n">
        <v>0.11546829</v>
      </c>
      <c r="R73" s="20" t="n">
        <v>0.11648286</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(2166.0/B75*100)</f>
        <v/>
      </c>
      <c r="D75" s="19" t="n">
        <v>240</v>
      </c>
      <c r="E75" s="18" t="n">
        <v>56.75931728</v>
      </c>
      <c r="F75" s="20" t="n">
        <v>3.27612346</v>
      </c>
      <c r="G75" s="18" t="n">
        <v>28.20645959</v>
      </c>
      <c r="H75" s="20" t="n">
        <v>3.18487139</v>
      </c>
      <c r="I75" s="18" t="s">
        <v>567</v>
      </c>
      <c r="J75" s="20" t="s">
        <v>567</v>
      </c>
      <c r="K75" s="18" t="n">
        <v>12.17156784</v>
      </c>
      <c r="L75" s="20" t="n">
        <v>2.20162299</v>
      </c>
      <c r="M75" s="18" t="n">
        <v>0</v>
      </c>
      <c r="N75" s="20" t="n">
        <v>0</v>
      </c>
      <c r="O75" s="18" t="n">
        <v>0</v>
      </c>
      <c r="P75" s="20" t="n">
        <v>0</v>
      </c>
      <c r="Q75" s="18" t="n">
        <v>2.86265528</v>
      </c>
      <c r="R75" s="20" t="n">
        <v>1.45568672</v>
      </c>
    </row>
    <row r="76" spans="1:18">
      <c r="A76" s="15" t="s">
        <v>636</v>
      </c>
      <c r="B76" s="17" t="n">
        <v>7052</v>
      </c>
      <c r="C76" s="18">
        <f>(6311.0/B76*100)</f>
        <v/>
      </c>
      <c r="D76" s="19" t="n">
        <v>741</v>
      </c>
      <c r="E76" s="18" t="n">
        <v>56.13121068</v>
      </c>
      <c r="F76" s="20" t="n">
        <v>2.01970156</v>
      </c>
      <c r="G76" s="18" t="n">
        <v>39.76606121</v>
      </c>
      <c r="H76" s="20" t="n">
        <v>2.23716895</v>
      </c>
      <c r="I76" s="18" t="s">
        <v>567</v>
      </c>
      <c r="J76" s="20" t="s">
        <v>567</v>
      </c>
      <c r="K76" s="18" t="n">
        <v>2.26999346</v>
      </c>
      <c r="L76" s="20" t="n">
        <v>0.69495083</v>
      </c>
      <c r="M76" s="18" t="n">
        <v>0</v>
      </c>
      <c r="N76" s="20" t="n">
        <v>0</v>
      </c>
      <c r="O76" s="18" t="n">
        <v>0</v>
      </c>
      <c r="P76" s="20" t="n">
        <v>0</v>
      </c>
      <c r="Q76" s="18" t="n">
        <v>1.83273464</v>
      </c>
      <c r="R76" s="20" t="n">
        <v>0.6200379</v>
      </c>
    </row>
    <row r="77" spans="1:18">
      <c r="A77" s="15" t="s">
        <v>637</v>
      </c>
      <c r="B77" s="17" t="n">
        <v>2908</v>
      </c>
      <c r="C77" s="18">
        <f>(2599.0/B77*100)</f>
        <v/>
      </c>
      <c r="D77" s="19" t="n">
        <v>309</v>
      </c>
      <c r="E77" s="18" t="n">
        <v>59.54032717</v>
      </c>
      <c r="F77" s="20" t="n">
        <v>3.17111626</v>
      </c>
      <c r="G77" s="18" t="n">
        <v>33.05918234</v>
      </c>
      <c r="H77" s="20" t="n">
        <v>2.77810489</v>
      </c>
      <c r="I77" s="18" t="s">
        <v>567</v>
      </c>
      <c r="J77" s="20" t="s">
        <v>567</v>
      </c>
      <c r="K77" s="18" t="n">
        <v>6.23431703</v>
      </c>
      <c r="L77" s="20" t="n">
        <v>1.49368998</v>
      </c>
      <c r="M77" s="18" t="n">
        <v>0</v>
      </c>
      <c r="N77" s="20" t="n">
        <v>0</v>
      </c>
      <c r="O77" s="18" t="n">
        <v>0</v>
      </c>
      <c r="P77" s="20" t="n">
        <v>0</v>
      </c>
      <c r="Q77" s="18" t="n">
        <v>1.16617346</v>
      </c>
      <c r="R77" s="20" t="n">
        <v>0.63972449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(3695.0/B81*100)</f>
        <v/>
      </c>
      <c r="D81" s="19" t="n">
        <v>468</v>
      </c>
      <c r="E81" s="18" t="n">
        <v>48.4752201</v>
      </c>
      <c r="F81" s="20" t="n">
        <v>3.03201572</v>
      </c>
      <c r="G81" s="18" t="n">
        <v>50.45121417</v>
      </c>
      <c r="H81" s="20" t="n">
        <v>3.03759568</v>
      </c>
      <c r="I81" s="18" t="s">
        <v>567</v>
      </c>
      <c r="J81" s="20" t="s">
        <v>567</v>
      </c>
      <c r="K81" s="18" t="n">
        <v>1.06115526</v>
      </c>
      <c r="L81" s="20" t="n">
        <v>0.6599208600000001</v>
      </c>
      <c r="M81" s="18" t="n">
        <v>0</v>
      </c>
      <c r="N81" s="20" t="n">
        <v>0</v>
      </c>
      <c r="O81" s="18" t="n">
        <v>0</v>
      </c>
      <c r="P81" s="20" t="n">
        <v>0</v>
      </c>
      <c r="Q81" s="18" t="n">
        <v>0.01241047</v>
      </c>
      <c r="R81" s="20" t="n">
        <v>0.01234503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(6626.0/B7*100)</f>
        <v/>
      </c>
      <c r="D7" s="19" t="n">
        <v>741</v>
      </c>
      <c r="E7" s="18" t="n">
        <v>68.17024508</v>
      </c>
      <c r="F7" s="20" t="n">
        <v>1.95599982</v>
      </c>
      <c r="G7" s="18" t="n">
        <v>19.75490512</v>
      </c>
      <c r="H7" s="20" t="n">
        <v>1.86217423</v>
      </c>
      <c r="I7" s="18" t="s">
        <v>567</v>
      </c>
      <c r="J7" s="20" t="s">
        <v>567</v>
      </c>
      <c r="K7" s="18" t="n">
        <v>12.00301021</v>
      </c>
      <c r="L7" s="20" t="n">
        <v>1.27820572</v>
      </c>
      <c r="M7" s="18" t="n">
        <v>0.07183958999999999</v>
      </c>
      <c r="N7" s="20" t="n">
        <v>0.03536369</v>
      </c>
      <c r="O7" s="18" t="n">
        <v>0</v>
      </c>
      <c r="P7" s="20" t="n">
        <v>0</v>
      </c>
      <c r="Q7" s="18" t="n">
        <v>0</v>
      </c>
      <c r="R7" s="20" t="n">
        <v>0</v>
      </c>
    </row>
    <row r="8" spans="1:18">
      <c r="A8" s="15" t="s">
        <v>568</v>
      </c>
      <c r="B8" s="17" t="n">
        <v>3564</v>
      </c>
      <c r="C8" s="18">
        <f>(3181.0/B8*100)</f>
        <v/>
      </c>
      <c r="D8" s="19" t="n">
        <v>383</v>
      </c>
      <c r="E8" s="18" t="n">
        <v>45.76463802</v>
      </c>
      <c r="F8" s="20" t="n">
        <v>2.69598146</v>
      </c>
      <c r="G8" s="18" t="n">
        <v>38.17331315</v>
      </c>
      <c r="H8" s="20" t="n">
        <v>2.94505197</v>
      </c>
      <c r="I8" s="18" t="s">
        <v>567</v>
      </c>
      <c r="J8" s="20" t="s">
        <v>567</v>
      </c>
      <c r="K8" s="18" t="n">
        <v>16.06204882</v>
      </c>
      <c r="L8" s="20" t="n">
        <v>2.12432126</v>
      </c>
      <c r="M8" s="18" t="n">
        <v>0</v>
      </c>
      <c r="N8" s="20" t="n">
        <v>0</v>
      </c>
      <c r="O8" s="18" t="n">
        <v>0</v>
      </c>
      <c r="P8" s="20" t="n">
        <v>0</v>
      </c>
      <c r="Q8" s="18" t="n">
        <v>0</v>
      </c>
      <c r="R8" s="20" t="n">
        <v>0</v>
      </c>
    </row>
    <row r="9" spans="1:18">
      <c r="A9" s="15" t="s">
        <v>569</v>
      </c>
      <c r="B9" s="17" t="n">
        <v>4899</v>
      </c>
      <c r="C9" s="18">
        <f>(4404.0/B9*100)</f>
        <v/>
      </c>
      <c r="D9" s="19" t="n">
        <v>495</v>
      </c>
      <c r="E9" s="18" t="n">
        <v>56.0103765</v>
      </c>
      <c r="F9" s="20" t="n">
        <v>1.95562888</v>
      </c>
      <c r="G9" s="18" t="n">
        <v>33.12669126</v>
      </c>
      <c r="H9" s="20" t="n">
        <v>2.15754695</v>
      </c>
      <c r="I9" s="18" t="s">
        <v>567</v>
      </c>
      <c r="J9" s="20" t="s">
        <v>567</v>
      </c>
      <c r="K9" s="18" t="n">
        <v>10.16043325</v>
      </c>
      <c r="L9" s="20" t="n">
        <v>1.49538775</v>
      </c>
      <c r="M9" s="18" t="n">
        <v>0.702499</v>
      </c>
      <c r="N9" s="20" t="n">
        <v>0.42497691</v>
      </c>
      <c r="O9" s="18" t="n">
        <v>0</v>
      </c>
      <c r="P9" s="20" t="n">
        <v>0</v>
      </c>
      <c r="Q9" s="18" t="n">
        <v>0</v>
      </c>
      <c r="R9" s="20" t="n">
        <v>0</v>
      </c>
    </row>
    <row r="10" spans="1:18">
      <c r="A10" s="15" t="s">
        <v>570</v>
      </c>
      <c r="B10" s="17" t="n">
        <v>10036</v>
      </c>
      <c r="C10" s="18">
        <f>(8896.0/B10*100)</f>
        <v/>
      </c>
      <c r="D10" s="19" t="n">
        <v>1140</v>
      </c>
      <c r="E10" s="18" t="n">
        <v>61.86542508</v>
      </c>
      <c r="F10" s="20" t="n">
        <v>1.50516926</v>
      </c>
      <c r="G10" s="18" t="n">
        <v>32.13227462</v>
      </c>
      <c r="H10" s="20" t="n">
        <v>1.80882745</v>
      </c>
      <c r="I10" s="18" t="s">
        <v>567</v>
      </c>
      <c r="J10" s="20" t="s">
        <v>567</v>
      </c>
      <c r="K10" s="18" t="n">
        <v>5.9758849</v>
      </c>
      <c r="L10" s="20" t="n">
        <v>1.18037108</v>
      </c>
      <c r="M10" s="18" t="n">
        <v>0.0264154</v>
      </c>
      <c r="N10" s="20" t="n">
        <v>0.02445978</v>
      </c>
      <c r="O10" s="18" t="n">
        <v>0</v>
      </c>
      <c r="P10" s="20" t="n">
        <v>0</v>
      </c>
      <c r="Q10" s="18" t="n">
        <v>0</v>
      </c>
      <c r="R10" s="20" t="n">
        <v>0</v>
      </c>
    </row>
    <row r="11" spans="1:18">
      <c r="A11" s="15" t="s">
        <v>571</v>
      </c>
      <c r="B11" s="17" t="n">
        <v>3553</v>
      </c>
      <c r="C11" s="18">
        <f>(3191.0/B11*100)</f>
        <v/>
      </c>
      <c r="D11" s="19" t="n">
        <v>362</v>
      </c>
      <c r="E11" s="18" t="n">
        <v>62.65519273</v>
      </c>
      <c r="F11" s="20" t="n">
        <v>3.01625451</v>
      </c>
      <c r="G11" s="18" t="n">
        <v>16.14750414</v>
      </c>
      <c r="H11" s="20" t="n">
        <v>1.93299411</v>
      </c>
      <c r="I11" s="18" t="s">
        <v>567</v>
      </c>
      <c r="J11" s="20" t="s">
        <v>567</v>
      </c>
      <c r="K11" s="18" t="n">
        <v>21.19730313</v>
      </c>
      <c r="L11" s="20" t="n">
        <v>2.7347766</v>
      </c>
      <c r="M11" s="18" t="n">
        <v>0</v>
      </c>
      <c r="N11" s="20" t="n">
        <v>0</v>
      </c>
      <c r="O11" s="18" t="n">
        <v>0</v>
      </c>
      <c r="P11" s="20" t="n">
        <v>0</v>
      </c>
      <c r="Q11" s="18" t="n">
        <v>0</v>
      </c>
      <c r="R11" s="20" t="n">
        <v>0</v>
      </c>
    </row>
    <row r="12" spans="1:18">
      <c r="A12" s="15" t="s">
        <v>572</v>
      </c>
      <c r="B12" s="17" t="n">
        <v>3472</v>
      </c>
      <c r="C12" s="18">
        <f>(3080.0/B12*100)</f>
        <v/>
      </c>
      <c r="D12" s="19" t="n">
        <v>392</v>
      </c>
      <c r="E12" s="18" t="n">
        <v>56.32271418</v>
      </c>
      <c r="F12" s="20" t="n">
        <v>2.95076246</v>
      </c>
      <c r="G12" s="18" t="n">
        <v>21.62227333</v>
      </c>
      <c r="H12" s="20" t="n">
        <v>2.55530704</v>
      </c>
      <c r="I12" s="18" t="s">
        <v>567</v>
      </c>
      <c r="J12" s="20" t="s">
        <v>567</v>
      </c>
      <c r="K12" s="18" t="n">
        <v>22.05501249</v>
      </c>
      <c r="L12" s="20" t="n">
        <v>2.37608976</v>
      </c>
      <c r="M12" s="18" t="n">
        <v>0</v>
      </c>
      <c r="N12" s="20" t="n">
        <v>0</v>
      </c>
      <c r="O12" s="18" t="n">
        <v>0</v>
      </c>
      <c r="P12" s="20" t="n">
        <v>0</v>
      </c>
      <c r="Q12" s="18" t="n">
        <v>0</v>
      </c>
      <c r="R12" s="20" t="n">
        <v>0</v>
      </c>
    </row>
    <row r="13" spans="1:18">
      <c r="A13" s="15" t="s">
        <v>573</v>
      </c>
      <c r="B13" s="17" t="n">
        <v>3559</v>
      </c>
      <c r="C13" s="18">
        <f>(3191.0/B13*100)</f>
        <v/>
      </c>
      <c r="D13" s="19" t="n">
        <v>368</v>
      </c>
      <c r="E13" s="18" t="n">
        <v>70.49006516999999</v>
      </c>
      <c r="F13" s="20" t="n">
        <v>3.35738185</v>
      </c>
      <c r="G13" s="18" t="n">
        <v>18.55270494</v>
      </c>
      <c r="H13" s="20" t="n">
        <v>2.71008811</v>
      </c>
      <c r="I13" s="18" t="s">
        <v>567</v>
      </c>
      <c r="J13" s="20" t="s">
        <v>567</v>
      </c>
      <c r="K13" s="18" t="n">
        <v>10.95722989</v>
      </c>
      <c r="L13" s="20" t="n">
        <v>1.99645045</v>
      </c>
      <c r="M13" s="18" t="n">
        <v>0</v>
      </c>
      <c r="N13" s="20" t="n">
        <v>0</v>
      </c>
      <c r="O13" s="18" t="n">
        <v>0</v>
      </c>
      <c r="P13" s="20" t="n">
        <v>0</v>
      </c>
      <c r="Q13" s="18" t="n">
        <v>0</v>
      </c>
      <c r="R13" s="20" t="n">
        <v>0</v>
      </c>
    </row>
    <row r="14" spans="1:18">
      <c r="A14" s="15" t="s">
        <v>574</v>
      </c>
      <c r="B14" s="17" t="n">
        <v>2799</v>
      </c>
      <c r="C14" s="18">
        <f>(2492.0/B14*100)</f>
        <v/>
      </c>
      <c r="D14" s="19" t="n">
        <v>307</v>
      </c>
      <c r="E14" s="18" t="n">
        <v>62.71044496</v>
      </c>
      <c r="F14" s="20" t="n">
        <v>2.93335575</v>
      </c>
      <c r="G14" s="18" t="n">
        <v>31.91148063</v>
      </c>
      <c r="H14" s="20" t="n">
        <v>2.90953433</v>
      </c>
      <c r="I14" s="18" t="s">
        <v>567</v>
      </c>
      <c r="J14" s="20" t="s">
        <v>567</v>
      </c>
      <c r="K14" s="18" t="n">
        <v>5.37807441</v>
      </c>
      <c r="L14" s="20" t="n">
        <v>1.40099057</v>
      </c>
      <c r="M14" s="18" t="n">
        <v>0</v>
      </c>
      <c r="N14" s="20" t="n">
        <v>0</v>
      </c>
      <c r="O14" s="18" t="n">
        <v>0</v>
      </c>
      <c r="P14" s="20" t="n">
        <v>0</v>
      </c>
      <c r="Q14" s="18" t="n">
        <v>0</v>
      </c>
      <c r="R14" s="20" t="n">
        <v>0</v>
      </c>
    </row>
    <row r="15" spans="1:18">
      <c r="A15" s="15" t="s">
        <v>575</v>
      </c>
      <c r="B15" s="17" t="n">
        <v>3019</v>
      </c>
      <c r="C15" s="18">
        <f>(2725.0/B15*100)</f>
        <v/>
      </c>
      <c r="D15" s="19" t="n">
        <v>294</v>
      </c>
      <c r="E15" s="18" t="n">
        <v>55.10523334</v>
      </c>
      <c r="F15" s="20" t="n">
        <v>2.91329261</v>
      </c>
      <c r="G15" s="18" t="n">
        <v>37.1391018</v>
      </c>
      <c r="H15" s="20" t="n">
        <v>2.87765028</v>
      </c>
      <c r="I15" s="18" t="s">
        <v>567</v>
      </c>
      <c r="J15" s="20" t="s">
        <v>567</v>
      </c>
      <c r="K15" s="18" t="n">
        <v>7.75566485</v>
      </c>
      <c r="L15" s="20" t="n">
        <v>1.51507402</v>
      </c>
      <c r="M15" s="18" t="n">
        <v>0</v>
      </c>
      <c r="N15" s="20" t="n">
        <v>0</v>
      </c>
      <c r="O15" s="18" t="n">
        <v>0</v>
      </c>
      <c r="P15" s="20" t="n">
        <v>0</v>
      </c>
      <c r="Q15" s="18" t="n">
        <v>0</v>
      </c>
      <c r="R15" s="20" t="n">
        <v>0</v>
      </c>
    </row>
    <row r="16" spans="1:18">
      <c r="A16" s="15" t="s">
        <v>576</v>
      </c>
      <c r="B16" s="17" t="n">
        <v>2997</v>
      </c>
      <c r="C16" s="18">
        <f>(2688.0/B16*100)</f>
        <v/>
      </c>
      <c r="D16" s="19" t="n">
        <v>309</v>
      </c>
      <c r="E16" s="18" t="n">
        <v>53.69709833</v>
      </c>
      <c r="F16" s="20" t="n">
        <v>3.02856353</v>
      </c>
      <c r="G16" s="18" t="n">
        <v>25.38422741</v>
      </c>
      <c r="H16" s="20" t="n">
        <v>2.29268636</v>
      </c>
      <c r="I16" s="18" t="s">
        <v>567</v>
      </c>
      <c r="J16" s="20" t="s">
        <v>567</v>
      </c>
      <c r="K16" s="18" t="n">
        <v>20.91867425</v>
      </c>
      <c r="L16" s="20" t="n">
        <v>2.41179156</v>
      </c>
      <c r="M16" s="18" t="n">
        <v>0</v>
      </c>
      <c r="N16" s="20" t="n">
        <v>0</v>
      </c>
      <c r="O16" s="18" t="n">
        <v>0</v>
      </c>
      <c r="P16" s="20" t="n">
        <v>0</v>
      </c>
      <c r="Q16" s="18" t="n">
        <v>0</v>
      </c>
      <c r="R16" s="20" t="n">
        <v>0</v>
      </c>
    </row>
    <row r="17" spans="1:18">
      <c r="A17" s="15" t="s">
        <v>577</v>
      </c>
      <c r="B17" s="17" t="n">
        <v>3307</v>
      </c>
      <c r="C17" s="18">
        <f>(2989.0/B17*100)</f>
        <v/>
      </c>
      <c r="D17" s="19" t="n">
        <v>318</v>
      </c>
      <c r="E17" s="18" t="n">
        <v>56.84311609</v>
      </c>
      <c r="F17" s="20" t="n">
        <v>2.75124126</v>
      </c>
      <c r="G17" s="18" t="n">
        <v>32.85446611</v>
      </c>
      <c r="H17" s="20" t="n">
        <v>2.39188354</v>
      </c>
      <c r="I17" s="18" t="s">
        <v>567</v>
      </c>
      <c r="J17" s="20" t="s">
        <v>567</v>
      </c>
      <c r="K17" s="18" t="n">
        <v>10.30241781</v>
      </c>
      <c r="L17" s="20" t="n">
        <v>1.72777115</v>
      </c>
      <c r="M17" s="18" t="n">
        <v>0</v>
      </c>
      <c r="N17" s="20" t="n">
        <v>0</v>
      </c>
      <c r="O17" s="18" t="n">
        <v>0</v>
      </c>
      <c r="P17" s="20" t="n">
        <v>0</v>
      </c>
      <c r="Q17" s="18" t="n">
        <v>0</v>
      </c>
      <c r="R17" s="20" t="n">
        <v>0</v>
      </c>
    </row>
    <row r="18" spans="1:18">
      <c r="A18" s="15" t="s">
        <v>578</v>
      </c>
      <c r="B18" s="17" t="n">
        <v>2826</v>
      </c>
      <c r="C18" s="18">
        <f>(2497.0/B18*100)</f>
        <v/>
      </c>
      <c r="D18" s="19" t="n">
        <v>329</v>
      </c>
      <c r="E18" s="18" t="n">
        <v>49.46495147</v>
      </c>
      <c r="F18" s="20" t="n">
        <v>3.06327938</v>
      </c>
      <c r="G18" s="18" t="n">
        <v>28.58988754</v>
      </c>
      <c r="H18" s="20" t="n">
        <v>2.69209475</v>
      </c>
      <c r="I18" s="18" t="s">
        <v>567</v>
      </c>
      <c r="J18" s="20" t="s">
        <v>567</v>
      </c>
      <c r="K18" s="18" t="n">
        <v>21.94516099</v>
      </c>
      <c r="L18" s="20" t="n">
        <v>2.94724872</v>
      </c>
      <c r="M18" s="18" t="n">
        <v>0</v>
      </c>
      <c r="N18" s="20" t="n">
        <v>0</v>
      </c>
      <c r="O18" s="18" t="n">
        <v>0</v>
      </c>
      <c r="P18" s="20" t="n">
        <v>0</v>
      </c>
      <c r="Q18" s="18" t="n">
        <v>0</v>
      </c>
      <c r="R18" s="20" t="n">
        <v>0</v>
      </c>
    </row>
    <row r="19" spans="1:18">
      <c r="A19" s="15" t="s">
        <v>579</v>
      </c>
      <c r="B19" s="17" t="n">
        <v>2808</v>
      </c>
      <c r="C19" s="18">
        <f>(2520.0/B19*100)</f>
        <v/>
      </c>
      <c r="D19" s="19" t="n">
        <v>288</v>
      </c>
      <c r="E19" s="18" t="n">
        <v>48.76432485</v>
      </c>
      <c r="F19" s="20" t="n">
        <v>2.76312696</v>
      </c>
      <c r="G19" s="18" t="n">
        <v>27.361704</v>
      </c>
      <c r="H19" s="20" t="n">
        <v>2.45416074</v>
      </c>
      <c r="I19" s="18" t="s">
        <v>567</v>
      </c>
      <c r="J19" s="20" t="s">
        <v>567</v>
      </c>
      <c r="K19" s="18" t="n">
        <v>23.87397116</v>
      </c>
      <c r="L19" s="20" t="n">
        <v>2.78336345</v>
      </c>
      <c r="M19" s="18" t="n">
        <v>0</v>
      </c>
      <c r="N19" s="20" t="n">
        <v>0</v>
      </c>
      <c r="O19" s="18" t="n">
        <v>0</v>
      </c>
      <c r="P19" s="20" t="n">
        <v>0</v>
      </c>
      <c r="Q19" s="18" t="n">
        <v>0</v>
      </c>
      <c r="R19" s="20" t="n">
        <v>0</v>
      </c>
    </row>
    <row r="20" spans="1:18">
      <c r="A20" s="15" t="s">
        <v>580</v>
      </c>
      <c r="B20" s="17" t="n">
        <v>1630</v>
      </c>
      <c r="C20" s="18">
        <f>(1458.0/B20*100)</f>
        <v/>
      </c>
      <c r="D20" s="19" t="n">
        <v>172</v>
      </c>
      <c r="E20" s="18" t="n">
        <v>65.081276</v>
      </c>
      <c r="F20" s="20" t="n">
        <v>3.57449118</v>
      </c>
      <c r="G20" s="18" t="n">
        <v>13.49081573</v>
      </c>
      <c r="H20" s="20" t="n">
        <v>2.70922668</v>
      </c>
      <c r="I20" s="18" t="s">
        <v>567</v>
      </c>
      <c r="J20" s="20" t="s">
        <v>567</v>
      </c>
      <c r="K20" s="18" t="n">
        <v>21.42790828</v>
      </c>
      <c r="L20" s="20" t="n">
        <v>3.07246788</v>
      </c>
      <c r="M20" s="18" t="n">
        <v>0</v>
      </c>
      <c r="N20" s="20" t="n">
        <v>0</v>
      </c>
      <c r="O20" s="18" t="n">
        <v>0</v>
      </c>
      <c r="P20" s="20" t="n">
        <v>0</v>
      </c>
      <c r="Q20" s="18" t="n">
        <v>0</v>
      </c>
      <c r="R20" s="20" t="n">
        <v>0</v>
      </c>
    </row>
    <row r="21" spans="1:18">
      <c r="A21" s="15" t="s">
        <v>581</v>
      </c>
      <c r="B21" s="17" t="n">
        <v>2908</v>
      </c>
      <c r="C21" s="18">
        <f>(2596.0/B21*100)</f>
        <v/>
      </c>
      <c r="D21" s="19" t="n">
        <v>312</v>
      </c>
      <c r="E21" s="18" t="n">
        <v>68.85755090000001</v>
      </c>
      <c r="F21" s="20" t="n">
        <v>2.97628936</v>
      </c>
      <c r="G21" s="18" t="n">
        <v>21.75519418</v>
      </c>
      <c r="H21" s="20" t="n">
        <v>2.78056131</v>
      </c>
      <c r="I21" s="18" t="s">
        <v>567</v>
      </c>
      <c r="J21" s="20" t="s">
        <v>567</v>
      </c>
      <c r="K21" s="18" t="n">
        <v>9.38725492</v>
      </c>
      <c r="L21" s="20" t="n">
        <v>1.90053375</v>
      </c>
      <c r="M21" s="18" t="n">
        <v>0</v>
      </c>
      <c r="N21" s="20" t="n">
        <v>0</v>
      </c>
      <c r="O21" s="18" t="n">
        <v>0</v>
      </c>
      <c r="P21" s="20" t="n">
        <v>0</v>
      </c>
      <c r="Q21" s="18" t="n">
        <v>0</v>
      </c>
      <c r="R21" s="20" t="n">
        <v>0</v>
      </c>
    </row>
    <row r="22" spans="1:18">
      <c r="A22" s="15" t="s">
        <v>582</v>
      </c>
      <c r="B22" s="17" t="n">
        <v>2931</v>
      </c>
      <c r="C22" s="18">
        <f>(2635.0/B22*100)</f>
        <v/>
      </c>
      <c r="D22" s="19" t="n">
        <v>296</v>
      </c>
      <c r="E22" s="18" t="n">
        <v>48.85050433</v>
      </c>
      <c r="F22" s="20" t="n">
        <v>2.71397338</v>
      </c>
      <c r="G22" s="18" t="n">
        <v>31.01997806</v>
      </c>
      <c r="H22" s="20" t="n">
        <v>2.47719096</v>
      </c>
      <c r="I22" s="18" t="s">
        <v>567</v>
      </c>
      <c r="J22" s="20" t="s">
        <v>567</v>
      </c>
      <c r="K22" s="18" t="n">
        <v>20.12951761</v>
      </c>
      <c r="L22" s="20" t="n">
        <v>2.67667797</v>
      </c>
      <c r="M22" s="18" t="n">
        <v>0</v>
      </c>
      <c r="N22" s="20" t="n">
        <v>0</v>
      </c>
      <c r="O22" s="18" t="n">
        <v>0</v>
      </c>
      <c r="P22" s="20" t="n">
        <v>0</v>
      </c>
      <c r="Q22" s="18" t="n">
        <v>0</v>
      </c>
      <c r="R22" s="20" t="n">
        <v>0</v>
      </c>
    </row>
    <row r="23" spans="1:18">
      <c r="A23" s="15" t="s">
        <v>583</v>
      </c>
      <c r="B23" s="17" t="n">
        <v>5791</v>
      </c>
      <c r="C23" s="18">
        <f>(5199.0/B23*100)</f>
        <v/>
      </c>
      <c r="D23" s="19" t="n">
        <v>592</v>
      </c>
      <c r="E23" s="18" t="n">
        <v>53.1520863</v>
      </c>
      <c r="F23" s="20" t="n">
        <v>3.60214168</v>
      </c>
      <c r="G23" s="18" t="n">
        <v>27.22981391</v>
      </c>
      <c r="H23" s="20" t="n">
        <v>2.76652277</v>
      </c>
      <c r="I23" s="18" t="s">
        <v>567</v>
      </c>
      <c r="J23" s="20" t="s">
        <v>567</v>
      </c>
      <c r="K23" s="18" t="n">
        <v>19.61809979</v>
      </c>
      <c r="L23" s="20" t="n">
        <v>2.28876749</v>
      </c>
      <c r="M23" s="18" t="n">
        <v>0</v>
      </c>
      <c r="N23" s="20" t="n">
        <v>0</v>
      </c>
      <c r="O23" s="18" t="n">
        <v>0</v>
      </c>
      <c r="P23" s="20" t="n">
        <v>0</v>
      </c>
      <c r="Q23" s="18" t="n">
        <v>0</v>
      </c>
      <c r="R23" s="20" t="n">
        <v>0</v>
      </c>
    </row>
    <row r="24" spans="1:18">
      <c r="A24" s="15" t="s">
        <v>584</v>
      </c>
      <c r="B24" s="17" t="n">
        <v>3338</v>
      </c>
      <c r="C24" s="18">
        <f>(2988.0/B24*100)</f>
        <v/>
      </c>
      <c r="D24" s="19" t="n">
        <v>350</v>
      </c>
      <c r="E24" s="18" t="n">
        <v>68.90372949</v>
      </c>
      <c r="F24" s="20" t="n">
        <v>2.5274917</v>
      </c>
      <c r="G24" s="18" t="n">
        <v>18.91550058</v>
      </c>
      <c r="H24" s="20" t="n">
        <v>2.14123074</v>
      </c>
      <c r="I24" s="18" t="s">
        <v>567</v>
      </c>
      <c r="J24" s="20" t="s">
        <v>567</v>
      </c>
      <c r="K24" s="18" t="n">
        <v>12.18076993</v>
      </c>
      <c r="L24" s="20" t="n">
        <v>2.04618343</v>
      </c>
      <c r="M24" s="18" t="n">
        <v>0</v>
      </c>
      <c r="N24" s="20" t="n">
        <v>0</v>
      </c>
      <c r="O24" s="18" t="n">
        <v>0</v>
      </c>
      <c r="P24" s="20" t="n">
        <v>0</v>
      </c>
      <c r="Q24" s="18" t="n">
        <v>0</v>
      </c>
      <c r="R24" s="20" t="n">
        <v>0</v>
      </c>
    </row>
    <row r="25" spans="1:18">
      <c r="A25" s="15" t="s">
        <v>585</v>
      </c>
      <c r="B25" s="17" t="n">
        <v>2912</v>
      </c>
      <c r="C25" s="18">
        <f>(2601.0/B25*100)</f>
        <v/>
      </c>
      <c r="D25" s="19" t="n">
        <v>311</v>
      </c>
      <c r="E25" s="18" t="n">
        <v>71.54861259</v>
      </c>
      <c r="F25" s="20" t="n">
        <v>2.49435761</v>
      </c>
      <c r="G25" s="18" t="n">
        <v>15.79497861</v>
      </c>
      <c r="H25" s="20" t="n">
        <v>2.1600606</v>
      </c>
      <c r="I25" s="18" t="s">
        <v>567</v>
      </c>
      <c r="J25" s="20" t="s">
        <v>567</v>
      </c>
      <c r="K25" s="18" t="n">
        <v>12.6564088</v>
      </c>
      <c r="L25" s="20" t="n">
        <v>1.82508579</v>
      </c>
      <c r="M25" s="18" t="n">
        <v>0</v>
      </c>
      <c r="N25" s="20" t="n">
        <v>0</v>
      </c>
      <c r="O25" s="18" t="n">
        <v>0</v>
      </c>
      <c r="P25" s="20" t="n">
        <v>0</v>
      </c>
      <c r="Q25" s="18" t="n">
        <v>0</v>
      </c>
      <c r="R25" s="20" t="n">
        <v>0</v>
      </c>
    </row>
    <row r="26" spans="1:18">
      <c r="A26" s="15" t="s">
        <v>586</v>
      </c>
      <c r="B26" s="17" t="n">
        <v>2450</v>
      </c>
      <c r="C26" s="18">
        <f>(2184.0/B26*100)</f>
        <v/>
      </c>
      <c r="D26" s="19" t="n">
        <v>266</v>
      </c>
      <c r="E26" s="18" t="n">
        <v>74.26617496</v>
      </c>
      <c r="F26" s="20" t="n">
        <v>3.12017876</v>
      </c>
      <c r="G26" s="18" t="n">
        <v>21.78855931</v>
      </c>
      <c r="H26" s="20" t="n">
        <v>2.89588733</v>
      </c>
      <c r="I26" s="18" t="s">
        <v>567</v>
      </c>
      <c r="J26" s="20" t="s">
        <v>567</v>
      </c>
      <c r="K26" s="18" t="n">
        <v>3.94526573</v>
      </c>
      <c r="L26" s="20" t="n">
        <v>1.29069302</v>
      </c>
      <c r="M26" s="18" t="n">
        <v>0</v>
      </c>
      <c r="N26" s="20" t="n">
        <v>0</v>
      </c>
      <c r="O26" s="18" t="n">
        <v>0</v>
      </c>
      <c r="P26" s="20" t="n">
        <v>0</v>
      </c>
      <c r="Q26" s="18" t="n">
        <v>0</v>
      </c>
      <c r="R26" s="20" t="n">
        <v>0</v>
      </c>
    </row>
    <row r="27" spans="1:18">
      <c r="A27" s="15" t="s">
        <v>587</v>
      </c>
      <c r="B27" s="17" t="n">
        <v>2616</v>
      </c>
      <c r="C27" s="18">
        <f>(2355.0/B27*100)</f>
        <v/>
      </c>
      <c r="D27" s="19" t="n">
        <v>261</v>
      </c>
      <c r="E27" s="18" t="n">
        <v>51.92594976</v>
      </c>
      <c r="F27" s="20" t="n">
        <v>3.63299806</v>
      </c>
      <c r="G27" s="18" t="n">
        <v>28.39249511</v>
      </c>
      <c r="H27" s="20" t="n">
        <v>2.93631119</v>
      </c>
      <c r="I27" s="18" t="s">
        <v>567</v>
      </c>
      <c r="J27" s="20" t="s">
        <v>567</v>
      </c>
      <c r="K27" s="18" t="n">
        <v>19.68155513</v>
      </c>
      <c r="L27" s="20" t="n">
        <v>2.66748018</v>
      </c>
      <c r="M27" s="18" t="n">
        <v>0</v>
      </c>
      <c r="N27" s="20" t="n">
        <v>0</v>
      </c>
      <c r="O27" s="18" t="n">
        <v>0</v>
      </c>
      <c r="P27" s="20" t="n">
        <v>0</v>
      </c>
      <c r="Q27" s="18" t="n">
        <v>0</v>
      </c>
      <c r="R27" s="20" t="n">
        <v>0</v>
      </c>
    </row>
    <row r="28" spans="1:18">
      <c r="A28" s="15" t="s">
        <v>588</v>
      </c>
      <c r="B28" s="17" t="n">
        <v>3765</v>
      </c>
      <c r="C28" s="18">
        <f>(3421.0/B28*100)</f>
        <v/>
      </c>
      <c r="D28" s="19" t="n">
        <v>344</v>
      </c>
      <c r="E28" s="18" t="n">
        <v>78.55449032</v>
      </c>
      <c r="F28" s="20" t="n">
        <v>2.50954173</v>
      </c>
      <c r="G28" s="18" t="n">
        <v>12.08551808</v>
      </c>
      <c r="H28" s="20" t="n">
        <v>1.83678852</v>
      </c>
      <c r="I28" s="18" t="s">
        <v>567</v>
      </c>
      <c r="J28" s="20" t="s">
        <v>567</v>
      </c>
      <c r="K28" s="18" t="n">
        <v>9.359991600000001</v>
      </c>
      <c r="L28" s="20" t="n">
        <v>1.94145895</v>
      </c>
      <c r="M28" s="18" t="n">
        <v>0</v>
      </c>
      <c r="N28" s="20" t="n">
        <v>0</v>
      </c>
      <c r="O28" s="18" t="n">
        <v>0</v>
      </c>
      <c r="P28" s="20" t="n">
        <v>0</v>
      </c>
      <c r="Q28" s="18" t="n">
        <v>0</v>
      </c>
      <c r="R28" s="20" t="n">
        <v>0</v>
      </c>
    </row>
    <row r="29" spans="1:18">
      <c r="A29" s="15" t="s">
        <v>589</v>
      </c>
      <c r="B29" s="17" t="n">
        <v>2685</v>
      </c>
      <c r="C29" s="18">
        <f>(2394.0/B29*100)</f>
        <v/>
      </c>
      <c r="D29" s="19" t="n">
        <v>291</v>
      </c>
      <c r="E29" s="18" t="n">
        <v>61.33719553</v>
      </c>
      <c r="F29" s="20" t="n">
        <v>2.50722873</v>
      </c>
      <c r="G29" s="18" t="n">
        <v>32.86080827</v>
      </c>
      <c r="H29" s="20" t="n">
        <v>2.58597851</v>
      </c>
      <c r="I29" s="18" t="s">
        <v>567</v>
      </c>
      <c r="J29" s="20" t="s">
        <v>567</v>
      </c>
      <c r="K29" s="18" t="n">
        <v>5.8019962</v>
      </c>
      <c r="L29" s="20" t="n">
        <v>1.22887029</v>
      </c>
      <c r="M29" s="18" t="n">
        <v>0</v>
      </c>
      <c r="N29" s="20" t="n">
        <v>0</v>
      </c>
      <c r="O29" s="18" t="n">
        <v>0</v>
      </c>
      <c r="P29" s="20" t="n">
        <v>0</v>
      </c>
      <c r="Q29" s="18" t="n">
        <v>0</v>
      </c>
      <c r="R29" s="20" t="n">
        <v>0</v>
      </c>
    </row>
    <row r="30" spans="1:18">
      <c r="A30" s="15" t="s">
        <v>590</v>
      </c>
      <c r="B30" s="17" t="n">
        <v>2263</v>
      </c>
      <c r="C30" s="18">
        <f>(2048.0/B30*100)</f>
        <v/>
      </c>
      <c r="D30" s="19" t="n">
        <v>215</v>
      </c>
      <c r="E30" s="18" t="n">
        <v>62.80993194</v>
      </c>
      <c r="F30" s="20" t="n">
        <v>3.30710868</v>
      </c>
      <c r="G30" s="18" t="n">
        <v>20.26746814</v>
      </c>
      <c r="H30" s="20" t="n">
        <v>2.36811749</v>
      </c>
      <c r="I30" s="18" t="s">
        <v>567</v>
      </c>
      <c r="J30" s="20" t="s">
        <v>567</v>
      </c>
      <c r="K30" s="18" t="n">
        <v>16.92259993</v>
      </c>
      <c r="L30" s="20" t="n">
        <v>2.51037828</v>
      </c>
      <c r="M30" s="18" t="n">
        <v>0</v>
      </c>
      <c r="N30" s="20" t="n">
        <v>0</v>
      </c>
      <c r="O30" s="18" t="n">
        <v>0</v>
      </c>
      <c r="P30" s="20" t="n">
        <v>0</v>
      </c>
      <c r="Q30" s="18" t="n">
        <v>0</v>
      </c>
      <c r="R30" s="20" t="n">
        <v>0</v>
      </c>
    </row>
    <row r="31" spans="1:18">
      <c r="A31" s="15" t="s">
        <v>591</v>
      </c>
      <c r="B31" s="17" t="n">
        <v>2750</v>
      </c>
      <c r="C31" s="18">
        <f>(2444.0/B31*100)</f>
        <v/>
      </c>
      <c r="D31" s="19" t="n">
        <v>306</v>
      </c>
      <c r="E31" s="18" t="n">
        <v>57.29697119</v>
      </c>
      <c r="F31" s="20" t="n">
        <v>3.09884929</v>
      </c>
      <c r="G31" s="18" t="n">
        <v>23.51888655</v>
      </c>
      <c r="H31" s="20" t="n">
        <v>2.2947621</v>
      </c>
      <c r="I31" s="18" t="s">
        <v>567</v>
      </c>
      <c r="J31" s="20" t="s">
        <v>567</v>
      </c>
      <c r="K31" s="18" t="n">
        <v>19.18414226</v>
      </c>
      <c r="L31" s="20" t="n">
        <v>2.28814178</v>
      </c>
      <c r="M31" s="18" t="n">
        <v>0</v>
      </c>
      <c r="N31" s="20" t="n">
        <v>0</v>
      </c>
      <c r="O31" s="18" t="n">
        <v>0</v>
      </c>
      <c r="P31" s="20" t="n">
        <v>0</v>
      </c>
      <c r="Q31" s="18" t="n">
        <v>0</v>
      </c>
      <c r="R31" s="20" t="n">
        <v>0</v>
      </c>
    </row>
    <row r="32" spans="1:18">
      <c r="A32" s="15" t="s">
        <v>592</v>
      </c>
      <c r="B32" s="17" t="n">
        <v>2269</v>
      </c>
      <c r="C32" s="18">
        <f>(2009.0/B32*100)</f>
        <v/>
      </c>
      <c r="D32" s="19" t="n">
        <v>260</v>
      </c>
      <c r="E32" s="18" t="n">
        <v>64.48956312999999</v>
      </c>
      <c r="F32" s="20" t="n">
        <v>2.76030571</v>
      </c>
      <c r="G32" s="18" t="n">
        <v>20.0161599</v>
      </c>
      <c r="H32" s="20" t="n">
        <v>2.48238021</v>
      </c>
      <c r="I32" s="18" t="s">
        <v>567</v>
      </c>
      <c r="J32" s="20" t="s">
        <v>567</v>
      </c>
      <c r="K32" s="18" t="n">
        <v>15.49427697</v>
      </c>
      <c r="L32" s="20" t="n">
        <v>2.25718667</v>
      </c>
      <c r="M32" s="18" t="n">
        <v>0</v>
      </c>
      <c r="N32" s="20" t="n">
        <v>0</v>
      </c>
      <c r="O32" s="18" t="n">
        <v>0</v>
      </c>
      <c r="P32" s="20" t="n">
        <v>0</v>
      </c>
      <c r="Q32" s="18" t="n">
        <v>0</v>
      </c>
      <c r="R32" s="20" t="n">
        <v>0</v>
      </c>
    </row>
    <row r="33" spans="1:18">
      <c r="A33" s="15" t="s">
        <v>593</v>
      </c>
      <c r="B33" s="17" t="n">
        <v>3674</v>
      </c>
      <c r="C33" s="18">
        <f>(3283.0/B33*100)</f>
        <v/>
      </c>
      <c r="D33" s="19" t="n">
        <v>391</v>
      </c>
      <c r="E33" s="18" t="n">
        <v>52.67908297</v>
      </c>
      <c r="F33" s="20" t="n">
        <v>3.2528964</v>
      </c>
      <c r="G33" s="18" t="n">
        <v>30.41707232</v>
      </c>
      <c r="H33" s="20" t="n">
        <v>2.59119925</v>
      </c>
      <c r="I33" s="18" t="s">
        <v>567</v>
      </c>
      <c r="J33" s="20" t="s">
        <v>567</v>
      </c>
      <c r="K33" s="18" t="n">
        <v>16.90384471</v>
      </c>
      <c r="L33" s="20" t="n">
        <v>2.33012506</v>
      </c>
      <c r="M33" s="18" t="n">
        <v>0</v>
      </c>
      <c r="N33" s="20" t="n">
        <v>0</v>
      </c>
      <c r="O33" s="18" t="n">
        <v>0</v>
      </c>
      <c r="P33" s="20" t="n">
        <v>0</v>
      </c>
      <c r="Q33" s="18" t="n">
        <v>0</v>
      </c>
      <c r="R33" s="20" t="n">
        <v>0</v>
      </c>
    </row>
    <row r="34" spans="1:18">
      <c r="A34" s="15" t="s">
        <v>594</v>
      </c>
      <c r="B34" s="17" t="n">
        <v>3315</v>
      </c>
      <c r="C34" s="18">
        <f>(2963.0/B34*100)</f>
        <v/>
      </c>
      <c r="D34" s="19" t="n">
        <v>352</v>
      </c>
      <c r="E34" s="18" t="n">
        <v>64.64749704</v>
      </c>
      <c r="F34" s="20" t="n">
        <v>2.53418897</v>
      </c>
      <c r="G34" s="18" t="n">
        <v>14.92031255</v>
      </c>
      <c r="H34" s="20" t="n">
        <v>2.05055414</v>
      </c>
      <c r="I34" s="18" t="s">
        <v>567</v>
      </c>
      <c r="J34" s="20" t="s">
        <v>567</v>
      </c>
      <c r="K34" s="18" t="n">
        <v>20.43219041</v>
      </c>
      <c r="L34" s="20" t="n">
        <v>2.07451853</v>
      </c>
      <c r="M34" s="18" t="n">
        <v>0</v>
      </c>
      <c r="N34" s="20" t="n">
        <v>0</v>
      </c>
      <c r="O34" s="18" t="n">
        <v>0</v>
      </c>
      <c r="P34" s="20" t="n">
        <v>0</v>
      </c>
      <c r="Q34" s="18" t="n">
        <v>0</v>
      </c>
      <c r="R34" s="20" t="n">
        <v>0</v>
      </c>
    </row>
    <row r="35" spans="1:18">
      <c r="A35" s="15" t="s">
        <v>595</v>
      </c>
      <c r="B35" s="17" t="n">
        <v>3505</v>
      </c>
      <c r="C35" s="18">
        <f>(3150.0/B35*100)</f>
        <v/>
      </c>
      <c r="D35" s="19" t="n">
        <v>355</v>
      </c>
      <c r="E35" s="18" t="n">
        <v>56.11588967</v>
      </c>
      <c r="F35" s="20" t="n">
        <v>3.46082141</v>
      </c>
      <c r="G35" s="18" t="n">
        <v>35.55569365</v>
      </c>
      <c r="H35" s="20" t="n">
        <v>3.30185844</v>
      </c>
      <c r="I35" s="18" t="s">
        <v>567</v>
      </c>
      <c r="J35" s="20" t="s">
        <v>567</v>
      </c>
      <c r="K35" s="18" t="n">
        <v>8.328416669999999</v>
      </c>
      <c r="L35" s="20" t="n">
        <v>1.83008089</v>
      </c>
      <c r="M35" s="18" t="n">
        <v>0</v>
      </c>
      <c r="N35" s="20" t="n">
        <v>0</v>
      </c>
      <c r="O35" s="18" t="n">
        <v>0</v>
      </c>
      <c r="P35" s="20" t="n">
        <v>0</v>
      </c>
      <c r="Q35" s="18" t="n">
        <v>0</v>
      </c>
      <c r="R35" s="20" t="n">
        <v>0</v>
      </c>
    </row>
    <row r="36" spans="1:18">
      <c r="A36" s="15" t="s">
        <v>596</v>
      </c>
      <c r="B36" s="17" t="n">
        <v>3332</v>
      </c>
      <c r="C36" s="18">
        <f>(2996.0/B36*100)</f>
        <v/>
      </c>
      <c r="D36" s="19" t="n">
        <v>336</v>
      </c>
      <c r="E36" s="18" t="n">
        <v>50.52613773</v>
      </c>
      <c r="F36" s="20" t="n">
        <v>2.89085906</v>
      </c>
      <c r="G36" s="18" t="n">
        <v>37.58121629</v>
      </c>
      <c r="H36" s="20" t="n">
        <v>3.01744161</v>
      </c>
      <c r="I36" s="18" t="s">
        <v>567</v>
      </c>
      <c r="J36" s="20" t="s">
        <v>567</v>
      </c>
      <c r="K36" s="18" t="n">
        <v>11.59794637</v>
      </c>
      <c r="L36" s="20" t="n">
        <v>1.61184283</v>
      </c>
      <c r="M36" s="18" t="n">
        <v>0.2946996</v>
      </c>
      <c r="N36" s="20" t="n">
        <v>0.29720146</v>
      </c>
      <c r="O36" s="18" t="n">
        <v>0</v>
      </c>
      <c r="P36" s="20" t="n">
        <v>0</v>
      </c>
      <c r="Q36" s="18" t="n">
        <v>0</v>
      </c>
      <c r="R36" s="20" t="n">
        <v>0</v>
      </c>
    </row>
    <row r="37" spans="1:18">
      <c r="A37" s="15" t="s">
        <v>597</v>
      </c>
      <c r="B37" s="17" t="n">
        <v>2727</v>
      </c>
      <c r="C37" s="18">
        <f>(2449.0/B37*100)</f>
        <v/>
      </c>
      <c r="D37" s="19" t="n">
        <v>278</v>
      </c>
      <c r="E37" s="18" t="n">
        <v>59.72091562</v>
      </c>
      <c r="F37" s="20" t="n">
        <v>2.76945868</v>
      </c>
      <c r="G37" s="18" t="n">
        <v>26.52051953</v>
      </c>
      <c r="H37" s="20" t="n">
        <v>2.92748075</v>
      </c>
      <c r="I37" s="18" t="s">
        <v>567</v>
      </c>
      <c r="J37" s="20" t="s">
        <v>567</v>
      </c>
      <c r="K37" s="18" t="n">
        <v>13.75856484</v>
      </c>
      <c r="L37" s="20" t="n">
        <v>2.52021826</v>
      </c>
      <c r="M37" s="18" t="n">
        <v>0</v>
      </c>
      <c r="N37" s="20" t="n">
        <v>0</v>
      </c>
      <c r="O37" s="18" t="n">
        <v>0</v>
      </c>
      <c r="P37" s="20" t="n">
        <v>0</v>
      </c>
      <c r="Q37" s="18" t="n">
        <v>0</v>
      </c>
      <c r="R37" s="20" t="n">
        <v>0</v>
      </c>
    </row>
    <row r="38" spans="1:18">
      <c r="A38" s="15" t="s">
        <v>598</v>
      </c>
      <c r="B38" s="17" t="n">
        <v>3053</v>
      </c>
      <c r="C38" s="18">
        <f>(2724.0/B38*100)</f>
        <v/>
      </c>
      <c r="D38" s="19" t="n">
        <v>329</v>
      </c>
      <c r="E38" s="18" t="n">
        <v>47.40691183</v>
      </c>
      <c r="F38" s="20" t="n">
        <v>3.29201687</v>
      </c>
      <c r="G38" s="18" t="n">
        <v>37.87841794</v>
      </c>
      <c r="H38" s="20" t="n">
        <v>3.35939552</v>
      </c>
      <c r="I38" s="18" t="s">
        <v>567</v>
      </c>
      <c r="J38" s="20" t="s">
        <v>567</v>
      </c>
      <c r="K38" s="18" t="n">
        <v>12.36025207</v>
      </c>
      <c r="L38" s="20" t="n">
        <v>1.7901549</v>
      </c>
      <c r="M38" s="18" t="n">
        <v>2.35441816</v>
      </c>
      <c r="N38" s="20" t="n">
        <v>0.88559626</v>
      </c>
      <c r="O38" s="18" t="n">
        <v>0</v>
      </c>
      <c r="P38" s="20" t="n">
        <v>0</v>
      </c>
      <c r="Q38" s="18" t="n">
        <v>0</v>
      </c>
      <c r="R38" s="20" t="n">
        <v>0</v>
      </c>
    </row>
    <row r="39" spans="1:18">
      <c r="A39" s="15" t="s">
        <v>599</v>
      </c>
      <c r="B39" s="17" t="n">
        <v>2957</v>
      </c>
      <c r="C39" s="18">
        <f>(2614.0/B39*100)</f>
        <v/>
      </c>
      <c r="D39" s="19" t="n">
        <v>343</v>
      </c>
      <c r="E39" s="18" t="n">
        <v>72.88473591</v>
      </c>
      <c r="F39" s="20" t="n">
        <v>2.53544248</v>
      </c>
      <c r="G39" s="18" t="n">
        <v>12.09461204</v>
      </c>
      <c r="H39" s="20" t="n">
        <v>2.10366387</v>
      </c>
      <c r="I39" s="18" t="s">
        <v>567</v>
      </c>
      <c r="J39" s="20" t="s">
        <v>567</v>
      </c>
      <c r="K39" s="18" t="n">
        <v>15.02065205</v>
      </c>
      <c r="L39" s="20" t="n">
        <v>2.13183189</v>
      </c>
      <c r="M39" s="18" t="n">
        <v>0</v>
      </c>
      <c r="N39" s="20" t="n">
        <v>0</v>
      </c>
      <c r="O39" s="18" t="n">
        <v>0</v>
      </c>
      <c r="P39" s="20" t="n">
        <v>0</v>
      </c>
      <c r="Q39" s="18" t="n">
        <v>0</v>
      </c>
      <c r="R39" s="20" t="n">
        <v>0</v>
      </c>
    </row>
    <row r="40" spans="1:18">
      <c r="A40" s="15" t="s">
        <v>600</v>
      </c>
      <c r="B40" s="17" t="n">
        <v>7235</v>
      </c>
      <c r="C40" s="18">
        <f>(6463.0/B40*100)</f>
        <v/>
      </c>
      <c r="D40" s="19" t="n">
        <v>772</v>
      </c>
      <c r="E40" s="18" t="n">
        <v>63.78824685</v>
      </c>
      <c r="F40" s="20" t="n">
        <v>2.70981679</v>
      </c>
      <c r="G40" s="18" t="n">
        <v>24.80837416</v>
      </c>
      <c r="H40" s="20" t="n">
        <v>2.45126923</v>
      </c>
      <c r="I40" s="18" t="s">
        <v>567</v>
      </c>
      <c r="J40" s="20" t="s">
        <v>567</v>
      </c>
      <c r="K40" s="18" t="n">
        <v>11.40337899</v>
      </c>
      <c r="L40" s="20" t="n">
        <v>1.78865197</v>
      </c>
      <c r="M40" s="18" t="n">
        <v>0</v>
      </c>
      <c r="N40" s="20" t="n">
        <v>0</v>
      </c>
      <c r="O40" s="18" t="n">
        <v>0</v>
      </c>
      <c r="P40" s="20" t="n">
        <v>0</v>
      </c>
      <c r="Q40" s="18" t="n">
        <v>0</v>
      </c>
      <c r="R40" s="20" t="n">
        <v>0</v>
      </c>
    </row>
    <row r="41" spans="1:18">
      <c r="A41" s="15" t="s">
        <v>601</v>
      </c>
      <c r="B41" s="17" t="n">
        <v>2858</v>
      </c>
      <c r="C41" s="18">
        <f>(2561.0/B41*100)</f>
        <v/>
      </c>
      <c r="D41" s="19" t="n">
        <v>297</v>
      </c>
      <c r="E41" s="18" t="n">
        <v>72.17308994</v>
      </c>
      <c r="F41" s="20" t="n">
        <v>3.09854076</v>
      </c>
      <c r="G41" s="18" t="n">
        <v>22.22469881</v>
      </c>
      <c r="H41" s="20" t="n">
        <v>2.53282489</v>
      </c>
      <c r="I41" s="18" t="s">
        <v>567</v>
      </c>
      <c r="J41" s="20" t="s">
        <v>567</v>
      </c>
      <c r="K41" s="18" t="n">
        <v>5.60221125</v>
      </c>
      <c r="L41" s="20" t="n">
        <v>1.54543995</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(10271.0/B46*100)</f>
        <v/>
      </c>
      <c r="D46" s="19" t="n">
        <v>797</v>
      </c>
      <c r="E46" s="18" t="n">
        <v>70.47134502</v>
      </c>
      <c r="F46" s="20" t="n">
        <v>2.12412082</v>
      </c>
      <c r="G46" s="18" t="n">
        <v>8.265832120000001</v>
      </c>
      <c r="H46" s="20" t="n">
        <v>1.2932016</v>
      </c>
      <c r="I46" s="18" t="s">
        <v>567</v>
      </c>
      <c r="J46" s="20" t="s">
        <v>567</v>
      </c>
      <c r="K46" s="18" t="n">
        <v>20.71471425</v>
      </c>
      <c r="L46" s="20" t="n">
        <v>1.81607705</v>
      </c>
      <c r="M46" s="18" t="n">
        <v>0.54810862</v>
      </c>
      <c r="N46" s="20" t="n">
        <v>0.26373341</v>
      </c>
      <c r="O46" s="18" t="n">
        <v>0</v>
      </c>
      <c r="P46" s="20" t="n">
        <v>0</v>
      </c>
      <c r="Q46" s="18" t="n">
        <v>0</v>
      </c>
      <c r="R46" s="20" t="n">
        <v>0</v>
      </c>
    </row>
    <row r="47" spans="1:18">
      <c r="A47" s="15" t="s">
        <v>607</v>
      </c>
      <c r="B47" s="17" t="n">
        <v>3105</v>
      </c>
      <c r="C47" s="18">
        <f>(2775.0/B47*100)</f>
        <v/>
      </c>
      <c r="D47" s="19" t="n">
        <v>330</v>
      </c>
      <c r="E47" s="18" t="n">
        <v>56.00335489</v>
      </c>
      <c r="F47" s="20" t="n">
        <v>3.24590458</v>
      </c>
      <c r="G47" s="18" t="n">
        <v>15.48863986</v>
      </c>
      <c r="H47" s="20" t="n">
        <v>2.62046944</v>
      </c>
      <c r="I47" s="18" t="s">
        <v>567</v>
      </c>
      <c r="J47" s="20" t="s">
        <v>567</v>
      </c>
      <c r="K47" s="18" t="n">
        <v>28.50800525</v>
      </c>
      <c r="L47" s="20" t="n">
        <v>2.86153801</v>
      </c>
      <c r="M47" s="18" t="n">
        <v>0</v>
      </c>
      <c r="N47" s="20" t="n">
        <v>0</v>
      </c>
      <c r="O47" s="18" t="n">
        <v>0</v>
      </c>
      <c r="P47" s="20" t="n">
        <v>0</v>
      </c>
      <c r="Q47" s="18" t="n">
        <v>0</v>
      </c>
      <c r="R47" s="20" t="n">
        <v>0</v>
      </c>
    </row>
    <row r="48" spans="1:18">
      <c r="A48" s="15" t="s">
        <v>608</v>
      </c>
      <c r="B48" s="17" t="n">
        <v>5159</v>
      </c>
      <c r="C48" s="18">
        <f>(4568.0/B48*100)</f>
        <v/>
      </c>
      <c r="D48" s="19" t="n">
        <v>591</v>
      </c>
      <c r="E48" s="18" t="n">
        <v>64.45076059</v>
      </c>
      <c r="F48" s="20" t="n">
        <v>2.18525258</v>
      </c>
      <c r="G48" s="18" t="n">
        <v>22.81723301</v>
      </c>
      <c r="H48" s="20" t="n">
        <v>2.02215661</v>
      </c>
      <c r="I48" s="18" t="s">
        <v>567</v>
      </c>
      <c r="J48" s="20" t="s">
        <v>567</v>
      </c>
      <c r="K48" s="18" t="n">
        <v>12.7320064</v>
      </c>
      <c r="L48" s="20" t="n">
        <v>1.71770831</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(5022.0/B50*100)</f>
        <v/>
      </c>
      <c r="D50" s="19" t="n">
        <v>615</v>
      </c>
      <c r="E50" s="18" t="n">
        <v>75.78753057</v>
      </c>
      <c r="F50" s="20" t="n">
        <v>2.1406447</v>
      </c>
      <c r="G50" s="18" t="n">
        <v>7.42815026</v>
      </c>
      <c r="H50" s="20" t="n">
        <v>1.27926559</v>
      </c>
      <c r="I50" s="18" t="s">
        <v>567</v>
      </c>
      <c r="J50" s="20" t="s">
        <v>567</v>
      </c>
      <c r="K50" s="18" t="n">
        <v>16.63326129</v>
      </c>
      <c r="L50" s="20" t="n">
        <v>1.7383286</v>
      </c>
      <c r="M50" s="18" t="n">
        <v>0.15105787</v>
      </c>
      <c r="N50" s="20" t="n">
        <v>0.19822729</v>
      </c>
      <c r="O50" s="18" t="n">
        <v>0</v>
      </c>
      <c r="P50" s="20" t="n">
        <v>0</v>
      </c>
      <c r="Q50" s="18" t="n">
        <v>0</v>
      </c>
      <c r="R50" s="20" t="n">
        <v>0</v>
      </c>
    </row>
    <row r="51" spans="1:18">
      <c r="A51" s="15" t="s">
        <v>611</v>
      </c>
      <c r="B51" s="17" t="n">
        <v>3372</v>
      </c>
      <c r="C51" s="18">
        <f>(3088.0/B51*100)</f>
        <v/>
      </c>
      <c r="D51" s="19" t="n">
        <v>284</v>
      </c>
      <c r="E51" s="18" t="n">
        <v>75.77627398</v>
      </c>
      <c r="F51" s="20" t="n">
        <v>2.97138517</v>
      </c>
      <c r="G51" s="18" t="n">
        <v>14.07037981</v>
      </c>
      <c r="H51" s="20" t="n">
        <v>2.41049042</v>
      </c>
      <c r="I51" s="18" t="s">
        <v>567</v>
      </c>
      <c r="J51" s="20" t="s">
        <v>567</v>
      </c>
      <c r="K51" s="18" t="n">
        <v>10.15334622</v>
      </c>
      <c r="L51" s="20" t="n">
        <v>2.46152083</v>
      </c>
      <c r="M51" s="18" t="n">
        <v>0</v>
      </c>
      <c r="N51" s="20" t="n">
        <v>0</v>
      </c>
      <c r="O51" s="18" t="n">
        <v>0</v>
      </c>
      <c r="P51" s="20" t="n">
        <v>0</v>
      </c>
      <c r="Q51" s="18" t="n">
        <v>0</v>
      </c>
      <c r="R51" s="20" t="n">
        <v>0</v>
      </c>
    </row>
    <row r="52" spans="1:18">
      <c r="A52" s="15" t="s">
        <v>612</v>
      </c>
      <c r="B52" s="17" t="n">
        <v>2796</v>
      </c>
      <c r="C52" s="18">
        <f>(2487.0/B52*100)</f>
        <v/>
      </c>
      <c r="D52" s="19" t="n">
        <v>309</v>
      </c>
      <c r="E52" s="18" t="n">
        <v>65.77048744</v>
      </c>
      <c r="F52" s="20" t="n">
        <v>2.95126969</v>
      </c>
      <c r="G52" s="18" t="n">
        <v>17.0919766</v>
      </c>
      <c r="H52" s="20" t="n">
        <v>2.72089977</v>
      </c>
      <c r="I52" s="18" t="s">
        <v>567</v>
      </c>
      <c r="J52" s="20" t="s">
        <v>567</v>
      </c>
      <c r="K52" s="18" t="n">
        <v>17.13753596</v>
      </c>
      <c r="L52" s="20" t="n">
        <v>2.11127547</v>
      </c>
      <c r="M52" s="18" t="n">
        <v>0</v>
      </c>
      <c r="N52" s="20" t="n">
        <v>0</v>
      </c>
      <c r="O52" s="18" t="n">
        <v>0</v>
      </c>
      <c r="P52" s="20" t="n">
        <v>0</v>
      </c>
      <c r="Q52" s="18" t="n">
        <v>0</v>
      </c>
      <c r="R52" s="20" t="n">
        <v>0</v>
      </c>
    </row>
    <row r="53" spans="1:18">
      <c r="A53" s="15" t="s">
        <v>613</v>
      </c>
      <c r="B53" s="17" t="n">
        <v>2811</v>
      </c>
      <c r="C53" s="18">
        <f>(2508.0/B53*100)</f>
        <v/>
      </c>
      <c r="D53" s="19" t="n">
        <v>303</v>
      </c>
      <c r="E53" s="18" t="n">
        <v>57.99631991</v>
      </c>
      <c r="F53" s="20" t="n">
        <v>2.94616735</v>
      </c>
      <c r="G53" s="18" t="n">
        <v>16.10063874</v>
      </c>
      <c r="H53" s="20" t="n">
        <v>2.36176085</v>
      </c>
      <c r="I53" s="18" t="s">
        <v>567</v>
      </c>
      <c r="J53" s="20" t="s">
        <v>567</v>
      </c>
      <c r="K53" s="18" t="n">
        <v>25.90304135</v>
      </c>
      <c r="L53" s="20" t="n">
        <v>2.66483543</v>
      </c>
      <c r="M53" s="18" t="n">
        <v>0</v>
      </c>
      <c r="N53" s="20" t="n">
        <v>0</v>
      </c>
      <c r="O53" s="18" t="n">
        <v>0</v>
      </c>
      <c r="P53" s="20" t="n">
        <v>0</v>
      </c>
      <c r="Q53" s="18" t="n">
        <v>0</v>
      </c>
      <c r="R53" s="20" t="n">
        <v>0</v>
      </c>
    </row>
    <row r="54" spans="1:18">
      <c r="A54" s="15" t="s">
        <v>614</v>
      </c>
      <c r="B54" s="17" t="n">
        <v>2266</v>
      </c>
      <c r="C54" s="18">
        <f>(2014.0/B54*100)</f>
        <v/>
      </c>
      <c r="D54" s="19" t="n">
        <v>252</v>
      </c>
      <c r="E54" s="18" t="n">
        <v>46.12829468</v>
      </c>
      <c r="F54" s="20" t="n">
        <v>3.36261641</v>
      </c>
      <c r="G54" s="18" t="n">
        <v>1.50260348</v>
      </c>
      <c r="H54" s="20" t="n">
        <v>0.704066</v>
      </c>
      <c r="I54" s="18" t="s">
        <v>567</v>
      </c>
      <c r="J54" s="20" t="s">
        <v>567</v>
      </c>
      <c r="K54" s="18" t="n">
        <v>51.52846536</v>
      </c>
      <c r="L54" s="20" t="n">
        <v>3.27777637</v>
      </c>
      <c r="M54" s="18" t="n">
        <v>0.84063648</v>
      </c>
      <c r="N54" s="20" t="n">
        <v>0.8914060499999999</v>
      </c>
      <c r="O54" s="18" t="n">
        <v>0</v>
      </c>
      <c r="P54" s="20" t="n">
        <v>0</v>
      </c>
      <c r="Q54" s="18" t="n">
        <v>0</v>
      </c>
      <c r="R54" s="20" t="n">
        <v>0</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(2381.0/B56*100)</f>
        <v/>
      </c>
      <c r="D56" s="19" t="n">
        <v>303</v>
      </c>
      <c r="E56" s="18" t="n">
        <v>64.15699227</v>
      </c>
      <c r="F56" s="20" t="n">
        <v>3.54556133</v>
      </c>
      <c r="G56" s="18" t="n">
        <v>26.95194736</v>
      </c>
      <c r="H56" s="20" t="n">
        <v>3.34530008</v>
      </c>
      <c r="I56" s="18" t="s">
        <v>567</v>
      </c>
      <c r="J56" s="20" t="s">
        <v>567</v>
      </c>
      <c r="K56" s="18" t="n">
        <v>8.891060360000001</v>
      </c>
      <c r="L56" s="20" t="n">
        <v>1.82330443</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(2946.0/B61*100)</f>
        <v/>
      </c>
      <c r="D61" s="19" t="n">
        <v>378</v>
      </c>
      <c r="E61" s="18" t="n">
        <v>65.47816225</v>
      </c>
      <c r="F61" s="20" t="n">
        <v>2.91644977</v>
      </c>
      <c r="G61" s="18" t="n">
        <v>21.07891854</v>
      </c>
      <c r="H61" s="20" t="n">
        <v>2.4078775</v>
      </c>
      <c r="I61" s="18" t="s">
        <v>567</v>
      </c>
      <c r="J61" s="20" t="s">
        <v>567</v>
      </c>
      <c r="K61" s="18" t="n">
        <v>13.17730648</v>
      </c>
      <c r="L61" s="20" t="n">
        <v>2.04360067</v>
      </c>
      <c r="M61" s="18" t="n">
        <v>0.26561273</v>
      </c>
      <c r="N61" s="20" t="n">
        <v>0.26261976</v>
      </c>
      <c r="O61" s="18" t="n">
        <v>0</v>
      </c>
      <c r="P61" s="20" t="n">
        <v>0</v>
      </c>
      <c r="Q61" s="18" t="n">
        <v>0</v>
      </c>
      <c r="R61" s="20" t="n">
        <v>0</v>
      </c>
    </row>
    <row r="62" spans="1:18">
      <c r="A62" s="15" t="s">
        <v>622</v>
      </c>
      <c r="B62" s="17" t="n">
        <v>2246</v>
      </c>
      <c r="C62" s="18">
        <f>(2008.0/B62*100)</f>
        <v/>
      </c>
      <c r="D62" s="19" t="n">
        <v>238</v>
      </c>
      <c r="E62" s="18" t="n">
        <v>68.82195878</v>
      </c>
      <c r="F62" s="20" t="n">
        <v>3.31413845</v>
      </c>
      <c r="G62" s="18" t="n">
        <v>23.60869724</v>
      </c>
      <c r="H62" s="20" t="n">
        <v>3.30543088</v>
      </c>
      <c r="I62" s="18" t="s">
        <v>567</v>
      </c>
      <c r="J62" s="20" t="s">
        <v>567</v>
      </c>
      <c r="K62" s="18" t="n">
        <v>7.56934398</v>
      </c>
      <c r="L62" s="20" t="n">
        <v>1.7447808</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(2608.0/B66*100)</f>
        <v/>
      </c>
      <c r="D66" s="19" t="n">
        <v>286</v>
      </c>
      <c r="E66" s="18" t="n">
        <v>55.18292374</v>
      </c>
      <c r="F66" s="20" t="n">
        <v>3.27959714</v>
      </c>
      <c r="G66" s="18" t="n">
        <v>10.3160786</v>
      </c>
      <c r="H66" s="20" t="n">
        <v>1.8682106</v>
      </c>
      <c r="I66" s="18" t="s">
        <v>567</v>
      </c>
      <c r="J66" s="20" t="s">
        <v>567</v>
      </c>
      <c r="K66" s="18" t="n">
        <v>34.18673902</v>
      </c>
      <c r="L66" s="20" t="n">
        <v>2.99087944</v>
      </c>
      <c r="M66" s="18" t="n">
        <v>0.31425864</v>
      </c>
      <c r="N66" s="20" t="n">
        <v>0.31569432</v>
      </c>
      <c r="O66" s="18" t="n">
        <v>0</v>
      </c>
      <c r="P66" s="20" t="n">
        <v>0</v>
      </c>
      <c r="Q66" s="18" t="n">
        <v>0</v>
      </c>
      <c r="R66" s="20" t="n">
        <v>0</v>
      </c>
    </row>
    <row r="67" spans="1:18">
      <c r="A67" s="15" t="s">
        <v>627</v>
      </c>
      <c r="B67" s="17" t="n">
        <v>3511</v>
      </c>
      <c r="C67" s="18">
        <f>(3224.0/B67*100)</f>
        <v/>
      </c>
      <c r="D67" s="19" t="n">
        <v>287</v>
      </c>
      <c r="E67" s="18" t="n">
        <v>73.14994541999999</v>
      </c>
      <c r="F67" s="20" t="n">
        <v>2.64668715</v>
      </c>
      <c r="G67" s="18" t="n">
        <v>13.13509847</v>
      </c>
      <c r="H67" s="20" t="n">
        <v>2.02034794</v>
      </c>
      <c r="I67" s="18" t="s">
        <v>567</v>
      </c>
      <c r="J67" s="20" t="s">
        <v>567</v>
      </c>
      <c r="K67" s="18" t="n">
        <v>13.71495611</v>
      </c>
      <c r="L67" s="20" t="n">
        <v>1.98609951</v>
      </c>
      <c r="M67" s="18" t="n">
        <v>0</v>
      </c>
      <c r="N67" s="20" t="n">
        <v>0</v>
      </c>
      <c r="O67" s="18" t="n">
        <v>0</v>
      </c>
      <c r="P67" s="20" t="n">
        <v>0</v>
      </c>
      <c r="Q67" s="18" t="n">
        <v>0</v>
      </c>
      <c r="R67" s="20" t="n">
        <v>0</v>
      </c>
    </row>
    <row r="68" spans="1:18">
      <c r="A68" s="15" t="s">
        <v>628</v>
      </c>
      <c r="B68" s="17" t="n">
        <v>6049</v>
      </c>
      <c r="C68" s="18">
        <f>(5389.0/B68*100)</f>
        <v/>
      </c>
      <c r="D68" s="19" t="n">
        <v>660</v>
      </c>
      <c r="E68" s="18" t="n">
        <v>67.35371791</v>
      </c>
      <c r="F68" s="20" t="n">
        <v>1.6271914</v>
      </c>
      <c r="G68" s="18" t="n">
        <v>8.752065740000001</v>
      </c>
      <c r="H68" s="20" t="n">
        <v>1.01527585</v>
      </c>
      <c r="I68" s="18" t="s">
        <v>567</v>
      </c>
      <c r="J68" s="20" t="s">
        <v>567</v>
      </c>
      <c r="K68" s="18" t="n">
        <v>23.89421635</v>
      </c>
      <c r="L68" s="20" t="n">
        <v>1.58427043</v>
      </c>
      <c r="M68" s="18" t="n">
        <v>0</v>
      </c>
      <c r="N68" s="20" t="n">
        <v>0</v>
      </c>
      <c r="O68" s="18" t="n">
        <v>0</v>
      </c>
      <c r="P68" s="20" t="n">
        <v>0</v>
      </c>
      <c r="Q68" s="18" t="n">
        <v>0</v>
      </c>
      <c r="R68" s="20" t="n">
        <v>0</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(2632.0/B70*100)</f>
        <v/>
      </c>
      <c r="D70" s="19" t="n">
        <v>297</v>
      </c>
      <c r="E70" s="18" t="n">
        <v>64.247925</v>
      </c>
      <c r="F70" s="20" t="n">
        <v>3.44453475</v>
      </c>
      <c r="G70" s="18" t="n">
        <v>21.96109502</v>
      </c>
      <c r="H70" s="20" t="n">
        <v>3.17419538</v>
      </c>
      <c r="I70" s="18" t="s">
        <v>567</v>
      </c>
      <c r="J70" s="20" t="s">
        <v>567</v>
      </c>
      <c r="K70" s="18" t="n">
        <v>13.79097998</v>
      </c>
      <c r="L70" s="20" t="n">
        <v>2.16322151</v>
      </c>
      <c r="M70" s="18" t="n">
        <v>0</v>
      </c>
      <c r="N70" s="20" t="n">
        <v>0</v>
      </c>
      <c r="O70" s="18" t="n">
        <v>0</v>
      </c>
      <c r="P70" s="20" t="n">
        <v>0</v>
      </c>
      <c r="Q70" s="18" t="n">
        <v>0</v>
      </c>
      <c r="R70" s="20" t="n">
        <v>0</v>
      </c>
    </row>
    <row r="71" spans="1:18">
      <c r="A71" s="15" t="s">
        <v>631</v>
      </c>
      <c r="B71" s="17" t="n">
        <v>3142</v>
      </c>
      <c r="C71" s="18">
        <f>(2809.0/B71*100)</f>
        <v/>
      </c>
      <c r="D71" s="19" t="n">
        <v>333</v>
      </c>
      <c r="E71" s="18" t="n">
        <v>44.88559475</v>
      </c>
      <c r="F71" s="20" t="n">
        <v>2.51968258</v>
      </c>
      <c r="G71" s="18" t="n">
        <v>51.3341491</v>
      </c>
      <c r="H71" s="20" t="n">
        <v>2.75861879</v>
      </c>
      <c r="I71" s="18" t="s">
        <v>567</v>
      </c>
      <c r="J71" s="20" t="s">
        <v>567</v>
      </c>
      <c r="K71" s="18" t="n">
        <v>3.78025615</v>
      </c>
      <c r="L71" s="20" t="n">
        <v>1.01393004</v>
      </c>
      <c r="M71" s="18" t="n">
        <v>0</v>
      </c>
      <c r="N71" s="20" t="n">
        <v>0</v>
      </c>
      <c r="O71" s="18" t="n">
        <v>0</v>
      </c>
      <c r="P71" s="20" t="n">
        <v>0</v>
      </c>
      <c r="Q71" s="18" t="n">
        <v>0</v>
      </c>
      <c r="R71" s="20" t="n">
        <v>0</v>
      </c>
    </row>
    <row r="72" spans="1:18">
      <c r="A72" s="15" t="s">
        <v>632</v>
      </c>
      <c r="B72" s="17" t="n">
        <v>3889</v>
      </c>
      <c r="C72" s="18">
        <f>(3478.0/B72*100)</f>
        <v/>
      </c>
      <c r="D72" s="19" t="n">
        <v>411</v>
      </c>
      <c r="E72" s="18" t="n">
        <v>61.93532654</v>
      </c>
      <c r="F72" s="20" t="n">
        <v>2.52911866</v>
      </c>
      <c r="G72" s="18" t="n">
        <v>26.70393094</v>
      </c>
      <c r="H72" s="20" t="n">
        <v>2.19090348</v>
      </c>
      <c r="I72" s="18" t="s">
        <v>567</v>
      </c>
      <c r="J72" s="20" t="s">
        <v>567</v>
      </c>
      <c r="K72" s="18" t="n">
        <v>11.36074252</v>
      </c>
      <c r="L72" s="20" t="n">
        <v>1.41955832</v>
      </c>
      <c r="M72" s="18" t="n">
        <v>0</v>
      </c>
      <c r="N72" s="20" t="n">
        <v>0</v>
      </c>
      <c r="O72" s="18" t="n">
        <v>0</v>
      </c>
      <c r="P72" s="20" t="n">
        <v>0</v>
      </c>
      <c r="Q72" s="18" t="n">
        <v>0</v>
      </c>
      <c r="R72" s="20" t="n">
        <v>0</v>
      </c>
    </row>
    <row r="73" spans="1:18">
      <c r="A73" s="15" t="s">
        <v>633</v>
      </c>
      <c r="B73" s="17" t="n">
        <v>3597</v>
      </c>
      <c r="C73" s="18">
        <f>(3239.0/B73*100)</f>
        <v/>
      </c>
      <c r="D73" s="19" t="n">
        <v>358</v>
      </c>
      <c r="E73" s="18" t="n">
        <v>79.85122516</v>
      </c>
      <c r="F73" s="20" t="n">
        <v>2.59134578</v>
      </c>
      <c r="G73" s="18" t="n">
        <v>13.08067336</v>
      </c>
      <c r="H73" s="20" t="n">
        <v>2.20960066</v>
      </c>
      <c r="I73" s="18" t="s">
        <v>567</v>
      </c>
      <c r="J73" s="20" t="s">
        <v>567</v>
      </c>
      <c r="K73" s="18" t="n">
        <v>6.90042218</v>
      </c>
      <c r="L73" s="20" t="n">
        <v>1.64614926</v>
      </c>
      <c r="M73" s="18" t="n">
        <v>0.16767929</v>
      </c>
      <c r="N73" s="20" t="n">
        <v>0.16801492</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(2168.0/B75*100)</f>
        <v/>
      </c>
      <c r="D75" s="19" t="n">
        <v>238</v>
      </c>
      <c r="E75" s="18" t="n">
        <v>59.07013274</v>
      </c>
      <c r="F75" s="20" t="n">
        <v>3.0858034</v>
      </c>
      <c r="G75" s="18" t="n">
        <v>3.38360618</v>
      </c>
      <c r="H75" s="20" t="n">
        <v>1.00396621</v>
      </c>
      <c r="I75" s="18" t="s">
        <v>567</v>
      </c>
      <c r="J75" s="20" t="s">
        <v>567</v>
      </c>
      <c r="K75" s="18" t="n">
        <v>35.49238429</v>
      </c>
      <c r="L75" s="20" t="n">
        <v>2.99635486</v>
      </c>
      <c r="M75" s="18" t="n">
        <v>2.05387679</v>
      </c>
      <c r="N75" s="20" t="n">
        <v>1.34830885</v>
      </c>
      <c r="O75" s="18" t="n">
        <v>0</v>
      </c>
      <c r="P75" s="20" t="n">
        <v>0</v>
      </c>
      <c r="Q75" s="18" t="n">
        <v>0</v>
      </c>
      <c r="R75" s="20" t="n">
        <v>0</v>
      </c>
    </row>
    <row r="76" spans="1:18">
      <c r="A76" s="15" t="s">
        <v>636</v>
      </c>
      <c r="B76" s="17" t="n">
        <v>7052</v>
      </c>
      <c r="C76" s="18">
        <f>(6315.0/B76*100)</f>
        <v/>
      </c>
      <c r="D76" s="19" t="n">
        <v>737</v>
      </c>
      <c r="E76" s="18" t="n">
        <v>73.12784993</v>
      </c>
      <c r="F76" s="20" t="n">
        <v>2.26247005</v>
      </c>
      <c r="G76" s="18" t="n">
        <v>11.04537286</v>
      </c>
      <c r="H76" s="20" t="n">
        <v>1.30328079</v>
      </c>
      <c r="I76" s="18" t="s">
        <v>567</v>
      </c>
      <c r="J76" s="20" t="s">
        <v>567</v>
      </c>
      <c r="K76" s="18" t="n">
        <v>15.75317277</v>
      </c>
      <c r="L76" s="20" t="n">
        <v>1.90593565</v>
      </c>
      <c r="M76" s="18" t="n">
        <v>0.07360443999999999</v>
      </c>
      <c r="N76" s="20" t="n">
        <v>0.07391308000000001</v>
      </c>
      <c r="O76" s="18" t="n">
        <v>0</v>
      </c>
      <c r="P76" s="20" t="n">
        <v>0</v>
      </c>
      <c r="Q76" s="18" t="n">
        <v>0</v>
      </c>
      <c r="R76" s="20" t="n">
        <v>0</v>
      </c>
    </row>
    <row r="77" spans="1:18">
      <c r="A77" s="15" t="s">
        <v>637</v>
      </c>
      <c r="B77" s="17" t="n">
        <v>2908</v>
      </c>
      <c r="C77" s="18">
        <f>(2606.0/B77*100)</f>
        <v/>
      </c>
      <c r="D77" s="19" t="n">
        <v>302</v>
      </c>
      <c r="E77" s="18" t="n">
        <v>56.94118614</v>
      </c>
      <c r="F77" s="20" t="n">
        <v>2.86574026</v>
      </c>
      <c r="G77" s="18" t="n">
        <v>15.62970878</v>
      </c>
      <c r="H77" s="20" t="n">
        <v>2.22553164</v>
      </c>
      <c r="I77" s="18" t="s">
        <v>567</v>
      </c>
      <c r="J77" s="20" t="s">
        <v>567</v>
      </c>
      <c r="K77" s="18" t="n">
        <v>27.42910508</v>
      </c>
      <c r="L77" s="20" t="n">
        <v>2.6022835</v>
      </c>
      <c r="M77" s="18" t="n">
        <v>0</v>
      </c>
      <c r="N77" s="20" t="n">
        <v>0</v>
      </c>
      <c r="O77" s="18" t="n">
        <v>0</v>
      </c>
      <c r="P77" s="20" t="n">
        <v>0</v>
      </c>
      <c r="Q77" s="18" t="n">
        <v>0</v>
      </c>
      <c r="R77" s="20" t="n">
        <v>0</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(3696.0/B81*100)</f>
        <v/>
      </c>
      <c r="D81" s="19" t="n">
        <v>467</v>
      </c>
      <c r="E81" s="18" t="n">
        <v>86.84833085</v>
      </c>
      <c r="F81" s="20" t="n">
        <v>1.96726137</v>
      </c>
      <c r="G81" s="18" t="n">
        <v>6.50083768</v>
      </c>
      <c r="H81" s="20" t="n">
        <v>1.27090073</v>
      </c>
      <c r="I81" s="18" t="s">
        <v>567</v>
      </c>
      <c r="J81" s="20" t="s">
        <v>567</v>
      </c>
      <c r="K81" s="18" t="n">
        <v>6.65083147</v>
      </c>
      <c r="L81" s="20" t="n">
        <v>1.62736299</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699</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7367</v>
      </c>
      <c r="C7" s="18">
        <f>(6546.0/B7*100)</f>
        <v/>
      </c>
      <c r="D7" s="19" t="n">
        <v>821</v>
      </c>
      <c r="E7" s="18" t="n">
        <v>38.80283525</v>
      </c>
      <c r="F7" s="20" t="n">
        <v>2.1212223</v>
      </c>
      <c r="G7" s="18" t="n">
        <v>26.00772949</v>
      </c>
      <c r="H7" s="20" t="n">
        <v>2.01976715</v>
      </c>
      <c r="I7" s="18" t="n">
        <v>27.31572698</v>
      </c>
      <c r="J7" s="20" t="n">
        <v>1.99497804</v>
      </c>
      <c r="K7" s="18" t="s">
        <v>567</v>
      </c>
      <c r="L7" s="20" t="s">
        <v>567</v>
      </c>
      <c r="M7" s="18" t="n">
        <v>0</v>
      </c>
      <c r="N7" s="20" t="n">
        <v>0</v>
      </c>
      <c r="O7" s="18" t="n">
        <v>0.03158991</v>
      </c>
      <c r="P7" s="20" t="n">
        <v>0.02277828</v>
      </c>
      <c r="Q7" s="18" t="n">
        <v>0</v>
      </c>
      <c r="R7" s="20" t="n">
        <v>0</v>
      </c>
      <c r="S7" s="18" t="n">
        <v>7.84211837</v>
      </c>
      <c r="T7" s="20" t="n">
        <v>1.13320774</v>
      </c>
    </row>
    <row r="8" spans="1:20">
      <c r="A8" s="15" t="s">
        <v>568</v>
      </c>
      <c r="B8" s="17" t="n">
        <v>3564</v>
      </c>
      <c r="C8" s="18">
        <f>(3160.0/B8*100)</f>
        <v/>
      </c>
      <c r="D8" s="19" t="n">
        <v>404</v>
      </c>
      <c r="E8" s="18" t="n">
        <v>36.52093193</v>
      </c>
      <c r="F8" s="20" t="n">
        <v>2.54535151</v>
      </c>
      <c r="G8" s="18" t="n">
        <v>21.54161256</v>
      </c>
      <c r="H8" s="20" t="n">
        <v>2.03969387</v>
      </c>
      <c r="I8" s="18" t="n">
        <v>30.83939801</v>
      </c>
      <c r="J8" s="20" t="n">
        <v>2.54299608</v>
      </c>
      <c r="K8" s="18" t="s">
        <v>567</v>
      </c>
      <c r="L8" s="20" t="s">
        <v>567</v>
      </c>
      <c r="M8" s="18" t="n">
        <v>0</v>
      </c>
      <c r="N8" s="20" t="n">
        <v>0</v>
      </c>
      <c r="O8" s="18" t="n">
        <v>0</v>
      </c>
      <c r="P8" s="20" t="n">
        <v>0</v>
      </c>
      <c r="Q8" s="18" t="n">
        <v>0</v>
      </c>
      <c r="R8" s="20" t="n">
        <v>0</v>
      </c>
      <c r="S8" s="18" t="n">
        <v>11.0980575</v>
      </c>
      <c r="T8" s="20" t="n">
        <v>1.606779</v>
      </c>
    </row>
    <row r="9" spans="1:20">
      <c r="A9" s="15" t="s">
        <v>569</v>
      </c>
      <c r="B9" s="17" t="n">
        <v>4899</v>
      </c>
      <c r="C9" s="18">
        <f>(4420.0/B9*100)</f>
        <v/>
      </c>
      <c r="D9" s="19" t="n">
        <v>479</v>
      </c>
      <c r="E9" s="18" t="n">
        <v>26.73071655</v>
      </c>
      <c r="F9" s="20" t="n">
        <v>2.2312144</v>
      </c>
      <c r="G9" s="18" t="n">
        <v>22.18718468</v>
      </c>
      <c r="H9" s="20" t="n">
        <v>2.01603455</v>
      </c>
      <c r="I9" s="18" t="n">
        <v>42.16050199</v>
      </c>
      <c r="J9" s="20" t="n">
        <v>2.43142379</v>
      </c>
      <c r="K9" s="18" t="s">
        <v>567</v>
      </c>
      <c r="L9" s="20" t="s">
        <v>567</v>
      </c>
      <c r="M9" s="18" t="n">
        <v>0</v>
      </c>
      <c r="N9" s="20" t="n">
        <v>0</v>
      </c>
      <c r="O9" s="18" t="n">
        <v>0.87379974</v>
      </c>
      <c r="P9" s="20" t="n">
        <v>0.30667309</v>
      </c>
      <c r="Q9" s="18" t="n">
        <v>0</v>
      </c>
      <c r="R9" s="20" t="n">
        <v>0</v>
      </c>
      <c r="S9" s="18" t="n">
        <v>8.04779703</v>
      </c>
      <c r="T9" s="20" t="n">
        <v>1.41187376</v>
      </c>
    </row>
    <row r="10" spans="1:20">
      <c r="A10" s="15" t="s">
        <v>570</v>
      </c>
      <c r="B10" s="17" t="n">
        <v>10036</v>
      </c>
      <c r="C10" s="18">
        <f>(8961.0/B10*100)</f>
        <v/>
      </c>
      <c r="D10" s="19" t="n">
        <v>1075</v>
      </c>
      <c r="E10" s="18" t="n">
        <v>35.26580351</v>
      </c>
      <c r="F10" s="20" t="n">
        <v>2.31547465</v>
      </c>
      <c r="G10" s="18" t="n">
        <v>27.004092</v>
      </c>
      <c r="H10" s="20" t="n">
        <v>1.92962888</v>
      </c>
      <c r="I10" s="18" t="n">
        <v>32.37607846</v>
      </c>
      <c r="J10" s="20" t="n">
        <v>2.14047326</v>
      </c>
      <c r="K10" s="18" t="s">
        <v>567</v>
      </c>
      <c r="L10" s="20" t="s">
        <v>567</v>
      </c>
      <c r="M10" s="18" t="n">
        <v>0.02141819</v>
      </c>
      <c r="N10" s="20" t="n">
        <v>0.02125126</v>
      </c>
      <c r="O10" s="18" t="n">
        <v>0</v>
      </c>
      <c r="P10" s="20" t="n">
        <v>0</v>
      </c>
      <c r="Q10" s="18" t="n">
        <v>0</v>
      </c>
      <c r="R10" s="20" t="n">
        <v>0</v>
      </c>
      <c r="S10" s="18" t="n">
        <v>5.33260784</v>
      </c>
      <c r="T10" s="20" t="n">
        <v>1.0755014</v>
      </c>
    </row>
    <row r="11" spans="1:20">
      <c r="A11" s="15" t="s">
        <v>571</v>
      </c>
      <c r="B11" s="17" t="n">
        <v>3553</v>
      </c>
      <c r="C11" s="18">
        <f>(3156.0/B11*100)</f>
        <v/>
      </c>
      <c r="D11" s="19" t="n">
        <v>397</v>
      </c>
      <c r="E11" s="18" t="n">
        <v>38.07683632</v>
      </c>
      <c r="F11" s="20" t="n">
        <v>2.92858331</v>
      </c>
      <c r="G11" s="18" t="n">
        <v>24.34839548</v>
      </c>
      <c r="H11" s="20" t="n">
        <v>2.47036121</v>
      </c>
      <c r="I11" s="18" t="n">
        <v>22.0042365</v>
      </c>
      <c r="J11" s="20" t="n">
        <v>2.33090109</v>
      </c>
      <c r="K11" s="18" t="s">
        <v>567</v>
      </c>
      <c r="L11" s="20" t="s">
        <v>567</v>
      </c>
      <c r="M11" s="18" t="n">
        <v>0</v>
      </c>
      <c r="N11" s="20" t="n">
        <v>0</v>
      </c>
      <c r="O11" s="18" t="n">
        <v>0.02451906</v>
      </c>
      <c r="P11" s="20" t="n">
        <v>0.02467261</v>
      </c>
      <c r="Q11" s="18" t="n">
        <v>0</v>
      </c>
      <c r="R11" s="20" t="n">
        <v>0</v>
      </c>
      <c r="S11" s="18" t="n">
        <v>15.54601265</v>
      </c>
      <c r="T11" s="20" t="n">
        <v>2.45156191</v>
      </c>
    </row>
    <row r="12" spans="1:20">
      <c r="A12" s="15" t="s">
        <v>572</v>
      </c>
      <c r="B12" s="17" t="n">
        <v>3472</v>
      </c>
      <c r="C12" s="18">
        <f>(3094.0/B12*100)</f>
        <v/>
      </c>
      <c r="D12" s="19" t="n">
        <v>378</v>
      </c>
      <c r="E12" s="18" t="n">
        <v>34.40482836</v>
      </c>
      <c r="F12" s="20" t="n">
        <v>2.48707961</v>
      </c>
      <c r="G12" s="18" t="n">
        <v>22.88054818</v>
      </c>
      <c r="H12" s="20" t="n">
        <v>2.55157189</v>
      </c>
      <c r="I12" s="18" t="n">
        <v>28.35992216</v>
      </c>
      <c r="J12" s="20" t="n">
        <v>2.38300582</v>
      </c>
      <c r="K12" s="18" t="s">
        <v>567</v>
      </c>
      <c r="L12" s="20" t="s">
        <v>567</v>
      </c>
      <c r="M12" s="18" t="n">
        <v>0</v>
      </c>
      <c r="N12" s="20" t="n">
        <v>0</v>
      </c>
      <c r="O12" s="18" t="n">
        <v>0.15143493</v>
      </c>
      <c r="P12" s="20" t="n">
        <v>0.2041038</v>
      </c>
      <c r="Q12" s="18" t="n">
        <v>0</v>
      </c>
      <c r="R12" s="20" t="n">
        <v>0</v>
      </c>
      <c r="S12" s="18" t="n">
        <v>14.20326637</v>
      </c>
      <c r="T12" s="20" t="n">
        <v>2.28695891</v>
      </c>
    </row>
    <row r="13" spans="1:20">
      <c r="A13" s="15" t="s">
        <v>573</v>
      </c>
      <c r="B13" s="17" t="n">
        <v>3559</v>
      </c>
      <c r="C13" s="18">
        <f>(3189.0/B13*100)</f>
        <v/>
      </c>
      <c r="D13" s="19" t="n">
        <v>370</v>
      </c>
      <c r="E13" s="18" t="n">
        <v>31.8445721</v>
      </c>
      <c r="F13" s="20" t="n">
        <v>2.79458344</v>
      </c>
      <c r="G13" s="18" t="n">
        <v>27.62235894</v>
      </c>
      <c r="H13" s="20" t="n">
        <v>2.61496812</v>
      </c>
      <c r="I13" s="18" t="n">
        <v>35.16574829</v>
      </c>
      <c r="J13" s="20" t="n">
        <v>2.77058749</v>
      </c>
      <c r="K13" s="18" t="s">
        <v>567</v>
      </c>
      <c r="L13" s="20" t="s">
        <v>567</v>
      </c>
      <c r="M13" s="18" t="n">
        <v>0.31553693</v>
      </c>
      <c r="N13" s="20" t="n">
        <v>0.22712933</v>
      </c>
      <c r="O13" s="18" t="n">
        <v>0</v>
      </c>
      <c r="P13" s="20" t="n">
        <v>0</v>
      </c>
      <c r="Q13" s="18" t="n">
        <v>0</v>
      </c>
      <c r="R13" s="20" t="n">
        <v>0</v>
      </c>
      <c r="S13" s="18" t="n">
        <v>5.05178374</v>
      </c>
      <c r="T13" s="20" t="n">
        <v>1.44153665</v>
      </c>
    </row>
    <row r="14" spans="1:20">
      <c r="A14" s="15" t="s">
        <v>574</v>
      </c>
      <c r="B14" s="17" t="n">
        <v>2799</v>
      </c>
      <c r="C14" s="18">
        <f>(2509.0/B14*100)</f>
        <v/>
      </c>
      <c r="D14" s="19" t="n">
        <v>290</v>
      </c>
      <c r="E14" s="18" t="n">
        <v>30.17563905</v>
      </c>
      <c r="F14" s="20" t="n">
        <v>2.71306579</v>
      </c>
      <c r="G14" s="18" t="n">
        <v>25.09772106</v>
      </c>
      <c r="H14" s="20" t="n">
        <v>2.83218768</v>
      </c>
      <c r="I14" s="18" t="n">
        <v>41.88462433</v>
      </c>
      <c r="J14" s="20" t="n">
        <v>3.25977878</v>
      </c>
      <c r="K14" s="18" t="s">
        <v>567</v>
      </c>
      <c r="L14" s="20" t="s">
        <v>567</v>
      </c>
      <c r="M14" s="18" t="n">
        <v>0</v>
      </c>
      <c r="N14" s="20" t="n">
        <v>0</v>
      </c>
      <c r="O14" s="18" t="n">
        <v>0</v>
      </c>
      <c r="P14" s="20" t="n">
        <v>0</v>
      </c>
      <c r="Q14" s="18" t="n">
        <v>0</v>
      </c>
      <c r="R14" s="20" t="n">
        <v>0</v>
      </c>
      <c r="S14" s="18" t="n">
        <v>2.84201556</v>
      </c>
      <c r="T14" s="20" t="n">
        <v>1.11740771</v>
      </c>
    </row>
    <row r="15" spans="1:20">
      <c r="A15" s="15" t="s">
        <v>575</v>
      </c>
      <c r="B15" s="17" t="n">
        <v>3019</v>
      </c>
      <c r="C15" s="18">
        <f>(2664.0/B15*100)</f>
        <v/>
      </c>
      <c r="D15" s="19" t="n">
        <v>355</v>
      </c>
      <c r="E15" s="18" t="n">
        <v>23.8127545</v>
      </c>
      <c r="F15" s="20" t="n">
        <v>2.58348676</v>
      </c>
      <c r="G15" s="18" t="n">
        <v>21.42469834</v>
      </c>
      <c r="H15" s="20" t="n">
        <v>2.38524529</v>
      </c>
      <c r="I15" s="18" t="n">
        <v>47.61232287</v>
      </c>
      <c r="J15" s="20" t="n">
        <v>3.06780876</v>
      </c>
      <c r="K15" s="18" t="s">
        <v>567</v>
      </c>
      <c r="L15" s="20" t="s">
        <v>567</v>
      </c>
      <c r="M15" s="18" t="n">
        <v>0</v>
      </c>
      <c r="N15" s="20" t="n">
        <v>0</v>
      </c>
      <c r="O15" s="18" t="n">
        <v>0</v>
      </c>
      <c r="P15" s="20" t="n">
        <v>0</v>
      </c>
      <c r="Q15" s="18" t="n">
        <v>0</v>
      </c>
      <c r="R15" s="20" t="n">
        <v>0</v>
      </c>
      <c r="S15" s="18" t="n">
        <v>7.1502243</v>
      </c>
      <c r="T15" s="20" t="n">
        <v>1.35797816</v>
      </c>
    </row>
    <row r="16" spans="1:20">
      <c r="A16" s="15" t="s">
        <v>576</v>
      </c>
      <c r="B16" s="17" t="n">
        <v>2997</v>
      </c>
      <c r="C16" s="18">
        <f>(2660.0/B16*100)</f>
        <v/>
      </c>
      <c r="D16" s="19" t="n">
        <v>337</v>
      </c>
      <c r="E16" s="18" t="n">
        <v>38.41714489</v>
      </c>
      <c r="F16" s="20" t="n">
        <v>2.57078124</v>
      </c>
      <c r="G16" s="18" t="n">
        <v>24.6179663</v>
      </c>
      <c r="H16" s="20" t="n">
        <v>2.40317143</v>
      </c>
      <c r="I16" s="18" t="n">
        <v>24.81789901</v>
      </c>
      <c r="J16" s="20" t="n">
        <v>2.44676648</v>
      </c>
      <c r="K16" s="18" t="s">
        <v>567</v>
      </c>
      <c r="L16" s="20" t="s">
        <v>567</v>
      </c>
      <c r="M16" s="18" t="n">
        <v>0</v>
      </c>
      <c r="N16" s="20" t="n">
        <v>0</v>
      </c>
      <c r="O16" s="18" t="n">
        <v>0</v>
      </c>
      <c r="P16" s="20" t="n">
        <v>0</v>
      </c>
      <c r="Q16" s="18" t="n">
        <v>0</v>
      </c>
      <c r="R16" s="20" t="n">
        <v>0</v>
      </c>
      <c r="S16" s="18" t="n">
        <v>12.1469898</v>
      </c>
      <c r="T16" s="20" t="n">
        <v>1.89085517</v>
      </c>
    </row>
    <row r="17" spans="1:20">
      <c r="A17" s="15" t="s">
        <v>577</v>
      </c>
      <c r="B17" s="17" t="n">
        <v>3307</v>
      </c>
      <c r="C17" s="18">
        <f>(2974.0/B17*100)</f>
        <v/>
      </c>
      <c r="D17" s="19" t="n">
        <v>333</v>
      </c>
      <c r="E17" s="18" t="n">
        <v>33.13625263</v>
      </c>
      <c r="F17" s="20" t="n">
        <v>2.76845761</v>
      </c>
      <c r="G17" s="18" t="n">
        <v>26.62925603</v>
      </c>
      <c r="H17" s="20" t="n">
        <v>2.53251747</v>
      </c>
      <c r="I17" s="18" t="n">
        <v>33.24194165</v>
      </c>
      <c r="J17" s="20" t="n">
        <v>2.59552801</v>
      </c>
      <c r="K17" s="18" t="s">
        <v>567</v>
      </c>
      <c r="L17" s="20" t="s">
        <v>567</v>
      </c>
      <c r="M17" s="18" t="n">
        <v>0</v>
      </c>
      <c r="N17" s="20" t="n">
        <v>0</v>
      </c>
      <c r="O17" s="18" t="n">
        <v>0</v>
      </c>
      <c r="P17" s="20" t="n">
        <v>0</v>
      </c>
      <c r="Q17" s="18" t="n">
        <v>0</v>
      </c>
      <c r="R17" s="20" t="n">
        <v>0</v>
      </c>
      <c r="S17" s="18" t="n">
        <v>6.99254969</v>
      </c>
      <c r="T17" s="20" t="n">
        <v>1.43962966</v>
      </c>
    </row>
    <row r="18" spans="1:20">
      <c r="A18" s="15" t="s">
        <v>578</v>
      </c>
      <c r="B18" s="17" t="n">
        <v>2826</v>
      </c>
      <c r="C18" s="18">
        <f>(2502.0/B18*100)</f>
        <v/>
      </c>
      <c r="D18" s="19" t="n">
        <v>324</v>
      </c>
      <c r="E18" s="18" t="n">
        <v>28.6421861</v>
      </c>
      <c r="F18" s="20" t="n">
        <v>2.36665083</v>
      </c>
      <c r="G18" s="18" t="n">
        <v>30.86169091</v>
      </c>
      <c r="H18" s="20" t="n">
        <v>2.78234381</v>
      </c>
      <c r="I18" s="18" t="n">
        <v>25.21875563</v>
      </c>
      <c r="J18" s="20" t="n">
        <v>2.52469297</v>
      </c>
      <c r="K18" s="18" t="s">
        <v>567</v>
      </c>
      <c r="L18" s="20" t="s">
        <v>567</v>
      </c>
      <c r="M18" s="18" t="n">
        <v>0.35320763</v>
      </c>
      <c r="N18" s="20" t="n">
        <v>0.34997206</v>
      </c>
      <c r="O18" s="18" t="n">
        <v>0</v>
      </c>
      <c r="P18" s="20" t="n">
        <v>0</v>
      </c>
      <c r="Q18" s="18" t="n">
        <v>0</v>
      </c>
      <c r="R18" s="20" t="n">
        <v>0</v>
      </c>
      <c r="S18" s="18" t="n">
        <v>14.92415974</v>
      </c>
      <c r="T18" s="20" t="n">
        <v>2.39874654</v>
      </c>
    </row>
    <row r="19" spans="1:20">
      <c r="A19" s="15" t="s">
        <v>579</v>
      </c>
      <c r="B19" s="17" t="n">
        <v>2808</v>
      </c>
      <c r="C19" s="18">
        <f>(2481.0/B19*100)</f>
        <v/>
      </c>
      <c r="D19" s="19" t="n">
        <v>327</v>
      </c>
      <c r="E19" s="18" t="n">
        <v>39.98401224</v>
      </c>
      <c r="F19" s="20" t="n">
        <v>2.89024477</v>
      </c>
      <c r="G19" s="18" t="n">
        <v>22.28752842</v>
      </c>
      <c r="H19" s="20" t="n">
        <v>2.81935777</v>
      </c>
      <c r="I19" s="18" t="n">
        <v>27.90996515</v>
      </c>
      <c r="J19" s="20" t="n">
        <v>2.53093847</v>
      </c>
      <c r="K19" s="18" t="s">
        <v>567</v>
      </c>
      <c r="L19" s="20" t="s">
        <v>567</v>
      </c>
      <c r="M19" s="18" t="n">
        <v>0</v>
      </c>
      <c r="N19" s="20" t="n">
        <v>0</v>
      </c>
      <c r="O19" s="18" t="n">
        <v>0</v>
      </c>
      <c r="P19" s="20" t="n">
        <v>0</v>
      </c>
      <c r="Q19" s="18" t="n">
        <v>0</v>
      </c>
      <c r="R19" s="20" t="n">
        <v>0</v>
      </c>
      <c r="S19" s="18" t="n">
        <v>9.818494189999999</v>
      </c>
      <c r="T19" s="20" t="n">
        <v>1.81230525</v>
      </c>
    </row>
    <row r="20" spans="1:20">
      <c r="A20" s="15" t="s">
        <v>580</v>
      </c>
      <c r="B20" s="17" t="n">
        <v>1630</v>
      </c>
      <c r="C20" s="18">
        <f>(1466.0/B20*100)</f>
        <v/>
      </c>
      <c r="D20" s="19" t="n">
        <v>164</v>
      </c>
      <c r="E20" s="18" t="n">
        <v>47.35080787</v>
      </c>
      <c r="F20" s="20" t="n">
        <v>3.62783642</v>
      </c>
      <c r="G20" s="18" t="n">
        <v>20.95111859</v>
      </c>
      <c r="H20" s="20" t="n">
        <v>3.47895495</v>
      </c>
      <c r="I20" s="18" t="n">
        <v>21.71535274</v>
      </c>
      <c r="J20" s="20" t="n">
        <v>3.23855125</v>
      </c>
      <c r="K20" s="18" t="s">
        <v>567</v>
      </c>
      <c r="L20" s="20" t="s">
        <v>567</v>
      </c>
      <c r="M20" s="18" t="n">
        <v>0</v>
      </c>
      <c r="N20" s="20" t="n">
        <v>0</v>
      </c>
      <c r="O20" s="18" t="n">
        <v>0</v>
      </c>
      <c r="P20" s="20" t="n">
        <v>0</v>
      </c>
      <c r="Q20" s="18" t="n">
        <v>0</v>
      </c>
      <c r="R20" s="20" t="n">
        <v>0</v>
      </c>
      <c r="S20" s="18" t="n">
        <v>9.98272079</v>
      </c>
      <c r="T20" s="20" t="n">
        <v>2.09988245</v>
      </c>
    </row>
    <row r="21" spans="1:20">
      <c r="A21" s="15" t="s">
        <v>581</v>
      </c>
      <c r="B21" s="17" t="n">
        <v>2908</v>
      </c>
      <c r="C21" s="18">
        <f>(2595.0/B21*100)</f>
        <v/>
      </c>
      <c r="D21" s="19" t="n">
        <v>313</v>
      </c>
      <c r="E21" s="18" t="n">
        <v>32.55819133</v>
      </c>
      <c r="F21" s="20" t="n">
        <v>2.82064225</v>
      </c>
      <c r="G21" s="18" t="n">
        <v>26.82284896</v>
      </c>
      <c r="H21" s="20" t="n">
        <v>2.41068647</v>
      </c>
      <c r="I21" s="18" t="n">
        <v>33.36148861</v>
      </c>
      <c r="J21" s="20" t="n">
        <v>2.60419337</v>
      </c>
      <c r="K21" s="18" t="s">
        <v>567</v>
      </c>
      <c r="L21" s="20" t="s">
        <v>567</v>
      </c>
      <c r="M21" s="18" t="n">
        <v>0</v>
      </c>
      <c r="N21" s="20" t="n">
        <v>0</v>
      </c>
      <c r="O21" s="18" t="n">
        <v>0</v>
      </c>
      <c r="P21" s="20" t="n">
        <v>0</v>
      </c>
      <c r="Q21" s="18" t="n">
        <v>0</v>
      </c>
      <c r="R21" s="20" t="n">
        <v>0</v>
      </c>
      <c r="S21" s="18" t="n">
        <v>7.25747111</v>
      </c>
      <c r="T21" s="20" t="n">
        <v>1.59740104</v>
      </c>
    </row>
    <row r="22" spans="1:20">
      <c r="A22" s="15" t="s">
        <v>582</v>
      </c>
      <c r="B22" s="17" t="n">
        <v>2931</v>
      </c>
      <c r="C22" s="18">
        <f>(2601.0/B22*100)</f>
        <v/>
      </c>
      <c r="D22" s="19" t="n">
        <v>330</v>
      </c>
      <c r="E22" s="18" t="n">
        <v>51.61493127</v>
      </c>
      <c r="F22" s="20" t="n">
        <v>3.47620994</v>
      </c>
      <c r="G22" s="18" t="n">
        <v>13.82264184</v>
      </c>
      <c r="H22" s="20" t="n">
        <v>2.1223871</v>
      </c>
      <c r="I22" s="18" t="n">
        <v>13.10554911</v>
      </c>
      <c r="J22" s="20" t="n">
        <v>1.96482288</v>
      </c>
      <c r="K22" s="18" t="s">
        <v>567</v>
      </c>
      <c r="L22" s="20" t="s">
        <v>567</v>
      </c>
      <c r="M22" s="18" t="n">
        <v>0.32684781</v>
      </c>
      <c r="N22" s="20" t="n">
        <v>0.22698241</v>
      </c>
      <c r="O22" s="18" t="n">
        <v>0</v>
      </c>
      <c r="P22" s="20" t="n">
        <v>0</v>
      </c>
      <c r="Q22" s="18" t="n">
        <v>0</v>
      </c>
      <c r="R22" s="20" t="n">
        <v>0</v>
      </c>
      <c r="S22" s="18" t="n">
        <v>21.13002997</v>
      </c>
      <c r="T22" s="20" t="n">
        <v>2.75823187</v>
      </c>
    </row>
    <row r="23" spans="1:20">
      <c r="A23" s="15" t="s">
        <v>583</v>
      </c>
      <c r="B23" s="17" t="n">
        <v>5791</v>
      </c>
      <c r="C23" s="18">
        <f>(5122.0/B23*100)</f>
        <v/>
      </c>
      <c r="D23" s="19" t="n">
        <v>669</v>
      </c>
      <c r="E23" s="18" t="n">
        <v>36.50073637</v>
      </c>
      <c r="F23" s="20" t="n">
        <v>2.69730216</v>
      </c>
      <c r="G23" s="18" t="n">
        <v>22.01926991</v>
      </c>
      <c r="H23" s="20" t="n">
        <v>2.46408777</v>
      </c>
      <c r="I23" s="18" t="n">
        <v>28.79614499</v>
      </c>
      <c r="J23" s="20" t="n">
        <v>2.39423994</v>
      </c>
      <c r="K23" s="18" t="s">
        <v>567</v>
      </c>
      <c r="L23" s="20" t="s">
        <v>567</v>
      </c>
      <c r="M23" s="18" t="n">
        <v>0.47906821</v>
      </c>
      <c r="N23" s="20" t="n">
        <v>0.55228842</v>
      </c>
      <c r="O23" s="18" t="n">
        <v>0.01195111</v>
      </c>
      <c r="P23" s="20" t="n">
        <v>0.01188659</v>
      </c>
      <c r="Q23" s="18" t="n">
        <v>0</v>
      </c>
      <c r="R23" s="20" t="n">
        <v>0</v>
      </c>
      <c r="S23" s="18" t="n">
        <v>12.1928294</v>
      </c>
      <c r="T23" s="20" t="n">
        <v>2.17073008</v>
      </c>
    </row>
    <row r="24" spans="1:20">
      <c r="A24" s="15" t="s">
        <v>584</v>
      </c>
      <c r="B24" s="17" t="n">
        <v>3338</v>
      </c>
      <c r="C24" s="18">
        <f>(2969.0/B24*100)</f>
        <v/>
      </c>
      <c r="D24" s="19" t="n">
        <v>369</v>
      </c>
      <c r="E24" s="18" t="n">
        <v>19.03883633</v>
      </c>
      <c r="F24" s="20" t="n">
        <v>2.13479636</v>
      </c>
      <c r="G24" s="18" t="n">
        <v>55.37993453</v>
      </c>
      <c r="H24" s="20" t="n">
        <v>2.82321018</v>
      </c>
      <c r="I24" s="18" t="n">
        <v>19.29122403</v>
      </c>
      <c r="J24" s="20" t="n">
        <v>2.14132855</v>
      </c>
      <c r="K24" s="18" t="s">
        <v>567</v>
      </c>
      <c r="L24" s="20" t="s">
        <v>567</v>
      </c>
      <c r="M24" s="18" t="n">
        <v>0.2366667</v>
      </c>
      <c r="N24" s="20" t="n">
        <v>0.23677684</v>
      </c>
      <c r="O24" s="18" t="n">
        <v>0.25286956</v>
      </c>
      <c r="P24" s="20" t="n">
        <v>0.25117926</v>
      </c>
      <c r="Q24" s="18" t="n">
        <v>0</v>
      </c>
      <c r="R24" s="20" t="n">
        <v>0</v>
      </c>
      <c r="S24" s="18" t="n">
        <v>5.80046886</v>
      </c>
      <c r="T24" s="20" t="n">
        <v>1.08849392</v>
      </c>
    </row>
    <row r="25" spans="1:20">
      <c r="A25" s="15" t="s">
        <v>585</v>
      </c>
      <c r="B25" s="17" t="n">
        <v>2912</v>
      </c>
      <c r="C25" s="18">
        <f>(2561.0/B25*100)</f>
        <v/>
      </c>
      <c r="D25" s="19" t="n">
        <v>351</v>
      </c>
      <c r="E25" s="18" t="n">
        <v>27.4617383</v>
      </c>
      <c r="F25" s="20" t="n">
        <v>2.49902611</v>
      </c>
      <c r="G25" s="18" t="n">
        <v>33.77832809</v>
      </c>
      <c r="H25" s="20" t="n">
        <v>2.73558292</v>
      </c>
      <c r="I25" s="18" t="n">
        <v>27.950204</v>
      </c>
      <c r="J25" s="20" t="n">
        <v>2.57553173</v>
      </c>
      <c r="K25" s="18" t="s">
        <v>567</v>
      </c>
      <c r="L25" s="20" t="s">
        <v>567</v>
      </c>
      <c r="M25" s="18" t="n">
        <v>1.40449561</v>
      </c>
      <c r="N25" s="20" t="n">
        <v>0.61587188</v>
      </c>
      <c r="O25" s="18" t="n">
        <v>0</v>
      </c>
      <c r="P25" s="20" t="n">
        <v>0</v>
      </c>
      <c r="Q25" s="18" t="n">
        <v>0</v>
      </c>
      <c r="R25" s="20" t="n">
        <v>0</v>
      </c>
      <c r="S25" s="18" t="n">
        <v>9.405234</v>
      </c>
      <c r="T25" s="20" t="n">
        <v>1.59043247</v>
      </c>
    </row>
    <row r="26" spans="1:20">
      <c r="A26" s="15" t="s">
        <v>586</v>
      </c>
      <c r="B26" s="17" t="n">
        <v>2450</v>
      </c>
      <c r="C26" s="18">
        <f>(2180.0/B26*100)</f>
        <v/>
      </c>
      <c r="D26" s="19" t="n">
        <v>270</v>
      </c>
      <c r="E26" s="18" t="n">
        <v>35.23090091</v>
      </c>
      <c r="F26" s="20" t="n">
        <v>3.18669035</v>
      </c>
      <c r="G26" s="18" t="n">
        <v>22.66596184</v>
      </c>
      <c r="H26" s="20" t="n">
        <v>2.48408923</v>
      </c>
      <c r="I26" s="18" t="n">
        <v>36.03620676</v>
      </c>
      <c r="J26" s="20" t="n">
        <v>2.63664242</v>
      </c>
      <c r="K26" s="18" t="s">
        <v>567</v>
      </c>
      <c r="L26" s="20" t="s">
        <v>567</v>
      </c>
      <c r="M26" s="18" t="n">
        <v>0</v>
      </c>
      <c r="N26" s="20" t="n">
        <v>0</v>
      </c>
      <c r="O26" s="18" t="n">
        <v>0</v>
      </c>
      <c r="P26" s="20" t="n">
        <v>0</v>
      </c>
      <c r="Q26" s="18" t="n">
        <v>0</v>
      </c>
      <c r="R26" s="20" t="n">
        <v>0</v>
      </c>
      <c r="S26" s="18" t="n">
        <v>6.06693049</v>
      </c>
      <c r="T26" s="20" t="n">
        <v>1.54491891</v>
      </c>
    </row>
    <row r="27" spans="1:20">
      <c r="A27" s="15" t="s">
        <v>587</v>
      </c>
      <c r="B27" s="17" t="n">
        <v>2616</v>
      </c>
      <c r="C27" s="18">
        <f>(2345.0/B27*100)</f>
        <v/>
      </c>
      <c r="D27" s="19" t="n">
        <v>271</v>
      </c>
      <c r="E27" s="18" t="n">
        <v>32.6236938</v>
      </c>
      <c r="F27" s="20" t="n">
        <v>2.52627743</v>
      </c>
      <c r="G27" s="18" t="n">
        <v>26.72124456</v>
      </c>
      <c r="H27" s="20" t="n">
        <v>2.95468704</v>
      </c>
      <c r="I27" s="18" t="n">
        <v>33.23250422</v>
      </c>
      <c r="J27" s="20" t="n">
        <v>2.5330136</v>
      </c>
      <c r="K27" s="18" t="s">
        <v>567</v>
      </c>
      <c r="L27" s="20" t="s">
        <v>567</v>
      </c>
      <c r="M27" s="18" t="n">
        <v>0</v>
      </c>
      <c r="N27" s="20" t="n">
        <v>0</v>
      </c>
      <c r="O27" s="18" t="n">
        <v>0</v>
      </c>
      <c r="P27" s="20" t="n">
        <v>0</v>
      </c>
      <c r="Q27" s="18" t="n">
        <v>0</v>
      </c>
      <c r="R27" s="20" t="n">
        <v>0</v>
      </c>
      <c r="S27" s="18" t="n">
        <v>7.42255741</v>
      </c>
      <c r="T27" s="20" t="n">
        <v>1.58209375</v>
      </c>
    </row>
    <row r="28" spans="1:20">
      <c r="A28" s="15" t="s">
        <v>588</v>
      </c>
      <c r="B28" s="17" t="n">
        <v>3765</v>
      </c>
      <c r="C28" s="18">
        <f>(3323.0/B28*100)</f>
        <v/>
      </c>
      <c r="D28" s="19" t="n">
        <v>442</v>
      </c>
      <c r="E28" s="18" t="n">
        <v>59.11744547</v>
      </c>
      <c r="F28" s="20" t="n">
        <v>2.83543634</v>
      </c>
      <c r="G28" s="18" t="n">
        <v>21.62170965</v>
      </c>
      <c r="H28" s="20" t="n">
        <v>2.04145642</v>
      </c>
      <c r="I28" s="18" t="n">
        <v>9.5969795</v>
      </c>
      <c r="J28" s="20" t="n">
        <v>1.43691273</v>
      </c>
      <c r="K28" s="18" t="s">
        <v>567</v>
      </c>
      <c r="L28" s="20" t="s">
        <v>567</v>
      </c>
      <c r="M28" s="18" t="n">
        <v>0.51079578</v>
      </c>
      <c r="N28" s="20" t="n">
        <v>0.39668944</v>
      </c>
      <c r="O28" s="18" t="n">
        <v>0</v>
      </c>
      <c r="P28" s="20" t="n">
        <v>0</v>
      </c>
      <c r="Q28" s="18" t="n">
        <v>0</v>
      </c>
      <c r="R28" s="20" t="n">
        <v>0</v>
      </c>
      <c r="S28" s="18" t="n">
        <v>9.153069589999999</v>
      </c>
      <c r="T28" s="20" t="n">
        <v>1.86823717</v>
      </c>
    </row>
    <row r="29" spans="1:20">
      <c r="A29" s="15" t="s">
        <v>589</v>
      </c>
      <c r="B29" s="17" t="n">
        <v>2685</v>
      </c>
      <c r="C29" s="18">
        <f>(2387.0/B29*100)</f>
        <v/>
      </c>
      <c r="D29" s="19" t="n">
        <v>298</v>
      </c>
      <c r="E29" s="18" t="n">
        <v>28.52612297</v>
      </c>
      <c r="F29" s="20" t="n">
        <v>2.64055077</v>
      </c>
      <c r="G29" s="18" t="n">
        <v>31.88673749</v>
      </c>
      <c r="H29" s="20" t="n">
        <v>2.83354183</v>
      </c>
      <c r="I29" s="18" t="n">
        <v>34.63241869</v>
      </c>
      <c r="J29" s="20" t="n">
        <v>2.83457251</v>
      </c>
      <c r="K29" s="18" t="s">
        <v>567</v>
      </c>
      <c r="L29" s="20" t="s">
        <v>567</v>
      </c>
      <c r="M29" s="18" t="n">
        <v>0.38078387</v>
      </c>
      <c r="N29" s="20" t="n">
        <v>0.35229087</v>
      </c>
      <c r="O29" s="18" t="n">
        <v>0</v>
      </c>
      <c r="P29" s="20" t="n">
        <v>0</v>
      </c>
      <c r="Q29" s="18" t="n">
        <v>0</v>
      </c>
      <c r="R29" s="20" t="n">
        <v>0</v>
      </c>
      <c r="S29" s="18" t="n">
        <v>4.57393698</v>
      </c>
      <c r="T29" s="20" t="n">
        <v>1.27077051</v>
      </c>
    </row>
    <row r="30" spans="1:20">
      <c r="A30" s="15" t="s">
        <v>590</v>
      </c>
      <c r="B30" s="17" t="n">
        <v>2263</v>
      </c>
      <c r="C30" s="18">
        <f>(2013.0/B30*100)</f>
        <v/>
      </c>
      <c r="D30" s="19" t="n">
        <v>250</v>
      </c>
      <c r="E30" s="18" t="n">
        <v>36.23119736</v>
      </c>
      <c r="F30" s="20" t="n">
        <v>3.34982684</v>
      </c>
      <c r="G30" s="18" t="n">
        <v>26.41600384</v>
      </c>
      <c r="H30" s="20" t="n">
        <v>3.24338255</v>
      </c>
      <c r="I30" s="18" t="n">
        <v>28.62010502</v>
      </c>
      <c r="J30" s="20" t="n">
        <v>3.10292565</v>
      </c>
      <c r="K30" s="18" t="s">
        <v>567</v>
      </c>
      <c r="L30" s="20" t="s">
        <v>567</v>
      </c>
      <c r="M30" s="18" t="n">
        <v>0.5098745</v>
      </c>
      <c r="N30" s="20" t="n">
        <v>0.43916624</v>
      </c>
      <c r="O30" s="18" t="n">
        <v>0</v>
      </c>
      <c r="P30" s="20" t="n">
        <v>0</v>
      </c>
      <c r="Q30" s="18" t="n">
        <v>0</v>
      </c>
      <c r="R30" s="20" t="n">
        <v>0</v>
      </c>
      <c r="S30" s="18" t="n">
        <v>8.22281928</v>
      </c>
      <c r="T30" s="20" t="n">
        <v>1.86909617</v>
      </c>
    </row>
    <row r="31" spans="1:20">
      <c r="A31" s="15" t="s">
        <v>591</v>
      </c>
      <c r="B31" s="17" t="n">
        <v>2750</v>
      </c>
      <c r="C31" s="18">
        <f>(2448.0/B31*100)</f>
        <v/>
      </c>
      <c r="D31" s="19" t="n">
        <v>302</v>
      </c>
      <c r="E31" s="18" t="n">
        <v>37.64330025</v>
      </c>
      <c r="F31" s="20" t="n">
        <v>2.78905313</v>
      </c>
      <c r="G31" s="18" t="n">
        <v>21.82865193</v>
      </c>
      <c r="H31" s="20" t="n">
        <v>2.41381512</v>
      </c>
      <c r="I31" s="18" t="n">
        <v>33.46128517</v>
      </c>
      <c r="J31" s="20" t="n">
        <v>2.63512325</v>
      </c>
      <c r="K31" s="18" t="s">
        <v>567</v>
      </c>
      <c r="L31" s="20" t="s">
        <v>567</v>
      </c>
      <c r="M31" s="18" t="n">
        <v>0.65927234</v>
      </c>
      <c r="N31" s="20" t="n">
        <v>0.47703381</v>
      </c>
      <c r="O31" s="18" t="n">
        <v>0.28124648</v>
      </c>
      <c r="P31" s="20" t="n">
        <v>0.32968859</v>
      </c>
      <c r="Q31" s="18" t="n">
        <v>0</v>
      </c>
      <c r="R31" s="20" t="n">
        <v>0</v>
      </c>
      <c r="S31" s="18" t="n">
        <v>6.12624383</v>
      </c>
      <c r="T31" s="20" t="n">
        <v>1.20731482</v>
      </c>
    </row>
    <row r="32" spans="1:20">
      <c r="A32" s="15" t="s">
        <v>592</v>
      </c>
      <c r="B32" s="17" t="n">
        <v>2269</v>
      </c>
      <c r="C32" s="18">
        <f>(2023.0/B32*100)</f>
        <v/>
      </c>
      <c r="D32" s="19" t="n">
        <v>246</v>
      </c>
      <c r="E32" s="18" t="n">
        <v>28.73521602</v>
      </c>
      <c r="F32" s="20" t="n">
        <v>2.66603873</v>
      </c>
      <c r="G32" s="18" t="n">
        <v>14.84303343</v>
      </c>
      <c r="H32" s="20" t="n">
        <v>2.14088775</v>
      </c>
      <c r="I32" s="18" t="n">
        <v>49.75159807</v>
      </c>
      <c r="J32" s="20" t="n">
        <v>3.33215656</v>
      </c>
      <c r="K32" s="18" t="s">
        <v>567</v>
      </c>
      <c r="L32" s="20" t="s">
        <v>567</v>
      </c>
      <c r="M32" s="18" t="n">
        <v>0</v>
      </c>
      <c r="N32" s="20" t="n">
        <v>0</v>
      </c>
      <c r="O32" s="18" t="n">
        <v>0</v>
      </c>
      <c r="P32" s="20" t="n">
        <v>0</v>
      </c>
      <c r="Q32" s="18" t="n">
        <v>0</v>
      </c>
      <c r="R32" s="20" t="n">
        <v>0</v>
      </c>
      <c r="S32" s="18" t="n">
        <v>6.67015248</v>
      </c>
      <c r="T32" s="20" t="n">
        <v>1.46895279</v>
      </c>
    </row>
    <row r="33" spans="1:20">
      <c r="A33" s="15" t="s">
        <v>593</v>
      </c>
      <c r="B33" s="17" t="n">
        <v>3674</v>
      </c>
      <c r="C33" s="18">
        <f>(3274.0/B33*100)</f>
        <v/>
      </c>
      <c r="D33" s="19" t="n">
        <v>400</v>
      </c>
      <c r="E33" s="18" t="n">
        <v>31.14391933</v>
      </c>
      <c r="F33" s="20" t="n">
        <v>3.06086048</v>
      </c>
      <c r="G33" s="18" t="n">
        <v>26.98481525</v>
      </c>
      <c r="H33" s="20" t="n">
        <v>2.48331011</v>
      </c>
      <c r="I33" s="18" t="n">
        <v>34.81290573</v>
      </c>
      <c r="J33" s="20" t="n">
        <v>2.91266281</v>
      </c>
      <c r="K33" s="18" t="s">
        <v>567</v>
      </c>
      <c r="L33" s="20" t="s">
        <v>567</v>
      </c>
      <c r="M33" s="18" t="n">
        <v>0.50124545</v>
      </c>
      <c r="N33" s="20" t="n">
        <v>0.59230341</v>
      </c>
      <c r="O33" s="18" t="n">
        <v>0</v>
      </c>
      <c r="P33" s="20" t="n">
        <v>0</v>
      </c>
      <c r="Q33" s="18" t="n">
        <v>0</v>
      </c>
      <c r="R33" s="20" t="n">
        <v>0</v>
      </c>
      <c r="S33" s="18" t="n">
        <v>6.55711424</v>
      </c>
      <c r="T33" s="20" t="n">
        <v>1.35856283</v>
      </c>
    </row>
    <row r="34" spans="1:20">
      <c r="A34" s="15" t="s">
        <v>594</v>
      </c>
      <c r="B34" s="17" t="n">
        <v>3315</v>
      </c>
      <c r="C34" s="18">
        <f>(2954.0/B34*100)</f>
        <v/>
      </c>
      <c r="D34" s="19" t="n">
        <v>361</v>
      </c>
      <c r="E34" s="18" t="n">
        <v>40.52885842</v>
      </c>
      <c r="F34" s="20" t="n">
        <v>3.03886879</v>
      </c>
      <c r="G34" s="18" t="n">
        <v>20.25215133</v>
      </c>
      <c r="H34" s="20" t="n">
        <v>1.92770481</v>
      </c>
      <c r="I34" s="18" t="n">
        <v>21.14913854</v>
      </c>
      <c r="J34" s="20" t="n">
        <v>2.1085411</v>
      </c>
      <c r="K34" s="18" t="s">
        <v>567</v>
      </c>
      <c r="L34" s="20" t="s">
        <v>567</v>
      </c>
      <c r="M34" s="18" t="n">
        <v>0</v>
      </c>
      <c r="N34" s="20" t="n">
        <v>0</v>
      </c>
      <c r="O34" s="18" t="n">
        <v>0</v>
      </c>
      <c r="P34" s="20" t="n">
        <v>0</v>
      </c>
      <c r="Q34" s="18" t="n">
        <v>0</v>
      </c>
      <c r="R34" s="20" t="n">
        <v>0</v>
      </c>
      <c r="S34" s="18" t="n">
        <v>18.06985171</v>
      </c>
      <c r="T34" s="20" t="n">
        <v>2.32771108</v>
      </c>
    </row>
    <row r="35" spans="1:20">
      <c r="A35" s="15" t="s">
        <v>595</v>
      </c>
      <c r="B35" s="17" t="n">
        <v>3505</v>
      </c>
      <c r="C35" s="18">
        <f>(3109.0/B35*100)</f>
        <v/>
      </c>
      <c r="D35" s="19" t="n">
        <v>396</v>
      </c>
      <c r="E35" s="18" t="n">
        <v>22.63063562</v>
      </c>
      <c r="F35" s="20" t="n">
        <v>2.80196397</v>
      </c>
      <c r="G35" s="18" t="n">
        <v>20.77332172</v>
      </c>
      <c r="H35" s="20" t="n">
        <v>2.9458513</v>
      </c>
      <c r="I35" s="18" t="n">
        <v>50.31699592</v>
      </c>
      <c r="J35" s="20" t="n">
        <v>3.01618881</v>
      </c>
      <c r="K35" s="18" t="s">
        <v>567</v>
      </c>
      <c r="L35" s="20" t="s">
        <v>567</v>
      </c>
      <c r="M35" s="18" t="n">
        <v>0</v>
      </c>
      <c r="N35" s="20" t="n">
        <v>0</v>
      </c>
      <c r="O35" s="18" t="n">
        <v>0.4402311</v>
      </c>
      <c r="P35" s="20" t="n">
        <v>0.44211122</v>
      </c>
      <c r="Q35" s="18" t="n">
        <v>0</v>
      </c>
      <c r="R35" s="20" t="n">
        <v>0</v>
      </c>
      <c r="S35" s="18" t="n">
        <v>5.83881565</v>
      </c>
      <c r="T35" s="20" t="n">
        <v>1.40033063</v>
      </c>
    </row>
    <row r="36" spans="1:20">
      <c r="A36" s="15" t="s">
        <v>596</v>
      </c>
      <c r="B36" s="17" t="n">
        <v>3332</v>
      </c>
      <c r="C36" s="18">
        <f>(2954.0/B36*100)</f>
        <v/>
      </c>
      <c r="D36" s="19" t="n">
        <v>378</v>
      </c>
      <c r="E36" s="18" t="n">
        <v>28.3799094</v>
      </c>
      <c r="F36" s="20" t="n">
        <v>2.59061436</v>
      </c>
      <c r="G36" s="18" t="n">
        <v>23.74106684</v>
      </c>
      <c r="H36" s="20" t="n">
        <v>2.29656666</v>
      </c>
      <c r="I36" s="18" t="n">
        <v>37.39224389</v>
      </c>
      <c r="J36" s="20" t="n">
        <v>2.87743994</v>
      </c>
      <c r="K36" s="18" t="s">
        <v>567</v>
      </c>
      <c r="L36" s="20" t="s">
        <v>567</v>
      </c>
      <c r="M36" s="18" t="n">
        <v>0.59884576</v>
      </c>
      <c r="N36" s="20" t="n">
        <v>0.3682299</v>
      </c>
      <c r="O36" s="18" t="n">
        <v>0</v>
      </c>
      <c r="P36" s="20" t="n">
        <v>0</v>
      </c>
      <c r="Q36" s="18" t="n">
        <v>0</v>
      </c>
      <c r="R36" s="20" t="n">
        <v>0</v>
      </c>
      <c r="S36" s="18" t="n">
        <v>9.887934100000001</v>
      </c>
      <c r="T36" s="20" t="n">
        <v>1.58688157</v>
      </c>
    </row>
    <row r="37" spans="1:20">
      <c r="A37" s="15" t="s">
        <v>597</v>
      </c>
      <c r="B37" s="17" t="n">
        <v>2727</v>
      </c>
      <c r="C37" s="18">
        <f>(2435.0/B37*100)</f>
        <v/>
      </c>
      <c r="D37" s="19" t="n">
        <v>292</v>
      </c>
      <c r="E37" s="18" t="n">
        <v>42.86486002</v>
      </c>
      <c r="F37" s="20" t="n">
        <v>3.80252556</v>
      </c>
      <c r="G37" s="18" t="n">
        <v>18.29238013</v>
      </c>
      <c r="H37" s="20" t="n">
        <v>2.45412005</v>
      </c>
      <c r="I37" s="18" t="n">
        <v>28.55800219</v>
      </c>
      <c r="J37" s="20" t="n">
        <v>3.17970873</v>
      </c>
      <c r="K37" s="18" t="s">
        <v>567</v>
      </c>
      <c r="L37" s="20" t="s">
        <v>567</v>
      </c>
      <c r="M37" s="18" t="n">
        <v>0.30130235</v>
      </c>
      <c r="N37" s="20" t="n">
        <v>0.30393221</v>
      </c>
      <c r="O37" s="18" t="n">
        <v>0</v>
      </c>
      <c r="P37" s="20" t="n">
        <v>0</v>
      </c>
      <c r="Q37" s="18" t="n">
        <v>0</v>
      </c>
      <c r="R37" s="20" t="n">
        <v>0</v>
      </c>
      <c r="S37" s="18" t="n">
        <v>9.98345531</v>
      </c>
      <c r="T37" s="20" t="n">
        <v>1.9751109</v>
      </c>
    </row>
    <row r="38" spans="1:20">
      <c r="A38" s="15" t="s">
        <v>598</v>
      </c>
      <c r="B38" s="17" t="n">
        <v>3053</v>
      </c>
      <c r="C38" s="18">
        <f>(2708.0/B38*100)</f>
        <v/>
      </c>
      <c r="D38" s="19" t="n">
        <v>345</v>
      </c>
      <c r="E38" s="18" t="n">
        <v>27.14234363</v>
      </c>
      <c r="F38" s="20" t="n">
        <v>2.48621638</v>
      </c>
      <c r="G38" s="18" t="n">
        <v>28.04185016</v>
      </c>
      <c r="H38" s="20" t="n">
        <v>2.90315036</v>
      </c>
      <c r="I38" s="18" t="n">
        <v>32.94429857</v>
      </c>
      <c r="J38" s="20" t="n">
        <v>3.01488682</v>
      </c>
      <c r="K38" s="18" t="s">
        <v>567</v>
      </c>
      <c r="L38" s="20" t="s">
        <v>567</v>
      </c>
      <c r="M38" s="18" t="n">
        <v>0</v>
      </c>
      <c r="N38" s="20" t="n">
        <v>0</v>
      </c>
      <c r="O38" s="18" t="n">
        <v>4.63937472</v>
      </c>
      <c r="P38" s="20" t="n">
        <v>1.18686053</v>
      </c>
      <c r="Q38" s="18" t="n">
        <v>0</v>
      </c>
      <c r="R38" s="20" t="n">
        <v>0</v>
      </c>
      <c r="S38" s="18" t="n">
        <v>7.23213292</v>
      </c>
      <c r="T38" s="20" t="n">
        <v>1.49681454</v>
      </c>
    </row>
    <row r="39" spans="1:20">
      <c r="A39" s="15" t="s">
        <v>599</v>
      </c>
      <c r="B39" s="17" t="n">
        <v>2957</v>
      </c>
      <c r="C39" s="18">
        <f>(2640.0/B39*100)</f>
        <v/>
      </c>
      <c r="D39" s="19" t="n">
        <v>317</v>
      </c>
      <c r="E39" s="18" t="n">
        <v>56.34439441</v>
      </c>
      <c r="F39" s="20" t="n">
        <v>2.79185025</v>
      </c>
      <c r="G39" s="18" t="n">
        <v>19.26015659</v>
      </c>
      <c r="H39" s="20" t="n">
        <v>2.1956886</v>
      </c>
      <c r="I39" s="18" t="n">
        <v>10.18129594</v>
      </c>
      <c r="J39" s="20" t="n">
        <v>1.35617545</v>
      </c>
      <c r="K39" s="18" t="s">
        <v>567</v>
      </c>
      <c r="L39" s="20" t="s">
        <v>567</v>
      </c>
      <c r="M39" s="18" t="n">
        <v>0</v>
      </c>
      <c r="N39" s="20" t="n">
        <v>0</v>
      </c>
      <c r="O39" s="18" t="n">
        <v>0</v>
      </c>
      <c r="P39" s="20" t="n">
        <v>0</v>
      </c>
      <c r="Q39" s="18" t="n">
        <v>0</v>
      </c>
      <c r="R39" s="20" t="n">
        <v>0</v>
      </c>
      <c r="S39" s="18" t="n">
        <v>14.21415306</v>
      </c>
      <c r="T39" s="20" t="n">
        <v>1.95167735</v>
      </c>
    </row>
    <row r="40" spans="1:20">
      <c r="A40" s="15" t="s">
        <v>600</v>
      </c>
      <c r="B40" s="17" t="n">
        <v>7235</v>
      </c>
      <c r="C40" s="18">
        <f>(6420.0/B40*100)</f>
        <v/>
      </c>
      <c r="D40" s="19" t="n">
        <v>815</v>
      </c>
      <c r="E40" s="18" t="n">
        <v>49.05937023</v>
      </c>
      <c r="F40" s="20" t="n">
        <v>2.90649111</v>
      </c>
      <c r="G40" s="18" t="n">
        <v>19.54378867</v>
      </c>
      <c r="H40" s="20" t="n">
        <v>2.25522508</v>
      </c>
      <c r="I40" s="18" t="n">
        <v>24.40511213</v>
      </c>
      <c r="J40" s="20" t="n">
        <v>2.41850296</v>
      </c>
      <c r="K40" s="18" t="s">
        <v>567</v>
      </c>
      <c r="L40" s="20" t="s">
        <v>567</v>
      </c>
      <c r="M40" s="18" t="n">
        <v>0.48863736</v>
      </c>
      <c r="N40" s="20" t="n">
        <v>0.3375893</v>
      </c>
      <c r="O40" s="18" t="n">
        <v>0.0934644</v>
      </c>
      <c r="P40" s="20" t="n">
        <v>0.09026781</v>
      </c>
      <c r="Q40" s="18" t="n">
        <v>0</v>
      </c>
      <c r="R40" s="20" t="n">
        <v>0</v>
      </c>
      <c r="S40" s="18" t="n">
        <v>6.40962721</v>
      </c>
      <c r="T40" s="20" t="n">
        <v>1.24554891</v>
      </c>
    </row>
    <row r="41" spans="1:20">
      <c r="A41" s="15" t="s">
        <v>601</v>
      </c>
      <c r="B41" s="17" t="n">
        <v>2858</v>
      </c>
      <c r="C41" s="18">
        <f>(2544.0/B41*100)</f>
        <v/>
      </c>
      <c r="D41" s="19" t="n">
        <v>314</v>
      </c>
      <c r="E41" s="18" t="n">
        <v>41.44414582</v>
      </c>
      <c r="F41" s="20" t="n">
        <v>2.85924688</v>
      </c>
      <c r="G41" s="18" t="n">
        <v>28.3516786</v>
      </c>
      <c r="H41" s="20" t="n">
        <v>2.72113304</v>
      </c>
      <c r="I41" s="18" t="n">
        <v>23.69688263</v>
      </c>
      <c r="J41" s="20" t="n">
        <v>2.80522015</v>
      </c>
      <c r="K41" s="18" t="s">
        <v>567</v>
      </c>
      <c r="L41" s="20" t="s">
        <v>567</v>
      </c>
      <c r="M41" s="18" t="n">
        <v>0.43487878</v>
      </c>
      <c r="N41" s="20" t="n">
        <v>0.35200526</v>
      </c>
      <c r="O41" s="18" t="n">
        <v>0.31793819</v>
      </c>
      <c r="P41" s="20" t="n">
        <v>0.32425414</v>
      </c>
      <c r="Q41" s="18" t="n">
        <v>0</v>
      </c>
      <c r="R41" s="20" t="n">
        <v>0</v>
      </c>
      <c r="S41" s="18" t="n">
        <v>5.75447598</v>
      </c>
      <c r="T41" s="20" t="n">
        <v>1.50414041</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11068</v>
      </c>
      <c r="C46" s="18">
        <f>(9929.0/B46*100)</f>
        <v/>
      </c>
      <c r="D46" s="19" t="n">
        <v>1139</v>
      </c>
      <c r="E46" s="18" t="n">
        <v>48.60902987</v>
      </c>
      <c r="F46" s="20" t="n">
        <v>2.01183712</v>
      </c>
      <c r="G46" s="18" t="n">
        <v>19.16419875</v>
      </c>
      <c r="H46" s="20" t="n">
        <v>1.52655801</v>
      </c>
      <c r="I46" s="18" t="n">
        <v>7.76555956</v>
      </c>
      <c r="J46" s="20" t="n">
        <v>1.21672488</v>
      </c>
      <c r="K46" s="18" t="s">
        <v>567</v>
      </c>
      <c r="L46" s="20" t="s">
        <v>567</v>
      </c>
      <c r="M46" s="18" t="n">
        <v>0.87683494</v>
      </c>
      <c r="N46" s="20" t="n">
        <v>0.39328834</v>
      </c>
      <c r="O46" s="18" t="n">
        <v>0.59942903</v>
      </c>
      <c r="P46" s="20" t="n">
        <v>0.40472478</v>
      </c>
      <c r="Q46" s="18" t="n">
        <v>0</v>
      </c>
      <c r="R46" s="20" t="n">
        <v>0</v>
      </c>
      <c r="S46" s="18" t="n">
        <v>22.98494785</v>
      </c>
      <c r="T46" s="20" t="n">
        <v>1.51192646</v>
      </c>
    </row>
    <row r="47" spans="1:20">
      <c r="A47" s="15" t="s">
        <v>607</v>
      </c>
      <c r="B47" s="17" t="n">
        <v>3105</v>
      </c>
      <c r="C47" s="18">
        <f>(2763.0/B47*100)</f>
        <v/>
      </c>
      <c r="D47" s="19" t="n">
        <v>342</v>
      </c>
      <c r="E47" s="18" t="n">
        <v>37.60397996</v>
      </c>
      <c r="F47" s="20" t="n">
        <v>2.34081975</v>
      </c>
      <c r="G47" s="18" t="n">
        <v>16.5424409</v>
      </c>
      <c r="H47" s="20" t="n">
        <v>1.92412669</v>
      </c>
      <c r="I47" s="18" t="n">
        <v>21.53128682</v>
      </c>
      <c r="J47" s="20" t="n">
        <v>1.98649835</v>
      </c>
      <c r="K47" s="18" t="s">
        <v>567</v>
      </c>
      <c r="L47" s="20" t="s">
        <v>567</v>
      </c>
      <c r="M47" s="18" t="n">
        <v>0</v>
      </c>
      <c r="N47" s="20" t="n">
        <v>0</v>
      </c>
      <c r="O47" s="18" t="n">
        <v>0.29877139</v>
      </c>
      <c r="P47" s="20" t="n">
        <v>0.28436636</v>
      </c>
      <c r="Q47" s="18" t="n">
        <v>0</v>
      </c>
      <c r="R47" s="20" t="n">
        <v>0</v>
      </c>
      <c r="S47" s="18" t="n">
        <v>24.02352093</v>
      </c>
      <c r="T47" s="20" t="n">
        <v>2.65454698</v>
      </c>
    </row>
    <row r="48" spans="1:20">
      <c r="A48" s="15" t="s">
        <v>608</v>
      </c>
      <c r="B48" s="17" t="n">
        <v>5159</v>
      </c>
      <c r="C48" s="18">
        <f>(4596.0/B48*100)</f>
        <v/>
      </c>
      <c r="D48" s="19" t="n">
        <v>563</v>
      </c>
      <c r="E48" s="18" t="n">
        <v>33.00271559</v>
      </c>
      <c r="F48" s="20" t="n">
        <v>2.75635742</v>
      </c>
      <c r="G48" s="18" t="n">
        <v>13.72643735</v>
      </c>
      <c r="H48" s="20" t="n">
        <v>1.62903303</v>
      </c>
      <c r="I48" s="18" t="n">
        <v>44.72651961</v>
      </c>
      <c r="J48" s="20" t="n">
        <v>2.98820872</v>
      </c>
      <c r="K48" s="18" t="s">
        <v>567</v>
      </c>
      <c r="L48" s="20" t="s">
        <v>567</v>
      </c>
      <c r="M48" s="18" t="n">
        <v>0.13505449</v>
      </c>
      <c r="N48" s="20" t="n">
        <v>0.19033769</v>
      </c>
      <c r="O48" s="18" t="n">
        <v>0</v>
      </c>
      <c r="P48" s="20" t="n">
        <v>0</v>
      </c>
      <c r="Q48" s="18" t="n">
        <v>0</v>
      </c>
      <c r="R48" s="20" t="n">
        <v>0</v>
      </c>
      <c r="S48" s="18" t="n">
        <v>8.409272959999999</v>
      </c>
      <c r="T48" s="20" t="n">
        <v>1.55091495</v>
      </c>
    </row>
    <row r="49" spans="1:20">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5637</v>
      </c>
      <c r="C50" s="18">
        <f>(5020.0/B50*100)</f>
        <v/>
      </c>
      <c r="D50" s="19" t="n">
        <v>617</v>
      </c>
      <c r="E50" s="18" t="n">
        <v>60.61007266</v>
      </c>
      <c r="F50" s="20" t="n">
        <v>2.35770379</v>
      </c>
      <c r="G50" s="18" t="n">
        <v>27.81539565</v>
      </c>
      <c r="H50" s="20" t="n">
        <v>2.3039942</v>
      </c>
      <c r="I50" s="18" t="n">
        <v>2.71090032</v>
      </c>
      <c r="J50" s="20" t="n">
        <v>0.8139012799999999</v>
      </c>
      <c r="K50" s="18" t="s">
        <v>567</v>
      </c>
      <c r="L50" s="20" t="s">
        <v>567</v>
      </c>
      <c r="M50" s="18" t="n">
        <v>1.10900354</v>
      </c>
      <c r="N50" s="20" t="n">
        <v>0.80829777</v>
      </c>
      <c r="O50" s="18" t="n">
        <v>0.06075056</v>
      </c>
      <c r="P50" s="20" t="n">
        <v>0.05238269</v>
      </c>
      <c r="Q50" s="18" t="n">
        <v>0</v>
      </c>
      <c r="R50" s="20" t="n">
        <v>0</v>
      </c>
      <c r="S50" s="18" t="n">
        <v>7.69387726</v>
      </c>
      <c r="T50" s="20" t="n">
        <v>1.77429585</v>
      </c>
    </row>
    <row r="51" spans="1:20">
      <c r="A51" s="15" t="s">
        <v>611</v>
      </c>
      <c r="B51" s="17" t="n">
        <v>3372</v>
      </c>
      <c r="C51" s="18">
        <f>(3034.0/B51*100)</f>
        <v/>
      </c>
      <c r="D51" s="19" t="n">
        <v>338</v>
      </c>
      <c r="E51" s="18" t="n">
        <v>53.04976504</v>
      </c>
      <c r="F51" s="20" t="n">
        <v>2.89988518</v>
      </c>
      <c r="G51" s="18" t="n">
        <v>30.58743557</v>
      </c>
      <c r="H51" s="20" t="n">
        <v>2.62551011</v>
      </c>
      <c r="I51" s="18" t="n">
        <v>3.98426859</v>
      </c>
      <c r="J51" s="20" t="n">
        <v>1.37236421</v>
      </c>
      <c r="K51" s="18" t="s">
        <v>567</v>
      </c>
      <c r="L51" s="20" t="s">
        <v>567</v>
      </c>
      <c r="M51" s="18" t="n">
        <v>0.33230167</v>
      </c>
      <c r="N51" s="20" t="n">
        <v>0.33002983</v>
      </c>
      <c r="O51" s="18" t="n">
        <v>0.65865883</v>
      </c>
      <c r="P51" s="20" t="n">
        <v>0.64078907</v>
      </c>
      <c r="Q51" s="18" t="n">
        <v>0</v>
      </c>
      <c r="R51" s="20" t="n">
        <v>0</v>
      </c>
      <c r="S51" s="18" t="n">
        <v>11.38757031</v>
      </c>
      <c r="T51" s="20" t="n">
        <v>1.74720531</v>
      </c>
    </row>
    <row r="52" spans="1:20">
      <c r="A52" s="15" t="s">
        <v>612</v>
      </c>
      <c r="B52" s="17" t="n">
        <v>2796</v>
      </c>
      <c r="C52" s="18">
        <f>(2476.0/B52*100)</f>
        <v/>
      </c>
      <c r="D52" s="19" t="n">
        <v>320</v>
      </c>
      <c r="E52" s="18" t="n">
        <v>34.36690526</v>
      </c>
      <c r="F52" s="20" t="n">
        <v>3.14413096</v>
      </c>
      <c r="G52" s="18" t="n">
        <v>16.68515601</v>
      </c>
      <c r="H52" s="20" t="n">
        <v>2.10347997</v>
      </c>
      <c r="I52" s="18" t="n">
        <v>31.66423766</v>
      </c>
      <c r="J52" s="20" t="n">
        <v>2.58640072</v>
      </c>
      <c r="K52" s="18" t="s">
        <v>567</v>
      </c>
      <c r="L52" s="20" t="s">
        <v>567</v>
      </c>
      <c r="M52" s="18" t="n">
        <v>0.31878686</v>
      </c>
      <c r="N52" s="20" t="n">
        <v>0.31151008</v>
      </c>
      <c r="O52" s="18" t="n">
        <v>0</v>
      </c>
      <c r="P52" s="20" t="n">
        <v>0</v>
      </c>
      <c r="Q52" s="18" t="n">
        <v>0</v>
      </c>
      <c r="R52" s="20" t="n">
        <v>0</v>
      </c>
      <c r="S52" s="18" t="n">
        <v>16.96491421</v>
      </c>
      <c r="T52" s="20" t="n">
        <v>2.35036593</v>
      </c>
    </row>
    <row r="53" spans="1:20">
      <c r="A53" s="15" t="s">
        <v>613</v>
      </c>
      <c r="B53" s="17" t="n">
        <v>2811</v>
      </c>
      <c r="C53" s="18">
        <f>(2491.0/B53*100)</f>
        <v/>
      </c>
      <c r="D53" s="19" t="n">
        <v>320</v>
      </c>
      <c r="E53" s="18" t="n">
        <v>42.25348337</v>
      </c>
      <c r="F53" s="20" t="n">
        <v>3.22228445</v>
      </c>
      <c r="G53" s="18" t="n">
        <v>19.7010878</v>
      </c>
      <c r="H53" s="20" t="n">
        <v>2.24569273</v>
      </c>
      <c r="I53" s="18" t="n">
        <v>17.92852629</v>
      </c>
      <c r="J53" s="20" t="n">
        <v>2.5035962</v>
      </c>
      <c r="K53" s="18" t="s">
        <v>567</v>
      </c>
      <c r="L53" s="20" t="s">
        <v>567</v>
      </c>
      <c r="M53" s="18" t="n">
        <v>0.46736626</v>
      </c>
      <c r="N53" s="20" t="n">
        <v>0.32894681</v>
      </c>
      <c r="O53" s="18" t="n">
        <v>0.71748318</v>
      </c>
      <c r="P53" s="20" t="n">
        <v>0.51510652</v>
      </c>
      <c r="Q53" s="18" t="n">
        <v>0</v>
      </c>
      <c r="R53" s="20" t="n">
        <v>0</v>
      </c>
      <c r="S53" s="18" t="n">
        <v>18.9320531</v>
      </c>
      <c r="T53" s="20" t="n">
        <v>2.45916858</v>
      </c>
    </row>
    <row r="54" spans="1:20">
      <c r="A54" s="15" t="s">
        <v>614</v>
      </c>
      <c r="B54" s="17" t="n">
        <v>2266</v>
      </c>
      <c r="C54" s="18">
        <f>(2011.0/B54*100)</f>
        <v/>
      </c>
      <c r="D54" s="19" t="n">
        <v>255</v>
      </c>
      <c r="E54" s="18" t="n">
        <v>51.40733384</v>
      </c>
      <c r="F54" s="20" t="n">
        <v>3.43004138</v>
      </c>
      <c r="G54" s="18" t="n">
        <v>7.59668626</v>
      </c>
      <c r="H54" s="20" t="n">
        <v>1.63581395</v>
      </c>
      <c r="I54" s="18" t="n">
        <v>3.76712342</v>
      </c>
      <c r="J54" s="20" t="n">
        <v>1.16488537</v>
      </c>
      <c r="K54" s="18" t="s">
        <v>567</v>
      </c>
      <c r="L54" s="20" t="s">
        <v>567</v>
      </c>
      <c r="M54" s="18" t="n">
        <v>3.62582653</v>
      </c>
      <c r="N54" s="20" t="n">
        <v>1.06580828</v>
      </c>
      <c r="O54" s="18" t="n">
        <v>0.74247398</v>
      </c>
      <c r="P54" s="20" t="n">
        <v>0.51621615</v>
      </c>
      <c r="Q54" s="18" t="n">
        <v>0</v>
      </c>
      <c r="R54" s="20" t="n">
        <v>0</v>
      </c>
      <c r="S54" s="18" t="n">
        <v>32.86055597</v>
      </c>
      <c r="T54" s="20" t="n">
        <v>3.65666597</v>
      </c>
    </row>
    <row r="55" spans="1:20">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2684</v>
      </c>
      <c r="C56" s="18">
        <f>(2390.0/B56*100)</f>
        <v/>
      </c>
      <c r="D56" s="19" t="n">
        <v>294</v>
      </c>
      <c r="E56" s="18" t="n">
        <v>40.27131018</v>
      </c>
      <c r="F56" s="20" t="n">
        <v>2.88425275</v>
      </c>
      <c r="G56" s="18" t="n">
        <v>21.94315582</v>
      </c>
      <c r="H56" s="20" t="n">
        <v>2.88995226</v>
      </c>
      <c r="I56" s="18" t="n">
        <v>31.03511384</v>
      </c>
      <c r="J56" s="20" t="n">
        <v>2.43872006</v>
      </c>
      <c r="K56" s="18" t="s">
        <v>567</v>
      </c>
      <c r="L56" s="20" t="s">
        <v>567</v>
      </c>
      <c r="M56" s="18" t="n">
        <v>0</v>
      </c>
      <c r="N56" s="20" t="n">
        <v>0</v>
      </c>
      <c r="O56" s="18" t="n">
        <v>0</v>
      </c>
      <c r="P56" s="20" t="n">
        <v>0</v>
      </c>
      <c r="Q56" s="18" t="n">
        <v>0</v>
      </c>
      <c r="R56" s="20" t="n">
        <v>0</v>
      </c>
      <c r="S56" s="18" t="n">
        <v>6.75042016</v>
      </c>
      <c r="T56" s="20" t="n">
        <v>1.56398528</v>
      </c>
    </row>
    <row r="57" spans="1:20">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3324</v>
      </c>
      <c r="C61" s="18">
        <f>(2979.0/B61*100)</f>
        <v/>
      </c>
      <c r="D61" s="19" t="n">
        <v>345</v>
      </c>
      <c r="E61" s="18" t="n">
        <v>35.1867874</v>
      </c>
      <c r="F61" s="20" t="n">
        <v>2.85559496</v>
      </c>
      <c r="G61" s="18" t="n">
        <v>23.11506361</v>
      </c>
      <c r="H61" s="20" t="n">
        <v>2.99798079</v>
      </c>
      <c r="I61" s="18" t="n">
        <v>28.3852336</v>
      </c>
      <c r="J61" s="20" t="n">
        <v>2.23975592</v>
      </c>
      <c r="K61" s="18" t="s">
        <v>567</v>
      </c>
      <c r="L61" s="20" t="s">
        <v>567</v>
      </c>
      <c r="M61" s="18" t="n">
        <v>0</v>
      </c>
      <c r="N61" s="20" t="n">
        <v>0</v>
      </c>
      <c r="O61" s="18" t="n">
        <v>0</v>
      </c>
      <c r="P61" s="20" t="n">
        <v>0</v>
      </c>
      <c r="Q61" s="18" t="n">
        <v>0</v>
      </c>
      <c r="R61" s="20" t="n">
        <v>0</v>
      </c>
      <c r="S61" s="18" t="n">
        <v>13.31291539</v>
      </c>
      <c r="T61" s="20" t="n">
        <v>1.90110288</v>
      </c>
    </row>
    <row r="62" spans="1:20">
      <c r="A62" s="15" t="s">
        <v>622</v>
      </c>
      <c r="B62" s="17" t="n">
        <v>2246</v>
      </c>
      <c r="C62" s="18">
        <f>(1991.0/B62*100)</f>
        <v/>
      </c>
      <c r="D62" s="19" t="n">
        <v>255</v>
      </c>
      <c r="E62" s="18" t="n">
        <v>34.14196386</v>
      </c>
      <c r="F62" s="20" t="n">
        <v>3.06556318</v>
      </c>
      <c r="G62" s="18" t="n">
        <v>30.55992987</v>
      </c>
      <c r="H62" s="20" t="n">
        <v>2.4091388</v>
      </c>
      <c r="I62" s="18" t="n">
        <v>30.98859259</v>
      </c>
      <c r="J62" s="20" t="n">
        <v>3.18297889</v>
      </c>
      <c r="K62" s="18" t="s">
        <v>567</v>
      </c>
      <c r="L62" s="20" t="s">
        <v>567</v>
      </c>
      <c r="M62" s="18" t="n">
        <v>0</v>
      </c>
      <c r="N62" s="20" t="n">
        <v>0</v>
      </c>
      <c r="O62" s="18" t="n">
        <v>0</v>
      </c>
      <c r="P62" s="20" t="n">
        <v>0</v>
      </c>
      <c r="Q62" s="18" t="n">
        <v>0</v>
      </c>
      <c r="R62" s="20" t="n">
        <v>0</v>
      </c>
      <c r="S62" s="18" t="n">
        <v>4.30951368</v>
      </c>
      <c r="T62" s="20" t="n">
        <v>1.23395086</v>
      </c>
    </row>
    <row r="63" spans="1:20">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2894</v>
      </c>
      <c r="C66" s="18">
        <f>(2584.0/B66*100)</f>
        <v/>
      </c>
      <c r="D66" s="19" t="n">
        <v>310</v>
      </c>
      <c r="E66" s="18" t="n">
        <v>39.12353046</v>
      </c>
      <c r="F66" s="20" t="n">
        <v>2.91842196</v>
      </c>
      <c r="G66" s="18" t="n">
        <v>13.98549485</v>
      </c>
      <c r="H66" s="20" t="n">
        <v>1.81011787</v>
      </c>
      <c r="I66" s="18" t="n">
        <v>17.73073948</v>
      </c>
      <c r="J66" s="20" t="n">
        <v>2.34529868</v>
      </c>
      <c r="K66" s="18" t="s">
        <v>567</v>
      </c>
      <c r="L66" s="20" t="s">
        <v>567</v>
      </c>
      <c r="M66" s="18" t="n">
        <v>0</v>
      </c>
      <c r="N66" s="20" t="n">
        <v>0</v>
      </c>
      <c r="O66" s="18" t="n">
        <v>0.90077354</v>
      </c>
      <c r="P66" s="20" t="n">
        <v>0.511661</v>
      </c>
      <c r="Q66" s="18" t="n">
        <v>0</v>
      </c>
      <c r="R66" s="20" t="n">
        <v>0</v>
      </c>
      <c r="S66" s="18" t="n">
        <v>28.25946167</v>
      </c>
      <c r="T66" s="20" t="n">
        <v>2.31415476</v>
      </c>
    </row>
    <row r="67" spans="1:20">
      <c r="A67" s="15" t="s">
        <v>627</v>
      </c>
      <c r="B67" s="17" t="n">
        <v>3511</v>
      </c>
      <c r="C67" s="18">
        <f>(3124.0/B67*100)</f>
        <v/>
      </c>
      <c r="D67" s="19" t="n">
        <v>387</v>
      </c>
      <c r="E67" s="18" t="n">
        <v>59.94686168</v>
      </c>
      <c r="F67" s="20" t="n">
        <v>2.80397049</v>
      </c>
      <c r="G67" s="18" t="n">
        <v>20.14477479</v>
      </c>
      <c r="H67" s="20" t="n">
        <v>2.06925253</v>
      </c>
      <c r="I67" s="18" t="n">
        <v>7.75850117</v>
      </c>
      <c r="J67" s="20" t="n">
        <v>1.51404141</v>
      </c>
      <c r="K67" s="18" t="s">
        <v>567</v>
      </c>
      <c r="L67" s="20" t="s">
        <v>567</v>
      </c>
      <c r="M67" s="18" t="n">
        <v>0.19236559</v>
      </c>
      <c r="N67" s="20" t="n">
        <v>0.1921955</v>
      </c>
      <c r="O67" s="18" t="n">
        <v>0</v>
      </c>
      <c r="P67" s="20" t="n">
        <v>0</v>
      </c>
      <c r="Q67" s="18" t="n">
        <v>0</v>
      </c>
      <c r="R67" s="20" t="n">
        <v>0</v>
      </c>
      <c r="S67" s="18" t="n">
        <v>11.95749677</v>
      </c>
      <c r="T67" s="20" t="n">
        <v>1.75769743</v>
      </c>
    </row>
    <row r="68" spans="1:20">
      <c r="A68" s="15" t="s">
        <v>628</v>
      </c>
      <c r="B68" s="17" t="n">
        <v>6049</v>
      </c>
      <c r="C68" s="18">
        <f>(5382.0/B68*100)</f>
        <v/>
      </c>
      <c r="D68" s="19" t="n">
        <v>667</v>
      </c>
      <c r="E68" s="18" t="n">
        <v>49.44688227</v>
      </c>
      <c r="F68" s="20" t="n">
        <v>2.03085548</v>
      </c>
      <c r="G68" s="18" t="n">
        <v>18.61393806</v>
      </c>
      <c r="H68" s="20" t="n">
        <v>1.58254772</v>
      </c>
      <c r="I68" s="18" t="n">
        <v>13.67119701</v>
      </c>
      <c r="J68" s="20" t="n">
        <v>1.30339585</v>
      </c>
      <c r="K68" s="18" t="s">
        <v>567</v>
      </c>
      <c r="L68" s="20" t="s">
        <v>567</v>
      </c>
      <c r="M68" s="18" t="n">
        <v>1.18029387</v>
      </c>
      <c r="N68" s="20" t="n">
        <v>0.42226732</v>
      </c>
      <c r="O68" s="18" t="n">
        <v>0</v>
      </c>
      <c r="P68" s="20" t="n">
        <v>0</v>
      </c>
      <c r="Q68" s="18" t="n">
        <v>0</v>
      </c>
      <c r="R68" s="20" t="n">
        <v>0</v>
      </c>
      <c r="S68" s="18" t="n">
        <v>17.0876888</v>
      </c>
      <c r="T68" s="20" t="n">
        <v>1.66665073</v>
      </c>
    </row>
    <row r="69" spans="1:20">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2929</v>
      </c>
      <c r="C70" s="18">
        <f>(2603.0/B70*100)</f>
        <v/>
      </c>
      <c r="D70" s="19" t="n">
        <v>326</v>
      </c>
      <c r="E70" s="18" t="n">
        <v>48.38560998</v>
      </c>
      <c r="F70" s="20" t="n">
        <v>2.74797694</v>
      </c>
      <c r="G70" s="18" t="n">
        <v>16.03821918</v>
      </c>
      <c r="H70" s="20" t="n">
        <v>2.35820685</v>
      </c>
      <c r="I70" s="18" t="n">
        <v>27.29002709</v>
      </c>
      <c r="J70" s="20" t="n">
        <v>2.48234903</v>
      </c>
      <c r="K70" s="18" t="s">
        <v>567</v>
      </c>
      <c r="L70" s="20" t="s">
        <v>567</v>
      </c>
      <c r="M70" s="18" t="n">
        <v>0.46373433</v>
      </c>
      <c r="N70" s="20" t="n">
        <v>0.28790192</v>
      </c>
      <c r="O70" s="18" t="n">
        <v>0</v>
      </c>
      <c r="P70" s="20" t="n">
        <v>0</v>
      </c>
      <c r="Q70" s="18" t="n">
        <v>0</v>
      </c>
      <c r="R70" s="20" t="n">
        <v>0</v>
      </c>
      <c r="S70" s="18" t="n">
        <v>7.82240942</v>
      </c>
      <c r="T70" s="20" t="n">
        <v>1.60785912</v>
      </c>
    </row>
    <row r="71" spans="1:20">
      <c r="A71" s="15" t="s">
        <v>631</v>
      </c>
      <c r="B71" s="17" t="n">
        <v>3142</v>
      </c>
      <c r="C71" s="18">
        <f>(2800.0/B71*100)</f>
        <v/>
      </c>
      <c r="D71" s="19" t="n">
        <v>342</v>
      </c>
      <c r="E71" s="18" t="n">
        <v>34.95085745</v>
      </c>
      <c r="F71" s="20" t="n">
        <v>2.67201196</v>
      </c>
      <c r="G71" s="18" t="n">
        <v>31.01856257</v>
      </c>
      <c r="H71" s="20" t="n">
        <v>2.86483318</v>
      </c>
      <c r="I71" s="18" t="n">
        <v>31.24857473</v>
      </c>
      <c r="J71" s="20" t="n">
        <v>2.44163182</v>
      </c>
      <c r="K71" s="18" t="s">
        <v>567</v>
      </c>
      <c r="L71" s="20" t="s">
        <v>567</v>
      </c>
      <c r="M71" s="18" t="n">
        <v>0</v>
      </c>
      <c r="N71" s="20" t="n">
        <v>0</v>
      </c>
      <c r="O71" s="18" t="n">
        <v>0</v>
      </c>
      <c r="P71" s="20" t="n">
        <v>0</v>
      </c>
      <c r="Q71" s="18" t="n">
        <v>0</v>
      </c>
      <c r="R71" s="20" t="n">
        <v>0</v>
      </c>
      <c r="S71" s="18" t="n">
        <v>2.78200524</v>
      </c>
      <c r="T71" s="20" t="n">
        <v>0.87990947</v>
      </c>
    </row>
    <row r="72" spans="1:20">
      <c r="A72" s="15" t="s">
        <v>632</v>
      </c>
      <c r="B72" s="17" t="n">
        <v>3889</v>
      </c>
      <c r="C72" s="18">
        <f>(3448.0/B72*100)</f>
        <v/>
      </c>
      <c r="D72" s="19" t="n">
        <v>441</v>
      </c>
      <c r="E72" s="18" t="n">
        <v>41.45331477</v>
      </c>
      <c r="F72" s="20" t="n">
        <v>2.50482861</v>
      </c>
      <c r="G72" s="18" t="n">
        <v>16.05328869</v>
      </c>
      <c r="H72" s="20" t="n">
        <v>1.92359972</v>
      </c>
      <c r="I72" s="18" t="n">
        <v>35.23199324</v>
      </c>
      <c r="J72" s="20" t="n">
        <v>2.40331596</v>
      </c>
      <c r="K72" s="18" t="s">
        <v>567</v>
      </c>
      <c r="L72" s="20" t="s">
        <v>567</v>
      </c>
      <c r="M72" s="18" t="n">
        <v>0.30064548</v>
      </c>
      <c r="N72" s="20" t="n">
        <v>0.30196987</v>
      </c>
      <c r="O72" s="18" t="n">
        <v>0</v>
      </c>
      <c r="P72" s="20" t="n">
        <v>0</v>
      </c>
      <c r="Q72" s="18" t="n">
        <v>0</v>
      </c>
      <c r="R72" s="20" t="n">
        <v>0</v>
      </c>
      <c r="S72" s="18" t="n">
        <v>6.96075782</v>
      </c>
      <c r="T72" s="20" t="n">
        <v>1.34632211</v>
      </c>
    </row>
    <row r="73" spans="1:20">
      <c r="A73" s="15" t="s">
        <v>633</v>
      </c>
      <c r="B73" s="17" t="n">
        <v>3597</v>
      </c>
      <c r="C73" s="18">
        <f>(3226.0/B73*100)</f>
        <v/>
      </c>
      <c r="D73" s="19" t="n">
        <v>371</v>
      </c>
      <c r="E73" s="18" t="n">
        <v>68.39813744999999</v>
      </c>
      <c r="F73" s="20" t="n">
        <v>2.86750752</v>
      </c>
      <c r="G73" s="18" t="n">
        <v>24.34598733</v>
      </c>
      <c r="H73" s="20" t="n">
        <v>2.52146339</v>
      </c>
      <c r="I73" s="18" t="n">
        <v>4.34320703</v>
      </c>
      <c r="J73" s="20" t="n">
        <v>1.17273693</v>
      </c>
      <c r="K73" s="18" t="s">
        <v>567</v>
      </c>
      <c r="L73" s="20" t="s">
        <v>567</v>
      </c>
      <c r="M73" s="18" t="n">
        <v>0</v>
      </c>
      <c r="N73" s="20" t="n">
        <v>0</v>
      </c>
      <c r="O73" s="18" t="n">
        <v>0</v>
      </c>
      <c r="P73" s="20" t="n">
        <v>0</v>
      </c>
      <c r="Q73" s="18" t="n">
        <v>0</v>
      </c>
      <c r="R73" s="20" t="n">
        <v>0</v>
      </c>
      <c r="S73" s="18" t="n">
        <v>2.91266818</v>
      </c>
      <c r="T73" s="20" t="n">
        <v>1.0523267</v>
      </c>
    </row>
    <row r="74" spans="1:20">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2406</v>
      </c>
      <c r="C75" s="18">
        <f>(2166.0/B75*100)</f>
        <v/>
      </c>
      <c r="D75" s="19" t="n">
        <v>240</v>
      </c>
      <c r="E75" s="18" t="n">
        <v>45.90549616</v>
      </c>
      <c r="F75" s="20" t="n">
        <v>3.48246564</v>
      </c>
      <c r="G75" s="18" t="n">
        <v>22.39917494</v>
      </c>
      <c r="H75" s="20" t="n">
        <v>2.39436171</v>
      </c>
      <c r="I75" s="18" t="n">
        <v>7.14832405</v>
      </c>
      <c r="J75" s="20" t="n">
        <v>2.05104761</v>
      </c>
      <c r="K75" s="18" t="s">
        <v>567</v>
      </c>
      <c r="L75" s="20" t="s">
        <v>567</v>
      </c>
      <c r="M75" s="18" t="n">
        <v>1.30026838</v>
      </c>
      <c r="N75" s="20" t="n">
        <v>0.72126703</v>
      </c>
      <c r="O75" s="18" t="n">
        <v>0.81442119</v>
      </c>
      <c r="P75" s="20" t="n">
        <v>0.58847635</v>
      </c>
      <c r="Q75" s="18" t="n">
        <v>0</v>
      </c>
      <c r="R75" s="20" t="n">
        <v>0</v>
      </c>
      <c r="S75" s="18" t="n">
        <v>22.43231528</v>
      </c>
      <c r="T75" s="20" t="n">
        <v>3.0089242</v>
      </c>
    </row>
    <row r="76" spans="1:20">
      <c r="A76" s="15" t="s">
        <v>636</v>
      </c>
      <c r="B76" s="17" t="n">
        <v>7052</v>
      </c>
      <c r="C76" s="18">
        <f>(6257.0/B76*100)</f>
        <v/>
      </c>
      <c r="D76" s="19" t="n">
        <v>795</v>
      </c>
      <c r="E76" s="18" t="n">
        <v>50.12998702</v>
      </c>
      <c r="F76" s="20" t="n">
        <v>1.93374116</v>
      </c>
      <c r="G76" s="18" t="n">
        <v>21.42976168</v>
      </c>
      <c r="H76" s="20" t="n">
        <v>1.56361251</v>
      </c>
      <c r="I76" s="18" t="n">
        <v>15.84544226</v>
      </c>
      <c r="J76" s="20" t="n">
        <v>1.85011981</v>
      </c>
      <c r="K76" s="18" t="s">
        <v>567</v>
      </c>
      <c r="L76" s="20" t="s">
        <v>567</v>
      </c>
      <c r="M76" s="18" t="n">
        <v>1.28385966</v>
      </c>
      <c r="N76" s="20" t="n">
        <v>0.5439607400000001</v>
      </c>
      <c r="O76" s="18" t="n">
        <v>0.11014289</v>
      </c>
      <c r="P76" s="20" t="n">
        <v>0.07926892000000001</v>
      </c>
      <c r="Q76" s="18" t="n">
        <v>0</v>
      </c>
      <c r="R76" s="20" t="n">
        <v>0</v>
      </c>
      <c r="S76" s="18" t="n">
        <v>11.20080649</v>
      </c>
      <c r="T76" s="20" t="n">
        <v>1.21253477</v>
      </c>
    </row>
    <row r="77" spans="1:20">
      <c r="A77" s="15" t="s">
        <v>637</v>
      </c>
      <c r="B77" s="17" t="n">
        <v>2908</v>
      </c>
      <c r="C77" s="18">
        <f>(2581.0/B77*100)</f>
        <v/>
      </c>
      <c r="D77" s="19" t="n">
        <v>327</v>
      </c>
      <c r="E77" s="18" t="n">
        <v>31.36804754</v>
      </c>
      <c r="F77" s="20" t="n">
        <v>3.09131635</v>
      </c>
      <c r="G77" s="18" t="n">
        <v>23.77914087</v>
      </c>
      <c r="H77" s="20" t="n">
        <v>2.42891726</v>
      </c>
      <c r="I77" s="18" t="n">
        <v>21.29565262</v>
      </c>
      <c r="J77" s="20" t="n">
        <v>2.19825034</v>
      </c>
      <c r="K77" s="18" t="s">
        <v>567</v>
      </c>
      <c r="L77" s="20" t="s">
        <v>567</v>
      </c>
      <c r="M77" s="18" t="n">
        <v>0.21750254</v>
      </c>
      <c r="N77" s="20" t="n">
        <v>0.21759753</v>
      </c>
      <c r="O77" s="18" t="n">
        <v>0.34551052</v>
      </c>
      <c r="P77" s="20" t="n">
        <v>0.34796945</v>
      </c>
      <c r="Q77" s="18" t="n">
        <v>0</v>
      </c>
      <c r="R77" s="20" t="n">
        <v>0</v>
      </c>
      <c r="S77" s="18" t="n">
        <v>22.99414591</v>
      </c>
      <c r="T77" s="20" t="n">
        <v>2.24451105</v>
      </c>
    </row>
    <row r="78" spans="1:20">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4163</v>
      </c>
      <c r="C81" s="18">
        <f>(3728.0/B81*100)</f>
        <v/>
      </c>
      <c r="D81" s="19" t="n">
        <v>435</v>
      </c>
      <c r="E81" s="18" t="n">
        <v>56.22324527</v>
      </c>
      <c r="F81" s="20" t="n">
        <v>3.1726757</v>
      </c>
      <c r="G81" s="18" t="n">
        <v>30.0367235</v>
      </c>
      <c r="H81" s="20" t="n">
        <v>2.65183919</v>
      </c>
      <c r="I81" s="18" t="n">
        <v>10.26021155</v>
      </c>
      <c r="J81" s="20" t="n">
        <v>1.69744833</v>
      </c>
      <c r="K81" s="18" t="s">
        <v>567</v>
      </c>
      <c r="L81" s="20" t="s">
        <v>567</v>
      </c>
      <c r="M81" s="18" t="n">
        <v>0</v>
      </c>
      <c r="N81" s="20" t="n">
        <v>0</v>
      </c>
      <c r="O81" s="18" t="n">
        <v>0</v>
      </c>
      <c r="P81" s="20" t="n">
        <v>0</v>
      </c>
      <c r="Q81" s="18" t="n">
        <v>0</v>
      </c>
      <c r="R81" s="20" t="n">
        <v>0</v>
      </c>
      <c r="S81" s="18" t="n">
        <v>3.47981968</v>
      </c>
      <c r="T81" s="20" t="n">
        <v>1.11747252</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(6545.0/B7*100)</f>
        <v/>
      </c>
      <c r="D7" s="19" t="n">
        <v>822</v>
      </c>
      <c r="E7" s="18" t="n">
        <v>30.2618189</v>
      </c>
      <c r="F7" s="20" t="n">
        <v>2.26479107</v>
      </c>
      <c r="G7" s="18" t="n">
        <v>67.93172487</v>
      </c>
      <c r="H7" s="20" t="n">
        <v>2.20558456</v>
      </c>
      <c r="I7" s="18" t="s">
        <v>567</v>
      </c>
      <c r="J7" s="20" t="s">
        <v>567</v>
      </c>
      <c r="K7" s="18" t="n">
        <v>0</v>
      </c>
      <c r="L7" s="20" t="n">
        <v>0</v>
      </c>
      <c r="M7" s="18" t="n">
        <v>0</v>
      </c>
      <c r="N7" s="20" t="n">
        <v>0</v>
      </c>
      <c r="O7" s="18" t="n">
        <v>0</v>
      </c>
      <c r="P7" s="20" t="n">
        <v>0</v>
      </c>
      <c r="Q7" s="18" t="n">
        <v>1.80645622</v>
      </c>
      <c r="R7" s="20" t="n">
        <v>0.4928034</v>
      </c>
    </row>
    <row r="8" spans="1:18">
      <c r="A8" s="15" t="s">
        <v>568</v>
      </c>
      <c r="B8" s="17" t="n">
        <v>3564</v>
      </c>
      <c r="C8" s="18">
        <f>(3160.0/B8*100)</f>
        <v/>
      </c>
      <c r="D8" s="19" t="n">
        <v>404</v>
      </c>
      <c r="E8" s="18" t="n">
        <v>34.47905149</v>
      </c>
      <c r="F8" s="20" t="n">
        <v>2.53242408</v>
      </c>
      <c r="G8" s="18" t="n">
        <v>62.65091895</v>
      </c>
      <c r="H8" s="20" t="n">
        <v>2.3858202</v>
      </c>
      <c r="I8" s="18" t="s">
        <v>567</v>
      </c>
      <c r="J8" s="20" t="s">
        <v>567</v>
      </c>
      <c r="K8" s="18" t="n">
        <v>0</v>
      </c>
      <c r="L8" s="20" t="n">
        <v>0</v>
      </c>
      <c r="M8" s="18" t="n">
        <v>0</v>
      </c>
      <c r="N8" s="20" t="n">
        <v>0</v>
      </c>
      <c r="O8" s="18" t="n">
        <v>0</v>
      </c>
      <c r="P8" s="20" t="n">
        <v>0</v>
      </c>
      <c r="Q8" s="18" t="n">
        <v>2.87002956</v>
      </c>
      <c r="R8" s="20" t="n">
        <v>0.96612164</v>
      </c>
    </row>
    <row r="9" spans="1:18">
      <c r="A9" s="15" t="s">
        <v>569</v>
      </c>
      <c r="B9" s="17" t="n">
        <v>4899</v>
      </c>
      <c r="C9" s="18">
        <f>(4420.0/B9*100)</f>
        <v/>
      </c>
      <c r="D9" s="19" t="n">
        <v>479</v>
      </c>
      <c r="E9" s="18" t="n">
        <v>34.86774618</v>
      </c>
      <c r="F9" s="20" t="n">
        <v>2.28404083</v>
      </c>
      <c r="G9" s="18" t="n">
        <v>63.15704011</v>
      </c>
      <c r="H9" s="20" t="n">
        <v>2.29373872</v>
      </c>
      <c r="I9" s="18" t="s">
        <v>567</v>
      </c>
      <c r="J9" s="20" t="s">
        <v>567</v>
      </c>
      <c r="K9" s="18" t="n">
        <v>0</v>
      </c>
      <c r="L9" s="20" t="n">
        <v>0</v>
      </c>
      <c r="M9" s="18" t="n">
        <v>0</v>
      </c>
      <c r="N9" s="20" t="n">
        <v>0</v>
      </c>
      <c r="O9" s="18" t="n">
        <v>0</v>
      </c>
      <c r="P9" s="20" t="n">
        <v>0</v>
      </c>
      <c r="Q9" s="18" t="n">
        <v>1.97521371</v>
      </c>
      <c r="R9" s="20" t="n">
        <v>0.61229315</v>
      </c>
    </row>
    <row r="10" spans="1:18">
      <c r="A10" s="15" t="s">
        <v>570</v>
      </c>
      <c r="B10" s="17" t="n">
        <v>10036</v>
      </c>
      <c r="C10" s="18">
        <f>(8962.0/B10*100)</f>
        <v/>
      </c>
      <c r="D10" s="19" t="n">
        <v>1074</v>
      </c>
      <c r="E10" s="18" t="n">
        <v>28.90865407</v>
      </c>
      <c r="F10" s="20" t="n">
        <v>2.24279735</v>
      </c>
      <c r="G10" s="18" t="n">
        <v>67.88734821</v>
      </c>
      <c r="H10" s="20" t="n">
        <v>2.35345068</v>
      </c>
      <c r="I10" s="18" t="s">
        <v>567</v>
      </c>
      <c r="J10" s="20" t="s">
        <v>567</v>
      </c>
      <c r="K10" s="18" t="n">
        <v>0.02142623</v>
      </c>
      <c r="L10" s="20" t="n">
        <v>0.02125913</v>
      </c>
      <c r="M10" s="18" t="n">
        <v>0</v>
      </c>
      <c r="N10" s="20" t="n">
        <v>0</v>
      </c>
      <c r="O10" s="18" t="n">
        <v>0</v>
      </c>
      <c r="P10" s="20" t="n">
        <v>0</v>
      </c>
      <c r="Q10" s="18" t="n">
        <v>3.18257149</v>
      </c>
      <c r="R10" s="20" t="n">
        <v>0.97116286</v>
      </c>
    </row>
    <row r="11" spans="1:18">
      <c r="A11" s="15" t="s">
        <v>571</v>
      </c>
      <c r="B11" s="17" t="n">
        <v>3553</v>
      </c>
      <c r="C11" s="18">
        <f>(3156.0/B11*100)</f>
        <v/>
      </c>
      <c r="D11" s="19" t="n">
        <v>397</v>
      </c>
      <c r="E11" s="18" t="n">
        <v>42.7665681</v>
      </c>
      <c r="F11" s="20" t="n">
        <v>2.93032178</v>
      </c>
      <c r="G11" s="18" t="n">
        <v>55.67941327</v>
      </c>
      <c r="H11" s="20" t="n">
        <v>2.90898555</v>
      </c>
      <c r="I11" s="18" t="s">
        <v>567</v>
      </c>
      <c r="J11" s="20" t="s">
        <v>567</v>
      </c>
      <c r="K11" s="18" t="n">
        <v>0</v>
      </c>
      <c r="L11" s="20" t="n">
        <v>0</v>
      </c>
      <c r="M11" s="18" t="n">
        <v>0</v>
      </c>
      <c r="N11" s="20" t="n">
        <v>0</v>
      </c>
      <c r="O11" s="18" t="n">
        <v>0</v>
      </c>
      <c r="P11" s="20" t="n">
        <v>0</v>
      </c>
      <c r="Q11" s="18" t="n">
        <v>1.55401863</v>
      </c>
      <c r="R11" s="20" t="n">
        <v>0.78757503</v>
      </c>
    </row>
    <row r="12" spans="1:18">
      <c r="A12" s="15" t="s">
        <v>572</v>
      </c>
      <c r="B12" s="17" t="n">
        <v>3472</v>
      </c>
      <c r="C12" s="18">
        <f>(3094.0/B12*100)</f>
        <v/>
      </c>
      <c r="D12" s="19" t="n">
        <v>378</v>
      </c>
      <c r="E12" s="18" t="n">
        <v>41.49437775</v>
      </c>
      <c r="F12" s="20" t="n">
        <v>2.64407905</v>
      </c>
      <c r="G12" s="18" t="n">
        <v>55.79969032</v>
      </c>
      <c r="H12" s="20" t="n">
        <v>2.94136945</v>
      </c>
      <c r="I12" s="18" t="s">
        <v>567</v>
      </c>
      <c r="J12" s="20" t="s">
        <v>567</v>
      </c>
      <c r="K12" s="18" t="n">
        <v>0</v>
      </c>
      <c r="L12" s="20" t="n">
        <v>0</v>
      </c>
      <c r="M12" s="18" t="n">
        <v>0</v>
      </c>
      <c r="N12" s="20" t="n">
        <v>0</v>
      </c>
      <c r="O12" s="18" t="n">
        <v>0</v>
      </c>
      <c r="P12" s="20" t="n">
        <v>0</v>
      </c>
      <c r="Q12" s="18" t="n">
        <v>2.70593193</v>
      </c>
      <c r="R12" s="20" t="n">
        <v>1.09722468</v>
      </c>
    </row>
    <row r="13" spans="1:18">
      <c r="A13" s="15" t="s">
        <v>573</v>
      </c>
      <c r="B13" s="17" t="n">
        <v>3559</v>
      </c>
      <c r="C13" s="18">
        <f>(3188.0/B13*100)</f>
        <v/>
      </c>
      <c r="D13" s="19" t="n">
        <v>371</v>
      </c>
      <c r="E13" s="18" t="n">
        <v>29.67512796</v>
      </c>
      <c r="F13" s="20" t="n">
        <v>2.81809122</v>
      </c>
      <c r="G13" s="18" t="n">
        <v>67.29738899</v>
      </c>
      <c r="H13" s="20" t="n">
        <v>2.90226386</v>
      </c>
      <c r="I13" s="18" t="s">
        <v>567</v>
      </c>
      <c r="J13" s="20" t="s">
        <v>567</v>
      </c>
      <c r="K13" s="18" t="n">
        <v>0.31450306</v>
      </c>
      <c r="L13" s="20" t="n">
        <v>0.22631926</v>
      </c>
      <c r="M13" s="18" t="n">
        <v>0</v>
      </c>
      <c r="N13" s="20" t="n">
        <v>0</v>
      </c>
      <c r="O13" s="18" t="n">
        <v>0</v>
      </c>
      <c r="P13" s="20" t="n">
        <v>0</v>
      </c>
      <c r="Q13" s="18" t="n">
        <v>2.71298</v>
      </c>
      <c r="R13" s="20" t="n">
        <v>1.21021534</v>
      </c>
    </row>
    <row r="14" spans="1:18">
      <c r="A14" s="15" t="s">
        <v>574</v>
      </c>
      <c r="B14" s="17" t="n">
        <v>2799</v>
      </c>
      <c r="C14" s="18">
        <f>(2509.0/B14*100)</f>
        <v/>
      </c>
      <c r="D14" s="19" t="n">
        <v>290</v>
      </c>
      <c r="E14" s="18" t="n">
        <v>31.69159904</v>
      </c>
      <c r="F14" s="20" t="n">
        <v>2.85557857</v>
      </c>
      <c r="G14" s="18" t="n">
        <v>66.28708354</v>
      </c>
      <c r="H14" s="20" t="n">
        <v>3.14831414</v>
      </c>
      <c r="I14" s="18" t="s">
        <v>567</v>
      </c>
      <c r="J14" s="20" t="s">
        <v>567</v>
      </c>
      <c r="K14" s="18" t="n">
        <v>0</v>
      </c>
      <c r="L14" s="20" t="n">
        <v>0</v>
      </c>
      <c r="M14" s="18" t="n">
        <v>0</v>
      </c>
      <c r="N14" s="20" t="n">
        <v>0</v>
      </c>
      <c r="O14" s="18" t="n">
        <v>0</v>
      </c>
      <c r="P14" s="20" t="n">
        <v>0</v>
      </c>
      <c r="Q14" s="18" t="n">
        <v>2.02131741</v>
      </c>
      <c r="R14" s="20" t="n">
        <v>1.00808975</v>
      </c>
    </row>
    <row r="15" spans="1:18">
      <c r="A15" s="15" t="s">
        <v>575</v>
      </c>
      <c r="B15" s="17" t="n">
        <v>3019</v>
      </c>
      <c r="C15" s="18">
        <f>(2664.0/B15*100)</f>
        <v/>
      </c>
      <c r="D15" s="19" t="n">
        <v>355</v>
      </c>
      <c r="E15" s="18" t="n">
        <v>33.62732688</v>
      </c>
      <c r="F15" s="20" t="n">
        <v>2.4157133</v>
      </c>
      <c r="G15" s="18" t="n">
        <v>64.12075645</v>
      </c>
      <c r="H15" s="20" t="n">
        <v>2.46061809</v>
      </c>
      <c r="I15" s="18" t="s">
        <v>567</v>
      </c>
      <c r="J15" s="20" t="s">
        <v>567</v>
      </c>
      <c r="K15" s="18" t="n">
        <v>0</v>
      </c>
      <c r="L15" s="20" t="n">
        <v>0</v>
      </c>
      <c r="M15" s="18" t="n">
        <v>0</v>
      </c>
      <c r="N15" s="20" t="n">
        <v>0</v>
      </c>
      <c r="O15" s="18" t="n">
        <v>0</v>
      </c>
      <c r="P15" s="20" t="n">
        <v>0</v>
      </c>
      <c r="Q15" s="18" t="n">
        <v>2.25191668</v>
      </c>
      <c r="R15" s="20" t="n">
        <v>0.82336141</v>
      </c>
    </row>
    <row r="16" spans="1:18">
      <c r="A16" s="15" t="s">
        <v>576</v>
      </c>
      <c r="B16" s="17" t="n">
        <v>2997</v>
      </c>
      <c r="C16" s="18">
        <f>(2660.0/B16*100)</f>
        <v/>
      </c>
      <c r="D16" s="19" t="n">
        <v>337</v>
      </c>
      <c r="E16" s="18" t="n">
        <v>39.38314805</v>
      </c>
      <c r="F16" s="20" t="n">
        <v>2.4855648</v>
      </c>
      <c r="G16" s="18" t="n">
        <v>55.58390624</v>
      </c>
      <c r="H16" s="20" t="n">
        <v>2.51631478</v>
      </c>
      <c r="I16" s="18" t="s">
        <v>567</v>
      </c>
      <c r="J16" s="20" t="s">
        <v>567</v>
      </c>
      <c r="K16" s="18" t="n">
        <v>0</v>
      </c>
      <c r="L16" s="20" t="n">
        <v>0</v>
      </c>
      <c r="M16" s="18" t="n">
        <v>0</v>
      </c>
      <c r="N16" s="20" t="n">
        <v>0</v>
      </c>
      <c r="O16" s="18" t="n">
        <v>0</v>
      </c>
      <c r="P16" s="20" t="n">
        <v>0</v>
      </c>
      <c r="Q16" s="18" t="n">
        <v>5.03294571</v>
      </c>
      <c r="R16" s="20" t="n">
        <v>1.30434385</v>
      </c>
    </row>
    <row r="17" spans="1:18">
      <c r="A17" s="15" t="s">
        <v>577</v>
      </c>
      <c r="B17" s="17" t="n">
        <v>3307</v>
      </c>
      <c r="C17" s="18">
        <f>(2974.0/B17*100)</f>
        <v/>
      </c>
      <c r="D17" s="19" t="n">
        <v>333</v>
      </c>
      <c r="E17" s="18" t="n">
        <v>35.68413171</v>
      </c>
      <c r="F17" s="20" t="n">
        <v>2.93759589</v>
      </c>
      <c r="G17" s="18" t="n">
        <v>61.64921184</v>
      </c>
      <c r="H17" s="20" t="n">
        <v>2.86175927</v>
      </c>
      <c r="I17" s="18" t="s">
        <v>567</v>
      </c>
      <c r="J17" s="20" t="s">
        <v>567</v>
      </c>
      <c r="K17" s="18" t="n">
        <v>0</v>
      </c>
      <c r="L17" s="20" t="n">
        <v>0</v>
      </c>
      <c r="M17" s="18" t="n">
        <v>0</v>
      </c>
      <c r="N17" s="20" t="n">
        <v>0</v>
      </c>
      <c r="O17" s="18" t="n">
        <v>0</v>
      </c>
      <c r="P17" s="20" t="n">
        <v>0</v>
      </c>
      <c r="Q17" s="18" t="n">
        <v>2.66665644</v>
      </c>
      <c r="R17" s="20" t="n">
        <v>1.12725186</v>
      </c>
    </row>
    <row r="18" spans="1:18">
      <c r="A18" s="15" t="s">
        <v>578</v>
      </c>
      <c r="B18" s="17" t="n">
        <v>2826</v>
      </c>
      <c r="C18" s="18">
        <f>(2502.0/B18*100)</f>
        <v/>
      </c>
      <c r="D18" s="19" t="n">
        <v>324</v>
      </c>
      <c r="E18" s="18" t="n">
        <v>43.88351172</v>
      </c>
      <c r="F18" s="20" t="n">
        <v>3.23916935</v>
      </c>
      <c r="G18" s="18" t="n">
        <v>50.28716151</v>
      </c>
      <c r="H18" s="20" t="n">
        <v>3.22298444</v>
      </c>
      <c r="I18" s="18" t="s">
        <v>567</v>
      </c>
      <c r="J18" s="20" t="s">
        <v>567</v>
      </c>
      <c r="K18" s="18" t="n">
        <v>0.35320763</v>
      </c>
      <c r="L18" s="20" t="n">
        <v>0.34997206</v>
      </c>
      <c r="M18" s="18" t="n">
        <v>0</v>
      </c>
      <c r="N18" s="20" t="n">
        <v>0</v>
      </c>
      <c r="O18" s="18" t="n">
        <v>0</v>
      </c>
      <c r="P18" s="20" t="n">
        <v>0</v>
      </c>
      <c r="Q18" s="18" t="n">
        <v>5.47611914</v>
      </c>
      <c r="R18" s="20" t="n">
        <v>1.32249328</v>
      </c>
    </row>
    <row r="19" spans="1:18">
      <c r="A19" s="15" t="s">
        <v>579</v>
      </c>
      <c r="B19" s="17" t="n">
        <v>2808</v>
      </c>
      <c r="C19" s="18">
        <f>(2481.0/B19*100)</f>
        <v/>
      </c>
      <c r="D19" s="19" t="n">
        <v>327</v>
      </c>
      <c r="E19" s="18" t="n">
        <v>50.09145256</v>
      </c>
      <c r="F19" s="20" t="n">
        <v>3.27802431</v>
      </c>
      <c r="G19" s="18" t="n">
        <v>47.64004136</v>
      </c>
      <c r="H19" s="20" t="n">
        <v>3.22282137</v>
      </c>
      <c r="I19" s="18" t="s">
        <v>567</v>
      </c>
      <c r="J19" s="20" t="s">
        <v>567</v>
      </c>
      <c r="K19" s="18" t="n">
        <v>0</v>
      </c>
      <c r="L19" s="20" t="n">
        <v>0</v>
      </c>
      <c r="M19" s="18" t="n">
        <v>0</v>
      </c>
      <c r="N19" s="20" t="n">
        <v>0</v>
      </c>
      <c r="O19" s="18" t="n">
        <v>0</v>
      </c>
      <c r="P19" s="20" t="n">
        <v>0</v>
      </c>
      <c r="Q19" s="18" t="n">
        <v>2.26850608</v>
      </c>
      <c r="R19" s="20" t="n">
        <v>0.9741757599999999</v>
      </c>
    </row>
    <row r="20" spans="1:18">
      <c r="A20" s="15" t="s">
        <v>580</v>
      </c>
      <c r="B20" s="17" t="n">
        <v>1630</v>
      </c>
      <c r="C20" s="18">
        <f>(1466.0/B20*100)</f>
        <v/>
      </c>
      <c r="D20" s="19" t="n">
        <v>164</v>
      </c>
      <c r="E20" s="18" t="n">
        <v>38.82361251</v>
      </c>
      <c r="F20" s="20" t="n">
        <v>3.21364793</v>
      </c>
      <c r="G20" s="18" t="n">
        <v>54.40640269</v>
      </c>
      <c r="H20" s="20" t="n">
        <v>3.37117399</v>
      </c>
      <c r="I20" s="18" t="s">
        <v>567</v>
      </c>
      <c r="J20" s="20" t="s">
        <v>567</v>
      </c>
      <c r="K20" s="18" t="n">
        <v>0</v>
      </c>
      <c r="L20" s="20" t="n">
        <v>0</v>
      </c>
      <c r="M20" s="18" t="n">
        <v>0</v>
      </c>
      <c r="N20" s="20" t="n">
        <v>0</v>
      </c>
      <c r="O20" s="18" t="n">
        <v>0</v>
      </c>
      <c r="P20" s="20" t="n">
        <v>0</v>
      </c>
      <c r="Q20" s="18" t="n">
        <v>6.76998479</v>
      </c>
      <c r="R20" s="20" t="n">
        <v>1.80862095</v>
      </c>
    </row>
    <row r="21" spans="1:18">
      <c r="A21" s="15" t="s">
        <v>581</v>
      </c>
      <c r="B21" s="17" t="n">
        <v>2908</v>
      </c>
      <c r="C21" s="18">
        <f>(2595.0/B21*100)</f>
        <v/>
      </c>
      <c r="D21" s="19" t="n">
        <v>313</v>
      </c>
      <c r="E21" s="18" t="n">
        <v>36.19809489</v>
      </c>
      <c r="F21" s="20" t="n">
        <v>2.54961486</v>
      </c>
      <c r="G21" s="18" t="n">
        <v>62.67172106</v>
      </c>
      <c r="H21" s="20" t="n">
        <v>2.58092383</v>
      </c>
      <c r="I21" s="18" t="s">
        <v>567</v>
      </c>
      <c r="J21" s="20" t="s">
        <v>567</v>
      </c>
      <c r="K21" s="18" t="n">
        <v>0</v>
      </c>
      <c r="L21" s="20" t="n">
        <v>0</v>
      </c>
      <c r="M21" s="18" t="n">
        <v>0</v>
      </c>
      <c r="N21" s="20" t="n">
        <v>0</v>
      </c>
      <c r="O21" s="18" t="n">
        <v>0</v>
      </c>
      <c r="P21" s="20" t="n">
        <v>0</v>
      </c>
      <c r="Q21" s="18" t="n">
        <v>1.13018405</v>
      </c>
      <c r="R21" s="20" t="n">
        <v>0.51376332</v>
      </c>
    </row>
    <row r="22" spans="1:18">
      <c r="A22" s="15" t="s">
        <v>582</v>
      </c>
      <c r="B22" s="17" t="n">
        <v>2931</v>
      </c>
      <c r="C22" s="18">
        <f>(2601.0/B22*100)</f>
        <v/>
      </c>
      <c r="D22" s="19" t="n">
        <v>330</v>
      </c>
      <c r="E22" s="18" t="n">
        <v>46.76793879</v>
      </c>
      <c r="F22" s="20" t="n">
        <v>3.35973129</v>
      </c>
      <c r="G22" s="18" t="n">
        <v>45.02203475</v>
      </c>
      <c r="H22" s="20" t="n">
        <v>3.37173088</v>
      </c>
      <c r="I22" s="18" t="s">
        <v>567</v>
      </c>
      <c r="J22" s="20" t="s">
        <v>567</v>
      </c>
      <c r="K22" s="18" t="n">
        <v>0.5681918</v>
      </c>
      <c r="L22" s="20" t="n">
        <v>0.33051184</v>
      </c>
      <c r="M22" s="18" t="n">
        <v>0</v>
      </c>
      <c r="N22" s="20" t="n">
        <v>0</v>
      </c>
      <c r="O22" s="18" t="n">
        <v>0</v>
      </c>
      <c r="P22" s="20" t="n">
        <v>0</v>
      </c>
      <c r="Q22" s="18" t="n">
        <v>7.64183466</v>
      </c>
      <c r="R22" s="20" t="n">
        <v>1.43668711</v>
      </c>
    </row>
    <row r="23" spans="1:18">
      <c r="A23" s="15" t="s">
        <v>583</v>
      </c>
      <c r="B23" s="17" t="n">
        <v>5791</v>
      </c>
      <c r="C23" s="18">
        <f>(5122.0/B23*100)</f>
        <v/>
      </c>
      <c r="D23" s="19" t="n">
        <v>669</v>
      </c>
      <c r="E23" s="18" t="n">
        <v>42.73964796</v>
      </c>
      <c r="F23" s="20" t="n">
        <v>2.47479176</v>
      </c>
      <c r="G23" s="18" t="n">
        <v>55.87958819</v>
      </c>
      <c r="H23" s="20" t="n">
        <v>2.60337428</v>
      </c>
      <c r="I23" s="18" t="s">
        <v>567</v>
      </c>
      <c r="J23" s="20" t="s">
        <v>567</v>
      </c>
      <c r="K23" s="18" t="n">
        <v>0.47906821</v>
      </c>
      <c r="L23" s="20" t="n">
        <v>0.55228842</v>
      </c>
      <c r="M23" s="18" t="n">
        <v>0</v>
      </c>
      <c r="N23" s="20" t="n">
        <v>0</v>
      </c>
      <c r="O23" s="18" t="n">
        <v>0</v>
      </c>
      <c r="P23" s="20" t="n">
        <v>0</v>
      </c>
      <c r="Q23" s="18" t="n">
        <v>0.90169564</v>
      </c>
      <c r="R23" s="20" t="n">
        <v>0.54441511</v>
      </c>
    </row>
    <row r="24" spans="1:18">
      <c r="A24" s="15" t="s">
        <v>584</v>
      </c>
      <c r="B24" s="17" t="n">
        <v>3338</v>
      </c>
      <c r="C24" s="18">
        <f>(2969.0/B24*100)</f>
        <v/>
      </c>
      <c r="D24" s="19" t="n">
        <v>369</v>
      </c>
      <c r="E24" s="18" t="n">
        <v>25.08387276</v>
      </c>
      <c r="F24" s="20" t="n">
        <v>2.63410793</v>
      </c>
      <c r="G24" s="18" t="n">
        <v>74.12842670000001</v>
      </c>
      <c r="H24" s="20" t="n">
        <v>2.72733551</v>
      </c>
      <c r="I24" s="18" t="s">
        <v>567</v>
      </c>
      <c r="J24" s="20" t="s">
        <v>567</v>
      </c>
      <c r="K24" s="18" t="n">
        <v>0.2366667</v>
      </c>
      <c r="L24" s="20" t="n">
        <v>0.23677684</v>
      </c>
      <c r="M24" s="18" t="n">
        <v>0</v>
      </c>
      <c r="N24" s="20" t="n">
        <v>0</v>
      </c>
      <c r="O24" s="18" t="n">
        <v>0</v>
      </c>
      <c r="P24" s="20" t="n">
        <v>0</v>
      </c>
      <c r="Q24" s="18" t="n">
        <v>0.55103384</v>
      </c>
      <c r="R24" s="20" t="n">
        <v>0.38424332</v>
      </c>
    </row>
    <row r="25" spans="1:18">
      <c r="A25" s="15" t="s">
        <v>585</v>
      </c>
      <c r="B25" s="17" t="n">
        <v>2912</v>
      </c>
      <c r="C25" s="18">
        <f>(2561.0/B25*100)</f>
        <v/>
      </c>
      <c r="D25" s="19" t="n">
        <v>351</v>
      </c>
      <c r="E25" s="18" t="n">
        <v>22.95952124</v>
      </c>
      <c r="F25" s="20" t="n">
        <v>2.2935379</v>
      </c>
      <c r="G25" s="18" t="n">
        <v>73.63991894999999</v>
      </c>
      <c r="H25" s="20" t="n">
        <v>2.6020617</v>
      </c>
      <c r="I25" s="18" t="s">
        <v>567</v>
      </c>
      <c r="J25" s="20" t="s">
        <v>567</v>
      </c>
      <c r="K25" s="18" t="n">
        <v>1.69652275</v>
      </c>
      <c r="L25" s="20" t="n">
        <v>0.6732216</v>
      </c>
      <c r="M25" s="18" t="n">
        <v>0</v>
      </c>
      <c r="N25" s="20" t="n">
        <v>0</v>
      </c>
      <c r="O25" s="18" t="n">
        <v>0</v>
      </c>
      <c r="P25" s="20" t="n">
        <v>0</v>
      </c>
      <c r="Q25" s="18" t="n">
        <v>1.70403706</v>
      </c>
      <c r="R25" s="20" t="n">
        <v>0.7617973300000001</v>
      </c>
    </row>
    <row r="26" spans="1:18">
      <c r="A26" s="15" t="s">
        <v>586</v>
      </c>
      <c r="B26" s="17" t="n">
        <v>2450</v>
      </c>
      <c r="C26" s="18">
        <f>(2179.0/B26*100)</f>
        <v/>
      </c>
      <c r="D26" s="19" t="n">
        <v>271</v>
      </c>
      <c r="E26" s="18" t="n">
        <v>54.49402268</v>
      </c>
      <c r="F26" s="20" t="n">
        <v>3.26878793</v>
      </c>
      <c r="G26" s="18" t="n">
        <v>43.783513</v>
      </c>
      <c r="H26" s="20" t="n">
        <v>3.28202979</v>
      </c>
      <c r="I26" s="18" t="s">
        <v>567</v>
      </c>
      <c r="J26" s="20" t="s">
        <v>567</v>
      </c>
      <c r="K26" s="18" t="n">
        <v>0</v>
      </c>
      <c r="L26" s="20" t="n">
        <v>0</v>
      </c>
      <c r="M26" s="18" t="n">
        <v>0</v>
      </c>
      <c r="N26" s="20" t="n">
        <v>0</v>
      </c>
      <c r="O26" s="18" t="n">
        <v>0</v>
      </c>
      <c r="P26" s="20" t="n">
        <v>0</v>
      </c>
      <c r="Q26" s="18" t="n">
        <v>1.72246431</v>
      </c>
      <c r="R26" s="20" t="n">
        <v>0.93396718</v>
      </c>
    </row>
    <row r="27" spans="1:18">
      <c r="A27" s="15" t="s">
        <v>587</v>
      </c>
      <c r="B27" s="17" t="n">
        <v>2616</v>
      </c>
      <c r="C27" s="18">
        <f>(2345.0/B27*100)</f>
        <v/>
      </c>
      <c r="D27" s="19" t="n">
        <v>271</v>
      </c>
      <c r="E27" s="18" t="n">
        <v>37.29504452</v>
      </c>
      <c r="F27" s="20" t="n">
        <v>3.01300842</v>
      </c>
      <c r="G27" s="18" t="n">
        <v>59.33737206</v>
      </c>
      <c r="H27" s="20" t="n">
        <v>3.05899425</v>
      </c>
      <c r="I27" s="18" t="s">
        <v>567</v>
      </c>
      <c r="J27" s="20" t="s">
        <v>567</v>
      </c>
      <c r="K27" s="18" t="n">
        <v>0</v>
      </c>
      <c r="L27" s="20" t="n">
        <v>0</v>
      </c>
      <c r="M27" s="18" t="n">
        <v>0</v>
      </c>
      <c r="N27" s="20" t="n">
        <v>0</v>
      </c>
      <c r="O27" s="18" t="n">
        <v>0</v>
      </c>
      <c r="P27" s="20" t="n">
        <v>0</v>
      </c>
      <c r="Q27" s="18" t="n">
        <v>3.36758342</v>
      </c>
      <c r="R27" s="20" t="n">
        <v>1.09833246</v>
      </c>
    </row>
    <row r="28" spans="1:18">
      <c r="A28" s="15" t="s">
        <v>588</v>
      </c>
      <c r="B28" s="17" t="n">
        <v>3765</v>
      </c>
      <c r="C28" s="18">
        <f>(3323.0/B28*100)</f>
        <v/>
      </c>
      <c r="D28" s="19" t="n">
        <v>442</v>
      </c>
      <c r="E28" s="18" t="n">
        <v>57.89518551</v>
      </c>
      <c r="F28" s="20" t="n">
        <v>2.58288359</v>
      </c>
      <c r="G28" s="18" t="n">
        <v>39.98262314</v>
      </c>
      <c r="H28" s="20" t="n">
        <v>2.35638869</v>
      </c>
      <c r="I28" s="18" t="s">
        <v>567</v>
      </c>
      <c r="J28" s="20" t="s">
        <v>567</v>
      </c>
      <c r="K28" s="18" t="n">
        <v>0.51079578</v>
      </c>
      <c r="L28" s="20" t="n">
        <v>0.39668944</v>
      </c>
      <c r="M28" s="18" t="n">
        <v>0</v>
      </c>
      <c r="N28" s="20" t="n">
        <v>0</v>
      </c>
      <c r="O28" s="18" t="n">
        <v>0</v>
      </c>
      <c r="P28" s="20" t="n">
        <v>0</v>
      </c>
      <c r="Q28" s="18" t="n">
        <v>1.61139557</v>
      </c>
      <c r="R28" s="20" t="n">
        <v>0.73146387</v>
      </c>
    </row>
    <row r="29" spans="1:18">
      <c r="A29" s="15" t="s">
        <v>589</v>
      </c>
      <c r="B29" s="17" t="n">
        <v>2685</v>
      </c>
      <c r="C29" s="18">
        <f>(2387.0/B29*100)</f>
        <v/>
      </c>
      <c r="D29" s="19" t="n">
        <v>298</v>
      </c>
      <c r="E29" s="18" t="n">
        <v>41.41419025</v>
      </c>
      <c r="F29" s="20" t="n">
        <v>2.84630298</v>
      </c>
      <c r="G29" s="18" t="n">
        <v>56.79267773</v>
      </c>
      <c r="H29" s="20" t="n">
        <v>2.93542579</v>
      </c>
      <c r="I29" s="18" t="s">
        <v>567</v>
      </c>
      <c r="J29" s="20" t="s">
        <v>567</v>
      </c>
      <c r="K29" s="18" t="n">
        <v>0.38078387</v>
      </c>
      <c r="L29" s="20" t="n">
        <v>0.35229087</v>
      </c>
      <c r="M29" s="18" t="n">
        <v>0</v>
      </c>
      <c r="N29" s="20" t="n">
        <v>0</v>
      </c>
      <c r="O29" s="18" t="n">
        <v>0</v>
      </c>
      <c r="P29" s="20" t="n">
        <v>0</v>
      </c>
      <c r="Q29" s="18" t="n">
        <v>1.41234815</v>
      </c>
      <c r="R29" s="20" t="n">
        <v>0.74960284</v>
      </c>
    </row>
    <row r="30" spans="1:18">
      <c r="A30" s="15" t="s">
        <v>590</v>
      </c>
      <c r="B30" s="17" t="n">
        <v>2263</v>
      </c>
      <c r="C30" s="18">
        <f>(2013.0/B30*100)</f>
        <v/>
      </c>
      <c r="D30" s="19" t="n">
        <v>250</v>
      </c>
      <c r="E30" s="18" t="n">
        <v>31.02965947</v>
      </c>
      <c r="F30" s="20" t="n">
        <v>2.88258191</v>
      </c>
      <c r="G30" s="18" t="n">
        <v>66.66238135</v>
      </c>
      <c r="H30" s="20" t="n">
        <v>2.82234981</v>
      </c>
      <c r="I30" s="18" t="s">
        <v>567</v>
      </c>
      <c r="J30" s="20" t="s">
        <v>567</v>
      </c>
      <c r="K30" s="18" t="n">
        <v>0.5098745</v>
      </c>
      <c r="L30" s="20" t="n">
        <v>0.43916624</v>
      </c>
      <c r="M30" s="18" t="n">
        <v>0</v>
      </c>
      <c r="N30" s="20" t="n">
        <v>0</v>
      </c>
      <c r="O30" s="18" t="n">
        <v>0</v>
      </c>
      <c r="P30" s="20" t="n">
        <v>0</v>
      </c>
      <c r="Q30" s="18" t="n">
        <v>1.79808468</v>
      </c>
      <c r="R30" s="20" t="n">
        <v>0.67029719</v>
      </c>
    </row>
    <row r="31" spans="1:18">
      <c r="A31" s="15" t="s">
        <v>591</v>
      </c>
      <c r="B31" s="17" t="n">
        <v>2750</v>
      </c>
      <c r="C31" s="18">
        <f>(2448.0/B31*100)</f>
        <v/>
      </c>
      <c r="D31" s="19" t="n">
        <v>302</v>
      </c>
      <c r="E31" s="18" t="n">
        <v>34.91782418</v>
      </c>
      <c r="F31" s="20" t="n">
        <v>2.7252509</v>
      </c>
      <c r="G31" s="18" t="n">
        <v>62.82216712</v>
      </c>
      <c r="H31" s="20" t="n">
        <v>2.69997929</v>
      </c>
      <c r="I31" s="18" t="s">
        <v>567</v>
      </c>
      <c r="J31" s="20" t="s">
        <v>567</v>
      </c>
      <c r="K31" s="18" t="n">
        <v>0.65927234</v>
      </c>
      <c r="L31" s="20" t="n">
        <v>0.47703381</v>
      </c>
      <c r="M31" s="18" t="n">
        <v>0</v>
      </c>
      <c r="N31" s="20" t="n">
        <v>0</v>
      </c>
      <c r="O31" s="18" t="n">
        <v>0</v>
      </c>
      <c r="P31" s="20" t="n">
        <v>0</v>
      </c>
      <c r="Q31" s="18" t="n">
        <v>1.60073636</v>
      </c>
      <c r="R31" s="20" t="n">
        <v>0.69056598</v>
      </c>
    </row>
    <row r="32" spans="1:18">
      <c r="A32" s="15" t="s">
        <v>592</v>
      </c>
      <c r="B32" s="17" t="n">
        <v>2269</v>
      </c>
      <c r="C32" s="18">
        <f>(2023.0/B32*100)</f>
        <v/>
      </c>
      <c r="D32" s="19" t="n">
        <v>246</v>
      </c>
      <c r="E32" s="18" t="n">
        <v>39.33124032</v>
      </c>
      <c r="F32" s="20" t="n">
        <v>3.317859</v>
      </c>
      <c r="G32" s="18" t="n">
        <v>58.39891889</v>
      </c>
      <c r="H32" s="20" t="n">
        <v>3.3906489</v>
      </c>
      <c r="I32" s="18" t="s">
        <v>567</v>
      </c>
      <c r="J32" s="20" t="s">
        <v>567</v>
      </c>
      <c r="K32" s="18" t="n">
        <v>0</v>
      </c>
      <c r="L32" s="20" t="n">
        <v>0</v>
      </c>
      <c r="M32" s="18" t="n">
        <v>0</v>
      </c>
      <c r="N32" s="20" t="n">
        <v>0</v>
      </c>
      <c r="O32" s="18" t="n">
        <v>0</v>
      </c>
      <c r="P32" s="20" t="n">
        <v>0</v>
      </c>
      <c r="Q32" s="18" t="n">
        <v>2.26984079</v>
      </c>
      <c r="R32" s="20" t="n">
        <v>0.90110592</v>
      </c>
    </row>
    <row r="33" spans="1:18">
      <c r="A33" s="15" t="s">
        <v>593</v>
      </c>
      <c r="B33" s="17" t="n">
        <v>3674</v>
      </c>
      <c r="C33" s="18">
        <f>(3273.0/B33*100)</f>
        <v/>
      </c>
      <c r="D33" s="19" t="n">
        <v>401</v>
      </c>
      <c r="E33" s="18" t="n">
        <v>32.70979611</v>
      </c>
      <c r="F33" s="20" t="n">
        <v>2.97018757</v>
      </c>
      <c r="G33" s="18" t="n">
        <v>65.09389695</v>
      </c>
      <c r="H33" s="20" t="n">
        <v>3.10532883</v>
      </c>
      <c r="I33" s="18" t="s">
        <v>567</v>
      </c>
      <c r="J33" s="20" t="s">
        <v>567</v>
      </c>
      <c r="K33" s="18" t="n">
        <v>0.49915411</v>
      </c>
      <c r="L33" s="20" t="n">
        <v>0.58994051</v>
      </c>
      <c r="M33" s="18" t="n">
        <v>0</v>
      </c>
      <c r="N33" s="20" t="n">
        <v>0</v>
      </c>
      <c r="O33" s="18" t="n">
        <v>0</v>
      </c>
      <c r="P33" s="20" t="n">
        <v>0</v>
      </c>
      <c r="Q33" s="18" t="n">
        <v>1.69715282</v>
      </c>
      <c r="R33" s="20" t="n">
        <v>0.67352999</v>
      </c>
    </row>
    <row r="34" spans="1:18">
      <c r="A34" s="15" t="s">
        <v>594</v>
      </c>
      <c r="B34" s="17" t="n">
        <v>3315</v>
      </c>
      <c r="C34" s="18">
        <f>(2954.0/B34*100)</f>
        <v/>
      </c>
      <c r="D34" s="19" t="n">
        <v>361</v>
      </c>
      <c r="E34" s="18" t="n">
        <v>44.89001147</v>
      </c>
      <c r="F34" s="20" t="n">
        <v>2.66371088</v>
      </c>
      <c r="G34" s="18" t="n">
        <v>49.72326243</v>
      </c>
      <c r="H34" s="20" t="n">
        <v>2.59343831</v>
      </c>
      <c r="I34" s="18" t="s">
        <v>567</v>
      </c>
      <c r="J34" s="20" t="s">
        <v>567</v>
      </c>
      <c r="K34" s="18" t="n">
        <v>0</v>
      </c>
      <c r="L34" s="20" t="n">
        <v>0</v>
      </c>
      <c r="M34" s="18" t="n">
        <v>0</v>
      </c>
      <c r="N34" s="20" t="n">
        <v>0</v>
      </c>
      <c r="O34" s="18" t="n">
        <v>0</v>
      </c>
      <c r="P34" s="20" t="n">
        <v>0</v>
      </c>
      <c r="Q34" s="18" t="n">
        <v>5.3867261</v>
      </c>
      <c r="R34" s="20" t="n">
        <v>1.31286466</v>
      </c>
    </row>
    <row r="35" spans="1:18">
      <c r="A35" s="15" t="s">
        <v>595</v>
      </c>
      <c r="B35" s="17" t="n">
        <v>3505</v>
      </c>
      <c r="C35" s="18">
        <f>(3109.0/B35*100)</f>
        <v/>
      </c>
      <c r="D35" s="19" t="n">
        <v>396</v>
      </c>
      <c r="E35" s="18" t="n">
        <v>37.82962681</v>
      </c>
      <c r="F35" s="20" t="n">
        <v>2.9918685</v>
      </c>
      <c r="G35" s="18" t="n">
        <v>59.83262589</v>
      </c>
      <c r="H35" s="20" t="n">
        <v>2.93717265</v>
      </c>
      <c r="I35" s="18" t="s">
        <v>567</v>
      </c>
      <c r="J35" s="20" t="s">
        <v>567</v>
      </c>
      <c r="K35" s="18" t="n">
        <v>0</v>
      </c>
      <c r="L35" s="20" t="n">
        <v>0</v>
      </c>
      <c r="M35" s="18" t="n">
        <v>0</v>
      </c>
      <c r="N35" s="20" t="n">
        <v>0</v>
      </c>
      <c r="O35" s="18" t="n">
        <v>0</v>
      </c>
      <c r="P35" s="20" t="n">
        <v>0</v>
      </c>
      <c r="Q35" s="18" t="n">
        <v>2.33774729</v>
      </c>
      <c r="R35" s="20" t="n">
        <v>0.91457356</v>
      </c>
    </row>
    <row r="36" spans="1:18">
      <c r="A36" s="15" t="s">
        <v>596</v>
      </c>
      <c r="B36" s="17" t="n">
        <v>3332</v>
      </c>
      <c r="C36" s="18">
        <f>(2954.0/B36*100)</f>
        <v/>
      </c>
      <c r="D36" s="19" t="n">
        <v>378</v>
      </c>
      <c r="E36" s="18" t="n">
        <v>39.80953494</v>
      </c>
      <c r="F36" s="20" t="n">
        <v>2.36548885</v>
      </c>
      <c r="G36" s="18" t="n">
        <v>55.80545803</v>
      </c>
      <c r="H36" s="20" t="n">
        <v>2.40308297</v>
      </c>
      <c r="I36" s="18" t="s">
        <v>567</v>
      </c>
      <c r="J36" s="20" t="s">
        <v>567</v>
      </c>
      <c r="K36" s="18" t="n">
        <v>0.59884576</v>
      </c>
      <c r="L36" s="20" t="n">
        <v>0.3682299</v>
      </c>
      <c r="M36" s="18" t="n">
        <v>0</v>
      </c>
      <c r="N36" s="20" t="n">
        <v>0</v>
      </c>
      <c r="O36" s="18" t="n">
        <v>0</v>
      </c>
      <c r="P36" s="20" t="n">
        <v>0</v>
      </c>
      <c r="Q36" s="18" t="n">
        <v>3.78616127</v>
      </c>
      <c r="R36" s="20" t="n">
        <v>1.12057296</v>
      </c>
    </row>
    <row r="37" spans="1:18">
      <c r="A37" s="15" t="s">
        <v>597</v>
      </c>
      <c r="B37" s="17" t="n">
        <v>2727</v>
      </c>
      <c r="C37" s="18">
        <f>(2435.0/B37*100)</f>
        <v/>
      </c>
      <c r="D37" s="19" t="n">
        <v>292</v>
      </c>
      <c r="E37" s="18" t="n">
        <v>35.34642858</v>
      </c>
      <c r="F37" s="20" t="n">
        <v>3.1832674</v>
      </c>
      <c r="G37" s="18" t="n">
        <v>61.50419601</v>
      </c>
      <c r="H37" s="20" t="n">
        <v>3.25257589</v>
      </c>
      <c r="I37" s="18" t="s">
        <v>567</v>
      </c>
      <c r="J37" s="20" t="s">
        <v>567</v>
      </c>
      <c r="K37" s="18" t="n">
        <v>0.30130235</v>
      </c>
      <c r="L37" s="20" t="n">
        <v>0.30393221</v>
      </c>
      <c r="M37" s="18" t="n">
        <v>0</v>
      </c>
      <c r="N37" s="20" t="n">
        <v>0</v>
      </c>
      <c r="O37" s="18" t="n">
        <v>0</v>
      </c>
      <c r="P37" s="20" t="n">
        <v>0</v>
      </c>
      <c r="Q37" s="18" t="n">
        <v>2.84807306</v>
      </c>
      <c r="R37" s="20" t="n">
        <v>1.0349714</v>
      </c>
    </row>
    <row r="38" spans="1:18">
      <c r="A38" s="15" t="s">
        <v>598</v>
      </c>
      <c r="B38" s="17" t="n">
        <v>3053</v>
      </c>
      <c r="C38" s="18">
        <f>(2708.0/B38*100)</f>
        <v/>
      </c>
      <c r="D38" s="19" t="n">
        <v>345</v>
      </c>
      <c r="E38" s="18" t="n">
        <v>33.9700705</v>
      </c>
      <c r="F38" s="20" t="n">
        <v>2.82025022</v>
      </c>
      <c r="G38" s="18" t="n">
        <v>64.31365495</v>
      </c>
      <c r="H38" s="20" t="n">
        <v>2.95934658</v>
      </c>
      <c r="I38" s="18" t="s">
        <v>567</v>
      </c>
      <c r="J38" s="20" t="s">
        <v>567</v>
      </c>
      <c r="K38" s="18" t="n">
        <v>0</v>
      </c>
      <c r="L38" s="20" t="n">
        <v>0</v>
      </c>
      <c r="M38" s="18" t="n">
        <v>0</v>
      </c>
      <c r="N38" s="20" t="n">
        <v>0</v>
      </c>
      <c r="O38" s="18" t="n">
        <v>0</v>
      </c>
      <c r="P38" s="20" t="n">
        <v>0</v>
      </c>
      <c r="Q38" s="18" t="n">
        <v>1.71627454</v>
      </c>
      <c r="R38" s="20" t="n">
        <v>0.7934924799999999</v>
      </c>
    </row>
    <row r="39" spans="1:18">
      <c r="A39" s="15" t="s">
        <v>599</v>
      </c>
      <c r="B39" s="17" t="n">
        <v>2957</v>
      </c>
      <c r="C39" s="18">
        <f>(2639.0/B39*100)</f>
        <v/>
      </c>
      <c r="D39" s="19" t="n">
        <v>318</v>
      </c>
      <c r="E39" s="18" t="n">
        <v>51.78664872</v>
      </c>
      <c r="F39" s="20" t="n">
        <v>3.16901385</v>
      </c>
      <c r="G39" s="18" t="n">
        <v>46.45879028</v>
      </c>
      <c r="H39" s="20" t="n">
        <v>3.19271717</v>
      </c>
      <c r="I39" s="18" t="s">
        <v>567</v>
      </c>
      <c r="J39" s="20" t="s">
        <v>567</v>
      </c>
      <c r="K39" s="18" t="n">
        <v>0</v>
      </c>
      <c r="L39" s="20" t="n">
        <v>0</v>
      </c>
      <c r="M39" s="18" t="n">
        <v>0</v>
      </c>
      <c r="N39" s="20" t="n">
        <v>0</v>
      </c>
      <c r="O39" s="18" t="n">
        <v>0</v>
      </c>
      <c r="P39" s="20" t="n">
        <v>0</v>
      </c>
      <c r="Q39" s="18" t="n">
        <v>1.754561</v>
      </c>
      <c r="R39" s="20" t="n">
        <v>0.72700746</v>
      </c>
    </row>
    <row r="40" spans="1:18">
      <c r="A40" s="15" t="s">
        <v>600</v>
      </c>
      <c r="B40" s="17" t="n">
        <v>7235</v>
      </c>
      <c r="C40" s="18">
        <f>(6420.0/B40*100)</f>
        <v/>
      </c>
      <c r="D40" s="19" t="n">
        <v>815</v>
      </c>
      <c r="E40" s="18" t="n">
        <v>34.60424716</v>
      </c>
      <c r="F40" s="20" t="n">
        <v>2.72994376</v>
      </c>
      <c r="G40" s="18" t="n">
        <v>60.9592228</v>
      </c>
      <c r="H40" s="20" t="n">
        <v>2.87176545</v>
      </c>
      <c r="I40" s="18" t="s">
        <v>567</v>
      </c>
      <c r="J40" s="20" t="s">
        <v>567</v>
      </c>
      <c r="K40" s="18" t="n">
        <v>0.54437012</v>
      </c>
      <c r="L40" s="20" t="n">
        <v>0.34218914</v>
      </c>
      <c r="M40" s="18" t="n">
        <v>0</v>
      </c>
      <c r="N40" s="20" t="n">
        <v>0</v>
      </c>
      <c r="O40" s="18" t="n">
        <v>0</v>
      </c>
      <c r="P40" s="20" t="n">
        <v>0</v>
      </c>
      <c r="Q40" s="18" t="n">
        <v>3.89215991</v>
      </c>
      <c r="R40" s="20" t="n">
        <v>1.4758521</v>
      </c>
    </row>
    <row r="41" spans="1:18">
      <c r="A41" s="15" t="s">
        <v>601</v>
      </c>
      <c r="B41" s="17" t="n">
        <v>2858</v>
      </c>
      <c r="C41" s="18">
        <f>(2545.0/B41*100)</f>
        <v/>
      </c>
      <c r="D41" s="19" t="n">
        <v>313</v>
      </c>
      <c r="E41" s="18" t="n">
        <v>36.58854207</v>
      </c>
      <c r="F41" s="20" t="n">
        <v>2.73381905</v>
      </c>
      <c r="G41" s="18" t="n">
        <v>60.53353774</v>
      </c>
      <c r="H41" s="20" t="n">
        <v>2.75074836</v>
      </c>
      <c r="I41" s="18" t="s">
        <v>567</v>
      </c>
      <c r="J41" s="20" t="s">
        <v>567</v>
      </c>
      <c r="K41" s="18" t="n">
        <v>0.43709706</v>
      </c>
      <c r="L41" s="20" t="n">
        <v>0.35374308</v>
      </c>
      <c r="M41" s="18" t="n">
        <v>0</v>
      </c>
      <c r="N41" s="20" t="n">
        <v>0</v>
      </c>
      <c r="O41" s="18" t="n">
        <v>0</v>
      </c>
      <c r="P41" s="20" t="n">
        <v>0</v>
      </c>
      <c r="Q41" s="18" t="n">
        <v>2.44082313</v>
      </c>
      <c r="R41" s="20" t="n">
        <v>1.02254338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(9926.0/B46*100)</f>
        <v/>
      </c>
      <c r="D46" s="19" t="n">
        <v>1142</v>
      </c>
      <c r="E46" s="18" t="n">
        <v>54.66797872</v>
      </c>
      <c r="F46" s="20" t="n">
        <v>2.10994409</v>
      </c>
      <c r="G46" s="18" t="n">
        <v>38.65757075</v>
      </c>
      <c r="H46" s="20" t="n">
        <v>2.12715001</v>
      </c>
      <c r="I46" s="18" t="s">
        <v>567</v>
      </c>
      <c r="J46" s="20" t="s">
        <v>567</v>
      </c>
      <c r="K46" s="18" t="n">
        <v>0.87473123</v>
      </c>
      <c r="L46" s="20" t="n">
        <v>0.3923424</v>
      </c>
      <c r="M46" s="18" t="n">
        <v>0</v>
      </c>
      <c r="N46" s="20" t="n">
        <v>0</v>
      </c>
      <c r="O46" s="18" t="n">
        <v>0</v>
      </c>
      <c r="P46" s="20" t="n">
        <v>0</v>
      </c>
      <c r="Q46" s="18" t="n">
        <v>5.7997193</v>
      </c>
      <c r="R46" s="20" t="n">
        <v>0.78377678</v>
      </c>
    </row>
    <row r="47" spans="1:18">
      <c r="A47" s="15" t="s">
        <v>607</v>
      </c>
      <c r="B47" s="17" t="n">
        <v>3105</v>
      </c>
      <c r="C47" s="18">
        <f>(2762.0/B47*100)</f>
        <v/>
      </c>
      <c r="D47" s="19" t="n">
        <v>343</v>
      </c>
      <c r="E47" s="18" t="n">
        <v>49.30868313</v>
      </c>
      <c r="F47" s="20" t="n">
        <v>2.69303735</v>
      </c>
      <c r="G47" s="18" t="n">
        <v>48.39795275</v>
      </c>
      <c r="H47" s="20" t="n">
        <v>2.83872413</v>
      </c>
      <c r="I47" s="18" t="s">
        <v>567</v>
      </c>
      <c r="J47" s="20" t="s">
        <v>567</v>
      </c>
      <c r="K47" s="18" t="n">
        <v>0</v>
      </c>
      <c r="L47" s="20" t="n">
        <v>0</v>
      </c>
      <c r="M47" s="18" t="n">
        <v>0</v>
      </c>
      <c r="N47" s="20" t="n">
        <v>0</v>
      </c>
      <c r="O47" s="18" t="n">
        <v>0</v>
      </c>
      <c r="P47" s="20" t="n">
        <v>0</v>
      </c>
      <c r="Q47" s="18" t="n">
        <v>2.29336412</v>
      </c>
      <c r="R47" s="20" t="n">
        <v>0.95685802</v>
      </c>
    </row>
    <row r="48" spans="1:18">
      <c r="A48" s="15" t="s">
        <v>608</v>
      </c>
      <c r="B48" s="17" t="n">
        <v>5159</v>
      </c>
      <c r="C48" s="18">
        <f>(4596.0/B48*100)</f>
        <v/>
      </c>
      <c r="D48" s="19" t="n">
        <v>563</v>
      </c>
      <c r="E48" s="18" t="n">
        <v>36.56033026</v>
      </c>
      <c r="F48" s="20" t="n">
        <v>2.22114349</v>
      </c>
      <c r="G48" s="18" t="n">
        <v>61.17242602</v>
      </c>
      <c r="H48" s="20" t="n">
        <v>2.19472826</v>
      </c>
      <c r="I48" s="18" t="s">
        <v>567</v>
      </c>
      <c r="J48" s="20" t="s">
        <v>567</v>
      </c>
      <c r="K48" s="18" t="n">
        <v>0.13505449</v>
      </c>
      <c r="L48" s="20" t="n">
        <v>0.19033769</v>
      </c>
      <c r="M48" s="18" t="n">
        <v>0</v>
      </c>
      <c r="N48" s="20" t="n">
        <v>0</v>
      </c>
      <c r="O48" s="18" t="n">
        <v>0</v>
      </c>
      <c r="P48" s="20" t="n">
        <v>0</v>
      </c>
      <c r="Q48" s="18" t="n">
        <v>2.13218923</v>
      </c>
      <c r="R48" s="20" t="n">
        <v>0.75038954</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(5020.0/B50*100)</f>
        <v/>
      </c>
      <c r="D50" s="19" t="n">
        <v>617</v>
      </c>
      <c r="E50" s="18" t="n">
        <v>48.85698321</v>
      </c>
      <c r="F50" s="20" t="n">
        <v>2.937972</v>
      </c>
      <c r="G50" s="18" t="n">
        <v>47.31477022</v>
      </c>
      <c r="H50" s="20" t="n">
        <v>2.67404764</v>
      </c>
      <c r="I50" s="18" t="s">
        <v>567</v>
      </c>
      <c r="J50" s="20" t="s">
        <v>567</v>
      </c>
      <c r="K50" s="18" t="n">
        <v>1.10900354</v>
      </c>
      <c r="L50" s="20" t="n">
        <v>0.80829777</v>
      </c>
      <c r="M50" s="18" t="n">
        <v>0</v>
      </c>
      <c r="N50" s="20" t="n">
        <v>0</v>
      </c>
      <c r="O50" s="18" t="n">
        <v>0</v>
      </c>
      <c r="P50" s="20" t="n">
        <v>0</v>
      </c>
      <c r="Q50" s="18" t="n">
        <v>2.71924302</v>
      </c>
      <c r="R50" s="20" t="n">
        <v>0.8612880000000001</v>
      </c>
    </row>
    <row r="51" spans="1:18">
      <c r="A51" s="15" t="s">
        <v>611</v>
      </c>
      <c r="B51" s="17" t="n">
        <v>3372</v>
      </c>
      <c r="C51" s="18">
        <f>(3033.0/B51*100)</f>
        <v/>
      </c>
      <c r="D51" s="19" t="n">
        <v>339</v>
      </c>
      <c r="E51" s="18" t="n">
        <v>60.82980858</v>
      </c>
      <c r="F51" s="20" t="n">
        <v>3.08162835</v>
      </c>
      <c r="G51" s="18" t="n">
        <v>35.51675382</v>
      </c>
      <c r="H51" s="20" t="n">
        <v>2.78555263</v>
      </c>
      <c r="I51" s="18" t="s">
        <v>567</v>
      </c>
      <c r="J51" s="20" t="s">
        <v>567</v>
      </c>
      <c r="K51" s="18" t="n">
        <v>0.33118741</v>
      </c>
      <c r="L51" s="20" t="n">
        <v>0.32896101</v>
      </c>
      <c r="M51" s="18" t="n">
        <v>0</v>
      </c>
      <c r="N51" s="20" t="n">
        <v>0</v>
      </c>
      <c r="O51" s="18" t="n">
        <v>0</v>
      </c>
      <c r="P51" s="20" t="n">
        <v>0</v>
      </c>
      <c r="Q51" s="18" t="n">
        <v>3.32225019</v>
      </c>
      <c r="R51" s="20" t="n">
        <v>1.11681128</v>
      </c>
    </row>
    <row r="52" spans="1:18">
      <c r="A52" s="15" t="s">
        <v>612</v>
      </c>
      <c r="B52" s="17" t="n">
        <v>2796</v>
      </c>
      <c r="C52" s="18">
        <f>(2476.0/B52*100)</f>
        <v/>
      </c>
      <c r="D52" s="19" t="n">
        <v>320</v>
      </c>
      <c r="E52" s="18" t="n">
        <v>44.06835568</v>
      </c>
      <c r="F52" s="20" t="n">
        <v>3.0518815</v>
      </c>
      <c r="G52" s="18" t="n">
        <v>51.14652962</v>
      </c>
      <c r="H52" s="20" t="n">
        <v>3.00655819</v>
      </c>
      <c r="I52" s="18" t="s">
        <v>567</v>
      </c>
      <c r="J52" s="20" t="s">
        <v>567</v>
      </c>
      <c r="K52" s="18" t="n">
        <v>0.31878686</v>
      </c>
      <c r="L52" s="20" t="n">
        <v>0.31151008</v>
      </c>
      <c r="M52" s="18" t="n">
        <v>0</v>
      </c>
      <c r="N52" s="20" t="n">
        <v>0</v>
      </c>
      <c r="O52" s="18" t="n">
        <v>0</v>
      </c>
      <c r="P52" s="20" t="n">
        <v>0</v>
      </c>
      <c r="Q52" s="18" t="n">
        <v>4.46632784</v>
      </c>
      <c r="R52" s="20" t="n">
        <v>1.47596153</v>
      </c>
    </row>
    <row r="53" spans="1:18">
      <c r="A53" s="15" t="s">
        <v>613</v>
      </c>
      <c r="B53" s="17" t="n">
        <v>2811</v>
      </c>
      <c r="C53" s="18">
        <f>(2492.0/B53*100)</f>
        <v/>
      </c>
      <c r="D53" s="19" t="n">
        <v>319</v>
      </c>
      <c r="E53" s="18" t="n">
        <v>48.47015747</v>
      </c>
      <c r="F53" s="20" t="n">
        <v>2.55219716</v>
      </c>
      <c r="G53" s="18" t="n">
        <v>45.21291433</v>
      </c>
      <c r="H53" s="20" t="n">
        <v>2.62764244</v>
      </c>
      <c r="I53" s="18" t="s">
        <v>567</v>
      </c>
      <c r="J53" s="20" t="s">
        <v>567</v>
      </c>
      <c r="K53" s="18" t="n">
        <v>0.46867025</v>
      </c>
      <c r="L53" s="20" t="n">
        <v>0.32985816</v>
      </c>
      <c r="M53" s="18" t="n">
        <v>0</v>
      </c>
      <c r="N53" s="20" t="n">
        <v>0</v>
      </c>
      <c r="O53" s="18" t="n">
        <v>0</v>
      </c>
      <c r="P53" s="20" t="n">
        <v>0</v>
      </c>
      <c r="Q53" s="18" t="n">
        <v>5.84825795</v>
      </c>
      <c r="R53" s="20" t="n">
        <v>1.33625744</v>
      </c>
    </row>
    <row r="54" spans="1:18">
      <c r="A54" s="15" t="s">
        <v>614</v>
      </c>
      <c r="B54" s="17" t="n">
        <v>2266</v>
      </c>
      <c r="C54" s="18">
        <f>(2011.0/B54*100)</f>
        <v/>
      </c>
      <c r="D54" s="19" t="n">
        <v>255</v>
      </c>
      <c r="E54" s="18" t="n">
        <v>52.19595485</v>
      </c>
      <c r="F54" s="20" t="n">
        <v>3.56721</v>
      </c>
      <c r="G54" s="18" t="n">
        <v>30.44342296</v>
      </c>
      <c r="H54" s="20" t="n">
        <v>3.00429651</v>
      </c>
      <c r="I54" s="18" t="s">
        <v>567</v>
      </c>
      <c r="J54" s="20" t="s">
        <v>567</v>
      </c>
      <c r="K54" s="18" t="n">
        <v>4.4258251</v>
      </c>
      <c r="L54" s="20" t="n">
        <v>1.18257996</v>
      </c>
      <c r="M54" s="18" t="n">
        <v>0</v>
      </c>
      <c r="N54" s="20" t="n">
        <v>0</v>
      </c>
      <c r="O54" s="18" t="n">
        <v>0</v>
      </c>
      <c r="P54" s="20" t="n">
        <v>0</v>
      </c>
      <c r="Q54" s="18" t="n">
        <v>12.93479709</v>
      </c>
      <c r="R54" s="20" t="n">
        <v>2.44262615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(2390.0/B56*100)</f>
        <v/>
      </c>
      <c r="D56" s="19" t="n">
        <v>294</v>
      </c>
      <c r="E56" s="18" t="n">
        <v>41.1603497</v>
      </c>
      <c r="F56" s="20" t="n">
        <v>3.13828997</v>
      </c>
      <c r="G56" s="18" t="n">
        <v>57.3213229</v>
      </c>
      <c r="H56" s="20" t="n">
        <v>2.96264013</v>
      </c>
      <c r="I56" s="18" t="s">
        <v>567</v>
      </c>
      <c r="J56" s="20" t="s">
        <v>567</v>
      </c>
      <c r="K56" s="18" t="n">
        <v>0</v>
      </c>
      <c r="L56" s="20" t="n">
        <v>0</v>
      </c>
      <c r="M56" s="18" t="n">
        <v>0</v>
      </c>
      <c r="N56" s="20" t="n">
        <v>0</v>
      </c>
      <c r="O56" s="18" t="n">
        <v>0</v>
      </c>
      <c r="P56" s="20" t="n">
        <v>0</v>
      </c>
      <c r="Q56" s="18" t="n">
        <v>1.51832741</v>
      </c>
      <c r="R56" s="20" t="n">
        <v>0.7998989399999999</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(2979.0/B61*100)</f>
        <v/>
      </c>
      <c r="D61" s="19" t="n">
        <v>345</v>
      </c>
      <c r="E61" s="18" t="n">
        <v>56.09386865</v>
      </c>
      <c r="F61" s="20" t="n">
        <v>3.00416322</v>
      </c>
      <c r="G61" s="18" t="n">
        <v>42.40634819</v>
      </c>
      <c r="H61" s="20" t="n">
        <v>2.95858893</v>
      </c>
      <c r="I61" s="18" t="s">
        <v>567</v>
      </c>
      <c r="J61" s="20" t="s">
        <v>567</v>
      </c>
      <c r="K61" s="18" t="n">
        <v>0</v>
      </c>
      <c r="L61" s="20" t="n">
        <v>0</v>
      </c>
      <c r="M61" s="18" t="n">
        <v>0</v>
      </c>
      <c r="N61" s="20" t="n">
        <v>0</v>
      </c>
      <c r="O61" s="18" t="n">
        <v>0</v>
      </c>
      <c r="P61" s="20" t="n">
        <v>0</v>
      </c>
      <c r="Q61" s="18" t="n">
        <v>1.49978316</v>
      </c>
      <c r="R61" s="20" t="n">
        <v>0.65286931</v>
      </c>
    </row>
    <row r="62" spans="1:18">
      <c r="A62" s="15" t="s">
        <v>622</v>
      </c>
      <c r="B62" s="17" t="n">
        <v>2246</v>
      </c>
      <c r="C62" s="18">
        <f>(1991.0/B62*100)</f>
        <v/>
      </c>
      <c r="D62" s="19" t="n">
        <v>255</v>
      </c>
      <c r="E62" s="18" t="n">
        <v>45.92269616</v>
      </c>
      <c r="F62" s="20" t="n">
        <v>2.74466849</v>
      </c>
      <c r="G62" s="18" t="n">
        <v>53.68787952</v>
      </c>
      <c r="H62" s="20" t="n">
        <v>2.81356305</v>
      </c>
      <c r="I62" s="18" t="s">
        <v>567</v>
      </c>
      <c r="J62" s="20" t="s">
        <v>567</v>
      </c>
      <c r="K62" s="18" t="n">
        <v>0</v>
      </c>
      <c r="L62" s="20" t="n">
        <v>0</v>
      </c>
      <c r="M62" s="18" t="n">
        <v>0</v>
      </c>
      <c r="N62" s="20" t="n">
        <v>0</v>
      </c>
      <c r="O62" s="18" t="n">
        <v>0</v>
      </c>
      <c r="P62" s="20" t="n">
        <v>0</v>
      </c>
      <c r="Q62" s="18" t="n">
        <v>0.38942433</v>
      </c>
      <c r="R62" s="20" t="n">
        <v>0.39624274</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(2583.0/B66*100)</f>
        <v/>
      </c>
      <c r="D66" s="19" t="n">
        <v>311</v>
      </c>
      <c r="E66" s="18" t="n">
        <v>62.66595639</v>
      </c>
      <c r="F66" s="20" t="n">
        <v>2.56881725</v>
      </c>
      <c r="G66" s="18" t="n">
        <v>30.60452734</v>
      </c>
      <c r="H66" s="20" t="n">
        <v>2.60169394</v>
      </c>
      <c r="I66" s="18" t="s">
        <v>567</v>
      </c>
      <c r="J66" s="20" t="s">
        <v>567</v>
      </c>
      <c r="K66" s="18" t="n">
        <v>0</v>
      </c>
      <c r="L66" s="20" t="n">
        <v>0</v>
      </c>
      <c r="M66" s="18" t="n">
        <v>0</v>
      </c>
      <c r="N66" s="20" t="n">
        <v>0</v>
      </c>
      <c r="O66" s="18" t="n">
        <v>0</v>
      </c>
      <c r="P66" s="20" t="n">
        <v>0</v>
      </c>
      <c r="Q66" s="18" t="n">
        <v>6.72951627</v>
      </c>
      <c r="R66" s="20" t="n">
        <v>1.57206634</v>
      </c>
    </row>
    <row r="67" spans="1:18">
      <c r="A67" s="15" t="s">
        <v>627</v>
      </c>
      <c r="B67" s="17" t="n">
        <v>3511</v>
      </c>
      <c r="C67" s="18">
        <f>(3123.0/B67*100)</f>
        <v/>
      </c>
      <c r="D67" s="19" t="n">
        <v>388</v>
      </c>
      <c r="E67" s="18" t="n">
        <v>53.0776209</v>
      </c>
      <c r="F67" s="20" t="n">
        <v>2.64672973</v>
      </c>
      <c r="G67" s="18" t="n">
        <v>44.53127543</v>
      </c>
      <c r="H67" s="20" t="n">
        <v>2.66354356</v>
      </c>
      <c r="I67" s="18" t="s">
        <v>567</v>
      </c>
      <c r="J67" s="20" t="s">
        <v>567</v>
      </c>
      <c r="K67" s="18" t="n">
        <v>0.19201707</v>
      </c>
      <c r="L67" s="20" t="n">
        <v>0.19184796</v>
      </c>
      <c r="M67" s="18" t="n">
        <v>0</v>
      </c>
      <c r="N67" s="20" t="n">
        <v>0</v>
      </c>
      <c r="O67" s="18" t="n">
        <v>0</v>
      </c>
      <c r="P67" s="20" t="n">
        <v>0</v>
      </c>
      <c r="Q67" s="18" t="n">
        <v>2.1990866</v>
      </c>
      <c r="R67" s="20" t="n">
        <v>0.76741346</v>
      </c>
    </row>
    <row r="68" spans="1:18">
      <c r="A68" s="15" t="s">
        <v>628</v>
      </c>
      <c r="B68" s="17" t="n">
        <v>6049</v>
      </c>
      <c r="C68" s="18">
        <f>(5382.0/B68*100)</f>
        <v/>
      </c>
      <c r="D68" s="19" t="n">
        <v>667</v>
      </c>
      <c r="E68" s="18" t="n">
        <v>52.77055193</v>
      </c>
      <c r="F68" s="20" t="n">
        <v>1.65032217</v>
      </c>
      <c r="G68" s="18" t="n">
        <v>36.0263813</v>
      </c>
      <c r="H68" s="20" t="n">
        <v>1.74213663</v>
      </c>
      <c r="I68" s="18" t="s">
        <v>567</v>
      </c>
      <c r="J68" s="20" t="s">
        <v>567</v>
      </c>
      <c r="K68" s="18" t="n">
        <v>1.18029387</v>
      </c>
      <c r="L68" s="20" t="n">
        <v>0.42226732</v>
      </c>
      <c r="M68" s="18" t="n">
        <v>0</v>
      </c>
      <c r="N68" s="20" t="n">
        <v>0</v>
      </c>
      <c r="O68" s="18" t="n">
        <v>0</v>
      </c>
      <c r="P68" s="20" t="n">
        <v>0</v>
      </c>
      <c r="Q68" s="18" t="n">
        <v>10.0227729</v>
      </c>
      <c r="R68" s="20" t="n">
        <v>1.23890734</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(2603.0/B70*100)</f>
        <v/>
      </c>
      <c r="D70" s="19" t="n">
        <v>326</v>
      </c>
      <c r="E70" s="18" t="n">
        <v>54.22839249</v>
      </c>
      <c r="F70" s="20" t="n">
        <v>2.67547447</v>
      </c>
      <c r="G70" s="18" t="n">
        <v>42.94597013</v>
      </c>
      <c r="H70" s="20" t="n">
        <v>2.76643183</v>
      </c>
      <c r="I70" s="18" t="s">
        <v>567</v>
      </c>
      <c r="J70" s="20" t="s">
        <v>567</v>
      </c>
      <c r="K70" s="18" t="n">
        <v>0.46373433</v>
      </c>
      <c r="L70" s="20" t="n">
        <v>0.28790192</v>
      </c>
      <c r="M70" s="18" t="n">
        <v>0</v>
      </c>
      <c r="N70" s="20" t="n">
        <v>0</v>
      </c>
      <c r="O70" s="18" t="n">
        <v>0</v>
      </c>
      <c r="P70" s="20" t="n">
        <v>0</v>
      </c>
      <c r="Q70" s="18" t="n">
        <v>2.36190305</v>
      </c>
      <c r="R70" s="20" t="n">
        <v>0.9230906800000001</v>
      </c>
    </row>
    <row r="71" spans="1:18">
      <c r="A71" s="15" t="s">
        <v>631</v>
      </c>
      <c r="B71" s="17" t="n">
        <v>3142</v>
      </c>
      <c r="C71" s="18">
        <f>(2800.0/B71*100)</f>
        <v/>
      </c>
      <c r="D71" s="19" t="n">
        <v>342</v>
      </c>
      <c r="E71" s="18" t="n">
        <v>36.13592655</v>
      </c>
      <c r="F71" s="20" t="n">
        <v>2.78735341</v>
      </c>
      <c r="G71" s="18" t="n">
        <v>63.54165222</v>
      </c>
      <c r="H71" s="20" t="n">
        <v>2.78847811</v>
      </c>
      <c r="I71" s="18" t="s">
        <v>567</v>
      </c>
      <c r="J71" s="20" t="s">
        <v>567</v>
      </c>
      <c r="K71" s="18" t="n">
        <v>0</v>
      </c>
      <c r="L71" s="20" t="n">
        <v>0</v>
      </c>
      <c r="M71" s="18" t="n">
        <v>0</v>
      </c>
      <c r="N71" s="20" t="n">
        <v>0</v>
      </c>
      <c r="O71" s="18" t="n">
        <v>0</v>
      </c>
      <c r="P71" s="20" t="n">
        <v>0</v>
      </c>
      <c r="Q71" s="18" t="n">
        <v>0.32242123</v>
      </c>
      <c r="R71" s="20" t="n">
        <v>0.23198563</v>
      </c>
    </row>
    <row r="72" spans="1:18">
      <c r="A72" s="15" t="s">
        <v>632</v>
      </c>
      <c r="B72" s="17" t="n">
        <v>3889</v>
      </c>
      <c r="C72" s="18">
        <f>(3448.0/B72*100)</f>
        <v/>
      </c>
      <c r="D72" s="19" t="n">
        <v>441</v>
      </c>
      <c r="E72" s="18" t="n">
        <v>29.52833704</v>
      </c>
      <c r="F72" s="20" t="n">
        <v>2.33153718</v>
      </c>
      <c r="G72" s="18" t="n">
        <v>69.40484521</v>
      </c>
      <c r="H72" s="20" t="n">
        <v>2.3739531</v>
      </c>
      <c r="I72" s="18" t="s">
        <v>567</v>
      </c>
      <c r="J72" s="20" t="s">
        <v>567</v>
      </c>
      <c r="K72" s="18" t="n">
        <v>0.30064548</v>
      </c>
      <c r="L72" s="20" t="n">
        <v>0.30196987</v>
      </c>
      <c r="M72" s="18" t="n">
        <v>0</v>
      </c>
      <c r="N72" s="20" t="n">
        <v>0</v>
      </c>
      <c r="O72" s="18" t="n">
        <v>0</v>
      </c>
      <c r="P72" s="20" t="n">
        <v>0</v>
      </c>
      <c r="Q72" s="18" t="n">
        <v>0.76617227</v>
      </c>
      <c r="R72" s="20" t="n">
        <v>0.51423448</v>
      </c>
    </row>
    <row r="73" spans="1:18">
      <c r="A73" s="15" t="s">
        <v>633</v>
      </c>
      <c r="B73" s="17" t="n">
        <v>3597</v>
      </c>
      <c r="C73" s="18">
        <f>(3227.0/B73*100)</f>
        <v/>
      </c>
      <c r="D73" s="19" t="n">
        <v>370</v>
      </c>
      <c r="E73" s="18" t="n">
        <v>54.94984808</v>
      </c>
      <c r="F73" s="20" t="n">
        <v>3.06053293</v>
      </c>
      <c r="G73" s="18" t="n">
        <v>43.68712419</v>
      </c>
      <c r="H73" s="20" t="n">
        <v>2.98578484</v>
      </c>
      <c r="I73" s="18" t="s">
        <v>567</v>
      </c>
      <c r="J73" s="20" t="s">
        <v>567</v>
      </c>
      <c r="K73" s="18" t="n">
        <v>0</v>
      </c>
      <c r="L73" s="20" t="n">
        <v>0</v>
      </c>
      <c r="M73" s="18" t="n">
        <v>0</v>
      </c>
      <c r="N73" s="20" t="n">
        <v>0</v>
      </c>
      <c r="O73" s="18" t="n">
        <v>0</v>
      </c>
      <c r="P73" s="20" t="n">
        <v>0</v>
      </c>
      <c r="Q73" s="18" t="n">
        <v>1.36302772</v>
      </c>
      <c r="R73" s="20" t="n">
        <v>0.64114733</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(2165.0/B75*100)</f>
        <v/>
      </c>
      <c r="D75" s="19" t="n">
        <v>241</v>
      </c>
      <c r="E75" s="18" t="n">
        <v>59.62019792</v>
      </c>
      <c r="F75" s="20" t="n">
        <v>3.6595698</v>
      </c>
      <c r="G75" s="18" t="n">
        <v>34.27777021</v>
      </c>
      <c r="H75" s="20" t="n">
        <v>3.30114678</v>
      </c>
      <c r="I75" s="18" t="s">
        <v>567</v>
      </c>
      <c r="J75" s="20" t="s">
        <v>567</v>
      </c>
      <c r="K75" s="18" t="n">
        <v>1.29326735</v>
      </c>
      <c r="L75" s="20" t="n">
        <v>0.71718824</v>
      </c>
      <c r="M75" s="18" t="n">
        <v>0</v>
      </c>
      <c r="N75" s="20" t="n">
        <v>0</v>
      </c>
      <c r="O75" s="18" t="n">
        <v>0</v>
      </c>
      <c r="P75" s="20" t="n">
        <v>0</v>
      </c>
      <c r="Q75" s="18" t="n">
        <v>4.80876451</v>
      </c>
      <c r="R75" s="20" t="n">
        <v>1.77581899</v>
      </c>
    </row>
    <row r="76" spans="1:18">
      <c r="A76" s="15" t="s">
        <v>636</v>
      </c>
      <c r="B76" s="17" t="n">
        <v>7052</v>
      </c>
      <c r="C76" s="18">
        <f>(6257.0/B76*100)</f>
        <v/>
      </c>
      <c r="D76" s="19" t="n">
        <v>795</v>
      </c>
      <c r="E76" s="18" t="n">
        <v>52.48163846</v>
      </c>
      <c r="F76" s="20" t="n">
        <v>2.21940325</v>
      </c>
      <c r="G76" s="18" t="n">
        <v>41.49372611</v>
      </c>
      <c r="H76" s="20" t="n">
        <v>2.42923247</v>
      </c>
      <c r="I76" s="18" t="s">
        <v>567</v>
      </c>
      <c r="J76" s="20" t="s">
        <v>567</v>
      </c>
      <c r="K76" s="18" t="n">
        <v>1.28385966</v>
      </c>
      <c r="L76" s="20" t="n">
        <v>0.5439607400000001</v>
      </c>
      <c r="M76" s="18" t="n">
        <v>0</v>
      </c>
      <c r="N76" s="20" t="n">
        <v>0</v>
      </c>
      <c r="O76" s="18" t="n">
        <v>0</v>
      </c>
      <c r="P76" s="20" t="n">
        <v>0</v>
      </c>
      <c r="Q76" s="18" t="n">
        <v>4.74077577</v>
      </c>
      <c r="R76" s="20" t="n">
        <v>0.85706205</v>
      </c>
    </row>
    <row r="77" spans="1:18">
      <c r="A77" s="15" t="s">
        <v>637</v>
      </c>
      <c r="B77" s="17" t="n">
        <v>2908</v>
      </c>
      <c r="C77" s="18">
        <f>(2581.0/B77*100)</f>
        <v/>
      </c>
      <c r="D77" s="19" t="n">
        <v>327</v>
      </c>
      <c r="E77" s="18" t="n">
        <v>52.38914017</v>
      </c>
      <c r="F77" s="20" t="n">
        <v>3.24966776</v>
      </c>
      <c r="G77" s="18" t="n">
        <v>42.22914472</v>
      </c>
      <c r="H77" s="20" t="n">
        <v>3.25317227</v>
      </c>
      <c r="I77" s="18" t="s">
        <v>567</v>
      </c>
      <c r="J77" s="20" t="s">
        <v>567</v>
      </c>
      <c r="K77" s="18" t="n">
        <v>0.21750254</v>
      </c>
      <c r="L77" s="20" t="n">
        <v>0.21759753</v>
      </c>
      <c r="M77" s="18" t="n">
        <v>0</v>
      </c>
      <c r="N77" s="20" t="n">
        <v>0</v>
      </c>
      <c r="O77" s="18" t="n">
        <v>0</v>
      </c>
      <c r="P77" s="20" t="n">
        <v>0</v>
      </c>
      <c r="Q77" s="18" t="n">
        <v>5.16421257</v>
      </c>
      <c r="R77" s="20" t="n">
        <v>1.37981003</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(3728.0/B81*100)</f>
        <v/>
      </c>
      <c r="D81" s="19" t="n">
        <v>435</v>
      </c>
      <c r="E81" s="18" t="n">
        <v>55.0996574</v>
      </c>
      <c r="F81" s="20" t="n">
        <v>3.00005818</v>
      </c>
      <c r="G81" s="18" t="n">
        <v>43.90777439</v>
      </c>
      <c r="H81" s="20" t="n">
        <v>3.03820776</v>
      </c>
      <c r="I81" s="18" t="s">
        <v>567</v>
      </c>
      <c r="J81" s="20" t="s">
        <v>567</v>
      </c>
      <c r="K81" s="18" t="n">
        <v>0</v>
      </c>
      <c r="L81" s="20" t="n">
        <v>0</v>
      </c>
      <c r="M81" s="18" t="n">
        <v>0</v>
      </c>
      <c r="N81" s="20" t="n">
        <v>0</v>
      </c>
      <c r="O81" s="18" t="n">
        <v>0</v>
      </c>
      <c r="P81" s="20" t="n">
        <v>0</v>
      </c>
      <c r="Q81" s="18" t="n">
        <v>0.99256821</v>
      </c>
      <c r="R81" s="20" t="n">
        <v>0.56605299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(6546.0/B7*100)</f>
        <v/>
      </c>
      <c r="D7" s="19" t="n">
        <v>821</v>
      </c>
      <c r="E7" s="18" t="n">
        <v>54.40181072</v>
      </c>
      <c r="F7" s="20" t="n">
        <v>2.40013285</v>
      </c>
      <c r="G7" s="18" t="n">
        <v>43.13828905</v>
      </c>
      <c r="H7" s="20" t="n">
        <v>2.38559763</v>
      </c>
      <c r="I7" s="18" t="s">
        <v>567</v>
      </c>
      <c r="J7" s="20" t="s">
        <v>567</v>
      </c>
      <c r="K7" s="18" t="n">
        <v>0</v>
      </c>
      <c r="L7" s="20" t="n">
        <v>0</v>
      </c>
      <c r="M7" s="18" t="n">
        <v>0</v>
      </c>
      <c r="N7" s="20" t="n">
        <v>0</v>
      </c>
      <c r="O7" s="18" t="n">
        <v>0</v>
      </c>
      <c r="P7" s="20" t="n">
        <v>0</v>
      </c>
      <c r="Q7" s="18" t="n">
        <v>2.45990023</v>
      </c>
      <c r="R7" s="20" t="n">
        <v>0.67844342</v>
      </c>
    </row>
    <row r="8" spans="1:18">
      <c r="A8" s="15" t="s">
        <v>568</v>
      </c>
      <c r="B8" s="17" t="n">
        <v>3564</v>
      </c>
      <c r="C8" s="18">
        <f>(3160.0/B8*100)</f>
        <v/>
      </c>
      <c r="D8" s="19" t="n">
        <v>404</v>
      </c>
      <c r="E8" s="18" t="n">
        <v>59.00236862</v>
      </c>
      <c r="F8" s="20" t="n">
        <v>2.94136695</v>
      </c>
      <c r="G8" s="18" t="n">
        <v>37.94000645</v>
      </c>
      <c r="H8" s="20" t="n">
        <v>2.83040531</v>
      </c>
      <c r="I8" s="18" t="s">
        <v>567</v>
      </c>
      <c r="J8" s="20" t="s">
        <v>567</v>
      </c>
      <c r="K8" s="18" t="n">
        <v>0</v>
      </c>
      <c r="L8" s="20" t="n">
        <v>0</v>
      </c>
      <c r="M8" s="18" t="n">
        <v>0</v>
      </c>
      <c r="N8" s="20" t="n">
        <v>0</v>
      </c>
      <c r="O8" s="18" t="n">
        <v>0</v>
      </c>
      <c r="P8" s="20" t="n">
        <v>0</v>
      </c>
      <c r="Q8" s="18" t="n">
        <v>3.05762493</v>
      </c>
      <c r="R8" s="20" t="n">
        <v>1.035621</v>
      </c>
    </row>
    <row r="9" spans="1:18">
      <c r="A9" s="15" t="s">
        <v>569</v>
      </c>
      <c r="B9" s="17" t="n">
        <v>4899</v>
      </c>
      <c r="C9" s="18">
        <f>(4420.0/B9*100)</f>
        <v/>
      </c>
      <c r="D9" s="19" t="n">
        <v>479</v>
      </c>
      <c r="E9" s="18" t="n">
        <v>60.22282057</v>
      </c>
      <c r="F9" s="20" t="n">
        <v>2.37826967</v>
      </c>
      <c r="G9" s="18" t="n">
        <v>37.63052012</v>
      </c>
      <c r="H9" s="20" t="n">
        <v>2.32205795</v>
      </c>
      <c r="I9" s="18" t="s">
        <v>567</v>
      </c>
      <c r="J9" s="20" t="s">
        <v>567</v>
      </c>
      <c r="K9" s="18" t="n">
        <v>0</v>
      </c>
      <c r="L9" s="20" t="n">
        <v>0</v>
      </c>
      <c r="M9" s="18" t="n">
        <v>0</v>
      </c>
      <c r="N9" s="20" t="n">
        <v>0</v>
      </c>
      <c r="O9" s="18" t="n">
        <v>0</v>
      </c>
      <c r="P9" s="20" t="n">
        <v>0</v>
      </c>
      <c r="Q9" s="18" t="n">
        <v>2.14665931</v>
      </c>
      <c r="R9" s="20" t="n">
        <v>0.69252083</v>
      </c>
    </row>
    <row r="10" spans="1:18">
      <c r="A10" s="15" t="s">
        <v>570</v>
      </c>
      <c r="B10" s="17" t="n">
        <v>10036</v>
      </c>
      <c r="C10" s="18">
        <f>(8962.0/B10*100)</f>
        <v/>
      </c>
      <c r="D10" s="19" t="n">
        <v>1074</v>
      </c>
      <c r="E10" s="18" t="n">
        <v>50.5918082</v>
      </c>
      <c r="F10" s="20" t="n">
        <v>2.42685846</v>
      </c>
      <c r="G10" s="18" t="n">
        <v>46.55023099</v>
      </c>
      <c r="H10" s="20" t="n">
        <v>2.33092122</v>
      </c>
      <c r="I10" s="18" t="s">
        <v>567</v>
      </c>
      <c r="J10" s="20" t="s">
        <v>567</v>
      </c>
      <c r="K10" s="18" t="n">
        <v>0.02142623</v>
      </c>
      <c r="L10" s="20" t="n">
        <v>0.02125913</v>
      </c>
      <c r="M10" s="18" t="n">
        <v>0</v>
      </c>
      <c r="N10" s="20" t="n">
        <v>0</v>
      </c>
      <c r="O10" s="18" t="n">
        <v>0</v>
      </c>
      <c r="P10" s="20" t="n">
        <v>0</v>
      </c>
      <c r="Q10" s="18" t="n">
        <v>2.83653459</v>
      </c>
      <c r="R10" s="20" t="n">
        <v>0.93962187</v>
      </c>
    </row>
    <row r="11" spans="1:18">
      <c r="A11" s="15" t="s">
        <v>571</v>
      </c>
      <c r="B11" s="17" t="n">
        <v>3553</v>
      </c>
      <c r="C11" s="18">
        <f>(3156.0/B11*100)</f>
        <v/>
      </c>
      <c r="D11" s="19" t="n">
        <v>397</v>
      </c>
      <c r="E11" s="18" t="n">
        <v>75.57688335</v>
      </c>
      <c r="F11" s="20" t="n">
        <v>2.42910613</v>
      </c>
      <c r="G11" s="18" t="n">
        <v>21.29209642</v>
      </c>
      <c r="H11" s="20" t="n">
        <v>2.25929535</v>
      </c>
      <c r="I11" s="18" t="s">
        <v>567</v>
      </c>
      <c r="J11" s="20" t="s">
        <v>567</v>
      </c>
      <c r="K11" s="18" t="n">
        <v>0</v>
      </c>
      <c r="L11" s="20" t="n">
        <v>0</v>
      </c>
      <c r="M11" s="18" t="n">
        <v>0</v>
      </c>
      <c r="N11" s="20" t="n">
        <v>0</v>
      </c>
      <c r="O11" s="18" t="n">
        <v>0</v>
      </c>
      <c r="P11" s="20" t="n">
        <v>0</v>
      </c>
      <c r="Q11" s="18" t="n">
        <v>3.13102024</v>
      </c>
      <c r="R11" s="20" t="n">
        <v>0.99871587</v>
      </c>
    </row>
    <row r="12" spans="1:18">
      <c r="A12" s="15" t="s">
        <v>572</v>
      </c>
      <c r="B12" s="17" t="n">
        <v>3472</v>
      </c>
      <c r="C12" s="18">
        <f>(3094.0/B12*100)</f>
        <v/>
      </c>
      <c r="D12" s="19" t="n">
        <v>378</v>
      </c>
      <c r="E12" s="18" t="n">
        <v>53.89814055</v>
      </c>
      <c r="F12" s="20" t="n">
        <v>2.78993535</v>
      </c>
      <c r="G12" s="18" t="n">
        <v>43.12370716</v>
      </c>
      <c r="H12" s="20" t="n">
        <v>2.9502869</v>
      </c>
      <c r="I12" s="18" t="s">
        <v>567</v>
      </c>
      <c r="J12" s="20" t="s">
        <v>567</v>
      </c>
      <c r="K12" s="18" t="n">
        <v>0</v>
      </c>
      <c r="L12" s="20" t="n">
        <v>0</v>
      </c>
      <c r="M12" s="18" t="n">
        <v>0</v>
      </c>
      <c r="N12" s="20" t="n">
        <v>0</v>
      </c>
      <c r="O12" s="18" t="n">
        <v>0</v>
      </c>
      <c r="P12" s="20" t="n">
        <v>0</v>
      </c>
      <c r="Q12" s="18" t="n">
        <v>2.97815229</v>
      </c>
      <c r="R12" s="20" t="n">
        <v>1.02388444</v>
      </c>
    </row>
    <row r="13" spans="1:18">
      <c r="A13" s="15" t="s">
        <v>573</v>
      </c>
      <c r="B13" s="17" t="n">
        <v>3559</v>
      </c>
      <c r="C13" s="18">
        <f>(3189.0/B13*100)</f>
        <v/>
      </c>
      <c r="D13" s="19" t="n">
        <v>370</v>
      </c>
      <c r="E13" s="18" t="n">
        <v>59.15914332</v>
      </c>
      <c r="F13" s="20" t="n">
        <v>3.14279955</v>
      </c>
      <c r="G13" s="18" t="n">
        <v>37.59523647</v>
      </c>
      <c r="H13" s="20" t="n">
        <v>3.14941727</v>
      </c>
      <c r="I13" s="18" t="s">
        <v>567</v>
      </c>
      <c r="J13" s="20" t="s">
        <v>567</v>
      </c>
      <c r="K13" s="18" t="n">
        <v>0.31553693</v>
      </c>
      <c r="L13" s="20" t="n">
        <v>0.22712933</v>
      </c>
      <c r="M13" s="18" t="n">
        <v>0</v>
      </c>
      <c r="N13" s="20" t="n">
        <v>0</v>
      </c>
      <c r="O13" s="18" t="n">
        <v>0</v>
      </c>
      <c r="P13" s="20" t="n">
        <v>0</v>
      </c>
      <c r="Q13" s="18" t="n">
        <v>2.93008328</v>
      </c>
      <c r="R13" s="20" t="n">
        <v>1.1212111</v>
      </c>
    </row>
    <row r="14" spans="1:18">
      <c r="A14" s="15" t="s">
        <v>574</v>
      </c>
      <c r="B14" s="17" t="n">
        <v>2799</v>
      </c>
      <c r="C14" s="18">
        <f>(2509.0/B14*100)</f>
        <v/>
      </c>
      <c r="D14" s="19" t="n">
        <v>290</v>
      </c>
      <c r="E14" s="18" t="n">
        <v>46.95465464</v>
      </c>
      <c r="F14" s="20" t="n">
        <v>3.08797291</v>
      </c>
      <c r="G14" s="18" t="n">
        <v>51.72243189</v>
      </c>
      <c r="H14" s="20" t="n">
        <v>3.24172672</v>
      </c>
      <c r="I14" s="18" t="s">
        <v>567</v>
      </c>
      <c r="J14" s="20" t="s">
        <v>567</v>
      </c>
      <c r="K14" s="18" t="n">
        <v>0</v>
      </c>
      <c r="L14" s="20" t="n">
        <v>0</v>
      </c>
      <c r="M14" s="18" t="n">
        <v>0</v>
      </c>
      <c r="N14" s="20" t="n">
        <v>0</v>
      </c>
      <c r="O14" s="18" t="n">
        <v>0</v>
      </c>
      <c r="P14" s="20" t="n">
        <v>0</v>
      </c>
      <c r="Q14" s="18" t="n">
        <v>1.32291347</v>
      </c>
      <c r="R14" s="20" t="n">
        <v>0.48789557</v>
      </c>
    </row>
    <row r="15" spans="1:18">
      <c r="A15" s="15" t="s">
        <v>575</v>
      </c>
      <c r="B15" s="17" t="n">
        <v>3019</v>
      </c>
      <c r="C15" s="18">
        <f>(2664.0/B15*100)</f>
        <v/>
      </c>
      <c r="D15" s="19" t="n">
        <v>355</v>
      </c>
      <c r="E15" s="18" t="n">
        <v>56.97063311</v>
      </c>
      <c r="F15" s="20" t="n">
        <v>2.52472794</v>
      </c>
      <c r="G15" s="18" t="n">
        <v>41.57317812</v>
      </c>
      <c r="H15" s="20" t="n">
        <v>2.55020381</v>
      </c>
      <c r="I15" s="18" t="s">
        <v>567</v>
      </c>
      <c r="J15" s="20" t="s">
        <v>567</v>
      </c>
      <c r="K15" s="18" t="n">
        <v>0</v>
      </c>
      <c r="L15" s="20" t="n">
        <v>0</v>
      </c>
      <c r="M15" s="18" t="n">
        <v>0</v>
      </c>
      <c r="N15" s="20" t="n">
        <v>0</v>
      </c>
      <c r="O15" s="18" t="n">
        <v>0</v>
      </c>
      <c r="P15" s="20" t="n">
        <v>0</v>
      </c>
      <c r="Q15" s="18" t="n">
        <v>1.45618877</v>
      </c>
      <c r="R15" s="20" t="n">
        <v>0.67201503</v>
      </c>
    </row>
    <row r="16" spans="1:18">
      <c r="A16" s="15" t="s">
        <v>576</v>
      </c>
      <c r="B16" s="17" t="n">
        <v>2997</v>
      </c>
      <c r="C16" s="18">
        <f>(2660.0/B16*100)</f>
        <v/>
      </c>
      <c r="D16" s="19" t="n">
        <v>337</v>
      </c>
      <c r="E16" s="18" t="n">
        <v>71.53340278</v>
      </c>
      <c r="F16" s="20" t="n">
        <v>2.54684519</v>
      </c>
      <c r="G16" s="18" t="n">
        <v>24.66607597</v>
      </c>
      <c r="H16" s="20" t="n">
        <v>2.53398688</v>
      </c>
      <c r="I16" s="18" t="s">
        <v>567</v>
      </c>
      <c r="J16" s="20" t="s">
        <v>567</v>
      </c>
      <c r="K16" s="18" t="n">
        <v>0</v>
      </c>
      <c r="L16" s="20" t="n">
        <v>0</v>
      </c>
      <c r="M16" s="18" t="n">
        <v>0</v>
      </c>
      <c r="N16" s="20" t="n">
        <v>0</v>
      </c>
      <c r="O16" s="18" t="n">
        <v>0</v>
      </c>
      <c r="P16" s="20" t="n">
        <v>0</v>
      </c>
      <c r="Q16" s="18" t="n">
        <v>3.80052125</v>
      </c>
      <c r="R16" s="20" t="n">
        <v>1.09616125</v>
      </c>
    </row>
    <row r="17" spans="1:18">
      <c r="A17" s="15" t="s">
        <v>577</v>
      </c>
      <c r="B17" s="17" t="n">
        <v>3307</v>
      </c>
      <c r="C17" s="18">
        <f>(2974.0/B17*100)</f>
        <v/>
      </c>
      <c r="D17" s="19" t="n">
        <v>333</v>
      </c>
      <c r="E17" s="18" t="n">
        <v>60.89103833</v>
      </c>
      <c r="F17" s="20" t="n">
        <v>2.83493042</v>
      </c>
      <c r="G17" s="18" t="n">
        <v>35.5812163</v>
      </c>
      <c r="H17" s="20" t="n">
        <v>3.09915348</v>
      </c>
      <c r="I17" s="18" t="s">
        <v>567</v>
      </c>
      <c r="J17" s="20" t="s">
        <v>567</v>
      </c>
      <c r="K17" s="18" t="n">
        <v>0</v>
      </c>
      <c r="L17" s="20" t="n">
        <v>0</v>
      </c>
      <c r="M17" s="18" t="n">
        <v>0</v>
      </c>
      <c r="N17" s="20" t="n">
        <v>0</v>
      </c>
      <c r="O17" s="18" t="n">
        <v>0</v>
      </c>
      <c r="P17" s="20" t="n">
        <v>0</v>
      </c>
      <c r="Q17" s="18" t="n">
        <v>3.52774537</v>
      </c>
      <c r="R17" s="20" t="n">
        <v>1.21906465</v>
      </c>
    </row>
    <row r="18" spans="1:18">
      <c r="A18" s="15" t="s">
        <v>578</v>
      </c>
      <c r="B18" s="17" t="n">
        <v>2826</v>
      </c>
      <c r="C18" s="18">
        <f>(2502.0/B18*100)</f>
        <v/>
      </c>
      <c r="D18" s="19" t="n">
        <v>324</v>
      </c>
      <c r="E18" s="18" t="n">
        <v>68.72439751</v>
      </c>
      <c r="F18" s="20" t="n">
        <v>2.63477016</v>
      </c>
      <c r="G18" s="18" t="n">
        <v>27.31658971</v>
      </c>
      <c r="H18" s="20" t="n">
        <v>2.40287035</v>
      </c>
      <c r="I18" s="18" t="s">
        <v>567</v>
      </c>
      <c r="J18" s="20" t="s">
        <v>567</v>
      </c>
      <c r="K18" s="18" t="n">
        <v>0.35320763</v>
      </c>
      <c r="L18" s="20" t="n">
        <v>0.34997206</v>
      </c>
      <c r="M18" s="18" t="n">
        <v>0</v>
      </c>
      <c r="N18" s="20" t="n">
        <v>0</v>
      </c>
      <c r="O18" s="18" t="n">
        <v>0</v>
      </c>
      <c r="P18" s="20" t="n">
        <v>0</v>
      </c>
      <c r="Q18" s="18" t="n">
        <v>3.60580515</v>
      </c>
      <c r="R18" s="20" t="n">
        <v>1.13445511</v>
      </c>
    </row>
    <row r="19" spans="1:18">
      <c r="A19" s="15" t="s">
        <v>579</v>
      </c>
      <c r="B19" s="17" t="n">
        <v>2808</v>
      </c>
      <c r="C19" s="18">
        <f>(2481.0/B19*100)</f>
        <v/>
      </c>
      <c r="D19" s="19" t="n">
        <v>327</v>
      </c>
      <c r="E19" s="18" t="n">
        <v>51.88173873</v>
      </c>
      <c r="F19" s="20" t="n">
        <v>3.00945682</v>
      </c>
      <c r="G19" s="18" t="n">
        <v>47.77990997</v>
      </c>
      <c r="H19" s="20" t="n">
        <v>2.99078548</v>
      </c>
      <c r="I19" s="18" t="s">
        <v>567</v>
      </c>
      <c r="J19" s="20" t="s">
        <v>567</v>
      </c>
      <c r="K19" s="18" t="n">
        <v>0</v>
      </c>
      <c r="L19" s="20" t="n">
        <v>0</v>
      </c>
      <c r="M19" s="18" t="n">
        <v>0</v>
      </c>
      <c r="N19" s="20" t="n">
        <v>0</v>
      </c>
      <c r="O19" s="18" t="n">
        <v>0</v>
      </c>
      <c r="P19" s="20" t="n">
        <v>0</v>
      </c>
      <c r="Q19" s="18" t="n">
        <v>0.3383513</v>
      </c>
      <c r="R19" s="20" t="n">
        <v>0.33607113</v>
      </c>
    </row>
    <row r="20" spans="1:18">
      <c r="A20" s="15" t="s">
        <v>580</v>
      </c>
      <c r="B20" s="17" t="n">
        <v>1630</v>
      </c>
      <c r="C20" s="18">
        <f>(1466.0/B20*100)</f>
        <v/>
      </c>
      <c r="D20" s="19" t="n">
        <v>164</v>
      </c>
      <c r="E20" s="18" t="n">
        <v>0</v>
      </c>
      <c r="F20" s="20" t="n">
        <v>0</v>
      </c>
      <c r="G20" s="18" t="n">
        <v>0</v>
      </c>
      <c r="H20" s="20" t="n">
        <v>0</v>
      </c>
      <c r="I20" s="18" t="s">
        <v>567</v>
      </c>
      <c r="J20" s="20" t="s">
        <v>567</v>
      </c>
      <c r="K20" s="18" t="n">
        <v>0</v>
      </c>
      <c r="L20" s="20" t="n">
        <v>0</v>
      </c>
      <c r="M20" s="18" t="n">
        <v>100</v>
      </c>
      <c r="N20" s="20" t="n">
        <v>0</v>
      </c>
      <c r="O20" s="18" t="n">
        <v>0</v>
      </c>
      <c r="P20" s="20" t="n">
        <v>0</v>
      </c>
      <c r="Q20" s="18" t="n">
        <v>0</v>
      </c>
      <c r="R20" s="20" t="n">
        <v>0</v>
      </c>
    </row>
    <row r="21" spans="1:18">
      <c r="A21" s="15" t="s">
        <v>581</v>
      </c>
      <c r="B21" s="17" t="n">
        <v>2908</v>
      </c>
      <c r="C21" s="18">
        <f>(2595.0/B21*100)</f>
        <v/>
      </c>
      <c r="D21" s="19" t="n">
        <v>313</v>
      </c>
      <c r="E21" s="18" t="n">
        <v>52.54558047</v>
      </c>
      <c r="F21" s="20" t="n">
        <v>2.55091831</v>
      </c>
      <c r="G21" s="18" t="n">
        <v>46.06978729</v>
      </c>
      <c r="H21" s="20" t="n">
        <v>2.49084118</v>
      </c>
      <c r="I21" s="18" t="s">
        <v>567</v>
      </c>
      <c r="J21" s="20" t="s">
        <v>567</v>
      </c>
      <c r="K21" s="18" t="n">
        <v>0</v>
      </c>
      <c r="L21" s="20" t="n">
        <v>0</v>
      </c>
      <c r="M21" s="18" t="n">
        <v>0</v>
      </c>
      <c r="N21" s="20" t="n">
        <v>0</v>
      </c>
      <c r="O21" s="18" t="n">
        <v>0</v>
      </c>
      <c r="P21" s="20" t="n">
        <v>0</v>
      </c>
      <c r="Q21" s="18" t="n">
        <v>1.38463224</v>
      </c>
      <c r="R21" s="20" t="n">
        <v>0.67927855</v>
      </c>
    </row>
    <row r="22" spans="1:18">
      <c r="A22" s="15" t="s">
        <v>582</v>
      </c>
      <c r="B22" s="17" t="n">
        <v>2931</v>
      </c>
      <c r="C22" s="18">
        <f>(2601.0/B22*100)</f>
        <v/>
      </c>
      <c r="D22" s="19" t="n">
        <v>330</v>
      </c>
      <c r="E22" s="18" t="n">
        <v>13.72421962</v>
      </c>
      <c r="F22" s="20" t="n">
        <v>1.96967063</v>
      </c>
      <c r="G22" s="18" t="n">
        <v>5.93148473</v>
      </c>
      <c r="H22" s="20" t="n">
        <v>1.47282761</v>
      </c>
      <c r="I22" s="18" t="s">
        <v>567</v>
      </c>
      <c r="J22" s="20" t="s">
        <v>567</v>
      </c>
      <c r="K22" s="18" t="n">
        <v>0.5681918</v>
      </c>
      <c r="L22" s="20" t="n">
        <v>0.33051184</v>
      </c>
      <c r="M22" s="18" t="n">
        <v>75.95509810999999</v>
      </c>
      <c r="N22" s="20" t="n">
        <v>3.24022583</v>
      </c>
      <c r="O22" s="18" t="n">
        <v>0</v>
      </c>
      <c r="P22" s="20" t="n">
        <v>0</v>
      </c>
      <c r="Q22" s="18" t="n">
        <v>3.82100572</v>
      </c>
      <c r="R22" s="20" t="n">
        <v>1.42165216</v>
      </c>
    </row>
    <row r="23" spans="1:18">
      <c r="A23" s="15" t="s">
        <v>583</v>
      </c>
      <c r="B23" s="17" t="n">
        <v>5791</v>
      </c>
      <c r="C23" s="18">
        <f>(5122.0/B23*100)</f>
        <v/>
      </c>
      <c r="D23" s="19" t="n">
        <v>669</v>
      </c>
      <c r="E23" s="18" t="n">
        <v>68.79494237</v>
      </c>
      <c r="F23" s="20" t="n">
        <v>2.4694635</v>
      </c>
      <c r="G23" s="18" t="n">
        <v>29.76882135</v>
      </c>
      <c r="H23" s="20" t="n">
        <v>2.75945095</v>
      </c>
      <c r="I23" s="18" t="s">
        <v>567</v>
      </c>
      <c r="J23" s="20" t="s">
        <v>567</v>
      </c>
      <c r="K23" s="18" t="n">
        <v>0.47906821</v>
      </c>
      <c r="L23" s="20" t="n">
        <v>0.55228842</v>
      </c>
      <c r="M23" s="18" t="n">
        <v>0</v>
      </c>
      <c r="N23" s="20" t="n">
        <v>0</v>
      </c>
      <c r="O23" s="18" t="n">
        <v>0</v>
      </c>
      <c r="P23" s="20" t="n">
        <v>0</v>
      </c>
      <c r="Q23" s="18" t="n">
        <v>0.95716806</v>
      </c>
      <c r="R23" s="20" t="n">
        <v>0.51130504</v>
      </c>
    </row>
    <row r="24" spans="1:18">
      <c r="A24" s="15" t="s">
        <v>584</v>
      </c>
      <c r="B24" s="17" t="n">
        <v>3338</v>
      </c>
      <c r="C24" s="18">
        <f>(2969.0/B24*100)</f>
        <v/>
      </c>
      <c r="D24" s="19" t="n">
        <v>369</v>
      </c>
      <c r="E24" s="18" t="n">
        <v>0</v>
      </c>
      <c r="F24" s="20" t="n">
        <v>0</v>
      </c>
      <c r="G24" s="18" t="n">
        <v>0</v>
      </c>
      <c r="H24" s="20" t="n">
        <v>0</v>
      </c>
      <c r="I24" s="18" t="s">
        <v>567</v>
      </c>
      <c r="J24" s="20" t="s">
        <v>567</v>
      </c>
      <c r="K24" s="18" t="n">
        <v>0</v>
      </c>
      <c r="L24" s="20" t="n">
        <v>0</v>
      </c>
      <c r="M24" s="18" t="n">
        <v>100</v>
      </c>
      <c r="N24" s="20" t="n">
        <v>0</v>
      </c>
      <c r="O24" s="18" t="n">
        <v>0</v>
      </c>
      <c r="P24" s="20" t="n">
        <v>0</v>
      </c>
      <c r="Q24" s="18" t="n">
        <v>0</v>
      </c>
      <c r="R24" s="20" t="n">
        <v>0</v>
      </c>
    </row>
    <row r="25" spans="1:18">
      <c r="A25" s="15" t="s">
        <v>585</v>
      </c>
      <c r="B25" s="17" t="n">
        <v>2912</v>
      </c>
      <c r="C25" s="18">
        <f>(2561.0/B25*100)</f>
        <v/>
      </c>
      <c r="D25" s="19" t="n">
        <v>351</v>
      </c>
      <c r="E25" s="18" t="n">
        <v>51.37309772</v>
      </c>
      <c r="F25" s="20" t="n">
        <v>2.70031869</v>
      </c>
      <c r="G25" s="18" t="n">
        <v>45.50131002</v>
      </c>
      <c r="H25" s="20" t="n">
        <v>2.74458818</v>
      </c>
      <c r="I25" s="18" t="s">
        <v>567</v>
      </c>
      <c r="J25" s="20" t="s">
        <v>567</v>
      </c>
      <c r="K25" s="18" t="n">
        <v>1.69652275</v>
      </c>
      <c r="L25" s="20" t="n">
        <v>0.6732216</v>
      </c>
      <c r="M25" s="18" t="n">
        <v>0</v>
      </c>
      <c r="N25" s="20" t="n">
        <v>0</v>
      </c>
      <c r="O25" s="18" t="n">
        <v>0</v>
      </c>
      <c r="P25" s="20" t="n">
        <v>0</v>
      </c>
      <c r="Q25" s="18" t="n">
        <v>1.42906951</v>
      </c>
      <c r="R25" s="20" t="n">
        <v>0.70508111</v>
      </c>
    </row>
    <row r="26" spans="1:18">
      <c r="A26" s="15" t="s">
        <v>586</v>
      </c>
      <c r="B26" s="17" t="n">
        <v>2450</v>
      </c>
      <c r="C26" s="18">
        <f>(2180.0/B26*100)</f>
        <v/>
      </c>
      <c r="D26" s="19" t="n">
        <v>270</v>
      </c>
      <c r="E26" s="18" t="n">
        <v>58.12176114</v>
      </c>
      <c r="F26" s="20" t="n">
        <v>2.69222292</v>
      </c>
      <c r="G26" s="18" t="n">
        <v>40.6844759</v>
      </c>
      <c r="H26" s="20" t="n">
        <v>2.66823499</v>
      </c>
      <c r="I26" s="18" t="s">
        <v>567</v>
      </c>
      <c r="J26" s="20" t="s">
        <v>567</v>
      </c>
      <c r="K26" s="18" t="n">
        <v>0</v>
      </c>
      <c r="L26" s="20" t="n">
        <v>0</v>
      </c>
      <c r="M26" s="18" t="n">
        <v>0</v>
      </c>
      <c r="N26" s="20" t="n">
        <v>0</v>
      </c>
      <c r="O26" s="18" t="n">
        <v>0</v>
      </c>
      <c r="P26" s="20" t="n">
        <v>0</v>
      </c>
      <c r="Q26" s="18" t="n">
        <v>1.19376296</v>
      </c>
      <c r="R26" s="20" t="n">
        <v>0.61450655</v>
      </c>
    </row>
    <row r="27" spans="1:18">
      <c r="A27" s="15" t="s">
        <v>587</v>
      </c>
      <c r="B27" s="17" t="n">
        <v>2616</v>
      </c>
      <c r="C27" s="18">
        <f>(2345.0/B27*100)</f>
        <v/>
      </c>
      <c r="D27" s="19" t="n">
        <v>271</v>
      </c>
      <c r="E27" s="18" t="n">
        <v>65.51118793000001</v>
      </c>
      <c r="F27" s="20" t="n">
        <v>2.93699203</v>
      </c>
      <c r="G27" s="18" t="n">
        <v>29.96389632</v>
      </c>
      <c r="H27" s="20" t="n">
        <v>2.71530685</v>
      </c>
      <c r="I27" s="18" t="s">
        <v>567</v>
      </c>
      <c r="J27" s="20" t="s">
        <v>567</v>
      </c>
      <c r="K27" s="18" t="n">
        <v>0</v>
      </c>
      <c r="L27" s="20" t="n">
        <v>0</v>
      </c>
      <c r="M27" s="18" t="n">
        <v>0</v>
      </c>
      <c r="N27" s="20" t="n">
        <v>0</v>
      </c>
      <c r="O27" s="18" t="n">
        <v>0</v>
      </c>
      <c r="P27" s="20" t="n">
        <v>0</v>
      </c>
      <c r="Q27" s="18" t="n">
        <v>4.52491575</v>
      </c>
      <c r="R27" s="20" t="n">
        <v>1.56493093</v>
      </c>
    </row>
    <row r="28" spans="1:18">
      <c r="A28" s="15" t="s">
        <v>588</v>
      </c>
      <c r="B28" s="17" t="n">
        <v>3765</v>
      </c>
      <c r="C28" s="18">
        <f>(3323.0/B28*100)</f>
        <v/>
      </c>
      <c r="D28" s="19" t="n">
        <v>442</v>
      </c>
      <c r="E28" s="18" t="n">
        <v>70.63200361</v>
      </c>
      <c r="F28" s="20" t="n">
        <v>2.91856934</v>
      </c>
      <c r="G28" s="18" t="n">
        <v>27.06857954</v>
      </c>
      <c r="H28" s="20" t="n">
        <v>2.66289559</v>
      </c>
      <c r="I28" s="18" t="s">
        <v>567</v>
      </c>
      <c r="J28" s="20" t="s">
        <v>567</v>
      </c>
      <c r="K28" s="18" t="n">
        <v>0.51079578</v>
      </c>
      <c r="L28" s="20" t="n">
        <v>0.39668944</v>
      </c>
      <c r="M28" s="18" t="n">
        <v>0</v>
      </c>
      <c r="N28" s="20" t="n">
        <v>0</v>
      </c>
      <c r="O28" s="18" t="n">
        <v>0</v>
      </c>
      <c r="P28" s="20" t="n">
        <v>0</v>
      </c>
      <c r="Q28" s="18" t="n">
        <v>1.78862107</v>
      </c>
      <c r="R28" s="20" t="n">
        <v>0.65715762</v>
      </c>
    </row>
    <row r="29" spans="1:18">
      <c r="A29" s="15" t="s">
        <v>589</v>
      </c>
      <c r="B29" s="17" t="n">
        <v>2685</v>
      </c>
      <c r="C29" s="18">
        <f>(2387.0/B29*100)</f>
        <v/>
      </c>
      <c r="D29" s="19" t="n">
        <v>298</v>
      </c>
      <c r="E29" s="18" t="n">
        <v>60.06686602</v>
      </c>
      <c r="F29" s="20" t="n">
        <v>2.93696312</v>
      </c>
      <c r="G29" s="18" t="n">
        <v>38.53332976</v>
      </c>
      <c r="H29" s="20" t="n">
        <v>2.96490248</v>
      </c>
      <c r="I29" s="18" t="s">
        <v>567</v>
      </c>
      <c r="J29" s="20" t="s">
        <v>567</v>
      </c>
      <c r="K29" s="18" t="n">
        <v>0.38078387</v>
      </c>
      <c r="L29" s="20" t="n">
        <v>0.35229087</v>
      </c>
      <c r="M29" s="18" t="n">
        <v>0</v>
      </c>
      <c r="N29" s="20" t="n">
        <v>0</v>
      </c>
      <c r="O29" s="18" t="n">
        <v>0</v>
      </c>
      <c r="P29" s="20" t="n">
        <v>0</v>
      </c>
      <c r="Q29" s="18" t="n">
        <v>1.01902035</v>
      </c>
      <c r="R29" s="20" t="n">
        <v>0.60013032</v>
      </c>
    </row>
    <row r="30" spans="1:18">
      <c r="A30" s="15" t="s">
        <v>590</v>
      </c>
      <c r="B30" s="17" t="n">
        <v>2263</v>
      </c>
      <c r="C30" s="18">
        <f>(2013.0/B30*100)</f>
        <v/>
      </c>
      <c r="D30" s="19" t="n">
        <v>250</v>
      </c>
      <c r="E30" s="18" t="n">
        <v>61.22112742</v>
      </c>
      <c r="F30" s="20" t="n">
        <v>3.12243297</v>
      </c>
      <c r="G30" s="18" t="n">
        <v>36.90532933</v>
      </c>
      <c r="H30" s="20" t="n">
        <v>3.006871</v>
      </c>
      <c r="I30" s="18" t="s">
        <v>567</v>
      </c>
      <c r="J30" s="20" t="s">
        <v>567</v>
      </c>
      <c r="K30" s="18" t="n">
        <v>0.5098745</v>
      </c>
      <c r="L30" s="20" t="n">
        <v>0.43916624</v>
      </c>
      <c r="M30" s="18" t="n">
        <v>0</v>
      </c>
      <c r="N30" s="20" t="n">
        <v>0</v>
      </c>
      <c r="O30" s="18" t="n">
        <v>0</v>
      </c>
      <c r="P30" s="20" t="n">
        <v>0</v>
      </c>
      <c r="Q30" s="18" t="n">
        <v>1.36366875</v>
      </c>
      <c r="R30" s="20" t="n">
        <v>0.83592322</v>
      </c>
    </row>
    <row r="31" spans="1:18">
      <c r="A31" s="15" t="s">
        <v>591</v>
      </c>
      <c r="B31" s="17" t="n">
        <v>2750</v>
      </c>
      <c r="C31" s="18">
        <f>(2448.0/B31*100)</f>
        <v/>
      </c>
      <c r="D31" s="19" t="n">
        <v>302</v>
      </c>
      <c r="E31" s="18" t="n">
        <v>57.88344043</v>
      </c>
      <c r="F31" s="20" t="n">
        <v>2.73836246</v>
      </c>
      <c r="G31" s="18" t="n">
        <v>39.48434877</v>
      </c>
      <c r="H31" s="20" t="n">
        <v>2.88400509</v>
      </c>
      <c r="I31" s="18" t="s">
        <v>567</v>
      </c>
      <c r="J31" s="20" t="s">
        <v>567</v>
      </c>
      <c r="K31" s="18" t="n">
        <v>0.65927234</v>
      </c>
      <c r="L31" s="20" t="n">
        <v>0.47703381</v>
      </c>
      <c r="M31" s="18" t="n">
        <v>0</v>
      </c>
      <c r="N31" s="20" t="n">
        <v>0</v>
      </c>
      <c r="O31" s="18" t="n">
        <v>0</v>
      </c>
      <c r="P31" s="20" t="n">
        <v>0</v>
      </c>
      <c r="Q31" s="18" t="n">
        <v>1.97293846</v>
      </c>
      <c r="R31" s="20" t="n">
        <v>0.79207925</v>
      </c>
    </row>
    <row r="32" spans="1:18">
      <c r="A32" s="15" t="s">
        <v>592</v>
      </c>
      <c r="B32" s="17" t="n">
        <v>2269</v>
      </c>
      <c r="C32" s="18">
        <f>(2023.0/B32*100)</f>
        <v/>
      </c>
      <c r="D32" s="19" t="n">
        <v>246</v>
      </c>
      <c r="E32" s="18" t="n">
        <v>55.43806085</v>
      </c>
      <c r="F32" s="20" t="n">
        <v>3.42000185</v>
      </c>
      <c r="G32" s="18" t="n">
        <v>43.05086783</v>
      </c>
      <c r="H32" s="20" t="n">
        <v>3.4668177</v>
      </c>
      <c r="I32" s="18" t="s">
        <v>567</v>
      </c>
      <c r="J32" s="20" t="s">
        <v>567</v>
      </c>
      <c r="K32" s="18" t="n">
        <v>0</v>
      </c>
      <c r="L32" s="20" t="n">
        <v>0</v>
      </c>
      <c r="M32" s="18" t="n">
        <v>0</v>
      </c>
      <c r="N32" s="20" t="n">
        <v>0</v>
      </c>
      <c r="O32" s="18" t="n">
        <v>0</v>
      </c>
      <c r="P32" s="20" t="n">
        <v>0</v>
      </c>
      <c r="Q32" s="18" t="n">
        <v>1.51107132</v>
      </c>
      <c r="R32" s="20" t="n">
        <v>0.75092307</v>
      </c>
    </row>
    <row r="33" spans="1:18">
      <c r="A33" s="15" t="s">
        <v>593</v>
      </c>
      <c r="B33" s="17" t="n">
        <v>3674</v>
      </c>
      <c r="C33" s="18">
        <f>(3274.0/B33*100)</f>
        <v/>
      </c>
      <c r="D33" s="19" t="n">
        <v>400</v>
      </c>
      <c r="E33" s="18" t="n">
        <v>72.12375579</v>
      </c>
      <c r="F33" s="20" t="n">
        <v>2.31138523</v>
      </c>
      <c r="G33" s="18" t="n">
        <v>25.5658797</v>
      </c>
      <c r="H33" s="20" t="n">
        <v>2.25823988</v>
      </c>
      <c r="I33" s="18" t="s">
        <v>567</v>
      </c>
      <c r="J33" s="20" t="s">
        <v>567</v>
      </c>
      <c r="K33" s="18" t="n">
        <v>0.50124545</v>
      </c>
      <c r="L33" s="20" t="n">
        <v>0.59230341</v>
      </c>
      <c r="M33" s="18" t="n">
        <v>0</v>
      </c>
      <c r="N33" s="20" t="n">
        <v>0</v>
      </c>
      <c r="O33" s="18" t="n">
        <v>0</v>
      </c>
      <c r="P33" s="20" t="n">
        <v>0</v>
      </c>
      <c r="Q33" s="18" t="n">
        <v>1.80911905</v>
      </c>
      <c r="R33" s="20" t="n">
        <v>0.74472689</v>
      </c>
    </row>
    <row r="34" spans="1:18">
      <c r="A34" s="15" t="s">
        <v>594</v>
      </c>
      <c r="B34" s="17" t="n">
        <v>3315</v>
      </c>
      <c r="C34" s="18">
        <f>(2954.0/B34*100)</f>
        <v/>
      </c>
      <c r="D34" s="19" t="n">
        <v>361</v>
      </c>
      <c r="E34" s="18" t="n">
        <v>52.85634001</v>
      </c>
      <c r="F34" s="20" t="n">
        <v>2.83552218</v>
      </c>
      <c r="G34" s="18" t="n">
        <v>44.11463591</v>
      </c>
      <c r="H34" s="20" t="n">
        <v>2.57878491</v>
      </c>
      <c r="I34" s="18" t="s">
        <v>567</v>
      </c>
      <c r="J34" s="20" t="s">
        <v>567</v>
      </c>
      <c r="K34" s="18" t="n">
        <v>0</v>
      </c>
      <c r="L34" s="20" t="n">
        <v>0</v>
      </c>
      <c r="M34" s="18" t="n">
        <v>0</v>
      </c>
      <c r="N34" s="20" t="n">
        <v>0</v>
      </c>
      <c r="O34" s="18" t="n">
        <v>0</v>
      </c>
      <c r="P34" s="20" t="n">
        <v>0</v>
      </c>
      <c r="Q34" s="18" t="n">
        <v>3.02902408</v>
      </c>
      <c r="R34" s="20" t="n">
        <v>0.92741774</v>
      </c>
    </row>
    <row r="35" spans="1:18">
      <c r="A35" s="15" t="s">
        <v>595</v>
      </c>
      <c r="B35" s="17" t="n">
        <v>3505</v>
      </c>
      <c r="C35" s="18">
        <f>(3109.0/B35*100)</f>
        <v/>
      </c>
      <c r="D35" s="19" t="n">
        <v>396</v>
      </c>
      <c r="E35" s="18" t="n">
        <v>45.19949722</v>
      </c>
      <c r="F35" s="20" t="n">
        <v>3.00740798</v>
      </c>
      <c r="G35" s="18" t="n">
        <v>51.56331466</v>
      </c>
      <c r="H35" s="20" t="n">
        <v>2.89778717</v>
      </c>
      <c r="I35" s="18" t="s">
        <v>567</v>
      </c>
      <c r="J35" s="20" t="s">
        <v>567</v>
      </c>
      <c r="K35" s="18" t="n">
        <v>0</v>
      </c>
      <c r="L35" s="20" t="n">
        <v>0</v>
      </c>
      <c r="M35" s="18" t="n">
        <v>0</v>
      </c>
      <c r="N35" s="20" t="n">
        <v>0</v>
      </c>
      <c r="O35" s="18" t="n">
        <v>0</v>
      </c>
      <c r="P35" s="20" t="n">
        <v>0</v>
      </c>
      <c r="Q35" s="18" t="n">
        <v>3.23718812</v>
      </c>
      <c r="R35" s="20" t="n">
        <v>1.19540389</v>
      </c>
    </row>
    <row r="36" spans="1:18">
      <c r="A36" s="15" t="s">
        <v>596</v>
      </c>
      <c r="B36" s="17" t="n">
        <v>3332</v>
      </c>
      <c r="C36" s="18">
        <f>(2954.0/B36*100)</f>
        <v/>
      </c>
      <c r="D36" s="19" t="n">
        <v>378</v>
      </c>
      <c r="E36" s="18" t="n">
        <v>62.81058188</v>
      </c>
      <c r="F36" s="20" t="n">
        <v>2.53769636</v>
      </c>
      <c r="G36" s="18" t="n">
        <v>33.05836183</v>
      </c>
      <c r="H36" s="20" t="n">
        <v>2.55585383</v>
      </c>
      <c r="I36" s="18" t="s">
        <v>567</v>
      </c>
      <c r="J36" s="20" t="s">
        <v>567</v>
      </c>
      <c r="K36" s="18" t="n">
        <v>0.59884576</v>
      </c>
      <c r="L36" s="20" t="n">
        <v>0.3682299</v>
      </c>
      <c r="M36" s="18" t="n">
        <v>0</v>
      </c>
      <c r="N36" s="20" t="n">
        <v>0</v>
      </c>
      <c r="O36" s="18" t="n">
        <v>0</v>
      </c>
      <c r="P36" s="20" t="n">
        <v>0</v>
      </c>
      <c r="Q36" s="18" t="n">
        <v>3.53221053</v>
      </c>
      <c r="R36" s="20" t="n">
        <v>1.06470041</v>
      </c>
    </row>
    <row r="37" spans="1:18">
      <c r="A37" s="15" t="s">
        <v>597</v>
      </c>
      <c r="B37" s="17" t="n">
        <v>2727</v>
      </c>
      <c r="C37" s="18">
        <f>(2435.0/B37*100)</f>
        <v/>
      </c>
      <c r="D37" s="19" t="n">
        <v>292</v>
      </c>
      <c r="E37" s="18" t="n">
        <v>64.31495071000001</v>
      </c>
      <c r="F37" s="20" t="n">
        <v>2.80242219</v>
      </c>
      <c r="G37" s="18" t="n">
        <v>31.8144021</v>
      </c>
      <c r="H37" s="20" t="n">
        <v>2.79355635</v>
      </c>
      <c r="I37" s="18" t="s">
        <v>567</v>
      </c>
      <c r="J37" s="20" t="s">
        <v>567</v>
      </c>
      <c r="K37" s="18" t="n">
        <v>0.30130235</v>
      </c>
      <c r="L37" s="20" t="n">
        <v>0.30393221</v>
      </c>
      <c r="M37" s="18" t="n">
        <v>0</v>
      </c>
      <c r="N37" s="20" t="n">
        <v>0</v>
      </c>
      <c r="O37" s="18" t="n">
        <v>0</v>
      </c>
      <c r="P37" s="20" t="n">
        <v>0</v>
      </c>
      <c r="Q37" s="18" t="n">
        <v>3.56934484</v>
      </c>
      <c r="R37" s="20" t="n">
        <v>1.12577542</v>
      </c>
    </row>
    <row r="38" spans="1:18">
      <c r="A38" s="15" t="s">
        <v>598</v>
      </c>
      <c r="B38" s="17" t="n">
        <v>3053</v>
      </c>
      <c r="C38" s="18">
        <f>(2708.0/B38*100)</f>
        <v/>
      </c>
      <c r="D38" s="19" t="n">
        <v>345</v>
      </c>
      <c r="E38" s="18" t="n">
        <v>60.51742767</v>
      </c>
      <c r="F38" s="20" t="n">
        <v>3.29702147</v>
      </c>
      <c r="G38" s="18" t="n">
        <v>38.42527968</v>
      </c>
      <c r="H38" s="20" t="n">
        <v>3.31944245</v>
      </c>
      <c r="I38" s="18" t="s">
        <v>567</v>
      </c>
      <c r="J38" s="20" t="s">
        <v>567</v>
      </c>
      <c r="K38" s="18" t="n">
        <v>0</v>
      </c>
      <c r="L38" s="20" t="n">
        <v>0</v>
      </c>
      <c r="M38" s="18" t="n">
        <v>0</v>
      </c>
      <c r="N38" s="20" t="n">
        <v>0</v>
      </c>
      <c r="O38" s="18" t="n">
        <v>0</v>
      </c>
      <c r="P38" s="20" t="n">
        <v>0</v>
      </c>
      <c r="Q38" s="18" t="n">
        <v>1.05729265</v>
      </c>
      <c r="R38" s="20" t="n">
        <v>0.84762624</v>
      </c>
    </row>
    <row r="39" spans="1:18">
      <c r="A39" s="15" t="s">
        <v>599</v>
      </c>
      <c r="B39" s="17" t="n">
        <v>2957</v>
      </c>
      <c r="C39" s="18">
        <f>(2639.0/B39*100)</f>
        <v/>
      </c>
      <c r="D39" s="19" t="n">
        <v>318</v>
      </c>
      <c r="E39" s="18" t="n">
        <v>64.84499882999999</v>
      </c>
      <c r="F39" s="20" t="n">
        <v>2.72230648</v>
      </c>
      <c r="G39" s="18" t="n">
        <v>33.22421798</v>
      </c>
      <c r="H39" s="20" t="n">
        <v>2.74016852</v>
      </c>
      <c r="I39" s="18" t="s">
        <v>567</v>
      </c>
      <c r="J39" s="20" t="s">
        <v>567</v>
      </c>
      <c r="K39" s="18" t="n">
        <v>0</v>
      </c>
      <c r="L39" s="20" t="n">
        <v>0</v>
      </c>
      <c r="M39" s="18" t="n">
        <v>0</v>
      </c>
      <c r="N39" s="20" t="n">
        <v>0</v>
      </c>
      <c r="O39" s="18" t="n">
        <v>0</v>
      </c>
      <c r="P39" s="20" t="n">
        <v>0</v>
      </c>
      <c r="Q39" s="18" t="n">
        <v>1.93078319</v>
      </c>
      <c r="R39" s="20" t="n">
        <v>0.9155683100000001</v>
      </c>
    </row>
    <row r="40" spans="1:18">
      <c r="A40" s="15" t="s">
        <v>600</v>
      </c>
      <c r="B40" s="17" t="n">
        <v>7235</v>
      </c>
      <c r="C40" s="18">
        <f>(6420.0/B40*100)</f>
        <v/>
      </c>
      <c r="D40" s="19" t="n">
        <v>815</v>
      </c>
      <c r="E40" s="18" t="n">
        <v>63.55129122</v>
      </c>
      <c r="F40" s="20" t="n">
        <v>2.57224747</v>
      </c>
      <c r="G40" s="18" t="n">
        <v>32.98380763</v>
      </c>
      <c r="H40" s="20" t="n">
        <v>2.46976487</v>
      </c>
      <c r="I40" s="18" t="s">
        <v>567</v>
      </c>
      <c r="J40" s="20" t="s">
        <v>567</v>
      </c>
      <c r="K40" s="18" t="n">
        <v>0.54437012</v>
      </c>
      <c r="L40" s="20" t="n">
        <v>0.34218914</v>
      </c>
      <c r="M40" s="18" t="n">
        <v>0</v>
      </c>
      <c r="N40" s="20" t="n">
        <v>0</v>
      </c>
      <c r="O40" s="18" t="n">
        <v>0</v>
      </c>
      <c r="P40" s="20" t="n">
        <v>0</v>
      </c>
      <c r="Q40" s="18" t="n">
        <v>2.92053103</v>
      </c>
      <c r="R40" s="20" t="n">
        <v>1.06370597</v>
      </c>
    </row>
    <row r="41" spans="1:18">
      <c r="A41" s="15" t="s">
        <v>601</v>
      </c>
      <c r="B41" s="17" t="n">
        <v>2858</v>
      </c>
      <c r="C41" s="18">
        <f>(2545.0/B41*100)</f>
        <v/>
      </c>
      <c r="D41" s="19" t="n">
        <v>313</v>
      </c>
      <c r="E41" s="18" t="n">
        <v>61.62368696</v>
      </c>
      <c r="F41" s="20" t="n">
        <v>2.79559638</v>
      </c>
      <c r="G41" s="18" t="n">
        <v>36.8510269</v>
      </c>
      <c r="H41" s="20" t="n">
        <v>2.84794731</v>
      </c>
      <c r="I41" s="18" t="s">
        <v>567</v>
      </c>
      <c r="J41" s="20" t="s">
        <v>567</v>
      </c>
      <c r="K41" s="18" t="n">
        <v>0.43709706</v>
      </c>
      <c r="L41" s="20" t="n">
        <v>0.35374308</v>
      </c>
      <c r="M41" s="18" t="n">
        <v>0</v>
      </c>
      <c r="N41" s="20" t="n">
        <v>0</v>
      </c>
      <c r="O41" s="18" t="n">
        <v>0</v>
      </c>
      <c r="P41" s="20" t="n">
        <v>0</v>
      </c>
      <c r="Q41" s="18" t="n">
        <v>1.08818908</v>
      </c>
      <c r="R41" s="20" t="n">
        <v>0.61298815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(9929.0/B46*100)</f>
        <v/>
      </c>
      <c r="D46" s="19" t="n">
        <v>1139</v>
      </c>
      <c r="E46" s="18" t="n">
        <v>0</v>
      </c>
      <c r="F46" s="20" t="n">
        <v>0</v>
      </c>
      <c r="G46" s="18" t="n">
        <v>0</v>
      </c>
      <c r="H46" s="20" t="n">
        <v>0</v>
      </c>
      <c r="I46" s="18" t="s">
        <v>567</v>
      </c>
      <c r="J46" s="20" t="s">
        <v>567</v>
      </c>
      <c r="K46" s="18" t="n">
        <v>0</v>
      </c>
      <c r="L46" s="20" t="n">
        <v>0</v>
      </c>
      <c r="M46" s="18" t="n">
        <v>100</v>
      </c>
      <c r="N46" s="20" t="n">
        <v>0</v>
      </c>
      <c r="O46" s="18" t="n">
        <v>0</v>
      </c>
      <c r="P46" s="20" t="n">
        <v>0</v>
      </c>
      <c r="Q46" s="18" t="n">
        <v>0</v>
      </c>
      <c r="R46" s="20" t="n">
        <v>0</v>
      </c>
    </row>
    <row r="47" spans="1:18">
      <c r="A47" s="15" t="s">
        <v>607</v>
      </c>
      <c r="B47" s="17" t="n">
        <v>3105</v>
      </c>
      <c r="C47" s="18">
        <f>(2763.0/B47*100)</f>
        <v/>
      </c>
      <c r="D47" s="19" t="n">
        <v>342</v>
      </c>
      <c r="E47" s="18" t="n">
        <v>59.6266548</v>
      </c>
      <c r="F47" s="20" t="n">
        <v>2.42724575</v>
      </c>
      <c r="G47" s="18" t="n">
        <v>37.79920144</v>
      </c>
      <c r="H47" s="20" t="n">
        <v>2.44827211</v>
      </c>
      <c r="I47" s="18" t="s">
        <v>567</v>
      </c>
      <c r="J47" s="20" t="s">
        <v>567</v>
      </c>
      <c r="K47" s="18" t="n">
        <v>0</v>
      </c>
      <c r="L47" s="20" t="n">
        <v>0</v>
      </c>
      <c r="M47" s="18" t="n">
        <v>0</v>
      </c>
      <c r="N47" s="20" t="n">
        <v>0</v>
      </c>
      <c r="O47" s="18" t="n">
        <v>0</v>
      </c>
      <c r="P47" s="20" t="n">
        <v>0</v>
      </c>
      <c r="Q47" s="18" t="n">
        <v>2.57414376</v>
      </c>
      <c r="R47" s="20" t="n">
        <v>0.92915306</v>
      </c>
    </row>
    <row r="48" spans="1:18">
      <c r="A48" s="15" t="s">
        <v>608</v>
      </c>
      <c r="B48" s="17" t="n">
        <v>5159</v>
      </c>
      <c r="C48" s="18">
        <f>(4596.0/B48*100)</f>
        <v/>
      </c>
      <c r="D48" s="19" t="n">
        <v>563</v>
      </c>
      <c r="E48" s="18" t="n">
        <v>43.16149003</v>
      </c>
      <c r="F48" s="20" t="n">
        <v>3.16531957</v>
      </c>
      <c r="G48" s="18" t="n">
        <v>54.91570401</v>
      </c>
      <c r="H48" s="20" t="n">
        <v>3.11956789</v>
      </c>
      <c r="I48" s="18" t="s">
        <v>567</v>
      </c>
      <c r="J48" s="20" t="s">
        <v>567</v>
      </c>
      <c r="K48" s="18" t="n">
        <v>0.13505449</v>
      </c>
      <c r="L48" s="20" t="n">
        <v>0.19033769</v>
      </c>
      <c r="M48" s="18" t="n">
        <v>0</v>
      </c>
      <c r="N48" s="20" t="n">
        <v>0</v>
      </c>
      <c r="O48" s="18" t="n">
        <v>0</v>
      </c>
      <c r="P48" s="20" t="n">
        <v>0</v>
      </c>
      <c r="Q48" s="18" t="n">
        <v>1.78775147</v>
      </c>
      <c r="R48" s="20" t="n">
        <v>0.66908531</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(5020.0/B50*100)</f>
        <v/>
      </c>
      <c r="D50" s="19" t="n">
        <v>617</v>
      </c>
      <c r="E50" s="18" t="n">
        <v>0</v>
      </c>
      <c r="F50" s="20" t="n">
        <v>0</v>
      </c>
      <c r="G50" s="18" t="n">
        <v>0</v>
      </c>
      <c r="H50" s="20" t="n">
        <v>0</v>
      </c>
      <c r="I50" s="18" t="s">
        <v>567</v>
      </c>
      <c r="J50" s="20" t="s">
        <v>567</v>
      </c>
      <c r="K50" s="18" t="n">
        <v>0</v>
      </c>
      <c r="L50" s="20" t="n">
        <v>0</v>
      </c>
      <c r="M50" s="18" t="n">
        <v>100</v>
      </c>
      <c r="N50" s="20" t="n">
        <v>0</v>
      </c>
      <c r="O50" s="18" t="n">
        <v>0</v>
      </c>
      <c r="P50" s="20" t="n">
        <v>0</v>
      </c>
      <c r="Q50" s="18" t="n">
        <v>0</v>
      </c>
      <c r="R50" s="20" t="n">
        <v>0</v>
      </c>
    </row>
    <row r="51" spans="1:18">
      <c r="A51" s="15" t="s">
        <v>611</v>
      </c>
      <c r="B51" s="17" t="n">
        <v>3372</v>
      </c>
      <c r="C51" s="18">
        <f>(3034.0/B51*100)</f>
        <v/>
      </c>
      <c r="D51" s="19" t="n">
        <v>338</v>
      </c>
      <c r="E51" s="18" t="n">
        <v>0</v>
      </c>
      <c r="F51" s="20" t="n">
        <v>0</v>
      </c>
      <c r="G51" s="18" t="n">
        <v>0</v>
      </c>
      <c r="H51" s="20" t="n">
        <v>0</v>
      </c>
      <c r="I51" s="18" t="s">
        <v>567</v>
      </c>
      <c r="J51" s="20" t="s">
        <v>567</v>
      </c>
      <c r="K51" s="18" t="n">
        <v>0</v>
      </c>
      <c r="L51" s="20" t="n">
        <v>0</v>
      </c>
      <c r="M51" s="18" t="n">
        <v>100</v>
      </c>
      <c r="N51" s="20" t="n">
        <v>0</v>
      </c>
      <c r="O51" s="18" t="n">
        <v>0</v>
      </c>
      <c r="P51" s="20" t="n">
        <v>0</v>
      </c>
      <c r="Q51" s="18" t="n">
        <v>0</v>
      </c>
      <c r="R51" s="20" t="n">
        <v>0</v>
      </c>
    </row>
    <row r="52" spans="1:18">
      <c r="A52" s="15" t="s">
        <v>612</v>
      </c>
      <c r="B52" s="17" t="n">
        <v>2796</v>
      </c>
      <c r="C52" s="18">
        <f>(2476.0/B52*100)</f>
        <v/>
      </c>
      <c r="D52" s="19" t="n">
        <v>320</v>
      </c>
      <c r="E52" s="18" t="n">
        <v>53.79177061</v>
      </c>
      <c r="F52" s="20" t="n">
        <v>3.01861555</v>
      </c>
      <c r="G52" s="18" t="n">
        <v>42.40446299</v>
      </c>
      <c r="H52" s="20" t="n">
        <v>2.89624728</v>
      </c>
      <c r="I52" s="18" t="s">
        <v>567</v>
      </c>
      <c r="J52" s="20" t="s">
        <v>567</v>
      </c>
      <c r="K52" s="18" t="n">
        <v>0.31878686</v>
      </c>
      <c r="L52" s="20" t="n">
        <v>0.31151008</v>
      </c>
      <c r="M52" s="18" t="n">
        <v>0</v>
      </c>
      <c r="N52" s="20" t="n">
        <v>0</v>
      </c>
      <c r="O52" s="18" t="n">
        <v>0</v>
      </c>
      <c r="P52" s="20" t="n">
        <v>0</v>
      </c>
      <c r="Q52" s="18" t="n">
        <v>3.48497955</v>
      </c>
      <c r="R52" s="20" t="n">
        <v>1.12556354</v>
      </c>
    </row>
    <row r="53" spans="1:18">
      <c r="A53" s="15" t="s">
        <v>613</v>
      </c>
      <c r="B53" s="17" t="n">
        <v>2811</v>
      </c>
      <c r="C53" s="18">
        <f>(2492.0/B53*100)</f>
        <v/>
      </c>
      <c r="D53" s="19" t="n">
        <v>319</v>
      </c>
      <c r="E53" s="18" t="n">
        <v>10.5079815</v>
      </c>
      <c r="F53" s="20" t="n">
        <v>1.78181332</v>
      </c>
      <c r="G53" s="18" t="n">
        <v>5.00708238</v>
      </c>
      <c r="H53" s="20" t="n">
        <v>1.21171674</v>
      </c>
      <c r="I53" s="18" t="s">
        <v>567</v>
      </c>
      <c r="J53" s="20" t="s">
        <v>567</v>
      </c>
      <c r="K53" s="18" t="n">
        <v>0</v>
      </c>
      <c r="L53" s="20" t="n">
        <v>0</v>
      </c>
      <c r="M53" s="18" t="n">
        <v>84.48493612</v>
      </c>
      <c r="N53" s="20" t="n">
        <v>2.12064992</v>
      </c>
      <c r="O53" s="18" t="n">
        <v>0</v>
      </c>
      <c r="P53" s="20" t="n">
        <v>0</v>
      </c>
      <c r="Q53" s="18" t="n">
        <v>0</v>
      </c>
      <c r="R53" s="20" t="n">
        <v>0</v>
      </c>
    </row>
    <row r="54" spans="1:18">
      <c r="A54" s="15" t="s">
        <v>614</v>
      </c>
      <c r="B54" s="17" t="n">
        <v>2266</v>
      </c>
      <c r="C54" s="18">
        <f>(2011.0/B54*100)</f>
        <v/>
      </c>
      <c r="D54" s="19" t="n">
        <v>255</v>
      </c>
      <c r="E54" s="18" t="n">
        <v>56.81243686</v>
      </c>
      <c r="F54" s="20" t="n">
        <v>3.25553739</v>
      </c>
      <c r="G54" s="18" t="n">
        <v>29.17998438</v>
      </c>
      <c r="H54" s="20" t="n">
        <v>3.12195243</v>
      </c>
      <c r="I54" s="18" t="s">
        <v>567</v>
      </c>
      <c r="J54" s="20" t="s">
        <v>567</v>
      </c>
      <c r="K54" s="18" t="n">
        <v>4.4258251</v>
      </c>
      <c r="L54" s="20" t="n">
        <v>1.18257996</v>
      </c>
      <c r="M54" s="18" t="n">
        <v>0</v>
      </c>
      <c r="N54" s="20" t="n">
        <v>0</v>
      </c>
      <c r="O54" s="18" t="n">
        <v>0</v>
      </c>
      <c r="P54" s="20" t="n">
        <v>0</v>
      </c>
      <c r="Q54" s="18" t="n">
        <v>9.581753669999999</v>
      </c>
      <c r="R54" s="20" t="n">
        <v>1.94876384</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(2390.0/B56*100)</f>
        <v/>
      </c>
      <c r="D56" s="19" t="n">
        <v>294</v>
      </c>
      <c r="E56" s="18" t="n">
        <v>52.40258369</v>
      </c>
      <c r="F56" s="20" t="n">
        <v>3.100464</v>
      </c>
      <c r="G56" s="18" t="n">
        <v>45.61949621</v>
      </c>
      <c r="H56" s="20" t="n">
        <v>3.03149261</v>
      </c>
      <c r="I56" s="18" t="s">
        <v>567</v>
      </c>
      <c r="J56" s="20" t="s">
        <v>567</v>
      </c>
      <c r="K56" s="18" t="n">
        <v>0</v>
      </c>
      <c r="L56" s="20" t="n">
        <v>0</v>
      </c>
      <c r="M56" s="18" t="n">
        <v>0</v>
      </c>
      <c r="N56" s="20" t="n">
        <v>0</v>
      </c>
      <c r="O56" s="18" t="n">
        <v>0</v>
      </c>
      <c r="P56" s="20" t="n">
        <v>0</v>
      </c>
      <c r="Q56" s="18" t="n">
        <v>1.97792009</v>
      </c>
      <c r="R56" s="20" t="n">
        <v>0.91075784</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(2979.0/B61*100)</f>
        <v/>
      </c>
      <c r="D61" s="19" t="n">
        <v>345</v>
      </c>
      <c r="E61" s="18" t="n">
        <v>50.79581795</v>
      </c>
      <c r="F61" s="20" t="n">
        <v>3.65484218</v>
      </c>
      <c r="G61" s="18" t="n">
        <v>46.17085967</v>
      </c>
      <c r="H61" s="20" t="n">
        <v>3.39065258</v>
      </c>
      <c r="I61" s="18" t="s">
        <v>567</v>
      </c>
      <c r="J61" s="20" t="s">
        <v>567</v>
      </c>
      <c r="K61" s="18" t="n">
        <v>0</v>
      </c>
      <c r="L61" s="20" t="n">
        <v>0</v>
      </c>
      <c r="M61" s="18" t="n">
        <v>0</v>
      </c>
      <c r="N61" s="20" t="n">
        <v>0</v>
      </c>
      <c r="O61" s="18" t="n">
        <v>0</v>
      </c>
      <c r="P61" s="20" t="n">
        <v>0</v>
      </c>
      <c r="Q61" s="18" t="n">
        <v>3.03332237</v>
      </c>
      <c r="R61" s="20" t="n">
        <v>1.94505601</v>
      </c>
    </row>
    <row r="62" spans="1:18">
      <c r="A62" s="15" t="s">
        <v>622</v>
      </c>
      <c r="B62" s="17" t="n">
        <v>2246</v>
      </c>
      <c r="C62" s="18">
        <f>(1991.0/B62*100)</f>
        <v/>
      </c>
      <c r="D62" s="19" t="n">
        <v>255</v>
      </c>
      <c r="E62" s="18" t="n">
        <v>57.95745383</v>
      </c>
      <c r="F62" s="20" t="n">
        <v>3.23165755</v>
      </c>
      <c r="G62" s="18" t="n">
        <v>42.04254617</v>
      </c>
      <c r="H62" s="20" t="n">
        <v>3.23165755</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(2584.0/B66*100)</f>
        <v/>
      </c>
      <c r="D66" s="19" t="n">
        <v>310</v>
      </c>
      <c r="E66" s="18" t="n">
        <v>57.60910904</v>
      </c>
      <c r="F66" s="20" t="n">
        <v>3.32976104</v>
      </c>
      <c r="G66" s="18" t="n">
        <v>34.74673692</v>
      </c>
      <c r="H66" s="20" t="n">
        <v>3.14871208</v>
      </c>
      <c r="I66" s="18" t="s">
        <v>567</v>
      </c>
      <c r="J66" s="20" t="s">
        <v>567</v>
      </c>
      <c r="K66" s="18" t="n">
        <v>0</v>
      </c>
      <c r="L66" s="20" t="n">
        <v>0</v>
      </c>
      <c r="M66" s="18" t="n">
        <v>0</v>
      </c>
      <c r="N66" s="20" t="n">
        <v>0</v>
      </c>
      <c r="O66" s="18" t="n">
        <v>0</v>
      </c>
      <c r="P66" s="20" t="n">
        <v>0</v>
      </c>
      <c r="Q66" s="18" t="n">
        <v>7.64415404</v>
      </c>
      <c r="R66" s="20" t="n">
        <v>1.63444342</v>
      </c>
    </row>
    <row r="67" spans="1:18">
      <c r="A67" s="15" t="s">
        <v>627</v>
      </c>
      <c r="B67" s="17" t="n">
        <v>3511</v>
      </c>
      <c r="C67" s="18">
        <f>(3124.0/B67*100)</f>
        <v/>
      </c>
      <c r="D67" s="19" t="n">
        <v>387</v>
      </c>
      <c r="E67" s="18" t="n">
        <v>77.43880883999999</v>
      </c>
      <c r="F67" s="20" t="n">
        <v>2.3294431</v>
      </c>
      <c r="G67" s="18" t="n">
        <v>21.08463921</v>
      </c>
      <c r="H67" s="20" t="n">
        <v>2.35792226</v>
      </c>
      <c r="I67" s="18" t="s">
        <v>567</v>
      </c>
      <c r="J67" s="20" t="s">
        <v>567</v>
      </c>
      <c r="K67" s="18" t="n">
        <v>0.19236559</v>
      </c>
      <c r="L67" s="20" t="n">
        <v>0.1921955</v>
      </c>
      <c r="M67" s="18" t="n">
        <v>0</v>
      </c>
      <c r="N67" s="20" t="n">
        <v>0</v>
      </c>
      <c r="O67" s="18" t="n">
        <v>0</v>
      </c>
      <c r="P67" s="20" t="n">
        <v>0</v>
      </c>
      <c r="Q67" s="18" t="n">
        <v>1.28418636</v>
      </c>
      <c r="R67" s="20" t="n">
        <v>0.52599131</v>
      </c>
    </row>
    <row r="68" spans="1:18">
      <c r="A68" s="15" t="s">
        <v>628</v>
      </c>
      <c r="B68" s="17" t="n">
        <v>6049</v>
      </c>
      <c r="C68" s="18">
        <f>(5382.0/B68*100)</f>
        <v/>
      </c>
      <c r="D68" s="19" t="n">
        <v>667</v>
      </c>
      <c r="E68" s="18" t="n">
        <v>59.40099747</v>
      </c>
      <c r="F68" s="20" t="n">
        <v>1.78910863</v>
      </c>
      <c r="G68" s="18" t="n">
        <v>30.46744869</v>
      </c>
      <c r="H68" s="20" t="n">
        <v>1.57695843</v>
      </c>
      <c r="I68" s="18" t="s">
        <v>567</v>
      </c>
      <c r="J68" s="20" t="s">
        <v>567</v>
      </c>
      <c r="K68" s="18" t="n">
        <v>1.18029387</v>
      </c>
      <c r="L68" s="20" t="n">
        <v>0.42226732</v>
      </c>
      <c r="M68" s="18" t="n">
        <v>0</v>
      </c>
      <c r="N68" s="20" t="n">
        <v>0</v>
      </c>
      <c r="O68" s="18" t="n">
        <v>0</v>
      </c>
      <c r="P68" s="20" t="n">
        <v>0</v>
      </c>
      <c r="Q68" s="18" t="n">
        <v>8.951259970000001</v>
      </c>
      <c r="R68" s="20" t="n">
        <v>1.13985771</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(2603.0/B70*100)</f>
        <v/>
      </c>
      <c r="D70" s="19" t="n">
        <v>326</v>
      </c>
      <c r="E70" s="18" t="n">
        <v>55.74665098</v>
      </c>
      <c r="F70" s="20" t="n">
        <v>2.89808286</v>
      </c>
      <c r="G70" s="18" t="n">
        <v>41.46000664</v>
      </c>
      <c r="H70" s="20" t="n">
        <v>3.03370643</v>
      </c>
      <c r="I70" s="18" t="s">
        <v>567</v>
      </c>
      <c r="J70" s="20" t="s">
        <v>567</v>
      </c>
      <c r="K70" s="18" t="n">
        <v>0.46373433</v>
      </c>
      <c r="L70" s="20" t="n">
        <v>0.28790192</v>
      </c>
      <c r="M70" s="18" t="n">
        <v>0</v>
      </c>
      <c r="N70" s="20" t="n">
        <v>0</v>
      </c>
      <c r="O70" s="18" t="n">
        <v>0</v>
      </c>
      <c r="P70" s="20" t="n">
        <v>0</v>
      </c>
      <c r="Q70" s="18" t="n">
        <v>2.32960805</v>
      </c>
      <c r="R70" s="20" t="n">
        <v>1.03826061</v>
      </c>
    </row>
    <row r="71" spans="1:18">
      <c r="A71" s="15" t="s">
        <v>631</v>
      </c>
      <c r="B71" s="17" t="n">
        <v>3142</v>
      </c>
      <c r="C71" s="18">
        <f>(2800.0/B71*100)</f>
        <v/>
      </c>
      <c r="D71" s="19" t="n">
        <v>342</v>
      </c>
      <c r="E71" s="18" t="n">
        <v>51.30048226</v>
      </c>
      <c r="F71" s="20" t="n">
        <v>3.1714442</v>
      </c>
      <c r="G71" s="18" t="n">
        <v>48.54608458</v>
      </c>
      <c r="H71" s="20" t="n">
        <v>3.16914758</v>
      </c>
      <c r="I71" s="18" t="s">
        <v>567</v>
      </c>
      <c r="J71" s="20" t="s">
        <v>567</v>
      </c>
      <c r="K71" s="18" t="n">
        <v>0</v>
      </c>
      <c r="L71" s="20" t="n">
        <v>0</v>
      </c>
      <c r="M71" s="18" t="n">
        <v>0</v>
      </c>
      <c r="N71" s="20" t="n">
        <v>0</v>
      </c>
      <c r="O71" s="18" t="n">
        <v>0</v>
      </c>
      <c r="P71" s="20" t="n">
        <v>0</v>
      </c>
      <c r="Q71" s="18" t="n">
        <v>0.15343316</v>
      </c>
      <c r="R71" s="20" t="n">
        <v>0.15344529</v>
      </c>
    </row>
    <row r="72" spans="1:18">
      <c r="A72" s="15" t="s">
        <v>632</v>
      </c>
      <c r="B72" s="17" t="n">
        <v>3889</v>
      </c>
      <c r="C72" s="18">
        <f>(3448.0/B72*100)</f>
        <v/>
      </c>
      <c r="D72" s="19" t="n">
        <v>441</v>
      </c>
      <c r="E72" s="18" t="n">
        <v>51.03187475</v>
      </c>
      <c r="F72" s="20" t="n">
        <v>2.60393546</v>
      </c>
      <c r="G72" s="18" t="n">
        <v>48.32349335</v>
      </c>
      <c r="H72" s="20" t="n">
        <v>2.60812628</v>
      </c>
      <c r="I72" s="18" t="s">
        <v>567</v>
      </c>
      <c r="J72" s="20" t="s">
        <v>567</v>
      </c>
      <c r="K72" s="18" t="n">
        <v>0.30064548</v>
      </c>
      <c r="L72" s="20" t="n">
        <v>0.30196987</v>
      </c>
      <c r="M72" s="18" t="n">
        <v>0</v>
      </c>
      <c r="N72" s="20" t="n">
        <v>0</v>
      </c>
      <c r="O72" s="18" t="n">
        <v>0</v>
      </c>
      <c r="P72" s="20" t="n">
        <v>0</v>
      </c>
      <c r="Q72" s="18" t="n">
        <v>0.34398642</v>
      </c>
      <c r="R72" s="20" t="n">
        <v>0.21872657</v>
      </c>
    </row>
    <row r="73" spans="1:18">
      <c r="A73" s="15" t="s">
        <v>633</v>
      </c>
      <c r="B73" s="17" t="n">
        <v>3597</v>
      </c>
      <c r="C73" s="18">
        <f>(3228.0/B73*100)</f>
        <v/>
      </c>
      <c r="D73" s="19" t="n">
        <v>369</v>
      </c>
      <c r="E73" s="18" t="n">
        <v>69.76226608</v>
      </c>
      <c r="F73" s="20" t="n">
        <v>2.55867793</v>
      </c>
      <c r="G73" s="18" t="n">
        <v>30.07439613</v>
      </c>
      <c r="H73" s="20" t="n">
        <v>2.56130999</v>
      </c>
      <c r="I73" s="18" t="s">
        <v>567</v>
      </c>
      <c r="J73" s="20" t="s">
        <v>567</v>
      </c>
      <c r="K73" s="18" t="n">
        <v>0</v>
      </c>
      <c r="L73" s="20" t="n">
        <v>0</v>
      </c>
      <c r="M73" s="18" t="n">
        <v>0</v>
      </c>
      <c r="N73" s="20" t="n">
        <v>0</v>
      </c>
      <c r="O73" s="18" t="n">
        <v>0</v>
      </c>
      <c r="P73" s="20" t="n">
        <v>0</v>
      </c>
      <c r="Q73" s="18" t="n">
        <v>0.16333779</v>
      </c>
      <c r="R73" s="20" t="n">
        <v>0.16551748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(2167.0/B75*100)</f>
        <v/>
      </c>
      <c r="D75" s="19" t="n">
        <v>239</v>
      </c>
      <c r="E75" s="18" t="n">
        <v>70.42600559</v>
      </c>
      <c r="F75" s="20" t="n">
        <v>3.17538363</v>
      </c>
      <c r="G75" s="18" t="n">
        <v>22.17593749</v>
      </c>
      <c r="H75" s="20" t="n">
        <v>2.89887561</v>
      </c>
      <c r="I75" s="18" t="s">
        <v>567</v>
      </c>
      <c r="J75" s="20" t="s">
        <v>567</v>
      </c>
      <c r="K75" s="18" t="n">
        <v>1.30743759</v>
      </c>
      <c r="L75" s="20" t="n">
        <v>0.72525828</v>
      </c>
      <c r="M75" s="18" t="n">
        <v>0</v>
      </c>
      <c r="N75" s="20" t="n">
        <v>0</v>
      </c>
      <c r="O75" s="18" t="n">
        <v>0</v>
      </c>
      <c r="P75" s="20" t="n">
        <v>0</v>
      </c>
      <c r="Q75" s="18" t="n">
        <v>6.09061933</v>
      </c>
      <c r="R75" s="20" t="n">
        <v>1.80993197</v>
      </c>
    </row>
    <row r="76" spans="1:18">
      <c r="A76" s="15" t="s">
        <v>636</v>
      </c>
      <c r="B76" s="17" t="n">
        <v>7052</v>
      </c>
      <c r="C76" s="18">
        <f>(6257.0/B76*100)</f>
        <v/>
      </c>
      <c r="D76" s="19" t="n">
        <v>795</v>
      </c>
      <c r="E76" s="18" t="n">
        <v>57.61011386</v>
      </c>
      <c r="F76" s="20" t="n">
        <v>2.02008548</v>
      </c>
      <c r="G76" s="18" t="n">
        <v>36.2179595</v>
      </c>
      <c r="H76" s="20" t="n">
        <v>1.88968617</v>
      </c>
      <c r="I76" s="18" t="s">
        <v>567</v>
      </c>
      <c r="J76" s="20" t="s">
        <v>567</v>
      </c>
      <c r="K76" s="18" t="n">
        <v>1.28385966</v>
      </c>
      <c r="L76" s="20" t="n">
        <v>0.5439607400000001</v>
      </c>
      <c r="M76" s="18" t="n">
        <v>0</v>
      </c>
      <c r="N76" s="20" t="n">
        <v>0</v>
      </c>
      <c r="O76" s="18" t="n">
        <v>0</v>
      </c>
      <c r="P76" s="20" t="n">
        <v>0</v>
      </c>
      <c r="Q76" s="18" t="n">
        <v>4.88806699</v>
      </c>
      <c r="R76" s="20" t="n">
        <v>0.8476508</v>
      </c>
    </row>
    <row r="77" spans="1:18">
      <c r="A77" s="15" t="s">
        <v>637</v>
      </c>
      <c r="B77" s="17" t="n">
        <v>2908</v>
      </c>
      <c r="C77" s="18">
        <f>(2581.0/B77*100)</f>
        <v/>
      </c>
      <c r="D77" s="19" t="n">
        <v>327</v>
      </c>
      <c r="E77" s="18" t="n">
        <v>0</v>
      </c>
      <c r="F77" s="20" t="n">
        <v>0</v>
      </c>
      <c r="G77" s="18" t="n">
        <v>0</v>
      </c>
      <c r="H77" s="20" t="n">
        <v>0</v>
      </c>
      <c r="I77" s="18" t="s">
        <v>567</v>
      </c>
      <c r="J77" s="20" t="s">
        <v>567</v>
      </c>
      <c r="K77" s="18" t="n">
        <v>0</v>
      </c>
      <c r="L77" s="20" t="n">
        <v>0</v>
      </c>
      <c r="M77" s="18" t="n">
        <v>100</v>
      </c>
      <c r="N77" s="20" t="n">
        <v>0</v>
      </c>
      <c r="O77" s="18" t="n">
        <v>0</v>
      </c>
      <c r="P77" s="20" t="n">
        <v>0</v>
      </c>
      <c r="Q77" s="18" t="n">
        <v>0</v>
      </c>
      <c r="R77" s="20" t="n">
        <v>0</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(3728.0/B81*100)</f>
        <v/>
      </c>
      <c r="D81" s="19" t="n">
        <v>435</v>
      </c>
      <c r="E81" s="18" t="n">
        <v>70.2618658</v>
      </c>
      <c r="F81" s="20" t="n">
        <v>2.42784475</v>
      </c>
      <c r="G81" s="18" t="n">
        <v>29.4011476</v>
      </c>
      <c r="H81" s="20" t="n">
        <v>2.45092569</v>
      </c>
      <c r="I81" s="18" t="s">
        <v>567</v>
      </c>
      <c r="J81" s="20" t="s">
        <v>567</v>
      </c>
      <c r="K81" s="18" t="n">
        <v>0</v>
      </c>
      <c r="L81" s="20" t="n">
        <v>0</v>
      </c>
      <c r="M81" s="18" t="n">
        <v>0</v>
      </c>
      <c r="N81" s="20" t="n">
        <v>0</v>
      </c>
      <c r="O81" s="18" t="n">
        <v>0</v>
      </c>
      <c r="P81" s="20" t="n">
        <v>0</v>
      </c>
      <c r="Q81" s="18" t="n">
        <v>0.33698659</v>
      </c>
      <c r="R81" s="20" t="n">
        <v>0.33667046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549</v>
      </c>
    </row>
    <row r="2" spans="1:24">
      <c r="A2" s="5" t="s">
        <v>702</v>
      </c>
    </row>
    <row customHeight="1" ht="30" r="4" spans="1:24">
      <c r="A4" s="6" t="n"/>
      <c r="B4" s="7" t="s">
        <v>551</v>
      </c>
      <c r="C4" s="7" t="s">
        <v>552</v>
      </c>
      <c r="D4" s="8" t="s">
        <v>551</v>
      </c>
      <c r="E4" s="9" t="s">
        <v>657</v>
      </c>
      <c r="F4" s="10" t="n"/>
      <c r="G4" s="9" t="s">
        <v>658</v>
      </c>
      <c r="H4" s="10" t="n"/>
      <c r="I4" s="9" t="s">
        <v>703</v>
      </c>
      <c r="J4" s="10" t="n"/>
      <c r="K4" s="9" t="s">
        <v>659</v>
      </c>
      <c r="L4" s="10" t="n"/>
      <c r="M4" s="9" t="s">
        <v>660</v>
      </c>
      <c r="N4" s="10" t="n"/>
      <c r="O4" s="9" t="s">
        <v>555</v>
      </c>
      <c r="P4" s="10" t="n"/>
      <c r="Q4" s="9" t="s">
        <v>556</v>
      </c>
      <c r="R4" s="10" t="n"/>
      <c r="S4" s="9" t="s">
        <v>557</v>
      </c>
      <c r="T4" s="10" t="n"/>
      <c r="U4" s="9" t="s">
        <v>558</v>
      </c>
      <c r="V4" s="10" t="n"/>
      <c r="W4" s="9" t="s">
        <v>559</v>
      </c>
      <c r="X4" s="10" t="n"/>
    </row>
    <row r="5" spans="1:24">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c r="W5" s="12" t="s">
        <v>563</v>
      </c>
      <c r="X5" s="11" t="s">
        <v>564</v>
      </c>
    </row>
    <row r="6" spans="1:24">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566</v>
      </c>
      <c r="B7" s="17" t="n">
        <v>7367</v>
      </c>
      <c r="C7" s="18">
        <f>(6549.0/B7*100)</f>
        <v/>
      </c>
      <c r="D7" s="19" t="n">
        <v>818</v>
      </c>
      <c r="E7" s="18" t="n">
        <v>9.34621213</v>
      </c>
      <c r="F7" s="20" t="n">
        <v>1.19582403</v>
      </c>
      <c r="G7" s="18" t="n">
        <v>14.25953823</v>
      </c>
      <c r="H7" s="20" t="n">
        <v>1.6432685</v>
      </c>
      <c r="I7" s="18" t="n">
        <v>18.48653114</v>
      </c>
      <c r="J7" s="20" t="n">
        <v>1.85698843</v>
      </c>
      <c r="K7" s="18" t="n">
        <v>32.77388537</v>
      </c>
      <c r="L7" s="20" t="n">
        <v>2.19684578</v>
      </c>
      <c r="M7" s="18" t="n">
        <v>17.36810589</v>
      </c>
      <c r="N7" s="20" t="n">
        <v>1.29166043</v>
      </c>
      <c r="O7" s="18" t="s">
        <v>567</v>
      </c>
      <c r="P7" s="20" t="s">
        <v>567</v>
      </c>
      <c r="Q7" s="18" t="n">
        <v>0</v>
      </c>
      <c r="R7" s="20" t="n">
        <v>0</v>
      </c>
      <c r="S7" s="18" t="n">
        <v>0.17793133</v>
      </c>
      <c r="T7" s="20" t="n">
        <v>0.14854503</v>
      </c>
      <c r="U7" s="18" t="n">
        <v>0</v>
      </c>
      <c r="V7" s="20" t="n">
        <v>0</v>
      </c>
      <c r="W7" s="18" t="n">
        <v>7.58779591</v>
      </c>
      <c r="X7" s="20" t="n">
        <v>1.03466353</v>
      </c>
    </row>
    <row r="8" spans="1:24">
      <c r="A8" s="15" t="s">
        <v>568</v>
      </c>
      <c r="B8" s="17" t="n">
        <v>3564</v>
      </c>
      <c r="C8" s="18">
        <f>(3160.0/B8*100)</f>
        <v/>
      </c>
      <c r="D8" s="19" t="n">
        <v>404</v>
      </c>
      <c r="E8" s="18" t="n">
        <v>11.39941958</v>
      </c>
      <c r="F8" s="20" t="n">
        <v>2.13601988</v>
      </c>
      <c r="G8" s="18" t="n">
        <v>2.93384508</v>
      </c>
      <c r="H8" s="20" t="n">
        <v>1.11951242</v>
      </c>
      <c r="I8" s="18" t="n">
        <v>20.33875069</v>
      </c>
      <c r="J8" s="20" t="n">
        <v>2.36546924</v>
      </c>
      <c r="K8" s="18" t="n">
        <v>35.73813993</v>
      </c>
      <c r="L8" s="20" t="n">
        <v>2.93253607</v>
      </c>
      <c r="M8" s="18" t="n">
        <v>16.91953916</v>
      </c>
      <c r="N8" s="20" t="n">
        <v>2.34623102</v>
      </c>
      <c r="O8" s="18" t="s">
        <v>567</v>
      </c>
      <c r="P8" s="20" t="s">
        <v>567</v>
      </c>
      <c r="Q8" s="18" t="n">
        <v>0</v>
      </c>
      <c r="R8" s="20" t="n">
        <v>0</v>
      </c>
      <c r="S8" s="18" t="n">
        <v>0</v>
      </c>
      <c r="T8" s="20" t="n">
        <v>0</v>
      </c>
      <c r="U8" s="18" t="n">
        <v>0</v>
      </c>
      <c r="V8" s="20" t="n">
        <v>0</v>
      </c>
      <c r="W8" s="18" t="n">
        <v>12.67030556</v>
      </c>
      <c r="X8" s="20" t="n">
        <v>1.77366249</v>
      </c>
    </row>
    <row r="9" spans="1:24">
      <c r="A9" s="15" t="s">
        <v>569</v>
      </c>
      <c r="B9" s="17" t="n">
        <v>4899</v>
      </c>
      <c r="C9" s="18">
        <f>(4420.0/B9*100)</f>
        <v/>
      </c>
      <c r="D9" s="19" t="n">
        <v>479</v>
      </c>
      <c r="E9" s="18" t="n">
        <v>9.38188478</v>
      </c>
      <c r="F9" s="20" t="n">
        <v>1.42313916</v>
      </c>
      <c r="G9" s="18" t="n">
        <v>7.27033248</v>
      </c>
      <c r="H9" s="20" t="n">
        <v>1.19975982</v>
      </c>
      <c r="I9" s="18" t="n">
        <v>21.96831103</v>
      </c>
      <c r="J9" s="20" t="n">
        <v>2.1887749</v>
      </c>
      <c r="K9" s="18" t="n">
        <v>33.91760508</v>
      </c>
      <c r="L9" s="20" t="n">
        <v>2.48556913</v>
      </c>
      <c r="M9" s="18" t="n">
        <v>15.59740958</v>
      </c>
      <c r="N9" s="20" t="n">
        <v>1.74261697</v>
      </c>
      <c r="O9" s="18" t="s">
        <v>567</v>
      </c>
      <c r="P9" s="20" t="s">
        <v>567</v>
      </c>
      <c r="Q9" s="18" t="n">
        <v>0</v>
      </c>
      <c r="R9" s="20" t="n">
        <v>0</v>
      </c>
      <c r="S9" s="18" t="n">
        <v>0.87379974</v>
      </c>
      <c r="T9" s="20" t="n">
        <v>0.30667309</v>
      </c>
      <c r="U9" s="18" t="n">
        <v>0</v>
      </c>
      <c r="V9" s="20" t="n">
        <v>0</v>
      </c>
      <c r="W9" s="18" t="n">
        <v>10.99065731</v>
      </c>
      <c r="X9" s="20" t="n">
        <v>1.66244587</v>
      </c>
    </row>
    <row r="10" spans="1:24">
      <c r="A10" s="15" t="s">
        <v>570</v>
      </c>
      <c r="B10" s="17" t="n">
        <v>10036</v>
      </c>
      <c r="C10" s="18">
        <f>(8961.0/B10*100)</f>
        <v/>
      </c>
      <c r="D10" s="19" t="n">
        <v>1075</v>
      </c>
      <c r="E10" s="18" t="n">
        <v>12.43440779</v>
      </c>
      <c r="F10" s="20" t="n">
        <v>1.29132351</v>
      </c>
      <c r="G10" s="18" t="n">
        <v>12.72370183</v>
      </c>
      <c r="H10" s="20" t="n">
        <v>1.40637466</v>
      </c>
      <c r="I10" s="18" t="n">
        <v>14.57929557</v>
      </c>
      <c r="J10" s="20" t="n">
        <v>1.6479888</v>
      </c>
      <c r="K10" s="18" t="n">
        <v>37.11029679</v>
      </c>
      <c r="L10" s="20" t="n">
        <v>2.3200125</v>
      </c>
      <c r="M10" s="18" t="n">
        <v>18.34013159</v>
      </c>
      <c r="N10" s="20" t="n">
        <v>1.66543921</v>
      </c>
      <c r="O10" s="18" t="s">
        <v>567</v>
      </c>
      <c r="P10" s="20" t="s">
        <v>567</v>
      </c>
      <c r="Q10" s="18" t="n">
        <v>0.02141819</v>
      </c>
      <c r="R10" s="20" t="n">
        <v>0.02125126</v>
      </c>
      <c r="S10" s="18" t="n">
        <v>0</v>
      </c>
      <c r="T10" s="20" t="n">
        <v>0</v>
      </c>
      <c r="U10" s="18" t="n">
        <v>0</v>
      </c>
      <c r="V10" s="20" t="n">
        <v>0</v>
      </c>
      <c r="W10" s="18" t="n">
        <v>4.79074824</v>
      </c>
      <c r="X10" s="20" t="n">
        <v>1.00073196</v>
      </c>
    </row>
    <row r="11" spans="1:24">
      <c r="A11" s="15" t="s">
        <v>571</v>
      </c>
      <c r="B11" s="17" t="n">
        <v>3553</v>
      </c>
      <c r="C11" s="18">
        <f>(3158.0/B11*100)</f>
        <v/>
      </c>
      <c r="D11" s="19" t="n">
        <v>395</v>
      </c>
      <c r="E11" s="18" t="n">
        <v>9.355760800000001</v>
      </c>
      <c r="F11" s="20" t="n">
        <v>1.8750655</v>
      </c>
      <c r="G11" s="18" t="n">
        <v>22.39672394</v>
      </c>
      <c r="H11" s="20" t="n">
        <v>2.26119997</v>
      </c>
      <c r="I11" s="18" t="n">
        <v>21.20615361</v>
      </c>
      <c r="J11" s="20" t="n">
        <v>2.11721352</v>
      </c>
      <c r="K11" s="18" t="n">
        <v>26.85257442</v>
      </c>
      <c r="L11" s="20" t="n">
        <v>2.39270689</v>
      </c>
      <c r="M11" s="18" t="n">
        <v>7.50621523</v>
      </c>
      <c r="N11" s="20" t="n">
        <v>1.57489431</v>
      </c>
      <c r="O11" s="18" t="s">
        <v>567</v>
      </c>
      <c r="P11" s="20" t="s">
        <v>567</v>
      </c>
      <c r="Q11" s="18" t="n">
        <v>0</v>
      </c>
      <c r="R11" s="20" t="n">
        <v>0</v>
      </c>
      <c r="S11" s="18" t="n">
        <v>0</v>
      </c>
      <c r="T11" s="20" t="n">
        <v>0</v>
      </c>
      <c r="U11" s="18" t="n">
        <v>0</v>
      </c>
      <c r="V11" s="20" t="n">
        <v>0</v>
      </c>
      <c r="W11" s="18" t="n">
        <v>12.682572</v>
      </c>
      <c r="X11" s="20" t="n">
        <v>2.49858243</v>
      </c>
    </row>
    <row r="12" spans="1:24">
      <c r="A12" s="15" t="s">
        <v>572</v>
      </c>
      <c r="B12" s="17" t="n">
        <v>3472</v>
      </c>
      <c r="C12" s="18">
        <f>(3095.0/B12*100)</f>
        <v/>
      </c>
      <c r="D12" s="19" t="n">
        <v>377</v>
      </c>
      <c r="E12" s="18" t="n">
        <v>7.7485277</v>
      </c>
      <c r="F12" s="20" t="n">
        <v>1.5361426</v>
      </c>
      <c r="G12" s="18" t="n">
        <v>14.4331135</v>
      </c>
      <c r="H12" s="20" t="n">
        <v>1.94121415</v>
      </c>
      <c r="I12" s="18" t="n">
        <v>16.49263419</v>
      </c>
      <c r="J12" s="20" t="n">
        <v>2.13021678</v>
      </c>
      <c r="K12" s="18" t="n">
        <v>36.43473668</v>
      </c>
      <c r="L12" s="20" t="n">
        <v>2.51386471</v>
      </c>
      <c r="M12" s="18" t="n">
        <v>7.18746548</v>
      </c>
      <c r="N12" s="20" t="n">
        <v>1.87899192</v>
      </c>
      <c r="O12" s="18" t="s">
        <v>567</v>
      </c>
      <c r="P12" s="20" t="s">
        <v>567</v>
      </c>
      <c r="Q12" s="18" t="n">
        <v>0</v>
      </c>
      <c r="R12" s="20" t="n">
        <v>0</v>
      </c>
      <c r="S12" s="18" t="n">
        <v>0.15166426</v>
      </c>
      <c r="T12" s="20" t="n">
        <v>0.20440315</v>
      </c>
      <c r="U12" s="18" t="n">
        <v>0</v>
      </c>
      <c r="V12" s="20" t="n">
        <v>0</v>
      </c>
      <c r="W12" s="18" t="n">
        <v>17.5518582</v>
      </c>
      <c r="X12" s="20" t="n">
        <v>2.04666736</v>
      </c>
    </row>
    <row r="13" spans="1:24">
      <c r="A13" s="15" t="s">
        <v>573</v>
      </c>
      <c r="B13" s="17" t="n">
        <v>3559</v>
      </c>
      <c r="C13" s="18">
        <f>(3190.0/B13*100)</f>
        <v/>
      </c>
      <c r="D13" s="19" t="n">
        <v>369</v>
      </c>
      <c r="E13" s="18" t="n">
        <v>8.24461359</v>
      </c>
      <c r="F13" s="20" t="n">
        <v>1.74407438</v>
      </c>
      <c r="G13" s="18" t="n">
        <v>10.55069342</v>
      </c>
      <c r="H13" s="20" t="n">
        <v>1.70980228</v>
      </c>
      <c r="I13" s="18" t="n">
        <v>21.99081566</v>
      </c>
      <c r="J13" s="20" t="n">
        <v>2.95653664</v>
      </c>
      <c r="K13" s="18" t="n">
        <v>36.23230728</v>
      </c>
      <c r="L13" s="20" t="n">
        <v>2.84628857</v>
      </c>
      <c r="M13" s="18" t="n">
        <v>13.32617916</v>
      </c>
      <c r="N13" s="20" t="n">
        <v>2.20046864</v>
      </c>
      <c r="O13" s="18" t="s">
        <v>567</v>
      </c>
      <c r="P13" s="20" t="s">
        <v>567</v>
      </c>
      <c r="Q13" s="18" t="n">
        <v>0.31568445</v>
      </c>
      <c r="R13" s="20" t="n">
        <v>0.22723674</v>
      </c>
      <c r="S13" s="18" t="n">
        <v>0</v>
      </c>
      <c r="T13" s="20" t="n">
        <v>0</v>
      </c>
      <c r="U13" s="18" t="n">
        <v>0</v>
      </c>
      <c r="V13" s="20" t="n">
        <v>0</v>
      </c>
      <c r="W13" s="18" t="n">
        <v>9.33970645</v>
      </c>
      <c r="X13" s="20" t="n">
        <v>1.7464417</v>
      </c>
    </row>
    <row r="14" spans="1:24">
      <c r="A14" s="15" t="s">
        <v>574</v>
      </c>
      <c r="B14" s="17" t="n">
        <v>2799</v>
      </c>
      <c r="C14" s="18">
        <f>(2509.0/B14*100)</f>
        <v/>
      </c>
      <c r="D14" s="19" t="n">
        <v>290</v>
      </c>
      <c r="E14" s="18" t="n">
        <v>12.49465726</v>
      </c>
      <c r="F14" s="20" t="n">
        <v>2.11050839</v>
      </c>
      <c r="G14" s="18" t="n">
        <v>7.33444314</v>
      </c>
      <c r="H14" s="20" t="n">
        <v>1.80196441</v>
      </c>
      <c r="I14" s="18" t="n">
        <v>14.00132606</v>
      </c>
      <c r="J14" s="20" t="n">
        <v>2.49111063</v>
      </c>
      <c r="K14" s="18" t="n">
        <v>43.57264672</v>
      </c>
      <c r="L14" s="20" t="n">
        <v>3.92502053</v>
      </c>
      <c r="M14" s="18" t="n">
        <v>15.05955825</v>
      </c>
      <c r="N14" s="20" t="n">
        <v>2.43282794</v>
      </c>
      <c r="O14" s="18" t="s">
        <v>567</v>
      </c>
      <c r="P14" s="20" t="s">
        <v>567</v>
      </c>
      <c r="Q14" s="18" t="n">
        <v>0</v>
      </c>
      <c r="R14" s="20" t="n">
        <v>0</v>
      </c>
      <c r="S14" s="18" t="n">
        <v>0</v>
      </c>
      <c r="T14" s="20" t="n">
        <v>0</v>
      </c>
      <c r="U14" s="18" t="n">
        <v>0</v>
      </c>
      <c r="V14" s="20" t="n">
        <v>0</v>
      </c>
      <c r="W14" s="18" t="n">
        <v>7.53736856</v>
      </c>
      <c r="X14" s="20" t="n">
        <v>1.72731412</v>
      </c>
    </row>
    <row r="15" spans="1:24">
      <c r="A15" s="15" t="s">
        <v>575</v>
      </c>
      <c r="B15" s="17" t="n">
        <v>3019</v>
      </c>
      <c r="C15" s="18">
        <f>(2664.0/B15*100)</f>
        <v/>
      </c>
      <c r="D15" s="19" t="n">
        <v>355</v>
      </c>
      <c r="E15" s="18" t="n">
        <v>8.19021908</v>
      </c>
      <c r="F15" s="20" t="n">
        <v>1.48819878</v>
      </c>
      <c r="G15" s="18" t="n">
        <v>9.25240773</v>
      </c>
      <c r="H15" s="20" t="n">
        <v>1.87517245</v>
      </c>
      <c r="I15" s="18" t="n">
        <v>11.25095759</v>
      </c>
      <c r="J15" s="20" t="n">
        <v>1.77302805</v>
      </c>
      <c r="K15" s="18" t="n">
        <v>55.89075226</v>
      </c>
      <c r="L15" s="20" t="n">
        <v>2.64729855</v>
      </c>
      <c r="M15" s="18" t="n">
        <v>7.93235874</v>
      </c>
      <c r="N15" s="20" t="n">
        <v>1.38008053</v>
      </c>
      <c r="O15" s="18" t="s">
        <v>567</v>
      </c>
      <c r="P15" s="20" t="s">
        <v>567</v>
      </c>
      <c r="Q15" s="18" t="n">
        <v>0</v>
      </c>
      <c r="R15" s="20" t="n">
        <v>0</v>
      </c>
      <c r="S15" s="18" t="n">
        <v>0</v>
      </c>
      <c r="T15" s="20" t="n">
        <v>0</v>
      </c>
      <c r="U15" s="18" t="n">
        <v>0</v>
      </c>
      <c r="V15" s="20" t="n">
        <v>0</v>
      </c>
      <c r="W15" s="18" t="n">
        <v>7.48330461</v>
      </c>
      <c r="X15" s="20" t="n">
        <v>1.34714148</v>
      </c>
    </row>
    <row r="16" spans="1:24">
      <c r="A16" s="15" t="s">
        <v>576</v>
      </c>
      <c r="B16" s="17" t="n">
        <v>2997</v>
      </c>
      <c r="C16" s="18">
        <f>(2660.0/B16*100)</f>
        <v/>
      </c>
      <c r="D16" s="19" t="n">
        <v>337</v>
      </c>
      <c r="E16" s="18" t="n">
        <v>3.94815909</v>
      </c>
      <c r="F16" s="20" t="n">
        <v>1.1312022</v>
      </c>
      <c r="G16" s="18" t="n">
        <v>13.03737323</v>
      </c>
      <c r="H16" s="20" t="n">
        <v>1.74518868</v>
      </c>
      <c r="I16" s="18" t="n">
        <v>18.72043836</v>
      </c>
      <c r="J16" s="20" t="n">
        <v>2.08897776</v>
      </c>
      <c r="K16" s="18" t="n">
        <v>37.8929394</v>
      </c>
      <c r="L16" s="20" t="n">
        <v>2.65892536</v>
      </c>
      <c r="M16" s="18" t="n">
        <v>8.405810170000001</v>
      </c>
      <c r="N16" s="20" t="n">
        <v>1.55561791</v>
      </c>
      <c r="O16" s="18" t="s">
        <v>567</v>
      </c>
      <c r="P16" s="20" t="s">
        <v>567</v>
      </c>
      <c r="Q16" s="18" t="n">
        <v>0</v>
      </c>
      <c r="R16" s="20" t="n">
        <v>0</v>
      </c>
      <c r="S16" s="18" t="n">
        <v>0</v>
      </c>
      <c r="T16" s="20" t="n">
        <v>0</v>
      </c>
      <c r="U16" s="18" t="n">
        <v>0</v>
      </c>
      <c r="V16" s="20" t="n">
        <v>0</v>
      </c>
      <c r="W16" s="18" t="n">
        <v>17.99527975</v>
      </c>
      <c r="X16" s="20" t="n">
        <v>2.14984215</v>
      </c>
    </row>
    <row r="17" spans="1:24">
      <c r="A17" s="15" t="s">
        <v>577</v>
      </c>
      <c r="B17" s="17" t="n">
        <v>3307</v>
      </c>
      <c r="C17" s="18">
        <f>(2976.0/B17*100)</f>
        <v/>
      </c>
      <c r="D17" s="19" t="n">
        <v>331</v>
      </c>
      <c r="E17" s="18" t="n">
        <v>9.969046820000001</v>
      </c>
      <c r="F17" s="20" t="n">
        <v>1.67847482</v>
      </c>
      <c r="G17" s="18" t="n">
        <v>5.56263394</v>
      </c>
      <c r="H17" s="20" t="n">
        <v>1.43836165</v>
      </c>
      <c r="I17" s="18" t="n">
        <v>17.2712411</v>
      </c>
      <c r="J17" s="20" t="n">
        <v>1.94505299</v>
      </c>
      <c r="K17" s="18" t="n">
        <v>47.88086926</v>
      </c>
      <c r="L17" s="20" t="n">
        <v>3.07980022</v>
      </c>
      <c r="M17" s="18" t="n">
        <v>7.97186927</v>
      </c>
      <c r="N17" s="20" t="n">
        <v>1.47517405</v>
      </c>
      <c r="O17" s="18" t="s">
        <v>567</v>
      </c>
      <c r="P17" s="20" t="s">
        <v>567</v>
      </c>
      <c r="Q17" s="18" t="n">
        <v>0</v>
      </c>
      <c r="R17" s="20" t="n">
        <v>0</v>
      </c>
      <c r="S17" s="18" t="n">
        <v>0</v>
      </c>
      <c r="T17" s="20" t="n">
        <v>0</v>
      </c>
      <c r="U17" s="18" t="n">
        <v>0</v>
      </c>
      <c r="V17" s="20" t="n">
        <v>0</v>
      </c>
      <c r="W17" s="18" t="n">
        <v>11.34433961</v>
      </c>
      <c r="X17" s="20" t="n">
        <v>1.70389407</v>
      </c>
    </row>
    <row r="18" spans="1:24">
      <c r="A18" s="15" t="s">
        <v>578</v>
      </c>
      <c r="B18" s="17" t="n">
        <v>2826</v>
      </c>
      <c r="C18" s="18">
        <f>(2501.0/B18*100)</f>
        <v/>
      </c>
      <c r="D18" s="19" t="n">
        <v>325</v>
      </c>
      <c r="E18" s="18" t="n">
        <v>8.742327510000001</v>
      </c>
      <c r="F18" s="20" t="n">
        <v>1.58297938</v>
      </c>
      <c r="G18" s="18" t="n">
        <v>5.72554428</v>
      </c>
      <c r="H18" s="20" t="n">
        <v>1.25865264</v>
      </c>
      <c r="I18" s="18" t="n">
        <v>26.49960618</v>
      </c>
      <c r="J18" s="20" t="n">
        <v>2.85979929</v>
      </c>
      <c r="K18" s="18" t="n">
        <v>29.47592142</v>
      </c>
      <c r="L18" s="20" t="n">
        <v>2.75304707</v>
      </c>
      <c r="M18" s="18" t="n">
        <v>12.28336612</v>
      </c>
      <c r="N18" s="20" t="n">
        <v>1.98740149</v>
      </c>
      <c r="O18" s="18" t="s">
        <v>567</v>
      </c>
      <c r="P18" s="20" t="s">
        <v>567</v>
      </c>
      <c r="Q18" s="18" t="n">
        <v>0.35210808</v>
      </c>
      <c r="R18" s="20" t="n">
        <v>0.34887791</v>
      </c>
      <c r="S18" s="18" t="n">
        <v>0</v>
      </c>
      <c r="T18" s="20" t="n">
        <v>0</v>
      </c>
      <c r="U18" s="18" t="n">
        <v>0</v>
      </c>
      <c r="V18" s="20" t="n">
        <v>0</v>
      </c>
      <c r="W18" s="18" t="n">
        <v>16.92112641</v>
      </c>
      <c r="X18" s="20" t="n">
        <v>2.07614211</v>
      </c>
    </row>
    <row r="19" spans="1:24">
      <c r="A19" s="15" t="s">
        <v>579</v>
      </c>
      <c r="B19" s="17" t="n">
        <v>2808</v>
      </c>
      <c r="C19" s="18">
        <f>(2481.0/B19*100)</f>
        <v/>
      </c>
      <c r="D19" s="19" t="n">
        <v>327</v>
      </c>
      <c r="E19" s="18" t="n">
        <v>20.69557552</v>
      </c>
      <c r="F19" s="20" t="n">
        <v>2.23608475</v>
      </c>
      <c r="G19" s="18" t="n">
        <v>2.23423768</v>
      </c>
      <c r="H19" s="20" t="n">
        <v>0.77959985</v>
      </c>
      <c r="I19" s="18" t="n">
        <v>12.70180592</v>
      </c>
      <c r="J19" s="20" t="n">
        <v>1.77606919</v>
      </c>
      <c r="K19" s="18" t="n">
        <v>9.550678919999999</v>
      </c>
      <c r="L19" s="20" t="n">
        <v>1.96342188</v>
      </c>
      <c r="M19" s="18" t="n">
        <v>34.946021</v>
      </c>
      <c r="N19" s="20" t="n">
        <v>2.3862679</v>
      </c>
      <c r="O19" s="18" t="s">
        <v>567</v>
      </c>
      <c r="P19" s="20" t="s">
        <v>567</v>
      </c>
      <c r="Q19" s="18" t="n">
        <v>0</v>
      </c>
      <c r="R19" s="20" t="n">
        <v>0</v>
      </c>
      <c r="S19" s="18" t="n">
        <v>0</v>
      </c>
      <c r="T19" s="20" t="n">
        <v>0</v>
      </c>
      <c r="U19" s="18" t="n">
        <v>0</v>
      </c>
      <c r="V19" s="20" t="n">
        <v>0</v>
      </c>
      <c r="W19" s="18" t="n">
        <v>19.87168096</v>
      </c>
      <c r="X19" s="20" t="n">
        <v>2.30633879</v>
      </c>
    </row>
    <row r="20" spans="1:24">
      <c r="A20" s="15" t="s">
        <v>580</v>
      </c>
      <c r="B20" s="17" t="n">
        <v>1630</v>
      </c>
      <c r="C20" s="18">
        <f>(1466.0/B20*100)</f>
        <v/>
      </c>
      <c r="D20" s="19" t="n">
        <v>164</v>
      </c>
      <c r="E20" s="18" t="n">
        <v>28.22565478</v>
      </c>
      <c r="F20" s="20" t="n">
        <v>3.14635517</v>
      </c>
      <c r="G20" s="18" t="n">
        <v>12.18271455</v>
      </c>
      <c r="H20" s="20" t="n">
        <v>2.51323096</v>
      </c>
      <c r="I20" s="18" t="n">
        <v>17.56069008</v>
      </c>
      <c r="J20" s="20" t="n">
        <v>3.05256067</v>
      </c>
      <c r="K20" s="18" t="n">
        <v>21.28185272</v>
      </c>
      <c r="L20" s="20" t="n">
        <v>3.25998815</v>
      </c>
      <c r="M20" s="18" t="n">
        <v>7.84207065</v>
      </c>
      <c r="N20" s="20" t="n">
        <v>1.75744976</v>
      </c>
      <c r="O20" s="18" t="s">
        <v>567</v>
      </c>
      <c r="P20" s="20" t="s">
        <v>567</v>
      </c>
      <c r="Q20" s="18" t="n">
        <v>0</v>
      </c>
      <c r="R20" s="20" t="n">
        <v>0</v>
      </c>
      <c r="S20" s="18" t="n">
        <v>0</v>
      </c>
      <c r="T20" s="20" t="n">
        <v>0</v>
      </c>
      <c r="U20" s="18" t="n">
        <v>0</v>
      </c>
      <c r="V20" s="20" t="n">
        <v>0</v>
      </c>
      <c r="W20" s="18" t="n">
        <v>12.90701722</v>
      </c>
      <c r="X20" s="20" t="n">
        <v>3.13326399</v>
      </c>
    </row>
    <row r="21" spans="1:24">
      <c r="A21" s="15" t="s">
        <v>581</v>
      </c>
      <c r="B21" s="17" t="n">
        <v>2908</v>
      </c>
      <c r="C21" s="18">
        <f>(2595.0/B21*100)</f>
        <v/>
      </c>
      <c r="D21" s="19" t="n">
        <v>313</v>
      </c>
      <c r="E21" s="18" t="n">
        <v>14.40916235</v>
      </c>
      <c r="F21" s="20" t="n">
        <v>1.96398735</v>
      </c>
      <c r="G21" s="18" t="n">
        <v>17.70228837</v>
      </c>
      <c r="H21" s="20" t="n">
        <v>2.16350988</v>
      </c>
      <c r="I21" s="18" t="n">
        <v>15.67889298</v>
      </c>
      <c r="J21" s="20" t="n">
        <v>2.08285246</v>
      </c>
      <c r="K21" s="18" t="n">
        <v>32.55116733</v>
      </c>
      <c r="L21" s="20" t="n">
        <v>3.03406361</v>
      </c>
      <c r="M21" s="18" t="n">
        <v>11.43811299</v>
      </c>
      <c r="N21" s="20" t="n">
        <v>1.67661592</v>
      </c>
      <c r="O21" s="18" t="s">
        <v>567</v>
      </c>
      <c r="P21" s="20" t="s">
        <v>567</v>
      </c>
      <c r="Q21" s="18" t="n">
        <v>0</v>
      </c>
      <c r="R21" s="20" t="n">
        <v>0</v>
      </c>
      <c r="S21" s="18" t="n">
        <v>0</v>
      </c>
      <c r="T21" s="20" t="n">
        <v>0</v>
      </c>
      <c r="U21" s="18" t="n">
        <v>0</v>
      </c>
      <c r="V21" s="20" t="n">
        <v>0</v>
      </c>
      <c r="W21" s="18" t="n">
        <v>8.22037598</v>
      </c>
      <c r="X21" s="20" t="n">
        <v>1.64495439</v>
      </c>
    </row>
    <row r="22" spans="1:24">
      <c r="A22" s="15" t="s">
        <v>582</v>
      </c>
      <c r="B22" s="17" t="n">
        <v>2931</v>
      </c>
      <c r="C22" s="18">
        <f>(2613.0/B22*100)</f>
        <v/>
      </c>
      <c r="D22" s="19" t="n">
        <v>318</v>
      </c>
      <c r="E22" s="18" t="n">
        <v>4.80818413</v>
      </c>
      <c r="F22" s="20" t="n">
        <v>1.13060514</v>
      </c>
      <c r="G22" s="18" t="n">
        <v>6.79605615</v>
      </c>
      <c r="H22" s="20" t="n">
        <v>1.39647505</v>
      </c>
      <c r="I22" s="18" t="n">
        <v>15.68543037</v>
      </c>
      <c r="J22" s="20" t="n">
        <v>2.19357063</v>
      </c>
      <c r="K22" s="18" t="n">
        <v>42.63352175</v>
      </c>
      <c r="L22" s="20" t="n">
        <v>2.98864862</v>
      </c>
      <c r="M22" s="18" t="n">
        <v>11.90206981</v>
      </c>
      <c r="N22" s="20" t="n">
        <v>2.06636639</v>
      </c>
      <c r="O22" s="18" t="s">
        <v>567</v>
      </c>
      <c r="P22" s="20" t="s">
        <v>567</v>
      </c>
      <c r="Q22" s="18" t="n">
        <v>0.8739295</v>
      </c>
      <c r="R22" s="20" t="n">
        <v>0.43485678</v>
      </c>
      <c r="S22" s="18" t="n">
        <v>0</v>
      </c>
      <c r="T22" s="20" t="n">
        <v>0</v>
      </c>
      <c r="U22" s="18" t="n">
        <v>0</v>
      </c>
      <c r="V22" s="20" t="n">
        <v>0</v>
      </c>
      <c r="W22" s="18" t="n">
        <v>17.30080829</v>
      </c>
      <c r="X22" s="20" t="n">
        <v>2.28798905</v>
      </c>
    </row>
    <row r="23" spans="1:24">
      <c r="A23" s="15" t="s">
        <v>583</v>
      </c>
      <c r="B23" s="17" t="n">
        <v>5791</v>
      </c>
      <c r="C23" s="18">
        <f>(5122.0/B23*100)</f>
        <v/>
      </c>
      <c r="D23" s="19" t="n">
        <v>669</v>
      </c>
      <c r="E23" s="18" t="n">
        <v>4.30924179</v>
      </c>
      <c r="F23" s="20" t="n">
        <v>0.96886891</v>
      </c>
      <c r="G23" s="18" t="n">
        <v>9.93767489</v>
      </c>
      <c r="H23" s="20" t="n">
        <v>1.78422687</v>
      </c>
      <c r="I23" s="18" t="n">
        <v>21.23652263</v>
      </c>
      <c r="J23" s="20" t="n">
        <v>2.07207334</v>
      </c>
      <c r="K23" s="18" t="n">
        <v>34.91082463</v>
      </c>
      <c r="L23" s="20" t="n">
        <v>2.40680579</v>
      </c>
      <c r="M23" s="18" t="n">
        <v>14.5620065</v>
      </c>
      <c r="N23" s="20" t="n">
        <v>2.22345492</v>
      </c>
      <c r="O23" s="18" t="s">
        <v>567</v>
      </c>
      <c r="P23" s="20" t="s">
        <v>567</v>
      </c>
      <c r="Q23" s="18" t="n">
        <v>0.47906821</v>
      </c>
      <c r="R23" s="20" t="n">
        <v>0.55228842</v>
      </c>
      <c r="S23" s="18" t="n">
        <v>0.01195111</v>
      </c>
      <c r="T23" s="20" t="n">
        <v>0.01188659</v>
      </c>
      <c r="U23" s="18" t="n">
        <v>0</v>
      </c>
      <c r="V23" s="20" t="n">
        <v>0</v>
      </c>
      <c r="W23" s="18" t="n">
        <v>14.55271025</v>
      </c>
      <c r="X23" s="20" t="n">
        <v>2.39788944</v>
      </c>
    </row>
    <row r="24" spans="1:24">
      <c r="A24" s="15" t="s">
        <v>584</v>
      </c>
      <c r="B24" s="17" t="n">
        <v>3338</v>
      </c>
      <c r="C24" s="18">
        <f>(2970.0/B24*100)</f>
        <v/>
      </c>
      <c r="D24" s="19" t="n">
        <v>368</v>
      </c>
      <c r="E24" s="18" t="n">
        <v>7.2716813</v>
      </c>
      <c r="F24" s="20" t="n">
        <v>1.64372261</v>
      </c>
      <c r="G24" s="18" t="n">
        <v>4.551196</v>
      </c>
      <c r="H24" s="20" t="n">
        <v>1.40897816</v>
      </c>
      <c r="I24" s="18" t="n">
        <v>6.25140852</v>
      </c>
      <c r="J24" s="20" t="n">
        <v>1.37145141</v>
      </c>
      <c r="K24" s="18" t="n">
        <v>51.59788335</v>
      </c>
      <c r="L24" s="20" t="n">
        <v>2.82940976</v>
      </c>
      <c r="M24" s="18" t="n">
        <v>16.351963</v>
      </c>
      <c r="N24" s="20" t="n">
        <v>2.09962838</v>
      </c>
      <c r="O24" s="18" t="s">
        <v>567</v>
      </c>
      <c r="P24" s="20" t="s">
        <v>567</v>
      </c>
      <c r="Q24" s="18" t="n">
        <v>0.23726668</v>
      </c>
      <c r="R24" s="20" t="n">
        <v>0.23737062</v>
      </c>
      <c r="S24" s="18" t="n">
        <v>0</v>
      </c>
      <c r="T24" s="20" t="n">
        <v>0</v>
      </c>
      <c r="U24" s="18" t="n">
        <v>0</v>
      </c>
      <c r="V24" s="20" t="n">
        <v>0</v>
      </c>
      <c r="W24" s="18" t="n">
        <v>13.73860114</v>
      </c>
      <c r="X24" s="20" t="n">
        <v>2.12590592</v>
      </c>
    </row>
    <row r="25" spans="1:24">
      <c r="A25" s="15" t="s">
        <v>585</v>
      </c>
      <c r="B25" s="17" t="n">
        <v>2912</v>
      </c>
      <c r="C25" s="18">
        <f>(2562.0/B25*100)</f>
        <v/>
      </c>
      <c r="D25" s="19" t="n">
        <v>350</v>
      </c>
      <c r="E25" s="18" t="n">
        <v>11.76276679</v>
      </c>
      <c r="F25" s="20" t="n">
        <v>1.75294131</v>
      </c>
      <c r="G25" s="18" t="n">
        <v>11.88333702</v>
      </c>
      <c r="H25" s="20" t="n">
        <v>1.71491723</v>
      </c>
      <c r="I25" s="18" t="n">
        <v>5.80949024</v>
      </c>
      <c r="J25" s="20" t="n">
        <v>1.48203893</v>
      </c>
      <c r="K25" s="18" t="n">
        <v>56.65965452</v>
      </c>
      <c r="L25" s="20" t="n">
        <v>2.8640913</v>
      </c>
      <c r="M25" s="18" t="n">
        <v>4.40292203</v>
      </c>
      <c r="N25" s="20" t="n">
        <v>1.06458395</v>
      </c>
      <c r="O25" s="18" t="s">
        <v>567</v>
      </c>
      <c r="P25" s="20" t="s">
        <v>567</v>
      </c>
      <c r="Q25" s="18" t="n">
        <v>1.70081909</v>
      </c>
      <c r="R25" s="20" t="n">
        <v>0.67468001</v>
      </c>
      <c r="S25" s="18" t="n">
        <v>0</v>
      </c>
      <c r="T25" s="20" t="n">
        <v>0</v>
      </c>
      <c r="U25" s="18" t="n">
        <v>0</v>
      </c>
      <c r="V25" s="20" t="n">
        <v>0</v>
      </c>
      <c r="W25" s="18" t="n">
        <v>7.78101032</v>
      </c>
      <c r="X25" s="20" t="n">
        <v>1.55519498</v>
      </c>
    </row>
    <row r="26" spans="1:24">
      <c r="A26" s="15" t="s">
        <v>586</v>
      </c>
      <c r="B26" s="17" t="n">
        <v>2450</v>
      </c>
      <c r="C26" s="18">
        <f>(2180.0/B26*100)</f>
        <v/>
      </c>
      <c r="D26" s="19" t="n">
        <v>270</v>
      </c>
      <c r="E26" s="18" t="n">
        <v>10.78809271</v>
      </c>
      <c r="F26" s="20" t="n">
        <v>2.16307701</v>
      </c>
      <c r="G26" s="18" t="n">
        <v>6.82290078</v>
      </c>
      <c r="H26" s="20" t="n">
        <v>1.55452114</v>
      </c>
      <c r="I26" s="18" t="n">
        <v>25.18670613</v>
      </c>
      <c r="J26" s="20" t="n">
        <v>2.72701689</v>
      </c>
      <c r="K26" s="18" t="n">
        <v>33.23408795</v>
      </c>
      <c r="L26" s="20" t="n">
        <v>2.94030844</v>
      </c>
      <c r="M26" s="18" t="n">
        <v>16.4035519</v>
      </c>
      <c r="N26" s="20" t="n">
        <v>2.3804524</v>
      </c>
      <c r="O26" s="18" t="s">
        <v>567</v>
      </c>
      <c r="P26" s="20" t="s">
        <v>567</v>
      </c>
      <c r="Q26" s="18" t="n">
        <v>0</v>
      </c>
      <c r="R26" s="20" t="n">
        <v>0</v>
      </c>
      <c r="S26" s="18" t="n">
        <v>0</v>
      </c>
      <c r="T26" s="20" t="n">
        <v>0</v>
      </c>
      <c r="U26" s="18" t="n">
        <v>0</v>
      </c>
      <c r="V26" s="20" t="n">
        <v>0</v>
      </c>
      <c r="W26" s="18" t="n">
        <v>7.56466054</v>
      </c>
      <c r="X26" s="20" t="n">
        <v>1.70233353</v>
      </c>
    </row>
    <row r="27" spans="1:24">
      <c r="A27" s="15" t="s">
        <v>587</v>
      </c>
      <c r="B27" s="17" t="n">
        <v>2616</v>
      </c>
      <c r="C27" s="18">
        <f>(2346.0/B27*100)</f>
        <v/>
      </c>
      <c r="D27" s="19" t="n">
        <v>270</v>
      </c>
      <c r="E27" s="18" t="n">
        <v>7.84026526</v>
      </c>
      <c r="F27" s="20" t="n">
        <v>1.57007057</v>
      </c>
      <c r="G27" s="18" t="n">
        <v>8.861686110000001</v>
      </c>
      <c r="H27" s="20" t="n">
        <v>1.83242836</v>
      </c>
      <c r="I27" s="18" t="n">
        <v>23.04771221</v>
      </c>
      <c r="J27" s="20" t="n">
        <v>2.40413258</v>
      </c>
      <c r="K27" s="18" t="n">
        <v>36.76811045</v>
      </c>
      <c r="L27" s="20" t="n">
        <v>2.95896626</v>
      </c>
      <c r="M27" s="18" t="n">
        <v>11.01489262</v>
      </c>
      <c r="N27" s="20" t="n">
        <v>1.94355706</v>
      </c>
      <c r="O27" s="18" t="s">
        <v>567</v>
      </c>
      <c r="P27" s="20" t="s">
        <v>567</v>
      </c>
      <c r="Q27" s="18" t="n">
        <v>0</v>
      </c>
      <c r="R27" s="20" t="n">
        <v>0</v>
      </c>
      <c r="S27" s="18" t="n">
        <v>0</v>
      </c>
      <c r="T27" s="20" t="n">
        <v>0</v>
      </c>
      <c r="U27" s="18" t="n">
        <v>0</v>
      </c>
      <c r="V27" s="20" t="n">
        <v>0</v>
      </c>
      <c r="W27" s="18" t="n">
        <v>12.46733336</v>
      </c>
      <c r="X27" s="20" t="n">
        <v>1.98286494</v>
      </c>
    </row>
    <row r="28" spans="1:24">
      <c r="A28" s="15" t="s">
        <v>588</v>
      </c>
      <c r="B28" s="17" t="n">
        <v>3765</v>
      </c>
      <c r="C28" s="18">
        <f>(3329.0/B28*100)</f>
        <v/>
      </c>
      <c r="D28" s="19" t="n">
        <v>436</v>
      </c>
      <c r="E28" s="18" t="n">
        <v>16.85819262</v>
      </c>
      <c r="F28" s="20" t="n">
        <v>2.10523239</v>
      </c>
      <c r="G28" s="18" t="n">
        <v>18.00292106</v>
      </c>
      <c r="H28" s="20" t="n">
        <v>1.82158945</v>
      </c>
      <c r="I28" s="18" t="n">
        <v>50.53811081</v>
      </c>
      <c r="J28" s="20" t="n">
        <v>2.76963501</v>
      </c>
      <c r="K28" s="18" t="n">
        <v>5.19740045</v>
      </c>
      <c r="L28" s="20" t="n">
        <v>1.12541845</v>
      </c>
      <c r="M28" s="18" t="n">
        <v>5.01997545</v>
      </c>
      <c r="N28" s="20" t="n">
        <v>1.10131384</v>
      </c>
      <c r="O28" s="18" t="s">
        <v>567</v>
      </c>
      <c r="P28" s="20" t="s">
        <v>567</v>
      </c>
      <c r="Q28" s="18" t="n">
        <v>0.70085958</v>
      </c>
      <c r="R28" s="20" t="n">
        <v>0.44297707</v>
      </c>
      <c r="S28" s="18" t="n">
        <v>0</v>
      </c>
      <c r="T28" s="20" t="n">
        <v>0</v>
      </c>
      <c r="U28" s="18" t="n">
        <v>0</v>
      </c>
      <c r="V28" s="20" t="n">
        <v>0</v>
      </c>
      <c r="W28" s="18" t="n">
        <v>3.68254002</v>
      </c>
      <c r="X28" s="20" t="n">
        <v>1.18483692</v>
      </c>
    </row>
    <row r="29" spans="1:24">
      <c r="A29" s="15" t="s">
        <v>589</v>
      </c>
      <c r="B29" s="17" t="n">
        <v>2685</v>
      </c>
      <c r="C29" s="18">
        <f>(2387.0/B29*100)</f>
        <v/>
      </c>
      <c r="D29" s="19" t="n">
        <v>298</v>
      </c>
      <c r="E29" s="18" t="n">
        <v>12.3986259</v>
      </c>
      <c r="F29" s="20" t="n">
        <v>1.85912911</v>
      </c>
      <c r="G29" s="18" t="n">
        <v>9.89342896</v>
      </c>
      <c r="H29" s="20" t="n">
        <v>1.71411989</v>
      </c>
      <c r="I29" s="18" t="n">
        <v>27.36391448</v>
      </c>
      <c r="J29" s="20" t="n">
        <v>2.63536042</v>
      </c>
      <c r="K29" s="18" t="n">
        <v>27.42239118</v>
      </c>
      <c r="L29" s="20" t="n">
        <v>2.26034416</v>
      </c>
      <c r="M29" s="18" t="n">
        <v>18.2240576</v>
      </c>
      <c r="N29" s="20" t="n">
        <v>2.80155096</v>
      </c>
      <c r="O29" s="18" t="s">
        <v>567</v>
      </c>
      <c r="P29" s="20" t="s">
        <v>567</v>
      </c>
      <c r="Q29" s="18" t="n">
        <v>0.38078387</v>
      </c>
      <c r="R29" s="20" t="n">
        <v>0.35229087</v>
      </c>
      <c r="S29" s="18" t="n">
        <v>0</v>
      </c>
      <c r="T29" s="20" t="n">
        <v>0</v>
      </c>
      <c r="U29" s="18" t="n">
        <v>0</v>
      </c>
      <c r="V29" s="20" t="n">
        <v>0</v>
      </c>
      <c r="W29" s="18" t="n">
        <v>4.31679801</v>
      </c>
      <c r="X29" s="20" t="n">
        <v>1.31832113</v>
      </c>
    </row>
    <row r="30" spans="1:24">
      <c r="A30" s="15" t="s">
        <v>590</v>
      </c>
      <c r="B30" s="17" t="n">
        <v>2263</v>
      </c>
      <c r="C30" s="18">
        <f>(2013.0/B30*100)</f>
        <v/>
      </c>
      <c r="D30" s="19" t="n">
        <v>250</v>
      </c>
      <c r="E30" s="18" t="n">
        <v>9.941265</v>
      </c>
      <c r="F30" s="20" t="n">
        <v>1.99322358</v>
      </c>
      <c r="G30" s="18" t="n">
        <v>13.44817158</v>
      </c>
      <c r="H30" s="20" t="n">
        <v>2.27429481</v>
      </c>
      <c r="I30" s="18" t="n">
        <v>16.28918555</v>
      </c>
      <c r="J30" s="20" t="n">
        <v>2.16524919</v>
      </c>
      <c r="K30" s="18" t="n">
        <v>34.05238814</v>
      </c>
      <c r="L30" s="20" t="n">
        <v>3.2816445</v>
      </c>
      <c r="M30" s="18" t="n">
        <v>15.15702506</v>
      </c>
      <c r="N30" s="20" t="n">
        <v>2.28335438</v>
      </c>
      <c r="O30" s="18" t="s">
        <v>567</v>
      </c>
      <c r="P30" s="20" t="s">
        <v>567</v>
      </c>
      <c r="Q30" s="18" t="n">
        <v>0.95013848</v>
      </c>
      <c r="R30" s="20" t="n">
        <v>0.62399984</v>
      </c>
      <c r="S30" s="18" t="n">
        <v>0</v>
      </c>
      <c r="T30" s="20" t="n">
        <v>0</v>
      </c>
      <c r="U30" s="18" t="n">
        <v>0</v>
      </c>
      <c r="V30" s="20" t="n">
        <v>0</v>
      </c>
      <c r="W30" s="18" t="n">
        <v>10.16182619</v>
      </c>
      <c r="X30" s="20" t="n">
        <v>1.9126956</v>
      </c>
    </row>
    <row r="31" spans="1:24">
      <c r="A31" s="15" t="s">
        <v>591</v>
      </c>
      <c r="B31" s="17" t="n">
        <v>2750</v>
      </c>
      <c r="C31" s="18">
        <f>(2449.0/B31*100)</f>
        <v/>
      </c>
      <c r="D31" s="19" t="n">
        <v>301</v>
      </c>
      <c r="E31" s="18" t="n">
        <v>13.39372042</v>
      </c>
      <c r="F31" s="20" t="n">
        <v>1.73314545</v>
      </c>
      <c r="G31" s="18" t="n">
        <v>9.12719682</v>
      </c>
      <c r="H31" s="20" t="n">
        <v>1.61560463</v>
      </c>
      <c r="I31" s="18" t="n">
        <v>16.42644338</v>
      </c>
      <c r="J31" s="20" t="n">
        <v>2.07668969</v>
      </c>
      <c r="K31" s="18" t="n">
        <v>31.16111288</v>
      </c>
      <c r="L31" s="20" t="n">
        <v>2.42595937</v>
      </c>
      <c r="M31" s="18" t="n">
        <v>18.08858009</v>
      </c>
      <c r="N31" s="20" t="n">
        <v>2.07789724</v>
      </c>
      <c r="O31" s="18" t="s">
        <v>567</v>
      </c>
      <c r="P31" s="20" t="s">
        <v>567</v>
      </c>
      <c r="Q31" s="18" t="n">
        <v>0.66152071</v>
      </c>
      <c r="R31" s="20" t="n">
        <v>0.47864453</v>
      </c>
      <c r="S31" s="18" t="n">
        <v>0.28220564</v>
      </c>
      <c r="T31" s="20" t="n">
        <v>0.33083101</v>
      </c>
      <c r="U31" s="18" t="n">
        <v>0</v>
      </c>
      <c r="V31" s="20" t="n">
        <v>0</v>
      </c>
      <c r="W31" s="18" t="n">
        <v>10.85922005</v>
      </c>
      <c r="X31" s="20" t="n">
        <v>1.88880061</v>
      </c>
    </row>
    <row r="32" spans="1:24">
      <c r="A32" s="15" t="s">
        <v>592</v>
      </c>
      <c r="B32" s="17" t="n">
        <v>2269</v>
      </c>
      <c r="C32" s="18">
        <f>(2024.0/B32*100)</f>
        <v/>
      </c>
      <c r="D32" s="19" t="n">
        <v>245</v>
      </c>
      <c r="E32" s="18" t="n">
        <v>4.60860428</v>
      </c>
      <c r="F32" s="20" t="n">
        <v>1.34614937</v>
      </c>
      <c r="G32" s="18" t="n">
        <v>11.39123032</v>
      </c>
      <c r="H32" s="20" t="n">
        <v>2.18802407</v>
      </c>
      <c r="I32" s="18" t="n">
        <v>16.22989373</v>
      </c>
      <c r="J32" s="20" t="n">
        <v>2.34523821</v>
      </c>
      <c r="K32" s="18" t="n">
        <v>50.17455854</v>
      </c>
      <c r="L32" s="20" t="n">
        <v>2.9548305</v>
      </c>
      <c r="M32" s="18" t="n">
        <v>8.223079540000001</v>
      </c>
      <c r="N32" s="20" t="n">
        <v>2.01794567</v>
      </c>
      <c r="O32" s="18" t="s">
        <v>567</v>
      </c>
      <c r="P32" s="20" t="s">
        <v>567</v>
      </c>
      <c r="Q32" s="18" t="n">
        <v>0</v>
      </c>
      <c r="R32" s="20" t="n">
        <v>0</v>
      </c>
      <c r="S32" s="18" t="n">
        <v>0</v>
      </c>
      <c r="T32" s="20" t="n">
        <v>0</v>
      </c>
      <c r="U32" s="18" t="n">
        <v>0</v>
      </c>
      <c r="V32" s="20" t="n">
        <v>0</v>
      </c>
      <c r="W32" s="18" t="n">
        <v>9.37263359</v>
      </c>
      <c r="X32" s="20" t="n">
        <v>1.68400643</v>
      </c>
    </row>
    <row r="33" spans="1:24">
      <c r="A33" s="15" t="s">
        <v>593</v>
      </c>
      <c r="B33" s="17" t="n">
        <v>3674</v>
      </c>
      <c r="C33" s="18">
        <f>(3276.0/B33*100)</f>
        <v/>
      </c>
      <c r="D33" s="19" t="n">
        <v>398</v>
      </c>
      <c r="E33" s="18" t="n">
        <v>8.763308220000001</v>
      </c>
      <c r="F33" s="20" t="n">
        <v>1.41212936</v>
      </c>
      <c r="G33" s="18" t="n">
        <v>12.21389862</v>
      </c>
      <c r="H33" s="20" t="n">
        <v>2.02945307</v>
      </c>
      <c r="I33" s="18" t="n">
        <v>20.90353335</v>
      </c>
      <c r="J33" s="20" t="n">
        <v>2.01281361</v>
      </c>
      <c r="K33" s="18" t="n">
        <v>29.94599791</v>
      </c>
      <c r="L33" s="20" t="n">
        <v>3.09550484</v>
      </c>
      <c r="M33" s="18" t="n">
        <v>11.80516065</v>
      </c>
      <c r="N33" s="20" t="n">
        <v>1.63423829</v>
      </c>
      <c r="O33" s="18" t="s">
        <v>567</v>
      </c>
      <c r="P33" s="20" t="s">
        <v>567</v>
      </c>
      <c r="Q33" s="18" t="n">
        <v>0.50275493</v>
      </c>
      <c r="R33" s="20" t="n">
        <v>0.59408414</v>
      </c>
      <c r="S33" s="18" t="n">
        <v>0</v>
      </c>
      <c r="T33" s="20" t="n">
        <v>0</v>
      </c>
      <c r="U33" s="18" t="n">
        <v>0</v>
      </c>
      <c r="V33" s="20" t="n">
        <v>0</v>
      </c>
      <c r="W33" s="18" t="n">
        <v>15.86534633</v>
      </c>
      <c r="X33" s="20" t="n">
        <v>2.57613918</v>
      </c>
    </row>
    <row r="34" spans="1:24">
      <c r="A34" s="15" t="s">
        <v>594</v>
      </c>
      <c r="B34" s="17" t="n">
        <v>3315</v>
      </c>
      <c r="C34" s="18">
        <f>(2955.0/B34*100)</f>
        <v/>
      </c>
      <c r="D34" s="19" t="n">
        <v>360</v>
      </c>
      <c r="E34" s="18" t="n">
        <v>7.84037951</v>
      </c>
      <c r="F34" s="20" t="n">
        <v>1.403191</v>
      </c>
      <c r="G34" s="18" t="n">
        <v>7.64526145</v>
      </c>
      <c r="H34" s="20" t="n">
        <v>1.38207373</v>
      </c>
      <c r="I34" s="18" t="n">
        <v>27.15767613</v>
      </c>
      <c r="J34" s="20" t="n">
        <v>2.78619464</v>
      </c>
      <c r="K34" s="18" t="n">
        <v>31.28864451</v>
      </c>
      <c r="L34" s="20" t="n">
        <v>2.83335897</v>
      </c>
      <c r="M34" s="18" t="n">
        <v>10.83550003</v>
      </c>
      <c r="N34" s="20" t="n">
        <v>1.65060516</v>
      </c>
      <c r="O34" s="18" t="s">
        <v>567</v>
      </c>
      <c r="P34" s="20" t="s">
        <v>567</v>
      </c>
      <c r="Q34" s="18" t="n">
        <v>0</v>
      </c>
      <c r="R34" s="20" t="n">
        <v>0</v>
      </c>
      <c r="S34" s="18" t="n">
        <v>0</v>
      </c>
      <c r="T34" s="20" t="n">
        <v>0</v>
      </c>
      <c r="U34" s="18" t="n">
        <v>0</v>
      </c>
      <c r="V34" s="20" t="n">
        <v>0</v>
      </c>
      <c r="W34" s="18" t="n">
        <v>15.23253836</v>
      </c>
      <c r="X34" s="20" t="n">
        <v>2.01939815</v>
      </c>
    </row>
    <row r="35" spans="1:24">
      <c r="A35" s="15" t="s">
        <v>595</v>
      </c>
      <c r="B35" s="17" t="n">
        <v>3505</v>
      </c>
      <c r="C35" s="18">
        <f>(3109.0/B35*100)</f>
        <v/>
      </c>
      <c r="D35" s="19" t="n">
        <v>396</v>
      </c>
      <c r="E35" s="18" t="n">
        <v>12.31304017</v>
      </c>
      <c r="F35" s="20" t="n">
        <v>2.07871539</v>
      </c>
      <c r="G35" s="18" t="n">
        <v>15.04279702</v>
      </c>
      <c r="H35" s="20" t="n">
        <v>2.54074013</v>
      </c>
      <c r="I35" s="18" t="n">
        <v>16.62841076</v>
      </c>
      <c r="J35" s="20" t="n">
        <v>2.1514642</v>
      </c>
      <c r="K35" s="18" t="n">
        <v>35.7351638</v>
      </c>
      <c r="L35" s="20" t="n">
        <v>3.26415255</v>
      </c>
      <c r="M35" s="18" t="n">
        <v>8.42983383</v>
      </c>
      <c r="N35" s="20" t="n">
        <v>1.52976208</v>
      </c>
      <c r="O35" s="18" t="s">
        <v>567</v>
      </c>
      <c r="P35" s="20" t="s">
        <v>567</v>
      </c>
      <c r="Q35" s="18" t="n">
        <v>0</v>
      </c>
      <c r="R35" s="20" t="n">
        <v>0</v>
      </c>
      <c r="S35" s="18" t="n">
        <v>0.4402311</v>
      </c>
      <c r="T35" s="20" t="n">
        <v>0.44211122</v>
      </c>
      <c r="U35" s="18" t="n">
        <v>0</v>
      </c>
      <c r="V35" s="20" t="n">
        <v>0</v>
      </c>
      <c r="W35" s="18" t="n">
        <v>11.41052333</v>
      </c>
      <c r="X35" s="20" t="n">
        <v>1.8395067</v>
      </c>
    </row>
    <row r="36" spans="1:24">
      <c r="A36" s="15" t="s">
        <v>596</v>
      </c>
      <c r="B36" s="17" t="n">
        <v>3332</v>
      </c>
      <c r="C36" s="18">
        <f>(2957.0/B36*100)</f>
        <v/>
      </c>
      <c r="D36" s="19" t="n">
        <v>375</v>
      </c>
      <c r="E36" s="18" t="n">
        <v>8.906431680000001</v>
      </c>
      <c r="F36" s="20" t="n">
        <v>1.48729453</v>
      </c>
      <c r="G36" s="18" t="n">
        <v>16.37971522</v>
      </c>
      <c r="H36" s="20" t="n">
        <v>1.9310635</v>
      </c>
      <c r="I36" s="18" t="n">
        <v>26.46896352</v>
      </c>
      <c r="J36" s="20" t="n">
        <v>2.4223507</v>
      </c>
      <c r="K36" s="18" t="n">
        <v>28.35277691</v>
      </c>
      <c r="L36" s="20" t="n">
        <v>2.59995603</v>
      </c>
      <c r="M36" s="18" t="n">
        <v>10.4693591</v>
      </c>
      <c r="N36" s="20" t="n">
        <v>1.77926776</v>
      </c>
      <c r="O36" s="18" t="s">
        <v>567</v>
      </c>
      <c r="P36" s="20" t="s">
        <v>567</v>
      </c>
      <c r="Q36" s="18" t="n">
        <v>0.6033407</v>
      </c>
      <c r="R36" s="20" t="n">
        <v>0.37087731</v>
      </c>
      <c r="S36" s="18" t="n">
        <v>0</v>
      </c>
      <c r="T36" s="20" t="n">
        <v>0</v>
      </c>
      <c r="U36" s="18" t="n">
        <v>0</v>
      </c>
      <c r="V36" s="20" t="n">
        <v>0</v>
      </c>
      <c r="W36" s="18" t="n">
        <v>8.819412870000001</v>
      </c>
      <c r="X36" s="20" t="n">
        <v>1.21071514</v>
      </c>
    </row>
    <row r="37" spans="1:24">
      <c r="A37" s="15" t="s">
        <v>597</v>
      </c>
      <c r="B37" s="17" t="n">
        <v>2727</v>
      </c>
      <c r="C37" s="18">
        <f>(2436.0/B37*100)</f>
        <v/>
      </c>
      <c r="D37" s="19" t="n">
        <v>291</v>
      </c>
      <c r="E37" s="18" t="n">
        <v>8.9711958</v>
      </c>
      <c r="F37" s="20" t="n">
        <v>1.59465944</v>
      </c>
      <c r="G37" s="18" t="n">
        <v>6.66049312</v>
      </c>
      <c r="H37" s="20" t="n">
        <v>1.58112991</v>
      </c>
      <c r="I37" s="18" t="n">
        <v>15.79482908</v>
      </c>
      <c r="J37" s="20" t="n">
        <v>2.41731967</v>
      </c>
      <c r="K37" s="18" t="n">
        <v>36.29858508</v>
      </c>
      <c r="L37" s="20" t="n">
        <v>2.98126437</v>
      </c>
      <c r="M37" s="18" t="n">
        <v>15.3373007</v>
      </c>
      <c r="N37" s="20" t="n">
        <v>2.4155068</v>
      </c>
      <c r="O37" s="18" t="s">
        <v>567</v>
      </c>
      <c r="P37" s="20" t="s">
        <v>567</v>
      </c>
      <c r="Q37" s="18" t="n">
        <v>0.30243967</v>
      </c>
      <c r="R37" s="20" t="n">
        <v>0.30508997</v>
      </c>
      <c r="S37" s="18" t="n">
        <v>0</v>
      </c>
      <c r="T37" s="20" t="n">
        <v>0</v>
      </c>
      <c r="U37" s="18" t="n">
        <v>0</v>
      </c>
      <c r="V37" s="20" t="n">
        <v>0</v>
      </c>
      <c r="W37" s="18" t="n">
        <v>16.63515654</v>
      </c>
      <c r="X37" s="20" t="n">
        <v>1.93223687</v>
      </c>
    </row>
    <row r="38" spans="1:24">
      <c r="A38" s="15" t="s">
        <v>598</v>
      </c>
      <c r="B38" s="17" t="n">
        <v>3053</v>
      </c>
      <c r="C38" s="18">
        <f>(2708.0/B38*100)</f>
        <v/>
      </c>
      <c r="D38" s="19" t="n">
        <v>345</v>
      </c>
      <c r="E38" s="18" t="n">
        <v>5.8236671</v>
      </c>
      <c r="F38" s="20" t="n">
        <v>1.17473636</v>
      </c>
      <c r="G38" s="18" t="n">
        <v>4.21205021</v>
      </c>
      <c r="H38" s="20" t="n">
        <v>1.15298087</v>
      </c>
      <c r="I38" s="18" t="n">
        <v>19.45695865</v>
      </c>
      <c r="J38" s="20" t="n">
        <v>2.59452688</v>
      </c>
      <c r="K38" s="18" t="n">
        <v>41.79699235</v>
      </c>
      <c r="L38" s="20" t="n">
        <v>3.08869008</v>
      </c>
      <c r="M38" s="18" t="n">
        <v>11.67588194</v>
      </c>
      <c r="N38" s="20" t="n">
        <v>2.12916853</v>
      </c>
      <c r="O38" s="18" t="s">
        <v>567</v>
      </c>
      <c r="P38" s="20" t="s">
        <v>567</v>
      </c>
      <c r="Q38" s="18" t="n">
        <v>0</v>
      </c>
      <c r="R38" s="20" t="n">
        <v>0</v>
      </c>
      <c r="S38" s="18" t="n">
        <v>4.63937472</v>
      </c>
      <c r="T38" s="20" t="n">
        <v>1.18686053</v>
      </c>
      <c r="U38" s="18" t="n">
        <v>0</v>
      </c>
      <c r="V38" s="20" t="n">
        <v>0</v>
      </c>
      <c r="W38" s="18" t="n">
        <v>12.39507503</v>
      </c>
      <c r="X38" s="20" t="n">
        <v>2.19240005</v>
      </c>
    </row>
    <row r="39" spans="1:24">
      <c r="A39" s="15" t="s">
        <v>599</v>
      </c>
      <c r="B39" s="17" t="n">
        <v>2957</v>
      </c>
      <c r="C39" s="18">
        <f>(2639.0/B39*100)</f>
        <v/>
      </c>
      <c r="D39" s="19" t="n">
        <v>318</v>
      </c>
      <c r="E39" s="18" t="n">
        <v>15.99077855</v>
      </c>
      <c r="F39" s="20" t="n">
        <v>1.95263152</v>
      </c>
      <c r="G39" s="18" t="n">
        <v>12.77066046</v>
      </c>
      <c r="H39" s="20" t="n">
        <v>2.23882491</v>
      </c>
      <c r="I39" s="18" t="n">
        <v>40.50508355</v>
      </c>
      <c r="J39" s="20" t="n">
        <v>3.330456</v>
      </c>
      <c r="K39" s="18" t="n">
        <v>9.192608809999999</v>
      </c>
      <c r="L39" s="20" t="n">
        <v>1.57158963</v>
      </c>
      <c r="M39" s="18" t="n">
        <v>8.33700861</v>
      </c>
      <c r="N39" s="20" t="n">
        <v>1.57466212</v>
      </c>
      <c r="O39" s="18" t="s">
        <v>567</v>
      </c>
      <c r="P39" s="20" t="s">
        <v>567</v>
      </c>
      <c r="Q39" s="18" t="n">
        <v>0</v>
      </c>
      <c r="R39" s="20" t="n">
        <v>0</v>
      </c>
      <c r="S39" s="18" t="n">
        <v>0</v>
      </c>
      <c r="T39" s="20" t="n">
        <v>0</v>
      </c>
      <c r="U39" s="18" t="n">
        <v>0</v>
      </c>
      <c r="V39" s="20" t="n">
        <v>0</v>
      </c>
      <c r="W39" s="18" t="n">
        <v>13.20386002</v>
      </c>
      <c r="X39" s="20" t="n">
        <v>1.8528253</v>
      </c>
    </row>
    <row r="40" spans="1:24">
      <c r="A40" s="15" t="s">
        <v>600</v>
      </c>
      <c r="B40" s="17" t="n">
        <v>7235</v>
      </c>
      <c r="C40" s="18">
        <f>(6422.0/B40*100)</f>
        <v/>
      </c>
      <c r="D40" s="19" t="n">
        <v>813</v>
      </c>
      <c r="E40" s="18" t="n">
        <v>3.51321814</v>
      </c>
      <c r="F40" s="20" t="n">
        <v>1.00983206</v>
      </c>
      <c r="G40" s="18" t="n">
        <v>15.17512426</v>
      </c>
      <c r="H40" s="20" t="n">
        <v>1.57651859</v>
      </c>
      <c r="I40" s="18" t="n">
        <v>23.24329874</v>
      </c>
      <c r="J40" s="20" t="n">
        <v>2.20138088</v>
      </c>
      <c r="K40" s="18" t="n">
        <v>34.02376817</v>
      </c>
      <c r="L40" s="20" t="n">
        <v>2.61715121</v>
      </c>
      <c r="M40" s="18" t="n">
        <v>13.27303576</v>
      </c>
      <c r="N40" s="20" t="n">
        <v>1.68859224</v>
      </c>
      <c r="O40" s="18" t="s">
        <v>567</v>
      </c>
      <c r="P40" s="20" t="s">
        <v>567</v>
      </c>
      <c r="Q40" s="18" t="n">
        <v>0.5447242799999999</v>
      </c>
      <c r="R40" s="20" t="n">
        <v>0.34233022</v>
      </c>
      <c r="S40" s="18" t="n">
        <v>0.09352521</v>
      </c>
      <c r="T40" s="20" t="n">
        <v>0.09032807</v>
      </c>
      <c r="U40" s="18" t="n">
        <v>0</v>
      </c>
      <c r="V40" s="20" t="n">
        <v>0</v>
      </c>
      <c r="W40" s="18" t="n">
        <v>10.13330544</v>
      </c>
      <c r="X40" s="20" t="n">
        <v>1.65441275</v>
      </c>
    </row>
    <row r="41" spans="1:24">
      <c r="A41" s="15" t="s">
        <v>601</v>
      </c>
      <c r="B41" s="17" t="n">
        <v>2858</v>
      </c>
      <c r="C41" s="18">
        <f>(2545.0/B41*100)</f>
        <v/>
      </c>
      <c r="D41" s="19" t="n">
        <v>313</v>
      </c>
      <c r="E41" s="18" t="n">
        <v>15.11083924</v>
      </c>
      <c r="F41" s="20" t="n">
        <v>2.46701869</v>
      </c>
      <c r="G41" s="18" t="n">
        <v>16.3315789</v>
      </c>
      <c r="H41" s="20" t="n">
        <v>2.18692328</v>
      </c>
      <c r="I41" s="18" t="n">
        <v>16.59717708</v>
      </c>
      <c r="J41" s="20" t="n">
        <v>1.92156119</v>
      </c>
      <c r="K41" s="18" t="n">
        <v>31.11457803</v>
      </c>
      <c r="L41" s="20" t="n">
        <v>2.79452638</v>
      </c>
      <c r="M41" s="18" t="n">
        <v>16.68836715</v>
      </c>
      <c r="N41" s="20" t="n">
        <v>2.09834435</v>
      </c>
      <c r="O41" s="18" t="s">
        <v>567</v>
      </c>
      <c r="P41" s="20" t="s">
        <v>567</v>
      </c>
      <c r="Q41" s="18" t="n">
        <v>0.43636835</v>
      </c>
      <c r="R41" s="20" t="n">
        <v>0.35324735</v>
      </c>
      <c r="S41" s="18" t="n">
        <v>0</v>
      </c>
      <c r="T41" s="20" t="n">
        <v>0</v>
      </c>
      <c r="U41" s="18" t="n">
        <v>0</v>
      </c>
      <c r="V41" s="20" t="n">
        <v>0</v>
      </c>
      <c r="W41" s="18" t="n">
        <v>3.72109124</v>
      </c>
      <c r="X41" s="20" t="n">
        <v>1.31339166</v>
      </c>
    </row>
    <row r="42" spans="1:24">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c r="U44" s="18" t="s">
        <v>567</v>
      </c>
      <c r="V44" s="20" t="s">
        <v>567</v>
      </c>
      <c r="W44" s="18" t="s">
        <v>567</v>
      </c>
      <c r="X44" s="20" t="s">
        <v>567</v>
      </c>
    </row>
    <row r="45" spans="1:24">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c r="U45" s="18" t="s">
        <v>567</v>
      </c>
      <c r="V45" s="20" t="s">
        <v>567</v>
      </c>
      <c r="W45" s="18" t="s">
        <v>567</v>
      </c>
      <c r="X45" s="20" t="s">
        <v>567</v>
      </c>
    </row>
    <row r="46" spans="1:24">
      <c r="A46" s="15" t="s">
        <v>606</v>
      </c>
      <c r="B46" s="17" t="n">
        <v>11068</v>
      </c>
      <c r="C46" s="18">
        <f>(9967.0/B46*100)</f>
        <v/>
      </c>
      <c r="D46" s="19" t="n">
        <v>1101</v>
      </c>
      <c r="E46" s="18" t="n">
        <v>8.33452175</v>
      </c>
      <c r="F46" s="20" t="n">
        <v>0.9423868</v>
      </c>
      <c r="G46" s="18" t="n">
        <v>20.15433088</v>
      </c>
      <c r="H46" s="20" t="n">
        <v>1.70334815</v>
      </c>
      <c r="I46" s="18" t="n">
        <v>31.78308062</v>
      </c>
      <c r="J46" s="20" t="n">
        <v>1.76050531</v>
      </c>
      <c r="K46" s="18" t="n">
        <v>15.54057409</v>
      </c>
      <c r="L46" s="20" t="n">
        <v>1.46940329</v>
      </c>
      <c r="M46" s="18" t="n">
        <v>5.76376204</v>
      </c>
      <c r="N46" s="20" t="n">
        <v>0.81769327</v>
      </c>
      <c r="O46" s="18" t="s">
        <v>567</v>
      </c>
      <c r="P46" s="20" t="s">
        <v>567</v>
      </c>
      <c r="Q46" s="18" t="n">
        <v>1.00655652</v>
      </c>
      <c r="R46" s="20" t="n">
        <v>0.40981687</v>
      </c>
      <c r="S46" s="18" t="n">
        <v>0.36191522</v>
      </c>
      <c r="T46" s="20" t="n">
        <v>0.24538286</v>
      </c>
      <c r="U46" s="18" t="n">
        <v>0</v>
      </c>
      <c r="V46" s="20" t="n">
        <v>0</v>
      </c>
      <c r="W46" s="18" t="n">
        <v>17.05525889</v>
      </c>
      <c r="X46" s="20" t="n">
        <v>1.74848587</v>
      </c>
    </row>
    <row r="47" spans="1:24">
      <c r="A47" s="15" t="s">
        <v>607</v>
      </c>
      <c r="B47" s="17" t="n">
        <v>3105</v>
      </c>
      <c r="C47" s="18">
        <f>(2763.0/B47*100)</f>
        <v/>
      </c>
      <c r="D47" s="19" t="n">
        <v>342</v>
      </c>
      <c r="E47" s="18" t="n">
        <v>4.54875777</v>
      </c>
      <c r="F47" s="20" t="n">
        <v>1.02811731</v>
      </c>
      <c r="G47" s="18" t="n">
        <v>5.13304091</v>
      </c>
      <c r="H47" s="20" t="n">
        <v>1.22706661</v>
      </c>
      <c r="I47" s="18" t="n">
        <v>22.66117212</v>
      </c>
      <c r="J47" s="20" t="n">
        <v>2.73536385</v>
      </c>
      <c r="K47" s="18" t="n">
        <v>31.00060983</v>
      </c>
      <c r="L47" s="20" t="n">
        <v>3.0551109</v>
      </c>
      <c r="M47" s="18" t="n">
        <v>15.37944238</v>
      </c>
      <c r="N47" s="20" t="n">
        <v>2.06509691</v>
      </c>
      <c r="O47" s="18" t="s">
        <v>567</v>
      </c>
      <c r="P47" s="20" t="s">
        <v>567</v>
      </c>
      <c r="Q47" s="18" t="n">
        <v>0</v>
      </c>
      <c r="R47" s="20" t="n">
        <v>0</v>
      </c>
      <c r="S47" s="18" t="n">
        <v>0.29877139</v>
      </c>
      <c r="T47" s="20" t="n">
        <v>0.28436636</v>
      </c>
      <c r="U47" s="18" t="n">
        <v>0</v>
      </c>
      <c r="V47" s="20" t="n">
        <v>0</v>
      </c>
      <c r="W47" s="18" t="n">
        <v>20.9782056</v>
      </c>
      <c r="X47" s="20" t="n">
        <v>2.60680599</v>
      </c>
    </row>
    <row r="48" spans="1:24">
      <c r="A48" s="15" t="s">
        <v>608</v>
      </c>
      <c r="B48" s="17" t="n">
        <v>5159</v>
      </c>
      <c r="C48" s="18">
        <f>(4596.0/B48*100)</f>
        <v/>
      </c>
      <c r="D48" s="19" t="n">
        <v>563</v>
      </c>
      <c r="E48" s="18" t="n">
        <v>8.692074699999999</v>
      </c>
      <c r="F48" s="20" t="n">
        <v>1.47386991</v>
      </c>
      <c r="G48" s="18" t="n">
        <v>16.19885745</v>
      </c>
      <c r="H48" s="20" t="n">
        <v>1.89342217</v>
      </c>
      <c r="I48" s="18" t="n">
        <v>9.64985832</v>
      </c>
      <c r="J48" s="20" t="n">
        <v>1.64917783</v>
      </c>
      <c r="K48" s="18" t="n">
        <v>25.16914507</v>
      </c>
      <c r="L48" s="20" t="n">
        <v>2.47226946</v>
      </c>
      <c r="M48" s="18" t="n">
        <v>32.20148094</v>
      </c>
      <c r="N48" s="20" t="n">
        <v>2.44256981</v>
      </c>
      <c r="O48" s="18" t="s">
        <v>567</v>
      </c>
      <c r="P48" s="20" t="s">
        <v>567</v>
      </c>
      <c r="Q48" s="18" t="n">
        <v>0.13505449</v>
      </c>
      <c r="R48" s="20" t="n">
        <v>0.19033769</v>
      </c>
      <c r="S48" s="18" t="n">
        <v>0</v>
      </c>
      <c r="T48" s="20" t="n">
        <v>0</v>
      </c>
      <c r="U48" s="18" t="n">
        <v>0</v>
      </c>
      <c r="V48" s="20" t="n">
        <v>0</v>
      </c>
      <c r="W48" s="18" t="n">
        <v>7.95352903</v>
      </c>
      <c r="X48" s="20" t="n">
        <v>1.41867786</v>
      </c>
    </row>
    <row r="49" spans="1:24">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c r="U49" s="18" t="s">
        <v>567</v>
      </c>
      <c r="V49" s="20" t="s">
        <v>567</v>
      </c>
      <c r="W49" s="18" t="s">
        <v>567</v>
      </c>
      <c r="X49" s="20" t="s">
        <v>567</v>
      </c>
    </row>
    <row r="50" spans="1:24">
      <c r="A50" s="15" t="s">
        <v>610</v>
      </c>
      <c r="B50" s="17" t="n">
        <v>5637</v>
      </c>
      <c r="C50" s="18">
        <f>(5024.0/B50*100)</f>
        <v/>
      </c>
      <c r="D50" s="19" t="n">
        <v>613</v>
      </c>
      <c r="E50" s="18" t="n">
        <v>27.62411554</v>
      </c>
      <c r="F50" s="20" t="n">
        <v>2.42718722</v>
      </c>
      <c r="G50" s="18" t="n">
        <v>13.07066593</v>
      </c>
      <c r="H50" s="20" t="n">
        <v>1.33777561</v>
      </c>
      <c r="I50" s="18" t="n">
        <v>31.17749758</v>
      </c>
      <c r="J50" s="20" t="n">
        <v>2.59114327</v>
      </c>
      <c r="K50" s="18" t="n">
        <v>13.53798193</v>
      </c>
      <c r="L50" s="20" t="n">
        <v>1.6557786</v>
      </c>
      <c r="M50" s="18" t="n">
        <v>8.30392956</v>
      </c>
      <c r="N50" s="20" t="n">
        <v>1.47165689</v>
      </c>
      <c r="O50" s="18" t="s">
        <v>567</v>
      </c>
      <c r="P50" s="20" t="s">
        <v>567</v>
      </c>
      <c r="Q50" s="18" t="n">
        <v>1.75235452</v>
      </c>
      <c r="R50" s="20" t="n">
        <v>1.03401532</v>
      </c>
      <c r="S50" s="18" t="n">
        <v>0.0611409</v>
      </c>
      <c r="T50" s="20" t="n">
        <v>0.05272108</v>
      </c>
      <c r="U50" s="18" t="n">
        <v>0</v>
      </c>
      <c r="V50" s="20" t="n">
        <v>0</v>
      </c>
      <c r="W50" s="18" t="n">
        <v>4.47231404</v>
      </c>
      <c r="X50" s="20" t="n">
        <v>1.15897139</v>
      </c>
    </row>
    <row r="51" spans="1:24">
      <c r="A51" s="15" t="s">
        <v>611</v>
      </c>
      <c r="B51" s="17" t="n">
        <v>3372</v>
      </c>
      <c r="C51" s="18">
        <f>(3036.0/B51*100)</f>
        <v/>
      </c>
      <c r="D51" s="19" t="n">
        <v>336</v>
      </c>
      <c r="E51" s="18" t="n">
        <v>26.81194574</v>
      </c>
      <c r="F51" s="20" t="n">
        <v>2.47392821</v>
      </c>
      <c r="G51" s="18" t="n">
        <v>10.08861665</v>
      </c>
      <c r="H51" s="20" t="n">
        <v>1.90760094</v>
      </c>
      <c r="I51" s="18" t="n">
        <v>37.07479466</v>
      </c>
      <c r="J51" s="20" t="n">
        <v>3.2677192</v>
      </c>
      <c r="K51" s="18" t="n">
        <v>12.3522078</v>
      </c>
      <c r="L51" s="20" t="n">
        <v>1.7484431</v>
      </c>
      <c r="M51" s="18" t="n">
        <v>7.76711467</v>
      </c>
      <c r="N51" s="20" t="n">
        <v>1.97697267</v>
      </c>
      <c r="O51" s="18" t="s">
        <v>567</v>
      </c>
      <c r="P51" s="20" t="s">
        <v>567</v>
      </c>
      <c r="Q51" s="18" t="n">
        <v>0.3351618</v>
      </c>
      <c r="R51" s="20" t="n">
        <v>0.33277296</v>
      </c>
      <c r="S51" s="18" t="n">
        <v>0.66432792</v>
      </c>
      <c r="T51" s="20" t="n">
        <v>0.64622951</v>
      </c>
      <c r="U51" s="18" t="n">
        <v>0</v>
      </c>
      <c r="V51" s="20" t="n">
        <v>0</v>
      </c>
      <c r="W51" s="18" t="n">
        <v>4.90583077</v>
      </c>
      <c r="X51" s="20" t="n">
        <v>1.26877769</v>
      </c>
    </row>
    <row r="52" spans="1:24">
      <c r="A52" s="15" t="s">
        <v>612</v>
      </c>
      <c r="B52" s="17" t="n">
        <v>2796</v>
      </c>
      <c r="C52" s="18">
        <f>(2476.0/B52*100)</f>
        <v/>
      </c>
      <c r="D52" s="19" t="n">
        <v>320</v>
      </c>
      <c r="E52" s="18" t="n">
        <v>7.13488949</v>
      </c>
      <c r="F52" s="20" t="n">
        <v>1.69118626</v>
      </c>
      <c r="G52" s="18" t="n">
        <v>11.56763464</v>
      </c>
      <c r="H52" s="20" t="n">
        <v>1.96188798</v>
      </c>
      <c r="I52" s="18" t="n">
        <v>14.74720446</v>
      </c>
      <c r="J52" s="20" t="n">
        <v>1.97122654</v>
      </c>
      <c r="K52" s="18" t="n">
        <v>32.89577724</v>
      </c>
      <c r="L52" s="20" t="n">
        <v>2.43056898</v>
      </c>
      <c r="M52" s="18" t="n">
        <v>14.22245959</v>
      </c>
      <c r="N52" s="20" t="n">
        <v>2.02028471</v>
      </c>
      <c r="O52" s="18" t="s">
        <v>567</v>
      </c>
      <c r="P52" s="20" t="s">
        <v>567</v>
      </c>
      <c r="Q52" s="18" t="n">
        <v>0.31878686</v>
      </c>
      <c r="R52" s="20" t="n">
        <v>0.31151008</v>
      </c>
      <c r="S52" s="18" t="n">
        <v>0</v>
      </c>
      <c r="T52" s="20" t="n">
        <v>0</v>
      </c>
      <c r="U52" s="18" t="n">
        <v>0</v>
      </c>
      <c r="V52" s="20" t="n">
        <v>0</v>
      </c>
      <c r="W52" s="18" t="n">
        <v>19.11324773</v>
      </c>
      <c r="X52" s="20" t="n">
        <v>2.29869162</v>
      </c>
    </row>
    <row r="53" spans="1:24">
      <c r="A53" s="15" t="s">
        <v>613</v>
      </c>
      <c r="B53" s="17" t="n">
        <v>2811</v>
      </c>
      <c r="C53" s="18">
        <f>(2491.0/B53*100)</f>
        <v/>
      </c>
      <c r="D53" s="19" t="n">
        <v>320</v>
      </c>
      <c r="E53" s="18" t="n">
        <v>10.35498021</v>
      </c>
      <c r="F53" s="20" t="n">
        <v>1.81037633</v>
      </c>
      <c r="G53" s="18" t="n">
        <v>9.474907099999999</v>
      </c>
      <c r="H53" s="20" t="n">
        <v>1.63595415</v>
      </c>
      <c r="I53" s="18" t="n">
        <v>27.35571135</v>
      </c>
      <c r="J53" s="20" t="n">
        <v>2.21640658</v>
      </c>
      <c r="K53" s="18" t="n">
        <v>13.5376145</v>
      </c>
      <c r="L53" s="20" t="n">
        <v>1.94417319</v>
      </c>
      <c r="M53" s="18" t="n">
        <v>17.03331823</v>
      </c>
      <c r="N53" s="20" t="n">
        <v>1.88217696</v>
      </c>
      <c r="O53" s="18" t="s">
        <v>567</v>
      </c>
      <c r="P53" s="20" t="s">
        <v>567</v>
      </c>
      <c r="Q53" s="18" t="n">
        <v>0.46736626</v>
      </c>
      <c r="R53" s="20" t="n">
        <v>0.32894681</v>
      </c>
      <c r="S53" s="18" t="n">
        <v>0.44646677</v>
      </c>
      <c r="T53" s="20" t="n">
        <v>0.44742137</v>
      </c>
      <c r="U53" s="18" t="n">
        <v>0</v>
      </c>
      <c r="V53" s="20" t="n">
        <v>0</v>
      </c>
      <c r="W53" s="18" t="n">
        <v>21.32963558</v>
      </c>
      <c r="X53" s="20" t="n">
        <v>2.32266449</v>
      </c>
    </row>
    <row r="54" spans="1:24">
      <c r="A54" s="15" t="s">
        <v>614</v>
      </c>
      <c r="B54" s="17" t="n">
        <v>2266</v>
      </c>
      <c r="C54" s="18">
        <f>(2013.0/B54*100)</f>
        <v/>
      </c>
      <c r="D54" s="19" t="n">
        <v>253</v>
      </c>
      <c r="E54" s="18" t="n">
        <v>22.48214968</v>
      </c>
      <c r="F54" s="20" t="n">
        <v>2.9213332</v>
      </c>
      <c r="G54" s="18" t="n">
        <v>11.64842022</v>
      </c>
      <c r="H54" s="20" t="n">
        <v>1.95774375</v>
      </c>
      <c r="I54" s="18" t="n">
        <v>37.18805879</v>
      </c>
      <c r="J54" s="20" t="n">
        <v>3.0242414</v>
      </c>
      <c r="K54" s="18" t="n">
        <v>0.91723506</v>
      </c>
      <c r="L54" s="20" t="n">
        <v>0.53557781</v>
      </c>
      <c r="M54" s="18" t="n">
        <v>0.9963062499999999</v>
      </c>
      <c r="N54" s="20" t="n">
        <v>0.58620903</v>
      </c>
      <c r="O54" s="18" t="s">
        <v>567</v>
      </c>
      <c r="P54" s="20" t="s">
        <v>567</v>
      </c>
      <c r="Q54" s="18" t="n">
        <v>4.95417312</v>
      </c>
      <c r="R54" s="20" t="n">
        <v>1.24110947</v>
      </c>
      <c r="S54" s="18" t="n">
        <v>0.7491877300000001</v>
      </c>
      <c r="T54" s="20" t="n">
        <v>0.52102086</v>
      </c>
      <c r="U54" s="18" t="n">
        <v>0</v>
      </c>
      <c r="V54" s="20" t="n">
        <v>0</v>
      </c>
      <c r="W54" s="18" t="n">
        <v>21.06446914</v>
      </c>
      <c r="X54" s="20" t="n">
        <v>2.84687557</v>
      </c>
    </row>
    <row r="55" spans="1:24">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c r="U55" s="18" t="s">
        <v>567</v>
      </c>
      <c r="V55" s="20" t="s">
        <v>567</v>
      </c>
      <c r="W55" s="18" t="s">
        <v>567</v>
      </c>
      <c r="X55" s="20" t="s">
        <v>567</v>
      </c>
    </row>
    <row r="56" spans="1:24">
      <c r="A56" s="15" t="s">
        <v>616</v>
      </c>
      <c r="B56" s="17" t="n">
        <v>2684</v>
      </c>
      <c r="C56" s="18">
        <f>(2391.0/B56*100)</f>
        <v/>
      </c>
      <c r="D56" s="19" t="n">
        <v>293</v>
      </c>
      <c r="E56" s="18" t="n">
        <v>10.16668288</v>
      </c>
      <c r="F56" s="20" t="n">
        <v>1.82173256</v>
      </c>
      <c r="G56" s="18" t="n">
        <v>8.378848359999999</v>
      </c>
      <c r="H56" s="20" t="n">
        <v>1.50005507</v>
      </c>
      <c r="I56" s="18" t="n">
        <v>12.65300957</v>
      </c>
      <c r="J56" s="20" t="n">
        <v>2.18970781</v>
      </c>
      <c r="K56" s="18" t="n">
        <v>55.55485124</v>
      </c>
      <c r="L56" s="20" t="n">
        <v>3.32921714</v>
      </c>
      <c r="M56" s="18" t="n">
        <v>9.981614479999999</v>
      </c>
      <c r="N56" s="20" t="n">
        <v>1.91882822</v>
      </c>
      <c r="O56" s="18" t="s">
        <v>567</v>
      </c>
      <c r="P56" s="20" t="s">
        <v>567</v>
      </c>
      <c r="Q56" s="18" t="n">
        <v>0</v>
      </c>
      <c r="R56" s="20" t="n">
        <v>0</v>
      </c>
      <c r="S56" s="18" t="n">
        <v>0</v>
      </c>
      <c r="T56" s="20" t="n">
        <v>0</v>
      </c>
      <c r="U56" s="18" t="n">
        <v>0</v>
      </c>
      <c r="V56" s="20" t="n">
        <v>0</v>
      </c>
      <c r="W56" s="18" t="n">
        <v>3.26499347</v>
      </c>
      <c r="X56" s="20" t="n">
        <v>1.35272212</v>
      </c>
    </row>
    <row r="57" spans="1:24">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c r="U57" s="18" t="s">
        <v>567</v>
      </c>
      <c r="V57" s="20" t="s">
        <v>567</v>
      </c>
      <c r="W57" s="18" t="s">
        <v>567</v>
      </c>
      <c r="X57" s="20" t="s">
        <v>567</v>
      </c>
    </row>
    <row r="58" spans="1:24">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c r="U58" s="18" t="s">
        <v>567</v>
      </c>
      <c r="V58" s="20" t="s">
        <v>567</v>
      </c>
      <c r="W58" s="18" t="s">
        <v>567</v>
      </c>
      <c r="X58" s="20" t="s">
        <v>567</v>
      </c>
    </row>
    <row r="59" spans="1:24">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c r="U59" s="18" t="s">
        <v>567</v>
      </c>
      <c r="V59" s="20" t="s">
        <v>567</v>
      </c>
      <c r="W59" s="18" t="s">
        <v>567</v>
      </c>
      <c r="X59" s="20" t="s">
        <v>567</v>
      </c>
    </row>
    <row r="60" spans="1:24">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c r="U60" s="18" t="s">
        <v>567</v>
      </c>
      <c r="V60" s="20" t="s">
        <v>567</v>
      </c>
      <c r="W60" s="18" t="s">
        <v>567</v>
      </c>
      <c r="X60" s="20" t="s">
        <v>567</v>
      </c>
    </row>
    <row r="61" spans="1:24">
      <c r="A61" s="15" t="s">
        <v>621</v>
      </c>
      <c r="B61" s="17" t="n">
        <v>3324</v>
      </c>
      <c r="C61" s="18">
        <f>(2979.0/B61*100)</f>
        <v/>
      </c>
      <c r="D61" s="19" t="n">
        <v>345</v>
      </c>
      <c r="E61" s="18" t="n">
        <v>4.76151247</v>
      </c>
      <c r="F61" s="20" t="n">
        <v>1.23051825</v>
      </c>
      <c r="G61" s="18" t="n">
        <v>23.1990642</v>
      </c>
      <c r="H61" s="20" t="n">
        <v>2.53043371</v>
      </c>
      <c r="I61" s="18" t="n">
        <v>18.60580195</v>
      </c>
      <c r="J61" s="20" t="n">
        <v>2.38756269</v>
      </c>
      <c r="K61" s="18" t="n">
        <v>34.29173314</v>
      </c>
      <c r="L61" s="20" t="n">
        <v>3.04290447</v>
      </c>
      <c r="M61" s="18" t="n">
        <v>6.54867819</v>
      </c>
      <c r="N61" s="20" t="n">
        <v>1.45973145</v>
      </c>
      <c r="O61" s="18" t="s">
        <v>567</v>
      </c>
      <c r="P61" s="20" t="s">
        <v>567</v>
      </c>
      <c r="Q61" s="18" t="n">
        <v>0</v>
      </c>
      <c r="R61" s="20" t="n">
        <v>0</v>
      </c>
      <c r="S61" s="18" t="n">
        <v>0</v>
      </c>
      <c r="T61" s="20" t="n">
        <v>0</v>
      </c>
      <c r="U61" s="18" t="n">
        <v>0</v>
      </c>
      <c r="V61" s="20" t="n">
        <v>0</v>
      </c>
      <c r="W61" s="18" t="n">
        <v>12.59321004</v>
      </c>
      <c r="X61" s="20" t="n">
        <v>2.33189029</v>
      </c>
    </row>
    <row r="62" spans="1:24">
      <c r="A62" s="15" t="s">
        <v>622</v>
      </c>
      <c r="B62" s="17" t="n">
        <v>2246</v>
      </c>
      <c r="C62" s="18">
        <f>(1991.0/B62*100)</f>
        <v/>
      </c>
      <c r="D62" s="19" t="n">
        <v>255</v>
      </c>
      <c r="E62" s="18" t="n">
        <v>14.50525392</v>
      </c>
      <c r="F62" s="20" t="n">
        <v>2.29003863</v>
      </c>
      <c r="G62" s="18" t="n">
        <v>23.8980051</v>
      </c>
      <c r="H62" s="20" t="n">
        <v>2.5146457</v>
      </c>
      <c r="I62" s="18" t="n">
        <v>23.4784549</v>
      </c>
      <c r="J62" s="20" t="n">
        <v>2.32722258</v>
      </c>
      <c r="K62" s="18" t="n">
        <v>18.87581375</v>
      </c>
      <c r="L62" s="20" t="n">
        <v>2.16373081</v>
      </c>
      <c r="M62" s="18" t="n">
        <v>15.28340939</v>
      </c>
      <c r="N62" s="20" t="n">
        <v>1.88382317</v>
      </c>
      <c r="O62" s="18" t="s">
        <v>567</v>
      </c>
      <c r="P62" s="20" t="s">
        <v>567</v>
      </c>
      <c r="Q62" s="18" t="n">
        <v>0</v>
      </c>
      <c r="R62" s="20" t="n">
        <v>0</v>
      </c>
      <c r="S62" s="18" t="n">
        <v>0</v>
      </c>
      <c r="T62" s="20" t="n">
        <v>0</v>
      </c>
      <c r="U62" s="18" t="n">
        <v>0</v>
      </c>
      <c r="V62" s="20" t="n">
        <v>0</v>
      </c>
      <c r="W62" s="18" t="n">
        <v>3.95906294</v>
      </c>
      <c r="X62" s="20" t="n">
        <v>1.12792145</v>
      </c>
    </row>
    <row r="63" spans="1:24">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c r="U63" s="18" t="s">
        <v>567</v>
      </c>
      <c r="V63" s="20" t="s">
        <v>567</v>
      </c>
      <c r="W63" s="18" t="s">
        <v>567</v>
      </c>
      <c r="X63" s="20" t="s">
        <v>567</v>
      </c>
    </row>
    <row r="64" spans="1:24">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c r="U64" s="18" t="s">
        <v>567</v>
      </c>
      <c r="V64" s="20" t="s">
        <v>567</v>
      </c>
      <c r="W64" s="18" t="s">
        <v>567</v>
      </c>
      <c r="X64" s="20" t="s">
        <v>567</v>
      </c>
    </row>
    <row r="65" spans="1:24">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c r="U65" s="18" t="s">
        <v>567</v>
      </c>
      <c r="V65" s="20" t="s">
        <v>567</v>
      </c>
      <c r="W65" s="18" t="s">
        <v>567</v>
      </c>
      <c r="X65" s="20" t="s">
        <v>567</v>
      </c>
    </row>
    <row r="66" spans="1:24">
      <c r="A66" s="15" t="s">
        <v>626</v>
      </c>
      <c r="B66" s="17" t="n">
        <v>2894</v>
      </c>
      <c r="C66" s="18">
        <f>(2585.0/B66*100)</f>
        <v/>
      </c>
      <c r="D66" s="19" t="n">
        <v>309</v>
      </c>
      <c r="E66" s="18" t="n">
        <v>12.04860229</v>
      </c>
      <c r="F66" s="20" t="n">
        <v>1.88868647</v>
      </c>
      <c r="G66" s="18" t="n">
        <v>6.46533151</v>
      </c>
      <c r="H66" s="20" t="n">
        <v>1.3339434</v>
      </c>
      <c r="I66" s="18" t="n">
        <v>13.07711312</v>
      </c>
      <c r="J66" s="20" t="n">
        <v>1.81331753</v>
      </c>
      <c r="K66" s="18" t="n">
        <v>11.65912445</v>
      </c>
      <c r="L66" s="20" t="n">
        <v>1.90538747</v>
      </c>
      <c r="M66" s="18" t="n">
        <v>25.90288099</v>
      </c>
      <c r="N66" s="20" t="n">
        <v>2.71084064</v>
      </c>
      <c r="O66" s="18" t="s">
        <v>567</v>
      </c>
      <c r="P66" s="20" t="s">
        <v>567</v>
      </c>
      <c r="Q66" s="18" t="n">
        <v>0</v>
      </c>
      <c r="R66" s="20" t="n">
        <v>0</v>
      </c>
      <c r="S66" s="18" t="n">
        <v>1.56392265</v>
      </c>
      <c r="T66" s="20" t="n">
        <v>0.52601873</v>
      </c>
      <c r="U66" s="18" t="n">
        <v>0</v>
      </c>
      <c r="V66" s="20" t="n">
        <v>0</v>
      </c>
      <c r="W66" s="18" t="n">
        <v>29.28302499</v>
      </c>
      <c r="X66" s="20" t="n">
        <v>2.866227</v>
      </c>
    </row>
    <row r="67" spans="1:24">
      <c r="A67" s="15" t="s">
        <v>627</v>
      </c>
      <c r="B67" s="17" t="n">
        <v>3511</v>
      </c>
      <c r="C67" s="18">
        <f>(3132.0/B67*100)</f>
        <v/>
      </c>
      <c r="D67" s="19" t="n">
        <v>379</v>
      </c>
      <c r="E67" s="18" t="n">
        <v>18.8250821</v>
      </c>
      <c r="F67" s="20" t="n">
        <v>2.0700632</v>
      </c>
      <c r="G67" s="18" t="n">
        <v>13.90137606</v>
      </c>
      <c r="H67" s="20" t="n">
        <v>2.0774513</v>
      </c>
      <c r="I67" s="18" t="n">
        <v>39.22645042</v>
      </c>
      <c r="J67" s="20" t="n">
        <v>2.84522745</v>
      </c>
      <c r="K67" s="18" t="n">
        <v>14.97265688</v>
      </c>
      <c r="L67" s="20" t="n">
        <v>2.20952829</v>
      </c>
      <c r="M67" s="18" t="n">
        <v>5.68445044</v>
      </c>
      <c r="N67" s="20" t="n">
        <v>1.28946139</v>
      </c>
      <c r="O67" s="18" t="s">
        <v>567</v>
      </c>
      <c r="P67" s="20" t="s">
        <v>567</v>
      </c>
      <c r="Q67" s="18" t="n">
        <v>0.19652286</v>
      </c>
      <c r="R67" s="20" t="n">
        <v>0.19628936</v>
      </c>
      <c r="S67" s="18" t="n">
        <v>0</v>
      </c>
      <c r="T67" s="20" t="n">
        <v>0</v>
      </c>
      <c r="U67" s="18" t="n">
        <v>0</v>
      </c>
      <c r="V67" s="20" t="n">
        <v>0</v>
      </c>
      <c r="W67" s="18" t="n">
        <v>7.19346124</v>
      </c>
      <c r="X67" s="20" t="n">
        <v>1.297475</v>
      </c>
    </row>
    <row r="68" spans="1:24">
      <c r="A68" s="15" t="s">
        <v>628</v>
      </c>
      <c r="B68" s="17" t="n">
        <v>6049</v>
      </c>
      <c r="C68" s="18">
        <f>(5383.0/B68*100)</f>
        <v/>
      </c>
      <c r="D68" s="19" t="n">
        <v>666</v>
      </c>
      <c r="E68" s="18" t="n">
        <v>7.17593696</v>
      </c>
      <c r="F68" s="20" t="n">
        <v>1.12983625</v>
      </c>
      <c r="G68" s="18" t="n">
        <v>7.99484531</v>
      </c>
      <c r="H68" s="20" t="n">
        <v>0.97031754</v>
      </c>
      <c r="I68" s="18" t="n">
        <v>35.30836167</v>
      </c>
      <c r="J68" s="20" t="n">
        <v>1.83593629</v>
      </c>
      <c r="K68" s="18" t="n">
        <v>16.10073038</v>
      </c>
      <c r="L68" s="20" t="n">
        <v>1.31231124</v>
      </c>
      <c r="M68" s="18" t="n">
        <v>17.40842755</v>
      </c>
      <c r="N68" s="20" t="n">
        <v>1.4230309</v>
      </c>
      <c r="O68" s="18" t="s">
        <v>567</v>
      </c>
      <c r="P68" s="20" t="s">
        <v>567</v>
      </c>
      <c r="Q68" s="18" t="n">
        <v>1.63700342</v>
      </c>
      <c r="R68" s="20" t="n">
        <v>0.4949008</v>
      </c>
      <c r="S68" s="18" t="n">
        <v>0</v>
      </c>
      <c r="T68" s="20" t="n">
        <v>0</v>
      </c>
      <c r="U68" s="18" t="n">
        <v>0</v>
      </c>
      <c r="V68" s="20" t="n">
        <v>0</v>
      </c>
      <c r="W68" s="18" t="n">
        <v>14.37469471</v>
      </c>
      <c r="X68" s="20" t="n">
        <v>1.4486632</v>
      </c>
    </row>
    <row r="69" spans="1:24">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c r="U69" s="18" t="s">
        <v>567</v>
      </c>
      <c r="V69" s="20" t="s">
        <v>567</v>
      </c>
      <c r="W69" s="18" t="s">
        <v>567</v>
      </c>
      <c r="X69" s="20" t="s">
        <v>567</v>
      </c>
    </row>
    <row r="70" spans="1:24">
      <c r="A70" s="15" t="s">
        <v>630</v>
      </c>
      <c r="B70" s="17" t="n">
        <v>2929</v>
      </c>
      <c r="C70" s="18">
        <f>(2605.0/B70*100)</f>
        <v/>
      </c>
      <c r="D70" s="19" t="n">
        <v>324</v>
      </c>
      <c r="E70" s="18" t="n">
        <v>6.89251481</v>
      </c>
      <c r="F70" s="20" t="n">
        <v>1.49031899</v>
      </c>
      <c r="G70" s="18" t="n">
        <v>8.44092689</v>
      </c>
      <c r="H70" s="20" t="n">
        <v>1.67573808</v>
      </c>
      <c r="I70" s="18" t="n">
        <v>15.16658399</v>
      </c>
      <c r="J70" s="20" t="n">
        <v>2.27758985</v>
      </c>
      <c r="K70" s="18" t="n">
        <v>49.36915755</v>
      </c>
      <c r="L70" s="20" t="n">
        <v>3.42662601</v>
      </c>
      <c r="M70" s="18" t="n">
        <v>10.51864647</v>
      </c>
      <c r="N70" s="20" t="n">
        <v>2.29710488</v>
      </c>
      <c r="O70" s="18" t="s">
        <v>567</v>
      </c>
      <c r="P70" s="20" t="s">
        <v>567</v>
      </c>
      <c r="Q70" s="18" t="n">
        <v>0.77146864</v>
      </c>
      <c r="R70" s="20" t="n">
        <v>0.42730458</v>
      </c>
      <c r="S70" s="18" t="n">
        <v>0</v>
      </c>
      <c r="T70" s="20" t="n">
        <v>0</v>
      </c>
      <c r="U70" s="18" t="n">
        <v>0</v>
      </c>
      <c r="V70" s="20" t="n">
        <v>0</v>
      </c>
      <c r="W70" s="18" t="n">
        <v>8.84070165</v>
      </c>
      <c r="X70" s="20" t="n">
        <v>1.64680078</v>
      </c>
    </row>
    <row r="71" spans="1:24">
      <c r="A71" s="15" t="s">
        <v>631</v>
      </c>
      <c r="B71" s="17" t="n">
        <v>3142</v>
      </c>
      <c r="C71" s="18">
        <f>(2800.0/B71*100)</f>
        <v/>
      </c>
      <c r="D71" s="19" t="n">
        <v>342</v>
      </c>
      <c r="E71" s="18" t="n">
        <v>10.59515769</v>
      </c>
      <c r="F71" s="20" t="n">
        <v>1.60614428</v>
      </c>
      <c r="G71" s="18" t="n">
        <v>6.47104908</v>
      </c>
      <c r="H71" s="20" t="n">
        <v>1.25266976</v>
      </c>
      <c r="I71" s="18" t="n">
        <v>15.78336681</v>
      </c>
      <c r="J71" s="20" t="n">
        <v>1.85854408</v>
      </c>
      <c r="K71" s="18" t="n">
        <v>41.79562147</v>
      </c>
      <c r="L71" s="20" t="n">
        <v>2.36194466</v>
      </c>
      <c r="M71" s="18" t="n">
        <v>21.6205601</v>
      </c>
      <c r="N71" s="20" t="n">
        <v>2.00138371</v>
      </c>
      <c r="O71" s="18" t="s">
        <v>567</v>
      </c>
      <c r="P71" s="20" t="s">
        <v>567</v>
      </c>
      <c r="Q71" s="18" t="n">
        <v>0</v>
      </c>
      <c r="R71" s="20" t="n">
        <v>0</v>
      </c>
      <c r="S71" s="18" t="n">
        <v>0</v>
      </c>
      <c r="T71" s="20" t="n">
        <v>0</v>
      </c>
      <c r="U71" s="18" t="n">
        <v>0</v>
      </c>
      <c r="V71" s="20" t="n">
        <v>0</v>
      </c>
      <c r="W71" s="18" t="n">
        <v>3.73424486</v>
      </c>
      <c r="X71" s="20" t="n">
        <v>1.03659894</v>
      </c>
    </row>
    <row r="72" spans="1:24">
      <c r="A72" s="15" t="s">
        <v>632</v>
      </c>
      <c r="B72" s="17" t="n">
        <v>3889</v>
      </c>
      <c r="C72" s="18">
        <f>(3449.0/B72*100)</f>
        <v/>
      </c>
      <c r="D72" s="19" t="n">
        <v>440</v>
      </c>
      <c r="E72" s="18" t="n">
        <v>16.43026401</v>
      </c>
      <c r="F72" s="20" t="n">
        <v>1.69528273</v>
      </c>
      <c r="G72" s="18" t="n">
        <v>7.09807143</v>
      </c>
      <c r="H72" s="20" t="n">
        <v>1.30810682</v>
      </c>
      <c r="I72" s="18" t="n">
        <v>16.63421016</v>
      </c>
      <c r="J72" s="20" t="n">
        <v>1.75957081</v>
      </c>
      <c r="K72" s="18" t="n">
        <v>26.76494074</v>
      </c>
      <c r="L72" s="20" t="n">
        <v>2.1486129</v>
      </c>
      <c r="M72" s="18" t="n">
        <v>25.75295451</v>
      </c>
      <c r="N72" s="20" t="n">
        <v>1.99924869</v>
      </c>
      <c r="O72" s="18" t="s">
        <v>567</v>
      </c>
      <c r="P72" s="20" t="s">
        <v>567</v>
      </c>
      <c r="Q72" s="18" t="n">
        <v>0.30110292</v>
      </c>
      <c r="R72" s="20" t="n">
        <v>0.30243754</v>
      </c>
      <c r="S72" s="18" t="n">
        <v>0</v>
      </c>
      <c r="T72" s="20" t="n">
        <v>0</v>
      </c>
      <c r="U72" s="18" t="n">
        <v>0</v>
      </c>
      <c r="V72" s="20" t="n">
        <v>0</v>
      </c>
      <c r="W72" s="18" t="n">
        <v>7.01845622</v>
      </c>
      <c r="X72" s="20" t="n">
        <v>1.22741479</v>
      </c>
    </row>
    <row r="73" spans="1:24">
      <c r="A73" s="15" t="s">
        <v>633</v>
      </c>
      <c r="B73" s="17" t="n">
        <v>3597</v>
      </c>
      <c r="C73" s="18">
        <f>(3230.0/B73*100)</f>
        <v/>
      </c>
      <c r="D73" s="19" t="n">
        <v>367</v>
      </c>
      <c r="E73" s="18" t="n">
        <v>18.93076513</v>
      </c>
      <c r="F73" s="20" t="n">
        <v>2.60040107</v>
      </c>
      <c r="G73" s="18" t="n">
        <v>11.51238105</v>
      </c>
      <c r="H73" s="20" t="n">
        <v>2.09792574</v>
      </c>
      <c r="I73" s="18" t="n">
        <v>45.04619861</v>
      </c>
      <c r="J73" s="20" t="n">
        <v>3.10722031</v>
      </c>
      <c r="K73" s="18" t="n">
        <v>15.24922506</v>
      </c>
      <c r="L73" s="20" t="n">
        <v>2.32583035</v>
      </c>
      <c r="M73" s="18" t="n">
        <v>7.33674517</v>
      </c>
      <c r="N73" s="20" t="n">
        <v>1.56598328</v>
      </c>
      <c r="O73" s="18" t="s">
        <v>567</v>
      </c>
      <c r="P73" s="20" t="s">
        <v>567</v>
      </c>
      <c r="Q73" s="18" t="n">
        <v>0</v>
      </c>
      <c r="R73" s="20" t="n">
        <v>0</v>
      </c>
      <c r="S73" s="18" t="n">
        <v>0</v>
      </c>
      <c r="T73" s="20" t="n">
        <v>0</v>
      </c>
      <c r="U73" s="18" t="n">
        <v>0</v>
      </c>
      <c r="V73" s="20" t="n">
        <v>0</v>
      </c>
      <c r="W73" s="18" t="n">
        <v>1.92468498</v>
      </c>
      <c r="X73" s="20" t="n">
        <v>0.7644421300000001</v>
      </c>
    </row>
    <row r="74" spans="1:24">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c r="U74" s="18" t="s">
        <v>567</v>
      </c>
      <c r="V74" s="20" t="s">
        <v>567</v>
      </c>
      <c r="W74" s="18" t="s">
        <v>567</v>
      </c>
      <c r="X74" s="20" t="s">
        <v>567</v>
      </c>
    </row>
    <row r="75" spans="1:24">
      <c r="A75" s="15" t="s">
        <v>635</v>
      </c>
      <c r="B75" s="17" t="n">
        <v>2406</v>
      </c>
      <c r="C75" s="18">
        <f>(2169.0/B75*100)</f>
        <v/>
      </c>
      <c r="D75" s="19" t="n">
        <v>237</v>
      </c>
      <c r="E75" s="18" t="n">
        <v>7.04243524</v>
      </c>
      <c r="F75" s="20" t="n">
        <v>2.19197488</v>
      </c>
      <c r="G75" s="18" t="n">
        <v>5.51039952</v>
      </c>
      <c r="H75" s="20" t="n">
        <v>1.40431763</v>
      </c>
      <c r="I75" s="18" t="n">
        <v>30.8378533</v>
      </c>
      <c r="J75" s="20" t="n">
        <v>3.26429794</v>
      </c>
      <c r="K75" s="18" t="n">
        <v>6.45808389</v>
      </c>
      <c r="L75" s="20" t="n">
        <v>1.68105593</v>
      </c>
      <c r="M75" s="18" t="n">
        <v>14.68470827</v>
      </c>
      <c r="N75" s="20" t="n">
        <v>2.45090558</v>
      </c>
      <c r="O75" s="18" t="s">
        <v>567</v>
      </c>
      <c r="P75" s="20" t="s">
        <v>567</v>
      </c>
      <c r="Q75" s="18" t="n">
        <v>1.31507219</v>
      </c>
      <c r="R75" s="20" t="n">
        <v>0.72966655</v>
      </c>
      <c r="S75" s="18" t="n">
        <v>0.82369353</v>
      </c>
      <c r="T75" s="20" t="n">
        <v>0.59541126</v>
      </c>
      <c r="U75" s="18" t="n">
        <v>0</v>
      </c>
      <c r="V75" s="20" t="n">
        <v>0</v>
      </c>
      <c r="W75" s="18" t="n">
        <v>33.32775405</v>
      </c>
      <c r="X75" s="20" t="n">
        <v>3.1484821</v>
      </c>
    </row>
    <row r="76" spans="1:24">
      <c r="A76" s="15" t="s">
        <v>636</v>
      </c>
      <c r="B76" s="17" t="n">
        <v>7052</v>
      </c>
      <c r="C76" s="18">
        <f>(6260.0/B76*100)</f>
        <v/>
      </c>
      <c r="D76" s="19" t="n">
        <v>792</v>
      </c>
      <c r="E76" s="18" t="n">
        <v>17.0300466</v>
      </c>
      <c r="F76" s="20" t="n">
        <v>1.68184525</v>
      </c>
      <c r="G76" s="18" t="n">
        <v>6.66350919</v>
      </c>
      <c r="H76" s="20" t="n">
        <v>1.08675197</v>
      </c>
      <c r="I76" s="18" t="n">
        <v>31.60272461</v>
      </c>
      <c r="J76" s="20" t="n">
        <v>1.98324489</v>
      </c>
      <c r="K76" s="18" t="n">
        <v>14.8682052</v>
      </c>
      <c r="L76" s="20" t="n">
        <v>1.46535725</v>
      </c>
      <c r="M76" s="18" t="n">
        <v>18.97041757</v>
      </c>
      <c r="N76" s="20" t="n">
        <v>1.7809735</v>
      </c>
      <c r="O76" s="18" t="s">
        <v>567</v>
      </c>
      <c r="P76" s="20" t="s">
        <v>567</v>
      </c>
      <c r="Q76" s="18" t="n">
        <v>1.28770977</v>
      </c>
      <c r="R76" s="20" t="n">
        <v>0.5456043900000001</v>
      </c>
      <c r="S76" s="18" t="n">
        <v>0.06554293</v>
      </c>
      <c r="T76" s="20" t="n">
        <v>0.06583625999999999</v>
      </c>
      <c r="U76" s="18" t="n">
        <v>0</v>
      </c>
      <c r="V76" s="20" t="n">
        <v>0</v>
      </c>
      <c r="W76" s="18" t="n">
        <v>9.511844139999999</v>
      </c>
      <c r="X76" s="20" t="n">
        <v>1.08940713</v>
      </c>
    </row>
    <row r="77" spans="1:24">
      <c r="A77" s="15" t="s">
        <v>637</v>
      </c>
      <c r="B77" s="17" t="n">
        <v>2908</v>
      </c>
      <c r="C77" s="18">
        <f>(2581.0/B77*100)</f>
        <v/>
      </c>
      <c r="D77" s="19" t="n">
        <v>327</v>
      </c>
      <c r="E77" s="18" t="n">
        <v>18.78515887</v>
      </c>
      <c r="F77" s="20" t="n">
        <v>2.60553305</v>
      </c>
      <c r="G77" s="18" t="n">
        <v>9.52092876</v>
      </c>
      <c r="H77" s="20" t="n">
        <v>1.68889698</v>
      </c>
      <c r="I77" s="18" t="n">
        <v>19.28232024</v>
      </c>
      <c r="J77" s="20" t="n">
        <v>2.00882142</v>
      </c>
      <c r="K77" s="18" t="n">
        <v>17.37665756</v>
      </c>
      <c r="L77" s="20" t="n">
        <v>2.14309298</v>
      </c>
      <c r="M77" s="18" t="n">
        <v>9.68620407</v>
      </c>
      <c r="N77" s="20" t="n">
        <v>1.67898708</v>
      </c>
      <c r="O77" s="18" t="s">
        <v>567</v>
      </c>
      <c r="P77" s="20" t="s">
        <v>567</v>
      </c>
      <c r="Q77" s="18" t="n">
        <v>0.21750254</v>
      </c>
      <c r="R77" s="20" t="n">
        <v>0.21759753</v>
      </c>
      <c r="S77" s="18" t="n">
        <v>0.34551052</v>
      </c>
      <c r="T77" s="20" t="n">
        <v>0.34796945</v>
      </c>
      <c r="U77" s="18" t="n">
        <v>0</v>
      </c>
      <c r="V77" s="20" t="n">
        <v>0</v>
      </c>
      <c r="W77" s="18" t="n">
        <v>24.78571745</v>
      </c>
      <c r="X77" s="20" t="n">
        <v>2.30903358</v>
      </c>
    </row>
    <row r="78" spans="1:24">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c r="U78" s="18" t="s">
        <v>567</v>
      </c>
      <c r="V78" s="20" t="s">
        <v>567</v>
      </c>
      <c r="W78" s="18" t="s">
        <v>567</v>
      </c>
      <c r="X78" s="20" t="s">
        <v>567</v>
      </c>
    </row>
    <row customHeight="1" ht="25" r="79" spans="1:24">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c r="U79" s="18" t="s">
        <v>567</v>
      </c>
      <c r="V79" s="20" t="s">
        <v>567</v>
      </c>
      <c r="W79" s="18" t="s">
        <v>567</v>
      </c>
      <c r="X79" s="20" t="s">
        <v>567</v>
      </c>
    </row>
    <row r="80" spans="1:24">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c r="W80" s="18" t="s">
        <v>567</v>
      </c>
      <c r="X80" s="20" t="s">
        <v>567</v>
      </c>
    </row>
    <row r="81" spans="1:24">
      <c r="A81" s="21" t="s">
        <v>641</v>
      </c>
      <c r="B81" s="17" t="n">
        <v>4163</v>
      </c>
      <c r="C81" s="18">
        <f>(3729.0/B81*100)</f>
        <v/>
      </c>
      <c r="D81" s="19" t="n">
        <v>434</v>
      </c>
      <c r="E81" s="18" t="n">
        <v>10.51528</v>
      </c>
      <c r="F81" s="20" t="n">
        <v>1.46910285</v>
      </c>
      <c r="G81" s="18" t="n">
        <v>15.73746282</v>
      </c>
      <c r="H81" s="20" t="n">
        <v>2.28703264</v>
      </c>
      <c r="I81" s="18" t="n">
        <v>35.5260213</v>
      </c>
      <c r="J81" s="20" t="n">
        <v>2.57221825</v>
      </c>
      <c r="K81" s="18" t="n">
        <v>18.60065252</v>
      </c>
      <c r="L81" s="20" t="n">
        <v>2.34300632</v>
      </c>
      <c r="M81" s="18" t="n">
        <v>15.80171165</v>
      </c>
      <c r="N81" s="20" t="n">
        <v>2.00332043</v>
      </c>
      <c r="O81" s="18" t="s">
        <v>567</v>
      </c>
      <c r="P81" s="20" t="s">
        <v>567</v>
      </c>
      <c r="Q81" s="18" t="n">
        <v>0</v>
      </c>
      <c r="R81" s="20" t="n">
        <v>0</v>
      </c>
      <c r="S81" s="18" t="n">
        <v>0</v>
      </c>
      <c r="T81" s="20" t="n">
        <v>0</v>
      </c>
      <c r="U81" s="18" t="n">
        <v>0</v>
      </c>
      <c r="V81" s="20" t="n">
        <v>0</v>
      </c>
      <c r="W81" s="18" t="n">
        <v>3.8188717</v>
      </c>
      <c r="X81" s="20" t="n">
        <v>1.14178949</v>
      </c>
    </row>
    <row r="82" spans="1:24">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c r="W82" s="22" t="s">
        <v>642</v>
      </c>
      <c r="X82" s="22" t="s">
        <v>642</v>
      </c>
    </row>
    <row r="83" spans="1:24">
      <c r="A83" s="3" t="s">
        <v>643</v>
      </c>
    </row>
    <row r="84" spans="1:24">
      <c r="A84" s="23" t="s">
        <v>644</v>
      </c>
    </row>
    <row r="85" spans="1:24">
      <c r="A85" s="23" t="s">
        <v>645</v>
      </c>
    </row>
    <row customHeight="1" ht="30" r="86" spans="1:24">
      <c r="A86" s="23" t="s">
        <v>646</v>
      </c>
    </row>
    <row customHeight="1" ht="30" r="87" spans="1:24">
      <c r="A87" s="23" t="s">
        <v>642</v>
      </c>
    </row>
    <row customHeight="1" ht="30" r="88" spans="1:24">
      <c r="A88" s="23" t="s">
        <v>647</v>
      </c>
    </row>
    <row customHeight="1" ht="30" r="89" spans="1:24">
      <c r="A89" s="23" t="s">
        <v>648</v>
      </c>
    </row>
    <row customHeight="1" ht="30" r="90" spans="1:24">
      <c r="A90" s="23" t="s">
        <v>649</v>
      </c>
    </row>
    <row customHeight="1" ht="30" r="91" spans="1:24">
      <c r="A91" s="23" t="s">
        <v>650</v>
      </c>
    </row>
    <row customHeight="1" ht="30" r="92" spans="1:24">
      <c r="A92" s="23" t="s">
        <v>651</v>
      </c>
    </row>
    <row customHeight="1" ht="30" r="93" spans="1:24">
      <c r="A93" s="23" t="s">
        <v>652</v>
      </c>
    </row>
    <row customHeight="1" ht="30" r="94" spans="1:24">
      <c r="A94" s="23" t="s">
        <v>653</v>
      </c>
    </row>
    <row customHeight="1" ht="30" r="95" spans="1:24">
      <c r="A95" s="23" t="s">
        <v>654</v>
      </c>
    </row>
    <row customHeight="1" ht="30" r="96" spans="1:24">
      <c r="A96" s="23" t="s">
        <v>655</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549</v>
      </c>
    </row>
    <row r="2" spans="1:26">
      <c r="A2" s="5" t="s">
        <v>704</v>
      </c>
    </row>
    <row customHeight="1" ht="30" r="4" spans="1:26">
      <c r="A4" s="6" t="n"/>
      <c r="B4" s="7" t="s">
        <v>551</v>
      </c>
      <c r="C4" s="7" t="s">
        <v>552</v>
      </c>
      <c r="D4" s="8" t="s">
        <v>551</v>
      </c>
      <c r="E4" s="9" t="s">
        <v>657</v>
      </c>
      <c r="F4" s="10" t="n"/>
      <c r="G4" s="9" t="s">
        <v>658</v>
      </c>
      <c r="H4" s="10" t="n"/>
      <c r="I4" s="9" t="s">
        <v>703</v>
      </c>
      <c r="J4" s="10" t="n"/>
      <c r="K4" s="9" t="s">
        <v>705</v>
      </c>
      <c r="L4" s="10" t="n"/>
      <c r="M4" s="9" t="s">
        <v>659</v>
      </c>
      <c r="N4" s="10" t="n"/>
      <c r="O4" s="9" t="s">
        <v>660</v>
      </c>
      <c r="P4" s="10" t="n"/>
      <c r="Q4" s="9" t="s">
        <v>555</v>
      </c>
      <c r="R4" s="10" t="n"/>
      <c r="S4" s="9" t="s">
        <v>556</v>
      </c>
      <c r="T4" s="10" t="n"/>
      <c r="U4" s="9" t="s">
        <v>557</v>
      </c>
      <c r="V4" s="10" t="n"/>
      <c r="W4" s="9" t="s">
        <v>558</v>
      </c>
      <c r="X4" s="10" t="n"/>
      <c r="Y4" s="9" t="s">
        <v>559</v>
      </c>
      <c r="Z4" s="10" t="n"/>
    </row>
    <row r="5" spans="1:26">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c r="W5" s="12" t="s">
        <v>563</v>
      </c>
      <c r="X5" s="11" t="s">
        <v>564</v>
      </c>
      <c r="Y5" s="12" t="s">
        <v>563</v>
      </c>
      <c r="Z5" s="11" t="s">
        <v>564</v>
      </c>
    </row>
    <row r="6" spans="1:26">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566</v>
      </c>
      <c r="B7" s="17" t="n">
        <v>7367</v>
      </c>
      <c r="C7" s="18">
        <f>(6549.0/B7*100)</f>
        <v/>
      </c>
      <c r="D7" s="19" t="n">
        <v>818</v>
      </c>
      <c r="E7" s="18" t="n">
        <v>37.42559174</v>
      </c>
      <c r="F7" s="20" t="n">
        <v>1.92067442</v>
      </c>
      <c r="G7" s="18" t="n">
        <v>9.218802930000001</v>
      </c>
      <c r="H7" s="20" t="n">
        <v>1.18355349</v>
      </c>
      <c r="I7" s="18" t="n">
        <v>1.13305854</v>
      </c>
      <c r="J7" s="20" t="n">
        <v>0.40755679</v>
      </c>
      <c r="K7" s="18" t="n">
        <v>16.49229164</v>
      </c>
      <c r="L7" s="20" t="n">
        <v>1.77248217</v>
      </c>
      <c r="M7" s="18" t="n">
        <v>24.98499021</v>
      </c>
      <c r="N7" s="20" t="n">
        <v>1.70154482</v>
      </c>
      <c r="O7" s="18" t="n">
        <v>2.38912527</v>
      </c>
      <c r="P7" s="20" t="n">
        <v>0.62191</v>
      </c>
      <c r="Q7" s="18" t="s">
        <v>567</v>
      </c>
      <c r="R7" s="20" t="s">
        <v>567</v>
      </c>
      <c r="S7" s="18" t="n">
        <v>0</v>
      </c>
      <c r="T7" s="20" t="n">
        <v>0</v>
      </c>
      <c r="U7" s="18" t="n">
        <v>0.03166276</v>
      </c>
      <c r="V7" s="20" t="n">
        <v>0.02283271</v>
      </c>
      <c r="W7" s="18" t="n">
        <v>0</v>
      </c>
      <c r="X7" s="20" t="n">
        <v>0</v>
      </c>
      <c r="Y7" s="18" t="n">
        <v>8.32447691</v>
      </c>
      <c r="Z7" s="20" t="n">
        <v>1.20664266</v>
      </c>
    </row>
    <row r="8" spans="1:26">
      <c r="A8" s="15" t="s">
        <v>568</v>
      </c>
      <c r="B8" s="17" t="n">
        <v>3564</v>
      </c>
      <c r="C8" s="18">
        <f>(3160.0/B8*100)</f>
        <v/>
      </c>
      <c r="D8" s="19" t="n">
        <v>404</v>
      </c>
      <c r="E8" s="18" t="n">
        <v>15.60564944</v>
      </c>
      <c r="F8" s="20" t="n">
        <v>2.16630611</v>
      </c>
      <c r="G8" s="18" t="n">
        <v>0.9686508</v>
      </c>
      <c r="H8" s="20" t="n">
        <v>0.45222098</v>
      </c>
      <c r="I8" s="18" t="n">
        <v>0.28994955</v>
      </c>
      <c r="J8" s="20" t="n">
        <v>0.28897252</v>
      </c>
      <c r="K8" s="18" t="n">
        <v>42.66622659</v>
      </c>
      <c r="L8" s="20" t="n">
        <v>2.8758855</v>
      </c>
      <c r="M8" s="18" t="n">
        <v>15.77965079</v>
      </c>
      <c r="N8" s="20" t="n">
        <v>1.86948653</v>
      </c>
      <c r="O8" s="18" t="n">
        <v>2.70221011</v>
      </c>
      <c r="P8" s="20" t="n">
        <v>1.07670896</v>
      </c>
      <c r="Q8" s="18" t="s">
        <v>567</v>
      </c>
      <c r="R8" s="20" t="s">
        <v>567</v>
      </c>
      <c r="S8" s="18" t="n">
        <v>0</v>
      </c>
      <c r="T8" s="20" t="n">
        <v>0</v>
      </c>
      <c r="U8" s="18" t="n">
        <v>0</v>
      </c>
      <c r="V8" s="20" t="n">
        <v>0</v>
      </c>
      <c r="W8" s="18" t="n">
        <v>0</v>
      </c>
      <c r="X8" s="20" t="n">
        <v>0</v>
      </c>
      <c r="Y8" s="18" t="n">
        <v>21.98766271</v>
      </c>
      <c r="Z8" s="20" t="n">
        <v>2.35280708</v>
      </c>
    </row>
    <row r="9" spans="1:26">
      <c r="A9" s="15" t="s">
        <v>569</v>
      </c>
      <c r="B9" s="17" t="n">
        <v>4899</v>
      </c>
      <c r="C9" s="18">
        <f>(4420.0/B9*100)</f>
        <v/>
      </c>
      <c r="D9" s="19" t="n">
        <v>479</v>
      </c>
      <c r="E9" s="18" t="n">
        <v>26.74534792</v>
      </c>
      <c r="F9" s="20" t="n">
        <v>1.85357955</v>
      </c>
      <c r="G9" s="18" t="n">
        <v>11.36562167</v>
      </c>
      <c r="H9" s="20" t="n">
        <v>1.61544563</v>
      </c>
      <c r="I9" s="18" t="n">
        <v>0</v>
      </c>
      <c r="J9" s="20" t="n">
        <v>0</v>
      </c>
      <c r="K9" s="18" t="n">
        <v>24.0862669</v>
      </c>
      <c r="L9" s="20" t="n">
        <v>1.77239526</v>
      </c>
      <c r="M9" s="18" t="n">
        <v>19.04671435</v>
      </c>
      <c r="N9" s="20" t="n">
        <v>1.99311101</v>
      </c>
      <c r="O9" s="18" t="n">
        <v>9.307067419999999</v>
      </c>
      <c r="P9" s="20" t="n">
        <v>1.20980176</v>
      </c>
      <c r="Q9" s="18" t="s">
        <v>567</v>
      </c>
      <c r="R9" s="20" t="s">
        <v>567</v>
      </c>
      <c r="S9" s="18" t="n">
        <v>0</v>
      </c>
      <c r="T9" s="20" t="n">
        <v>0</v>
      </c>
      <c r="U9" s="18" t="n">
        <v>0.87379974</v>
      </c>
      <c r="V9" s="20" t="n">
        <v>0.30667309</v>
      </c>
      <c r="W9" s="18" t="n">
        <v>0</v>
      </c>
      <c r="X9" s="20" t="n">
        <v>0</v>
      </c>
      <c r="Y9" s="18" t="n">
        <v>8.575182</v>
      </c>
      <c r="Z9" s="20" t="n">
        <v>1.43308641</v>
      </c>
    </row>
    <row r="10" spans="1:26">
      <c r="A10" s="15" t="s">
        <v>570</v>
      </c>
      <c r="B10" s="17" t="n">
        <v>10036</v>
      </c>
      <c r="C10" s="18">
        <f>(8961.0/B10*100)</f>
        <v/>
      </c>
      <c r="D10" s="19" t="n">
        <v>1075</v>
      </c>
      <c r="E10" s="18" t="n">
        <v>27.07240049</v>
      </c>
      <c r="F10" s="20" t="n">
        <v>1.83859397</v>
      </c>
      <c r="G10" s="18" t="n">
        <v>11.92622713</v>
      </c>
      <c r="H10" s="20" t="n">
        <v>1.44254887</v>
      </c>
      <c r="I10" s="18" t="n">
        <v>1.29870915</v>
      </c>
      <c r="J10" s="20" t="n">
        <v>0.56423968</v>
      </c>
      <c r="K10" s="18" t="n">
        <v>24.31596242</v>
      </c>
      <c r="L10" s="20" t="n">
        <v>2.10833613</v>
      </c>
      <c r="M10" s="18" t="n">
        <v>25.94100211</v>
      </c>
      <c r="N10" s="20" t="n">
        <v>1.5861293</v>
      </c>
      <c r="O10" s="18" t="n">
        <v>4.56044894</v>
      </c>
      <c r="P10" s="20" t="n">
        <v>0.93621885</v>
      </c>
      <c r="Q10" s="18" t="s">
        <v>567</v>
      </c>
      <c r="R10" s="20" t="s">
        <v>567</v>
      </c>
      <c r="S10" s="18" t="n">
        <v>0.02141819</v>
      </c>
      <c r="T10" s="20" t="n">
        <v>0.02125126</v>
      </c>
      <c r="U10" s="18" t="n">
        <v>0</v>
      </c>
      <c r="V10" s="20" t="n">
        <v>0</v>
      </c>
      <c r="W10" s="18" t="n">
        <v>0</v>
      </c>
      <c r="X10" s="20" t="n">
        <v>0</v>
      </c>
      <c r="Y10" s="18" t="n">
        <v>4.86383157</v>
      </c>
      <c r="Z10" s="20" t="n">
        <v>0.9820379299999999</v>
      </c>
    </row>
    <row r="11" spans="1:26">
      <c r="A11" s="15" t="s">
        <v>571</v>
      </c>
      <c r="B11" s="17" t="n">
        <v>3553</v>
      </c>
      <c r="C11" s="18">
        <f>(3158.0/B11*100)</f>
        <v/>
      </c>
      <c r="D11" s="19" t="n">
        <v>395</v>
      </c>
      <c r="E11" s="18" t="n">
        <v>25.79775451</v>
      </c>
      <c r="F11" s="20" t="n">
        <v>2.51799777</v>
      </c>
      <c r="G11" s="18" t="n">
        <v>14.4485619</v>
      </c>
      <c r="H11" s="20" t="n">
        <v>2.19449437</v>
      </c>
      <c r="I11" s="18" t="n">
        <v>0</v>
      </c>
      <c r="J11" s="20" t="n">
        <v>0</v>
      </c>
      <c r="K11" s="18" t="n">
        <v>24.90748608</v>
      </c>
      <c r="L11" s="20" t="n">
        <v>2.51222119</v>
      </c>
      <c r="M11" s="18" t="n">
        <v>17.58199556</v>
      </c>
      <c r="N11" s="20" t="n">
        <v>1.84289481</v>
      </c>
      <c r="O11" s="18" t="n">
        <v>3.36871897</v>
      </c>
      <c r="P11" s="20" t="n">
        <v>1.20217581</v>
      </c>
      <c r="Q11" s="18" t="s">
        <v>567</v>
      </c>
      <c r="R11" s="20" t="s">
        <v>567</v>
      </c>
      <c r="S11" s="18" t="n">
        <v>0</v>
      </c>
      <c r="T11" s="20" t="n">
        <v>0</v>
      </c>
      <c r="U11" s="18" t="n">
        <v>0</v>
      </c>
      <c r="V11" s="20" t="n">
        <v>0</v>
      </c>
      <c r="W11" s="18" t="n">
        <v>0</v>
      </c>
      <c r="X11" s="20" t="n">
        <v>0</v>
      </c>
      <c r="Y11" s="18" t="n">
        <v>13.89548297</v>
      </c>
      <c r="Z11" s="20" t="n">
        <v>2.80357804</v>
      </c>
    </row>
    <row r="12" spans="1:26">
      <c r="A12" s="15" t="s">
        <v>572</v>
      </c>
      <c r="B12" s="17" t="n">
        <v>3472</v>
      </c>
      <c r="C12" s="18">
        <f>(3095.0/B12*100)</f>
        <v/>
      </c>
      <c r="D12" s="19" t="n">
        <v>377</v>
      </c>
      <c r="E12" s="18" t="n">
        <v>23.31622099</v>
      </c>
      <c r="F12" s="20" t="n">
        <v>2.49563053</v>
      </c>
      <c r="G12" s="18" t="n">
        <v>15.01467525</v>
      </c>
      <c r="H12" s="20" t="n">
        <v>1.90425593</v>
      </c>
      <c r="I12" s="18" t="n">
        <v>0.59792475</v>
      </c>
      <c r="J12" s="20" t="n">
        <v>0.56409347</v>
      </c>
      <c r="K12" s="18" t="n">
        <v>15.20203159</v>
      </c>
      <c r="L12" s="20" t="n">
        <v>1.82098075</v>
      </c>
      <c r="M12" s="18" t="n">
        <v>21.42055874</v>
      </c>
      <c r="N12" s="20" t="n">
        <v>2.55240247</v>
      </c>
      <c r="O12" s="18" t="n">
        <v>8.275149130000001</v>
      </c>
      <c r="P12" s="20" t="n">
        <v>1.94832261</v>
      </c>
      <c r="Q12" s="18" t="s">
        <v>567</v>
      </c>
      <c r="R12" s="20" t="s">
        <v>567</v>
      </c>
      <c r="S12" s="18" t="n">
        <v>0</v>
      </c>
      <c r="T12" s="20" t="n">
        <v>0</v>
      </c>
      <c r="U12" s="18" t="n">
        <v>0.15166426</v>
      </c>
      <c r="V12" s="20" t="n">
        <v>0.20440315</v>
      </c>
      <c r="W12" s="18" t="n">
        <v>0</v>
      </c>
      <c r="X12" s="20" t="n">
        <v>0</v>
      </c>
      <c r="Y12" s="18" t="n">
        <v>16.0217753</v>
      </c>
      <c r="Z12" s="20" t="n">
        <v>1.75795303</v>
      </c>
    </row>
    <row r="13" spans="1:26">
      <c r="A13" s="15" t="s">
        <v>573</v>
      </c>
      <c r="B13" s="17" t="n">
        <v>3559</v>
      </c>
      <c r="C13" s="18">
        <f>(3190.0/B13*100)</f>
        <v/>
      </c>
      <c r="D13" s="19" t="n">
        <v>369</v>
      </c>
      <c r="E13" s="18" t="n">
        <v>23.87456693</v>
      </c>
      <c r="F13" s="20" t="n">
        <v>2.56855208</v>
      </c>
      <c r="G13" s="18" t="n">
        <v>9.446949910000001</v>
      </c>
      <c r="H13" s="20" t="n">
        <v>1.70075145</v>
      </c>
      <c r="I13" s="18" t="n">
        <v>1.10878677</v>
      </c>
      <c r="J13" s="20" t="n">
        <v>0.62765327</v>
      </c>
      <c r="K13" s="18" t="n">
        <v>27.60464941</v>
      </c>
      <c r="L13" s="20" t="n">
        <v>3.26490403</v>
      </c>
      <c r="M13" s="18" t="n">
        <v>21.97112581</v>
      </c>
      <c r="N13" s="20" t="n">
        <v>2.29021152</v>
      </c>
      <c r="O13" s="18" t="n">
        <v>5.08406083</v>
      </c>
      <c r="P13" s="20" t="n">
        <v>1.45531268</v>
      </c>
      <c r="Q13" s="18" t="s">
        <v>567</v>
      </c>
      <c r="R13" s="20" t="s">
        <v>567</v>
      </c>
      <c r="S13" s="18" t="n">
        <v>0.31568445</v>
      </c>
      <c r="T13" s="20" t="n">
        <v>0.22723674</v>
      </c>
      <c r="U13" s="18" t="n">
        <v>0.23792713</v>
      </c>
      <c r="V13" s="20" t="n">
        <v>0.23266733</v>
      </c>
      <c r="W13" s="18" t="n">
        <v>0</v>
      </c>
      <c r="X13" s="20" t="n">
        <v>0</v>
      </c>
      <c r="Y13" s="18" t="n">
        <v>10.35624876</v>
      </c>
      <c r="Z13" s="20" t="n">
        <v>1.51887804</v>
      </c>
    </row>
    <row r="14" spans="1:26">
      <c r="A14" s="15" t="s">
        <v>574</v>
      </c>
      <c r="B14" s="17" t="n">
        <v>2799</v>
      </c>
      <c r="C14" s="18">
        <f>(2509.0/B14*100)</f>
        <v/>
      </c>
      <c r="D14" s="19" t="n">
        <v>290</v>
      </c>
      <c r="E14" s="18" t="n">
        <v>29.28096053</v>
      </c>
      <c r="F14" s="20" t="n">
        <v>3.39531871</v>
      </c>
      <c r="G14" s="18" t="n">
        <v>11.39575859</v>
      </c>
      <c r="H14" s="20" t="n">
        <v>2.41361749</v>
      </c>
      <c r="I14" s="18" t="n">
        <v>1.65874884</v>
      </c>
      <c r="J14" s="20" t="n">
        <v>1.1738646</v>
      </c>
      <c r="K14" s="18" t="n">
        <v>14.15933589</v>
      </c>
      <c r="L14" s="20" t="n">
        <v>2.48891518</v>
      </c>
      <c r="M14" s="18" t="n">
        <v>32.73889969</v>
      </c>
      <c r="N14" s="20" t="n">
        <v>3.22498227</v>
      </c>
      <c r="O14" s="18" t="n">
        <v>6.17605175</v>
      </c>
      <c r="P14" s="20" t="n">
        <v>1.52675426</v>
      </c>
      <c r="Q14" s="18" t="s">
        <v>567</v>
      </c>
      <c r="R14" s="20" t="s">
        <v>567</v>
      </c>
      <c r="S14" s="18" t="n">
        <v>0</v>
      </c>
      <c r="T14" s="20" t="n">
        <v>0</v>
      </c>
      <c r="U14" s="18" t="n">
        <v>0</v>
      </c>
      <c r="V14" s="20" t="n">
        <v>0</v>
      </c>
      <c r="W14" s="18" t="n">
        <v>0</v>
      </c>
      <c r="X14" s="20" t="n">
        <v>0</v>
      </c>
      <c r="Y14" s="18" t="n">
        <v>4.5902447</v>
      </c>
      <c r="Z14" s="20" t="n">
        <v>1.22642582</v>
      </c>
    </row>
    <row r="15" spans="1:26">
      <c r="A15" s="15" t="s">
        <v>575</v>
      </c>
      <c r="B15" s="17" t="n">
        <v>3019</v>
      </c>
      <c r="C15" s="18">
        <f>(2664.0/B15*100)</f>
        <v/>
      </c>
      <c r="D15" s="19" t="n">
        <v>355</v>
      </c>
      <c r="E15" s="18" t="n">
        <v>17.68829717</v>
      </c>
      <c r="F15" s="20" t="n">
        <v>1.82162612</v>
      </c>
      <c r="G15" s="18" t="n">
        <v>24.61372786</v>
      </c>
      <c r="H15" s="20" t="n">
        <v>2.3811058</v>
      </c>
      <c r="I15" s="18" t="n">
        <v>0.28606035</v>
      </c>
      <c r="J15" s="20" t="n">
        <v>0.28456532</v>
      </c>
      <c r="K15" s="18" t="n">
        <v>14.98751427</v>
      </c>
      <c r="L15" s="20" t="n">
        <v>1.9909239</v>
      </c>
      <c r="M15" s="18" t="n">
        <v>26.00538275</v>
      </c>
      <c r="N15" s="20" t="n">
        <v>2.45348293</v>
      </c>
      <c r="O15" s="18" t="n">
        <v>8.768701890000001</v>
      </c>
      <c r="P15" s="20" t="n">
        <v>1.41444123</v>
      </c>
      <c r="Q15" s="18" t="s">
        <v>567</v>
      </c>
      <c r="R15" s="20" t="s">
        <v>567</v>
      </c>
      <c r="S15" s="18" t="n">
        <v>0</v>
      </c>
      <c r="T15" s="20" t="n">
        <v>0</v>
      </c>
      <c r="U15" s="18" t="n">
        <v>0</v>
      </c>
      <c r="V15" s="20" t="n">
        <v>0</v>
      </c>
      <c r="W15" s="18" t="n">
        <v>0</v>
      </c>
      <c r="X15" s="20" t="n">
        <v>0</v>
      </c>
      <c r="Y15" s="18" t="n">
        <v>7.65031571</v>
      </c>
      <c r="Z15" s="20" t="n">
        <v>1.3750325</v>
      </c>
    </row>
    <row r="16" spans="1:26">
      <c r="A16" s="15" t="s">
        <v>576</v>
      </c>
      <c r="B16" s="17" t="n">
        <v>2997</v>
      </c>
      <c r="C16" s="18">
        <f>(2660.0/B16*100)</f>
        <v/>
      </c>
      <c r="D16" s="19" t="n">
        <v>337</v>
      </c>
      <c r="E16" s="18" t="n">
        <v>15.70213932</v>
      </c>
      <c r="F16" s="20" t="n">
        <v>1.85872661</v>
      </c>
      <c r="G16" s="18" t="n">
        <v>5.94304841</v>
      </c>
      <c r="H16" s="20" t="n">
        <v>1.27329822</v>
      </c>
      <c r="I16" s="18" t="n">
        <v>0</v>
      </c>
      <c r="J16" s="20" t="n">
        <v>0</v>
      </c>
      <c r="K16" s="18" t="n">
        <v>27.06953442</v>
      </c>
      <c r="L16" s="20" t="n">
        <v>2.41949534</v>
      </c>
      <c r="M16" s="18" t="n">
        <v>33.24667522</v>
      </c>
      <c r="N16" s="20" t="n">
        <v>2.66582971</v>
      </c>
      <c r="O16" s="18" t="n">
        <v>1.67657863</v>
      </c>
      <c r="P16" s="20" t="n">
        <v>0.66827516</v>
      </c>
      <c r="Q16" s="18" t="s">
        <v>567</v>
      </c>
      <c r="R16" s="20" t="s">
        <v>567</v>
      </c>
      <c r="S16" s="18" t="n">
        <v>0</v>
      </c>
      <c r="T16" s="20" t="n">
        <v>0</v>
      </c>
      <c r="U16" s="18" t="n">
        <v>0</v>
      </c>
      <c r="V16" s="20" t="n">
        <v>0</v>
      </c>
      <c r="W16" s="18" t="n">
        <v>0</v>
      </c>
      <c r="X16" s="20" t="n">
        <v>0</v>
      </c>
      <c r="Y16" s="18" t="n">
        <v>16.362024</v>
      </c>
      <c r="Z16" s="20" t="n">
        <v>2.02037887</v>
      </c>
    </row>
    <row r="17" spans="1:26">
      <c r="A17" s="15" t="s">
        <v>577</v>
      </c>
      <c r="B17" s="17" t="n">
        <v>3307</v>
      </c>
      <c r="C17" s="18">
        <f>(2976.0/B17*100)</f>
        <v/>
      </c>
      <c r="D17" s="19" t="n">
        <v>331</v>
      </c>
      <c r="E17" s="18" t="n">
        <v>26.79034651</v>
      </c>
      <c r="F17" s="20" t="n">
        <v>2.74158303</v>
      </c>
      <c r="G17" s="18" t="n">
        <v>13.72113783</v>
      </c>
      <c r="H17" s="20" t="n">
        <v>1.97742731</v>
      </c>
      <c r="I17" s="18" t="n">
        <v>0</v>
      </c>
      <c r="J17" s="20" t="n">
        <v>0</v>
      </c>
      <c r="K17" s="18" t="n">
        <v>8.879834990000001</v>
      </c>
      <c r="L17" s="20" t="n">
        <v>1.52354593</v>
      </c>
      <c r="M17" s="18" t="n">
        <v>22.91206179</v>
      </c>
      <c r="N17" s="20" t="n">
        <v>2.31131443</v>
      </c>
      <c r="O17" s="18" t="n">
        <v>12.80190186</v>
      </c>
      <c r="P17" s="20" t="n">
        <v>1.81479205</v>
      </c>
      <c r="Q17" s="18" t="s">
        <v>567</v>
      </c>
      <c r="R17" s="20" t="s">
        <v>567</v>
      </c>
      <c r="S17" s="18" t="n">
        <v>0</v>
      </c>
      <c r="T17" s="20" t="n">
        <v>0</v>
      </c>
      <c r="U17" s="18" t="n">
        <v>0</v>
      </c>
      <c r="V17" s="20" t="n">
        <v>0</v>
      </c>
      <c r="W17" s="18" t="n">
        <v>0</v>
      </c>
      <c r="X17" s="20" t="n">
        <v>0</v>
      </c>
      <c r="Y17" s="18" t="n">
        <v>14.89471702</v>
      </c>
      <c r="Z17" s="20" t="n">
        <v>2.18111183</v>
      </c>
    </row>
    <row r="18" spans="1:26">
      <c r="A18" s="15" t="s">
        <v>578</v>
      </c>
      <c r="B18" s="17" t="n">
        <v>2826</v>
      </c>
      <c r="C18" s="18">
        <f>(2501.0/B18*100)</f>
        <v/>
      </c>
      <c r="D18" s="19" t="n">
        <v>325</v>
      </c>
      <c r="E18" s="18" t="n">
        <v>18.99548947</v>
      </c>
      <c r="F18" s="20" t="n">
        <v>2.33828761</v>
      </c>
      <c r="G18" s="18" t="n">
        <v>6.48361696</v>
      </c>
      <c r="H18" s="20" t="n">
        <v>1.43543469</v>
      </c>
      <c r="I18" s="18" t="n">
        <v>0.28016154</v>
      </c>
      <c r="J18" s="20" t="n">
        <v>0.28079215</v>
      </c>
      <c r="K18" s="18" t="n">
        <v>30.56210002</v>
      </c>
      <c r="L18" s="20" t="n">
        <v>2.23716831</v>
      </c>
      <c r="M18" s="18" t="n">
        <v>13.46004523</v>
      </c>
      <c r="N18" s="20" t="n">
        <v>1.79981143</v>
      </c>
      <c r="O18" s="18" t="n">
        <v>12.35347506</v>
      </c>
      <c r="P18" s="20" t="n">
        <v>1.8921632</v>
      </c>
      <c r="Q18" s="18" t="s">
        <v>567</v>
      </c>
      <c r="R18" s="20" t="s">
        <v>567</v>
      </c>
      <c r="S18" s="18" t="n">
        <v>0.35210808</v>
      </c>
      <c r="T18" s="20" t="n">
        <v>0.34887791</v>
      </c>
      <c r="U18" s="18" t="n">
        <v>0</v>
      </c>
      <c r="V18" s="20" t="n">
        <v>0</v>
      </c>
      <c r="W18" s="18" t="n">
        <v>0</v>
      </c>
      <c r="X18" s="20" t="n">
        <v>0</v>
      </c>
      <c r="Y18" s="18" t="n">
        <v>17.51300365</v>
      </c>
      <c r="Z18" s="20" t="n">
        <v>2.46282473</v>
      </c>
    </row>
    <row r="19" spans="1:26">
      <c r="A19" s="15" t="s">
        <v>579</v>
      </c>
      <c r="B19" s="17" t="n">
        <v>2808</v>
      </c>
      <c r="C19" s="18">
        <f>(2481.0/B19*100)</f>
        <v/>
      </c>
      <c r="D19" s="19" t="n">
        <v>327</v>
      </c>
      <c r="E19" s="18" t="n">
        <v>22.56143975</v>
      </c>
      <c r="F19" s="20" t="n">
        <v>2.17164115</v>
      </c>
      <c r="G19" s="18" t="n">
        <v>3.41098709</v>
      </c>
      <c r="H19" s="20" t="n">
        <v>0.91032861</v>
      </c>
      <c r="I19" s="18" t="n">
        <v>0.91608566</v>
      </c>
      <c r="J19" s="20" t="n">
        <v>0.69896886</v>
      </c>
      <c r="K19" s="18" t="n">
        <v>42.91282899</v>
      </c>
      <c r="L19" s="20" t="n">
        <v>2.83362897</v>
      </c>
      <c r="M19" s="18" t="n">
        <v>11.71189752</v>
      </c>
      <c r="N19" s="20" t="n">
        <v>1.93192095</v>
      </c>
      <c r="O19" s="18" t="n">
        <v>2.60079726</v>
      </c>
      <c r="P19" s="20" t="n">
        <v>0.85322309</v>
      </c>
      <c r="Q19" s="18" t="s">
        <v>567</v>
      </c>
      <c r="R19" s="20" t="s">
        <v>567</v>
      </c>
      <c r="S19" s="18" t="n">
        <v>0</v>
      </c>
      <c r="T19" s="20" t="n">
        <v>0</v>
      </c>
      <c r="U19" s="18" t="n">
        <v>0</v>
      </c>
      <c r="V19" s="20" t="n">
        <v>0</v>
      </c>
      <c r="W19" s="18" t="n">
        <v>0</v>
      </c>
      <c r="X19" s="20" t="n">
        <v>0</v>
      </c>
      <c r="Y19" s="18" t="n">
        <v>15.88596372</v>
      </c>
      <c r="Z19" s="20" t="n">
        <v>2.00626123</v>
      </c>
    </row>
    <row r="20" spans="1:26">
      <c r="A20" s="15" t="s">
        <v>580</v>
      </c>
      <c r="B20" s="17" t="n">
        <v>1630</v>
      </c>
      <c r="C20" s="18">
        <f>(1466.0/B20*100)</f>
        <v/>
      </c>
      <c r="D20" s="19" t="n">
        <v>164</v>
      </c>
      <c r="E20" s="18" t="n">
        <v>21.61589312</v>
      </c>
      <c r="F20" s="20" t="n">
        <v>2.95767412</v>
      </c>
      <c r="G20" s="18" t="n">
        <v>15.82209199</v>
      </c>
      <c r="H20" s="20" t="n">
        <v>2.43044965</v>
      </c>
      <c r="I20" s="18" t="n">
        <v>0</v>
      </c>
      <c r="J20" s="20" t="n">
        <v>0</v>
      </c>
      <c r="K20" s="18" t="n">
        <v>34.43003762</v>
      </c>
      <c r="L20" s="20" t="n">
        <v>4.23305749</v>
      </c>
      <c r="M20" s="18" t="n">
        <v>9.25552706</v>
      </c>
      <c r="N20" s="20" t="n">
        <v>2.51364303</v>
      </c>
      <c r="O20" s="18" t="n">
        <v>4.71225782</v>
      </c>
      <c r="P20" s="20" t="n">
        <v>1.5914117</v>
      </c>
      <c r="Q20" s="18" t="s">
        <v>567</v>
      </c>
      <c r="R20" s="20" t="s">
        <v>567</v>
      </c>
      <c r="S20" s="18" t="n">
        <v>0</v>
      </c>
      <c r="T20" s="20" t="n">
        <v>0</v>
      </c>
      <c r="U20" s="18" t="n">
        <v>0</v>
      </c>
      <c r="V20" s="20" t="n">
        <v>0</v>
      </c>
      <c r="W20" s="18" t="n">
        <v>0</v>
      </c>
      <c r="X20" s="20" t="n">
        <v>0</v>
      </c>
      <c r="Y20" s="18" t="n">
        <v>14.16419239</v>
      </c>
      <c r="Z20" s="20" t="n">
        <v>2.48240059</v>
      </c>
    </row>
    <row r="21" spans="1:26">
      <c r="A21" s="15" t="s">
        <v>581</v>
      </c>
      <c r="B21" s="17" t="n">
        <v>2908</v>
      </c>
      <c r="C21" s="18">
        <f>(2595.0/B21*100)</f>
        <v/>
      </c>
      <c r="D21" s="19" t="n">
        <v>313</v>
      </c>
      <c r="E21" s="18" t="n">
        <v>32.56069922</v>
      </c>
      <c r="F21" s="20" t="n">
        <v>2.70504129</v>
      </c>
      <c r="G21" s="18" t="n">
        <v>11.14870618</v>
      </c>
      <c r="H21" s="20" t="n">
        <v>1.750337</v>
      </c>
      <c r="I21" s="18" t="n">
        <v>0.60787077</v>
      </c>
      <c r="J21" s="20" t="n">
        <v>0.38840977</v>
      </c>
      <c r="K21" s="18" t="n">
        <v>24.0751589</v>
      </c>
      <c r="L21" s="20" t="n">
        <v>2.50096714</v>
      </c>
      <c r="M21" s="18" t="n">
        <v>20.57449965</v>
      </c>
      <c r="N21" s="20" t="n">
        <v>2.39622317</v>
      </c>
      <c r="O21" s="18" t="n">
        <v>5.82044602</v>
      </c>
      <c r="P21" s="20" t="n">
        <v>1.43711371</v>
      </c>
      <c r="Q21" s="18" t="s">
        <v>567</v>
      </c>
      <c r="R21" s="20" t="s">
        <v>567</v>
      </c>
      <c r="S21" s="18" t="n">
        <v>0</v>
      </c>
      <c r="T21" s="20" t="n">
        <v>0</v>
      </c>
      <c r="U21" s="18" t="n">
        <v>0</v>
      </c>
      <c r="V21" s="20" t="n">
        <v>0</v>
      </c>
      <c r="W21" s="18" t="n">
        <v>0</v>
      </c>
      <c r="X21" s="20" t="n">
        <v>0</v>
      </c>
      <c r="Y21" s="18" t="n">
        <v>5.21261926</v>
      </c>
      <c r="Z21" s="20" t="n">
        <v>1.19419638</v>
      </c>
    </row>
    <row r="22" spans="1:26">
      <c r="A22" s="15" t="s">
        <v>582</v>
      </c>
      <c r="B22" s="17" t="n">
        <v>2931</v>
      </c>
      <c r="C22" s="18">
        <f>(2613.0/B22*100)</f>
        <v/>
      </c>
      <c r="D22" s="19" t="n">
        <v>318</v>
      </c>
      <c r="E22" s="18" t="n">
        <v>26.22302774</v>
      </c>
      <c r="F22" s="20" t="n">
        <v>2.74283561</v>
      </c>
      <c r="G22" s="18" t="n">
        <v>15.07125142</v>
      </c>
      <c r="H22" s="20" t="n">
        <v>2.1307421</v>
      </c>
      <c r="I22" s="18" t="n">
        <v>0</v>
      </c>
      <c r="J22" s="20" t="n">
        <v>0</v>
      </c>
      <c r="K22" s="18" t="n">
        <v>19.44686509</v>
      </c>
      <c r="L22" s="20" t="n">
        <v>2.95673408</v>
      </c>
      <c r="M22" s="18" t="n">
        <v>15.50594724</v>
      </c>
      <c r="N22" s="20" t="n">
        <v>2.53075021</v>
      </c>
      <c r="O22" s="18" t="n">
        <v>5.51462512</v>
      </c>
      <c r="P22" s="20" t="n">
        <v>1.2984974</v>
      </c>
      <c r="Q22" s="18" t="s">
        <v>567</v>
      </c>
      <c r="R22" s="20" t="s">
        <v>567</v>
      </c>
      <c r="S22" s="18" t="n">
        <v>0.8739295</v>
      </c>
      <c r="T22" s="20" t="n">
        <v>0.43485678</v>
      </c>
      <c r="U22" s="18" t="n">
        <v>0</v>
      </c>
      <c r="V22" s="20" t="n">
        <v>0</v>
      </c>
      <c r="W22" s="18" t="n">
        <v>0</v>
      </c>
      <c r="X22" s="20" t="n">
        <v>0</v>
      </c>
      <c r="Y22" s="18" t="n">
        <v>17.36435389</v>
      </c>
      <c r="Z22" s="20" t="n">
        <v>2.20665334</v>
      </c>
    </row>
    <row r="23" spans="1:26">
      <c r="A23" s="15" t="s">
        <v>583</v>
      </c>
      <c r="B23" s="17" t="n">
        <v>5791</v>
      </c>
      <c r="C23" s="18">
        <f>(5122.0/B23*100)</f>
        <v/>
      </c>
      <c r="D23" s="19" t="n">
        <v>669</v>
      </c>
      <c r="E23" s="18" t="n">
        <v>14.93776892</v>
      </c>
      <c r="F23" s="20" t="n">
        <v>1.69442294</v>
      </c>
      <c r="G23" s="18" t="n">
        <v>8.79260305</v>
      </c>
      <c r="H23" s="20" t="n">
        <v>1.6748669</v>
      </c>
      <c r="I23" s="18" t="n">
        <v>0</v>
      </c>
      <c r="J23" s="20" t="n">
        <v>0</v>
      </c>
      <c r="K23" s="18" t="n">
        <v>26.19966237</v>
      </c>
      <c r="L23" s="20" t="n">
        <v>2.50432192</v>
      </c>
      <c r="M23" s="18" t="n">
        <v>24.24252992</v>
      </c>
      <c r="N23" s="20" t="n">
        <v>1.99658434</v>
      </c>
      <c r="O23" s="18" t="n">
        <v>4.58113368</v>
      </c>
      <c r="P23" s="20" t="n">
        <v>1.06237868</v>
      </c>
      <c r="Q23" s="18" t="s">
        <v>567</v>
      </c>
      <c r="R23" s="20" t="s">
        <v>567</v>
      </c>
      <c r="S23" s="18" t="n">
        <v>0.47906821</v>
      </c>
      <c r="T23" s="20" t="n">
        <v>0.55228842</v>
      </c>
      <c r="U23" s="18" t="n">
        <v>0.01195111</v>
      </c>
      <c r="V23" s="20" t="n">
        <v>0.01188659</v>
      </c>
      <c r="W23" s="18" t="n">
        <v>0</v>
      </c>
      <c r="X23" s="20" t="n">
        <v>0</v>
      </c>
      <c r="Y23" s="18" t="n">
        <v>20.75528273</v>
      </c>
      <c r="Z23" s="20" t="n">
        <v>3.284403</v>
      </c>
    </row>
    <row r="24" spans="1:26">
      <c r="A24" s="15" t="s">
        <v>584</v>
      </c>
      <c r="B24" s="17" t="n">
        <v>3338</v>
      </c>
      <c r="C24" s="18">
        <f>(2970.0/B24*100)</f>
        <v/>
      </c>
      <c r="D24" s="19" t="n">
        <v>368</v>
      </c>
      <c r="E24" s="18" t="n">
        <v>21.14378264</v>
      </c>
      <c r="F24" s="20" t="n">
        <v>2.37097554</v>
      </c>
      <c r="G24" s="18" t="n">
        <v>18.81248176</v>
      </c>
      <c r="H24" s="20" t="n">
        <v>2.35718546</v>
      </c>
      <c r="I24" s="18" t="n">
        <v>0.29734451</v>
      </c>
      <c r="J24" s="20" t="n">
        <v>0.29641671</v>
      </c>
      <c r="K24" s="18" t="n">
        <v>13.92432272</v>
      </c>
      <c r="L24" s="20" t="n">
        <v>2.00279582</v>
      </c>
      <c r="M24" s="18" t="n">
        <v>25.97375895</v>
      </c>
      <c r="N24" s="20" t="n">
        <v>2.07809715</v>
      </c>
      <c r="O24" s="18" t="n">
        <v>7.94304331</v>
      </c>
      <c r="P24" s="20" t="n">
        <v>1.30106805</v>
      </c>
      <c r="Q24" s="18" t="s">
        <v>567</v>
      </c>
      <c r="R24" s="20" t="s">
        <v>567</v>
      </c>
      <c r="S24" s="18" t="n">
        <v>0.23726668</v>
      </c>
      <c r="T24" s="20" t="n">
        <v>0.23737062</v>
      </c>
      <c r="U24" s="18" t="n">
        <v>0</v>
      </c>
      <c r="V24" s="20" t="n">
        <v>0</v>
      </c>
      <c r="W24" s="18" t="n">
        <v>0</v>
      </c>
      <c r="X24" s="20" t="n">
        <v>0</v>
      </c>
      <c r="Y24" s="18" t="n">
        <v>11.66799945</v>
      </c>
      <c r="Z24" s="20" t="n">
        <v>1.67766847</v>
      </c>
    </row>
    <row r="25" spans="1:26">
      <c r="A25" s="15" t="s">
        <v>585</v>
      </c>
      <c r="B25" s="17" t="n">
        <v>2912</v>
      </c>
      <c r="C25" s="18">
        <f>(2561.0/B25*100)</f>
        <v/>
      </c>
      <c r="D25" s="19" t="n">
        <v>351</v>
      </c>
      <c r="E25" s="18" t="n">
        <v>10.47200034</v>
      </c>
      <c r="F25" s="20" t="n">
        <v>1.62192993</v>
      </c>
      <c r="G25" s="18" t="n">
        <v>1.22014261</v>
      </c>
      <c r="H25" s="20" t="n">
        <v>0.7525539999999999</v>
      </c>
      <c r="I25" s="18" t="n">
        <v>0.03866325</v>
      </c>
      <c r="J25" s="20" t="n">
        <v>0.03867496</v>
      </c>
      <c r="K25" s="18" t="n">
        <v>36.02490674</v>
      </c>
      <c r="L25" s="20" t="n">
        <v>2.55016469</v>
      </c>
      <c r="M25" s="18" t="n">
        <v>24.46594268</v>
      </c>
      <c r="N25" s="20" t="n">
        <v>2.39966589</v>
      </c>
      <c r="O25" s="18" t="n">
        <v>14.5676262</v>
      </c>
      <c r="P25" s="20" t="n">
        <v>2.00484515</v>
      </c>
      <c r="Q25" s="18" t="s">
        <v>567</v>
      </c>
      <c r="R25" s="20" t="s">
        <v>567</v>
      </c>
      <c r="S25" s="18" t="n">
        <v>1.69652275</v>
      </c>
      <c r="T25" s="20" t="n">
        <v>0.6732216</v>
      </c>
      <c r="U25" s="18" t="n">
        <v>0</v>
      </c>
      <c r="V25" s="20" t="n">
        <v>0</v>
      </c>
      <c r="W25" s="18" t="n">
        <v>0</v>
      </c>
      <c r="X25" s="20" t="n">
        <v>0</v>
      </c>
      <c r="Y25" s="18" t="n">
        <v>11.51419544</v>
      </c>
      <c r="Z25" s="20" t="n">
        <v>1.80876748</v>
      </c>
    </row>
    <row r="26" spans="1:26">
      <c r="A26" s="15" t="s">
        <v>586</v>
      </c>
      <c r="B26" s="17" t="n">
        <v>2450</v>
      </c>
      <c r="C26" s="18">
        <f>(2180.0/B26*100)</f>
        <v/>
      </c>
      <c r="D26" s="19" t="n">
        <v>270</v>
      </c>
      <c r="E26" s="18" t="n">
        <v>25.66284227</v>
      </c>
      <c r="F26" s="20" t="n">
        <v>2.75590145</v>
      </c>
      <c r="G26" s="18" t="n">
        <v>9.80452573</v>
      </c>
      <c r="H26" s="20" t="n">
        <v>1.99899075</v>
      </c>
      <c r="I26" s="18" t="n">
        <v>0</v>
      </c>
      <c r="J26" s="20" t="n">
        <v>0</v>
      </c>
      <c r="K26" s="18" t="n">
        <v>31.46239343</v>
      </c>
      <c r="L26" s="20" t="n">
        <v>2.80341232</v>
      </c>
      <c r="M26" s="18" t="n">
        <v>16.75935987</v>
      </c>
      <c r="N26" s="20" t="n">
        <v>2.22693149</v>
      </c>
      <c r="O26" s="18" t="n">
        <v>8.02160729</v>
      </c>
      <c r="P26" s="20" t="n">
        <v>1.77390151</v>
      </c>
      <c r="Q26" s="18" t="s">
        <v>567</v>
      </c>
      <c r="R26" s="20" t="s">
        <v>567</v>
      </c>
      <c r="S26" s="18" t="n">
        <v>0</v>
      </c>
      <c r="T26" s="20" t="n">
        <v>0</v>
      </c>
      <c r="U26" s="18" t="n">
        <v>0</v>
      </c>
      <c r="V26" s="20" t="n">
        <v>0</v>
      </c>
      <c r="W26" s="18" t="n">
        <v>0</v>
      </c>
      <c r="X26" s="20" t="n">
        <v>0</v>
      </c>
      <c r="Y26" s="18" t="n">
        <v>8.28927141</v>
      </c>
      <c r="Z26" s="20" t="n">
        <v>1.7764287</v>
      </c>
    </row>
    <row r="27" spans="1:26">
      <c r="A27" s="15" t="s">
        <v>587</v>
      </c>
      <c r="B27" s="17" t="n">
        <v>2616</v>
      </c>
      <c r="C27" s="18">
        <f>(2346.0/B27*100)</f>
        <v/>
      </c>
      <c r="D27" s="19" t="n">
        <v>270</v>
      </c>
      <c r="E27" s="18" t="n">
        <v>20.86465474</v>
      </c>
      <c r="F27" s="20" t="n">
        <v>2.30466772</v>
      </c>
      <c r="G27" s="18" t="n">
        <v>1.49903977</v>
      </c>
      <c r="H27" s="20" t="n">
        <v>0.73916408</v>
      </c>
      <c r="I27" s="18" t="n">
        <v>0.36766225</v>
      </c>
      <c r="J27" s="20" t="n">
        <v>0.36937211</v>
      </c>
      <c r="K27" s="18" t="n">
        <v>36.78687109</v>
      </c>
      <c r="L27" s="20" t="n">
        <v>2.52702738</v>
      </c>
      <c r="M27" s="18" t="n">
        <v>22.72182161</v>
      </c>
      <c r="N27" s="20" t="n">
        <v>2.43094752</v>
      </c>
      <c r="O27" s="18" t="n">
        <v>4.39189149</v>
      </c>
      <c r="P27" s="20" t="n">
        <v>1.24539123</v>
      </c>
      <c r="Q27" s="18" t="s">
        <v>567</v>
      </c>
      <c r="R27" s="20" t="s">
        <v>567</v>
      </c>
      <c r="S27" s="18" t="n">
        <v>0</v>
      </c>
      <c r="T27" s="20" t="n">
        <v>0</v>
      </c>
      <c r="U27" s="18" t="n">
        <v>0</v>
      </c>
      <c r="V27" s="20" t="n">
        <v>0</v>
      </c>
      <c r="W27" s="18" t="n">
        <v>0</v>
      </c>
      <c r="X27" s="20" t="n">
        <v>0</v>
      </c>
      <c r="Y27" s="18" t="n">
        <v>13.36805906</v>
      </c>
      <c r="Z27" s="20" t="n">
        <v>2.23137436</v>
      </c>
    </row>
    <row r="28" spans="1:26">
      <c r="A28" s="15" t="s">
        <v>588</v>
      </c>
      <c r="B28" s="17" t="n">
        <v>3765</v>
      </c>
      <c r="C28" s="18">
        <f>(3329.0/B28*100)</f>
        <v/>
      </c>
      <c r="D28" s="19" t="n">
        <v>436</v>
      </c>
      <c r="E28" s="18" t="n">
        <v>20.39509597</v>
      </c>
      <c r="F28" s="20" t="n">
        <v>1.83792126</v>
      </c>
      <c r="G28" s="18" t="n">
        <v>10.2071823</v>
      </c>
      <c r="H28" s="20" t="n">
        <v>1.75721523</v>
      </c>
      <c r="I28" s="18" t="n">
        <v>0.49689911</v>
      </c>
      <c r="J28" s="20" t="n">
        <v>0.29249253</v>
      </c>
      <c r="K28" s="18" t="n">
        <v>46.30781727</v>
      </c>
      <c r="L28" s="20" t="n">
        <v>2.69402001</v>
      </c>
      <c r="M28" s="18" t="n">
        <v>14.23891254</v>
      </c>
      <c r="N28" s="20" t="n">
        <v>1.93500488</v>
      </c>
      <c r="O28" s="18" t="n">
        <v>4.1077942</v>
      </c>
      <c r="P28" s="20" t="n">
        <v>0.93998543</v>
      </c>
      <c r="Q28" s="18" t="s">
        <v>567</v>
      </c>
      <c r="R28" s="20" t="s">
        <v>567</v>
      </c>
      <c r="S28" s="18" t="n">
        <v>0.70085958</v>
      </c>
      <c r="T28" s="20" t="n">
        <v>0.44297707</v>
      </c>
      <c r="U28" s="18" t="n">
        <v>0</v>
      </c>
      <c r="V28" s="20" t="n">
        <v>0</v>
      </c>
      <c r="W28" s="18" t="n">
        <v>0</v>
      </c>
      <c r="X28" s="20" t="n">
        <v>0</v>
      </c>
      <c r="Y28" s="18" t="n">
        <v>3.54543902</v>
      </c>
      <c r="Z28" s="20" t="n">
        <v>1.24989258</v>
      </c>
    </row>
    <row r="29" spans="1:26">
      <c r="A29" s="15" t="s">
        <v>589</v>
      </c>
      <c r="B29" s="17" t="n">
        <v>2685</v>
      </c>
      <c r="C29" s="18">
        <f>(2387.0/B29*100)</f>
        <v/>
      </c>
      <c r="D29" s="19" t="n">
        <v>298</v>
      </c>
      <c r="E29" s="18" t="n">
        <v>15.06532129</v>
      </c>
      <c r="F29" s="20" t="n">
        <v>1.83276107</v>
      </c>
      <c r="G29" s="18" t="n">
        <v>15.08037001</v>
      </c>
      <c r="H29" s="20" t="n">
        <v>2.15399544</v>
      </c>
      <c r="I29" s="18" t="n">
        <v>0.6686895899999999</v>
      </c>
      <c r="J29" s="20" t="n">
        <v>0.4389113</v>
      </c>
      <c r="K29" s="18" t="n">
        <v>38.51859662</v>
      </c>
      <c r="L29" s="20" t="n">
        <v>3.26969558</v>
      </c>
      <c r="M29" s="18" t="n">
        <v>16.07523151</v>
      </c>
      <c r="N29" s="20" t="n">
        <v>2.14895997</v>
      </c>
      <c r="O29" s="18" t="n">
        <v>9.012529539999999</v>
      </c>
      <c r="P29" s="20" t="n">
        <v>1.85949896</v>
      </c>
      <c r="Q29" s="18" t="s">
        <v>567</v>
      </c>
      <c r="R29" s="20" t="s">
        <v>567</v>
      </c>
      <c r="S29" s="18" t="n">
        <v>0.38078387</v>
      </c>
      <c r="T29" s="20" t="n">
        <v>0.35229087</v>
      </c>
      <c r="U29" s="18" t="n">
        <v>0</v>
      </c>
      <c r="V29" s="20" t="n">
        <v>0</v>
      </c>
      <c r="W29" s="18" t="n">
        <v>0</v>
      </c>
      <c r="X29" s="20" t="n">
        <v>0</v>
      </c>
      <c r="Y29" s="18" t="n">
        <v>5.19847757</v>
      </c>
      <c r="Z29" s="20" t="n">
        <v>1.34935366</v>
      </c>
    </row>
    <row r="30" spans="1:26">
      <c r="A30" s="15" t="s">
        <v>590</v>
      </c>
      <c r="B30" s="17" t="n">
        <v>2263</v>
      </c>
      <c r="C30" s="18">
        <f>(2013.0/B30*100)</f>
        <v/>
      </c>
      <c r="D30" s="19" t="n">
        <v>250</v>
      </c>
      <c r="E30" s="18" t="n">
        <v>37.40209137</v>
      </c>
      <c r="F30" s="20" t="n">
        <v>2.89550935</v>
      </c>
      <c r="G30" s="18" t="n">
        <v>5.72606588</v>
      </c>
      <c r="H30" s="20" t="n">
        <v>1.49755367</v>
      </c>
      <c r="I30" s="18" t="n">
        <v>1.33466743</v>
      </c>
      <c r="J30" s="20" t="n">
        <v>0.7885175</v>
      </c>
      <c r="K30" s="18" t="n">
        <v>16.03594232</v>
      </c>
      <c r="L30" s="20" t="n">
        <v>2.33634387</v>
      </c>
      <c r="M30" s="18" t="n">
        <v>28.45420267</v>
      </c>
      <c r="N30" s="20" t="n">
        <v>2.97036402</v>
      </c>
      <c r="O30" s="18" t="n">
        <v>4.31269082</v>
      </c>
      <c r="P30" s="20" t="n">
        <v>1.64312173</v>
      </c>
      <c r="Q30" s="18" t="s">
        <v>567</v>
      </c>
      <c r="R30" s="20" t="s">
        <v>567</v>
      </c>
      <c r="S30" s="18" t="n">
        <v>0.95013848</v>
      </c>
      <c r="T30" s="20" t="n">
        <v>0.62399984</v>
      </c>
      <c r="U30" s="18" t="n">
        <v>0</v>
      </c>
      <c r="V30" s="20" t="n">
        <v>0</v>
      </c>
      <c r="W30" s="18" t="n">
        <v>0</v>
      </c>
      <c r="X30" s="20" t="n">
        <v>0</v>
      </c>
      <c r="Y30" s="18" t="n">
        <v>5.78420101</v>
      </c>
      <c r="Z30" s="20" t="n">
        <v>1.59477468</v>
      </c>
    </row>
    <row r="31" spans="1:26">
      <c r="A31" s="15" t="s">
        <v>591</v>
      </c>
      <c r="B31" s="17" t="n">
        <v>2750</v>
      </c>
      <c r="C31" s="18">
        <f>(2449.0/B31*100)</f>
        <v/>
      </c>
      <c r="D31" s="19" t="n">
        <v>301</v>
      </c>
      <c r="E31" s="18" t="n">
        <v>32.98446572</v>
      </c>
      <c r="F31" s="20" t="n">
        <v>2.75984381</v>
      </c>
      <c r="G31" s="18" t="n">
        <v>18.08010965</v>
      </c>
      <c r="H31" s="20" t="n">
        <v>2.21817935</v>
      </c>
      <c r="I31" s="18" t="n">
        <v>0.31421544</v>
      </c>
      <c r="J31" s="20" t="n">
        <v>0.27854991</v>
      </c>
      <c r="K31" s="18" t="n">
        <v>11.70412124</v>
      </c>
      <c r="L31" s="20" t="n">
        <v>1.86260337</v>
      </c>
      <c r="M31" s="18" t="n">
        <v>15.58615952</v>
      </c>
      <c r="N31" s="20" t="n">
        <v>2.02488492</v>
      </c>
      <c r="O31" s="18" t="n">
        <v>11.22357293</v>
      </c>
      <c r="P31" s="20" t="n">
        <v>1.74397934</v>
      </c>
      <c r="Q31" s="18" t="s">
        <v>567</v>
      </c>
      <c r="R31" s="20" t="s">
        <v>567</v>
      </c>
      <c r="S31" s="18" t="n">
        <v>0.66152071</v>
      </c>
      <c r="T31" s="20" t="n">
        <v>0.47864453</v>
      </c>
      <c r="U31" s="18" t="n">
        <v>0.28220564</v>
      </c>
      <c r="V31" s="20" t="n">
        <v>0.33083101</v>
      </c>
      <c r="W31" s="18" t="n">
        <v>0</v>
      </c>
      <c r="X31" s="20" t="n">
        <v>0</v>
      </c>
      <c r="Y31" s="18" t="n">
        <v>9.16362915</v>
      </c>
      <c r="Z31" s="20" t="n">
        <v>1.62541883</v>
      </c>
    </row>
    <row r="32" spans="1:26">
      <c r="A32" s="15" t="s">
        <v>592</v>
      </c>
      <c r="B32" s="17" t="n">
        <v>2269</v>
      </c>
      <c r="C32" s="18">
        <f>(2024.0/B32*100)</f>
        <v/>
      </c>
      <c r="D32" s="19" t="n">
        <v>245</v>
      </c>
      <c r="E32" s="18" t="n">
        <v>26.05901344</v>
      </c>
      <c r="F32" s="20" t="n">
        <v>3.03286096</v>
      </c>
      <c r="G32" s="18" t="n">
        <v>11.89894109</v>
      </c>
      <c r="H32" s="20" t="n">
        <v>1.97793956</v>
      </c>
      <c r="I32" s="18" t="n">
        <v>0</v>
      </c>
      <c r="J32" s="20" t="n">
        <v>0</v>
      </c>
      <c r="K32" s="18" t="n">
        <v>20.95735088</v>
      </c>
      <c r="L32" s="20" t="n">
        <v>2.40920496</v>
      </c>
      <c r="M32" s="18" t="n">
        <v>18.61820905</v>
      </c>
      <c r="N32" s="20" t="n">
        <v>2.20955068</v>
      </c>
      <c r="O32" s="18" t="n">
        <v>9.65529753</v>
      </c>
      <c r="P32" s="20" t="n">
        <v>1.82384332</v>
      </c>
      <c r="Q32" s="18" t="s">
        <v>567</v>
      </c>
      <c r="R32" s="20" t="s">
        <v>567</v>
      </c>
      <c r="S32" s="18" t="n">
        <v>0</v>
      </c>
      <c r="T32" s="20" t="n">
        <v>0</v>
      </c>
      <c r="U32" s="18" t="n">
        <v>0</v>
      </c>
      <c r="V32" s="20" t="n">
        <v>0</v>
      </c>
      <c r="W32" s="18" t="n">
        <v>0</v>
      </c>
      <c r="X32" s="20" t="n">
        <v>0</v>
      </c>
      <c r="Y32" s="18" t="n">
        <v>12.81118801</v>
      </c>
      <c r="Z32" s="20" t="n">
        <v>2.19917389</v>
      </c>
    </row>
    <row r="33" spans="1:26">
      <c r="A33" s="15" t="s">
        <v>593</v>
      </c>
      <c r="B33" s="17" t="n">
        <v>3674</v>
      </c>
      <c r="C33" s="18">
        <f>(3276.0/B33*100)</f>
        <v/>
      </c>
      <c r="D33" s="19" t="n">
        <v>398</v>
      </c>
      <c r="E33" s="18" t="n">
        <v>16.64165988</v>
      </c>
      <c r="F33" s="20" t="n">
        <v>2.03337664</v>
      </c>
      <c r="G33" s="18" t="n">
        <v>12.2089779</v>
      </c>
      <c r="H33" s="20" t="n">
        <v>1.84300051</v>
      </c>
      <c r="I33" s="18" t="n">
        <v>0</v>
      </c>
      <c r="J33" s="20" t="n">
        <v>0</v>
      </c>
      <c r="K33" s="18" t="n">
        <v>18.95949098</v>
      </c>
      <c r="L33" s="20" t="n">
        <v>2.84716338</v>
      </c>
      <c r="M33" s="18" t="n">
        <v>34.58452644</v>
      </c>
      <c r="N33" s="20" t="n">
        <v>2.87569151</v>
      </c>
      <c r="O33" s="18" t="n">
        <v>2.28551286</v>
      </c>
      <c r="P33" s="20" t="n">
        <v>1.15302292</v>
      </c>
      <c r="Q33" s="18" t="s">
        <v>567</v>
      </c>
      <c r="R33" s="20" t="s">
        <v>567</v>
      </c>
      <c r="S33" s="18" t="n">
        <v>0.50275493</v>
      </c>
      <c r="T33" s="20" t="n">
        <v>0.59408414</v>
      </c>
      <c r="U33" s="18" t="n">
        <v>0</v>
      </c>
      <c r="V33" s="20" t="n">
        <v>0</v>
      </c>
      <c r="W33" s="18" t="n">
        <v>0</v>
      </c>
      <c r="X33" s="20" t="n">
        <v>0</v>
      </c>
      <c r="Y33" s="18" t="n">
        <v>14.81707702</v>
      </c>
      <c r="Z33" s="20" t="n">
        <v>2.31001785</v>
      </c>
    </row>
    <row r="34" spans="1:26">
      <c r="A34" s="15" t="s">
        <v>594</v>
      </c>
      <c r="B34" s="17" t="n">
        <v>3315</v>
      </c>
      <c r="C34" s="18">
        <f>(2954.0/B34*100)</f>
        <v/>
      </c>
      <c r="D34" s="19" t="n">
        <v>361</v>
      </c>
      <c r="E34" s="18" t="n">
        <v>14.83313969</v>
      </c>
      <c r="F34" s="20" t="n">
        <v>1.84219637</v>
      </c>
      <c r="G34" s="18" t="n">
        <v>19.84143452</v>
      </c>
      <c r="H34" s="20" t="n">
        <v>2.09954062</v>
      </c>
      <c r="I34" s="18" t="n">
        <v>0.47438564</v>
      </c>
      <c r="J34" s="20" t="n">
        <v>0.33557349</v>
      </c>
      <c r="K34" s="18" t="n">
        <v>30.33337297</v>
      </c>
      <c r="L34" s="20" t="n">
        <v>2.86496315</v>
      </c>
      <c r="M34" s="18" t="n">
        <v>12.66756513</v>
      </c>
      <c r="N34" s="20" t="n">
        <v>1.92116317</v>
      </c>
      <c r="O34" s="18" t="n">
        <v>7.96618945</v>
      </c>
      <c r="P34" s="20" t="n">
        <v>1.38063539</v>
      </c>
      <c r="Q34" s="18" t="s">
        <v>567</v>
      </c>
      <c r="R34" s="20" t="s">
        <v>567</v>
      </c>
      <c r="S34" s="18" t="n">
        <v>0</v>
      </c>
      <c r="T34" s="20" t="n">
        <v>0</v>
      </c>
      <c r="U34" s="18" t="n">
        <v>0</v>
      </c>
      <c r="V34" s="20" t="n">
        <v>0</v>
      </c>
      <c r="W34" s="18" t="n">
        <v>0</v>
      </c>
      <c r="X34" s="20" t="n">
        <v>0</v>
      </c>
      <c r="Y34" s="18" t="n">
        <v>13.88391259</v>
      </c>
      <c r="Z34" s="20" t="n">
        <v>1.88883547</v>
      </c>
    </row>
    <row r="35" spans="1:26">
      <c r="A35" s="15" t="s">
        <v>595</v>
      </c>
      <c r="B35" s="17" t="n">
        <v>3505</v>
      </c>
      <c r="C35" s="18">
        <f>(3109.0/B35*100)</f>
        <v/>
      </c>
      <c r="D35" s="19" t="n">
        <v>396</v>
      </c>
      <c r="E35" s="18" t="n">
        <v>13.91106007</v>
      </c>
      <c r="F35" s="20" t="n">
        <v>1.86478231</v>
      </c>
      <c r="G35" s="18" t="n">
        <v>14.25154204</v>
      </c>
      <c r="H35" s="20" t="n">
        <v>2.37562911</v>
      </c>
      <c r="I35" s="18" t="n">
        <v>0.1201319</v>
      </c>
      <c r="J35" s="20" t="n">
        <v>0.12077739</v>
      </c>
      <c r="K35" s="18" t="n">
        <v>33.15179994</v>
      </c>
      <c r="L35" s="20" t="n">
        <v>2.90793545</v>
      </c>
      <c r="M35" s="18" t="n">
        <v>21.13109557</v>
      </c>
      <c r="N35" s="20" t="n">
        <v>2.7010719</v>
      </c>
      <c r="O35" s="18" t="n">
        <v>4.17614801</v>
      </c>
      <c r="P35" s="20" t="n">
        <v>1.34562712</v>
      </c>
      <c r="Q35" s="18" t="s">
        <v>567</v>
      </c>
      <c r="R35" s="20" t="s">
        <v>567</v>
      </c>
      <c r="S35" s="18" t="n">
        <v>0</v>
      </c>
      <c r="T35" s="20" t="n">
        <v>0</v>
      </c>
      <c r="U35" s="18" t="n">
        <v>0.4402311</v>
      </c>
      <c r="V35" s="20" t="n">
        <v>0.44211122</v>
      </c>
      <c r="W35" s="18" t="n">
        <v>0</v>
      </c>
      <c r="X35" s="20" t="n">
        <v>0</v>
      </c>
      <c r="Y35" s="18" t="n">
        <v>12.81799138</v>
      </c>
      <c r="Z35" s="20" t="n">
        <v>1.99811756</v>
      </c>
    </row>
    <row r="36" spans="1:26">
      <c r="A36" s="15" t="s">
        <v>596</v>
      </c>
      <c r="B36" s="17" t="n">
        <v>3332</v>
      </c>
      <c r="C36" s="18">
        <f>(2956.0/B36*100)</f>
        <v/>
      </c>
      <c r="D36" s="19" t="n">
        <v>376</v>
      </c>
      <c r="E36" s="18" t="n">
        <v>21.47058093</v>
      </c>
      <c r="F36" s="20" t="n">
        <v>2.18266222</v>
      </c>
      <c r="G36" s="18" t="n">
        <v>10.11132244</v>
      </c>
      <c r="H36" s="20" t="n">
        <v>1.66340597</v>
      </c>
      <c r="I36" s="18" t="n">
        <v>0.8300194</v>
      </c>
      <c r="J36" s="20" t="n">
        <v>0.46505454</v>
      </c>
      <c r="K36" s="18" t="n">
        <v>23.60785404</v>
      </c>
      <c r="L36" s="20" t="n">
        <v>2.21346942</v>
      </c>
      <c r="M36" s="18" t="n">
        <v>27.90435722</v>
      </c>
      <c r="N36" s="20" t="n">
        <v>2.39875941</v>
      </c>
      <c r="O36" s="18" t="n">
        <v>2.15876008</v>
      </c>
      <c r="P36" s="20" t="n">
        <v>0.73870552</v>
      </c>
      <c r="Q36" s="18" t="s">
        <v>567</v>
      </c>
      <c r="R36" s="20" t="s">
        <v>567</v>
      </c>
      <c r="S36" s="18" t="n">
        <v>0.60143856</v>
      </c>
      <c r="T36" s="20" t="n">
        <v>0.36982444</v>
      </c>
      <c r="U36" s="18" t="n">
        <v>0</v>
      </c>
      <c r="V36" s="20" t="n">
        <v>0</v>
      </c>
      <c r="W36" s="18" t="n">
        <v>0</v>
      </c>
      <c r="X36" s="20" t="n">
        <v>0</v>
      </c>
      <c r="Y36" s="18" t="n">
        <v>13.31566732</v>
      </c>
      <c r="Z36" s="20" t="n">
        <v>1.56231621</v>
      </c>
    </row>
    <row r="37" spans="1:26">
      <c r="A37" s="15" t="s">
        <v>597</v>
      </c>
      <c r="B37" s="17" t="n">
        <v>2727</v>
      </c>
      <c r="C37" s="18">
        <f>(2436.0/B37*100)</f>
        <v/>
      </c>
      <c r="D37" s="19" t="n">
        <v>291</v>
      </c>
      <c r="E37" s="18" t="n">
        <v>20.6778394</v>
      </c>
      <c r="F37" s="20" t="n">
        <v>2.31807718</v>
      </c>
      <c r="G37" s="18" t="n">
        <v>4.93875524</v>
      </c>
      <c r="H37" s="20" t="n">
        <v>1.2817274</v>
      </c>
      <c r="I37" s="18" t="n">
        <v>0</v>
      </c>
      <c r="J37" s="20" t="n">
        <v>0</v>
      </c>
      <c r="K37" s="18" t="n">
        <v>35.70304943</v>
      </c>
      <c r="L37" s="20" t="n">
        <v>2.79119912</v>
      </c>
      <c r="M37" s="18" t="n">
        <v>20.03408095</v>
      </c>
      <c r="N37" s="20" t="n">
        <v>2.32273694</v>
      </c>
      <c r="O37" s="18" t="n">
        <v>5.24025604</v>
      </c>
      <c r="P37" s="20" t="n">
        <v>1.21364277</v>
      </c>
      <c r="Q37" s="18" t="s">
        <v>567</v>
      </c>
      <c r="R37" s="20" t="s">
        <v>567</v>
      </c>
      <c r="S37" s="18" t="n">
        <v>0.30243967</v>
      </c>
      <c r="T37" s="20" t="n">
        <v>0.30508997</v>
      </c>
      <c r="U37" s="18" t="n">
        <v>0</v>
      </c>
      <c r="V37" s="20" t="n">
        <v>0</v>
      </c>
      <c r="W37" s="18" t="n">
        <v>0</v>
      </c>
      <c r="X37" s="20" t="n">
        <v>0</v>
      </c>
      <c r="Y37" s="18" t="n">
        <v>13.10357928</v>
      </c>
      <c r="Z37" s="20" t="n">
        <v>2.08737764</v>
      </c>
    </row>
    <row r="38" spans="1:26">
      <c r="A38" s="15" t="s">
        <v>598</v>
      </c>
      <c r="B38" s="17" t="n">
        <v>3053</v>
      </c>
      <c r="C38" s="18">
        <f>(2708.0/B38*100)</f>
        <v/>
      </c>
      <c r="D38" s="19" t="n">
        <v>345</v>
      </c>
      <c r="E38" s="18" t="n">
        <v>16.2550875</v>
      </c>
      <c r="F38" s="20" t="n">
        <v>2.12496473</v>
      </c>
      <c r="G38" s="18" t="n">
        <v>19.73931529</v>
      </c>
      <c r="H38" s="20" t="n">
        <v>2.75914008</v>
      </c>
      <c r="I38" s="18" t="n">
        <v>0.28323126</v>
      </c>
      <c r="J38" s="20" t="n">
        <v>0.28085709</v>
      </c>
      <c r="K38" s="18" t="n">
        <v>18.33339888</v>
      </c>
      <c r="L38" s="20" t="n">
        <v>2.34702536</v>
      </c>
      <c r="M38" s="18" t="n">
        <v>24.57387327</v>
      </c>
      <c r="N38" s="20" t="n">
        <v>3.37126714</v>
      </c>
      <c r="O38" s="18" t="n">
        <v>4.5376195</v>
      </c>
      <c r="P38" s="20" t="n">
        <v>1.274945</v>
      </c>
      <c r="Q38" s="18" t="s">
        <v>567</v>
      </c>
      <c r="R38" s="20" t="s">
        <v>567</v>
      </c>
      <c r="S38" s="18" t="n">
        <v>0</v>
      </c>
      <c r="T38" s="20" t="n">
        <v>0</v>
      </c>
      <c r="U38" s="18" t="n">
        <v>4.63937472</v>
      </c>
      <c r="V38" s="20" t="n">
        <v>1.18686053</v>
      </c>
      <c r="W38" s="18" t="n">
        <v>0</v>
      </c>
      <c r="X38" s="20" t="n">
        <v>0</v>
      </c>
      <c r="Y38" s="18" t="n">
        <v>11.63809958</v>
      </c>
      <c r="Z38" s="20" t="n">
        <v>2.20103957</v>
      </c>
    </row>
    <row r="39" spans="1:26">
      <c r="A39" s="15" t="s">
        <v>599</v>
      </c>
      <c r="B39" s="17" t="n">
        <v>2957</v>
      </c>
      <c r="C39" s="18">
        <f>(2639.0/B39*100)</f>
        <v/>
      </c>
      <c r="D39" s="19" t="n">
        <v>318</v>
      </c>
      <c r="E39" s="18" t="n">
        <v>25.5143512</v>
      </c>
      <c r="F39" s="20" t="n">
        <v>2.60579802</v>
      </c>
      <c r="G39" s="18" t="n">
        <v>8.429154479999999</v>
      </c>
      <c r="H39" s="20" t="n">
        <v>1.48455176</v>
      </c>
      <c r="I39" s="18" t="n">
        <v>0.45133762</v>
      </c>
      <c r="J39" s="20" t="n">
        <v>0.44545285</v>
      </c>
      <c r="K39" s="18" t="n">
        <v>35.27117672</v>
      </c>
      <c r="L39" s="20" t="n">
        <v>2.77732276</v>
      </c>
      <c r="M39" s="18" t="n">
        <v>9.91044997</v>
      </c>
      <c r="N39" s="20" t="n">
        <v>1.80132731</v>
      </c>
      <c r="O39" s="18" t="n">
        <v>4.58949271</v>
      </c>
      <c r="P39" s="20" t="n">
        <v>1.33260225</v>
      </c>
      <c r="Q39" s="18" t="s">
        <v>567</v>
      </c>
      <c r="R39" s="20" t="s">
        <v>567</v>
      </c>
      <c r="S39" s="18" t="n">
        <v>0</v>
      </c>
      <c r="T39" s="20" t="n">
        <v>0</v>
      </c>
      <c r="U39" s="18" t="n">
        <v>0</v>
      </c>
      <c r="V39" s="20" t="n">
        <v>0</v>
      </c>
      <c r="W39" s="18" t="n">
        <v>0</v>
      </c>
      <c r="X39" s="20" t="n">
        <v>0</v>
      </c>
      <c r="Y39" s="18" t="n">
        <v>15.8340373</v>
      </c>
      <c r="Z39" s="20" t="n">
        <v>2.26721782</v>
      </c>
    </row>
    <row r="40" spans="1:26">
      <c r="A40" s="15" t="s">
        <v>600</v>
      </c>
      <c r="B40" s="17" t="n">
        <v>7235</v>
      </c>
      <c r="C40" s="18">
        <f>(6421.0/B40*100)</f>
        <v/>
      </c>
      <c r="D40" s="19" t="n">
        <v>814</v>
      </c>
      <c r="E40" s="18" t="n">
        <v>33.78465443</v>
      </c>
      <c r="F40" s="20" t="n">
        <v>3.05667574</v>
      </c>
      <c r="G40" s="18" t="n">
        <v>12.26632871</v>
      </c>
      <c r="H40" s="20" t="n">
        <v>2.05852192</v>
      </c>
      <c r="I40" s="18" t="n">
        <v>0.93919386</v>
      </c>
      <c r="J40" s="20" t="n">
        <v>0.45290417</v>
      </c>
      <c r="K40" s="18" t="n">
        <v>23.09581358</v>
      </c>
      <c r="L40" s="20" t="n">
        <v>2.52460599</v>
      </c>
      <c r="M40" s="18" t="n">
        <v>19.808072</v>
      </c>
      <c r="N40" s="20" t="n">
        <v>2.05151147</v>
      </c>
      <c r="O40" s="18" t="n">
        <v>1.29455788</v>
      </c>
      <c r="P40" s="20" t="n">
        <v>0.62632767</v>
      </c>
      <c r="Q40" s="18" t="s">
        <v>567</v>
      </c>
      <c r="R40" s="20" t="s">
        <v>567</v>
      </c>
      <c r="S40" s="18" t="n">
        <v>0.54449732</v>
      </c>
      <c r="T40" s="20" t="n">
        <v>0.34218862</v>
      </c>
      <c r="U40" s="18" t="n">
        <v>0.09348624</v>
      </c>
      <c r="V40" s="20" t="n">
        <v>0.09028932000000001</v>
      </c>
      <c r="W40" s="18" t="n">
        <v>0</v>
      </c>
      <c r="X40" s="20" t="n">
        <v>0</v>
      </c>
      <c r="Y40" s="18" t="n">
        <v>8.17339598</v>
      </c>
      <c r="Z40" s="20" t="n">
        <v>1.61184174</v>
      </c>
    </row>
    <row r="41" spans="1:26">
      <c r="A41" s="15" t="s">
        <v>601</v>
      </c>
      <c r="B41" s="17" t="n">
        <v>2858</v>
      </c>
      <c r="C41" s="18">
        <f>(2545.0/B41*100)</f>
        <v/>
      </c>
      <c r="D41" s="19" t="n">
        <v>313</v>
      </c>
      <c r="E41" s="18" t="n">
        <v>30.77717028</v>
      </c>
      <c r="F41" s="20" t="n">
        <v>2.63399691</v>
      </c>
      <c r="G41" s="18" t="n">
        <v>8.331616459999999</v>
      </c>
      <c r="H41" s="20" t="n">
        <v>1.58091908</v>
      </c>
      <c r="I41" s="18" t="n">
        <v>0</v>
      </c>
      <c r="J41" s="20" t="n">
        <v>0</v>
      </c>
      <c r="K41" s="18" t="n">
        <v>31.65683937</v>
      </c>
      <c r="L41" s="20" t="n">
        <v>2.9227059</v>
      </c>
      <c r="M41" s="18" t="n">
        <v>20.47503396</v>
      </c>
      <c r="N41" s="20" t="n">
        <v>2.70659125</v>
      </c>
      <c r="O41" s="18" t="n">
        <v>4.45656562</v>
      </c>
      <c r="P41" s="20" t="n">
        <v>1.21751896</v>
      </c>
      <c r="Q41" s="18" t="s">
        <v>567</v>
      </c>
      <c r="R41" s="20" t="s">
        <v>567</v>
      </c>
      <c r="S41" s="18" t="n">
        <v>0.43636835</v>
      </c>
      <c r="T41" s="20" t="n">
        <v>0.35324735</v>
      </c>
      <c r="U41" s="18" t="n">
        <v>0</v>
      </c>
      <c r="V41" s="20" t="n">
        <v>0</v>
      </c>
      <c r="W41" s="18" t="n">
        <v>0</v>
      </c>
      <c r="X41" s="20" t="n">
        <v>0</v>
      </c>
      <c r="Y41" s="18" t="n">
        <v>3.86640596</v>
      </c>
      <c r="Z41" s="20" t="n">
        <v>1.08637066</v>
      </c>
    </row>
    <row r="42" spans="1:26">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c r="U44" s="18" t="s">
        <v>567</v>
      </c>
      <c r="V44" s="20" t="s">
        <v>567</v>
      </c>
      <c r="W44" s="18" t="s">
        <v>567</v>
      </c>
      <c r="X44" s="20" t="s">
        <v>567</v>
      </c>
      <c r="Y44" s="18" t="s">
        <v>567</v>
      </c>
      <c r="Z44" s="20" t="s">
        <v>567</v>
      </c>
    </row>
    <row r="45" spans="1:26">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c r="U45" s="18" t="s">
        <v>567</v>
      </c>
      <c r="V45" s="20" t="s">
        <v>567</v>
      </c>
      <c r="W45" s="18" t="s">
        <v>567</v>
      </c>
      <c r="X45" s="20" t="s">
        <v>567</v>
      </c>
      <c r="Y45" s="18" t="s">
        <v>567</v>
      </c>
      <c r="Z45" s="20" t="s">
        <v>567</v>
      </c>
    </row>
    <row r="46" spans="1:26">
      <c r="A46" s="15" t="s">
        <v>606</v>
      </c>
      <c r="B46" s="17" t="n">
        <v>11068</v>
      </c>
      <c r="C46" s="18">
        <f>(9966.0/B46*100)</f>
        <v/>
      </c>
      <c r="D46" s="19" t="n">
        <v>1102</v>
      </c>
      <c r="E46" s="18" t="n">
        <v>6.34309594</v>
      </c>
      <c r="F46" s="20" t="n">
        <v>1.01952368</v>
      </c>
      <c r="G46" s="18" t="n">
        <v>22.24435914</v>
      </c>
      <c r="H46" s="20" t="n">
        <v>1.47183988</v>
      </c>
      <c r="I46" s="18" t="n">
        <v>0.02754902</v>
      </c>
      <c r="J46" s="20" t="n">
        <v>0.02770614</v>
      </c>
      <c r="K46" s="18" t="n">
        <v>37.48155504</v>
      </c>
      <c r="L46" s="20" t="n">
        <v>2.01555587</v>
      </c>
      <c r="M46" s="18" t="n">
        <v>16.14909528</v>
      </c>
      <c r="N46" s="20" t="n">
        <v>1.52789039</v>
      </c>
      <c r="O46" s="18" t="n">
        <v>1.49560472</v>
      </c>
      <c r="P46" s="20" t="n">
        <v>0.4264776</v>
      </c>
      <c r="Q46" s="18" t="s">
        <v>567</v>
      </c>
      <c r="R46" s="20" t="s">
        <v>567</v>
      </c>
      <c r="S46" s="18" t="n">
        <v>1.0819435</v>
      </c>
      <c r="T46" s="20" t="n">
        <v>0.41642192</v>
      </c>
      <c r="U46" s="18" t="n">
        <v>0.36171523</v>
      </c>
      <c r="V46" s="20" t="n">
        <v>0.24524798</v>
      </c>
      <c r="W46" s="18" t="n">
        <v>0</v>
      </c>
      <c r="X46" s="20" t="n">
        <v>0</v>
      </c>
      <c r="Y46" s="18" t="n">
        <v>14.81508213</v>
      </c>
      <c r="Z46" s="20" t="n">
        <v>1.46546586</v>
      </c>
    </row>
    <row r="47" spans="1:26">
      <c r="A47" s="15" t="s">
        <v>607</v>
      </c>
      <c r="B47" s="17" t="n">
        <v>3105</v>
      </c>
      <c r="C47" s="18">
        <f>(2763.0/B47*100)</f>
        <v/>
      </c>
      <c r="D47" s="19" t="n">
        <v>342</v>
      </c>
      <c r="E47" s="18" t="n">
        <v>23.25394696</v>
      </c>
      <c r="F47" s="20" t="n">
        <v>2.05207144</v>
      </c>
      <c r="G47" s="18" t="n">
        <v>5.8915853</v>
      </c>
      <c r="H47" s="20" t="n">
        <v>1.19199826</v>
      </c>
      <c r="I47" s="18" t="n">
        <v>0</v>
      </c>
      <c r="J47" s="20" t="n">
        <v>0</v>
      </c>
      <c r="K47" s="18" t="n">
        <v>26.63040988</v>
      </c>
      <c r="L47" s="20" t="n">
        <v>2.3018391</v>
      </c>
      <c r="M47" s="18" t="n">
        <v>17.7394603</v>
      </c>
      <c r="N47" s="20" t="n">
        <v>1.99956065</v>
      </c>
      <c r="O47" s="18" t="n">
        <v>4.41817597</v>
      </c>
      <c r="P47" s="20" t="n">
        <v>1.19655294</v>
      </c>
      <c r="Q47" s="18" t="s">
        <v>567</v>
      </c>
      <c r="R47" s="20" t="s">
        <v>567</v>
      </c>
      <c r="S47" s="18" t="n">
        <v>0</v>
      </c>
      <c r="T47" s="20" t="n">
        <v>0</v>
      </c>
      <c r="U47" s="18" t="n">
        <v>0.29877139</v>
      </c>
      <c r="V47" s="20" t="n">
        <v>0.28436636</v>
      </c>
      <c r="W47" s="18" t="n">
        <v>0</v>
      </c>
      <c r="X47" s="20" t="n">
        <v>0</v>
      </c>
      <c r="Y47" s="18" t="n">
        <v>21.7676502</v>
      </c>
      <c r="Z47" s="20" t="n">
        <v>2.4490045</v>
      </c>
    </row>
    <row r="48" spans="1:26">
      <c r="A48" s="15" t="s">
        <v>608</v>
      </c>
      <c r="B48" s="17" t="n">
        <v>5159</v>
      </c>
      <c r="C48" s="18">
        <f>(4597.0/B48*100)</f>
        <v/>
      </c>
      <c r="D48" s="19" t="n">
        <v>562</v>
      </c>
      <c r="E48" s="18" t="n">
        <v>25.67631754</v>
      </c>
      <c r="F48" s="20" t="n">
        <v>2.57486008</v>
      </c>
      <c r="G48" s="18" t="n">
        <v>1.10669104</v>
      </c>
      <c r="H48" s="20" t="n">
        <v>0.42574813</v>
      </c>
      <c r="I48" s="18" t="n">
        <v>0.00258321</v>
      </c>
      <c r="J48" s="20" t="n">
        <v>0.00259413</v>
      </c>
      <c r="K48" s="18" t="n">
        <v>17.9136246</v>
      </c>
      <c r="L48" s="20" t="n">
        <v>2.17765676</v>
      </c>
      <c r="M48" s="18" t="n">
        <v>21.96915885</v>
      </c>
      <c r="N48" s="20" t="n">
        <v>1.8877054</v>
      </c>
      <c r="O48" s="18" t="n">
        <v>24.69987866</v>
      </c>
      <c r="P48" s="20" t="n">
        <v>2.45972983</v>
      </c>
      <c r="Q48" s="18" t="s">
        <v>567</v>
      </c>
      <c r="R48" s="20" t="s">
        <v>567</v>
      </c>
      <c r="S48" s="18" t="n">
        <v>0.13532023</v>
      </c>
      <c r="T48" s="20" t="n">
        <v>0.19071414</v>
      </c>
      <c r="U48" s="18" t="n">
        <v>0</v>
      </c>
      <c r="V48" s="20" t="n">
        <v>0</v>
      </c>
      <c r="W48" s="18" t="n">
        <v>0</v>
      </c>
      <c r="X48" s="20" t="n">
        <v>0</v>
      </c>
      <c r="Y48" s="18" t="n">
        <v>8.496425869999999</v>
      </c>
      <c r="Z48" s="20" t="n">
        <v>1.50933114</v>
      </c>
    </row>
    <row r="49" spans="1:26">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c r="U49" s="18" t="s">
        <v>567</v>
      </c>
      <c r="V49" s="20" t="s">
        <v>567</v>
      </c>
      <c r="W49" s="18" t="s">
        <v>567</v>
      </c>
      <c r="X49" s="20" t="s">
        <v>567</v>
      </c>
      <c r="Y49" s="18" t="s">
        <v>567</v>
      </c>
      <c r="Z49" s="20" t="s">
        <v>567</v>
      </c>
    </row>
    <row r="50" spans="1:26">
      <c r="A50" s="15" t="s">
        <v>610</v>
      </c>
      <c r="B50" s="17" t="n">
        <v>5637</v>
      </c>
      <c r="C50" s="18">
        <f>(5023.0/B50*100)</f>
        <v/>
      </c>
      <c r="D50" s="19" t="n">
        <v>614</v>
      </c>
      <c r="E50" s="18" t="n">
        <v>38.06125573</v>
      </c>
      <c r="F50" s="20" t="n">
        <v>2.67740692</v>
      </c>
      <c r="G50" s="18" t="n">
        <v>5.02219103</v>
      </c>
      <c r="H50" s="20" t="n">
        <v>1.09058901</v>
      </c>
      <c r="I50" s="18" t="n">
        <v>0.3224862</v>
      </c>
      <c r="J50" s="20" t="n">
        <v>0.21318543</v>
      </c>
      <c r="K50" s="18" t="n">
        <v>41.18941478</v>
      </c>
      <c r="L50" s="20" t="n">
        <v>2.64021882</v>
      </c>
      <c r="M50" s="18" t="n">
        <v>7.26615534</v>
      </c>
      <c r="N50" s="20" t="n">
        <v>1.22294246</v>
      </c>
      <c r="O50" s="18" t="n">
        <v>1.93010932</v>
      </c>
      <c r="P50" s="20" t="n">
        <v>0.72241576</v>
      </c>
      <c r="Q50" s="18" t="s">
        <v>567</v>
      </c>
      <c r="R50" s="20" t="s">
        <v>567</v>
      </c>
      <c r="S50" s="18" t="n">
        <v>1.7464765</v>
      </c>
      <c r="T50" s="20" t="n">
        <v>1.03100816</v>
      </c>
      <c r="U50" s="18" t="n">
        <v>0.06093582</v>
      </c>
      <c r="V50" s="20" t="n">
        <v>0.05254781</v>
      </c>
      <c r="W50" s="18" t="n">
        <v>0</v>
      </c>
      <c r="X50" s="20" t="n">
        <v>0</v>
      </c>
      <c r="Y50" s="18" t="n">
        <v>4.40097529</v>
      </c>
      <c r="Z50" s="20" t="n">
        <v>1.06574985</v>
      </c>
    </row>
    <row r="51" spans="1:26">
      <c r="A51" s="15" t="s">
        <v>611</v>
      </c>
      <c r="B51" s="17" t="n">
        <v>3372</v>
      </c>
      <c r="C51" s="18">
        <f>(3036.0/B51*100)</f>
        <v/>
      </c>
      <c r="D51" s="19" t="n">
        <v>336</v>
      </c>
      <c r="E51" s="18" t="n">
        <v>18.14216126</v>
      </c>
      <c r="F51" s="20" t="n">
        <v>2.04416764</v>
      </c>
      <c r="G51" s="18" t="n">
        <v>6.84920498</v>
      </c>
      <c r="H51" s="20" t="n">
        <v>1.67147548</v>
      </c>
      <c r="I51" s="18" t="n">
        <v>0</v>
      </c>
      <c r="J51" s="20" t="n">
        <v>0</v>
      </c>
      <c r="K51" s="18" t="n">
        <v>48.39181692</v>
      </c>
      <c r="L51" s="20" t="n">
        <v>2.81319192</v>
      </c>
      <c r="M51" s="18" t="n">
        <v>15.5065406</v>
      </c>
      <c r="N51" s="20" t="n">
        <v>2.46807711</v>
      </c>
      <c r="O51" s="18" t="n">
        <v>2.68892887</v>
      </c>
      <c r="P51" s="20" t="n">
        <v>1.17188341</v>
      </c>
      <c r="Q51" s="18" t="s">
        <v>567</v>
      </c>
      <c r="R51" s="20" t="s">
        <v>567</v>
      </c>
      <c r="S51" s="18" t="n">
        <v>0.3351618</v>
      </c>
      <c r="T51" s="20" t="n">
        <v>0.33277296</v>
      </c>
      <c r="U51" s="18" t="n">
        <v>0.66432792</v>
      </c>
      <c r="V51" s="20" t="n">
        <v>0.64622951</v>
      </c>
      <c r="W51" s="18" t="n">
        <v>0</v>
      </c>
      <c r="X51" s="20" t="n">
        <v>0</v>
      </c>
      <c r="Y51" s="18" t="n">
        <v>7.42185765</v>
      </c>
      <c r="Z51" s="20" t="n">
        <v>1.77080643</v>
      </c>
    </row>
    <row r="52" spans="1:26">
      <c r="A52" s="15" t="s">
        <v>612</v>
      </c>
      <c r="B52" s="17" t="n">
        <v>2796</v>
      </c>
      <c r="C52" s="18">
        <f>(2476.0/B52*100)</f>
        <v/>
      </c>
      <c r="D52" s="19" t="n">
        <v>320</v>
      </c>
      <c r="E52" s="18" t="n">
        <v>21.54682154</v>
      </c>
      <c r="F52" s="20" t="n">
        <v>2.28033232</v>
      </c>
      <c r="G52" s="18" t="n">
        <v>11.41908585</v>
      </c>
      <c r="H52" s="20" t="n">
        <v>1.69470654</v>
      </c>
      <c r="I52" s="18" t="n">
        <v>0.32900696</v>
      </c>
      <c r="J52" s="20" t="n">
        <v>0.32838068</v>
      </c>
      <c r="K52" s="18" t="n">
        <v>26.23180736</v>
      </c>
      <c r="L52" s="20" t="n">
        <v>2.13445722</v>
      </c>
      <c r="M52" s="18" t="n">
        <v>17.74090584</v>
      </c>
      <c r="N52" s="20" t="n">
        <v>2.12452661</v>
      </c>
      <c r="O52" s="18" t="n">
        <v>3.14782595</v>
      </c>
      <c r="P52" s="20" t="n">
        <v>1.00422556</v>
      </c>
      <c r="Q52" s="18" t="s">
        <v>567</v>
      </c>
      <c r="R52" s="20" t="s">
        <v>567</v>
      </c>
      <c r="S52" s="18" t="n">
        <v>0.31878686</v>
      </c>
      <c r="T52" s="20" t="n">
        <v>0.31151008</v>
      </c>
      <c r="U52" s="18" t="n">
        <v>0</v>
      </c>
      <c r="V52" s="20" t="n">
        <v>0</v>
      </c>
      <c r="W52" s="18" t="n">
        <v>0</v>
      </c>
      <c r="X52" s="20" t="n">
        <v>0</v>
      </c>
      <c r="Y52" s="18" t="n">
        <v>19.26575965</v>
      </c>
      <c r="Z52" s="20" t="n">
        <v>2.11969466</v>
      </c>
    </row>
    <row r="53" spans="1:26">
      <c r="A53" s="15" t="s">
        <v>613</v>
      </c>
      <c r="B53" s="17" t="n">
        <v>2811</v>
      </c>
      <c r="C53" s="18">
        <f>(2491.0/B53*100)</f>
        <v/>
      </c>
      <c r="D53" s="19" t="n">
        <v>320</v>
      </c>
      <c r="E53" s="18" t="n">
        <v>23.07223818</v>
      </c>
      <c r="F53" s="20" t="n">
        <v>2.85671337</v>
      </c>
      <c r="G53" s="18" t="n">
        <v>9.583540920000001</v>
      </c>
      <c r="H53" s="20" t="n">
        <v>1.79562205</v>
      </c>
      <c r="I53" s="18" t="n">
        <v>0.96688259</v>
      </c>
      <c r="J53" s="20" t="n">
        <v>0.57504088</v>
      </c>
      <c r="K53" s="18" t="n">
        <v>32.31566959</v>
      </c>
      <c r="L53" s="20" t="n">
        <v>2.97930955</v>
      </c>
      <c r="M53" s="18" t="n">
        <v>8.035802309999999</v>
      </c>
      <c r="N53" s="20" t="n">
        <v>1.89872682</v>
      </c>
      <c r="O53" s="18" t="n">
        <v>5.89026979</v>
      </c>
      <c r="P53" s="20" t="n">
        <v>1.45742845</v>
      </c>
      <c r="Q53" s="18" t="s">
        <v>567</v>
      </c>
      <c r="R53" s="20" t="s">
        <v>567</v>
      </c>
      <c r="S53" s="18" t="n">
        <v>0.46736626</v>
      </c>
      <c r="T53" s="20" t="n">
        <v>0.32894681</v>
      </c>
      <c r="U53" s="18" t="n">
        <v>0.44646677</v>
      </c>
      <c r="V53" s="20" t="n">
        <v>0.44742137</v>
      </c>
      <c r="W53" s="18" t="n">
        <v>0</v>
      </c>
      <c r="X53" s="20" t="n">
        <v>0</v>
      </c>
      <c r="Y53" s="18" t="n">
        <v>19.22176359</v>
      </c>
      <c r="Z53" s="20" t="n">
        <v>2.34098254</v>
      </c>
    </row>
    <row r="54" spans="1:26">
      <c r="A54" s="15" t="s">
        <v>614</v>
      </c>
      <c r="B54" s="17" t="n">
        <v>2266</v>
      </c>
      <c r="C54" s="18">
        <f>(2013.0/B54*100)</f>
        <v/>
      </c>
      <c r="D54" s="19" t="n">
        <v>253</v>
      </c>
      <c r="E54" s="18" t="n">
        <v>11.12188642</v>
      </c>
      <c r="F54" s="20" t="n">
        <v>1.64969625</v>
      </c>
      <c r="G54" s="18" t="n">
        <v>3.39989759</v>
      </c>
      <c r="H54" s="20" t="n">
        <v>1.02673039</v>
      </c>
      <c r="I54" s="18" t="n">
        <v>0.25398762</v>
      </c>
      <c r="J54" s="20" t="n">
        <v>0.25278426</v>
      </c>
      <c r="K54" s="18" t="n">
        <v>48.76673079</v>
      </c>
      <c r="L54" s="20" t="n">
        <v>3.34967628</v>
      </c>
      <c r="M54" s="18" t="n">
        <v>4.66955054</v>
      </c>
      <c r="N54" s="20" t="n">
        <v>1.26540823</v>
      </c>
      <c r="O54" s="18" t="n">
        <v>1.65218241</v>
      </c>
      <c r="P54" s="20" t="n">
        <v>0.86750438</v>
      </c>
      <c r="Q54" s="18" t="s">
        <v>567</v>
      </c>
      <c r="R54" s="20" t="s">
        <v>567</v>
      </c>
      <c r="S54" s="18" t="n">
        <v>5.95547058</v>
      </c>
      <c r="T54" s="20" t="n">
        <v>1.36960339</v>
      </c>
      <c r="U54" s="18" t="n">
        <v>0.7491877300000001</v>
      </c>
      <c r="V54" s="20" t="n">
        <v>0.52102086</v>
      </c>
      <c r="W54" s="18" t="n">
        <v>0</v>
      </c>
      <c r="X54" s="20" t="n">
        <v>0</v>
      </c>
      <c r="Y54" s="18" t="n">
        <v>23.43110632</v>
      </c>
      <c r="Z54" s="20" t="n">
        <v>3.36071394</v>
      </c>
    </row>
    <row r="55" spans="1:26">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c r="U55" s="18" t="s">
        <v>567</v>
      </c>
      <c r="V55" s="20" t="s">
        <v>567</v>
      </c>
      <c r="W55" s="18" t="s">
        <v>567</v>
      </c>
      <c r="X55" s="20" t="s">
        <v>567</v>
      </c>
      <c r="Y55" s="18" t="s">
        <v>567</v>
      </c>
      <c r="Z55" s="20" t="s">
        <v>567</v>
      </c>
    </row>
    <row r="56" spans="1:26">
      <c r="A56" s="15" t="s">
        <v>616</v>
      </c>
      <c r="B56" s="17" t="n">
        <v>2684</v>
      </c>
      <c r="C56" s="18">
        <f>(2391.0/B56*100)</f>
        <v/>
      </c>
      <c r="D56" s="19" t="n">
        <v>293</v>
      </c>
      <c r="E56" s="18" t="n">
        <v>20.50733349</v>
      </c>
      <c r="F56" s="20" t="n">
        <v>2.50659972</v>
      </c>
      <c r="G56" s="18" t="n">
        <v>10.52927803</v>
      </c>
      <c r="H56" s="20" t="n">
        <v>1.79411095</v>
      </c>
      <c r="I56" s="18" t="n">
        <v>0.24601321</v>
      </c>
      <c r="J56" s="20" t="n">
        <v>0.24804921</v>
      </c>
      <c r="K56" s="18" t="n">
        <v>20.10739667</v>
      </c>
      <c r="L56" s="20" t="n">
        <v>2.12038122</v>
      </c>
      <c r="M56" s="18" t="n">
        <v>23.50058441</v>
      </c>
      <c r="N56" s="20" t="n">
        <v>2.93522371</v>
      </c>
      <c r="O56" s="18" t="n">
        <v>21.00054144</v>
      </c>
      <c r="P56" s="20" t="n">
        <v>2.52753766</v>
      </c>
      <c r="Q56" s="18" t="s">
        <v>567</v>
      </c>
      <c r="R56" s="20" t="s">
        <v>567</v>
      </c>
      <c r="S56" s="18" t="n">
        <v>0</v>
      </c>
      <c r="T56" s="20" t="n">
        <v>0</v>
      </c>
      <c r="U56" s="18" t="n">
        <v>0</v>
      </c>
      <c r="V56" s="20" t="n">
        <v>0</v>
      </c>
      <c r="W56" s="18" t="n">
        <v>0</v>
      </c>
      <c r="X56" s="20" t="n">
        <v>0</v>
      </c>
      <c r="Y56" s="18" t="n">
        <v>4.10885275</v>
      </c>
      <c r="Z56" s="20" t="n">
        <v>1.39331841</v>
      </c>
    </row>
    <row r="57" spans="1:26">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c r="U57" s="18" t="s">
        <v>567</v>
      </c>
      <c r="V57" s="20" t="s">
        <v>567</v>
      </c>
      <c r="W57" s="18" t="s">
        <v>567</v>
      </c>
      <c r="X57" s="20" t="s">
        <v>567</v>
      </c>
      <c r="Y57" s="18" t="s">
        <v>567</v>
      </c>
      <c r="Z57" s="20" t="s">
        <v>567</v>
      </c>
    </row>
    <row r="58" spans="1:26">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c r="U58" s="18" t="s">
        <v>567</v>
      </c>
      <c r="V58" s="20" t="s">
        <v>567</v>
      </c>
      <c r="W58" s="18" t="s">
        <v>567</v>
      </c>
      <c r="X58" s="20" t="s">
        <v>567</v>
      </c>
      <c r="Y58" s="18" t="s">
        <v>567</v>
      </c>
      <c r="Z58" s="20" t="s">
        <v>567</v>
      </c>
    </row>
    <row r="59" spans="1:26">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c r="U59" s="18" t="s">
        <v>567</v>
      </c>
      <c r="V59" s="20" t="s">
        <v>567</v>
      </c>
      <c r="W59" s="18" t="s">
        <v>567</v>
      </c>
      <c r="X59" s="20" t="s">
        <v>567</v>
      </c>
      <c r="Y59" s="18" t="s">
        <v>567</v>
      </c>
      <c r="Z59" s="20" t="s">
        <v>567</v>
      </c>
    </row>
    <row r="60" spans="1:26">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c r="U60" s="18" t="s">
        <v>567</v>
      </c>
      <c r="V60" s="20" t="s">
        <v>567</v>
      </c>
      <c r="W60" s="18" t="s">
        <v>567</v>
      </c>
      <c r="X60" s="20" t="s">
        <v>567</v>
      </c>
      <c r="Y60" s="18" t="s">
        <v>567</v>
      </c>
      <c r="Z60" s="20" t="s">
        <v>567</v>
      </c>
    </row>
    <row r="61" spans="1:26">
      <c r="A61" s="15" t="s">
        <v>621</v>
      </c>
      <c r="B61" s="17" t="n">
        <v>3324</v>
      </c>
      <c r="C61" s="18">
        <f>(2979.0/B61*100)</f>
        <v/>
      </c>
      <c r="D61" s="19" t="n">
        <v>345</v>
      </c>
      <c r="E61" s="18" t="n">
        <v>16.31604802</v>
      </c>
      <c r="F61" s="20" t="n">
        <v>2.04219681</v>
      </c>
      <c r="G61" s="18" t="n">
        <v>10.20792246</v>
      </c>
      <c r="H61" s="20" t="n">
        <v>1.61378535</v>
      </c>
      <c r="I61" s="18" t="n">
        <v>0</v>
      </c>
      <c r="J61" s="20" t="n">
        <v>0</v>
      </c>
      <c r="K61" s="18" t="n">
        <v>40.91711416</v>
      </c>
      <c r="L61" s="20" t="n">
        <v>2.87941542</v>
      </c>
      <c r="M61" s="18" t="n">
        <v>20.56004705</v>
      </c>
      <c r="N61" s="20" t="n">
        <v>2.57539615</v>
      </c>
      <c r="O61" s="18" t="n">
        <v>3.42832024</v>
      </c>
      <c r="P61" s="20" t="n">
        <v>0.91368105</v>
      </c>
      <c r="Q61" s="18" t="s">
        <v>567</v>
      </c>
      <c r="R61" s="20" t="s">
        <v>567</v>
      </c>
      <c r="S61" s="18" t="n">
        <v>0</v>
      </c>
      <c r="T61" s="20" t="n">
        <v>0</v>
      </c>
      <c r="U61" s="18" t="n">
        <v>0</v>
      </c>
      <c r="V61" s="20" t="n">
        <v>0</v>
      </c>
      <c r="W61" s="18" t="n">
        <v>0</v>
      </c>
      <c r="X61" s="20" t="n">
        <v>0</v>
      </c>
      <c r="Y61" s="18" t="n">
        <v>8.57054806</v>
      </c>
      <c r="Z61" s="20" t="n">
        <v>1.54846801</v>
      </c>
    </row>
    <row r="62" spans="1:26">
      <c r="A62" s="15" t="s">
        <v>622</v>
      </c>
      <c r="B62" s="17" t="n">
        <v>2246</v>
      </c>
      <c r="C62" s="18">
        <f>(1991.0/B62*100)</f>
        <v/>
      </c>
      <c r="D62" s="19" t="n">
        <v>255</v>
      </c>
      <c r="E62" s="18" t="n">
        <v>12.88453608</v>
      </c>
      <c r="F62" s="20" t="n">
        <v>2.25281954</v>
      </c>
      <c r="G62" s="18" t="n">
        <v>10.20519547</v>
      </c>
      <c r="H62" s="20" t="n">
        <v>1.67854723</v>
      </c>
      <c r="I62" s="18" t="n">
        <v>0</v>
      </c>
      <c r="J62" s="20" t="n">
        <v>0</v>
      </c>
      <c r="K62" s="18" t="n">
        <v>40.39289799</v>
      </c>
      <c r="L62" s="20" t="n">
        <v>3.00810317</v>
      </c>
      <c r="M62" s="18" t="n">
        <v>19.96860072</v>
      </c>
      <c r="N62" s="20" t="n">
        <v>2.89863856</v>
      </c>
      <c r="O62" s="18" t="n">
        <v>12.96109301</v>
      </c>
      <c r="P62" s="20" t="n">
        <v>2.21364463</v>
      </c>
      <c r="Q62" s="18" t="s">
        <v>567</v>
      </c>
      <c r="R62" s="20" t="s">
        <v>567</v>
      </c>
      <c r="S62" s="18" t="n">
        <v>0</v>
      </c>
      <c r="T62" s="20" t="n">
        <v>0</v>
      </c>
      <c r="U62" s="18" t="n">
        <v>0</v>
      </c>
      <c r="V62" s="20" t="n">
        <v>0</v>
      </c>
      <c r="W62" s="18" t="n">
        <v>0</v>
      </c>
      <c r="X62" s="20" t="n">
        <v>0</v>
      </c>
      <c r="Y62" s="18" t="n">
        <v>3.58767675</v>
      </c>
      <c r="Z62" s="20" t="n">
        <v>1.08262212</v>
      </c>
    </row>
    <row r="63" spans="1:26">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c r="U63" s="18" t="s">
        <v>567</v>
      </c>
      <c r="V63" s="20" t="s">
        <v>567</v>
      </c>
      <c r="W63" s="18" t="s">
        <v>567</v>
      </c>
      <c r="X63" s="20" t="s">
        <v>567</v>
      </c>
      <c r="Y63" s="18" t="s">
        <v>567</v>
      </c>
      <c r="Z63" s="20" t="s">
        <v>567</v>
      </c>
    </row>
    <row r="64" spans="1:26">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c r="U64" s="18" t="s">
        <v>567</v>
      </c>
      <c r="V64" s="20" t="s">
        <v>567</v>
      </c>
      <c r="W64" s="18" t="s">
        <v>567</v>
      </c>
      <c r="X64" s="20" t="s">
        <v>567</v>
      </c>
      <c r="Y64" s="18" t="s">
        <v>567</v>
      </c>
      <c r="Z64" s="20" t="s">
        <v>567</v>
      </c>
    </row>
    <row r="65" spans="1:26">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c r="U65" s="18" t="s">
        <v>567</v>
      </c>
      <c r="V65" s="20" t="s">
        <v>567</v>
      </c>
      <c r="W65" s="18" t="s">
        <v>567</v>
      </c>
      <c r="X65" s="20" t="s">
        <v>567</v>
      </c>
      <c r="Y65" s="18" t="s">
        <v>567</v>
      </c>
      <c r="Z65" s="20" t="s">
        <v>567</v>
      </c>
    </row>
    <row r="66" spans="1:26">
      <c r="A66" s="15" t="s">
        <v>626</v>
      </c>
      <c r="B66" s="17" t="n">
        <v>2894</v>
      </c>
      <c r="C66" s="18">
        <f>(2585.0/B66*100)</f>
        <v/>
      </c>
      <c r="D66" s="19" t="n">
        <v>309</v>
      </c>
      <c r="E66" s="18" t="n">
        <v>16.6612534</v>
      </c>
      <c r="F66" s="20" t="n">
        <v>1.83329529</v>
      </c>
      <c r="G66" s="18" t="n">
        <v>4.89999635</v>
      </c>
      <c r="H66" s="20" t="n">
        <v>1.22139147</v>
      </c>
      <c r="I66" s="18" t="n">
        <v>0</v>
      </c>
      <c r="J66" s="20" t="n">
        <v>0</v>
      </c>
      <c r="K66" s="18" t="n">
        <v>24.41031724</v>
      </c>
      <c r="L66" s="20" t="n">
        <v>2.56649372</v>
      </c>
      <c r="M66" s="18" t="n">
        <v>8.428926519999999</v>
      </c>
      <c r="N66" s="20" t="n">
        <v>1.55278427</v>
      </c>
      <c r="O66" s="18" t="n">
        <v>4.95850956</v>
      </c>
      <c r="P66" s="20" t="n">
        <v>1.02158347</v>
      </c>
      <c r="Q66" s="18" t="s">
        <v>567</v>
      </c>
      <c r="R66" s="20" t="s">
        <v>567</v>
      </c>
      <c r="S66" s="18" t="n">
        <v>0</v>
      </c>
      <c r="T66" s="20" t="n">
        <v>0</v>
      </c>
      <c r="U66" s="18" t="n">
        <v>0.90398995</v>
      </c>
      <c r="V66" s="20" t="n">
        <v>0.51185198</v>
      </c>
      <c r="W66" s="18" t="n">
        <v>0</v>
      </c>
      <c r="X66" s="20" t="n">
        <v>0</v>
      </c>
      <c r="Y66" s="18" t="n">
        <v>39.73700698</v>
      </c>
      <c r="Z66" s="20" t="n">
        <v>3.18214971</v>
      </c>
    </row>
    <row r="67" spans="1:26">
      <c r="A67" s="15" t="s">
        <v>627</v>
      </c>
      <c r="B67" s="17" t="n">
        <v>3511</v>
      </c>
      <c r="C67" s="18">
        <f>(3132.0/B67*100)</f>
        <v/>
      </c>
      <c r="D67" s="19" t="n">
        <v>379</v>
      </c>
      <c r="E67" s="18" t="n">
        <v>32.19729622</v>
      </c>
      <c r="F67" s="20" t="n">
        <v>3.0777991</v>
      </c>
      <c r="G67" s="18" t="n">
        <v>4.88722957</v>
      </c>
      <c r="H67" s="20" t="n">
        <v>1.28646313</v>
      </c>
      <c r="I67" s="18" t="n">
        <v>0</v>
      </c>
      <c r="J67" s="20" t="n">
        <v>0</v>
      </c>
      <c r="K67" s="18" t="n">
        <v>39.7630044</v>
      </c>
      <c r="L67" s="20" t="n">
        <v>2.72928342</v>
      </c>
      <c r="M67" s="18" t="n">
        <v>10.88735835</v>
      </c>
      <c r="N67" s="20" t="n">
        <v>1.52220692</v>
      </c>
      <c r="O67" s="18" t="n">
        <v>4.54584882</v>
      </c>
      <c r="P67" s="20" t="n">
        <v>1.13530586</v>
      </c>
      <c r="Q67" s="18" t="s">
        <v>567</v>
      </c>
      <c r="R67" s="20" t="s">
        <v>567</v>
      </c>
      <c r="S67" s="18" t="n">
        <v>0.19652286</v>
      </c>
      <c r="T67" s="20" t="n">
        <v>0.19628936</v>
      </c>
      <c r="U67" s="18" t="n">
        <v>0</v>
      </c>
      <c r="V67" s="20" t="n">
        <v>0</v>
      </c>
      <c r="W67" s="18" t="n">
        <v>0</v>
      </c>
      <c r="X67" s="20" t="n">
        <v>0</v>
      </c>
      <c r="Y67" s="18" t="n">
        <v>7.52273979</v>
      </c>
      <c r="Z67" s="20" t="n">
        <v>1.36198807</v>
      </c>
    </row>
    <row r="68" spans="1:26">
      <c r="A68" s="15" t="s">
        <v>628</v>
      </c>
      <c r="B68" s="17" t="n">
        <v>6049</v>
      </c>
      <c r="C68" s="18">
        <f>(5383.0/B68*100)</f>
        <v/>
      </c>
      <c r="D68" s="19" t="n">
        <v>666</v>
      </c>
      <c r="E68" s="18" t="n">
        <v>19.80755024</v>
      </c>
      <c r="F68" s="20" t="n">
        <v>1.57026606</v>
      </c>
      <c r="G68" s="18" t="n">
        <v>10.3245322</v>
      </c>
      <c r="H68" s="20" t="n">
        <v>1.23205064</v>
      </c>
      <c r="I68" s="18" t="n">
        <v>0.57765542</v>
      </c>
      <c r="J68" s="20" t="n">
        <v>0.28674885</v>
      </c>
      <c r="K68" s="18" t="n">
        <v>38.7834975</v>
      </c>
      <c r="L68" s="20" t="n">
        <v>2.00312527</v>
      </c>
      <c r="M68" s="18" t="n">
        <v>7.78856562</v>
      </c>
      <c r="N68" s="20" t="n">
        <v>1.06484795</v>
      </c>
      <c r="O68" s="18" t="n">
        <v>5.95504583</v>
      </c>
      <c r="P68" s="20" t="n">
        <v>0.85871579</v>
      </c>
      <c r="Q68" s="18" t="s">
        <v>567</v>
      </c>
      <c r="R68" s="20" t="s">
        <v>567</v>
      </c>
      <c r="S68" s="18" t="n">
        <v>1.63700342</v>
      </c>
      <c r="T68" s="20" t="n">
        <v>0.4949008</v>
      </c>
      <c r="U68" s="18" t="n">
        <v>0</v>
      </c>
      <c r="V68" s="20" t="n">
        <v>0</v>
      </c>
      <c r="W68" s="18" t="n">
        <v>0</v>
      </c>
      <c r="X68" s="20" t="n">
        <v>0</v>
      </c>
      <c r="Y68" s="18" t="n">
        <v>15.12614977</v>
      </c>
      <c r="Z68" s="20" t="n">
        <v>1.31970358</v>
      </c>
    </row>
    <row r="69" spans="1:26">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c r="U69" s="18" t="s">
        <v>567</v>
      </c>
      <c r="V69" s="20" t="s">
        <v>567</v>
      </c>
      <c r="W69" s="18" t="s">
        <v>567</v>
      </c>
      <c r="X69" s="20" t="s">
        <v>567</v>
      </c>
      <c r="Y69" s="18" t="s">
        <v>567</v>
      </c>
      <c r="Z69" s="20" t="s">
        <v>567</v>
      </c>
    </row>
    <row r="70" spans="1:26">
      <c r="A70" s="15" t="s">
        <v>630</v>
      </c>
      <c r="B70" s="17" t="n">
        <v>2929</v>
      </c>
      <c r="C70" s="18">
        <f>(2605.0/B70*100)</f>
        <v/>
      </c>
      <c r="D70" s="19" t="n">
        <v>324</v>
      </c>
      <c r="E70" s="18" t="n">
        <v>27.68876947</v>
      </c>
      <c r="F70" s="20" t="n">
        <v>3.66919113</v>
      </c>
      <c r="G70" s="18" t="n">
        <v>11.5243075</v>
      </c>
      <c r="H70" s="20" t="n">
        <v>3.29757371</v>
      </c>
      <c r="I70" s="18" t="n">
        <v>0.34143916</v>
      </c>
      <c r="J70" s="20" t="n">
        <v>0.33786745</v>
      </c>
      <c r="K70" s="18" t="n">
        <v>15.24301487</v>
      </c>
      <c r="L70" s="20" t="n">
        <v>2.02175299</v>
      </c>
      <c r="M70" s="18" t="n">
        <v>27.61330507</v>
      </c>
      <c r="N70" s="20" t="n">
        <v>2.43886889</v>
      </c>
      <c r="O70" s="18" t="n">
        <v>9.603572140000001</v>
      </c>
      <c r="P70" s="20" t="n">
        <v>1.81695438</v>
      </c>
      <c r="Q70" s="18" t="s">
        <v>567</v>
      </c>
      <c r="R70" s="20" t="s">
        <v>567</v>
      </c>
      <c r="S70" s="18" t="n">
        <v>0.77146864</v>
      </c>
      <c r="T70" s="20" t="n">
        <v>0.42730458</v>
      </c>
      <c r="U70" s="18" t="n">
        <v>0</v>
      </c>
      <c r="V70" s="20" t="n">
        <v>0</v>
      </c>
      <c r="W70" s="18" t="n">
        <v>0</v>
      </c>
      <c r="X70" s="20" t="n">
        <v>0</v>
      </c>
      <c r="Y70" s="18" t="n">
        <v>7.21412316</v>
      </c>
      <c r="Z70" s="20" t="n">
        <v>1.58199603</v>
      </c>
    </row>
    <row r="71" spans="1:26">
      <c r="A71" s="15" t="s">
        <v>631</v>
      </c>
      <c r="B71" s="17" t="n">
        <v>3142</v>
      </c>
      <c r="C71" s="18">
        <f>(2800.0/B71*100)</f>
        <v/>
      </c>
      <c r="D71" s="19" t="n">
        <v>342</v>
      </c>
      <c r="E71" s="18" t="n">
        <v>23.79138536</v>
      </c>
      <c r="F71" s="20" t="n">
        <v>2.27628021</v>
      </c>
      <c r="G71" s="18" t="n">
        <v>17.37791803</v>
      </c>
      <c r="H71" s="20" t="n">
        <v>2.14936091</v>
      </c>
      <c r="I71" s="18" t="n">
        <v>0.25476116</v>
      </c>
      <c r="J71" s="20" t="n">
        <v>0.25588213</v>
      </c>
      <c r="K71" s="18" t="n">
        <v>16.28324788</v>
      </c>
      <c r="L71" s="20" t="n">
        <v>2.00487393</v>
      </c>
      <c r="M71" s="18" t="n">
        <v>31.25123598</v>
      </c>
      <c r="N71" s="20" t="n">
        <v>2.61465343</v>
      </c>
      <c r="O71" s="18" t="n">
        <v>7.64499217</v>
      </c>
      <c r="P71" s="20" t="n">
        <v>1.53578432</v>
      </c>
      <c r="Q71" s="18" t="s">
        <v>567</v>
      </c>
      <c r="R71" s="20" t="s">
        <v>567</v>
      </c>
      <c r="S71" s="18" t="n">
        <v>0</v>
      </c>
      <c r="T71" s="20" t="n">
        <v>0</v>
      </c>
      <c r="U71" s="18" t="n">
        <v>0</v>
      </c>
      <c r="V71" s="20" t="n">
        <v>0</v>
      </c>
      <c r="W71" s="18" t="n">
        <v>0</v>
      </c>
      <c r="X71" s="20" t="n">
        <v>0</v>
      </c>
      <c r="Y71" s="18" t="n">
        <v>3.39645942</v>
      </c>
      <c r="Z71" s="20" t="n">
        <v>1.02584396</v>
      </c>
    </row>
    <row r="72" spans="1:26">
      <c r="A72" s="15" t="s">
        <v>632</v>
      </c>
      <c r="B72" s="17" t="n">
        <v>3889</v>
      </c>
      <c r="C72" s="18">
        <f>(3449.0/B72*100)</f>
        <v/>
      </c>
      <c r="D72" s="19" t="n">
        <v>440</v>
      </c>
      <c r="E72" s="18" t="n">
        <v>30.16006688</v>
      </c>
      <c r="F72" s="20" t="n">
        <v>2.12303862</v>
      </c>
      <c r="G72" s="18" t="n">
        <v>15.3899218</v>
      </c>
      <c r="H72" s="20" t="n">
        <v>1.92171462</v>
      </c>
      <c r="I72" s="18" t="n">
        <v>1.07518662</v>
      </c>
      <c r="J72" s="20" t="n">
        <v>0.48565929</v>
      </c>
      <c r="K72" s="18" t="n">
        <v>23.17076397</v>
      </c>
      <c r="L72" s="20" t="n">
        <v>2.1159502</v>
      </c>
      <c r="M72" s="18" t="n">
        <v>18.26573586</v>
      </c>
      <c r="N72" s="20" t="n">
        <v>2.38007506</v>
      </c>
      <c r="O72" s="18" t="n">
        <v>3.84332293</v>
      </c>
      <c r="P72" s="20" t="n">
        <v>0.98893469</v>
      </c>
      <c r="Q72" s="18" t="s">
        <v>567</v>
      </c>
      <c r="R72" s="20" t="s">
        <v>567</v>
      </c>
      <c r="S72" s="18" t="n">
        <v>0.30110292</v>
      </c>
      <c r="T72" s="20" t="n">
        <v>0.30243754</v>
      </c>
      <c r="U72" s="18" t="n">
        <v>0</v>
      </c>
      <c r="V72" s="20" t="n">
        <v>0</v>
      </c>
      <c r="W72" s="18" t="n">
        <v>0</v>
      </c>
      <c r="X72" s="20" t="n">
        <v>0</v>
      </c>
      <c r="Y72" s="18" t="n">
        <v>7.79389901</v>
      </c>
      <c r="Z72" s="20" t="n">
        <v>1.25951486</v>
      </c>
    </row>
    <row r="73" spans="1:26">
      <c r="A73" s="15" t="s">
        <v>633</v>
      </c>
      <c r="B73" s="17" t="n">
        <v>3597</v>
      </c>
      <c r="C73" s="18">
        <f>(3229.0/B73*100)</f>
        <v/>
      </c>
      <c r="D73" s="19" t="n">
        <v>368</v>
      </c>
      <c r="E73" s="18" t="n">
        <v>12.44329538</v>
      </c>
      <c r="F73" s="20" t="n">
        <v>2.08795313</v>
      </c>
      <c r="G73" s="18" t="n">
        <v>10.72570901</v>
      </c>
      <c r="H73" s="20" t="n">
        <v>1.70687714</v>
      </c>
      <c r="I73" s="18" t="n">
        <v>0.38171175</v>
      </c>
      <c r="J73" s="20" t="n">
        <v>0.38256432</v>
      </c>
      <c r="K73" s="18" t="n">
        <v>66.97613508000001</v>
      </c>
      <c r="L73" s="20" t="n">
        <v>2.89393194</v>
      </c>
      <c r="M73" s="18" t="n">
        <v>4.16062586</v>
      </c>
      <c r="N73" s="20" t="n">
        <v>1.0839598</v>
      </c>
      <c r="O73" s="18" t="n">
        <v>2.63040399</v>
      </c>
      <c r="P73" s="20" t="n">
        <v>0.82594069</v>
      </c>
      <c r="Q73" s="18" t="s">
        <v>567</v>
      </c>
      <c r="R73" s="20" t="s">
        <v>567</v>
      </c>
      <c r="S73" s="18" t="n">
        <v>0</v>
      </c>
      <c r="T73" s="20" t="n">
        <v>0</v>
      </c>
      <c r="U73" s="18" t="n">
        <v>0</v>
      </c>
      <c r="V73" s="20" t="n">
        <v>0</v>
      </c>
      <c r="W73" s="18" t="n">
        <v>0</v>
      </c>
      <c r="X73" s="20" t="n">
        <v>0</v>
      </c>
      <c r="Y73" s="18" t="n">
        <v>2.68211893</v>
      </c>
      <c r="Z73" s="20" t="n">
        <v>0.98506382</v>
      </c>
    </row>
    <row r="74" spans="1:26">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c r="U74" s="18" t="s">
        <v>567</v>
      </c>
      <c r="V74" s="20" t="s">
        <v>567</v>
      </c>
      <c r="W74" s="18" t="s">
        <v>567</v>
      </c>
      <c r="X74" s="20" t="s">
        <v>567</v>
      </c>
      <c r="Y74" s="18" t="s">
        <v>567</v>
      </c>
      <c r="Z74" s="20" t="s">
        <v>567</v>
      </c>
    </row>
    <row r="75" spans="1:26">
      <c r="A75" s="15" t="s">
        <v>635</v>
      </c>
      <c r="B75" s="17" t="n">
        <v>2406</v>
      </c>
      <c r="C75" s="18">
        <f>(2169.0/B75*100)</f>
        <v/>
      </c>
      <c r="D75" s="19" t="n">
        <v>237</v>
      </c>
      <c r="E75" s="18" t="n">
        <v>14.94103461</v>
      </c>
      <c r="F75" s="20" t="n">
        <v>2.20518937</v>
      </c>
      <c r="G75" s="18" t="n">
        <v>7.42445927</v>
      </c>
      <c r="H75" s="20" t="n">
        <v>1.99635138</v>
      </c>
      <c r="I75" s="18" t="n">
        <v>0</v>
      </c>
      <c r="J75" s="20" t="n">
        <v>0</v>
      </c>
      <c r="K75" s="18" t="n">
        <v>42.65047807</v>
      </c>
      <c r="L75" s="20" t="n">
        <v>3.69988885</v>
      </c>
      <c r="M75" s="18" t="n">
        <v>1.20072999</v>
      </c>
      <c r="N75" s="20" t="n">
        <v>0.67338096</v>
      </c>
      <c r="O75" s="18" t="n">
        <v>3.50819614</v>
      </c>
      <c r="P75" s="20" t="n">
        <v>1.05915228</v>
      </c>
      <c r="Q75" s="18" t="s">
        <v>567</v>
      </c>
      <c r="R75" s="20" t="s">
        <v>567</v>
      </c>
      <c r="S75" s="18" t="n">
        <v>1.654241</v>
      </c>
      <c r="T75" s="20" t="n">
        <v>0.80938798</v>
      </c>
      <c r="U75" s="18" t="n">
        <v>0.82369353</v>
      </c>
      <c r="V75" s="20" t="n">
        <v>0.59541126</v>
      </c>
      <c r="W75" s="18" t="n">
        <v>0</v>
      </c>
      <c r="X75" s="20" t="n">
        <v>0</v>
      </c>
      <c r="Y75" s="18" t="n">
        <v>27.79716738</v>
      </c>
      <c r="Z75" s="20" t="n">
        <v>3.7990081</v>
      </c>
    </row>
    <row r="76" spans="1:26">
      <c r="A76" s="15" t="s">
        <v>636</v>
      </c>
      <c r="B76" s="17" t="n">
        <v>7052</v>
      </c>
      <c r="C76" s="18">
        <f>(6260.0/B76*100)</f>
        <v/>
      </c>
      <c r="D76" s="19" t="n">
        <v>792</v>
      </c>
      <c r="E76" s="18" t="n">
        <v>27.72357018</v>
      </c>
      <c r="F76" s="20" t="n">
        <v>1.62673405</v>
      </c>
      <c r="G76" s="18" t="n">
        <v>5.77764943</v>
      </c>
      <c r="H76" s="20" t="n">
        <v>0.93837834</v>
      </c>
      <c r="I76" s="18" t="n">
        <v>1.19757168</v>
      </c>
      <c r="J76" s="20" t="n">
        <v>0.40661244</v>
      </c>
      <c r="K76" s="18" t="n">
        <v>41.33255087</v>
      </c>
      <c r="L76" s="20" t="n">
        <v>2.38438158</v>
      </c>
      <c r="M76" s="18" t="n">
        <v>7.50669136</v>
      </c>
      <c r="N76" s="20" t="n">
        <v>1.0586649</v>
      </c>
      <c r="O76" s="18" t="n">
        <v>4.37679627</v>
      </c>
      <c r="P76" s="20" t="n">
        <v>0.84058955</v>
      </c>
      <c r="Q76" s="18" t="s">
        <v>567</v>
      </c>
      <c r="R76" s="20" t="s">
        <v>567</v>
      </c>
      <c r="S76" s="18" t="n">
        <v>1.28770977</v>
      </c>
      <c r="T76" s="20" t="n">
        <v>0.5456043900000001</v>
      </c>
      <c r="U76" s="18" t="n">
        <v>0.06554293</v>
      </c>
      <c r="V76" s="20" t="n">
        <v>0.06583625999999999</v>
      </c>
      <c r="W76" s="18" t="n">
        <v>0</v>
      </c>
      <c r="X76" s="20" t="n">
        <v>0</v>
      </c>
      <c r="Y76" s="18" t="n">
        <v>10.73191751</v>
      </c>
      <c r="Z76" s="20" t="n">
        <v>1.43017524</v>
      </c>
    </row>
    <row r="77" spans="1:26">
      <c r="A77" s="15" t="s">
        <v>637</v>
      </c>
      <c r="B77" s="17" t="n">
        <v>2908</v>
      </c>
      <c r="C77" s="18">
        <f>(2581.0/B77*100)</f>
        <v/>
      </c>
      <c r="D77" s="19" t="n">
        <v>327</v>
      </c>
      <c r="E77" s="18" t="n">
        <v>25.38948406</v>
      </c>
      <c r="F77" s="20" t="n">
        <v>2.3393821</v>
      </c>
      <c r="G77" s="18" t="n">
        <v>7.50475007</v>
      </c>
      <c r="H77" s="20" t="n">
        <v>1.73575964</v>
      </c>
      <c r="I77" s="18" t="n">
        <v>0</v>
      </c>
      <c r="J77" s="20" t="n">
        <v>0</v>
      </c>
      <c r="K77" s="18" t="n">
        <v>18.96337927</v>
      </c>
      <c r="L77" s="20" t="n">
        <v>1.80823734</v>
      </c>
      <c r="M77" s="18" t="n">
        <v>22.98408136</v>
      </c>
      <c r="N77" s="20" t="n">
        <v>2.40558865</v>
      </c>
      <c r="O77" s="18" t="n">
        <v>3.44463318</v>
      </c>
      <c r="P77" s="20" t="n">
        <v>1.00949391</v>
      </c>
      <c r="Q77" s="18" t="s">
        <v>567</v>
      </c>
      <c r="R77" s="20" t="s">
        <v>567</v>
      </c>
      <c r="S77" s="18" t="n">
        <v>0.51256293</v>
      </c>
      <c r="T77" s="20" t="n">
        <v>0.36605265</v>
      </c>
      <c r="U77" s="18" t="n">
        <v>0.34551052</v>
      </c>
      <c r="V77" s="20" t="n">
        <v>0.34796945</v>
      </c>
      <c r="W77" s="18" t="n">
        <v>0</v>
      </c>
      <c r="X77" s="20" t="n">
        <v>0</v>
      </c>
      <c r="Y77" s="18" t="n">
        <v>20.85559862</v>
      </c>
      <c r="Z77" s="20" t="n">
        <v>2.23491858</v>
      </c>
    </row>
    <row r="78" spans="1:26">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c r="U78" s="18" t="s">
        <v>567</v>
      </c>
      <c r="V78" s="20" t="s">
        <v>567</v>
      </c>
      <c r="W78" s="18" t="s">
        <v>567</v>
      </c>
      <c r="X78" s="20" t="s">
        <v>567</v>
      </c>
      <c r="Y78" s="18" t="s">
        <v>567</v>
      </c>
      <c r="Z78" s="20" t="s">
        <v>567</v>
      </c>
    </row>
    <row customHeight="1" ht="25" r="79" spans="1:26">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c r="U79" s="18" t="s">
        <v>567</v>
      </c>
      <c r="V79" s="20" t="s">
        <v>567</v>
      </c>
      <c r="W79" s="18" t="s">
        <v>567</v>
      </c>
      <c r="X79" s="20" t="s">
        <v>567</v>
      </c>
      <c r="Y79" s="18" t="s">
        <v>567</v>
      </c>
      <c r="Z79" s="20" t="s">
        <v>567</v>
      </c>
    </row>
    <row r="80" spans="1:26">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c r="W80" s="18" t="s">
        <v>567</v>
      </c>
      <c r="X80" s="20" t="s">
        <v>567</v>
      </c>
      <c r="Y80" s="18" t="s">
        <v>567</v>
      </c>
      <c r="Z80" s="20" t="s">
        <v>567</v>
      </c>
    </row>
    <row r="81" spans="1:26">
      <c r="A81" s="21" t="s">
        <v>641</v>
      </c>
      <c r="B81" s="17" t="n">
        <v>4163</v>
      </c>
      <c r="C81" s="18">
        <f>(3729.0/B81*100)</f>
        <v/>
      </c>
      <c r="D81" s="19" t="n">
        <v>434</v>
      </c>
      <c r="E81" s="18" t="n">
        <v>9.40587764</v>
      </c>
      <c r="F81" s="20" t="n">
        <v>1.48837391</v>
      </c>
      <c r="G81" s="18" t="n">
        <v>3.94502111</v>
      </c>
      <c r="H81" s="20" t="n">
        <v>1.0434659</v>
      </c>
      <c r="I81" s="18" t="n">
        <v>0</v>
      </c>
      <c r="J81" s="20" t="n">
        <v>0</v>
      </c>
      <c r="K81" s="18" t="n">
        <v>73.1500285</v>
      </c>
      <c r="L81" s="20" t="n">
        <v>2.98796905</v>
      </c>
      <c r="M81" s="18" t="n">
        <v>9.031527130000001</v>
      </c>
      <c r="N81" s="20" t="n">
        <v>1.6493699</v>
      </c>
      <c r="O81" s="18" t="n">
        <v>1.84561872</v>
      </c>
      <c r="P81" s="20" t="n">
        <v>0.76753552</v>
      </c>
      <c r="Q81" s="18" t="s">
        <v>567</v>
      </c>
      <c r="R81" s="20" t="s">
        <v>567</v>
      </c>
      <c r="S81" s="18" t="n">
        <v>0</v>
      </c>
      <c r="T81" s="20" t="n">
        <v>0</v>
      </c>
      <c r="U81" s="18" t="n">
        <v>0</v>
      </c>
      <c r="V81" s="20" t="n">
        <v>0</v>
      </c>
      <c r="W81" s="18" t="n">
        <v>0</v>
      </c>
      <c r="X81" s="20" t="n">
        <v>0</v>
      </c>
      <c r="Y81" s="18" t="n">
        <v>2.62192691</v>
      </c>
      <c r="Z81" s="20" t="n">
        <v>0.90291686</v>
      </c>
    </row>
    <row r="82" spans="1:26">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c r="W82" s="22" t="s">
        <v>642</v>
      </c>
      <c r="X82" s="22" t="s">
        <v>642</v>
      </c>
      <c r="Y82" s="22" t="s">
        <v>642</v>
      </c>
      <c r="Z82" s="22" t="s">
        <v>642</v>
      </c>
    </row>
    <row r="83" spans="1:26">
      <c r="A83" s="3" t="s">
        <v>643</v>
      </c>
    </row>
    <row r="84" spans="1:26">
      <c r="A84" s="23" t="s">
        <v>644</v>
      </c>
    </row>
    <row r="85" spans="1:26">
      <c r="A85" s="23" t="s">
        <v>645</v>
      </c>
    </row>
    <row customHeight="1" ht="30" r="86" spans="1:26">
      <c r="A86" s="23" t="s">
        <v>646</v>
      </c>
    </row>
    <row customHeight="1" ht="30" r="87" spans="1:26">
      <c r="A87" s="23" t="s">
        <v>642</v>
      </c>
    </row>
    <row customHeight="1" ht="30" r="88" spans="1:26">
      <c r="A88" s="23" t="s">
        <v>647</v>
      </c>
    </row>
    <row customHeight="1" ht="30" r="89" spans="1:26">
      <c r="A89" s="23" t="s">
        <v>648</v>
      </c>
    </row>
    <row customHeight="1" ht="30" r="90" spans="1:26">
      <c r="A90" s="23" t="s">
        <v>649</v>
      </c>
    </row>
    <row customHeight="1" ht="30" r="91" spans="1:26">
      <c r="A91" s="23" t="s">
        <v>650</v>
      </c>
    </row>
    <row customHeight="1" ht="30" r="92" spans="1:26">
      <c r="A92" s="23" t="s">
        <v>651</v>
      </c>
    </row>
    <row customHeight="1" ht="30" r="93" spans="1:26">
      <c r="A93" s="23" t="s">
        <v>652</v>
      </c>
    </row>
    <row customHeight="1" ht="30" r="94" spans="1:26">
      <c r="A94" s="23" t="s">
        <v>653</v>
      </c>
    </row>
    <row customHeight="1" ht="30" r="95" spans="1:26">
      <c r="A95" s="23" t="s">
        <v>654</v>
      </c>
    </row>
    <row customHeight="1" ht="30" r="96" spans="1:26">
      <c r="A96" s="23" t="s">
        <v>655</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(6550.0/B7*100)</f>
        <v/>
      </c>
      <c r="D7" s="19" t="n">
        <v>817</v>
      </c>
      <c r="E7" s="18" t="n">
        <v>44.17751033</v>
      </c>
      <c r="F7" s="20" t="n">
        <v>1.92621696</v>
      </c>
      <c r="G7" s="18" t="n">
        <v>54.87188733</v>
      </c>
      <c r="H7" s="20" t="n">
        <v>1.98943802</v>
      </c>
      <c r="I7" s="18" t="s">
        <v>567</v>
      </c>
      <c r="J7" s="20" t="s">
        <v>567</v>
      </c>
      <c r="K7" s="18" t="n">
        <v>0</v>
      </c>
      <c r="L7" s="20" t="n">
        <v>0</v>
      </c>
      <c r="M7" s="18" t="n">
        <v>0</v>
      </c>
      <c r="N7" s="20" t="n">
        <v>0</v>
      </c>
      <c r="O7" s="18" t="n">
        <v>0</v>
      </c>
      <c r="P7" s="20" t="n">
        <v>0</v>
      </c>
      <c r="Q7" s="18" t="n">
        <v>0.9506023300000001</v>
      </c>
      <c r="R7" s="20" t="n">
        <v>0.40101648</v>
      </c>
    </row>
    <row r="8" spans="1:18">
      <c r="A8" s="15" t="s">
        <v>568</v>
      </c>
      <c r="B8" s="17" t="n">
        <v>3564</v>
      </c>
      <c r="C8" s="18">
        <f>(3153.0/B8*100)</f>
        <v/>
      </c>
      <c r="D8" s="19" t="n">
        <v>411</v>
      </c>
      <c r="E8" s="18" t="n">
        <v>39.59947816</v>
      </c>
      <c r="F8" s="20" t="n">
        <v>2.89392297</v>
      </c>
      <c r="G8" s="18" t="n">
        <v>60.31181809</v>
      </c>
      <c r="H8" s="20" t="n">
        <v>2.89198332</v>
      </c>
      <c r="I8" s="18" t="s">
        <v>567</v>
      </c>
      <c r="J8" s="20" t="s">
        <v>567</v>
      </c>
      <c r="K8" s="18" t="n">
        <v>0</v>
      </c>
      <c r="L8" s="20" t="n">
        <v>0</v>
      </c>
      <c r="M8" s="18" t="n">
        <v>0</v>
      </c>
      <c r="N8" s="20" t="n">
        <v>0</v>
      </c>
      <c r="O8" s="18" t="n">
        <v>0</v>
      </c>
      <c r="P8" s="20" t="n">
        <v>0</v>
      </c>
      <c r="Q8" s="18" t="n">
        <v>0.08870375</v>
      </c>
      <c r="R8" s="20" t="n">
        <v>0.09245469000000001</v>
      </c>
    </row>
    <row r="9" spans="1:18">
      <c r="A9" s="15" t="s">
        <v>569</v>
      </c>
      <c r="B9" s="17" t="n">
        <v>4899</v>
      </c>
      <c r="C9" s="18">
        <f>(4258.0/B9*100)</f>
        <v/>
      </c>
      <c r="D9" s="19" t="n">
        <v>641</v>
      </c>
      <c r="E9" s="18" t="n">
        <v>45.40777283</v>
      </c>
      <c r="F9" s="20" t="n">
        <v>2.17125581</v>
      </c>
      <c r="G9" s="18" t="n">
        <v>53.78519955</v>
      </c>
      <c r="H9" s="20" t="n">
        <v>2.20611482</v>
      </c>
      <c r="I9" s="18" t="s">
        <v>567</v>
      </c>
      <c r="J9" s="20" t="s">
        <v>567</v>
      </c>
      <c r="K9" s="18" t="n">
        <v>0.19373236</v>
      </c>
      <c r="L9" s="20" t="n">
        <v>0.17858851</v>
      </c>
      <c r="M9" s="18" t="n">
        <v>0</v>
      </c>
      <c r="N9" s="20" t="n">
        <v>0</v>
      </c>
      <c r="O9" s="18" t="n">
        <v>0</v>
      </c>
      <c r="P9" s="20" t="n">
        <v>0</v>
      </c>
      <c r="Q9" s="18" t="n">
        <v>0.61329526</v>
      </c>
      <c r="R9" s="20" t="n">
        <v>0.27053296</v>
      </c>
    </row>
    <row r="10" spans="1:18">
      <c r="A10" s="15" t="s">
        <v>570</v>
      </c>
      <c r="B10" s="17" t="n">
        <v>10036</v>
      </c>
      <c r="C10" s="18">
        <f>(8962.0/B10*100)</f>
        <v/>
      </c>
      <c r="D10" s="19" t="n">
        <v>1074</v>
      </c>
      <c r="E10" s="18" t="n">
        <v>42.12902877</v>
      </c>
      <c r="F10" s="20" t="n">
        <v>2.54304073</v>
      </c>
      <c r="G10" s="18" t="n">
        <v>56.76102444</v>
      </c>
      <c r="H10" s="20" t="n">
        <v>2.52888392</v>
      </c>
      <c r="I10" s="18" t="s">
        <v>567</v>
      </c>
      <c r="J10" s="20" t="s">
        <v>567</v>
      </c>
      <c r="K10" s="18" t="n">
        <v>0.02142623</v>
      </c>
      <c r="L10" s="20" t="n">
        <v>0.02125913</v>
      </c>
      <c r="M10" s="18" t="n">
        <v>0</v>
      </c>
      <c r="N10" s="20" t="n">
        <v>0</v>
      </c>
      <c r="O10" s="18" t="n">
        <v>0</v>
      </c>
      <c r="P10" s="20" t="n">
        <v>0</v>
      </c>
      <c r="Q10" s="18" t="n">
        <v>1.08852056</v>
      </c>
      <c r="R10" s="20" t="n">
        <v>0.45035885</v>
      </c>
    </row>
    <row r="11" spans="1:18">
      <c r="A11" s="15" t="s">
        <v>571</v>
      </c>
      <c r="B11" s="17" t="n">
        <v>3553</v>
      </c>
      <c r="C11" s="18">
        <f>(3158.0/B11*100)</f>
        <v/>
      </c>
      <c r="D11" s="19" t="n">
        <v>395</v>
      </c>
      <c r="E11" s="18" t="n">
        <v>47.16594063</v>
      </c>
      <c r="F11" s="20" t="n">
        <v>3.02548128</v>
      </c>
      <c r="G11" s="18" t="n">
        <v>52.31259015</v>
      </c>
      <c r="H11" s="20" t="n">
        <v>3.0654067</v>
      </c>
      <c r="I11" s="18" t="s">
        <v>567</v>
      </c>
      <c r="J11" s="20" t="s">
        <v>567</v>
      </c>
      <c r="K11" s="18" t="n">
        <v>0</v>
      </c>
      <c r="L11" s="20" t="n">
        <v>0</v>
      </c>
      <c r="M11" s="18" t="n">
        <v>0</v>
      </c>
      <c r="N11" s="20" t="n">
        <v>0</v>
      </c>
      <c r="O11" s="18" t="n">
        <v>0</v>
      </c>
      <c r="P11" s="20" t="n">
        <v>0</v>
      </c>
      <c r="Q11" s="18" t="n">
        <v>0.52146922</v>
      </c>
      <c r="R11" s="20" t="n">
        <v>0.51083956</v>
      </c>
    </row>
    <row r="12" spans="1:18">
      <c r="A12" s="15" t="s">
        <v>572</v>
      </c>
      <c r="B12" s="17" t="n">
        <v>3472</v>
      </c>
      <c r="C12" s="18">
        <f>(3052.0/B12*100)</f>
        <v/>
      </c>
      <c r="D12" s="19" t="n">
        <v>420</v>
      </c>
      <c r="E12" s="18" t="n">
        <v>38.0134238</v>
      </c>
      <c r="F12" s="20" t="n">
        <v>4.49689004</v>
      </c>
      <c r="G12" s="18" t="n">
        <v>61.25701831</v>
      </c>
      <c r="H12" s="20" t="n">
        <v>4.70279457</v>
      </c>
      <c r="I12" s="18" t="s">
        <v>567</v>
      </c>
      <c r="J12" s="20" t="s">
        <v>567</v>
      </c>
      <c r="K12" s="18" t="n">
        <v>0.4317377</v>
      </c>
      <c r="L12" s="20" t="n">
        <v>0.47869881</v>
      </c>
      <c r="M12" s="18" t="n">
        <v>0</v>
      </c>
      <c r="N12" s="20" t="n">
        <v>0</v>
      </c>
      <c r="O12" s="18" t="n">
        <v>0</v>
      </c>
      <c r="P12" s="20" t="n">
        <v>0</v>
      </c>
      <c r="Q12" s="18" t="n">
        <v>0.29782019</v>
      </c>
      <c r="R12" s="20" t="n">
        <v>0.22284236</v>
      </c>
    </row>
    <row r="13" spans="1:18">
      <c r="A13" s="15" t="s">
        <v>573</v>
      </c>
      <c r="B13" s="17" t="n">
        <v>3559</v>
      </c>
      <c r="C13" s="18">
        <f>(2995.0/B13*100)</f>
        <v/>
      </c>
      <c r="D13" s="19" t="n">
        <v>564</v>
      </c>
      <c r="E13" s="18" t="n">
        <v>46.97238341</v>
      </c>
      <c r="F13" s="20" t="n">
        <v>2.21311059</v>
      </c>
      <c r="G13" s="18" t="n">
        <v>52.80446993</v>
      </c>
      <c r="H13" s="20" t="n">
        <v>2.21165683</v>
      </c>
      <c r="I13" s="18" t="s">
        <v>567</v>
      </c>
      <c r="J13" s="20" t="s">
        <v>567</v>
      </c>
      <c r="K13" s="18" t="n">
        <v>0.22314667</v>
      </c>
      <c r="L13" s="20" t="n">
        <v>0.16038914</v>
      </c>
      <c r="M13" s="18" t="n">
        <v>0</v>
      </c>
      <c r="N13" s="20" t="n">
        <v>0</v>
      </c>
      <c r="O13" s="18" t="n">
        <v>0</v>
      </c>
      <c r="P13" s="20" t="n">
        <v>0</v>
      </c>
      <c r="Q13" s="18" t="n">
        <v>0</v>
      </c>
      <c r="R13" s="20" t="n">
        <v>0</v>
      </c>
    </row>
    <row r="14" spans="1:18">
      <c r="A14" s="15" t="s">
        <v>574</v>
      </c>
      <c r="B14" s="17" t="n">
        <v>2799</v>
      </c>
      <c r="C14" s="18">
        <f>(2509.0/B14*100)</f>
        <v/>
      </c>
      <c r="D14" s="19" t="n">
        <v>290</v>
      </c>
      <c r="E14" s="18" t="n">
        <v>30.10673058</v>
      </c>
      <c r="F14" s="20" t="n">
        <v>3.24982917</v>
      </c>
      <c r="G14" s="18" t="n">
        <v>69.49130452</v>
      </c>
      <c r="H14" s="20" t="n">
        <v>3.20138899</v>
      </c>
      <c r="I14" s="18" t="s">
        <v>567</v>
      </c>
      <c r="J14" s="20" t="s">
        <v>567</v>
      </c>
      <c r="K14" s="18" t="n">
        <v>0</v>
      </c>
      <c r="L14" s="20" t="n">
        <v>0</v>
      </c>
      <c r="M14" s="18" t="n">
        <v>0</v>
      </c>
      <c r="N14" s="20" t="n">
        <v>0</v>
      </c>
      <c r="O14" s="18" t="n">
        <v>0</v>
      </c>
      <c r="P14" s="20" t="n">
        <v>0</v>
      </c>
      <c r="Q14" s="18" t="n">
        <v>0.4019649</v>
      </c>
      <c r="R14" s="20" t="n">
        <v>0.406304</v>
      </c>
    </row>
    <row r="15" spans="1:18">
      <c r="A15" s="15" t="s">
        <v>575</v>
      </c>
      <c r="B15" s="17" t="n">
        <v>3019</v>
      </c>
      <c r="C15" s="18">
        <f>(2645.0/B15*100)</f>
        <v/>
      </c>
      <c r="D15" s="19" t="n">
        <v>374</v>
      </c>
      <c r="E15" s="18" t="n">
        <v>54.22282883</v>
      </c>
      <c r="F15" s="20" t="n">
        <v>2.17031515</v>
      </c>
      <c r="G15" s="18" t="n">
        <v>45.38050889</v>
      </c>
      <c r="H15" s="20" t="n">
        <v>2.2118346</v>
      </c>
      <c r="I15" s="18" t="s">
        <v>567</v>
      </c>
      <c r="J15" s="20" t="s">
        <v>567</v>
      </c>
      <c r="K15" s="18" t="n">
        <v>0</v>
      </c>
      <c r="L15" s="20" t="n">
        <v>0</v>
      </c>
      <c r="M15" s="18" t="n">
        <v>0</v>
      </c>
      <c r="N15" s="20" t="n">
        <v>0</v>
      </c>
      <c r="O15" s="18" t="n">
        <v>0</v>
      </c>
      <c r="P15" s="20" t="n">
        <v>0</v>
      </c>
      <c r="Q15" s="18" t="n">
        <v>0.39666229</v>
      </c>
      <c r="R15" s="20" t="n">
        <v>0.29220506</v>
      </c>
    </row>
    <row r="16" spans="1:18">
      <c r="A16" s="15" t="s">
        <v>576</v>
      </c>
      <c r="B16" s="17" t="n">
        <v>2997</v>
      </c>
      <c r="C16" s="18">
        <f>(2660.0/B16*100)</f>
        <v/>
      </c>
      <c r="D16" s="19" t="n">
        <v>337</v>
      </c>
      <c r="E16" s="18" t="n">
        <v>46.3838419</v>
      </c>
      <c r="F16" s="20" t="n">
        <v>2.68752979</v>
      </c>
      <c r="G16" s="18" t="n">
        <v>50.98531587</v>
      </c>
      <c r="H16" s="20" t="n">
        <v>2.72427368</v>
      </c>
      <c r="I16" s="18" t="s">
        <v>567</v>
      </c>
      <c r="J16" s="20" t="s">
        <v>567</v>
      </c>
      <c r="K16" s="18" t="n">
        <v>0</v>
      </c>
      <c r="L16" s="20" t="n">
        <v>0</v>
      </c>
      <c r="M16" s="18" t="n">
        <v>0</v>
      </c>
      <c r="N16" s="20" t="n">
        <v>0</v>
      </c>
      <c r="O16" s="18" t="n">
        <v>0</v>
      </c>
      <c r="P16" s="20" t="n">
        <v>0</v>
      </c>
      <c r="Q16" s="18" t="n">
        <v>2.63084223</v>
      </c>
      <c r="R16" s="20" t="n">
        <v>1.20814371</v>
      </c>
    </row>
    <row r="17" spans="1:18">
      <c r="A17" s="15" t="s">
        <v>577</v>
      </c>
      <c r="B17" s="17" t="n">
        <v>3307</v>
      </c>
      <c r="C17" s="18">
        <f>(2894.0/B17*100)</f>
        <v/>
      </c>
      <c r="D17" s="19" t="n">
        <v>413</v>
      </c>
      <c r="E17" s="18" t="n">
        <v>41.34872912</v>
      </c>
      <c r="F17" s="20" t="n">
        <v>2.14301003</v>
      </c>
      <c r="G17" s="18" t="n">
        <v>55.40435341</v>
      </c>
      <c r="H17" s="20" t="n">
        <v>2.39368544</v>
      </c>
      <c r="I17" s="18" t="s">
        <v>567</v>
      </c>
      <c r="J17" s="20" t="s">
        <v>567</v>
      </c>
      <c r="K17" s="18" t="n">
        <v>0.55582814</v>
      </c>
      <c r="L17" s="20" t="n">
        <v>0.37506977</v>
      </c>
      <c r="M17" s="18" t="n">
        <v>0</v>
      </c>
      <c r="N17" s="20" t="n">
        <v>0</v>
      </c>
      <c r="O17" s="18" t="n">
        <v>0</v>
      </c>
      <c r="P17" s="20" t="n">
        <v>0</v>
      </c>
      <c r="Q17" s="18" t="n">
        <v>2.69108933</v>
      </c>
      <c r="R17" s="20" t="n">
        <v>0.96684947</v>
      </c>
    </row>
    <row r="18" spans="1:18">
      <c r="A18" s="15" t="s">
        <v>578</v>
      </c>
      <c r="B18" s="17" t="n">
        <v>2826</v>
      </c>
      <c r="C18" s="18">
        <f>(2501.0/B18*100)</f>
        <v/>
      </c>
      <c r="D18" s="19" t="n">
        <v>325</v>
      </c>
      <c r="E18" s="18" t="n">
        <v>38.26236252</v>
      </c>
      <c r="F18" s="20" t="n">
        <v>3.62207965</v>
      </c>
      <c r="G18" s="18" t="n">
        <v>59.51093683</v>
      </c>
      <c r="H18" s="20" t="n">
        <v>3.44925259</v>
      </c>
      <c r="I18" s="18" t="s">
        <v>567</v>
      </c>
      <c r="J18" s="20" t="s">
        <v>567</v>
      </c>
      <c r="K18" s="18" t="n">
        <v>0.35210808</v>
      </c>
      <c r="L18" s="20" t="n">
        <v>0.34887791</v>
      </c>
      <c r="M18" s="18" t="n">
        <v>0</v>
      </c>
      <c r="N18" s="20" t="n">
        <v>0</v>
      </c>
      <c r="O18" s="18" t="n">
        <v>0</v>
      </c>
      <c r="P18" s="20" t="n">
        <v>0</v>
      </c>
      <c r="Q18" s="18" t="n">
        <v>1.87459257</v>
      </c>
      <c r="R18" s="20" t="n">
        <v>0.67610682</v>
      </c>
    </row>
    <row r="19" spans="1:18">
      <c r="A19" s="15" t="s">
        <v>579</v>
      </c>
      <c r="B19" s="17" t="n">
        <v>2808</v>
      </c>
      <c r="C19" s="18">
        <f>(2481.0/B19*100)</f>
        <v/>
      </c>
      <c r="D19" s="19" t="n">
        <v>327</v>
      </c>
      <c r="E19" s="18" t="n">
        <v>34.63722803</v>
      </c>
      <c r="F19" s="20" t="n">
        <v>2.60576415</v>
      </c>
      <c r="G19" s="18" t="n">
        <v>64.11304930999999</v>
      </c>
      <c r="H19" s="20" t="n">
        <v>2.64090268</v>
      </c>
      <c r="I19" s="18" t="s">
        <v>567</v>
      </c>
      <c r="J19" s="20" t="s">
        <v>567</v>
      </c>
      <c r="K19" s="18" t="n">
        <v>0</v>
      </c>
      <c r="L19" s="20" t="n">
        <v>0</v>
      </c>
      <c r="M19" s="18" t="n">
        <v>0</v>
      </c>
      <c r="N19" s="20" t="n">
        <v>0</v>
      </c>
      <c r="O19" s="18" t="n">
        <v>0</v>
      </c>
      <c r="P19" s="20" t="n">
        <v>0</v>
      </c>
      <c r="Q19" s="18" t="n">
        <v>1.24972266</v>
      </c>
      <c r="R19" s="20" t="n">
        <v>0.75561672</v>
      </c>
    </row>
    <row r="20" spans="1:18">
      <c r="A20" s="15" t="s">
        <v>580</v>
      </c>
      <c r="B20" s="17" t="n">
        <v>1630</v>
      </c>
      <c r="C20" s="18">
        <f>(1468.0/B20*100)</f>
        <v/>
      </c>
      <c r="D20" s="19" t="n">
        <v>162</v>
      </c>
      <c r="E20" s="18" t="n">
        <v>47.13145253</v>
      </c>
      <c r="F20" s="20" t="n">
        <v>3.88815645</v>
      </c>
      <c r="G20" s="18" t="n">
        <v>51.63202647</v>
      </c>
      <c r="H20" s="20" t="n">
        <v>3.88326265</v>
      </c>
      <c r="I20" s="18" t="s">
        <v>567</v>
      </c>
      <c r="J20" s="20" t="s">
        <v>567</v>
      </c>
      <c r="K20" s="18" t="n">
        <v>0</v>
      </c>
      <c r="L20" s="20" t="n">
        <v>0</v>
      </c>
      <c r="M20" s="18" t="n">
        <v>0</v>
      </c>
      <c r="N20" s="20" t="n">
        <v>0</v>
      </c>
      <c r="O20" s="18" t="n">
        <v>0</v>
      </c>
      <c r="P20" s="20" t="n">
        <v>0</v>
      </c>
      <c r="Q20" s="18" t="n">
        <v>1.236521</v>
      </c>
      <c r="R20" s="20" t="n">
        <v>0.89428663</v>
      </c>
    </row>
    <row r="21" spans="1:18">
      <c r="A21" s="15" t="s">
        <v>581</v>
      </c>
      <c r="B21" s="17" t="n">
        <v>2908</v>
      </c>
      <c r="C21" s="18">
        <f>(2596.0/B21*100)</f>
        <v/>
      </c>
      <c r="D21" s="19" t="n">
        <v>312</v>
      </c>
      <c r="E21" s="18" t="n">
        <v>45.64893687</v>
      </c>
      <c r="F21" s="20" t="n">
        <v>3.10937939</v>
      </c>
      <c r="G21" s="18" t="n">
        <v>54.01309614</v>
      </c>
      <c r="H21" s="20" t="n">
        <v>3.11297003</v>
      </c>
      <c r="I21" s="18" t="s">
        <v>567</v>
      </c>
      <c r="J21" s="20" t="s">
        <v>567</v>
      </c>
      <c r="K21" s="18" t="n">
        <v>0</v>
      </c>
      <c r="L21" s="20" t="n">
        <v>0</v>
      </c>
      <c r="M21" s="18" t="n">
        <v>0</v>
      </c>
      <c r="N21" s="20" t="n">
        <v>0</v>
      </c>
      <c r="O21" s="18" t="n">
        <v>0</v>
      </c>
      <c r="P21" s="20" t="n">
        <v>0</v>
      </c>
      <c r="Q21" s="18" t="n">
        <v>0.33796699</v>
      </c>
      <c r="R21" s="20" t="n">
        <v>0.38077093</v>
      </c>
    </row>
    <row r="22" spans="1:18">
      <c r="A22" s="15" t="s">
        <v>582</v>
      </c>
      <c r="B22" s="17" t="n">
        <v>2931</v>
      </c>
      <c r="C22" s="18">
        <f>(2603.0/B22*100)</f>
        <v/>
      </c>
      <c r="D22" s="19" t="n">
        <v>328</v>
      </c>
      <c r="E22" s="18" t="n">
        <v>41.78316721</v>
      </c>
      <c r="F22" s="20" t="n">
        <v>3.63467743</v>
      </c>
      <c r="G22" s="18" t="n">
        <v>56.23968713</v>
      </c>
      <c r="H22" s="20" t="n">
        <v>3.61869249</v>
      </c>
      <c r="I22" s="18" t="s">
        <v>567</v>
      </c>
      <c r="J22" s="20" t="s">
        <v>567</v>
      </c>
      <c r="K22" s="18" t="n">
        <v>0.81274004</v>
      </c>
      <c r="L22" s="20" t="n">
        <v>0.40407557</v>
      </c>
      <c r="M22" s="18" t="n">
        <v>0</v>
      </c>
      <c r="N22" s="20" t="n">
        <v>0</v>
      </c>
      <c r="O22" s="18" t="n">
        <v>0</v>
      </c>
      <c r="P22" s="20" t="n">
        <v>0</v>
      </c>
      <c r="Q22" s="18" t="n">
        <v>1.16440562</v>
      </c>
      <c r="R22" s="20" t="n">
        <v>0.59163361</v>
      </c>
    </row>
    <row r="23" spans="1:18">
      <c r="A23" s="15" t="s">
        <v>583</v>
      </c>
      <c r="B23" s="17" t="n">
        <v>5791</v>
      </c>
      <c r="C23" s="18">
        <f>(5123.0/B23*100)</f>
        <v/>
      </c>
      <c r="D23" s="19" t="n">
        <v>668</v>
      </c>
      <c r="E23" s="18" t="n">
        <v>28.79414159</v>
      </c>
      <c r="F23" s="20" t="n">
        <v>2.49320772</v>
      </c>
      <c r="G23" s="18" t="n">
        <v>70.11476242000001</v>
      </c>
      <c r="H23" s="20" t="n">
        <v>2.70084349</v>
      </c>
      <c r="I23" s="18" t="s">
        <v>567</v>
      </c>
      <c r="J23" s="20" t="s">
        <v>567</v>
      </c>
      <c r="K23" s="18" t="n">
        <v>0.47914009</v>
      </c>
      <c r="L23" s="20" t="n">
        <v>0.55237232</v>
      </c>
      <c r="M23" s="18" t="n">
        <v>0</v>
      </c>
      <c r="N23" s="20" t="n">
        <v>0</v>
      </c>
      <c r="O23" s="18" t="n">
        <v>0</v>
      </c>
      <c r="P23" s="20" t="n">
        <v>0</v>
      </c>
      <c r="Q23" s="18" t="n">
        <v>0.61195591</v>
      </c>
      <c r="R23" s="20" t="n">
        <v>0.418994</v>
      </c>
    </row>
    <row r="24" spans="1:18">
      <c r="A24" s="15" t="s">
        <v>584</v>
      </c>
      <c r="B24" s="17" t="n">
        <v>3338</v>
      </c>
      <c r="C24" s="18">
        <f>(2970.0/B24*100)</f>
        <v/>
      </c>
      <c r="D24" s="19" t="n">
        <v>368</v>
      </c>
      <c r="E24" s="18" t="n">
        <v>26.83142244</v>
      </c>
      <c r="F24" s="20" t="n">
        <v>2.18250084</v>
      </c>
      <c r="G24" s="18" t="n">
        <v>72.93131088</v>
      </c>
      <c r="H24" s="20" t="n">
        <v>2.13936785</v>
      </c>
      <c r="I24" s="18" t="s">
        <v>567</v>
      </c>
      <c r="J24" s="20" t="s">
        <v>567</v>
      </c>
      <c r="K24" s="18" t="n">
        <v>0.23726668</v>
      </c>
      <c r="L24" s="20" t="n">
        <v>0.23737062</v>
      </c>
      <c r="M24" s="18" t="n">
        <v>0</v>
      </c>
      <c r="N24" s="20" t="n">
        <v>0</v>
      </c>
      <c r="O24" s="18" t="n">
        <v>0</v>
      </c>
      <c r="P24" s="20" t="n">
        <v>0</v>
      </c>
      <c r="Q24" s="18" t="n">
        <v>0</v>
      </c>
      <c r="R24" s="20" t="n">
        <v>0</v>
      </c>
    </row>
    <row r="25" spans="1:18">
      <c r="A25" s="15" t="s">
        <v>585</v>
      </c>
      <c r="B25" s="17" t="n">
        <v>2912</v>
      </c>
      <c r="C25" s="18">
        <f>(2561.0/B25*100)</f>
        <v/>
      </c>
      <c r="D25" s="19" t="n">
        <v>351</v>
      </c>
      <c r="E25" s="18" t="n">
        <v>32.99693146</v>
      </c>
      <c r="F25" s="20" t="n">
        <v>2.34119871</v>
      </c>
      <c r="G25" s="18" t="n">
        <v>65.30654579</v>
      </c>
      <c r="H25" s="20" t="n">
        <v>2.44585132</v>
      </c>
      <c r="I25" s="18" t="s">
        <v>567</v>
      </c>
      <c r="J25" s="20" t="s">
        <v>567</v>
      </c>
      <c r="K25" s="18" t="n">
        <v>1.69652275</v>
      </c>
      <c r="L25" s="20" t="n">
        <v>0.6732216</v>
      </c>
      <c r="M25" s="18" t="n">
        <v>0</v>
      </c>
      <c r="N25" s="20" t="n">
        <v>0</v>
      </c>
      <c r="O25" s="18" t="n">
        <v>0</v>
      </c>
      <c r="P25" s="20" t="n">
        <v>0</v>
      </c>
      <c r="Q25" s="18" t="n">
        <v>0</v>
      </c>
      <c r="R25" s="20" t="n">
        <v>0</v>
      </c>
    </row>
    <row r="26" spans="1:18">
      <c r="A26" s="15" t="s">
        <v>586</v>
      </c>
      <c r="B26" s="17" t="n">
        <v>2450</v>
      </c>
      <c r="C26" s="18">
        <f>(2180.0/B26*100)</f>
        <v/>
      </c>
      <c r="D26" s="19" t="n">
        <v>270</v>
      </c>
      <c r="E26" s="18" t="n">
        <v>43.21935071</v>
      </c>
      <c r="F26" s="20" t="n">
        <v>3.50891059</v>
      </c>
      <c r="G26" s="18" t="n">
        <v>55.13855933</v>
      </c>
      <c r="H26" s="20" t="n">
        <v>3.54361224</v>
      </c>
      <c r="I26" s="18" t="s">
        <v>567</v>
      </c>
      <c r="J26" s="20" t="s">
        <v>567</v>
      </c>
      <c r="K26" s="18" t="n">
        <v>0</v>
      </c>
      <c r="L26" s="20" t="n">
        <v>0</v>
      </c>
      <c r="M26" s="18" t="n">
        <v>0</v>
      </c>
      <c r="N26" s="20" t="n">
        <v>0</v>
      </c>
      <c r="O26" s="18" t="n">
        <v>0</v>
      </c>
      <c r="P26" s="20" t="n">
        <v>0</v>
      </c>
      <c r="Q26" s="18" t="n">
        <v>1.64208997</v>
      </c>
      <c r="R26" s="20" t="n">
        <v>0.32546328</v>
      </c>
    </row>
    <row r="27" spans="1:18">
      <c r="A27" s="15" t="s">
        <v>587</v>
      </c>
      <c r="B27" s="17" t="n">
        <v>2616</v>
      </c>
      <c r="C27" s="18">
        <f>(2346.0/B27*100)</f>
        <v/>
      </c>
      <c r="D27" s="19" t="n">
        <v>270</v>
      </c>
      <c r="E27" s="18" t="n">
        <v>40.77284367</v>
      </c>
      <c r="F27" s="20" t="n">
        <v>3.01282958</v>
      </c>
      <c r="G27" s="18" t="n">
        <v>59.22715633</v>
      </c>
      <c r="H27" s="20" t="n">
        <v>3.01282958</v>
      </c>
      <c r="I27" s="18" t="s">
        <v>567</v>
      </c>
      <c r="J27" s="20" t="s">
        <v>567</v>
      </c>
      <c r="K27" s="18" t="n">
        <v>0</v>
      </c>
      <c r="L27" s="20" t="n">
        <v>0</v>
      </c>
      <c r="M27" s="18" t="n">
        <v>0</v>
      </c>
      <c r="N27" s="20" t="n">
        <v>0</v>
      </c>
      <c r="O27" s="18" t="n">
        <v>0</v>
      </c>
      <c r="P27" s="20" t="n">
        <v>0</v>
      </c>
      <c r="Q27" s="18" t="n">
        <v>0</v>
      </c>
      <c r="R27" s="20" t="n">
        <v>0</v>
      </c>
    </row>
    <row r="28" spans="1:18">
      <c r="A28" s="15" t="s">
        <v>588</v>
      </c>
      <c r="B28" s="17" t="n">
        <v>3765</v>
      </c>
      <c r="C28" s="18">
        <f>(3330.0/B28*100)</f>
        <v/>
      </c>
      <c r="D28" s="19" t="n">
        <v>435</v>
      </c>
      <c r="E28" s="18" t="n">
        <v>58.38224752</v>
      </c>
      <c r="F28" s="20" t="n">
        <v>2.19674743</v>
      </c>
      <c r="G28" s="18" t="n">
        <v>40.71301218</v>
      </c>
      <c r="H28" s="20" t="n">
        <v>2.25649602</v>
      </c>
      <c r="I28" s="18" t="s">
        <v>567</v>
      </c>
      <c r="J28" s="20" t="s">
        <v>567</v>
      </c>
      <c r="K28" s="18" t="n">
        <v>0.70273208</v>
      </c>
      <c r="L28" s="20" t="n">
        <v>0.44414443</v>
      </c>
      <c r="M28" s="18" t="n">
        <v>0</v>
      </c>
      <c r="N28" s="20" t="n">
        <v>0</v>
      </c>
      <c r="O28" s="18" t="n">
        <v>0</v>
      </c>
      <c r="P28" s="20" t="n">
        <v>0</v>
      </c>
      <c r="Q28" s="18" t="n">
        <v>0.20200822</v>
      </c>
      <c r="R28" s="20" t="n">
        <v>0.20400398</v>
      </c>
    </row>
    <row r="29" spans="1:18">
      <c r="A29" s="15" t="s">
        <v>589</v>
      </c>
      <c r="B29" s="17" t="n">
        <v>2685</v>
      </c>
      <c r="C29" s="18">
        <f>(2298.0/B29*100)</f>
        <v/>
      </c>
      <c r="D29" s="19" t="n">
        <v>387</v>
      </c>
      <c r="E29" s="18" t="n">
        <v>43.89044211</v>
      </c>
      <c r="F29" s="20" t="n">
        <v>2.31225877</v>
      </c>
      <c r="G29" s="18" t="n">
        <v>54.86339895</v>
      </c>
      <c r="H29" s="20" t="n">
        <v>2.06404349</v>
      </c>
      <c r="I29" s="18" t="s">
        <v>567</v>
      </c>
      <c r="J29" s="20" t="s">
        <v>567</v>
      </c>
      <c r="K29" s="18" t="n">
        <v>0.7685676299999999</v>
      </c>
      <c r="L29" s="20" t="n">
        <v>0.41315331</v>
      </c>
      <c r="M29" s="18" t="n">
        <v>0</v>
      </c>
      <c r="N29" s="20" t="n">
        <v>0</v>
      </c>
      <c r="O29" s="18" t="n">
        <v>0</v>
      </c>
      <c r="P29" s="20" t="n">
        <v>0</v>
      </c>
      <c r="Q29" s="18" t="n">
        <v>0.47759131</v>
      </c>
      <c r="R29" s="20" t="n">
        <v>0.37232063</v>
      </c>
    </row>
    <row r="30" spans="1:18">
      <c r="A30" s="15" t="s">
        <v>590</v>
      </c>
      <c r="B30" s="17" t="n">
        <v>2263</v>
      </c>
      <c r="C30" s="18">
        <f>(2013.0/B30*100)</f>
        <v/>
      </c>
      <c r="D30" s="19" t="n">
        <v>250</v>
      </c>
      <c r="E30" s="18" t="n">
        <v>42.89478862</v>
      </c>
      <c r="F30" s="20" t="n">
        <v>3.54549874</v>
      </c>
      <c r="G30" s="18" t="n">
        <v>55.62734011</v>
      </c>
      <c r="H30" s="20" t="n">
        <v>3.46961217</v>
      </c>
      <c r="I30" s="18" t="s">
        <v>567</v>
      </c>
      <c r="J30" s="20" t="s">
        <v>567</v>
      </c>
      <c r="K30" s="18" t="n">
        <v>0.95013848</v>
      </c>
      <c r="L30" s="20" t="n">
        <v>0.62399984</v>
      </c>
      <c r="M30" s="18" t="n">
        <v>0</v>
      </c>
      <c r="N30" s="20" t="n">
        <v>0</v>
      </c>
      <c r="O30" s="18" t="n">
        <v>0</v>
      </c>
      <c r="P30" s="20" t="n">
        <v>0</v>
      </c>
      <c r="Q30" s="18" t="n">
        <v>0.52773278</v>
      </c>
      <c r="R30" s="20" t="n">
        <v>0.53519776</v>
      </c>
    </row>
    <row r="31" spans="1:18">
      <c r="A31" s="15" t="s">
        <v>591</v>
      </c>
      <c r="B31" s="17" t="n">
        <v>2750</v>
      </c>
      <c r="C31" s="18">
        <f>(2450.0/B31*100)</f>
        <v/>
      </c>
      <c r="D31" s="19" t="n">
        <v>300</v>
      </c>
      <c r="E31" s="18" t="n">
        <v>38.80944696</v>
      </c>
      <c r="F31" s="20" t="n">
        <v>2.4483475</v>
      </c>
      <c r="G31" s="18" t="n">
        <v>60.1314859</v>
      </c>
      <c r="H31" s="20" t="n">
        <v>2.39630995</v>
      </c>
      <c r="I31" s="18" t="s">
        <v>567</v>
      </c>
      <c r="J31" s="20" t="s">
        <v>567</v>
      </c>
      <c r="K31" s="18" t="n">
        <v>0.66361813</v>
      </c>
      <c r="L31" s="20" t="n">
        <v>0.48026272</v>
      </c>
      <c r="M31" s="18" t="n">
        <v>0</v>
      </c>
      <c r="N31" s="20" t="n">
        <v>0</v>
      </c>
      <c r="O31" s="18" t="n">
        <v>0</v>
      </c>
      <c r="P31" s="20" t="n">
        <v>0</v>
      </c>
      <c r="Q31" s="18" t="n">
        <v>0.39544901</v>
      </c>
      <c r="R31" s="20" t="n">
        <v>0.37265165</v>
      </c>
    </row>
    <row r="32" spans="1:18">
      <c r="A32" s="15" t="s">
        <v>592</v>
      </c>
      <c r="B32" s="17" t="n">
        <v>2269</v>
      </c>
      <c r="C32" s="18">
        <f>(2024.0/B32*100)</f>
        <v/>
      </c>
      <c r="D32" s="19" t="n">
        <v>245</v>
      </c>
      <c r="E32" s="18" t="n">
        <v>25.21620556</v>
      </c>
      <c r="F32" s="20" t="n">
        <v>3.10440146</v>
      </c>
      <c r="G32" s="18" t="n">
        <v>74.78379443999999</v>
      </c>
      <c r="H32" s="20" t="n">
        <v>3.10440146</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(3276.0/B33*100)</f>
        <v/>
      </c>
      <c r="D33" s="19" t="n">
        <v>398</v>
      </c>
      <c r="E33" s="18" t="n">
        <v>31.61896731</v>
      </c>
      <c r="F33" s="20" t="n">
        <v>2.96516731</v>
      </c>
      <c r="G33" s="18" t="n">
        <v>67.87827777</v>
      </c>
      <c r="H33" s="20" t="n">
        <v>3.01391011</v>
      </c>
      <c r="I33" s="18" t="s">
        <v>567</v>
      </c>
      <c r="J33" s="20" t="s">
        <v>567</v>
      </c>
      <c r="K33" s="18" t="n">
        <v>0.50275493</v>
      </c>
      <c r="L33" s="20" t="n">
        <v>0.59408414</v>
      </c>
      <c r="M33" s="18" t="n">
        <v>0</v>
      </c>
      <c r="N33" s="20" t="n">
        <v>0</v>
      </c>
      <c r="O33" s="18" t="n">
        <v>0</v>
      </c>
      <c r="P33" s="20" t="n">
        <v>0</v>
      </c>
      <c r="Q33" s="18" t="n">
        <v>0</v>
      </c>
      <c r="R33" s="20" t="n">
        <v>0</v>
      </c>
    </row>
    <row r="34" spans="1:18">
      <c r="A34" s="15" t="s">
        <v>594</v>
      </c>
      <c r="B34" s="17" t="n">
        <v>3315</v>
      </c>
      <c r="C34" s="18">
        <f>(2883.0/B34*100)</f>
        <v/>
      </c>
      <c r="D34" s="19" t="n">
        <v>432</v>
      </c>
      <c r="E34" s="18" t="n">
        <v>39.51804941</v>
      </c>
      <c r="F34" s="20" t="n">
        <v>2.91077834</v>
      </c>
      <c r="G34" s="18" t="n">
        <v>59.41133125</v>
      </c>
      <c r="H34" s="20" t="n">
        <v>2.98840723</v>
      </c>
      <c r="I34" s="18" t="s">
        <v>567</v>
      </c>
      <c r="J34" s="20" t="s">
        <v>567</v>
      </c>
      <c r="K34" s="18" t="n">
        <v>0</v>
      </c>
      <c r="L34" s="20" t="n">
        <v>0</v>
      </c>
      <c r="M34" s="18" t="n">
        <v>0</v>
      </c>
      <c r="N34" s="20" t="n">
        <v>0</v>
      </c>
      <c r="O34" s="18" t="n">
        <v>0</v>
      </c>
      <c r="P34" s="20" t="n">
        <v>0</v>
      </c>
      <c r="Q34" s="18" t="n">
        <v>1.07061934</v>
      </c>
      <c r="R34" s="20" t="n">
        <v>0.49545395</v>
      </c>
    </row>
    <row r="35" spans="1:18">
      <c r="A35" s="15" t="s">
        <v>595</v>
      </c>
      <c r="B35" s="17" t="n">
        <v>3505</v>
      </c>
      <c r="C35" s="18">
        <f>(3006.0/B35*100)</f>
        <v/>
      </c>
      <c r="D35" s="19" t="n">
        <v>499</v>
      </c>
      <c r="E35" s="18" t="n">
        <v>36.50334192</v>
      </c>
      <c r="F35" s="20" t="n">
        <v>2.17177463</v>
      </c>
      <c r="G35" s="18" t="n">
        <v>62.89509566</v>
      </c>
      <c r="H35" s="20" t="n">
        <v>2.22382957</v>
      </c>
      <c r="I35" s="18" t="s">
        <v>567</v>
      </c>
      <c r="J35" s="20" t="s">
        <v>567</v>
      </c>
      <c r="K35" s="18" t="n">
        <v>0</v>
      </c>
      <c r="L35" s="20" t="n">
        <v>0</v>
      </c>
      <c r="M35" s="18" t="n">
        <v>0</v>
      </c>
      <c r="N35" s="20" t="n">
        <v>0</v>
      </c>
      <c r="O35" s="18" t="n">
        <v>0</v>
      </c>
      <c r="P35" s="20" t="n">
        <v>0</v>
      </c>
      <c r="Q35" s="18" t="n">
        <v>0.60156242</v>
      </c>
      <c r="R35" s="20" t="n">
        <v>0.26600354</v>
      </c>
    </row>
    <row r="36" spans="1:18">
      <c r="A36" s="15" t="s">
        <v>596</v>
      </c>
      <c r="B36" s="17" t="n">
        <v>3332</v>
      </c>
      <c r="C36" s="18">
        <f>(2958.0/B36*100)</f>
        <v/>
      </c>
      <c r="D36" s="19" t="n">
        <v>374</v>
      </c>
      <c r="E36" s="18" t="n">
        <v>43.98085431</v>
      </c>
      <c r="F36" s="20" t="n">
        <v>2.47721357</v>
      </c>
      <c r="G36" s="18" t="n">
        <v>54.89765289</v>
      </c>
      <c r="H36" s="20" t="n">
        <v>2.50670494</v>
      </c>
      <c r="I36" s="18" t="s">
        <v>567</v>
      </c>
      <c r="J36" s="20" t="s">
        <v>567</v>
      </c>
      <c r="K36" s="18" t="n">
        <v>0.60495478</v>
      </c>
      <c r="L36" s="20" t="n">
        <v>0.37210692</v>
      </c>
      <c r="M36" s="18" t="n">
        <v>0</v>
      </c>
      <c r="N36" s="20" t="n">
        <v>0</v>
      </c>
      <c r="O36" s="18" t="n">
        <v>0</v>
      </c>
      <c r="P36" s="20" t="n">
        <v>0</v>
      </c>
      <c r="Q36" s="18" t="n">
        <v>0.51653802</v>
      </c>
      <c r="R36" s="20" t="n">
        <v>0.36395317</v>
      </c>
    </row>
    <row r="37" spans="1:18">
      <c r="A37" s="15" t="s">
        <v>597</v>
      </c>
      <c r="B37" s="17" t="n">
        <v>2727</v>
      </c>
      <c r="C37" s="18">
        <f>(2438.0/B37*100)</f>
        <v/>
      </c>
      <c r="D37" s="19" t="n">
        <v>289</v>
      </c>
      <c r="E37" s="18" t="n">
        <v>26.36209406</v>
      </c>
      <c r="F37" s="20" t="n">
        <v>2.48995602</v>
      </c>
      <c r="G37" s="18" t="n">
        <v>72.57818933</v>
      </c>
      <c r="H37" s="20" t="n">
        <v>2.48346933</v>
      </c>
      <c r="I37" s="18" t="s">
        <v>567</v>
      </c>
      <c r="J37" s="20" t="s">
        <v>567</v>
      </c>
      <c r="K37" s="18" t="n">
        <v>0.30557771</v>
      </c>
      <c r="L37" s="20" t="n">
        <v>0.30829213</v>
      </c>
      <c r="M37" s="18" t="n">
        <v>0</v>
      </c>
      <c r="N37" s="20" t="n">
        <v>0</v>
      </c>
      <c r="O37" s="18" t="n">
        <v>0</v>
      </c>
      <c r="P37" s="20" t="n">
        <v>0</v>
      </c>
      <c r="Q37" s="18" t="n">
        <v>0.75413889</v>
      </c>
      <c r="R37" s="20" t="n">
        <v>0.5261605499999999</v>
      </c>
    </row>
    <row r="38" spans="1:18">
      <c r="A38" s="15" t="s">
        <v>598</v>
      </c>
      <c r="B38" s="17" t="n">
        <v>3053</v>
      </c>
      <c r="C38" s="18">
        <f>(2709.0/B38*100)</f>
        <v/>
      </c>
      <c r="D38" s="19" t="n">
        <v>344</v>
      </c>
      <c r="E38" s="18" t="n">
        <v>32.48014216</v>
      </c>
      <c r="F38" s="20" t="n">
        <v>2.81546584</v>
      </c>
      <c r="G38" s="18" t="n">
        <v>66.30329299</v>
      </c>
      <c r="H38" s="20" t="n">
        <v>2.97889283</v>
      </c>
      <c r="I38" s="18" t="s">
        <v>567</v>
      </c>
      <c r="J38" s="20" t="s">
        <v>567</v>
      </c>
      <c r="K38" s="18" t="n">
        <v>0</v>
      </c>
      <c r="L38" s="20" t="n">
        <v>0</v>
      </c>
      <c r="M38" s="18" t="n">
        <v>0</v>
      </c>
      <c r="N38" s="20" t="n">
        <v>0</v>
      </c>
      <c r="O38" s="18" t="n">
        <v>0</v>
      </c>
      <c r="P38" s="20" t="n">
        <v>0</v>
      </c>
      <c r="Q38" s="18" t="n">
        <v>1.21656485</v>
      </c>
      <c r="R38" s="20" t="n">
        <v>0.69171302</v>
      </c>
    </row>
    <row r="39" spans="1:18">
      <c r="A39" s="15" t="s">
        <v>599</v>
      </c>
      <c r="B39" s="17" t="n">
        <v>2957</v>
      </c>
      <c r="C39" s="18">
        <f>(2640.0/B39*100)</f>
        <v/>
      </c>
      <c r="D39" s="19" t="n">
        <v>317</v>
      </c>
      <c r="E39" s="18" t="n">
        <v>35.66224076</v>
      </c>
      <c r="F39" s="20" t="n">
        <v>3.24744268</v>
      </c>
      <c r="G39" s="18" t="n">
        <v>63.19310009</v>
      </c>
      <c r="H39" s="20" t="n">
        <v>3.22321671</v>
      </c>
      <c r="I39" s="18" t="s">
        <v>567</v>
      </c>
      <c r="J39" s="20" t="s">
        <v>567</v>
      </c>
      <c r="K39" s="18" t="n">
        <v>0</v>
      </c>
      <c r="L39" s="20" t="n">
        <v>0</v>
      </c>
      <c r="M39" s="18" t="n">
        <v>0</v>
      </c>
      <c r="N39" s="20" t="n">
        <v>0</v>
      </c>
      <c r="O39" s="18" t="n">
        <v>0</v>
      </c>
      <c r="P39" s="20" t="n">
        <v>0</v>
      </c>
      <c r="Q39" s="18" t="n">
        <v>1.14465915</v>
      </c>
      <c r="R39" s="20" t="n">
        <v>0.72991069</v>
      </c>
    </row>
    <row r="40" spans="1:18">
      <c r="A40" s="15" t="s">
        <v>600</v>
      </c>
      <c r="B40" s="17" t="n">
        <v>7235</v>
      </c>
      <c r="C40" s="18">
        <f>(6424.0/B40*100)</f>
        <v/>
      </c>
      <c r="D40" s="19" t="n">
        <v>811</v>
      </c>
      <c r="E40" s="18" t="n">
        <v>43.32161927</v>
      </c>
      <c r="F40" s="20" t="n">
        <v>2.85288141</v>
      </c>
      <c r="G40" s="18" t="n">
        <v>54.83559139</v>
      </c>
      <c r="H40" s="20" t="n">
        <v>2.81465654</v>
      </c>
      <c r="I40" s="18" t="s">
        <v>567</v>
      </c>
      <c r="J40" s="20" t="s">
        <v>567</v>
      </c>
      <c r="K40" s="18" t="n">
        <v>0.54479385</v>
      </c>
      <c r="L40" s="20" t="n">
        <v>0.3423844</v>
      </c>
      <c r="M40" s="18" t="n">
        <v>0</v>
      </c>
      <c r="N40" s="20" t="n">
        <v>0</v>
      </c>
      <c r="O40" s="18" t="n">
        <v>0</v>
      </c>
      <c r="P40" s="20" t="n">
        <v>0</v>
      </c>
      <c r="Q40" s="18" t="n">
        <v>1.2979955</v>
      </c>
      <c r="R40" s="20" t="n">
        <v>0.42570911</v>
      </c>
    </row>
    <row r="41" spans="1:18">
      <c r="A41" s="15" t="s">
        <v>601</v>
      </c>
      <c r="B41" s="17" t="n">
        <v>2858</v>
      </c>
      <c r="C41" s="18">
        <f>(2523.0/B41*100)</f>
        <v/>
      </c>
      <c r="D41" s="19" t="n">
        <v>335</v>
      </c>
      <c r="E41" s="18" t="n">
        <v>52.35716799</v>
      </c>
      <c r="F41" s="20" t="n">
        <v>3.2365701</v>
      </c>
      <c r="G41" s="18" t="n">
        <v>46.85018385</v>
      </c>
      <c r="H41" s="20" t="n">
        <v>3.11012498</v>
      </c>
      <c r="I41" s="18" t="s">
        <v>567</v>
      </c>
      <c r="J41" s="20" t="s">
        <v>567</v>
      </c>
      <c r="K41" s="18" t="n">
        <v>0.40748123</v>
      </c>
      <c r="L41" s="20" t="n">
        <v>0.33063831</v>
      </c>
      <c r="M41" s="18" t="n">
        <v>0</v>
      </c>
      <c r="N41" s="20" t="n">
        <v>0</v>
      </c>
      <c r="O41" s="18" t="n">
        <v>0</v>
      </c>
      <c r="P41" s="20" t="n">
        <v>0</v>
      </c>
      <c r="Q41" s="18" t="n">
        <v>0.38516693</v>
      </c>
      <c r="R41" s="20" t="n">
        <v>0.38835646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(9990.0/B46*100)</f>
        <v/>
      </c>
      <c r="D46" s="19" t="n">
        <v>1078</v>
      </c>
      <c r="E46" s="18" t="n">
        <v>57.13639997</v>
      </c>
      <c r="F46" s="20" t="n">
        <v>1.99607929</v>
      </c>
      <c r="G46" s="18" t="n">
        <v>40.13638414</v>
      </c>
      <c r="H46" s="20" t="n">
        <v>2.01358284</v>
      </c>
      <c r="I46" s="18" t="s">
        <v>567</v>
      </c>
      <c r="J46" s="20" t="s">
        <v>567</v>
      </c>
      <c r="K46" s="18" t="n">
        <v>1.10314442</v>
      </c>
      <c r="L46" s="20" t="n">
        <v>0.42523751</v>
      </c>
      <c r="M46" s="18" t="n">
        <v>0</v>
      </c>
      <c r="N46" s="20" t="n">
        <v>0</v>
      </c>
      <c r="O46" s="18" t="n">
        <v>0</v>
      </c>
      <c r="P46" s="20" t="n">
        <v>0</v>
      </c>
      <c r="Q46" s="18" t="n">
        <v>1.62407147</v>
      </c>
      <c r="R46" s="20" t="n">
        <v>0.4422704</v>
      </c>
    </row>
    <row r="47" spans="1:18">
      <c r="A47" s="15" t="s">
        <v>607</v>
      </c>
      <c r="B47" s="17" t="n">
        <v>3105</v>
      </c>
      <c r="C47" s="18">
        <f>(2763.0/B47*100)</f>
        <v/>
      </c>
      <c r="D47" s="19" t="n">
        <v>342</v>
      </c>
      <c r="E47" s="18" t="n">
        <v>48.21098545</v>
      </c>
      <c r="F47" s="20" t="n">
        <v>2.83693301</v>
      </c>
      <c r="G47" s="18" t="n">
        <v>50.33241475</v>
      </c>
      <c r="H47" s="20" t="n">
        <v>2.97266198</v>
      </c>
      <c r="I47" s="18" t="s">
        <v>567</v>
      </c>
      <c r="J47" s="20" t="s">
        <v>567</v>
      </c>
      <c r="K47" s="18" t="n">
        <v>0</v>
      </c>
      <c r="L47" s="20" t="n">
        <v>0</v>
      </c>
      <c r="M47" s="18" t="n">
        <v>0</v>
      </c>
      <c r="N47" s="20" t="n">
        <v>0</v>
      </c>
      <c r="O47" s="18" t="n">
        <v>0</v>
      </c>
      <c r="P47" s="20" t="n">
        <v>0</v>
      </c>
      <c r="Q47" s="18" t="n">
        <v>1.4565998</v>
      </c>
      <c r="R47" s="20" t="n">
        <v>0.6611160699999999</v>
      </c>
    </row>
    <row r="48" spans="1:18">
      <c r="A48" s="15" t="s">
        <v>608</v>
      </c>
      <c r="B48" s="17" t="n">
        <v>5159</v>
      </c>
      <c r="C48" s="18">
        <f>(4597.0/B48*100)</f>
        <v/>
      </c>
      <c r="D48" s="19" t="n">
        <v>562</v>
      </c>
      <c r="E48" s="18" t="n">
        <v>40.25097217</v>
      </c>
      <c r="F48" s="20" t="n">
        <v>2.88177656</v>
      </c>
      <c r="G48" s="18" t="n">
        <v>59.41562599</v>
      </c>
      <c r="H48" s="20" t="n">
        <v>2.88245635</v>
      </c>
      <c r="I48" s="18" t="s">
        <v>567</v>
      </c>
      <c r="J48" s="20" t="s">
        <v>567</v>
      </c>
      <c r="K48" s="18" t="n">
        <v>0.33183465</v>
      </c>
      <c r="L48" s="20" t="n">
        <v>0.23723424</v>
      </c>
      <c r="M48" s="18" t="n">
        <v>0</v>
      </c>
      <c r="N48" s="20" t="n">
        <v>0</v>
      </c>
      <c r="O48" s="18" t="n">
        <v>0</v>
      </c>
      <c r="P48" s="20" t="n">
        <v>0</v>
      </c>
      <c r="Q48" s="18" t="n">
        <v>0.0015672</v>
      </c>
      <c r="R48" s="20" t="n">
        <v>0.00158771</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(5024.0/B50*100)</f>
        <v/>
      </c>
      <c r="D50" s="19" t="n">
        <v>613</v>
      </c>
      <c r="E50" s="18" t="n">
        <v>61.326289</v>
      </c>
      <c r="F50" s="20" t="n">
        <v>2.43222227</v>
      </c>
      <c r="G50" s="18" t="n">
        <v>36.23960619</v>
      </c>
      <c r="H50" s="20" t="n">
        <v>2.15930811</v>
      </c>
      <c r="I50" s="18" t="s">
        <v>567</v>
      </c>
      <c r="J50" s="20" t="s">
        <v>567</v>
      </c>
      <c r="K50" s="18" t="n">
        <v>2.17061379</v>
      </c>
      <c r="L50" s="20" t="n">
        <v>1.25216174</v>
      </c>
      <c r="M50" s="18" t="n">
        <v>0</v>
      </c>
      <c r="N50" s="20" t="n">
        <v>0</v>
      </c>
      <c r="O50" s="18" t="n">
        <v>0</v>
      </c>
      <c r="P50" s="20" t="n">
        <v>0</v>
      </c>
      <c r="Q50" s="18" t="n">
        <v>0.26349101</v>
      </c>
      <c r="R50" s="20" t="n">
        <v>0.233496</v>
      </c>
    </row>
    <row r="51" spans="1:18">
      <c r="A51" s="15" t="s">
        <v>611</v>
      </c>
      <c r="B51" s="17" t="n">
        <v>3372</v>
      </c>
      <c r="C51" s="18">
        <f>(2673.0/B51*100)</f>
        <v/>
      </c>
      <c r="D51" s="19" t="n">
        <v>699</v>
      </c>
      <c r="E51" s="18" t="n">
        <v>59.36397667</v>
      </c>
      <c r="F51" s="20" t="n">
        <v>2.19770933</v>
      </c>
      <c r="G51" s="18" t="n">
        <v>39.73788447</v>
      </c>
      <c r="H51" s="20" t="n">
        <v>2.18775717</v>
      </c>
      <c r="I51" s="18" t="s">
        <v>567</v>
      </c>
      <c r="J51" s="20" t="s">
        <v>567</v>
      </c>
      <c r="K51" s="18" t="n">
        <v>0.15577856</v>
      </c>
      <c r="L51" s="20" t="n">
        <v>0.15550612</v>
      </c>
      <c r="M51" s="18" t="n">
        <v>0</v>
      </c>
      <c r="N51" s="20" t="n">
        <v>0</v>
      </c>
      <c r="O51" s="18" t="n">
        <v>0</v>
      </c>
      <c r="P51" s="20" t="n">
        <v>0</v>
      </c>
      <c r="Q51" s="18" t="n">
        <v>0.7423603</v>
      </c>
      <c r="R51" s="20" t="n">
        <v>0.22318012</v>
      </c>
    </row>
    <row r="52" spans="1:18">
      <c r="A52" s="15" t="s">
        <v>612</v>
      </c>
      <c r="B52" s="17" t="n">
        <v>2796</v>
      </c>
      <c r="C52" s="18">
        <f>(2476.0/B52*100)</f>
        <v/>
      </c>
      <c r="D52" s="19" t="n">
        <v>320</v>
      </c>
      <c r="E52" s="18" t="n">
        <v>43.1895675</v>
      </c>
      <c r="F52" s="20" t="n">
        <v>2.52293065</v>
      </c>
      <c r="G52" s="18" t="n">
        <v>54.09667713</v>
      </c>
      <c r="H52" s="20" t="n">
        <v>2.32512849</v>
      </c>
      <c r="I52" s="18" t="s">
        <v>567</v>
      </c>
      <c r="J52" s="20" t="s">
        <v>567</v>
      </c>
      <c r="K52" s="18" t="n">
        <v>0.31878686</v>
      </c>
      <c r="L52" s="20" t="n">
        <v>0.31151008</v>
      </c>
      <c r="M52" s="18" t="n">
        <v>0</v>
      </c>
      <c r="N52" s="20" t="n">
        <v>0</v>
      </c>
      <c r="O52" s="18" t="n">
        <v>0</v>
      </c>
      <c r="P52" s="20" t="n">
        <v>0</v>
      </c>
      <c r="Q52" s="18" t="n">
        <v>2.39496851</v>
      </c>
      <c r="R52" s="20" t="n">
        <v>0.93830253</v>
      </c>
    </row>
    <row r="53" spans="1:18">
      <c r="A53" s="15" t="s">
        <v>613</v>
      </c>
      <c r="B53" s="17" t="n">
        <v>2811</v>
      </c>
      <c r="C53" s="18">
        <f>(2493.0/B53*100)</f>
        <v/>
      </c>
      <c r="D53" s="19" t="n">
        <v>318</v>
      </c>
      <c r="E53" s="18" t="n">
        <v>46.25559073</v>
      </c>
      <c r="F53" s="20" t="n">
        <v>3.05998485</v>
      </c>
      <c r="G53" s="18" t="n">
        <v>52.72059585</v>
      </c>
      <c r="H53" s="20" t="n">
        <v>3.01369099</v>
      </c>
      <c r="I53" s="18" t="s">
        <v>567</v>
      </c>
      <c r="J53" s="20" t="s">
        <v>567</v>
      </c>
      <c r="K53" s="18" t="n">
        <v>0.46977298</v>
      </c>
      <c r="L53" s="20" t="n">
        <v>0.3305375</v>
      </c>
      <c r="M53" s="18" t="n">
        <v>0</v>
      </c>
      <c r="N53" s="20" t="n">
        <v>0</v>
      </c>
      <c r="O53" s="18" t="n">
        <v>0</v>
      </c>
      <c r="P53" s="20" t="n">
        <v>0</v>
      </c>
      <c r="Q53" s="18" t="n">
        <v>0.55404044</v>
      </c>
      <c r="R53" s="20" t="n">
        <v>0.40506284</v>
      </c>
    </row>
    <row r="54" spans="1:18">
      <c r="A54" s="15" t="s">
        <v>614</v>
      </c>
      <c r="B54" s="17" t="n">
        <v>2266</v>
      </c>
      <c r="C54" s="18">
        <f>(2013.0/B54*100)</f>
        <v/>
      </c>
      <c r="D54" s="19" t="n">
        <v>253</v>
      </c>
      <c r="E54" s="18" t="n">
        <v>68.34694009</v>
      </c>
      <c r="F54" s="20" t="n">
        <v>3.09270783</v>
      </c>
      <c r="G54" s="18" t="n">
        <v>21.06848859</v>
      </c>
      <c r="H54" s="20" t="n">
        <v>2.26702488</v>
      </c>
      <c r="I54" s="18" t="s">
        <v>567</v>
      </c>
      <c r="J54" s="20" t="s">
        <v>567</v>
      </c>
      <c r="K54" s="18" t="n">
        <v>5.95547058</v>
      </c>
      <c r="L54" s="20" t="n">
        <v>1.36960339</v>
      </c>
      <c r="M54" s="18" t="n">
        <v>0</v>
      </c>
      <c r="N54" s="20" t="n">
        <v>0</v>
      </c>
      <c r="O54" s="18" t="n">
        <v>0</v>
      </c>
      <c r="P54" s="20" t="n">
        <v>0</v>
      </c>
      <c r="Q54" s="18" t="n">
        <v>4.62910074</v>
      </c>
      <c r="R54" s="20" t="n">
        <v>1.54145501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(2391.0/B56*100)</f>
        <v/>
      </c>
      <c r="D56" s="19" t="n">
        <v>293</v>
      </c>
      <c r="E56" s="18" t="n">
        <v>32.91523817</v>
      </c>
      <c r="F56" s="20" t="n">
        <v>2.89165153</v>
      </c>
      <c r="G56" s="18" t="n">
        <v>66.71562671</v>
      </c>
      <c r="H56" s="20" t="n">
        <v>2.90004765</v>
      </c>
      <c r="I56" s="18" t="s">
        <v>567</v>
      </c>
      <c r="J56" s="20" t="s">
        <v>567</v>
      </c>
      <c r="K56" s="18" t="n">
        <v>0</v>
      </c>
      <c r="L56" s="20" t="n">
        <v>0</v>
      </c>
      <c r="M56" s="18" t="n">
        <v>0</v>
      </c>
      <c r="N56" s="20" t="n">
        <v>0</v>
      </c>
      <c r="O56" s="18" t="n">
        <v>0</v>
      </c>
      <c r="P56" s="20" t="n">
        <v>0</v>
      </c>
      <c r="Q56" s="18" t="n">
        <v>0.36913511</v>
      </c>
      <c r="R56" s="20" t="n">
        <v>0.37420282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(2979.0/B61*100)</f>
        <v/>
      </c>
      <c r="D61" s="19" t="n">
        <v>345</v>
      </c>
      <c r="E61" s="18" t="n">
        <v>38.35729771</v>
      </c>
      <c r="F61" s="20" t="n">
        <v>3.02545228</v>
      </c>
      <c r="G61" s="18" t="n">
        <v>61.06471909</v>
      </c>
      <c r="H61" s="20" t="n">
        <v>3.08559586</v>
      </c>
      <c r="I61" s="18" t="s">
        <v>567</v>
      </c>
      <c r="J61" s="20" t="s">
        <v>567</v>
      </c>
      <c r="K61" s="18" t="n">
        <v>0</v>
      </c>
      <c r="L61" s="20" t="n">
        <v>0</v>
      </c>
      <c r="M61" s="18" t="n">
        <v>0</v>
      </c>
      <c r="N61" s="20" t="n">
        <v>0</v>
      </c>
      <c r="O61" s="18" t="n">
        <v>0</v>
      </c>
      <c r="P61" s="20" t="n">
        <v>0</v>
      </c>
      <c r="Q61" s="18" t="n">
        <v>0.57798319</v>
      </c>
      <c r="R61" s="20" t="n">
        <v>0.41413429</v>
      </c>
    </row>
    <row r="62" spans="1:18">
      <c r="A62" s="15" t="s">
        <v>622</v>
      </c>
      <c r="B62" s="17" t="n">
        <v>2246</v>
      </c>
      <c r="C62" s="18">
        <f>(1991.0/B62*100)</f>
        <v/>
      </c>
      <c r="D62" s="19" t="n">
        <v>255</v>
      </c>
      <c r="E62" s="18" t="n">
        <v>38.4697649</v>
      </c>
      <c r="F62" s="20" t="n">
        <v>2.98236609</v>
      </c>
      <c r="G62" s="18" t="n">
        <v>61.5302351</v>
      </c>
      <c r="H62" s="20" t="n">
        <v>2.98236609</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(2587.0/B66*100)</f>
        <v/>
      </c>
      <c r="D66" s="19" t="n">
        <v>307</v>
      </c>
      <c r="E66" s="18" t="n">
        <v>48.69913856</v>
      </c>
      <c r="F66" s="20" t="n">
        <v>2.84403019</v>
      </c>
      <c r="G66" s="18" t="n">
        <v>49.97809914</v>
      </c>
      <c r="H66" s="20" t="n">
        <v>2.84388276</v>
      </c>
      <c r="I66" s="18" t="s">
        <v>567</v>
      </c>
      <c r="J66" s="20" t="s">
        <v>567</v>
      </c>
      <c r="K66" s="18" t="n">
        <v>0</v>
      </c>
      <c r="L66" s="20" t="n">
        <v>0</v>
      </c>
      <c r="M66" s="18" t="n">
        <v>0</v>
      </c>
      <c r="N66" s="20" t="n">
        <v>0</v>
      </c>
      <c r="O66" s="18" t="n">
        <v>0</v>
      </c>
      <c r="P66" s="20" t="n">
        <v>0</v>
      </c>
      <c r="Q66" s="18" t="n">
        <v>1.3227623</v>
      </c>
      <c r="R66" s="20" t="n">
        <v>0.66183713</v>
      </c>
    </row>
    <row r="67" spans="1:18">
      <c r="A67" s="15" t="s">
        <v>627</v>
      </c>
      <c r="B67" s="17" t="n">
        <v>3511</v>
      </c>
      <c r="C67" s="18">
        <f>(3132.0/B67*100)</f>
        <v/>
      </c>
      <c r="D67" s="19" t="n">
        <v>379</v>
      </c>
      <c r="E67" s="18" t="n">
        <v>61.22630575</v>
      </c>
      <c r="F67" s="20" t="n">
        <v>2.58938</v>
      </c>
      <c r="G67" s="18" t="n">
        <v>37.62842341</v>
      </c>
      <c r="H67" s="20" t="n">
        <v>2.48936404</v>
      </c>
      <c r="I67" s="18" t="s">
        <v>567</v>
      </c>
      <c r="J67" s="20" t="s">
        <v>567</v>
      </c>
      <c r="K67" s="18" t="n">
        <v>0.19652286</v>
      </c>
      <c r="L67" s="20" t="n">
        <v>0.19628936</v>
      </c>
      <c r="M67" s="18" t="n">
        <v>0</v>
      </c>
      <c r="N67" s="20" t="n">
        <v>0</v>
      </c>
      <c r="O67" s="18" t="n">
        <v>0</v>
      </c>
      <c r="P67" s="20" t="n">
        <v>0</v>
      </c>
      <c r="Q67" s="18" t="n">
        <v>0.94874798</v>
      </c>
      <c r="R67" s="20" t="n">
        <v>0.59378214</v>
      </c>
    </row>
    <row r="68" spans="1:18">
      <c r="A68" s="15" t="s">
        <v>628</v>
      </c>
      <c r="B68" s="17" t="n">
        <v>6049</v>
      </c>
      <c r="C68" s="18">
        <f>(5383.0/B68*100)</f>
        <v/>
      </c>
      <c r="D68" s="19" t="n">
        <v>666</v>
      </c>
      <c r="E68" s="18" t="n">
        <v>61.16224445</v>
      </c>
      <c r="F68" s="20" t="n">
        <v>2.1077096</v>
      </c>
      <c r="G68" s="18" t="n">
        <v>34.91295565</v>
      </c>
      <c r="H68" s="20" t="n">
        <v>2.0227119</v>
      </c>
      <c r="I68" s="18" t="s">
        <v>567</v>
      </c>
      <c r="J68" s="20" t="s">
        <v>567</v>
      </c>
      <c r="K68" s="18" t="n">
        <v>1.63698959</v>
      </c>
      <c r="L68" s="20" t="n">
        <v>0.49564127</v>
      </c>
      <c r="M68" s="18" t="n">
        <v>0</v>
      </c>
      <c r="N68" s="20" t="n">
        <v>0</v>
      </c>
      <c r="O68" s="18" t="n">
        <v>0</v>
      </c>
      <c r="P68" s="20" t="n">
        <v>0</v>
      </c>
      <c r="Q68" s="18" t="n">
        <v>2.28781031</v>
      </c>
      <c r="R68" s="20" t="n">
        <v>0.53752644</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(2606.0/B70*100)</f>
        <v/>
      </c>
      <c r="D70" s="19" t="n">
        <v>323</v>
      </c>
      <c r="E70" s="18" t="n">
        <v>33.22722036</v>
      </c>
      <c r="F70" s="20" t="n">
        <v>3.41847698</v>
      </c>
      <c r="G70" s="18" t="n">
        <v>65.77932446</v>
      </c>
      <c r="H70" s="20" t="n">
        <v>3.42156037</v>
      </c>
      <c r="I70" s="18" t="s">
        <v>567</v>
      </c>
      <c r="J70" s="20" t="s">
        <v>567</v>
      </c>
      <c r="K70" s="18" t="n">
        <v>0.77325561</v>
      </c>
      <c r="L70" s="20" t="n">
        <v>0.42832344</v>
      </c>
      <c r="M70" s="18" t="n">
        <v>0</v>
      </c>
      <c r="N70" s="20" t="n">
        <v>0</v>
      </c>
      <c r="O70" s="18" t="n">
        <v>0</v>
      </c>
      <c r="P70" s="20" t="n">
        <v>0</v>
      </c>
      <c r="Q70" s="18" t="n">
        <v>0.22019957</v>
      </c>
      <c r="R70" s="20" t="n">
        <v>0.22474577</v>
      </c>
    </row>
    <row r="71" spans="1:18">
      <c r="A71" s="15" t="s">
        <v>631</v>
      </c>
      <c r="B71" s="17" t="n">
        <v>3142</v>
      </c>
      <c r="C71" s="18">
        <f>(2800.0/B71*100)</f>
        <v/>
      </c>
      <c r="D71" s="19" t="n">
        <v>342</v>
      </c>
      <c r="E71" s="18" t="n">
        <v>27.15114899</v>
      </c>
      <c r="F71" s="20" t="n">
        <v>2.28672939</v>
      </c>
      <c r="G71" s="18" t="n">
        <v>71.91709453999999</v>
      </c>
      <c r="H71" s="20" t="n">
        <v>2.35461601</v>
      </c>
      <c r="I71" s="18" t="s">
        <v>567</v>
      </c>
      <c r="J71" s="20" t="s">
        <v>567</v>
      </c>
      <c r="K71" s="18" t="n">
        <v>0</v>
      </c>
      <c r="L71" s="20" t="n">
        <v>0</v>
      </c>
      <c r="M71" s="18" t="n">
        <v>0</v>
      </c>
      <c r="N71" s="20" t="n">
        <v>0</v>
      </c>
      <c r="O71" s="18" t="n">
        <v>0</v>
      </c>
      <c r="P71" s="20" t="n">
        <v>0</v>
      </c>
      <c r="Q71" s="18" t="n">
        <v>0.9317564699999999</v>
      </c>
      <c r="R71" s="20" t="n">
        <v>0.4779966</v>
      </c>
    </row>
    <row r="72" spans="1:18">
      <c r="A72" s="15" t="s">
        <v>632</v>
      </c>
      <c r="B72" s="17" t="n">
        <v>3889</v>
      </c>
      <c r="C72" s="18">
        <f>(3449.0/B72*100)</f>
        <v/>
      </c>
      <c r="D72" s="19" t="n">
        <v>440</v>
      </c>
      <c r="E72" s="18" t="n">
        <v>22.53310493</v>
      </c>
      <c r="F72" s="20" t="n">
        <v>2.05763219</v>
      </c>
      <c r="G72" s="18" t="n">
        <v>76.84583281</v>
      </c>
      <c r="H72" s="20" t="n">
        <v>2.10140316</v>
      </c>
      <c r="I72" s="18" t="s">
        <v>567</v>
      </c>
      <c r="J72" s="20" t="s">
        <v>567</v>
      </c>
      <c r="K72" s="18" t="n">
        <v>0.30110292</v>
      </c>
      <c r="L72" s="20" t="n">
        <v>0.30243754</v>
      </c>
      <c r="M72" s="18" t="n">
        <v>0</v>
      </c>
      <c r="N72" s="20" t="n">
        <v>0</v>
      </c>
      <c r="O72" s="18" t="n">
        <v>0</v>
      </c>
      <c r="P72" s="20" t="n">
        <v>0</v>
      </c>
      <c r="Q72" s="18" t="n">
        <v>0.31995934</v>
      </c>
      <c r="R72" s="20" t="n">
        <v>0.32227252</v>
      </c>
    </row>
    <row r="73" spans="1:18">
      <c r="A73" s="15" t="s">
        <v>633</v>
      </c>
      <c r="B73" s="17" t="n">
        <v>3597</v>
      </c>
      <c r="C73" s="18">
        <f>(3233.0/B73*100)</f>
        <v/>
      </c>
      <c r="D73" s="19" t="n">
        <v>364</v>
      </c>
      <c r="E73" s="18" t="n">
        <v>78.11504144</v>
      </c>
      <c r="F73" s="20" t="n">
        <v>2.2880516</v>
      </c>
      <c r="G73" s="18" t="n">
        <v>21.32377845</v>
      </c>
      <c r="H73" s="20" t="n">
        <v>2.29745604</v>
      </c>
      <c r="I73" s="18" t="s">
        <v>567</v>
      </c>
      <c r="J73" s="20" t="s">
        <v>567</v>
      </c>
      <c r="K73" s="18" t="n">
        <v>0</v>
      </c>
      <c r="L73" s="20" t="n">
        <v>0</v>
      </c>
      <c r="M73" s="18" t="n">
        <v>0</v>
      </c>
      <c r="N73" s="20" t="n">
        <v>0</v>
      </c>
      <c r="O73" s="18" t="n">
        <v>0</v>
      </c>
      <c r="P73" s="20" t="n">
        <v>0</v>
      </c>
      <c r="Q73" s="18" t="n">
        <v>0.5611801199999999</v>
      </c>
      <c r="R73" s="20" t="n">
        <v>0.46288719</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(2169.0/B75*100)</f>
        <v/>
      </c>
      <c r="D75" s="19" t="n">
        <v>237</v>
      </c>
      <c r="E75" s="18" t="n">
        <v>71.89709503</v>
      </c>
      <c r="F75" s="20" t="n">
        <v>2.92385434</v>
      </c>
      <c r="G75" s="18" t="n">
        <v>22.97273775</v>
      </c>
      <c r="H75" s="20" t="n">
        <v>2.79132671</v>
      </c>
      <c r="I75" s="18" t="s">
        <v>567</v>
      </c>
      <c r="J75" s="20" t="s">
        <v>567</v>
      </c>
      <c r="K75" s="18" t="n">
        <v>1.654241</v>
      </c>
      <c r="L75" s="20" t="n">
        <v>0.80938798</v>
      </c>
      <c r="M75" s="18" t="n">
        <v>0</v>
      </c>
      <c r="N75" s="20" t="n">
        <v>0</v>
      </c>
      <c r="O75" s="18" t="n">
        <v>0</v>
      </c>
      <c r="P75" s="20" t="n">
        <v>0</v>
      </c>
      <c r="Q75" s="18" t="n">
        <v>3.47592621</v>
      </c>
      <c r="R75" s="20" t="n">
        <v>1.29901165</v>
      </c>
    </row>
    <row r="76" spans="1:18">
      <c r="A76" s="15" t="s">
        <v>636</v>
      </c>
      <c r="B76" s="17" t="n">
        <v>7052</v>
      </c>
      <c r="C76" s="18">
        <f>(6259.0/B76*100)</f>
        <v/>
      </c>
      <c r="D76" s="19" t="n">
        <v>793</v>
      </c>
      <c r="E76" s="18" t="n">
        <v>60.20306456</v>
      </c>
      <c r="F76" s="20" t="n">
        <v>1.88100123</v>
      </c>
      <c r="G76" s="18" t="n">
        <v>36.36687109</v>
      </c>
      <c r="H76" s="20" t="n">
        <v>2.05067999</v>
      </c>
      <c r="I76" s="18" t="s">
        <v>567</v>
      </c>
      <c r="J76" s="20" t="s">
        <v>567</v>
      </c>
      <c r="K76" s="18" t="n">
        <v>1.28544318</v>
      </c>
      <c r="L76" s="20" t="n">
        <v>0.54461227</v>
      </c>
      <c r="M76" s="18" t="n">
        <v>0</v>
      </c>
      <c r="N76" s="20" t="n">
        <v>0</v>
      </c>
      <c r="O76" s="18" t="n">
        <v>0</v>
      </c>
      <c r="P76" s="20" t="n">
        <v>0</v>
      </c>
      <c r="Q76" s="18" t="n">
        <v>2.14462118</v>
      </c>
      <c r="R76" s="20" t="n">
        <v>0.6877902</v>
      </c>
    </row>
    <row r="77" spans="1:18">
      <c r="A77" s="15" t="s">
        <v>637</v>
      </c>
      <c r="B77" s="17" t="n">
        <v>2908</v>
      </c>
      <c r="C77" s="18">
        <f>(2582.0/B77*100)</f>
        <v/>
      </c>
      <c r="D77" s="19" t="n">
        <v>326</v>
      </c>
      <c r="E77" s="18" t="n">
        <v>49.10883904</v>
      </c>
      <c r="F77" s="20" t="n">
        <v>2.76775473</v>
      </c>
      <c r="G77" s="18" t="n">
        <v>49.35980508</v>
      </c>
      <c r="H77" s="20" t="n">
        <v>2.8225179</v>
      </c>
      <c r="I77" s="18" t="s">
        <v>567</v>
      </c>
      <c r="J77" s="20" t="s">
        <v>567</v>
      </c>
      <c r="K77" s="18" t="n">
        <v>0.5143400299999999</v>
      </c>
      <c r="L77" s="20" t="n">
        <v>0.36724589</v>
      </c>
      <c r="M77" s="18" t="n">
        <v>0</v>
      </c>
      <c r="N77" s="20" t="n">
        <v>0</v>
      </c>
      <c r="O77" s="18" t="n">
        <v>0</v>
      </c>
      <c r="P77" s="20" t="n">
        <v>0</v>
      </c>
      <c r="Q77" s="18" t="n">
        <v>1.01701585</v>
      </c>
      <c r="R77" s="20" t="n">
        <v>0.50893909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(3728.0/B81*100)</f>
        <v/>
      </c>
      <c r="D81" s="19" t="n">
        <v>435</v>
      </c>
      <c r="E81" s="18" t="n">
        <v>50.00072679</v>
      </c>
      <c r="F81" s="20" t="n">
        <v>2.87714283</v>
      </c>
      <c r="G81" s="18" t="n">
        <v>49.62508465</v>
      </c>
      <c r="H81" s="20" t="n">
        <v>3.06891502</v>
      </c>
      <c r="I81" s="18" t="s">
        <v>567</v>
      </c>
      <c r="J81" s="20" t="s">
        <v>567</v>
      </c>
      <c r="K81" s="18" t="n">
        <v>0</v>
      </c>
      <c r="L81" s="20" t="n">
        <v>0</v>
      </c>
      <c r="M81" s="18" t="n">
        <v>0</v>
      </c>
      <c r="N81" s="20" t="n">
        <v>0</v>
      </c>
      <c r="O81" s="18" t="n">
        <v>0</v>
      </c>
      <c r="P81" s="20" t="n">
        <v>0</v>
      </c>
      <c r="Q81" s="18" t="n">
        <v>0.37418856</v>
      </c>
      <c r="R81" s="20" t="n">
        <v>0.37505579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(6551.0/B7*100)</f>
        <v/>
      </c>
      <c r="D7" s="19" t="n">
        <v>816</v>
      </c>
      <c r="E7" s="18" t="n">
        <v>22.99645649</v>
      </c>
      <c r="F7" s="20" t="n">
        <v>1.937029</v>
      </c>
      <c r="G7" s="18" t="n">
        <v>76.12936646</v>
      </c>
      <c r="H7" s="20" t="n">
        <v>1.92572507</v>
      </c>
      <c r="I7" s="18" t="s">
        <v>567</v>
      </c>
      <c r="J7" s="20" t="s">
        <v>567</v>
      </c>
      <c r="K7" s="18" t="n">
        <v>0</v>
      </c>
      <c r="L7" s="20" t="n">
        <v>0</v>
      </c>
      <c r="M7" s="18" t="n">
        <v>0</v>
      </c>
      <c r="N7" s="20" t="n">
        <v>0</v>
      </c>
      <c r="O7" s="18" t="n">
        <v>0</v>
      </c>
      <c r="P7" s="20" t="n">
        <v>0</v>
      </c>
      <c r="Q7" s="18" t="n">
        <v>0.87417705</v>
      </c>
      <c r="R7" s="20" t="n">
        <v>0.33312991</v>
      </c>
    </row>
    <row r="8" spans="1:18">
      <c r="A8" s="15" t="s">
        <v>568</v>
      </c>
      <c r="B8" s="17" t="n">
        <v>3564</v>
      </c>
      <c r="C8" s="18">
        <f>(3153.0/B8*100)</f>
        <v/>
      </c>
      <c r="D8" s="19" t="n">
        <v>411</v>
      </c>
      <c r="E8" s="18" t="n">
        <v>20.08458579</v>
      </c>
      <c r="F8" s="20" t="n">
        <v>2.67202146</v>
      </c>
      <c r="G8" s="18" t="n">
        <v>79.21332485000001</v>
      </c>
      <c r="H8" s="20" t="n">
        <v>2.71632491</v>
      </c>
      <c r="I8" s="18" t="s">
        <v>567</v>
      </c>
      <c r="J8" s="20" t="s">
        <v>567</v>
      </c>
      <c r="K8" s="18" t="n">
        <v>0</v>
      </c>
      <c r="L8" s="20" t="n">
        <v>0</v>
      </c>
      <c r="M8" s="18" t="n">
        <v>0</v>
      </c>
      <c r="N8" s="20" t="n">
        <v>0</v>
      </c>
      <c r="O8" s="18" t="n">
        <v>0</v>
      </c>
      <c r="P8" s="20" t="n">
        <v>0</v>
      </c>
      <c r="Q8" s="18" t="n">
        <v>0.70208936</v>
      </c>
      <c r="R8" s="20" t="n">
        <v>0.37809139</v>
      </c>
    </row>
    <row r="9" spans="1:18">
      <c r="A9" s="15" t="s">
        <v>569</v>
      </c>
      <c r="B9" s="17" t="n">
        <v>4899</v>
      </c>
      <c r="C9" s="18">
        <f>(4258.0/B9*100)</f>
        <v/>
      </c>
      <c r="D9" s="19" t="n">
        <v>641</v>
      </c>
      <c r="E9" s="18" t="n">
        <v>32.71284231</v>
      </c>
      <c r="F9" s="20" t="n">
        <v>1.59408774</v>
      </c>
      <c r="G9" s="18" t="n">
        <v>66.34815168</v>
      </c>
      <c r="H9" s="20" t="n">
        <v>1.72236542</v>
      </c>
      <c r="I9" s="18" t="s">
        <v>567</v>
      </c>
      <c r="J9" s="20" t="s">
        <v>567</v>
      </c>
      <c r="K9" s="18" t="n">
        <v>0.38746471</v>
      </c>
      <c r="L9" s="20" t="n">
        <v>0.1912753</v>
      </c>
      <c r="M9" s="18" t="n">
        <v>0</v>
      </c>
      <c r="N9" s="20" t="n">
        <v>0</v>
      </c>
      <c r="O9" s="18" t="n">
        <v>0</v>
      </c>
      <c r="P9" s="20" t="n">
        <v>0</v>
      </c>
      <c r="Q9" s="18" t="n">
        <v>0.55154129</v>
      </c>
      <c r="R9" s="20" t="n">
        <v>0.29228339</v>
      </c>
    </row>
    <row r="10" spans="1:18">
      <c r="A10" s="15" t="s">
        <v>570</v>
      </c>
      <c r="B10" s="17" t="n">
        <v>10036</v>
      </c>
      <c r="C10" s="18">
        <f>(8962.0/B10*100)</f>
        <v/>
      </c>
      <c r="D10" s="19" t="n">
        <v>1074</v>
      </c>
      <c r="E10" s="18" t="n">
        <v>22.31661722</v>
      </c>
      <c r="F10" s="20" t="n">
        <v>1.37041131</v>
      </c>
      <c r="G10" s="18" t="n">
        <v>76.59622163</v>
      </c>
      <c r="H10" s="20" t="n">
        <v>1.42620316</v>
      </c>
      <c r="I10" s="18" t="s">
        <v>567</v>
      </c>
      <c r="J10" s="20" t="s">
        <v>567</v>
      </c>
      <c r="K10" s="18" t="n">
        <v>0.02142623</v>
      </c>
      <c r="L10" s="20" t="n">
        <v>0.02125913</v>
      </c>
      <c r="M10" s="18" t="n">
        <v>0</v>
      </c>
      <c r="N10" s="20" t="n">
        <v>0</v>
      </c>
      <c r="O10" s="18" t="n">
        <v>0</v>
      </c>
      <c r="P10" s="20" t="n">
        <v>0</v>
      </c>
      <c r="Q10" s="18" t="n">
        <v>1.06573492</v>
      </c>
      <c r="R10" s="20" t="n">
        <v>0.50854426</v>
      </c>
    </row>
    <row r="11" spans="1:18">
      <c r="A11" s="15" t="s">
        <v>571</v>
      </c>
      <c r="B11" s="17" t="n">
        <v>3553</v>
      </c>
      <c r="C11" s="18">
        <f>(3159.0/B11*100)</f>
        <v/>
      </c>
      <c r="D11" s="19" t="n">
        <v>394</v>
      </c>
      <c r="E11" s="18" t="n">
        <v>30.52498382</v>
      </c>
      <c r="F11" s="20" t="n">
        <v>3.10607946</v>
      </c>
      <c r="G11" s="18" t="n">
        <v>67.00109856</v>
      </c>
      <c r="H11" s="20" t="n">
        <v>3.21294348</v>
      </c>
      <c r="I11" s="18" t="s">
        <v>567</v>
      </c>
      <c r="J11" s="20" t="s">
        <v>567</v>
      </c>
      <c r="K11" s="18" t="n">
        <v>0</v>
      </c>
      <c r="L11" s="20" t="n">
        <v>0</v>
      </c>
      <c r="M11" s="18" t="n">
        <v>0</v>
      </c>
      <c r="N11" s="20" t="n">
        <v>0</v>
      </c>
      <c r="O11" s="18" t="n">
        <v>0</v>
      </c>
      <c r="P11" s="20" t="n">
        <v>0</v>
      </c>
      <c r="Q11" s="18" t="n">
        <v>2.47391761</v>
      </c>
      <c r="R11" s="20" t="n">
        <v>1.55468625</v>
      </c>
    </row>
    <row r="12" spans="1:18">
      <c r="A12" s="15" t="s">
        <v>572</v>
      </c>
      <c r="B12" s="17" t="n">
        <v>3472</v>
      </c>
      <c r="C12" s="18">
        <f>(3053.0/B12*100)</f>
        <v/>
      </c>
      <c r="D12" s="19" t="n">
        <v>419</v>
      </c>
      <c r="E12" s="18" t="n">
        <v>33.88764666</v>
      </c>
      <c r="F12" s="20" t="n">
        <v>4.22927358</v>
      </c>
      <c r="G12" s="18" t="n">
        <v>65.68019078</v>
      </c>
      <c r="H12" s="20" t="n">
        <v>4.41874037</v>
      </c>
      <c r="I12" s="18" t="s">
        <v>567</v>
      </c>
      <c r="J12" s="20" t="s">
        <v>567</v>
      </c>
      <c r="K12" s="18" t="n">
        <v>0.43216257</v>
      </c>
      <c r="L12" s="20" t="n">
        <v>0.47918409</v>
      </c>
      <c r="M12" s="18" t="n">
        <v>0</v>
      </c>
      <c r="N12" s="20" t="n">
        <v>0</v>
      </c>
      <c r="O12" s="18" t="n">
        <v>0</v>
      </c>
      <c r="P12" s="20" t="n">
        <v>0</v>
      </c>
      <c r="Q12" s="18" t="n">
        <v>0</v>
      </c>
      <c r="R12" s="20" t="n">
        <v>0</v>
      </c>
    </row>
    <row r="13" spans="1:18">
      <c r="A13" s="15" t="s">
        <v>573</v>
      </c>
      <c r="B13" s="17" t="n">
        <v>3559</v>
      </c>
      <c r="C13" s="18">
        <f>(2995.0/B13*100)</f>
        <v/>
      </c>
      <c r="D13" s="19" t="n">
        <v>564</v>
      </c>
      <c r="E13" s="18" t="n">
        <v>29.49947668</v>
      </c>
      <c r="F13" s="20" t="n">
        <v>2.22235052</v>
      </c>
      <c r="G13" s="18" t="n">
        <v>69.61318025999999</v>
      </c>
      <c r="H13" s="20" t="n">
        <v>2.19915849</v>
      </c>
      <c r="I13" s="18" t="s">
        <v>567</v>
      </c>
      <c r="J13" s="20" t="s">
        <v>567</v>
      </c>
      <c r="K13" s="18" t="n">
        <v>0.22314667</v>
      </c>
      <c r="L13" s="20" t="n">
        <v>0.16038914</v>
      </c>
      <c r="M13" s="18" t="n">
        <v>0</v>
      </c>
      <c r="N13" s="20" t="n">
        <v>0</v>
      </c>
      <c r="O13" s="18" t="n">
        <v>0</v>
      </c>
      <c r="P13" s="20" t="n">
        <v>0</v>
      </c>
      <c r="Q13" s="18" t="n">
        <v>0.66419639</v>
      </c>
      <c r="R13" s="20" t="n">
        <v>0.46302811</v>
      </c>
    </row>
    <row r="14" spans="1:18">
      <c r="A14" s="15" t="s">
        <v>574</v>
      </c>
      <c r="B14" s="17" t="n">
        <v>2799</v>
      </c>
      <c r="C14" s="18">
        <f>(2509.0/B14*100)</f>
        <v/>
      </c>
      <c r="D14" s="19" t="n">
        <v>290</v>
      </c>
      <c r="E14" s="18" t="n">
        <v>18.58979709</v>
      </c>
      <c r="F14" s="20" t="n">
        <v>2.25540927</v>
      </c>
      <c r="G14" s="18" t="n">
        <v>81.41020291</v>
      </c>
      <c r="H14" s="20" t="n">
        <v>2.25540927</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(2645.0/B15*100)</f>
        <v/>
      </c>
      <c r="D15" s="19" t="n">
        <v>374</v>
      </c>
      <c r="E15" s="18" t="n">
        <v>25.69342077</v>
      </c>
      <c r="F15" s="20" t="n">
        <v>3.42671263</v>
      </c>
      <c r="G15" s="18" t="n">
        <v>73.29917578</v>
      </c>
      <c r="H15" s="20" t="n">
        <v>3.42362417</v>
      </c>
      <c r="I15" s="18" t="s">
        <v>567</v>
      </c>
      <c r="J15" s="20" t="s">
        <v>567</v>
      </c>
      <c r="K15" s="18" t="n">
        <v>0</v>
      </c>
      <c r="L15" s="20" t="n">
        <v>0</v>
      </c>
      <c r="M15" s="18" t="n">
        <v>0</v>
      </c>
      <c r="N15" s="20" t="n">
        <v>0</v>
      </c>
      <c r="O15" s="18" t="n">
        <v>0</v>
      </c>
      <c r="P15" s="20" t="n">
        <v>0</v>
      </c>
      <c r="Q15" s="18" t="n">
        <v>1.00740345</v>
      </c>
      <c r="R15" s="20" t="n">
        <v>0.52582111</v>
      </c>
    </row>
    <row r="16" spans="1:18">
      <c r="A16" s="15" t="s">
        <v>576</v>
      </c>
      <c r="B16" s="17" t="n">
        <v>2997</v>
      </c>
      <c r="C16" s="18">
        <f>(2660.0/B16*100)</f>
        <v/>
      </c>
      <c r="D16" s="19" t="n">
        <v>337</v>
      </c>
      <c r="E16" s="18" t="n">
        <v>28.60638654</v>
      </c>
      <c r="F16" s="20" t="n">
        <v>2.09415341</v>
      </c>
      <c r="G16" s="18" t="n">
        <v>68.84907335</v>
      </c>
      <c r="H16" s="20" t="n">
        <v>2.26692478</v>
      </c>
      <c r="I16" s="18" t="s">
        <v>567</v>
      </c>
      <c r="J16" s="20" t="s">
        <v>567</v>
      </c>
      <c r="K16" s="18" t="n">
        <v>0</v>
      </c>
      <c r="L16" s="20" t="n">
        <v>0</v>
      </c>
      <c r="M16" s="18" t="n">
        <v>0</v>
      </c>
      <c r="N16" s="20" t="n">
        <v>0</v>
      </c>
      <c r="O16" s="18" t="n">
        <v>0</v>
      </c>
      <c r="P16" s="20" t="n">
        <v>0</v>
      </c>
      <c r="Q16" s="18" t="n">
        <v>2.54454011</v>
      </c>
      <c r="R16" s="20" t="n">
        <v>0.86670931</v>
      </c>
    </row>
    <row r="17" spans="1:18">
      <c r="A17" s="15" t="s">
        <v>577</v>
      </c>
      <c r="B17" s="17" t="n">
        <v>3307</v>
      </c>
      <c r="C17" s="18">
        <f>(2894.0/B17*100)</f>
        <v/>
      </c>
      <c r="D17" s="19" t="n">
        <v>413</v>
      </c>
      <c r="E17" s="18" t="n">
        <v>29.11817215</v>
      </c>
      <c r="F17" s="20" t="n">
        <v>3.20665101</v>
      </c>
      <c r="G17" s="18" t="n">
        <v>68.82825407999999</v>
      </c>
      <c r="H17" s="20" t="n">
        <v>3.57683546</v>
      </c>
      <c r="I17" s="18" t="s">
        <v>567</v>
      </c>
      <c r="J17" s="20" t="s">
        <v>567</v>
      </c>
      <c r="K17" s="18" t="n">
        <v>0.55582814</v>
      </c>
      <c r="L17" s="20" t="n">
        <v>0.37506977</v>
      </c>
      <c r="M17" s="18" t="n">
        <v>0</v>
      </c>
      <c r="N17" s="20" t="n">
        <v>0</v>
      </c>
      <c r="O17" s="18" t="n">
        <v>0</v>
      </c>
      <c r="P17" s="20" t="n">
        <v>0</v>
      </c>
      <c r="Q17" s="18" t="n">
        <v>1.49774563</v>
      </c>
      <c r="R17" s="20" t="n">
        <v>0.73143075</v>
      </c>
    </row>
    <row r="18" spans="1:18">
      <c r="A18" s="15" t="s">
        <v>578</v>
      </c>
      <c r="B18" s="17" t="n">
        <v>2826</v>
      </c>
      <c r="C18" s="18">
        <f>(2501.0/B18*100)</f>
        <v/>
      </c>
      <c r="D18" s="19" t="n">
        <v>325</v>
      </c>
      <c r="E18" s="18" t="n">
        <v>42.04513699</v>
      </c>
      <c r="F18" s="20" t="n">
        <v>3.90082647</v>
      </c>
      <c r="G18" s="18" t="n">
        <v>55.82400602</v>
      </c>
      <c r="H18" s="20" t="n">
        <v>3.76557084</v>
      </c>
      <c r="I18" s="18" t="s">
        <v>567</v>
      </c>
      <c r="J18" s="20" t="s">
        <v>567</v>
      </c>
      <c r="K18" s="18" t="n">
        <v>0.35210808</v>
      </c>
      <c r="L18" s="20" t="n">
        <v>0.34887791</v>
      </c>
      <c r="M18" s="18" t="n">
        <v>0</v>
      </c>
      <c r="N18" s="20" t="n">
        <v>0</v>
      </c>
      <c r="O18" s="18" t="n">
        <v>0</v>
      </c>
      <c r="P18" s="20" t="n">
        <v>0</v>
      </c>
      <c r="Q18" s="18" t="n">
        <v>1.77874891</v>
      </c>
      <c r="R18" s="20" t="n">
        <v>0.80802342</v>
      </c>
    </row>
    <row r="19" spans="1:18">
      <c r="A19" s="15" t="s">
        <v>579</v>
      </c>
      <c r="B19" s="17" t="n">
        <v>2808</v>
      </c>
      <c r="C19" s="18">
        <f>(2481.0/B19*100)</f>
        <v/>
      </c>
      <c r="D19" s="19" t="n">
        <v>327</v>
      </c>
      <c r="E19" s="18" t="n">
        <v>25.9740083</v>
      </c>
      <c r="F19" s="20" t="n">
        <v>2.95828215</v>
      </c>
      <c r="G19" s="18" t="n">
        <v>73.4539015</v>
      </c>
      <c r="H19" s="20" t="n">
        <v>3.00137954</v>
      </c>
      <c r="I19" s="18" t="s">
        <v>567</v>
      </c>
      <c r="J19" s="20" t="s">
        <v>567</v>
      </c>
      <c r="K19" s="18" t="n">
        <v>0</v>
      </c>
      <c r="L19" s="20" t="n">
        <v>0</v>
      </c>
      <c r="M19" s="18" t="n">
        <v>0</v>
      </c>
      <c r="N19" s="20" t="n">
        <v>0</v>
      </c>
      <c r="O19" s="18" t="n">
        <v>0</v>
      </c>
      <c r="P19" s="20" t="n">
        <v>0</v>
      </c>
      <c r="Q19" s="18" t="n">
        <v>0.5720902</v>
      </c>
      <c r="R19" s="20" t="n">
        <v>0.40768071</v>
      </c>
    </row>
    <row r="20" spans="1:18">
      <c r="A20" s="15" t="s">
        <v>580</v>
      </c>
      <c r="B20" s="17" t="n">
        <v>1630</v>
      </c>
      <c r="C20" s="18">
        <f>(1468.0/B20*100)</f>
        <v/>
      </c>
      <c r="D20" s="19" t="n">
        <v>162</v>
      </c>
      <c r="E20" s="18" t="n">
        <v>26.91275146</v>
      </c>
      <c r="F20" s="20" t="n">
        <v>3.52398057</v>
      </c>
      <c r="G20" s="18" t="n">
        <v>70.52551896</v>
      </c>
      <c r="H20" s="20" t="n">
        <v>3.60673618</v>
      </c>
      <c r="I20" s="18" t="s">
        <v>567</v>
      </c>
      <c r="J20" s="20" t="s">
        <v>567</v>
      </c>
      <c r="K20" s="18" t="n">
        <v>0</v>
      </c>
      <c r="L20" s="20" t="n">
        <v>0</v>
      </c>
      <c r="M20" s="18" t="n">
        <v>0</v>
      </c>
      <c r="N20" s="20" t="n">
        <v>0</v>
      </c>
      <c r="O20" s="18" t="n">
        <v>0</v>
      </c>
      <c r="P20" s="20" t="n">
        <v>0</v>
      </c>
      <c r="Q20" s="18" t="n">
        <v>2.56172958</v>
      </c>
      <c r="R20" s="20" t="n">
        <v>1.18235512</v>
      </c>
    </row>
    <row r="21" spans="1:18">
      <c r="A21" s="15" t="s">
        <v>581</v>
      </c>
      <c r="B21" s="17" t="n">
        <v>2908</v>
      </c>
      <c r="C21" s="18">
        <f>(2596.0/B21*100)</f>
        <v/>
      </c>
      <c r="D21" s="19" t="n">
        <v>312</v>
      </c>
      <c r="E21" s="18" t="n">
        <v>28.50965919</v>
      </c>
      <c r="F21" s="20" t="n">
        <v>2.90213277</v>
      </c>
      <c r="G21" s="18" t="n">
        <v>71.49034081000001</v>
      </c>
      <c r="H21" s="20" t="n">
        <v>2.90213277</v>
      </c>
      <c r="I21" s="18" t="s">
        <v>567</v>
      </c>
      <c r="J21" s="20" t="s">
        <v>567</v>
      </c>
      <c r="K21" s="18" t="n">
        <v>0</v>
      </c>
      <c r="L21" s="20" t="n">
        <v>0</v>
      </c>
      <c r="M21" s="18" t="n">
        <v>0</v>
      </c>
      <c r="N21" s="20" t="n">
        <v>0</v>
      </c>
      <c r="O21" s="18" t="n">
        <v>0</v>
      </c>
      <c r="P21" s="20" t="n">
        <v>0</v>
      </c>
      <c r="Q21" s="18" t="n">
        <v>0</v>
      </c>
      <c r="R21" s="20" t="n">
        <v>0</v>
      </c>
    </row>
    <row r="22" spans="1:18">
      <c r="A22" s="15" t="s">
        <v>582</v>
      </c>
      <c r="B22" s="17" t="n">
        <v>2931</v>
      </c>
      <c r="C22" s="18">
        <f>(2604.0/B22*100)</f>
        <v/>
      </c>
      <c r="D22" s="19" t="n">
        <v>327</v>
      </c>
      <c r="E22" s="18" t="n">
        <v>29.72387159</v>
      </c>
      <c r="F22" s="20" t="n">
        <v>3.0655145</v>
      </c>
      <c r="G22" s="18" t="n">
        <v>67.03182769</v>
      </c>
      <c r="H22" s="20" t="n">
        <v>3.41378299</v>
      </c>
      <c r="I22" s="18" t="s">
        <v>567</v>
      </c>
      <c r="J22" s="20" t="s">
        <v>567</v>
      </c>
      <c r="K22" s="18" t="n">
        <v>0.81462826</v>
      </c>
      <c r="L22" s="20" t="n">
        <v>0.40501745</v>
      </c>
      <c r="M22" s="18" t="n">
        <v>0</v>
      </c>
      <c r="N22" s="20" t="n">
        <v>0</v>
      </c>
      <c r="O22" s="18" t="n">
        <v>0</v>
      </c>
      <c r="P22" s="20" t="n">
        <v>0</v>
      </c>
      <c r="Q22" s="18" t="n">
        <v>2.42967246</v>
      </c>
      <c r="R22" s="20" t="n">
        <v>0.97195597</v>
      </c>
    </row>
    <row r="23" spans="1:18">
      <c r="A23" s="15" t="s">
        <v>583</v>
      </c>
      <c r="B23" s="17" t="n">
        <v>5791</v>
      </c>
      <c r="C23" s="18">
        <f>(5125.0/B23*100)</f>
        <v/>
      </c>
      <c r="D23" s="19" t="n">
        <v>666</v>
      </c>
      <c r="E23" s="18" t="n">
        <v>32.10764025</v>
      </c>
      <c r="F23" s="20" t="n">
        <v>2.38372804</v>
      </c>
      <c r="G23" s="18" t="n">
        <v>67.24269151</v>
      </c>
      <c r="H23" s="20" t="n">
        <v>2.58993951</v>
      </c>
      <c r="I23" s="18" t="s">
        <v>567</v>
      </c>
      <c r="J23" s="20" t="s">
        <v>567</v>
      </c>
      <c r="K23" s="18" t="n">
        <v>0.48158912</v>
      </c>
      <c r="L23" s="20" t="n">
        <v>0.55506978</v>
      </c>
      <c r="M23" s="18" t="n">
        <v>0</v>
      </c>
      <c r="N23" s="20" t="n">
        <v>0</v>
      </c>
      <c r="O23" s="18" t="n">
        <v>0</v>
      </c>
      <c r="P23" s="20" t="n">
        <v>0</v>
      </c>
      <c r="Q23" s="18" t="n">
        <v>0.16807912</v>
      </c>
      <c r="R23" s="20" t="n">
        <v>0.15625487</v>
      </c>
    </row>
    <row r="24" spans="1:18">
      <c r="A24" s="15" t="s">
        <v>584</v>
      </c>
      <c r="B24" s="17" t="n">
        <v>3338</v>
      </c>
      <c r="C24" s="18">
        <f>(2970.0/B24*100)</f>
        <v/>
      </c>
      <c r="D24" s="19" t="n">
        <v>368</v>
      </c>
      <c r="E24" s="18" t="n">
        <v>17.90070333</v>
      </c>
      <c r="F24" s="20" t="n">
        <v>2.27241732</v>
      </c>
      <c r="G24" s="18" t="n">
        <v>81.86202999</v>
      </c>
      <c r="H24" s="20" t="n">
        <v>2.28375177</v>
      </c>
      <c r="I24" s="18" t="s">
        <v>567</v>
      </c>
      <c r="J24" s="20" t="s">
        <v>567</v>
      </c>
      <c r="K24" s="18" t="n">
        <v>0.23726668</v>
      </c>
      <c r="L24" s="20" t="n">
        <v>0.23737062</v>
      </c>
      <c r="M24" s="18" t="n">
        <v>0</v>
      </c>
      <c r="N24" s="20" t="n">
        <v>0</v>
      </c>
      <c r="O24" s="18" t="n">
        <v>0</v>
      </c>
      <c r="P24" s="20" t="n">
        <v>0</v>
      </c>
      <c r="Q24" s="18" t="n">
        <v>0</v>
      </c>
      <c r="R24" s="20" t="n">
        <v>0</v>
      </c>
    </row>
    <row r="25" spans="1:18">
      <c r="A25" s="15" t="s">
        <v>585</v>
      </c>
      <c r="B25" s="17" t="n">
        <v>2912</v>
      </c>
      <c r="C25" s="18">
        <f>(2561.0/B25*100)</f>
        <v/>
      </c>
      <c r="D25" s="19" t="n">
        <v>351</v>
      </c>
      <c r="E25" s="18" t="n">
        <v>19.29330316</v>
      </c>
      <c r="F25" s="20" t="n">
        <v>2.36614002</v>
      </c>
      <c r="G25" s="18" t="n">
        <v>78.09771951</v>
      </c>
      <c r="H25" s="20" t="n">
        <v>2.74972954</v>
      </c>
      <c r="I25" s="18" t="s">
        <v>567</v>
      </c>
      <c r="J25" s="20" t="s">
        <v>567</v>
      </c>
      <c r="K25" s="18" t="n">
        <v>1.69652275</v>
      </c>
      <c r="L25" s="20" t="n">
        <v>0.6732216</v>
      </c>
      <c r="M25" s="18" t="n">
        <v>0</v>
      </c>
      <c r="N25" s="20" t="n">
        <v>0</v>
      </c>
      <c r="O25" s="18" t="n">
        <v>0</v>
      </c>
      <c r="P25" s="20" t="n">
        <v>0</v>
      </c>
      <c r="Q25" s="18" t="n">
        <v>0.91245459</v>
      </c>
      <c r="R25" s="20" t="n">
        <v>0.49440228</v>
      </c>
    </row>
    <row r="26" spans="1:18">
      <c r="A26" s="15" t="s">
        <v>586</v>
      </c>
      <c r="B26" s="17" t="n">
        <v>2450</v>
      </c>
      <c r="C26" s="18">
        <f>(2180.0/B26*100)</f>
        <v/>
      </c>
      <c r="D26" s="19" t="n">
        <v>270</v>
      </c>
      <c r="E26" s="18" t="n">
        <v>30.94936005</v>
      </c>
      <c r="F26" s="20" t="n">
        <v>2.74776965</v>
      </c>
      <c r="G26" s="18" t="n">
        <v>69.05063995</v>
      </c>
      <c r="H26" s="20" t="n">
        <v>2.74776965</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(2346.0/B27*100)</f>
        <v/>
      </c>
      <c r="D27" s="19" t="n">
        <v>270</v>
      </c>
      <c r="E27" s="18" t="n">
        <v>23.13851417</v>
      </c>
      <c r="F27" s="20" t="n">
        <v>2.29345</v>
      </c>
      <c r="G27" s="18" t="n">
        <v>76.86148583000001</v>
      </c>
      <c r="H27" s="20" t="n">
        <v>2.29345</v>
      </c>
      <c r="I27" s="18" t="s">
        <v>567</v>
      </c>
      <c r="J27" s="20" t="s">
        <v>567</v>
      </c>
      <c r="K27" s="18" t="n">
        <v>0</v>
      </c>
      <c r="L27" s="20" t="n">
        <v>0</v>
      </c>
      <c r="M27" s="18" t="n">
        <v>0</v>
      </c>
      <c r="N27" s="20" t="n">
        <v>0</v>
      </c>
      <c r="O27" s="18" t="n">
        <v>0</v>
      </c>
      <c r="P27" s="20" t="n">
        <v>0</v>
      </c>
      <c r="Q27" s="18" t="n">
        <v>0</v>
      </c>
      <c r="R27" s="20" t="n">
        <v>0</v>
      </c>
    </row>
    <row r="28" spans="1:18">
      <c r="A28" s="15" t="s">
        <v>588</v>
      </c>
      <c r="B28" s="17" t="n">
        <v>3765</v>
      </c>
      <c r="C28" s="18">
        <f>(3331.0/B28*100)</f>
        <v/>
      </c>
      <c r="D28" s="19" t="n">
        <v>434</v>
      </c>
      <c r="E28" s="18" t="n">
        <v>42.99669655</v>
      </c>
      <c r="F28" s="20" t="n">
        <v>2.36316035</v>
      </c>
      <c r="G28" s="18" t="n">
        <v>55.23440299</v>
      </c>
      <c r="H28" s="20" t="n">
        <v>2.3534332</v>
      </c>
      <c r="I28" s="18" t="s">
        <v>567</v>
      </c>
      <c r="J28" s="20" t="s">
        <v>567</v>
      </c>
      <c r="K28" s="18" t="n">
        <v>0.7039663900000001</v>
      </c>
      <c r="L28" s="20" t="n">
        <v>0.44487606</v>
      </c>
      <c r="M28" s="18" t="n">
        <v>0</v>
      </c>
      <c r="N28" s="20" t="n">
        <v>0</v>
      </c>
      <c r="O28" s="18" t="n">
        <v>0</v>
      </c>
      <c r="P28" s="20" t="n">
        <v>0</v>
      </c>
      <c r="Q28" s="18" t="n">
        <v>1.06493408</v>
      </c>
      <c r="R28" s="20" t="n">
        <v>0.65654887</v>
      </c>
    </row>
    <row r="29" spans="1:18">
      <c r="A29" s="15" t="s">
        <v>589</v>
      </c>
      <c r="B29" s="17" t="n">
        <v>2685</v>
      </c>
      <c r="C29" s="18">
        <f>(2298.0/B29*100)</f>
        <v/>
      </c>
      <c r="D29" s="19" t="n">
        <v>387</v>
      </c>
      <c r="E29" s="18" t="n">
        <v>37.27317188</v>
      </c>
      <c r="F29" s="20" t="n">
        <v>2.09706034</v>
      </c>
      <c r="G29" s="18" t="n">
        <v>61.2431525</v>
      </c>
      <c r="H29" s="20" t="n">
        <v>1.9813181</v>
      </c>
      <c r="I29" s="18" t="s">
        <v>567</v>
      </c>
      <c r="J29" s="20" t="s">
        <v>567</v>
      </c>
      <c r="K29" s="18" t="n">
        <v>0.7685676299999999</v>
      </c>
      <c r="L29" s="20" t="n">
        <v>0.41315331</v>
      </c>
      <c r="M29" s="18" t="n">
        <v>0</v>
      </c>
      <c r="N29" s="20" t="n">
        <v>0</v>
      </c>
      <c r="O29" s="18" t="n">
        <v>0</v>
      </c>
      <c r="P29" s="20" t="n">
        <v>0</v>
      </c>
      <c r="Q29" s="18" t="n">
        <v>0.715108</v>
      </c>
      <c r="R29" s="20" t="n">
        <v>0.46031142</v>
      </c>
    </row>
    <row r="30" spans="1:18">
      <c r="A30" s="15" t="s">
        <v>590</v>
      </c>
      <c r="B30" s="17" t="n">
        <v>2263</v>
      </c>
      <c r="C30" s="18">
        <f>(2013.0/B30*100)</f>
        <v/>
      </c>
      <c r="D30" s="19" t="n">
        <v>250</v>
      </c>
      <c r="E30" s="18" t="n">
        <v>18.0217102</v>
      </c>
      <c r="F30" s="20" t="n">
        <v>2.61369297</v>
      </c>
      <c r="G30" s="18" t="n">
        <v>81.02815131</v>
      </c>
      <c r="H30" s="20" t="n">
        <v>2.61566767</v>
      </c>
      <c r="I30" s="18" t="s">
        <v>567</v>
      </c>
      <c r="J30" s="20" t="s">
        <v>567</v>
      </c>
      <c r="K30" s="18" t="n">
        <v>0.95013848</v>
      </c>
      <c r="L30" s="20" t="n">
        <v>0.62399984</v>
      </c>
      <c r="M30" s="18" t="n">
        <v>0</v>
      </c>
      <c r="N30" s="20" t="n">
        <v>0</v>
      </c>
      <c r="O30" s="18" t="n">
        <v>0</v>
      </c>
      <c r="P30" s="20" t="n">
        <v>0</v>
      </c>
      <c r="Q30" s="18" t="n">
        <v>0</v>
      </c>
      <c r="R30" s="20" t="n">
        <v>0</v>
      </c>
    </row>
    <row r="31" spans="1:18">
      <c r="A31" s="15" t="s">
        <v>591</v>
      </c>
      <c r="B31" s="17" t="n">
        <v>2750</v>
      </c>
      <c r="C31" s="18">
        <f>(2451.0/B31*100)</f>
        <v/>
      </c>
      <c r="D31" s="19" t="n">
        <v>299</v>
      </c>
      <c r="E31" s="18" t="n">
        <v>26.03555808</v>
      </c>
      <c r="F31" s="20" t="n">
        <v>2.75448353</v>
      </c>
      <c r="G31" s="18" t="n">
        <v>72.67467782999999</v>
      </c>
      <c r="H31" s="20" t="n">
        <v>2.61568961</v>
      </c>
      <c r="I31" s="18" t="s">
        <v>567</v>
      </c>
      <c r="J31" s="20" t="s">
        <v>567</v>
      </c>
      <c r="K31" s="18" t="n">
        <v>0.66547526</v>
      </c>
      <c r="L31" s="20" t="n">
        <v>0.48162691</v>
      </c>
      <c r="M31" s="18" t="n">
        <v>0</v>
      </c>
      <c r="N31" s="20" t="n">
        <v>0</v>
      </c>
      <c r="O31" s="18" t="n">
        <v>0</v>
      </c>
      <c r="P31" s="20" t="n">
        <v>0</v>
      </c>
      <c r="Q31" s="18" t="n">
        <v>0.62428883</v>
      </c>
      <c r="R31" s="20" t="n">
        <v>0.4298077</v>
      </c>
    </row>
    <row r="32" spans="1:18">
      <c r="A32" s="15" t="s">
        <v>592</v>
      </c>
      <c r="B32" s="17" t="n">
        <v>2269</v>
      </c>
      <c r="C32" s="18">
        <f>(2024.0/B32*100)</f>
        <v/>
      </c>
      <c r="D32" s="19" t="n">
        <v>245</v>
      </c>
      <c r="E32" s="18" t="n">
        <v>17.11686082</v>
      </c>
      <c r="F32" s="20" t="n">
        <v>2.33308348</v>
      </c>
      <c r="G32" s="18" t="n">
        <v>82.88313918</v>
      </c>
      <c r="H32" s="20" t="n">
        <v>2.33308348</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(3277.0/B33*100)</f>
        <v/>
      </c>
      <c r="D33" s="19" t="n">
        <v>397</v>
      </c>
      <c r="E33" s="18" t="n">
        <v>22.01652387</v>
      </c>
      <c r="F33" s="20" t="n">
        <v>2.34918955</v>
      </c>
      <c r="G33" s="18" t="n">
        <v>76.46714063</v>
      </c>
      <c r="H33" s="20" t="n">
        <v>2.39005694</v>
      </c>
      <c r="I33" s="18" t="s">
        <v>567</v>
      </c>
      <c r="J33" s="20" t="s">
        <v>567</v>
      </c>
      <c r="K33" s="18" t="n">
        <v>0.50577085</v>
      </c>
      <c r="L33" s="20" t="n">
        <v>0.59765633</v>
      </c>
      <c r="M33" s="18" t="n">
        <v>0</v>
      </c>
      <c r="N33" s="20" t="n">
        <v>0</v>
      </c>
      <c r="O33" s="18" t="n">
        <v>0</v>
      </c>
      <c r="P33" s="20" t="n">
        <v>0</v>
      </c>
      <c r="Q33" s="18" t="n">
        <v>1.01056466</v>
      </c>
      <c r="R33" s="20" t="n">
        <v>0.51348617</v>
      </c>
    </row>
    <row r="34" spans="1:18">
      <c r="A34" s="15" t="s">
        <v>594</v>
      </c>
      <c r="B34" s="17" t="n">
        <v>3315</v>
      </c>
      <c r="C34" s="18">
        <f>(2884.0/B34*100)</f>
        <v/>
      </c>
      <c r="D34" s="19" t="n">
        <v>431</v>
      </c>
      <c r="E34" s="18" t="n">
        <v>43.00699207</v>
      </c>
      <c r="F34" s="20" t="n">
        <v>3.02705052</v>
      </c>
      <c r="G34" s="18" t="n">
        <v>56.06950648</v>
      </c>
      <c r="H34" s="20" t="n">
        <v>3.05479967</v>
      </c>
      <c r="I34" s="18" t="s">
        <v>567</v>
      </c>
      <c r="J34" s="20" t="s">
        <v>567</v>
      </c>
      <c r="K34" s="18" t="n">
        <v>0</v>
      </c>
      <c r="L34" s="20" t="n">
        <v>0</v>
      </c>
      <c r="M34" s="18" t="n">
        <v>0</v>
      </c>
      <c r="N34" s="20" t="n">
        <v>0</v>
      </c>
      <c r="O34" s="18" t="n">
        <v>0</v>
      </c>
      <c r="P34" s="20" t="n">
        <v>0</v>
      </c>
      <c r="Q34" s="18" t="n">
        <v>0.9235014499999999</v>
      </c>
      <c r="R34" s="20" t="n">
        <v>0.41119828</v>
      </c>
    </row>
    <row r="35" spans="1:18">
      <c r="A35" s="15" t="s">
        <v>595</v>
      </c>
      <c r="B35" s="17" t="n">
        <v>3505</v>
      </c>
      <c r="C35" s="18">
        <f>(3006.0/B35*100)</f>
        <v/>
      </c>
      <c r="D35" s="19" t="n">
        <v>499</v>
      </c>
      <c r="E35" s="18" t="n">
        <v>20.18502584</v>
      </c>
      <c r="F35" s="20" t="n">
        <v>1.88987319</v>
      </c>
      <c r="G35" s="18" t="n">
        <v>79.42795463</v>
      </c>
      <c r="H35" s="20" t="n">
        <v>1.87008075</v>
      </c>
      <c r="I35" s="18" t="s">
        <v>567</v>
      </c>
      <c r="J35" s="20" t="s">
        <v>567</v>
      </c>
      <c r="K35" s="18" t="n">
        <v>0</v>
      </c>
      <c r="L35" s="20" t="n">
        <v>0</v>
      </c>
      <c r="M35" s="18" t="n">
        <v>0</v>
      </c>
      <c r="N35" s="20" t="n">
        <v>0</v>
      </c>
      <c r="O35" s="18" t="n">
        <v>0</v>
      </c>
      <c r="P35" s="20" t="n">
        <v>0</v>
      </c>
      <c r="Q35" s="18" t="n">
        <v>0.38701953</v>
      </c>
      <c r="R35" s="20" t="n">
        <v>0.21973094</v>
      </c>
    </row>
    <row r="36" spans="1:18">
      <c r="A36" s="15" t="s">
        <v>596</v>
      </c>
      <c r="B36" s="17" t="n">
        <v>3332</v>
      </c>
      <c r="C36" s="18">
        <f>(2957.0/B36*100)</f>
        <v/>
      </c>
      <c r="D36" s="19" t="n">
        <v>375</v>
      </c>
      <c r="E36" s="18" t="n">
        <v>31.52367033</v>
      </c>
      <c r="F36" s="20" t="n">
        <v>2.72857133</v>
      </c>
      <c r="G36" s="18" t="n">
        <v>67.27686306</v>
      </c>
      <c r="H36" s="20" t="n">
        <v>2.5942984</v>
      </c>
      <c r="I36" s="18" t="s">
        <v>567</v>
      </c>
      <c r="J36" s="20" t="s">
        <v>567</v>
      </c>
      <c r="K36" s="18" t="n">
        <v>0.60282829</v>
      </c>
      <c r="L36" s="20" t="n">
        <v>0.37065868</v>
      </c>
      <c r="M36" s="18" t="n">
        <v>0</v>
      </c>
      <c r="N36" s="20" t="n">
        <v>0</v>
      </c>
      <c r="O36" s="18" t="n">
        <v>0</v>
      </c>
      <c r="P36" s="20" t="n">
        <v>0</v>
      </c>
      <c r="Q36" s="18" t="n">
        <v>0.5966383200000001</v>
      </c>
      <c r="R36" s="20" t="n">
        <v>0.48765231</v>
      </c>
    </row>
    <row r="37" spans="1:18">
      <c r="A37" s="15" t="s">
        <v>597</v>
      </c>
      <c r="B37" s="17" t="n">
        <v>2727</v>
      </c>
      <c r="C37" s="18">
        <f>(2438.0/B37*100)</f>
        <v/>
      </c>
      <c r="D37" s="19" t="n">
        <v>289</v>
      </c>
      <c r="E37" s="18" t="n">
        <v>26.86750565</v>
      </c>
      <c r="F37" s="20" t="n">
        <v>2.72610589</v>
      </c>
      <c r="G37" s="18" t="n">
        <v>71.77898465</v>
      </c>
      <c r="H37" s="20" t="n">
        <v>2.7836576</v>
      </c>
      <c r="I37" s="18" t="s">
        <v>567</v>
      </c>
      <c r="J37" s="20" t="s">
        <v>567</v>
      </c>
      <c r="K37" s="18" t="n">
        <v>0.30557771</v>
      </c>
      <c r="L37" s="20" t="n">
        <v>0.30829213</v>
      </c>
      <c r="M37" s="18" t="n">
        <v>0</v>
      </c>
      <c r="N37" s="20" t="n">
        <v>0</v>
      </c>
      <c r="O37" s="18" t="n">
        <v>0</v>
      </c>
      <c r="P37" s="20" t="n">
        <v>0</v>
      </c>
      <c r="Q37" s="18" t="n">
        <v>1.04793198</v>
      </c>
      <c r="R37" s="20" t="n">
        <v>0.59732645</v>
      </c>
    </row>
    <row r="38" spans="1:18">
      <c r="A38" s="15" t="s">
        <v>598</v>
      </c>
      <c r="B38" s="17" t="n">
        <v>3053</v>
      </c>
      <c r="C38" s="18">
        <f>(2710.0/B38*100)</f>
        <v/>
      </c>
      <c r="D38" s="19" t="n">
        <v>343</v>
      </c>
      <c r="E38" s="18" t="n">
        <v>23.01391862</v>
      </c>
      <c r="F38" s="20" t="n">
        <v>2.78675227</v>
      </c>
      <c r="G38" s="18" t="n">
        <v>76.05991958</v>
      </c>
      <c r="H38" s="20" t="n">
        <v>2.83575486</v>
      </c>
      <c r="I38" s="18" t="s">
        <v>567</v>
      </c>
      <c r="J38" s="20" t="s">
        <v>567</v>
      </c>
      <c r="K38" s="18" t="n">
        <v>0</v>
      </c>
      <c r="L38" s="20" t="n">
        <v>0</v>
      </c>
      <c r="M38" s="18" t="n">
        <v>0</v>
      </c>
      <c r="N38" s="20" t="n">
        <v>0</v>
      </c>
      <c r="O38" s="18" t="n">
        <v>0</v>
      </c>
      <c r="P38" s="20" t="n">
        <v>0</v>
      </c>
      <c r="Q38" s="18" t="n">
        <v>0.9261618</v>
      </c>
      <c r="R38" s="20" t="n">
        <v>0.60750013</v>
      </c>
    </row>
    <row r="39" spans="1:18">
      <c r="A39" s="15" t="s">
        <v>599</v>
      </c>
      <c r="B39" s="17" t="n">
        <v>2957</v>
      </c>
      <c r="C39" s="18">
        <f>(2640.0/B39*100)</f>
        <v/>
      </c>
      <c r="D39" s="19" t="n">
        <v>317</v>
      </c>
      <c r="E39" s="18" t="n">
        <v>50.71068665</v>
      </c>
      <c r="F39" s="20" t="n">
        <v>3.15972913</v>
      </c>
      <c r="G39" s="18" t="n">
        <v>48.01709543</v>
      </c>
      <c r="H39" s="20" t="n">
        <v>3.19840194</v>
      </c>
      <c r="I39" s="18" t="s">
        <v>567</v>
      </c>
      <c r="J39" s="20" t="s">
        <v>567</v>
      </c>
      <c r="K39" s="18" t="n">
        <v>0</v>
      </c>
      <c r="L39" s="20" t="n">
        <v>0</v>
      </c>
      <c r="M39" s="18" t="n">
        <v>0</v>
      </c>
      <c r="N39" s="20" t="n">
        <v>0</v>
      </c>
      <c r="O39" s="18" t="n">
        <v>0</v>
      </c>
      <c r="P39" s="20" t="n">
        <v>0</v>
      </c>
      <c r="Q39" s="18" t="n">
        <v>1.27221793</v>
      </c>
      <c r="R39" s="20" t="n">
        <v>0.79343137</v>
      </c>
    </row>
    <row r="40" spans="1:18">
      <c r="A40" s="15" t="s">
        <v>600</v>
      </c>
      <c r="B40" s="17" t="n">
        <v>7235</v>
      </c>
      <c r="C40" s="18">
        <f>(6423.0/B40*100)</f>
        <v/>
      </c>
      <c r="D40" s="19" t="n">
        <v>812</v>
      </c>
      <c r="E40" s="18" t="n">
        <v>25.27623229</v>
      </c>
      <c r="F40" s="20" t="n">
        <v>2.55204884</v>
      </c>
      <c r="G40" s="18" t="n">
        <v>73.39643785</v>
      </c>
      <c r="H40" s="20" t="n">
        <v>2.61011172</v>
      </c>
      <c r="I40" s="18" t="s">
        <v>567</v>
      </c>
      <c r="J40" s="20" t="s">
        <v>567</v>
      </c>
      <c r="K40" s="18" t="n">
        <v>0.544777</v>
      </c>
      <c r="L40" s="20" t="n">
        <v>0.34237377</v>
      </c>
      <c r="M40" s="18" t="n">
        <v>0</v>
      </c>
      <c r="N40" s="20" t="n">
        <v>0</v>
      </c>
      <c r="O40" s="18" t="n">
        <v>0</v>
      </c>
      <c r="P40" s="20" t="n">
        <v>0</v>
      </c>
      <c r="Q40" s="18" t="n">
        <v>0.78255286</v>
      </c>
      <c r="R40" s="20" t="n">
        <v>0.55102154</v>
      </c>
    </row>
    <row r="41" spans="1:18">
      <c r="A41" s="15" t="s">
        <v>601</v>
      </c>
      <c r="B41" s="17" t="n">
        <v>2858</v>
      </c>
      <c r="C41" s="18">
        <f>(2523.0/B41*100)</f>
        <v/>
      </c>
      <c r="D41" s="19" t="n">
        <v>335</v>
      </c>
      <c r="E41" s="18" t="n">
        <v>30.68686071</v>
      </c>
      <c r="F41" s="20" t="n">
        <v>2.80297311</v>
      </c>
      <c r="G41" s="18" t="n">
        <v>68.24039093</v>
      </c>
      <c r="H41" s="20" t="n">
        <v>2.97666542</v>
      </c>
      <c r="I41" s="18" t="s">
        <v>567</v>
      </c>
      <c r="J41" s="20" t="s">
        <v>567</v>
      </c>
      <c r="K41" s="18" t="n">
        <v>0.40748123</v>
      </c>
      <c r="L41" s="20" t="n">
        <v>0.33063831</v>
      </c>
      <c r="M41" s="18" t="n">
        <v>0</v>
      </c>
      <c r="N41" s="20" t="n">
        <v>0</v>
      </c>
      <c r="O41" s="18" t="n">
        <v>0</v>
      </c>
      <c r="P41" s="20" t="n">
        <v>0</v>
      </c>
      <c r="Q41" s="18" t="n">
        <v>0.66526712</v>
      </c>
      <c r="R41" s="20" t="n">
        <v>0.4706819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(9996.0/B46*100)</f>
        <v/>
      </c>
      <c r="D46" s="19" t="n">
        <v>1072</v>
      </c>
      <c r="E46" s="18" t="n">
        <v>46.45477915</v>
      </c>
      <c r="F46" s="20" t="n">
        <v>2.10629927</v>
      </c>
      <c r="G46" s="18" t="n">
        <v>50.15379092</v>
      </c>
      <c r="H46" s="20" t="n">
        <v>2.08394195</v>
      </c>
      <c r="I46" s="18" t="s">
        <v>567</v>
      </c>
      <c r="J46" s="20" t="s">
        <v>567</v>
      </c>
      <c r="K46" s="18" t="n">
        <v>1.10611268</v>
      </c>
      <c r="L46" s="20" t="n">
        <v>0.42654183</v>
      </c>
      <c r="M46" s="18" t="n">
        <v>0</v>
      </c>
      <c r="N46" s="20" t="n">
        <v>0</v>
      </c>
      <c r="O46" s="18" t="n">
        <v>0</v>
      </c>
      <c r="P46" s="20" t="n">
        <v>0</v>
      </c>
      <c r="Q46" s="18" t="n">
        <v>2.28531725</v>
      </c>
      <c r="R46" s="20" t="n">
        <v>0.53912792</v>
      </c>
    </row>
    <row r="47" spans="1:18">
      <c r="A47" s="15" t="s">
        <v>607</v>
      </c>
      <c r="B47" s="17" t="n">
        <v>3105</v>
      </c>
      <c r="C47" s="18">
        <f>(2763.0/B47*100)</f>
        <v/>
      </c>
      <c r="D47" s="19" t="n">
        <v>342</v>
      </c>
      <c r="E47" s="18" t="n">
        <v>41.32140712</v>
      </c>
      <c r="F47" s="20" t="n">
        <v>2.89245975</v>
      </c>
      <c r="G47" s="18" t="n">
        <v>57.23425328</v>
      </c>
      <c r="H47" s="20" t="n">
        <v>2.76901088</v>
      </c>
      <c r="I47" s="18" t="s">
        <v>567</v>
      </c>
      <c r="J47" s="20" t="s">
        <v>567</v>
      </c>
      <c r="K47" s="18" t="n">
        <v>0</v>
      </c>
      <c r="L47" s="20" t="n">
        <v>0</v>
      </c>
      <c r="M47" s="18" t="n">
        <v>0</v>
      </c>
      <c r="N47" s="20" t="n">
        <v>0</v>
      </c>
      <c r="O47" s="18" t="n">
        <v>0</v>
      </c>
      <c r="P47" s="20" t="n">
        <v>0</v>
      </c>
      <c r="Q47" s="18" t="n">
        <v>1.4443396</v>
      </c>
      <c r="R47" s="20" t="n">
        <v>0.77709512</v>
      </c>
    </row>
    <row r="48" spans="1:18">
      <c r="A48" s="15" t="s">
        <v>608</v>
      </c>
      <c r="B48" s="17" t="n">
        <v>5159</v>
      </c>
      <c r="C48" s="18">
        <f>(4596.0/B48*100)</f>
        <v/>
      </c>
      <c r="D48" s="19" t="n">
        <v>563</v>
      </c>
      <c r="E48" s="18" t="n">
        <v>14.12811373</v>
      </c>
      <c r="F48" s="20" t="n">
        <v>1.99198916</v>
      </c>
      <c r="G48" s="18" t="n">
        <v>85.53759866999999</v>
      </c>
      <c r="H48" s="20" t="n">
        <v>1.96905895</v>
      </c>
      <c r="I48" s="18" t="s">
        <v>567</v>
      </c>
      <c r="J48" s="20" t="s">
        <v>567</v>
      </c>
      <c r="K48" s="18" t="n">
        <v>0.33143323</v>
      </c>
      <c r="L48" s="20" t="n">
        <v>0.23694605</v>
      </c>
      <c r="M48" s="18" t="n">
        <v>0</v>
      </c>
      <c r="N48" s="20" t="n">
        <v>0</v>
      </c>
      <c r="O48" s="18" t="n">
        <v>0</v>
      </c>
      <c r="P48" s="20" t="n">
        <v>0</v>
      </c>
      <c r="Q48" s="18" t="n">
        <v>0.00285437</v>
      </c>
      <c r="R48" s="20" t="n">
        <v>0.00205204</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(5026.0/B50*100)</f>
        <v/>
      </c>
      <c r="D50" s="19" t="n">
        <v>611</v>
      </c>
      <c r="E50" s="18" t="n">
        <v>44.33946613</v>
      </c>
      <c r="F50" s="20" t="n">
        <v>2.92872892</v>
      </c>
      <c r="G50" s="18" t="n">
        <v>53.21827436</v>
      </c>
      <c r="H50" s="20" t="n">
        <v>3.15108852</v>
      </c>
      <c r="I50" s="18" t="s">
        <v>567</v>
      </c>
      <c r="J50" s="20" t="s">
        <v>567</v>
      </c>
      <c r="K50" s="18" t="n">
        <v>2.22164719</v>
      </c>
      <c r="L50" s="20" t="n">
        <v>1.25717742</v>
      </c>
      <c r="M50" s="18" t="n">
        <v>0</v>
      </c>
      <c r="N50" s="20" t="n">
        <v>0</v>
      </c>
      <c r="O50" s="18" t="n">
        <v>0</v>
      </c>
      <c r="P50" s="20" t="n">
        <v>0</v>
      </c>
      <c r="Q50" s="18" t="n">
        <v>0.22061232</v>
      </c>
      <c r="R50" s="20" t="n">
        <v>0.16514032</v>
      </c>
    </row>
    <row r="51" spans="1:18">
      <c r="A51" s="15" t="s">
        <v>611</v>
      </c>
      <c r="B51" s="17" t="n">
        <v>3372</v>
      </c>
      <c r="C51" s="18">
        <f>(2674.0/B51*100)</f>
        <v/>
      </c>
      <c r="D51" s="19" t="n">
        <v>698</v>
      </c>
      <c r="E51" s="18" t="n">
        <v>48.59101931</v>
      </c>
      <c r="F51" s="20" t="n">
        <v>2.22898062</v>
      </c>
      <c r="G51" s="18" t="n">
        <v>50.02935263</v>
      </c>
      <c r="H51" s="20" t="n">
        <v>2.23041146</v>
      </c>
      <c r="I51" s="18" t="s">
        <v>567</v>
      </c>
      <c r="J51" s="20" t="s">
        <v>567</v>
      </c>
      <c r="K51" s="18" t="n">
        <v>0.15585917</v>
      </c>
      <c r="L51" s="20" t="n">
        <v>0.15558735</v>
      </c>
      <c r="M51" s="18" t="n">
        <v>0</v>
      </c>
      <c r="N51" s="20" t="n">
        <v>0</v>
      </c>
      <c r="O51" s="18" t="n">
        <v>0</v>
      </c>
      <c r="P51" s="20" t="n">
        <v>0</v>
      </c>
      <c r="Q51" s="18" t="n">
        <v>1.22376888</v>
      </c>
      <c r="R51" s="20" t="n">
        <v>0.34046231</v>
      </c>
    </row>
    <row r="52" spans="1:18">
      <c r="A52" s="15" t="s">
        <v>612</v>
      </c>
      <c r="B52" s="17" t="n">
        <v>2796</v>
      </c>
      <c r="C52" s="18">
        <f>(2476.0/B52*100)</f>
        <v/>
      </c>
      <c r="D52" s="19" t="n">
        <v>320</v>
      </c>
      <c r="E52" s="18" t="n">
        <v>24.0322694</v>
      </c>
      <c r="F52" s="20" t="n">
        <v>2.80682164</v>
      </c>
      <c r="G52" s="18" t="n">
        <v>74.92867509</v>
      </c>
      <c r="H52" s="20" t="n">
        <v>2.7480157</v>
      </c>
      <c r="I52" s="18" t="s">
        <v>567</v>
      </c>
      <c r="J52" s="20" t="s">
        <v>567</v>
      </c>
      <c r="K52" s="18" t="n">
        <v>0.31878686</v>
      </c>
      <c r="L52" s="20" t="n">
        <v>0.31151008</v>
      </c>
      <c r="M52" s="18" t="n">
        <v>0</v>
      </c>
      <c r="N52" s="20" t="n">
        <v>0</v>
      </c>
      <c r="O52" s="18" t="n">
        <v>0</v>
      </c>
      <c r="P52" s="20" t="n">
        <v>0</v>
      </c>
      <c r="Q52" s="18" t="n">
        <v>0.72026865</v>
      </c>
      <c r="R52" s="20" t="n">
        <v>0.5172359</v>
      </c>
    </row>
    <row r="53" spans="1:18">
      <c r="A53" s="15" t="s">
        <v>613</v>
      </c>
      <c r="B53" s="17" t="n">
        <v>2811</v>
      </c>
      <c r="C53" s="18">
        <f>(2492.0/B53*100)</f>
        <v/>
      </c>
      <c r="D53" s="19" t="n">
        <v>319</v>
      </c>
      <c r="E53" s="18" t="n">
        <v>47.02250427</v>
      </c>
      <c r="F53" s="20" t="n">
        <v>3.18276006</v>
      </c>
      <c r="G53" s="18" t="n">
        <v>49.77401477</v>
      </c>
      <c r="H53" s="20" t="n">
        <v>3.07449517</v>
      </c>
      <c r="I53" s="18" t="s">
        <v>567</v>
      </c>
      <c r="J53" s="20" t="s">
        <v>567</v>
      </c>
      <c r="K53" s="18" t="n">
        <v>0.70340692</v>
      </c>
      <c r="L53" s="20" t="n">
        <v>0.40124431</v>
      </c>
      <c r="M53" s="18" t="n">
        <v>0</v>
      </c>
      <c r="N53" s="20" t="n">
        <v>0</v>
      </c>
      <c r="O53" s="18" t="n">
        <v>0</v>
      </c>
      <c r="P53" s="20" t="n">
        <v>0</v>
      </c>
      <c r="Q53" s="18" t="n">
        <v>2.50007404</v>
      </c>
      <c r="R53" s="20" t="n">
        <v>0.85179834</v>
      </c>
    </row>
    <row r="54" spans="1:18">
      <c r="A54" s="15" t="s">
        <v>614</v>
      </c>
      <c r="B54" s="17" t="n">
        <v>2266</v>
      </c>
      <c r="C54" s="18">
        <f>(2013.0/B54*100)</f>
        <v/>
      </c>
      <c r="D54" s="19" t="n">
        <v>253</v>
      </c>
      <c r="E54" s="18" t="n">
        <v>65.3434568</v>
      </c>
      <c r="F54" s="20" t="n">
        <v>3.17412293</v>
      </c>
      <c r="G54" s="18" t="n">
        <v>24.27946789</v>
      </c>
      <c r="H54" s="20" t="n">
        <v>2.69930202</v>
      </c>
      <c r="I54" s="18" t="s">
        <v>567</v>
      </c>
      <c r="J54" s="20" t="s">
        <v>567</v>
      </c>
      <c r="K54" s="18" t="n">
        <v>7.41816551</v>
      </c>
      <c r="L54" s="20" t="n">
        <v>1.58747784</v>
      </c>
      <c r="M54" s="18" t="n">
        <v>0</v>
      </c>
      <c r="N54" s="20" t="n">
        <v>0</v>
      </c>
      <c r="O54" s="18" t="n">
        <v>0</v>
      </c>
      <c r="P54" s="20" t="n">
        <v>0</v>
      </c>
      <c r="Q54" s="18" t="n">
        <v>2.9589098</v>
      </c>
      <c r="R54" s="20" t="n">
        <v>1.28147828</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(2391.0/B56*100)</f>
        <v/>
      </c>
      <c r="D56" s="19" t="n">
        <v>293</v>
      </c>
      <c r="E56" s="18" t="n">
        <v>13.15266944</v>
      </c>
      <c r="F56" s="20" t="n">
        <v>2.45207085</v>
      </c>
      <c r="G56" s="18" t="n">
        <v>86.51757464000001</v>
      </c>
      <c r="H56" s="20" t="n">
        <v>2.43180964</v>
      </c>
      <c r="I56" s="18" t="s">
        <v>567</v>
      </c>
      <c r="J56" s="20" t="s">
        <v>567</v>
      </c>
      <c r="K56" s="18" t="n">
        <v>0</v>
      </c>
      <c r="L56" s="20" t="n">
        <v>0</v>
      </c>
      <c r="M56" s="18" t="n">
        <v>0</v>
      </c>
      <c r="N56" s="20" t="n">
        <v>0</v>
      </c>
      <c r="O56" s="18" t="n">
        <v>0</v>
      </c>
      <c r="P56" s="20" t="n">
        <v>0</v>
      </c>
      <c r="Q56" s="18" t="n">
        <v>0.32975592</v>
      </c>
      <c r="R56" s="20" t="n">
        <v>0.3291367</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(2980.0/B61*100)</f>
        <v/>
      </c>
      <c r="D61" s="19" t="n">
        <v>344</v>
      </c>
      <c r="E61" s="18" t="n">
        <v>34.78509846</v>
      </c>
      <c r="F61" s="20" t="n">
        <v>3.07148734</v>
      </c>
      <c r="G61" s="18" t="n">
        <v>64.16957189999999</v>
      </c>
      <c r="H61" s="20" t="n">
        <v>3.07001127</v>
      </c>
      <c r="I61" s="18" t="s">
        <v>567</v>
      </c>
      <c r="J61" s="20" t="s">
        <v>567</v>
      </c>
      <c r="K61" s="18" t="n">
        <v>0</v>
      </c>
      <c r="L61" s="20" t="n">
        <v>0</v>
      </c>
      <c r="M61" s="18" t="n">
        <v>0</v>
      </c>
      <c r="N61" s="20" t="n">
        <v>0</v>
      </c>
      <c r="O61" s="18" t="n">
        <v>0</v>
      </c>
      <c r="P61" s="20" t="n">
        <v>0</v>
      </c>
      <c r="Q61" s="18" t="n">
        <v>1.04532965</v>
      </c>
      <c r="R61" s="20" t="n">
        <v>0.5264780100000001</v>
      </c>
    </row>
    <row r="62" spans="1:18">
      <c r="A62" s="15" t="s">
        <v>622</v>
      </c>
      <c r="B62" s="17" t="n">
        <v>2246</v>
      </c>
      <c r="C62" s="18">
        <f>(1991.0/B62*100)</f>
        <v/>
      </c>
      <c r="D62" s="19" t="n">
        <v>255</v>
      </c>
      <c r="E62" s="18" t="n">
        <v>12.59073489</v>
      </c>
      <c r="F62" s="20" t="n">
        <v>1.90552665</v>
      </c>
      <c r="G62" s="18" t="n">
        <v>87.40926511000001</v>
      </c>
      <c r="H62" s="20" t="n">
        <v>1.90552665</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(2587.0/B66*100)</f>
        <v/>
      </c>
      <c r="D66" s="19" t="n">
        <v>307</v>
      </c>
      <c r="E66" s="18" t="n">
        <v>45.85919747</v>
      </c>
      <c r="F66" s="20" t="n">
        <v>2.81186943</v>
      </c>
      <c r="G66" s="18" t="n">
        <v>53.18653942</v>
      </c>
      <c r="H66" s="20" t="n">
        <v>2.84380435</v>
      </c>
      <c r="I66" s="18" t="s">
        <v>567</v>
      </c>
      <c r="J66" s="20" t="s">
        <v>567</v>
      </c>
      <c r="K66" s="18" t="n">
        <v>0</v>
      </c>
      <c r="L66" s="20" t="n">
        <v>0</v>
      </c>
      <c r="M66" s="18" t="n">
        <v>0</v>
      </c>
      <c r="N66" s="20" t="n">
        <v>0</v>
      </c>
      <c r="O66" s="18" t="n">
        <v>0</v>
      </c>
      <c r="P66" s="20" t="n">
        <v>0</v>
      </c>
      <c r="Q66" s="18" t="n">
        <v>0.95426311</v>
      </c>
      <c r="R66" s="20" t="n">
        <v>0.5501136599999999</v>
      </c>
    </row>
    <row r="67" spans="1:18">
      <c r="A67" s="15" t="s">
        <v>627</v>
      </c>
      <c r="B67" s="17" t="n">
        <v>3511</v>
      </c>
      <c r="C67" s="18">
        <f>(3133.0/B67*100)</f>
        <v/>
      </c>
      <c r="D67" s="19" t="n">
        <v>378</v>
      </c>
      <c r="E67" s="18" t="n">
        <v>50.95786293</v>
      </c>
      <c r="F67" s="20" t="n">
        <v>3.00020049</v>
      </c>
      <c r="G67" s="18" t="n">
        <v>47.37782056</v>
      </c>
      <c r="H67" s="20" t="n">
        <v>2.94332433</v>
      </c>
      <c r="I67" s="18" t="s">
        <v>567</v>
      </c>
      <c r="J67" s="20" t="s">
        <v>567</v>
      </c>
      <c r="K67" s="18" t="n">
        <v>0.19704276</v>
      </c>
      <c r="L67" s="20" t="n">
        <v>0.19681233</v>
      </c>
      <c r="M67" s="18" t="n">
        <v>0</v>
      </c>
      <c r="N67" s="20" t="n">
        <v>0</v>
      </c>
      <c r="O67" s="18" t="n">
        <v>0</v>
      </c>
      <c r="P67" s="20" t="n">
        <v>0</v>
      </c>
      <c r="Q67" s="18" t="n">
        <v>1.46727374</v>
      </c>
      <c r="R67" s="20" t="n">
        <v>0.77107531</v>
      </c>
    </row>
    <row r="68" spans="1:18">
      <c r="A68" s="15" t="s">
        <v>628</v>
      </c>
      <c r="B68" s="17" t="n">
        <v>6049</v>
      </c>
      <c r="C68" s="18">
        <f>(5382.0/B68*100)</f>
        <v/>
      </c>
      <c r="D68" s="19" t="n">
        <v>667</v>
      </c>
      <c r="E68" s="18" t="n">
        <v>50.27594021</v>
      </c>
      <c r="F68" s="20" t="n">
        <v>1.85912248</v>
      </c>
      <c r="G68" s="18" t="n">
        <v>45.71117654</v>
      </c>
      <c r="H68" s="20" t="n">
        <v>1.75740847</v>
      </c>
      <c r="I68" s="18" t="s">
        <v>567</v>
      </c>
      <c r="J68" s="20" t="s">
        <v>567</v>
      </c>
      <c r="K68" s="18" t="n">
        <v>1.77729468</v>
      </c>
      <c r="L68" s="20" t="n">
        <v>0.56016873</v>
      </c>
      <c r="M68" s="18" t="n">
        <v>0</v>
      </c>
      <c r="N68" s="20" t="n">
        <v>0</v>
      </c>
      <c r="O68" s="18" t="n">
        <v>0</v>
      </c>
      <c r="P68" s="20" t="n">
        <v>0</v>
      </c>
      <c r="Q68" s="18" t="n">
        <v>2.23558858</v>
      </c>
      <c r="R68" s="20" t="n">
        <v>0.57440212</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(2607.0/B70*100)</f>
        <v/>
      </c>
      <c r="D70" s="19" t="n">
        <v>322</v>
      </c>
      <c r="E70" s="18" t="n">
        <v>21.52637658</v>
      </c>
      <c r="F70" s="20" t="n">
        <v>2.75094858</v>
      </c>
      <c r="G70" s="18" t="n">
        <v>77.2094862</v>
      </c>
      <c r="H70" s="20" t="n">
        <v>2.8815892</v>
      </c>
      <c r="I70" s="18" t="s">
        <v>567</v>
      </c>
      <c r="J70" s="20" t="s">
        <v>567</v>
      </c>
      <c r="K70" s="18" t="n">
        <v>0.77519576</v>
      </c>
      <c r="L70" s="20" t="n">
        <v>0.42944783</v>
      </c>
      <c r="M70" s="18" t="n">
        <v>0</v>
      </c>
      <c r="N70" s="20" t="n">
        <v>0</v>
      </c>
      <c r="O70" s="18" t="n">
        <v>0</v>
      </c>
      <c r="P70" s="20" t="n">
        <v>0</v>
      </c>
      <c r="Q70" s="18" t="n">
        <v>0.48894146</v>
      </c>
      <c r="R70" s="20" t="n">
        <v>0.37475702</v>
      </c>
    </row>
    <row r="71" spans="1:18">
      <c r="A71" s="15" t="s">
        <v>631</v>
      </c>
      <c r="B71" s="17" t="n">
        <v>3142</v>
      </c>
      <c r="C71" s="18">
        <f>(2801.0/B71*100)</f>
        <v/>
      </c>
      <c r="D71" s="19" t="n">
        <v>341</v>
      </c>
      <c r="E71" s="18" t="n">
        <v>12.94003701</v>
      </c>
      <c r="F71" s="20" t="n">
        <v>1.95844061</v>
      </c>
      <c r="G71" s="18" t="n">
        <v>86.90599476</v>
      </c>
      <c r="H71" s="20" t="n">
        <v>1.96448855</v>
      </c>
      <c r="I71" s="18" t="s">
        <v>567</v>
      </c>
      <c r="J71" s="20" t="s">
        <v>567</v>
      </c>
      <c r="K71" s="18" t="n">
        <v>0</v>
      </c>
      <c r="L71" s="20" t="n">
        <v>0</v>
      </c>
      <c r="M71" s="18" t="n">
        <v>0</v>
      </c>
      <c r="N71" s="20" t="n">
        <v>0</v>
      </c>
      <c r="O71" s="18" t="n">
        <v>0</v>
      </c>
      <c r="P71" s="20" t="n">
        <v>0</v>
      </c>
      <c r="Q71" s="18" t="n">
        <v>0.15396823</v>
      </c>
      <c r="R71" s="20" t="n">
        <v>0.1539787</v>
      </c>
    </row>
    <row r="72" spans="1:18">
      <c r="A72" s="15" t="s">
        <v>632</v>
      </c>
      <c r="B72" s="17" t="n">
        <v>3889</v>
      </c>
      <c r="C72" s="18">
        <f>(3449.0/B72*100)</f>
        <v/>
      </c>
      <c r="D72" s="19" t="n">
        <v>440</v>
      </c>
      <c r="E72" s="18" t="n">
        <v>14.25365426</v>
      </c>
      <c r="F72" s="20" t="n">
        <v>1.5177111</v>
      </c>
      <c r="G72" s="18" t="n">
        <v>85.28735574</v>
      </c>
      <c r="H72" s="20" t="n">
        <v>1.61378439</v>
      </c>
      <c r="I72" s="18" t="s">
        <v>567</v>
      </c>
      <c r="J72" s="20" t="s">
        <v>567</v>
      </c>
      <c r="K72" s="18" t="n">
        <v>0.30110292</v>
      </c>
      <c r="L72" s="20" t="n">
        <v>0.30243754</v>
      </c>
      <c r="M72" s="18" t="n">
        <v>0</v>
      </c>
      <c r="N72" s="20" t="n">
        <v>0</v>
      </c>
      <c r="O72" s="18" t="n">
        <v>0</v>
      </c>
      <c r="P72" s="20" t="n">
        <v>0</v>
      </c>
      <c r="Q72" s="18" t="n">
        <v>0.15788708</v>
      </c>
      <c r="R72" s="20" t="n">
        <v>0.11250096</v>
      </c>
    </row>
    <row r="73" spans="1:18">
      <c r="A73" s="15" t="s">
        <v>633</v>
      </c>
      <c r="B73" s="17" t="n">
        <v>3597</v>
      </c>
      <c r="C73" s="18">
        <f>(3233.0/B73*100)</f>
        <v/>
      </c>
      <c r="D73" s="19" t="n">
        <v>364</v>
      </c>
      <c r="E73" s="18" t="n">
        <v>44.08947515</v>
      </c>
      <c r="F73" s="20" t="n">
        <v>3.68631626</v>
      </c>
      <c r="G73" s="18" t="n">
        <v>55.28388657</v>
      </c>
      <c r="H73" s="20" t="n">
        <v>3.67651742</v>
      </c>
      <c r="I73" s="18" t="s">
        <v>567</v>
      </c>
      <c r="J73" s="20" t="s">
        <v>567</v>
      </c>
      <c r="K73" s="18" t="n">
        <v>0</v>
      </c>
      <c r="L73" s="20" t="n">
        <v>0</v>
      </c>
      <c r="M73" s="18" t="n">
        <v>0</v>
      </c>
      <c r="N73" s="20" t="n">
        <v>0</v>
      </c>
      <c r="O73" s="18" t="n">
        <v>0</v>
      </c>
      <c r="P73" s="20" t="n">
        <v>0</v>
      </c>
      <c r="Q73" s="18" t="n">
        <v>0.62663828</v>
      </c>
      <c r="R73" s="20" t="n">
        <v>0.47933121</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(2169.0/B75*100)</f>
        <v/>
      </c>
      <c r="D75" s="19" t="n">
        <v>237</v>
      </c>
      <c r="E75" s="18" t="n">
        <v>57.31615218</v>
      </c>
      <c r="F75" s="20" t="n">
        <v>3.58196891</v>
      </c>
      <c r="G75" s="18" t="n">
        <v>39.31555293</v>
      </c>
      <c r="H75" s="20" t="n">
        <v>3.59786555</v>
      </c>
      <c r="I75" s="18" t="s">
        <v>567</v>
      </c>
      <c r="J75" s="20" t="s">
        <v>567</v>
      </c>
      <c r="K75" s="18" t="n">
        <v>1.654241</v>
      </c>
      <c r="L75" s="20" t="n">
        <v>0.80938798</v>
      </c>
      <c r="M75" s="18" t="n">
        <v>0</v>
      </c>
      <c r="N75" s="20" t="n">
        <v>0</v>
      </c>
      <c r="O75" s="18" t="n">
        <v>0</v>
      </c>
      <c r="P75" s="20" t="n">
        <v>0</v>
      </c>
      <c r="Q75" s="18" t="n">
        <v>1.71405388</v>
      </c>
      <c r="R75" s="20" t="n">
        <v>0.84580682</v>
      </c>
    </row>
    <row r="76" spans="1:18">
      <c r="A76" s="15" t="s">
        <v>636</v>
      </c>
      <c r="B76" s="17" t="n">
        <v>7052</v>
      </c>
      <c r="C76" s="18">
        <f>(6259.0/B76*100)</f>
        <v/>
      </c>
      <c r="D76" s="19" t="n">
        <v>793</v>
      </c>
      <c r="E76" s="18" t="n">
        <v>48.80358751</v>
      </c>
      <c r="F76" s="20" t="n">
        <v>2.12318345</v>
      </c>
      <c r="G76" s="18" t="n">
        <v>48.02629786</v>
      </c>
      <c r="H76" s="20" t="n">
        <v>2.09301209</v>
      </c>
      <c r="I76" s="18" t="s">
        <v>567</v>
      </c>
      <c r="J76" s="20" t="s">
        <v>567</v>
      </c>
      <c r="K76" s="18" t="n">
        <v>1.28544318</v>
      </c>
      <c r="L76" s="20" t="n">
        <v>0.54461227</v>
      </c>
      <c r="M76" s="18" t="n">
        <v>0</v>
      </c>
      <c r="N76" s="20" t="n">
        <v>0</v>
      </c>
      <c r="O76" s="18" t="n">
        <v>0</v>
      </c>
      <c r="P76" s="20" t="n">
        <v>0</v>
      </c>
      <c r="Q76" s="18" t="n">
        <v>1.88467145</v>
      </c>
      <c r="R76" s="20" t="n">
        <v>0.59412954</v>
      </c>
    </row>
    <row r="77" spans="1:18">
      <c r="A77" s="15" t="s">
        <v>637</v>
      </c>
      <c r="B77" s="17" t="n">
        <v>2908</v>
      </c>
      <c r="C77" s="18">
        <f>(2582.0/B77*100)</f>
        <v/>
      </c>
      <c r="D77" s="19" t="n">
        <v>326</v>
      </c>
      <c r="E77" s="18" t="n">
        <v>34.63441437</v>
      </c>
      <c r="F77" s="20" t="n">
        <v>2.91553971</v>
      </c>
      <c r="G77" s="18" t="n">
        <v>63.4483148</v>
      </c>
      <c r="H77" s="20" t="n">
        <v>2.95599312</v>
      </c>
      <c r="I77" s="18" t="s">
        <v>567</v>
      </c>
      <c r="J77" s="20" t="s">
        <v>567</v>
      </c>
      <c r="K77" s="18" t="n">
        <v>0.5143400299999999</v>
      </c>
      <c r="L77" s="20" t="n">
        <v>0.36724589</v>
      </c>
      <c r="M77" s="18" t="n">
        <v>0</v>
      </c>
      <c r="N77" s="20" t="n">
        <v>0</v>
      </c>
      <c r="O77" s="18" t="n">
        <v>0</v>
      </c>
      <c r="P77" s="20" t="n">
        <v>0</v>
      </c>
      <c r="Q77" s="18" t="n">
        <v>1.4029308</v>
      </c>
      <c r="R77" s="20" t="n">
        <v>0.5986365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(3728.0/B81*100)</f>
        <v/>
      </c>
      <c r="D81" s="19" t="n">
        <v>435</v>
      </c>
      <c r="E81" s="18" t="n">
        <v>35.51083835</v>
      </c>
      <c r="F81" s="20" t="n">
        <v>3.50990334</v>
      </c>
      <c r="G81" s="18" t="n">
        <v>64.4725158</v>
      </c>
      <c r="H81" s="20" t="n">
        <v>3.5092109</v>
      </c>
      <c r="I81" s="18" t="s">
        <v>567</v>
      </c>
      <c r="J81" s="20" t="s">
        <v>567</v>
      </c>
      <c r="K81" s="18" t="n">
        <v>0</v>
      </c>
      <c r="L81" s="20" t="n">
        <v>0</v>
      </c>
      <c r="M81" s="18" t="n">
        <v>0</v>
      </c>
      <c r="N81" s="20" t="n">
        <v>0</v>
      </c>
      <c r="O81" s="18" t="n">
        <v>0</v>
      </c>
      <c r="P81" s="20" t="n">
        <v>0</v>
      </c>
      <c r="Q81" s="18" t="n">
        <v>0.01664585</v>
      </c>
      <c r="R81" s="20" t="n">
        <v>0.01655422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(6552.0/B7*100)</f>
        <v/>
      </c>
      <c r="D7" s="19" t="n">
        <v>815</v>
      </c>
      <c r="E7" s="18" t="n">
        <v>47.62008636</v>
      </c>
      <c r="F7" s="20" t="n">
        <v>1.91785688</v>
      </c>
      <c r="G7" s="18" t="n">
        <v>40.86044121</v>
      </c>
      <c r="H7" s="20" t="n">
        <v>1.99475685</v>
      </c>
      <c r="I7" s="18" t="s">
        <v>567</v>
      </c>
      <c r="J7" s="20" t="s">
        <v>567</v>
      </c>
      <c r="K7" s="18" t="n">
        <v>0</v>
      </c>
      <c r="L7" s="20" t="n">
        <v>0</v>
      </c>
      <c r="M7" s="18" t="n">
        <v>0.03174306</v>
      </c>
      <c r="N7" s="20" t="n">
        <v>0.02289382</v>
      </c>
      <c r="O7" s="18" t="n">
        <v>0</v>
      </c>
      <c r="P7" s="20" t="n">
        <v>0</v>
      </c>
      <c r="Q7" s="18" t="n">
        <v>11.48772937</v>
      </c>
      <c r="R7" s="20" t="n">
        <v>1.3170701</v>
      </c>
    </row>
    <row r="8" spans="1:18">
      <c r="A8" s="15" t="s">
        <v>568</v>
      </c>
      <c r="B8" s="17" t="n">
        <v>3564</v>
      </c>
      <c r="C8" s="18">
        <f>(3153.0/B8*100)</f>
        <v/>
      </c>
      <c r="D8" s="19" t="n">
        <v>411</v>
      </c>
      <c r="E8" s="18" t="n">
        <v>33.33513301</v>
      </c>
      <c r="F8" s="20" t="n">
        <v>2.52234899</v>
      </c>
      <c r="G8" s="18" t="n">
        <v>47.84190779</v>
      </c>
      <c r="H8" s="20" t="n">
        <v>2.9676837</v>
      </c>
      <c r="I8" s="18" t="s">
        <v>567</v>
      </c>
      <c r="J8" s="20" t="s">
        <v>567</v>
      </c>
      <c r="K8" s="18" t="n">
        <v>0.28502352</v>
      </c>
      <c r="L8" s="20" t="n">
        <v>0.4354895</v>
      </c>
      <c r="M8" s="18" t="n">
        <v>0</v>
      </c>
      <c r="N8" s="20" t="n">
        <v>0</v>
      </c>
      <c r="O8" s="18" t="n">
        <v>0</v>
      </c>
      <c r="P8" s="20" t="n">
        <v>0</v>
      </c>
      <c r="Q8" s="18" t="n">
        <v>18.53793568</v>
      </c>
      <c r="R8" s="20" t="n">
        <v>2.2020145</v>
      </c>
    </row>
    <row r="9" spans="1:18">
      <c r="A9" s="15" t="s">
        <v>569</v>
      </c>
      <c r="B9" s="17" t="n">
        <v>4899</v>
      </c>
      <c r="C9" s="18">
        <f>(4258.0/B9*100)</f>
        <v/>
      </c>
      <c r="D9" s="19" t="n">
        <v>641</v>
      </c>
      <c r="E9" s="18" t="n">
        <v>40.28328502</v>
      </c>
      <c r="F9" s="20" t="n">
        <v>2.05252074</v>
      </c>
      <c r="G9" s="18" t="n">
        <v>37.86323527</v>
      </c>
      <c r="H9" s="20" t="n">
        <v>2.31938996</v>
      </c>
      <c r="I9" s="18" t="s">
        <v>567</v>
      </c>
      <c r="J9" s="20" t="s">
        <v>567</v>
      </c>
      <c r="K9" s="18" t="n">
        <v>0.71765299</v>
      </c>
      <c r="L9" s="20" t="n">
        <v>0.29693313</v>
      </c>
      <c r="M9" s="18" t="n">
        <v>0.60498051</v>
      </c>
      <c r="N9" s="20" t="n">
        <v>0.21489496</v>
      </c>
      <c r="O9" s="18" t="n">
        <v>0</v>
      </c>
      <c r="P9" s="20" t="n">
        <v>0</v>
      </c>
      <c r="Q9" s="18" t="n">
        <v>20.53084622</v>
      </c>
      <c r="R9" s="20" t="n">
        <v>1.84232267</v>
      </c>
    </row>
    <row r="10" spans="1:18">
      <c r="A10" s="15" t="s">
        <v>570</v>
      </c>
      <c r="B10" s="17" t="n">
        <v>10036</v>
      </c>
      <c r="C10" s="18">
        <f>(8962.0/B10*100)</f>
        <v/>
      </c>
      <c r="D10" s="19" t="n">
        <v>1074</v>
      </c>
      <c r="E10" s="18" t="n">
        <v>50.17455975</v>
      </c>
      <c r="F10" s="20" t="n">
        <v>2.22192738</v>
      </c>
      <c r="G10" s="18" t="n">
        <v>42.84009858</v>
      </c>
      <c r="H10" s="20" t="n">
        <v>2.18837065</v>
      </c>
      <c r="I10" s="18" t="s">
        <v>567</v>
      </c>
      <c r="J10" s="20" t="s">
        <v>567</v>
      </c>
      <c r="K10" s="18" t="n">
        <v>0.22671111</v>
      </c>
      <c r="L10" s="20" t="n">
        <v>0.18025249</v>
      </c>
      <c r="M10" s="18" t="n">
        <v>0</v>
      </c>
      <c r="N10" s="20" t="n">
        <v>0</v>
      </c>
      <c r="O10" s="18" t="n">
        <v>0</v>
      </c>
      <c r="P10" s="20" t="n">
        <v>0</v>
      </c>
      <c r="Q10" s="18" t="n">
        <v>6.75863056</v>
      </c>
      <c r="R10" s="20" t="n">
        <v>1.42383757</v>
      </c>
    </row>
    <row r="11" spans="1:18">
      <c r="A11" s="15" t="s">
        <v>571</v>
      </c>
      <c r="B11" s="17" t="n">
        <v>3553</v>
      </c>
      <c r="C11" s="18">
        <f>(3162.0/B11*100)</f>
        <v/>
      </c>
      <c r="D11" s="19" t="n">
        <v>391</v>
      </c>
      <c r="E11" s="18" t="n">
        <v>52.29742515</v>
      </c>
      <c r="F11" s="20" t="n">
        <v>3.29273319</v>
      </c>
      <c r="G11" s="18" t="n">
        <v>28.201306</v>
      </c>
      <c r="H11" s="20" t="n">
        <v>2.73509437</v>
      </c>
      <c r="I11" s="18" t="s">
        <v>567</v>
      </c>
      <c r="J11" s="20" t="s">
        <v>567</v>
      </c>
      <c r="K11" s="18" t="n">
        <v>0</v>
      </c>
      <c r="L11" s="20" t="n">
        <v>0</v>
      </c>
      <c r="M11" s="18" t="n">
        <v>0</v>
      </c>
      <c r="N11" s="20" t="n">
        <v>0</v>
      </c>
      <c r="O11" s="18" t="n">
        <v>0</v>
      </c>
      <c r="P11" s="20" t="n">
        <v>0</v>
      </c>
      <c r="Q11" s="18" t="n">
        <v>19.50126885</v>
      </c>
      <c r="R11" s="20" t="n">
        <v>2.44196564</v>
      </c>
    </row>
    <row r="12" spans="1:18">
      <c r="A12" s="15" t="s">
        <v>572</v>
      </c>
      <c r="B12" s="17" t="n">
        <v>3472</v>
      </c>
      <c r="C12" s="18">
        <f>(3053.0/B12*100)</f>
        <v/>
      </c>
      <c r="D12" s="19" t="n">
        <v>419</v>
      </c>
      <c r="E12" s="18" t="n">
        <v>34.01438562</v>
      </c>
      <c r="F12" s="20" t="n">
        <v>2.99166597</v>
      </c>
      <c r="G12" s="18" t="n">
        <v>44.16183299</v>
      </c>
      <c r="H12" s="20" t="n">
        <v>3.34164703</v>
      </c>
      <c r="I12" s="18" t="s">
        <v>567</v>
      </c>
      <c r="J12" s="20" t="s">
        <v>567</v>
      </c>
      <c r="K12" s="18" t="n">
        <v>0.43216257</v>
      </c>
      <c r="L12" s="20" t="n">
        <v>0.47918409</v>
      </c>
      <c r="M12" s="18" t="n">
        <v>0.12405357</v>
      </c>
      <c r="N12" s="20" t="n">
        <v>0.1675453</v>
      </c>
      <c r="O12" s="18" t="n">
        <v>0</v>
      </c>
      <c r="P12" s="20" t="n">
        <v>0</v>
      </c>
      <c r="Q12" s="18" t="n">
        <v>21.26756525</v>
      </c>
      <c r="R12" s="20" t="n">
        <v>2.26252912</v>
      </c>
    </row>
    <row r="13" spans="1:18">
      <c r="A13" s="15" t="s">
        <v>573</v>
      </c>
      <c r="B13" s="17" t="n">
        <v>3559</v>
      </c>
      <c r="C13" s="18">
        <f>(2994.0/B13*100)</f>
        <v/>
      </c>
      <c r="D13" s="19" t="n">
        <v>565</v>
      </c>
      <c r="E13" s="18" t="n">
        <v>45.77177135</v>
      </c>
      <c r="F13" s="20" t="n">
        <v>2.5505446</v>
      </c>
      <c r="G13" s="18" t="n">
        <v>36.35890871</v>
      </c>
      <c r="H13" s="20" t="n">
        <v>2.46574183</v>
      </c>
      <c r="I13" s="18" t="s">
        <v>567</v>
      </c>
      <c r="J13" s="20" t="s">
        <v>567</v>
      </c>
      <c r="K13" s="18" t="n">
        <v>0.46201016</v>
      </c>
      <c r="L13" s="20" t="n">
        <v>0.25545215</v>
      </c>
      <c r="M13" s="18" t="n">
        <v>0</v>
      </c>
      <c r="N13" s="20" t="n">
        <v>0</v>
      </c>
      <c r="O13" s="18" t="n">
        <v>0</v>
      </c>
      <c r="P13" s="20" t="n">
        <v>0</v>
      </c>
      <c r="Q13" s="18" t="n">
        <v>17.40730978</v>
      </c>
      <c r="R13" s="20" t="n">
        <v>2.26233344</v>
      </c>
    </row>
    <row r="14" spans="1:18">
      <c r="A14" s="15" t="s">
        <v>574</v>
      </c>
      <c r="B14" s="17" t="n">
        <v>2799</v>
      </c>
      <c r="C14" s="18">
        <f>(2509.0/B14*100)</f>
        <v/>
      </c>
      <c r="D14" s="19" t="n">
        <v>290</v>
      </c>
      <c r="E14" s="18" t="n">
        <v>29.27247987</v>
      </c>
      <c r="F14" s="20" t="n">
        <v>3.30255101</v>
      </c>
      <c r="G14" s="18" t="n">
        <v>62.90405633</v>
      </c>
      <c r="H14" s="20" t="n">
        <v>3.94747523</v>
      </c>
      <c r="I14" s="18" t="s">
        <v>567</v>
      </c>
      <c r="J14" s="20" t="s">
        <v>567</v>
      </c>
      <c r="K14" s="18" t="n">
        <v>0</v>
      </c>
      <c r="L14" s="20" t="n">
        <v>0</v>
      </c>
      <c r="M14" s="18" t="n">
        <v>0</v>
      </c>
      <c r="N14" s="20" t="n">
        <v>0</v>
      </c>
      <c r="O14" s="18" t="n">
        <v>0</v>
      </c>
      <c r="P14" s="20" t="n">
        <v>0</v>
      </c>
      <c r="Q14" s="18" t="n">
        <v>7.82346379</v>
      </c>
      <c r="R14" s="20" t="n">
        <v>1.71644927</v>
      </c>
    </row>
    <row r="15" spans="1:18">
      <c r="A15" s="15" t="s">
        <v>575</v>
      </c>
      <c r="B15" s="17" t="n">
        <v>3019</v>
      </c>
      <c r="C15" s="18">
        <f>(2645.0/B15*100)</f>
        <v/>
      </c>
      <c r="D15" s="19" t="n">
        <v>374</v>
      </c>
      <c r="E15" s="18" t="n">
        <v>36.32259765</v>
      </c>
      <c r="F15" s="20" t="n">
        <v>2.87292817</v>
      </c>
      <c r="G15" s="18" t="n">
        <v>50.22625965</v>
      </c>
      <c r="H15" s="20" t="n">
        <v>3.4027086</v>
      </c>
      <c r="I15" s="18" t="s">
        <v>567</v>
      </c>
      <c r="J15" s="20" t="s">
        <v>567</v>
      </c>
      <c r="K15" s="18" t="n">
        <v>0</v>
      </c>
      <c r="L15" s="20" t="n">
        <v>0</v>
      </c>
      <c r="M15" s="18" t="n">
        <v>0</v>
      </c>
      <c r="N15" s="20" t="n">
        <v>0</v>
      </c>
      <c r="O15" s="18" t="n">
        <v>0</v>
      </c>
      <c r="P15" s="20" t="n">
        <v>0</v>
      </c>
      <c r="Q15" s="18" t="n">
        <v>13.4511427</v>
      </c>
      <c r="R15" s="20" t="n">
        <v>2.78210628</v>
      </c>
    </row>
    <row r="16" spans="1:18">
      <c r="A16" s="15" t="s">
        <v>576</v>
      </c>
      <c r="B16" s="17" t="n">
        <v>2997</v>
      </c>
      <c r="C16" s="18">
        <f>(2660.0/B16*100)</f>
        <v/>
      </c>
      <c r="D16" s="19" t="n">
        <v>337</v>
      </c>
      <c r="E16" s="18" t="n">
        <v>39.40074224</v>
      </c>
      <c r="F16" s="20" t="n">
        <v>2.72692713</v>
      </c>
      <c r="G16" s="18" t="n">
        <v>39.04284438</v>
      </c>
      <c r="H16" s="20" t="n">
        <v>2.31696286</v>
      </c>
      <c r="I16" s="18" t="s">
        <v>567</v>
      </c>
      <c r="J16" s="20" t="s">
        <v>567</v>
      </c>
      <c r="K16" s="18" t="n">
        <v>0</v>
      </c>
      <c r="L16" s="20" t="n">
        <v>0</v>
      </c>
      <c r="M16" s="18" t="n">
        <v>0</v>
      </c>
      <c r="N16" s="20" t="n">
        <v>0</v>
      </c>
      <c r="O16" s="18" t="n">
        <v>0</v>
      </c>
      <c r="P16" s="20" t="n">
        <v>0</v>
      </c>
      <c r="Q16" s="18" t="n">
        <v>21.55641338</v>
      </c>
      <c r="R16" s="20" t="n">
        <v>2.16698462</v>
      </c>
    </row>
    <row r="17" spans="1:18">
      <c r="A17" s="15" t="s">
        <v>577</v>
      </c>
      <c r="B17" s="17" t="n">
        <v>3307</v>
      </c>
      <c r="C17" s="18">
        <f>(2893.0/B17*100)</f>
        <v/>
      </c>
      <c r="D17" s="19" t="n">
        <v>414</v>
      </c>
      <c r="E17" s="18" t="n">
        <v>27.27405617</v>
      </c>
      <c r="F17" s="20" t="n">
        <v>2.14098005</v>
      </c>
      <c r="G17" s="18" t="n">
        <v>45.88772166</v>
      </c>
      <c r="H17" s="20" t="n">
        <v>3.07955177</v>
      </c>
      <c r="I17" s="18" t="s">
        <v>567</v>
      </c>
      <c r="J17" s="20" t="s">
        <v>567</v>
      </c>
      <c r="K17" s="18" t="n">
        <v>0.55430219</v>
      </c>
      <c r="L17" s="20" t="n">
        <v>0.37507291</v>
      </c>
      <c r="M17" s="18" t="n">
        <v>0</v>
      </c>
      <c r="N17" s="20" t="n">
        <v>0</v>
      </c>
      <c r="O17" s="18" t="n">
        <v>0</v>
      </c>
      <c r="P17" s="20" t="n">
        <v>0</v>
      </c>
      <c r="Q17" s="18" t="n">
        <v>26.28391998</v>
      </c>
      <c r="R17" s="20" t="n">
        <v>2.89243078</v>
      </c>
    </row>
    <row r="18" spans="1:18">
      <c r="A18" s="15" t="s">
        <v>578</v>
      </c>
      <c r="B18" s="17" t="n">
        <v>2826</v>
      </c>
      <c r="C18" s="18">
        <f>(2501.0/B18*100)</f>
        <v/>
      </c>
      <c r="D18" s="19" t="n">
        <v>325</v>
      </c>
      <c r="E18" s="18" t="n">
        <v>43.65874776</v>
      </c>
      <c r="F18" s="20" t="n">
        <v>3.07421845</v>
      </c>
      <c r="G18" s="18" t="n">
        <v>36.45914996</v>
      </c>
      <c r="H18" s="20" t="n">
        <v>2.99614426</v>
      </c>
      <c r="I18" s="18" t="s">
        <v>567</v>
      </c>
      <c r="J18" s="20" t="s">
        <v>567</v>
      </c>
      <c r="K18" s="18" t="n">
        <v>0.35210808</v>
      </c>
      <c r="L18" s="20" t="n">
        <v>0.34887791</v>
      </c>
      <c r="M18" s="18" t="n">
        <v>0</v>
      </c>
      <c r="N18" s="20" t="n">
        <v>0</v>
      </c>
      <c r="O18" s="18" t="n">
        <v>0</v>
      </c>
      <c r="P18" s="20" t="n">
        <v>0</v>
      </c>
      <c r="Q18" s="18" t="n">
        <v>19.5299942</v>
      </c>
      <c r="R18" s="20" t="n">
        <v>2.14963655</v>
      </c>
    </row>
    <row r="19" spans="1:18">
      <c r="A19" s="15" t="s">
        <v>579</v>
      </c>
      <c r="B19" s="17" t="n">
        <v>2808</v>
      </c>
      <c r="C19" s="18">
        <f>(2482.0/B19*100)</f>
        <v/>
      </c>
      <c r="D19" s="19" t="n">
        <v>326</v>
      </c>
      <c r="E19" s="18" t="n">
        <v>33.41792773</v>
      </c>
      <c r="F19" s="20" t="n">
        <v>2.43244547</v>
      </c>
      <c r="G19" s="18" t="n">
        <v>50.79383449</v>
      </c>
      <c r="H19" s="20" t="n">
        <v>2.49184847</v>
      </c>
      <c r="I19" s="18" t="s">
        <v>567</v>
      </c>
      <c r="J19" s="20" t="s">
        <v>567</v>
      </c>
      <c r="K19" s="18" t="n">
        <v>0</v>
      </c>
      <c r="L19" s="20" t="n">
        <v>0</v>
      </c>
      <c r="M19" s="18" t="n">
        <v>0</v>
      </c>
      <c r="N19" s="20" t="n">
        <v>0</v>
      </c>
      <c r="O19" s="18" t="n">
        <v>0</v>
      </c>
      <c r="P19" s="20" t="n">
        <v>0</v>
      </c>
      <c r="Q19" s="18" t="n">
        <v>15.78823778</v>
      </c>
      <c r="R19" s="20" t="n">
        <v>2.31925872</v>
      </c>
    </row>
    <row r="20" spans="1:18">
      <c r="A20" s="15" t="s">
        <v>580</v>
      </c>
      <c r="B20" s="17" t="n">
        <v>1630</v>
      </c>
      <c r="C20" s="18">
        <f>(1468.0/B20*100)</f>
        <v/>
      </c>
      <c r="D20" s="19" t="n">
        <v>162</v>
      </c>
      <c r="E20" s="18" t="n">
        <v>54.65746896</v>
      </c>
      <c r="F20" s="20" t="n">
        <v>4.71627164</v>
      </c>
      <c r="G20" s="18" t="n">
        <v>30.88757742</v>
      </c>
      <c r="H20" s="20" t="n">
        <v>4.1636184</v>
      </c>
      <c r="I20" s="18" t="s">
        <v>567</v>
      </c>
      <c r="J20" s="20" t="s">
        <v>567</v>
      </c>
      <c r="K20" s="18" t="n">
        <v>0</v>
      </c>
      <c r="L20" s="20" t="n">
        <v>0</v>
      </c>
      <c r="M20" s="18" t="n">
        <v>0</v>
      </c>
      <c r="N20" s="20" t="n">
        <v>0</v>
      </c>
      <c r="O20" s="18" t="n">
        <v>0</v>
      </c>
      <c r="P20" s="20" t="n">
        <v>0</v>
      </c>
      <c r="Q20" s="18" t="n">
        <v>14.45495362</v>
      </c>
      <c r="R20" s="20" t="n">
        <v>3.01287459</v>
      </c>
    </row>
    <row r="21" spans="1:18">
      <c r="A21" s="15" t="s">
        <v>581</v>
      </c>
      <c r="B21" s="17" t="n">
        <v>2908</v>
      </c>
      <c r="C21" s="18">
        <f>(2596.0/B21*100)</f>
        <v/>
      </c>
      <c r="D21" s="19" t="n">
        <v>312</v>
      </c>
      <c r="E21" s="18" t="n">
        <v>47.34607642</v>
      </c>
      <c r="F21" s="20" t="n">
        <v>2.83069328</v>
      </c>
      <c r="G21" s="18" t="n">
        <v>39.24099383</v>
      </c>
      <c r="H21" s="20" t="n">
        <v>2.59911962</v>
      </c>
      <c r="I21" s="18" t="s">
        <v>567</v>
      </c>
      <c r="J21" s="20" t="s">
        <v>567</v>
      </c>
      <c r="K21" s="18" t="n">
        <v>0</v>
      </c>
      <c r="L21" s="20" t="n">
        <v>0</v>
      </c>
      <c r="M21" s="18" t="n">
        <v>0</v>
      </c>
      <c r="N21" s="20" t="n">
        <v>0</v>
      </c>
      <c r="O21" s="18" t="n">
        <v>0</v>
      </c>
      <c r="P21" s="20" t="n">
        <v>0</v>
      </c>
      <c r="Q21" s="18" t="n">
        <v>13.41292975</v>
      </c>
      <c r="R21" s="20" t="n">
        <v>1.87999065</v>
      </c>
    </row>
    <row r="22" spans="1:18">
      <c r="A22" s="15" t="s">
        <v>582</v>
      </c>
      <c r="B22" s="17" t="n">
        <v>2931</v>
      </c>
      <c r="C22" s="18">
        <f>(2605.0/B22*100)</f>
        <v/>
      </c>
      <c r="D22" s="19" t="n">
        <v>326</v>
      </c>
      <c r="E22" s="18" t="n">
        <v>41.89514119</v>
      </c>
      <c r="F22" s="20" t="n">
        <v>2.96146873</v>
      </c>
      <c r="G22" s="18" t="n">
        <v>33.73980561</v>
      </c>
      <c r="H22" s="20" t="n">
        <v>2.83258898</v>
      </c>
      <c r="I22" s="18" t="s">
        <v>567</v>
      </c>
      <c r="J22" s="20" t="s">
        <v>567</v>
      </c>
      <c r="K22" s="18" t="n">
        <v>0.81825201</v>
      </c>
      <c r="L22" s="20" t="n">
        <v>0.40677675</v>
      </c>
      <c r="M22" s="18" t="n">
        <v>0</v>
      </c>
      <c r="N22" s="20" t="n">
        <v>0</v>
      </c>
      <c r="O22" s="18" t="n">
        <v>0</v>
      </c>
      <c r="P22" s="20" t="n">
        <v>0</v>
      </c>
      <c r="Q22" s="18" t="n">
        <v>23.54680119</v>
      </c>
      <c r="R22" s="20" t="n">
        <v>3.29368314</v>
      </c>
    </row>
    <row r="23" spans="1:18">
      <c r="A23" s="15" t="s">
        <v>583</v>
      </c>
      <c r="B23" s="17" t="n">
        <v>5791</v>
      </c>
      <c r="C23" s="18">
        <f>(5126.0/B23*100)</f>
        <v/>
      </c>
      <c r="D23" s="19" t="n">
        <v>665</v>
      </c>
      <c r="E23" s="18" t="n">
        <v>35.78840112</v>
      </c>
      <c r="F23" s="20" t="n">
        <v>2.97249091</v>
      </c>
      <c r="G23" s="18" t="n">
        <v>40.5336758</v>
      </c>
      <c r="H23" s="20" t="n">
        <v>2.79479236</v>
      </c>
      <c r="I23" s="18" t="s">
        <v>567</v>
      </c>
      <c r="J23" s="20" t="s">
        <v>567</v>
      </c>
      <c r="K23" s="18" t="n">
        <v>0.48300729</v>
      </c>
      <c r="L23" s="20" t="n">
        <v>0.5566864</v>
      </c>
      <c r="M23" s="18" t="n">
        <v>0.01204938</v>
      </c>
      <c r="N23" s="20" t="n">
        <v>0.01197837</v>
      </c>
      <c r="O23" s="18" t="n">
        <v>0</v>
      </c>
      <c r="P23" s="20" t="n">
        <v>0</v>
      </c>
      <c r="Q23" s="18" t="n">
        <v>23.18286641</v>
      </c>
      <c r="R23" s="20" t="n">
        <v>2.51217735</v>
      </c>
    </row>
    <row r="24" spans="1:18">
      <c r="A24" s="15" t="s">
        <v>584</v>
      </c>
      <c r="B24" s="17" t="n">
        <v>3338</v>
      </c>
      <c r="C24" s="18">
        <f>(2970.0/B24*100)</f>
        <v/>
      </c>
      <c r="D24" s="19" t="n">
        <v>368</v>
      </c>
      <c r="E24" s="18" t="n">
        <v>23.16387218</v>
      </c>
      <c r="F24" s="20" t="n">
        <v>2.43178521</v>
      </c>
      <c r="G24" s="18" t="n">
        <v>62.29888551</v>
      </c>
      <c r="H24" s="20" t="n">
        <v>2.58394793</v>
      </c>
      <c r="I24" s="18" t="s">
        <v>567</v>
      </c>
      <c r="J24" s="20" t="s">
        <v>567</v>
      </c>
      <c r="K24" s="18" t="n">
        <v>0.23726668</v>
      </c>
      <c r="L24" s="20" t="n">
        <v>0.23737062</v>
      </c>
      <c r="M24" s="18" t="n">
        <v>0</v>
      </c>
      <c r="N24" s="20" t="n">
        <v>0</v>
      </c>
      <c r="O24" s="18" t="n">
        <v>0</v>
      </c>
      <c r="P24" s="20" t="n">
        <v>0</v>
      </c>
      <c r="Q24" s="18" t="n">
        <v>14.29997564</v>
      </c>
      <c r="R24" s="20" t="n">
        <v>1.88299294</v>
      </c>
    </row>
    <row r="25" spans="1:18">
      <c r="A25" s="15" t="s">
        <v>585</v>
      </c>
      <c r="B25" s="17" t="n">
        <v>2912</v>
      </c>
      <c r="C25" s="18">
        <f>(2561.0/B25*100)</f>
        <v/>
      </c>
      <c r="D25" s="19" t="n">
        <v>351</v>
      </c>
      <c r="E25" s="18" t="n">
        <v>34.40881428</v>
      </c>
      <c r="F25" s="20" t="n">
        <v>2.51834006</v>
      </c>
      <c r="G25" s="18" t="n">
        <v>53.01191375</v>
      </c>
      <c r="H25" s="20" t="n">
        <v>3.04622147</v>
      </c>
      <c r="I25" s="18" t="s">
        <v>567</v>
      </c>
      <c r="J25" s="20" t="s">
        <v>567</v>
      </c>
      <c r="K25" s="18" t="n">
        <v>1.69652275</v>
      </c>
      <c r="L25" s="20" t="n">
        <v>0.6732216</v>
      </c>
      <c r="M25" s="18" t="n">
        <v>0</v>
      </c>
      <c r="N25" s="20" t="n">
        <v>0</v>
      </c>
      <c r="O25" s="18" t="n">
        <v>0</v>
      </c>
      <c r="P25" s="20" t="n">
        <v>0</v>
      </c>
      <c r="Q25" s="18" t="n">
        <v>10.88274922</v>
      </c>
      <c r="R25" s="20" t="n">
        <v>1.72726416</v>
      </c>
    </row>
    <row r="26" spans="1:18">
      <c r="A26" s="15" t="s">
        <v>586</v>
      </c>
      <c r="B26" s="17" t="n">
        <v>2450</v>
      </c>
      <c r="C26" s="18">
        <f>(2180.0/B26*100)</f>
        <v/>
      </c>
      <c r="D26" s="19" t="n">
        <v>270</v>
      </c>
      <c r="E26" s="18" t="n">
        <v>43.37431321</v>
      </c>
      <c r="F26" s="20" t="n">
        <v>3.00525259</v>
      </c>
      <c r="G26" s="18" t="n">
        <v>50.2250902</v>
      </c>
      <c r="H26" s="20" t="n">
        <v>2.89106827</v>
      </c>
      <c r="I26" s="18" t="s">
        <v>567</v>
      </c>
      <c r="J26" s="20" t="s">
        <v>567</v>
      </c>
      <c r="K26" s="18" t="n">
        <v>0</v>
      </c>
      <c r="L26" s="20" t="n">
        <v>0</v>
      </c>
      <c r="M26" s="18" t="n">
        <v>0</v>
      </c>
      <c r="N26" s="20" t="n">
        <v>0</v>
      </c>
      <c r="O26" s="18" t="n">
        <v>0</v>
      </c>
      <c r="P26" s="20" t="n">
        <v>0</v>
      </c>
      <c r="Q26" s="18" t="n">
        <v>6.40059659</v>
      </c>
      <c r="R26" s="20" t="n">
        <v>1.33518834</v>
      </c>
    </row>
    <row r="27" spans="1:18">
      <c r="A27" s="15" t="s">
        <v>587</v>
      </c>
      <c r="B27" s="17" t="n">
        <v>2616</v>
      </c>
      <c r="C27" s="18">
        <f>(2346.0/B27*100)</f>
        <v/>
      </c>
      <c r="D27" s="19" t="n">
        <v>270</v>
      </c>
      <c r="E27" s="18" t="n">
        <v>33.66923993</v>
      </c>
      <c r="F27" s="20" t="n">
        <v>2.65274668</v>
      </c>
      <c r="G27" s="18" t="n">
        <v>48.15538362</v>
      </c>
      <c r="H27" s="20" t="n">
        <v>2.82007693</v>
      </c>
      <c r="I27" s="18" t="s">
        <v>567</v>
      </c>
      <c r="J27" s="20" t="s">
        <v>567</v>
      </c>
      <c r="K27" s="18" t="n">
        <v>0</v>
      </c>
      <c r="L27" s="20" t="n">
        <v>0</v>
      </c>
      <c r="M27" s="18" t="n">
        <v>0</v>
      </c>
      <c r="N27" s="20" t="n">
        <v>0</v>
      </c>
      <c r="O27" s="18" t="n">
        <v>0</v>
      </c>
      <c r="P27" s="20" t="n">
        <v>0</v>
      </c>
      <c r="Q27" s="18" t="n">
        <v>18.17537645</v>
      </c>
      <c r="R27" s="20" t="n">
        <v>2.09612268</v>
      </c>
    </row>
    <row r="28" spans="1:18">
      <c r="A28" s="15" t="s">
        <v>588</v>
      </c>
      <c r="B28" s="17" t="n">
        <v>3765</v>
      </c>
      <c r="C28" s="18">
        <f>(3337.0/B28*100)</f>
        <v/>
      </c>
      <c r="D28" s="19" t="n">
        <v>428</v>
      </c>
      <c r="E28" s="18" t="n">
        <v>83.00670096</v>
      </c>
      <c r="F28" s="20" t="n">
        <v>2.32224756</v>
      </c>
      <c r="G28" s="18" t="n">
        <v>10.07291912</v>
      </c>
      <c r="H28" s="20" t="n">
        <v>1.62581128</v>
      </c>
      <c r="I28" s="18" t="s">
        <v>567</v>
      </c>
      <c r="J28" s="20" t="s">
        <v>567</v>
      </c>
      <c r="K28" s="18" t="n">
        <v>0.8487625600000001</v>
      </c>
      <c r="L28" s="20" t="n">
        <v>0.4728192</v>
      </c>
      <c r="M28" s="18" t="n">
        <v>0</v>
      </c>
      <c r="N28" s="20" t="n">
        <v>0</v>
      </c>
      <c r="O28" s="18" t="n">
        <v>0</v>
      </c>
      <c r="P28" s="20" t="n">
        <v>0</v>
      </c>
      <c r="Q28" s="18" t="n">
        <v>6.07161736</v>
      </c>
      <c r="R28" s="20" t="n">
        <v>1.51818235</v>
      </c>
    </row>
    <row r="29" spans="1:18">
      <c r="A29" s="15" t="s">
        <v>589</v>
      </c>
      <c r="B29" s="17" t="n">
        <v>2685</v>
      </c>
      <c r="C29" s="18">
        <f>(2297.0/B29*100)</f>
        <v/>
      </c>
      <c r="D29" s="19" t="n">
        <v>388</v>
      </c>
      <c r="E29" s="18" t="n">
        <v>46.83937101</v>
      </c>
      <c r="F29" s="20" t="n">
        <v>3.03625346</v>
      </c>
      <c r="G29" s="18" t="n">
        <v>47.601107</v>
      </c>
      <c r="H29" s="20" t="n">
        <v>2.48512448</v>
      </c>
      <c r="I29" s="18" t="s">
        <v>567</v>
      </c>
      <c r="J29" s="20" t="s">
        <v>567</v>
      </c>
      <c r="K29" s="18" t="n">
        <v>0.76673786</v>
      </c>
      <c r="L29" s="20" t="n">
        <v>0.41134194</v>
      </c>
      <c r="M29" s="18" t="n">
        <v>0</v>
      </c>
      <c r="N29" s="20" t="n">
        <v>0</v>
      </c>
      <c r="O29" s="18" t="n">
        <v>0</v>
      </c>
      <c r="P29" s="20" t="n">
        <v>0</v>
      </c>
      <c r="Q29" s="18" t="n">
        <v>4.79278412</v>
      </c>
      <c r="R29" s="20" t="n">
        <v>1.3315438</v>
      </c>
    </row>
    <row r="30" spans="1:18">
      <c r="A30" s="15" t="s">
        <v>590</v>
      </c>
      <c r="B30" s="17" t="n">
        <v>2263</v>
      </c>
      <c r="C30" s="18">
        <f>(2013.0/B30*100)</f>
        <v/>
      </c>
      <c r="D30" s="19" t="n">
        <v>250</v>
      </c>
      <c r="E30" s="18" t="n">
        <v>34.49653335</v>
      </c>
      <c r="F30" s="20" t="n">
        <v>3.25023684</v>
      </c>
      <c r="G30" s="18" t="n">
        <v>51.55110455</v>
      </c>
      <c r="H30" s="20" t="n">
        <v>3.22486599</v>
      </c>
      <c r="I30" s="18" t="s">
        <v>567</v>
      </c>
      <c r="J30" s="20" t="s">
        <v>567</v>
      </c>
      <c r="K30" s="18" t="n">
        <v>0.95013848</v>
      </c>
      <c r="L30" s="20" t="n">
        <v>0.62399984</v>
      </c>
      <c r="M30" s="18" t="n">
        <v>0</v>
      </c>
      <c r="N30" s="20" t="n">
        <v>0</v>
      </c>
      <c r="O30" s="18" t="n">
        <v>0</v>
      </c>
      <c r="P30" s="20" t="n">
        <v>0</v>
      </c>
      <c r="Q30" s="18" t="n">
        <v>13.00222361</v>
      </c>
      <c r="R30" s="20" t="n">
        <v>2.02644862</v>
      </c>
    </row>
    <row r="31" spans="1:18">
      <c r="A31" s="15" t="s">
        <v>591</v>
      </c>
      <c r="B31" s="17" t="n">
        <v>2750</v>
      </c>
      <c r="C31" s="18">
        <f>(2452.0/B31*100)</f>
        <v/>
      </c>
      <c r="D31" s="19" t="n">
        <v>298</v>
      </c>
      <c r="E31" s="18" t="n">
        <v>39.55750503</v>
      </c>
      <c r="F31" s="20" t="n">
        <v>2.52909339</v>
      </c>
      <c r="G31" s="18" t="n">
        <v>48.90878362</v>
      </c>
      <c r="H31" s="20" t="n">
        <v>2.64315794</v>
      </c>
      <c r="I31" s="18" t="s">
        <v>567</v>
      </c>
      <c r="J31" s="20" t="s">
        <v>567</v>
      </c>
      <c r="K31" s="18" t="n">
        <v>0.66763571</v>
      </c>
      <c r="L31" s="20" t="n">
        <v>0.48319004</v>
      </c>
      <c r="M31" s="18" t="n">
        <v>0.28481431</v>
      </c>
      <c r="N31" s="20" t="n">
        <v>0.33391323</v>
      </c>
      <c r="O31" s="18" t="n">
        <v>0</v>
      </c>
      <c r="P31" s="20" t="n">
        <v>0</v>
      </c>
      <c r="Q31" s="18" t="n">
        <v>10.58126133</v>
      </c>
      <c r="R31" s="20" t="n">
        <v>1.81725277</v>
      </c>
    </row>
    <row r="32" spans="1:18">
      <c r="A32" s="15" t="s">
        <v>592</v>
      </c>
      <c r="B32" s="17" t="n">
        <v>2269</v>
      </c>
      <c r="C32" s="18">
        <f>(2024.0/B32*100)</f>
        <v/>
      </c>
      <c r="D32" s="19" t="n">
        <v>245</v>
      </c>
      <c r="E32" s="18" t="n">
        <v>43.12597984</v>
      </c>
      <c r="F32" s="20" t="n">
        <v>3.44893461</v>
      </c>
      <c r="G32" s="18" t="n">
        <v>45.11443638</v>
      </c>
      <c r="H32" s="20" t="n">
        <v>3.35517478</v>
      </c>
      <c r="I32" s="18" t="s">
        <v>567</v>
      </c>
      <c r="J32" s="20" t="s">
        <v>567</v>
      </c>
      <c r="K32" s="18" t="n">
        <v>0</v>
      </c>
      <c r="L32" s="20" t="n">
        <v>0</v>
      </c>
      <c r="M32" s="18" t="n">
        <v>0</v>
      </c>
      <c r="N32" s="20" t="n">
        <v>0</v>
      </c>
      <c r="O32" s="18" t="n">
        <v>0</v>
      </c>
      <c r="P32" s="20" t="n">
        <v>0</v>
      </c>
      <c r="Q32" s="18" t="n">
        <v>11.75958379</v>
      </c>
      <c r="R32" s="20" t="n">
        <v>1.87934793</v>
      </c>
    </row>
    <row r="33" spans="1:18">
      <c r="A33" s="15" t="s">
        <v>593</v>
      </c>
      <c r="B33" s="17" t="n">
        <v>3674</v>
      </c>
      <c r="C33" s="18">
        <f>(3279.0/B33*100)</f>
        <v/>
      </c>
      <c r="D33" s="19" t="n">
        <v>395</v>
      </c>
      <c r="E33" s="18" t="n">
        <v>42.16754917</v>
      </c>
      <c r="F33" s="20" t="n">
        <v>2.73067754</v>
      </c>
      <c r="G33" s="18" t="n">
        <v>38.94130591</v>
      </c>
      <c r="H33" s="20" t="n">
        <v>2.84275952</v>
      </c>
      <c r="I33" s="18" t="s">
        <v>567</v>
      </c>
      <c r="J33" s="20" t="s">
        <v>567</v>
      </c>
      <c r="K33" s="18" t="n">
        <v>0.50742725</v>
      </c>
      <c r="L33" s="20" t="n">
        <v>0.59951614</v>
      </c>
      <c r="M33" s="18" t="n">
        <v>0</v>
      </c>
      <c r="N33" s="20" t="n">
        <v>0</v>
      </c>
      <c r="O33" s="18" t="n">
        <v>0</v>
      </c>
      <c r="P33" s="20" t="n">
        <v>0</v>
      </c>
      <c r="Q33" s="18" t="n">
        <v>18.38371767</v>
      </c>
      <c r="R33" s="20" t="n">
        <v>2.06978457</v>
      </c>
    </row>
    <row r="34" spans="1:18">
      <c r="A34" s="15" t="s">
        <v>594</v>
      </c>
      <c r="B34" s="17" t="n">
        <v>3315</v>
      </c>
      <c r="C34" s="18">
        <f>(2884.0/B34*100)</f>
        <v/>
      </c>
      <c r="D34" s="19" t="n">
        <v>431</v>
      </c>
      <c r="E34" s="18" t="n">
        <v>38.9338036</v>
      </c>
      <c r="F34" s="20" t="n">
        <v>2.73984228</v>
      </c>
      <c r="G34" s="18" t="n">
        <v>40.42363792</v>
      </c>
      <c r="H34" s="20" t="n">
        <v>3.18752904</v>
      </c>
      <c r="I34" s="18" t="s">
        <v>567</v>
      </c>
      <c r="J34" s="20" t="s">
        <v>567</v>
      </c>
      <c r="K34" s="18" t="n">
        <v>0</v>
      </c>
      <c r="L34" s="20" t="n">
        <v>0</v>
      </c>
      <c r="M34" s="18" t="n">
        <v>0</v>
      </c>
      <c r="N34" s="20" t="n">
        <v>0</v>
      </c>
      <c r="O34" s="18" t="n">
        <v>0</v>
      </c>
      <c r="P34" s="20" t="n">
        <v>0</v>
      </c>
      <c r="Q34" s="18" t="n">
        <v>20.64255848</v>
      </c>
      <c r="R34" s="20" t="n">
        <v>2.16493209</v>
      </c>
    </row>
    <row r="35" spans="1:18">
      <c r="A35" s="15" t="s">
        <v>595</v>
      </c>
      <c r="B35" s="17" t="n">
        <v>3505</v>
      </c>
      <c r="C35" s="18">
        <f>(3006.0/B35*100)</f>
        <v/>
      </c>
      <c r="D35" s="19" t="n">
        <v>499</v>
      </c>
      <c r="E35" s="18" t="n">
        <v>41.34489864</v>
      </c>
      <c r="F35" s="20" t="n">
        <v>2.47701131</v>
      </c>
      <c r="G35" s="18" t="n">
        <v>44.98836042</v>
      </c>
      <c r="H35" s="20" t="n">
        <v>2.61134201</v>
      </c>
      <c r="I35" s="18" t="s">
        <v>567</v>
      </c>
      <c r="J35" s="20" t="s">
        <v>567</v>
      </c>
      <c r="K35" s="18" t="n">
        <v>0</v>
      </c>
      <c r="L35" s="20" t="n">
        <v>0</v>
      </c>
      <c r="M35" s="18" t="n">
        <v>0.38977636</v>
      </c>
      <c r="N35" s="20" t="n">
        <v>0.3916022</v>
      </c>
      <c r="O35" s="18" t="n">
        <v>0</v>
      </c>
      <c r="P35" s="20" t="n">
        <v>0</v>
      </c>
      <c r="Q35" s="18" t="n">
        <v>13.27696457</v>
      </c>
      <c r="R35" s="20" t="n">
        <v>1.36885428</v>
      </c>
    </row>
    <row r="36" spans="1:18">
      <c r="A36" s="15" t="s">
        <v>596</v>
      </c>
      <c r="B36" s="17" t="n">
        <v>3332</v>
      </c>
      <c r="C36" s="18">
        <f>(2958.0/B36*100)</f>
        <v/>
      </c>
      <c r="D36" s="19" t="n">
        <v>374</v>
      </c>
      <c r="E36" s="18" t="n">
        <v>39.80404454</v>
      </c>
      <c r="F36" s="20" t="n">
        <v>2.36057656</v>
      </c>
      <c r="G36" s="18" t="n">
        <v>45.37426625</v>
      </c>
      <c r="H36" s="20" t="n">
        <v>2.44029843</v>
      </c>
      <c r="I36" s="18" t="s">
        <v>567</v>
      </c>
      <c r="J36" s="20" t="s">
        <v>567</v>
      </c>
      <c r="K36" s="18" t="n">
        <v>0.60399676</v>
      </c>
      <c r="L36" s="20" t="n">
        <v>0.37137036</v>
      </c>
      <c r="M36" s="18" t="n">
        <v>0</v>
      </c>
      <c r="N36" s="20" t="n">
        <v>0</v>
      </c>
      <c r="O36" s="18" t="n">
        <v>0</v>
      </c>
      <c r="P36" s="20" t="n">
        <v>0</v>
      </c>
      <c r="Q36" s="18" t="n">
        <v>14.21769246</v>
      </c>
      <c r="R36" s="20" t="n">
        <v>1.66104513</v>
      </c>
    </row>
    <row r="37" spans="1:18">
      <c r="A37" s="15" t="s">
        <v>597</v>
      </c>
      <c r="B37" s="17" t="n">
        <v>2727</v>
      </c>
      <c r="C37" s="18">
        <f>(2439.0/B37*100)</f>
        <v/>
      </c>
      <c r="D37" s="19" t="n">
        <v>288</v>
      </c>
      <c r="E37" s="18" t="n">
        <v>40.90157457</v>
      </c>
      <c r="F37" s="20" t="n">
        <v>2.99416751</v>
      </c>
      <c r="G37" s="18" t="n">
        <v>39.21365061</v>
      </c>
      <c r="H37" s="20" t="n">
        <v>3.22685983</v>
      </c>
      <c r="I37" s="18" t="s">
        <v>567</v>
      </c>
      <c r="J37" s="20" t="s">
        <v>567</v>
      </c>
      <c r="K37" s="18" t="n">
        <v>0.3064672</v>
      </c>
      <c r="L37" s="20" t="n">
        <v>0.30918978</v>
      </c>
      <c r="M37" s="18" t="n">
        <v>0</v>
      </c>
      <c r="N37" s="20" t="n">
        <v>0</v>
      </c>
      <c r="O37" s="18" t="n">
        <v>0</v>
      </c>
      <c r="P37" s="20" t="n">
        <v>0</v>
      </c>
      <c r="Q37" s="18" t="n">
        <v>19.57830763</v>
      </c>
      <c r="R37" s="20" t="n">
        <v>2.34324151</v>
      </c>
    </row>
    <row r="38" spans="1:18">
      <c r="A38" s="15" t="s">
        <v>598</v>
      </c>
      <c r="B38" s="17" t="n">
        <v>3053</v>
      </c>
      <c r="C38" s="18">
        <f>(2711.0/B38*100)</f>
        <v/>
      </c>
      <c r="D38" s="19" t="n">
        <v>342</v>
      </c>
      <c r="E38" s="18" t="n">
        <v>35.48729523</v>
      </c>
      <c r="F38" s="20" t="n">
        <v>3.25038291</v>
      </c>
      <c r="G38" s="18" t="n">
        <v>46.83969828</v>
      </c>
      <c r="H38" s="20" t="n">
        <v>3.21083087</v>
      </c>
      <c r="I38" s="18" t="s">
        <v>567</v>
      </c>
      <c r="J38" s="20" t="s">
        <v>567</v>
      </c>
      <c r="K38" s="18" t="n">
        <v>0</v>
      </c>
      <c r="L38" s="20" t="n">
        <v>0</v>
      </c>
      <c r="M38" s="18" t="n">
        <v>5.10219302</v>
      </c>
      <c r="N38" s="20" t="n">
        <v>1.41647941</v>
      </c>
      <c r="O38" s="18" t="n">
        <v>0</v>
      </c>
      <c r="P38" s="20" t="n">
        <v>0</v>
      </c>
      <c r="Q38" s="18" t="n">
        <v>12.57081347</v>
      </c>
      <c r="R38" s="20" t="n">
        <v>2.09941935</v>
      </c>
    </row>
    <row r="39" spans="1:18">
      <c r="A39" s="15" t="s">
        <v>599</v>
      </c>
      <c r="B39" s="17" t="n">
        <v>2957</v>
      </c>
      <c r="C39" s="18">
        <f>(2639.0/B39*100)</f>
        <v/>
      </c>
      <c r="D39" s="19" t="n">
        <v>318</v>
      </c>
      <c r="E39" s="18" t="n">
        <v>62.95796141</v>
      </c>
      <c r="F39" s="20" t="n">
        <v>3.14222013</v>
      </c>
      <c r="G39" s="18" t="n">
        <v>27.90050521</v>
      </c>
      <c r="H39" s="20" t="n">
        <v>3.10616483</v>
      </c>
      <c r="I39" s="18" t="s">
        <v>567</v>
      </c>
      <c r="J39" s="20" t="s">
        <v>567</v>
      </c>
      <c r="K39" s="18" t="n">
        <v>0</v>
      </c>
      <c r="L39" s="20" t="n">
        <v>0</v>
      </c>
      <c r="M39" s="18" t="n">
        <v>0</v>
      </c>
      <c r="N39" s="20" t="n">
        <v>0</v>
      </c>
      <c r="O39" s="18" t="n">
        <v>0</v>
      </c>
      <c r="P39" s="20" t="n">
        <v>0</v>
      </c>
      <c r="Q39" s="18" t="n">
        <v>9.14153338</v>
      </c>
      <c r="R39" s="20" t="n">
        <v>1.53182962</v>
      </c>
    </row>
    <row r="40" spans="1:18">
      <c r="A40" s="15" t="s">
        <v>600</v>
      </c>
      <c r="B40" s="17" t="n">
        <v>7235</v>
      </c>
      <c r="C40" s="18">
        <f>(6423.0/B40*100)</f>
        <v/>
      </c>
      <c r="D40" s="19" t="n">
        <v>812</v>
      </c>
      <c r="E40" s="18" t="n">
        <v>49.17321885</v>
      </c>
      <c r="F40" s="20" t="n">
        <v>3.12789396</v>
      </c>
      <c r="G40" s="18" t="n">
        <v>36.36371984</v>
      </c>
      <c r="H40" s="20" t="n">
        <v>2.79612201</v>
      </c>
      <c r="I40" s="18" t="s">
        <v>567</v>
      </c>
      <c r="J40" s="20" t="s">
        <v>567</v>
      </c>
      <c r="K40" s="18" t="n">
        <v>0.56841564</v>
      </c>
      <c r="L40" s="20" t="n">
        <v>0.342789</v>
      </c>
      <c r="M40" s="18" t="n">
        <v>0.09353425999999999</v>
      </c>
      <c r="N40" s="20" t="n">
        <v>0.09033784</v>
      </c>
      <c r="O40" s="18" t="n">
        <v>0</v>
      </c>
      <c r="P40" s="20" t="n">
        <v>0</v>
      </c>
      <c r="Q40" s="18" t="n">
        <v>13.80111141</v>
      </c>
      <c r="R40" s="20" t="n">
        <v>1.94486016</v>
      </c>
    </row>
    <row r="41" spans="1:18">
      <c r="A41" s="15" t="s">
        <v>601</v>
      </c>
      <c r="B41" s="17" t="n">
        <v>2858</v>
      </c>
      <c r="C41" s="18">
        <f>(2524.0/B41*100)</f>
        <v/>
      </c>
      <c r="D41" s="19" t="n">
        <v>334</v>
      </c>
      <c r="E41" s="18" t="n">
        <v>60.47202618</v>
      </c>
      <c r="F41" s="20" t="n">
        <v>2.95986122</v>
      </c>
      <c r="G41" s="18" t="n">
        <v>35.33052562</v>
      </c>
      <c r="H41" s="20" t="n">
        <v>3.05720521</v>
      </c>
      <c r="I41" s="18" t="s">
        <v>567</v>
      </c>
      <c r="J41" s="20" t="s">
        <v>567</v>
      </c>
      <c r="K41" s="18" t="n">
        <v>0.40865288</v>
      </c>
      <c r="L41" s="20" t="n">
        <v>0.33157133</v>
      </c>
      <c r="M41" s="18" t="n">
        <v>0</v>
      </c>
      <c r="N41" s="20" t="n">
        <v>0</v>
      </c>
      <c r="O41" s="18" t="n">
        <v>0</v>
      </c>
      <c r="P41" s="20" t="n">
        <v>0</v>
      </c>
      <c r="Q41" s="18" t="n">
        <v>3.78879532</v>
      </c>
      <c r="R41" s="20" t="n">
        <v>1.14276082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(10012.0/B46*100)</f>
        <v/>
      </c>
      <c r="D46" s="19" t="n">
        <v>1056</v>
      </c>
      <c r="E46" s="18" t="n">
        <v>54.64145895</v>
      </c>
      <c r="F46" s="20" t="n">
        <v>2.16615924</v>
      </c>
      <c r="G46" s="18" t="n">
        <v>26.2406325</v>
      </c>
      <c r="H46" s="20" t="n">
        <v>1.87565753</v>
      </c>
      <c r="I46" s="18" t="s">
        <v>567</v>
      </c>
      <c r="J46" s="20" t="s">
        <v>567</v>
      </c>
      <c r="K46" s="18" t="n">
        <v>1.20174432</v>
      </c>
      <c r="L46" s="20" t="n">
        <v>0.43521193</v>
      </c>
      <c r="M46" s="18" t="n">
        <v>0.19185687</v>
      </c>
      <c r="N46" s="20" t="n">
        <v>0.19130229</v>
      </c>
      <c r="O46" s="18" t="n">
        <v>0</v>
      </c>
      <c r="P46" s="20" t="n">
        <v>0</v>
      </c>
      <c r="Q46" s="18" t="n">
        <v>17.72430735</v>
      </c>
      <c r="R46" s="20" t="n">
        <v>1.57947299</v>
      </c>
    </row>
    <row r="47" spans="1:18">
      <c r="A47" s="15" t="s">
        <v>607</v>
      </c>
      <c r="B47" s="17" t="n">
        <v>3105</v>
      </c>
      <c r="C47" s="18">
        <f>(2763.0/B47*100)</f>
        <v/>
      </c>
      <c r="D47" s="19" t="n">
        <v>342</v>
      </c>
      <c r="E47" s="18" t="n">
        <v>40.36916198</v>
      </c>
      <c r="F47" s="20" t="n">
        <v>3.52943096</v>
      </c>
      <c r="G47" s="18" t="n">
        <v>32.57817085</v>
      </c>
      <c r="H47" s="20" t="n">
        <v>3.23336953</v>
      </c>
      <c r="I47" s="18" t="s">
        <v>567</v>
      </c>
      <c r="J47" s="20" t="s">
        <v>567</v>
      </c>
      <c r="K47" s="18" t="n">
        <v>0</v>
      </c>
      <c r="L47" s="20" t="n">
        <v>0</v>
      </c>
      <c r="M47" s="18" t="n">
        <v>0.29877139</v>
      </c>
      <c r="N47" s="20" t="n">
        <v>0.28436636</v>
      </c>
      <c r="O47" s="18" t="n">
        <v>0</v>
      </c>
      <c r="P47" s="20" t="n">
        <v>0</v>
      </c>
      <c r="Q47" s="18" t="n">
        <v>26.75389578</v>
      </c>
      <c r="R47" s="20" t="n">
        <v>2.75329686</v>
      </c>
    </row>
    <row r="48" spans="1:18">
      <c r="A48" s="15" t="s">
        <v>608</v>
      </c>
      <c r="B48" s="17" t="n">
        <v>5159</v>
      </c>
      <c r="C48" s="18">
        <f>(4596.0/B48*100)</f>
        <v/>
      </c>
      <c r="D48" s="19" t="n">
        <v>563</v>
      </c>
      <c r="E48" s="18" t="n">
        <v>35.66815037</v>
      </c>
      <c r="F48" s="20" t="n">
        <v>2.91942674</v>
      </c>
      <c r="G48" s="18" t="n">
        <v>52.99060537</v>
      </c>
      <c r="H48" s="20" t="n">
        <v>2.9779319</v>
      </c>
      <c r="I48" s="18" t="s">
        <v>567</v>
      </c>
      <c r="J48" s="20" t="s">
        <v>567</v>
      </c>
      <c r="K48" s="18" t="n">
        <v>0.33143323</v>
      </c>
      <c r="L48" s="20" t="n">
        <v>0.23694605</v>
      </c>
      <c r="M48" s="18" t="n">
        <v>0</v>
      </c>
      <c r="N48" s="20" t="n">
        <v>0</v>
      </c>
      <c r="O48" s="18" t="n">
        <v>0</v>
      </c>
      <c r="P48" s="20" t="n">
        <v>0</v>
      </c>
      <c r="Q48" s="18" t="n">
        <v>11.00981102</v>
      </c>
      <c r="R48" s="20" t="n">
        <v>1.65970835</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(5027.0/B50*100)</f>
        <v/>
      </c>
      <c r="D50" s="19" t="n">
        <v>610</v>
      </c>
      <c r="E50" s="18" t="n">
        <v>62.21889125</v>
      </c>
      <c r="F50" s="20" t="n">
        <v>2.91189087</v>
      </c>
      <c r="G50" s="18" t="n">
        <v>28.9015599</v>
      </c>
      <c r="H50" s="20" t="n">
        <v>2.41159737</v>
      </c>
      <c r="I50" s="18" t="s">
        <v>567</v>
      </c>
      <c r="J50" s="20" t="s">
        <v>567</v>
      </c>
      <c r="K50" s="18" t="n">
        <v>2.24239395</v>
      </c>
      <c r="L50" s="20" t="n">
        <v>1.26364452</v>
      </c>
      <c r="M50" s="18" t="n">
        <v>0.06160622</v>
      </c>
      <c r="N50" s="20" t="n">
        <v>0.05313501</v>
      </c>
      <c r="O50" s="18" t="n">
        <v>0</v>
      </c>
      <c r="P50" s="20" t="n">
        <v>0</v>
      </c>
      <c r="Q50" s="18" t="n">
        <v>6.57554867</v>
      </c>
      <c r="R50" s="20" t="n">
        <v>1.33838927</v>
      </c>
    </row>
    <row r="51" spans="1:18">
      <c r="A51" s="15" t="s">
        <v>611</v>
      </c>
      <c r="B51" s="17" t="n">
        <v>3372</v>
      </c>
      <c r="C51" s="18">
        <f>(2673.0/B51*100)</f>
        <v/>
      </c>
      <c r="D51" s="19" t="n">
        <v>699</v>
      </c>
      <c r="E51" s="18" t="n">
        <v>64.58962961</v>
      </c>
      <c r="F51" s="20" t="n">
        <v>1.80082901</v>
      </c>
      <c r="G51" s="18" t="n">
        <v>25.78264161</v>
      </c>
      <c r="H51" s="20" t="n">
        <v>1.56783692</v>
      </c>
      <c r="I51" s="18" t="s">
        <v>567</v>
      </c>
      <c r="J51" s="20" t="s">
        <v>567</v>
      </c>
      <c r="K51" s="18" t="n">
        <v>0.15538769</v>
      </c>
      <c r="L51" s="20" t="n">
        <v>0.15513202</v>
      </c>
      <c r="M51" s="18" t="n">
        <v>0.30799567</v>
      </c>
      <c r="N51" s="20" t="n">
        <v>0.30363609</v>
      </c>
      <c r="O51" s="18" t="n">
        <v>0</v>
      </c>
      <c r="P51" s="20" t="n">
        <v>0</v>
      </c>
      <c r="Q51" s="18" t="n">
        <v>9.164345409999999</v>
      </c>
      <c r="R51" s="20" t="n">
        <v>1.23496581</v>
      </c>
    </row>
    <row r="52" spans="1:18">
      <c r="A52" s="15" t="s">
        <v>612</v>
      </c>
      <c r="B52" s="17" t="n">
        <v>2796</v>
      </c>
      <c r="C52" s="18">
        <f>(2476.0/B52*100)</f>
        <v/>
      </c>
      <c r="D52" s="19" t="n">
        <v>320</v>
      </c>
      <c r="E52" s="18" t="n">
        <v>30.85093486</v>
      </c>
      <c r="F52" s="20" t="n">
        <v>3.02037007</v>
      </c>
      <c r="G52" s="18" t="n">
        <v>48.54741114</v>
      </c>
      <c r="H52" s="20" t="n">
        <v>2.98657745</v>
      </c>
      <c r="I52" s="18" t="s">
        <v>567</v>
      </c>
      <c r="J52" s="20" t="s">
        <v>567</v>
      </c>
      <c r="K52" s="18" t="n">
        <v>0.31878686</v>
      </c>
      <c r="L52" s="20" t="n">
        <v>0.31151008</v>
      </c>
      <c r="M52" s="18" t="n">
        <v>0</v>
      </c>
      <c r="N52" s="20" t="n">
        <v>0</v>
      </c>
      <c r="O52" s="18" t="n">
        <v>0</v>
      </c>
      <c r="P52" s="20" t="n">
        <v>0</v>
      </c>
      <c r="Q52" s="18" t="n">
        <v>20.28286715</v>
      </c>
      <c r="R52" s="20" t="n">
        <v>2.07909793</v>
      </c>
    </row>
    <row r="53" spans="1:18">
      <c r="A53" s="15" t="s">
        <v>613</v>
      </c>
      <c r="B53" s="17" t="n">
        <v>2811</v>
      </c>
      <c r="C53" s="18">
        <f>(2491.0/B53*100)</f>
        <v/>
      </c>
      <c r="D53" s="19" t="n">
        <v>320</v>
      </c>
      <c r="E53" s="18" t="n">
        <v>53.8438157</v>
      </c>
      <c r="F53" s="20" t="n">
        <v>3.09884402</v>
      </c>
      <c r="G53" s="18" t="n">
        <v>23.40090196</v>
      </c>
      <c r="H53" s="20" t="n">
        <v>2.44212549</v>
      </c>
      <c r="I53" s="18" t="s">
        <v>567</v>
      </c>
      <c r="J53" s="20" t="s">
        <v>567</v>
      </c>
      <c r="K53" s="18" t="n">
        <v>0.70144981</v>
      </c>
      <c r="L53" s="20" t="n">
        <v>0.40014011</v>
      </c>
      <c r="M53" s="18" t="n">
        <v>0.44646677</v>
      </c>
      <c r="N53" s="20" t="n">
        <v>0.44742137</v>
      </c>
      <c r="O53" s="18" t="n">
        <v>0</v>
      </c>
      <c r="P53" s="20" t="n">
        <v>0</v>
      </c>
      <c r="Q53" s="18" t="n">
        <v>21.60736576</v>
      </c>
      <c r="R53" s="20" t="n">
        <v>2.30774522</v>
      </c>
    </row>
    <row r="54" spans="1:18">
      <c r="A54" s="15" t="s">
        <v>614</v>
      </c>
      <c r="B54" s="17" t="n">
        <v>2266</v>
      </c>
      <c r="C54" s="18">
        <f>(2013.0/B54*100)</f>
        <v/>
      </c>
      <c r="D54" s="19" t="n">
        <v>253</v>
      </c>
      <c r="E54" s="18" t="n">
        <v>66.89567898999999</v>
      </c>
      <c r="F54" s="20" t="n">
        <v>3.04825754</v>
      </c>
      <c r="G54" s="18" t="n">
        <v>3.03791562</v>
      </c>
      <c r="H54" s="20" t="n">
        <v>1.02656395</v>
      </c>
      <c r="I54" s="18" t="s">
        <v>567</v>
      </c>
      <c r="J54" s="20" t="s">
        <v>567</v>
      </c>
      <c r="K54" s="18" t="n">
        <v>9.594818979999999</v>
      </c>
      <c r="L54" s="20" t="n">
        <v>1.6761947</v>
      </c>
      <c r="M54" s="18" t="n">
        <v>0.7491877300000001</v>
      </c>
      <c r="N54" s="20" t="n">
        <v>0.52102086</v>
      </c>
      <c r="O54" s="18" t="n">
        <v>0</v>
      </c>
      <c r="P54" s="20" t="n">
        <v>0</v>
      </c>
      <c r="Q54" s="18" t="n">
        <v>19.72239868</v>
      </c>
      <c r="R54" s="20" t="n">
        <v>2.78174438</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(2391.0/B56*100)</f>
        <v/>
      </c>
      <c r="D56" s="19" t="n">
        <v>293</v>
      </c>
      <c r="E56" s="18" t="n">
        <v>43.66223741</v>
      </c>
      <c r="F56" s="20" t="n">
        <v>3.08191629</v>
      </c>
      <c r="G56" s="18" t="n">
        <v>44.14746444</v>
      </c>
      <c r="H56" s="20" t="n">
        <v>3.27420308</v>
      </c>
      <c r="I56" s="18" t="s">
        <v>567</v>
      </c>
      <c r="J56" s="20" t="s">
        <v>567</v>
      </c>
      <c r="K56" s="18" t="n">
        <v>0</v>
      </c>
      <c r="L56" s="20" t="n">
        <v>0</v>
      </c>
      <c r="M56" s="18" t="n">
        <v>0</v>
      </c>
      <c r="N56" s="20" t="n">
        <v>0</v>
      </c>
      <c r="O56" s="18" t="n">
        <v>0</v>
      </c>
      <c r="P56" s="20" t="n">
        <v>0</v>
      </c>
      <c r="Q56" s="18" t="n">
        <v>12.19029815</v>
      </c>
      <c r="R56" s="20" t="n">
        <v>2.30686108</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(2980.0/B61*100)</f>
        <v/>
      </c>
      <c r="D61" s="19" t="n">
        <v>344</v>
      </c>
      <c r="E61" s="18" t="n">
        <v>30.93653632</v>
      </c>
      <c r="F61" s="20" t="n">
        <v>3.13736243</v>
      </c>
      <c r="G61" s="18" t="n">
        <v>55.30755182</v>
      </c>
      <c r="H61" s="20" t="n">
        <v>3.46446773</v>
      </c>
      <c r="I61" s="18" t="s">
        <v>567</v>
      </c>
      <c r="J61" s="20" t="s">
        <v>567</v>
      </c>
      <c r="K61" s="18" t="n">
        <v>0</v>
      </c>
      <c r="L61" s="20" t="n">
        <v>0</v>
      </c>
      <c r="M61" s="18" t="n">
        <v>0</v>
      </c>
      <c r="N61" s="20" t="n">
        <v>0</v>
      </c>
      <c r="O61" s="18" t="n">
        <v>0</v>
      </c>
      <c r="P61" s="20" t="n">
        <v>0</v>
      </c>
      <c r="Q61" s="18" t="n">
        <v>13.75591186</v>
      </c>
      <c r="R61" s="20" t="n">
        <v>2.10069025</v>
      </c>
    </row>
    <row r="62" spans="1:18">
      <c r="A62" s="15" t="s">
        <v>622</v>
      </c>
      <c r="B62" s="17" t="n">
        <v>2246</v>
      </c>
      <c r="C62" s="18">
        <f>(1992.0/B62*100)</f>
        <v/>
      </c>
      <c r="D62" s="19" t="n">
        <v>254</v>
      </c>
      <c r="E62" s="18" t="n">
        <v>49.14492212</v>
      </c>
      <c r="F62" s="20" t="n">
        <v>3.1281346</v>
      </c>
      <c r="G62" s="18" t="n">
        <v>39.78960659</v>
      </c>
      <c r="H62" s="20" t="n">
        <v>2.95098558</v>
      </c>
      <c r="I62" s="18" t="s">
        <v>567</v>
      </c>
      <c r="J62" s="20" t="s">
        <v>567</v>
      </c>
      <c r="K62" s="18" t="n">
        <v>0</v>
      </c>
      <c r="L62" s="20" t="n">
        <v>0</v>
      </c>
      <c r="M62" s="18" t="n">
        <v>0</v>
      </c>
      <c r="N62" s="20" t="n">
        <v>0</v>
      </c>
      <c r="O62" s="18" t="n">
        <v>0</v>
      </c>
      <c r="P62" s="20" t="n">
        <v>0</v>
      </c>
      <c r="Q62" s="18" t="n">
        <v>11.06547129</v>
      </c>
      <c r="R62" s="20" t="n">
        <v>1.89474069</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(2588.0/B66*100)</f>
        <v/>
      </c>
      <c r="D66" s="19" t="n">
        <v>306</v>
      </c>
      <c r="E66" s="18" t="n">
        <v>33.55240928</v>
      </c>
      <c r="F66" s="20" t="n">
        <v>2.70293788</v>
      </c>
      <c r="G66" s="18" t="n">
        <v>26.09414201</v>
      </c>
      <c r="H66" s="20" t="n">
        <v>2.73455544</v>
      </c>
      <c r="I66" s="18" t="s">
        <v>567</v>
      </c>
      <c r="J66" s="20" t="s">
        <v>567</v>
      </c>
      <c r="K66" s="18" t="n">
        <v>0</v>
      </c>
      <c r="L66" s="20" t="n">
        <v>0</v>
      </c>
      <c r="M66" s="18" t="n">
        <v>1.27408529</v>
      </c>
      <c r="N66" s="20" t="n">
        <v>0.62664066</v>
      </c>
      <c r="O66" s="18" t="n">
        <v>0</v>
      </c>
      <c r="P66" s="20" t="n">
        <v>0</v>
      </c>
      <c r="Q66" s="18" t="n">
        <v>39.07936342</v>
      </c>
      <c r="R66" s="20" t="n">
        <v>2.95172864</v>
      </c>
    </row>
    <row r="67" spans="1:18">
      <c r="A67" s="15" t="s">
        <v>627</v>
      </c>
      <c r="B67" s="17" t="n">
        <v>3511</v>
      </c>
      <c r="C67" s="18">
        <f>(3137.0/B67*100)</f>
        <v/>
      </c>
      <c r="D67" s="19" t="n">
        <v>374</v>
      </c>
      <c r="E67" s="18" t="n">
        <v>69.98577733</v>
      </c>
      <c r="F67" s="20" t="n">
        <v>2.62301447</v>
      </c>
      <c r="G67" s="18" t="n">
        <v>19.80889902</v>
      </c>
      <c r="H67" s="20" t="n">
        <v>2.14555463</v>
      </c>
      <c r="I67" s="18" t="s">
        <v>567</v>
      </c>
      <c r="J67" s="20" t="s">
        <v>567</v>
      </c>
      <c r="K67" s="18" t="n">
        <v>0.19886915</v>
      </c>
      <c r="L67" s="20" t="n">
        <v>0.19861511</v>
      </c>
      <c r="M67" s="18" t="n">
        <v>0</v>
      </c>
      <c r="N67" s="20" t="n">
        <v>0</v>
      </c>
      <c r="O67" s="18" t="n">
        <v>0</v>
      </c>
      <c r="P67" s="20" t="n">
        <v>0</v>
      </c>
      <c r="Q67" s="18" t="n">
        <v>10.0064545</v>
      </c>
      <c r="R67" s="20" t="n">
        <v>1.54588777</v>
      </c>
    </row>
    <row r="68" spans="1:18">
      <c r="A68" s="15" t="s">
        <v>628</v>
      </c>
      <c r="B68" s="17" t="n">
        <v>6049</v>
      </c>
      <c r="C68" s="18">
        <f>(5382.0/B68*100)</f>
        <v/>
      </c>
      <c r="D68" s="19" t="n">
        <v>667</v>
      </c>
      <c r="E68" s="18" t="n">
        <v>57.15534442</v>
      </c>
      <c r="F68" s="20" t="n">
        <v>1.72005586</v>
      </c>
      <c r="G68" s="18" t="n">
        <v>21.52423704</v>
      </c>
      <c r="H68" s="20" t="n">
        <v>1.60041479</v>
      </c>
      <c r="I68" s="18" t="s">
        <v>567</v>
      </c>
      <c r="J68" s="20" t="s">
        <v>567</v>
      </c>
      <c r="K68" s="18" t="n">
        <v>1.9249506</v>
      </c>
      <c r="L68" s="20" t="n">
        <v>0.6137513999999999</v>
      </c>
      <c r="M68" s="18" t="n">
        <v>0.17315801</v>
      </c>
      <c r="N68" s="20" t="n">
        <v>0.17335707</v>
      </c>
      <c r="O68" s="18" t="n">
        <v>0</v>
      </c>
      <c r="P68" s="20" t="n">
        <v>0</v>
      </c>
      <c r="Q68" s="18" t="n">
        <v>19.22230993</v>
      </c>
      <c r="R68" s="20" t="n">
        <v>1.60712626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(2607.0/B70*100)</f>
        <v/>
      </c>
      <c r="D70" s="19" t="n">
        <v>322</v>
      </c>
      <c r="E70" s="18" t="n">
        <v>33.8206232</v>
      </c>
      <c r="F70" s="20" t="n">
        <v>3.97670643</v>
      </c>
      <c r="G70" s="18" t="n">
        <v>54.92575236</v>
      </c>
      <c r="H70" s="20" t="n">
        <v>4.15428863</v>
      </c>
      <c r="I70" s="18" t="s">
        <v>567</v>
      </c>
      <c r="J70" s="20" t="s">
        <v>567</v>
      </c>
      <c r="K70" s="18" t="n">
        <v>0.77519576</v>
      </c>
      <c r="L70" s="20" t="n">
        <v>0.42944783</v>
      </c>
      <c r="M70" s="18" t="n">
        <v>0</v>
      </c>
      <c r="N70" s="20" t="n">
        <v>0</v>
      </c>
      <c r="O70" s="18" t="n">
        <v>0</v>
      </c>
      <c r="P70" s="20" t="n">
        <v>0</v>
      </c>
      <c r="Q70" s="18" t="n">
        <v>10.47842868</v>
      </c>
      <c r="R70" s="20" t="n">
        <v>1.75577495</v>
      </c>
    </row>
    <row r="71" spans="1:18">
      <c r="A71" s="15" t="s">
        <v>631</v>
      </c>
      <c r="B71" s="17" t="n">
        <v>3142</v>
      </c>
      <c r="C71" s="18">
        <f>(2801.0/B71*100)</f>
        <v/>
      </c>
      <c r="D71" s="19" t="n">
        <v>341</v>
      </c>
      <c r="E71" s="18" t="n">
        <v>40.73180281</v>
      </c>
      <c r="F71" s="20" t="n">
        <v>2.56928475</v>
      </c>
      <c r="G71" s="18" t="n">
        <v>53.00682975</v>
      </c>
      <c r="H71" s="20" t="n">
        <v>2.65329182</v>
      </c>
      <c r="I71" s="18" t="s">
        <v>567</v>
      </c>
      <c r="J71" s="20" t="s">
        <v>567</v>
      </c>
      <c r="K71" s="18" t="n">
        <v>0</v>
      </c>
      <c r="L71" s="20" t="n">
        <v>0</v>
      </c>
      <c r="M71" s="18" t="n">
        <v>0</v>
      </c>
      <c r="N71" s="20" t="n">
        <v>0</v>
      </c>
      <c r="O71" s="18" t="n">
        <v>0</v>
      </c>
      <c r="P71" s="20" t="n">
        <v>0</v>
      </c>
      <c r="Q71" s="18" t="n">
        <v>6.26136744</v>
      </c>
      <c r="R71" s="20" t="n">
        <v>1.1809542</v>
      </c>
    </row>
    <row r="72" spans="1:18">
      <c r="A72" s="15" t="s">
        <v>632</v>
      </c>
      <c r="B72" s="17" t="n">
        <v>3889</v>
      </c>
      <c r="C72" s="18">
        <f>(3449.0/B72*100)</f>
        <v/>
      </c>
      <c r="D72" s="19" t="n">
        <v>440</v>
      </c>
      <c r="E72" s="18" t="n">
        <v>25.51847553</v>
      </c>
      <c r="F72" s="20" t="n">
        <v>2.41590751</v>
      </c>
      <c r="G72" s="18" t="n">
        <v>66.68679244</v>
      </c>
      <c r="H72" s="20" t="n">
        <v>2.62970139</v>
      </c>
      <c r="I72" s="18" t="s">
        <v>567</v>
      </c>
      <c r="J72" s="20" t="s">
        <v>567</v>
      </c>
      <c r="K72" s="18" t="n">
        <v>0.30110292</v>
      </c>
      <c r="L72" s="20" t="n">
        <v>0.30243754</v>
      </c>
      <c r="M72" s="18" t="n">
        <v>0</v>
      </c>
      <c r="N72" s="20" t="n">
        <v>0</v>
      </c>
      <c r="O72" s="18" t="n">
        <v>0</v>
      </c>
      <c r="P72" s="20" t="n">
        <v>0</v>
      </c>
      <c r="Q72" s="18" t="n">
        <v>7.49362911</v>
      </c>
      <c r="R72" s="20" t="n">
        <v>1.37679135</v>
      </c>
    </row>
    <row r="73" spans="1:18">
      <c r="A73" s="15" t="s">
        <v>633</v>
      </c>
      <c r="B73" s="17" t="n">
        <v>3597</v>
      </c>
      <c r="C73" s="18">
        <f>(3230.0/B73*100)</f>
        <v/>
      </c>
      <c r="D73" s="19" t="n">
        <v>367</v>
      </c>
      <c r="E73" s="18" t="n">
        <v>80.47226558</v>
      </c>
      <c r="F73" s="20" t="n">
        <v>2.35595988</v>
      </c>
      <c r="G73" s="18" t="n">
        <v>15.0144589</v>
      </c>
      <c r="H73" s="20" t="n">
        <v>2.27138773</v>
      </c>
      <c r="I73" s="18" t="s">
        <v>567</v>
      </c>
      <c r="J73" s="20" t="s">
        <v>567</v>
      </c>
      <c r="K73" s="18" t="n">
        <v>0</v>
      </c>
      <c r="L73" s="20" t="n">
        <v>0</v>
      </c>
      <c r="M73" s="18" t="n">
        <v>0</v>
      </c>
      <c r="N73" s="20" t="n">
        <v>0</v>
      </c>
      <c r="O73" s="18" t="n">
        <v>0</v>
      </c>
      <c r="P73" s="20" t="n">
        <v>0</v>
      </c>
      <c r="Q73" s="18" t="n">
        <v>4.51327552</v>
      </c>
      <c r="R73" s="20" t="n">
        <v>1.13885528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(2169.0/B75*100)</f>
        <v/>
      </c>
      <c r="D75" s="19" t="n">
        <v>237</v>
      </c>
      <c r="E75" s="18" t="n">
        <v>39.60718633</v>
      </c>
      <c r="F75" s="20" t="n">
        <v>3.50663233</v>
      </c>
      <c r="G75" s="18" t="n">
        <v>16.19697809</v>
      </c>
      <c r="H75" s="20" t="n">
        <v>2.37981876</v>
      </c>
      <c r="I75" s="18" t="s">
        <v>567</v>
      </c>
      <c r="J75" s="20" t="s">
        <v>567</v>
      </c>
      <c r="K75" s="18" t="n">
        <v>2.10998801</v>
      </c>
      <c r="L75" s="20" t="n">
        <v>0.91758394</v>
      </c>
      <c r="M75" s="18" t="n">
        <v>0.82369353</v>
      </c>
      <c r="N75" s="20" t="n">
        <v>0.59541126</v>
      </c>
      <c r="O75" s="18" t="n">
        <v>0</v>
      </c>
      <c r="P75" s="20" t="n">
        <v>0</v>
      </c>
      <c r="Q75" s="18" t="n">
        <v>41.26215404</v>
      </c>
      <c r="R75" s="20" t="n">
        <v>3.55988355</v>
      </c>
    </row>
    <row r="76" spans="1:18">
      <c r="A76" s="15" t="s">
        <v>636</v>
      </c>
      <c r="B76" s="17" t="n">
        <v>7052</v>
      </c>
      <c r="C76" s="18">
        <f>(6259.0/B76*100)</f>
        <v/>
      </c>
      <c r="D76" s="19" t="n">
        <v>793</v>
      </c>
      <c r="E76" s="18" t="n">
        <v>59.47547085</v>
      </c>
      <c r="F76" s="20" t="n">
        <v>2.73265417</v>
      </c>
      <c r="G76" s="18" t="n">
        <v>26.13327868</v>
      </c>
      <c r="H76" s="20" t="n">
        <v>2.20628389</v>
      </c>
      <c r="I76" s="18" t="s">
        <v>567</v>
      </c>
      <c r="J76" s="20" t="s">
        <v>567</v>
      </c>
      <c r="K76" s="18" t="n">
        <v>1.45941565</v>
      </c>
      <c r="L76" s="20" t="n">
        <v>0.5682554399999999</v>
      </c>
      <c r="M76" s="18" t="n">
        <v>0.06542756</v>
      </c>
      <c r="N76" s="20" t="n">
        <v>0.06572157000000001</v>
      </c>
      <c r="O76" s="18" t="n">
        <v>0</v>
      </c>
      <c r="P76" s="20" t="n">
        <v>0</v>
      </c>
      <c r="Q76" s="18" t="n">
        <v>12.86640727</v>
      </c>
      <c r="R76" s="20" t="n">
        <v>1.24716707</v>
      </c>
    </row>
    <row r="77" spans="1:18">
      <c r="A77" s="15" t="s">
        <v>637</v>
      </c>
      <c r="B77" s="17" t="n">
        <v>2908</v>
      </c>
      <c r="C77" s="18">
        <f>(2587.0/B77*100)</f>
        <v/>
      </c>
      <c r="D77" s="19" t="n">
        <v>321</v>
      </c>
      <c r="E77" s="18" t="n">
        <v>43.26233383</v>
      </c>
      <c r="F77" s="20" t="n">
        <v>2.66674766</v>
      </c>
      <c r="G77" s="18" t="n">
        <v>22.97496603</v>
      </c>
      <c r="H77" s="20" t="n">
        <v>2.39788117</v>
      </c>
      <c r="I77" s="18" t="s">
        <v>567</v>
      </c>
      <c r="J77" s="20" t="s">
        <v>567</v>
      </c>
      <c r="K77" s="18" t="n">
        <v>0.92447247</v>
      </c>
      <c r="L77" s="20" t="n">
        <v>0.54418631</v>
      </c>
      <c r="M77" s="18" t="n">
        <v>0</v>
      </c>
      <c r="N77" s="20" t="n">
        <v>0</v>
      </c>
      <c r="O77" s="18" t="n">
        <v>0</v>
      </c>
      <c r="P77" s="20" t="n">
        <v>0</v>
      </c>
      <c r="Q77" s="18" t="n">
        <v>32.83822767</v>
      </c>
      <c r="R77" s="20" t="n">
        <v>2.69071114</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(3728.0/B81*100)</f>
        <v/>
      </c>
      <c r="D81" s="19" t="n">
        <v>435</v>
      </c>
      <c r="E81" s="18" t="n">
        <v>63.80933323</v>
      </c>
      <c r="F81" s="20" t="n">
        <v>3.57758398</v>
      </c>
      <c r="G81" s="18" t="n">
        <v>30.16145947</v>
      </c>
      <c r="H81" s="20" t="n">
        <v>3.26728347</v>
      </c>
      <c r="I81" s="18" t="s">
        <v>567</v>
      </c>
      <c r="J81" s="20" t="s">
        <v>567</v>
      </c>
      <c r="K81" s="18" t="n">
        <v>0</v>
      </c>
      <c r="L81" s="20" t="n">
        <v>0</v>
      </c>
      <c r="M81" s="18" t="n">
        <v>0</v>
      </c>
      <c r="N81" s="20" t="n">
        <v>0</v>
      </c>
      <c r="O81" s="18" t="n">
        <v>0</v>
      </c>
      <c r="P81" s="20" t="n">
        <v>0</v>
      </c>
      <c r="Q81" s="18" t="n">
        <v>6.0292073</v>
      </c>
      <c r="R81" s="20" t="n">
        <v>1.38956395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(6561.0/B7*100)</f>
        <v/>
      </c>
      <c r="D7" s="19" t="n">
        <v>806</v>
      </c>
      <c r="E7" s="18" t="n">
        <v>14.54244265</v>
      </c>
      <c r="F7" s="20" t="n">
        <v>1.45188733</v>
      </c>
      <c r="G7" s="18" t="n">
        <v>80.24808056000001</v>
      </c>
      <c r="H7" s="20" t="n">
        <v>1.69666108</v>
      </c>
      <c r="I7" s="18" t="s">
        <v>567</v>
      </c>
      <c r="J7" s="20" t="s">
        <v>567</v>
      </c>
      <c r="K7" s="18" t="n">
        <v>0</v>
      </c>
      <c r="L7" s="20" t="n">
        <v>0</v>
      </c>
      <c r="M7" s="18" t="n">
        <v>0.20265339</v>
      </c>
      <c r="N7" s="20" t="n">
        <v>0.17318732</v>
      </c>
      <c r="O7" s="18" t="n">
        <v>0</v>
      </c>
      <c r="P7" s="20" t="n">
        <v>0</v>
      </c>
      <c r="Q7" s="18" t="n">
        <v>5.0068234</v>
      </c>
      <c r="R7" s="20" t="n">
        <v>1.01632756</v>
      </c>
    </row>
    <row r="8" spans="1:18">
      <c r="A8" s="15" t="s">
        <v>568</v>
      </c>
      <c r="B8" s="17" t="n">
        <v>3564</v>
      </c>
      <c r="C8" s="18">
        <f>(3162.0/B8*100)</f>
        <v/>
      </c>
      <c r="D8" s="19" t="n">
        <v>402</v>
      </c>
      <c r="E8" s="18" t="n">
        <v>12.52823852</v>
      </c>
      <c r="F8" s="20" t="n">
        <v>2.27005288</v>
      </c>
      <c r="G8" s="18" t="n">
        <v>82.67426442999999</v>
      </c>
      <c r="H8" s="20" t="n">
        <v>2.51761903</v>
      </c>
      <c r="I8" s="18" t="s">
        <v>567</v>
      </c>
      <c r="J8" s="20" t="s">
        <v>567</v>
      </c>
      <c r="K8" s="18" t="n">
        <v>0.29912443</v>
      </c>
      <c r="L8" s="20" t="n">
        <v>0.45603314</v>
      </c>
      <c r="M8" s="18" t="n">
        <v>0</v>
      </c>
      <c r="N8" s="20" t="n">
        <v>0</v>
      </c>
      <c r="O8" s="18" t="n">
        <v>0</v>
      </c>
      <c r="P8" s="20" t="n">
        <v>0</v>
      </c>
      <c r="Q8" s="18" t="n">
        <v>4.49837262</v>
      </c>
      <c r="R8" s="20" t="n">
        <v>1.19941455</v>
      </c>
    </row>
    <row r="9" spans="1:18">
      <c r="A9" s="15" t="s">
        <v>569</v>
      </c>
      <c r="B9" s="17" t="n">
        <v>4899</v>
      </c>
      <c r="C9" s="18">
        <f>(4424.0/B9*100)</f>
        <v/>
      </c>
      <c r="D9" s="19" t="n">
        <v>475</v>
      </c>
      <c r="E9" s="18" t="n">
        <v>19.85120695</v>
      </c>
      <c r="F9" s="20" t="n">
        <v>1.92581033</v>
      </c>
      <c r="G9" s="18" t="n">
        <v>74.29906217</v>
      </c>
      <c r="H9" s="20" t="n">
        <v>2.1067637</v>
      </c>
      <c r="I9" s="18" t="s">
        <v>567</v>
      </c>
      <c r="J9" s="20" t="s">
        <v>567</v>
      </c>
      <c r="K9" s="18" t="n">
        <v>0.19915706</v>
      </c>
      <c r="L9" s="20" t="n">
        <v>0.19961846</v>
      </c>
      <c r="M9" s="18" t="n">
        <v>0.88296748</v>
      </c>
      <c r="N9" s="20" t="n">
        <v>0.30990297</v>
      </c>
      <c r="O9" s="18" t="n">
        <v>0</v>
      </c>
      <c r="P9" s="20" t="n">
        <v>0</v>
      </c>
      <c r="Q9" s="18" t="n">
        <v>4.76760635</v>
      </c>
      <c r="R9" s="20" t="n">
        <v>1.24263729</v>
      </c>
    </row>
    <row r="10" spans="1:18">
      <c r="A10" s="15" t="s">
        <v>570</v>
      </c>
      <c r="B10" s="17" t="n">
        <v>10036</v>
      </c>
      <c r="C10" s="18">
        <f>(8968.0/B10*100)</f>
        <v/>
      </c>
      <c r="D10" s="19" t="n">
        <v>1068</v>
      </c>
      <c r="E10" s="18" t="n">
        <v>14.02750304</v>
      </c>
      <c r="F10" s="20" t="n">
        <v>1.4507585</v>
      </c>
      <c r="G10" s="18" t="n">
        <v>83.34062659</v>
      </c>
      <c r="H10" s="20" t="n">
        <v>1.64712306</v>
      </c>
      <c r="I10" s="18" t="s">
        <v>567</v>
      </c>
      <c r="J10" s="20" t="s">
        <v>567</v>
      </c>
      <c r="K10" s="18" t="n">
        <v>0.2487362</v>
      </c>
      <c r="L10" s="20" t="n">
        <v>0.18319795</v>
      </c>
      <c r="M10" s="18" t="n">
        <v>0</v>
      </c>
      <c r="N10" s="20" t="n">
        <v>0</v>
      </c>
      <c r="O10" s="18" t="n">
        <v>0</v>
      </c>
      <c r="P10" s="20" t="n">
        <v>0</v>
      </c>
      <c r="Q10" s="18" t="n">
        <v>2.38313418</v>
      </c>
      <c r="R10" s="20" t="n">
        <v>0.56791315</v>
      </c>
    </row>
    <row r="11" spans="1:18">
      <c r="A11" s="15" t="s">
        <v>571</v>
      </c>
      <c r="B11" s="17" t="n">
        <v>3553</v>
      </c>
      <c r="C11" s="18">
        <f>(3167.0/B11*100)</f>
        <v/>
      </c>
      <c r="D11" s="19" t="n">
        <v>386</v>
      </c>
      <c r="E11" s="18" t="n">
        <v>9.77389846</v>
      </c>
      <c r="F11" s="20" t="n">
        <v>1.56396844</v>
      </c>
      <c r="G11" s="18" t="n">
        <v>82.65038349</v>
      </c>
      <c r="H11" s="20" t="n">
        <v>2.39397847</v>
      </c>
      <c r="I11" s="18" t="s">
        <v>567</v>
      </c>
      <c r="J11" s="20" t="s">
        <v>567</v>
      </c>
      <c r="K11" s="18" t="n">
        <v>0</v>
      </c>
      <c r="L11" s="20" t="n">
        <v>0</v>
      </c>
      <c r="M11" s="18" t="n">
        <v>0</v>
      </c>
      <c r="N11" s="20" t="n">
        <v>0</v>
      </c>
      <c r="O11" s="18" t="n">
        <v>0</v>
      </c>
      <c r="P11" s="20" t="n">
        <v>0</v>
      </c>
      <c r="Q11" s="18" t="n">
        <v>7.57571804</v>
      </c>
      <c r="R11" s="20" t="n">
        <v>1.82236799</v>
      </c>
    </row>
    <row r="12" spans="1:18">
      <c r="A12" s="15" t="s">
        <v>572</v>
      </c>
      <c r="B12" s="17" t="n">
        <v>3472</v>
      </c>
      <c r="C12" s="18">
        <f>(3099.0/B12*100)</f>
        <v/>
      </c>
      <c r="D12" s="19" t="n">
        <v>373</v>
      </c>
      <c r="E12" s="18" t="n">
        <v>15.15551678</v>
      </c>
      <c r="F12" s="20" t="n">
        <v>2.61233589</v>
      </c>
      <c r="G12" s="18" t="n">
        <v>77.0387873</v>
      </c>
      <c r="H12" s="20" t="n">
        <v>2.50029079</v>
      </c>
      <c r="I12" s="18" t="s">
        <v>567</v>
      </c>
      <c r="J12" s="20" t="s">
        <v>567</v>
      </c>
      <c r="K12" s="18" t="n">
        <v>0</v>
      </c>
      <c r="L12" s="20" t="n">
        <v>0</v>
      </c>
      <c r="M12" s="18" t="n">
        <v>0.15294461</v>
      </c>
      <c r="N12" s="20" t="n">
        <v>0.20628887</v>
      </c>
      <c r="O12" s="18" t="n">
        <v>0</v>
      </c>
      <c r="P12" s="20" t="n">
        <v>0</v>
      </c>
      <c r="Q12" s="18" t="n">
        <v>7.65275131</v>
      </c>
      <c r="R12" s="20" t="n">
        <v>1.67239409</v>
      </c>
    </row>
    <row r="13" spans="1:18">
      <c r="A13" s="15" t="s">
        <v>573</v>
      </c>
      <c r="B13" s="17" t="n">
        <v>3559</v>
      </c>
      <c r="C13" s="18">
        <f>(3191.0/B13*100)</f>
        <v/>
      </c>
      <c r="D13" s="19" t="n">
        <v>368</v>
      </c>
      <c r="E13" s="18" t="n">
        <v>12.81877446</v>
      </c>
      <c r="F13" s="20" t="n">
        <v>2.02181727</v>
      </c>
      <c r="G13" s="18" t="n">
        <v>84.11172102</v>
      </c>
      <c r="H13" s="20" t="n">
        <v>2.16318402</v>
      </c>
      <c r="I13" s="18" t="s">
        <v>567</v>
      </c>
      <c r="J13" s="20" t="s">
        <v>567</v>
      </c>
      <c r="K13" s="18" t="n">
        <v>0.31728808</v>
      </c>
      <c r="L13" s="20" t="n">
        <v>0.22837537</v>
      </c>
      <c r="M13" s="18" t="n">
        <v>0</v>
      </c>
      <c r="N13" s="20" t="n">
        <v>0</v>
      </c>
      <c r="O13" s="18" t="n">
        <v>0</v>
      </c>
      <c r="P13" s="20" t="n">
        <v>0</v>
      </c>
      <c r="Q13" s="18" t="n">
        <v>2.75221644</v>
      </c>
      <c r="R13" s="20" t="n">
        <v>1.04339054</v>
      </c>
    </row>
    <row r="14" spans="1:18">
      <c r="A14" s="15" t="s">
        <v>574</v>
      </c>
      <c r="B14" s="17" t="n">
        <v>2799</v>
      </c>
      <c r="C14" s="18">
        <f>(2511.0/B14*100)</f>
        <v/>
      </c>
      <c r="D14" s="19" t="n">
        <v>288</v>
      </c>
      <c r="E14" s="18" t="n">
        <v>8.6420286</v>
      </c>
      <c r="F14" s="20" t="n">
        <v>1.55044478</v>
      </c>
      <c r="G14" s="18" t="n">
        <v>89.61583078</v>
      </c>
      <c r="H14" s="20" t="n">
        <v>1.70424408</v>
      </c>
      <c r="I14" s="18" t="s">
        <v>567</v>
      </c>
      <c r="J14" s="20" t="s">
        <v>567</v>
      </c>
      <c r="K14" s="18" t="n">
        <v>0</v>
      </c>
      <c r="L14" s="20" t="n">
        <v>0</v>
      </c>
      <c r="M14" s="18" t="n">
        <v>0</v>
      </c>
      <c r="N14" s="20" t="n">
        <v>0</v>
      </c>
      <c r="O14" s="18" t="n">
        <v>0</v>
      </c>
      <c r="P14" s="20" t="n">
        <v>0</v>
      </c>
      <c r="Q14" s="18" t="n">
        <v>1.74214062</v>
      </c>
      <c r="R14" s="20" t="n">
        <v>0.71009216</v>
      </c>
    </row>
    <row r="15" spans="1:18">
      <c r="A15" s="15" t="s">
        <v>575</v>
      </c>
      <c r="B15" s="17" t="n">
        <v>3019</v>
      </c>
      <c r="C15" s="18">
        <f>(2664.0/B15*100)</f>
        <v/>
      </c>
      <c r="D15" s="19" t="n">
        <v>355</v>
      </c>
      <c r="E15" s="18" t="n">
        <v>5.15453483</v>
      </c>
      <c r="F15" s="20" t="n">
        <v>1.21153956</v>
      </c>
      <c r="G15" s="18" t="n">
        <v>91.16791067</v>
      </c>
      <c r="H15" s="20" t="n">
        <v>1.6032325</v>
      </c>
      <c r="I15" s="18" t="s">
        <v>567</v>
      </c>
      <c r="J15" s="20" t="s">
        <v>567</v>
      </c>
      <c r="K15" s="18" t="n">
        <v>0</v>
      </c>
      <c r="L15" s="20" t="n">
        <v>0</v>
      </c>
      <c r="M15" s="18" t="n">
        <v>0</v>
      </c>
      <c r="N15" s="20" t="n">
        <v>0</v>
      </c>
      <c r="O15" s="18" t="n">
        <v>0</v>
      </c>
      <c r="P15" s="20" t="n">
        <v>0</v>
      </c>
      <c r="Q15" s="18" t="n">
        <v>3.67755451</v>
      </c>
      <c r="R15" s="20" t="n">
        <v>1.10433061</v>
      </c>
    </row>
    <row r="16" spans="1:18">
      <c r="A16" s="15" t="s">
        <v>576</v>
      </c>
      <c r="B16" s="17" t="n">
        <v>2997</v>
      </c>
      <c r="C16" s="18">
        <f>(2664.0/B16*100)</f>
        <v/>
      </c>
      <c r="D16" s="19" t="n">
        <v>333</v>
      </c>
      <c r="E16" s="18" t="n">
        <v>11.6246209</v>
      </c>
      <c r="F16" s="20" t="n">
        <v>1.73111517</v>
      </c>
      <c r="G16" s="18" t="n">
        <v>76.62054504</v>
      </c>
      <c r="H16" s="20" t="n">
        <v>2.57230999</v>
      </c>
      <c r="I16" s="18" t="s">
        <v>567</v>
      </c>
      <c r="J16" s="20" t="s">
        <v>567</v>
      </c>
      <c r="K16" s="18" t="n">
        <v>0</v>
      </c>
      <c r="L16" s="20" t="n">
        <v>0</v>
      </c>
      <c r="M16" s="18" t="n">
        <v>0</v>
      </c>
      <c r="N16" s="20" t="n">
        <v>0</v>
      </c>
      <c r="O16" s="18" t="n">
        <v>0</v>
      </c>
      <c r="P16" s="20" t="n">
        <v>0</v>
      </c>
      <c r="Q16" s="18" t="n">
        <v>11.75483406</v>
      </c>
      <c r="R16" s="20" t="n">
        <v>2.04216843</v>
      </c>
    </row>
    <row r="17" spans="1:18">
      <c r="A17" s="15" t="s">
        <v>577</v>
      </c>
      <c r="B17" s="17" t="n">
        <v>3307</v>
      </c>
      <c r="C17" s="18">
        <f>(2979.0/B17*100)</f>
        <v/>
      </c>
      <c r="D17" s="19" t="n">
        <v>328</v>
      </c>
      <c r="E17" s="18" t="n">
        <v>10.59909865</v>
      </c>
      <c r="F17" s="20" t="n">
        <v>1.91349097</v>
      </c>
      <c r="G17" s="18" t="n">
        <v>86.42222393</v>
      </c>
      <c r="H17" s="20" t="n">
        <v>1.91572059</v>
      </c>
      <c r="I17" s="18" t="s">
        <v>567</v>
      </c>
      <c r="J17" s="20" t="s">
        <v>567</v>
      </c>
      <c r="K17" s="18" t="n">
        <v>0</v>
      </c>
      <c r="L17" s="20" t="n">
        <v>0</v>
      </c>
      <c r="M17" s="18" t="n">
        <v>0</v>
      </c>
      <c r="N17" s="20" t="n">
        <v>0</v>
      </c>
      <c r="O17" s="18" t="n">
        <v>0</v>
      </c>
      <c r="P17" s="20" t="n">
        <v>0</v>
      </c>
      <c r="Q17" s="18" t="n">
        <v>2.97867742</v>
      </c>
      <c r="R17" s="20" t="n">
        <v>0.91384086</v>
      </c>
    </row>
    <row r="18" spans="1:18">
      <c r="A18" s="15" t="s">
        <v>578</v>
      </c>
      <c r="B18" s="17" t="n">
        <v>2826</v>
      </c>
      <c r="C18" s="18">
        <f>(2502.0/B18*100)</f>
        <v/>
      </c>
      <c r="D18" s="19" t="n">
        <v>324</v>
      </c>
      <c r="E18" s="18" t="n">
        <v>18.58665878</v>
      </c>
      <c r="F18" s="20" t="n">
        <v>2.0605375</v>
      </c>
      <c r="G18" s="18" t="n">
        <v>68.65728853</v>
      </c>
      <c r="H18" s="20" t="n">
        <v>3.28625518</v>
      </c>
      <c r="I18" s="18" t="s">
        <v>567</v>
      </c>
      <c r="J18" s="20" t="s">
        <v>567</v>
      </c>
      <c r="K18" s="18" t="n">
        <v>0.35335226</v>
      </c>
      <c r="L18" s="20" t="n">
        <v>0.35137277</v>
      </c>
      <c r="M18" s="18" t="n">
        <v>0</v>
      </c>
      <c r="N18" s="20" t="n">
        <v>0</v>
      </c>
      <c r="O18" s="18" t="n">
        <v>0</v>
      </c>
      <c r="P18" s="20" t="n">
        <v>0</v>
      </c>
      <c r="Q18" s="18" t="n">
        <v>12.40270043</v>
      </c>
      <c r="R18" s="20" t="n">
        <v>2.78801095</v>
      </c>
    </row>
    <row r="19" spans="1:18">
      <c r="A19" s="15" t="s">
        <v>579</v>
      </c>
      <c r="B19" s="17" t="n">
        <v>2808</v>
      </c>
      <c r="C19" s="18">
        <f>(2484.0/B19*100)</f>
        <v/>
      </c>
      <c r="D19" s="19" t="n">
        <v>324</v>
      </c>
      <c r="E19" s="18" t="n">
        <v>12.56858221</v>
      </c>
      <c r="F19" s="20" t="n">
        <v>1.69855989</v>
      </c>
      <c r="G19" s="18" t="n">
        <v>81.24603624</v>
      </c>
      <c r="H19" s="20" t="n">
        <v>2.09385634</v>
      </c>
      <c r="I19" s="18" t="s">
        <v>567</v>
      </c>
      <c r="J19" s="20" t="s">
        <v>567</v>
      </c>
      <c r="K19" s="18" t="n">
        <v>0</v>
      </c>
      <c r="L19" s="20" t="n">
        <v>0</v>
      </c>
      <c r="M19" s="18" t="n">
        <v>0</v>
      </c>
      <c r="N19" s="20" t="n">
        <v>0</v>
      </c>
      <c r="O19" s="18" t="n">
        <v>0</v>
      </c>
      <c r="P19" s="20" t="n">
        <v>0</v>
      </c>
      <c r="Q19" s="18" t="n">
        <v>6.18538155</v>
      </c>
      <c r="R19" s="20" t="n">
        <v>1.43530592</v>
      </c>
    </row>
    <row r="20" spans="1:18">
      <c r="A20" s="15" t="s">
        <v>580</v>
      </c>
      <c r="B20" s="17" t="n">
        <v>1630</v>
      </c>
      <c r="C20" s="18">
        <f>(1469.0/B20*100)</f>
        <v/>
      </c>
      <c r="D20" s="19" t="n">
        <v>161</v>
      </c>
      <c r="E20" s="18" t="n">
        <v>17.51893158</v>
      </c>
      <c r="F20" s="20" t="n">
        <v>2.97294244</v>
      </c>
      <c r="G20" s="18" t="n">
        <v>75.43024137</v>
      </c>
      <c r="H20" s="20" t="n">
        <v>3.37846867</v>
      </c>
      <c r="I20" s="18" t="s">
        <v>567</v>
      </c>
      <c r="J20" s="20" t="s">
        <v>567</v>
      </c>
      <c r="K20" s="18" t="n">
        <v>0</v>
      </c>
      <c r="L20" s="20" t="n">
        <v>0</v>
      </c>
      <c r="M20" s="18" t="n">
        <v>0</v>
      </c>
      <c r="N20" s="20" t="n">
        <v>0</v>
      </c>
      <c r="O20" s="18" t="n">
        <v>0</v>
      </c>
      <c r="P20" s="20" t="n">
        <v>0</v>
      </c>
      <c r="Q20" s="18" t="n">
        <v>7.05082705</v>
      </c>
      <c r="R20" s="20" t="n">
        <v>2.06001375</v>
      </c>
    </row>
    <row r="21" spans="1:18">
      <c r="A21" s="15" t="s">
        <v>581</v>
      </c>
      <c r="B21" s="17" t="n">
        <v>2908</v>
      </c>
      <c r="C21" s="18">
        <f>(2598.0/B21*100)</f>
        <v/>
      </c>
      <c r="D21" s="19" t="n">
        <v>310</v>
      </c>
      <c r="E21" s="18" t="n">
        <v>6.50709484</v>
      </c>
      <c r="F21" s="20" t="n">
        <v>1.25644173</v>
      </c>
      <c r="G21" s="18" t="n">
        <v>87.9038189</v>
      </c>
      <c r="H21" s="20" t="n">
        <v>1.68765591</v>
      </c>
      <c r="I21" s="18" t="s">
        <v>567</v>
      </c>
      <c r="J21" s="20" t="s">
        <v>567</v>
      </c>
      <c r="K21" s="18" t="n">
        <v>0</v>
      </c>
      <c r="L21" s="20" t="n">
        <v>0</v>
      </c>
      <c r="M21" s="18" t="n">
        <v>0</v>
      </c>
      <c r="N21" s="20" t="n">
        <v>0</v>
      </c>
      <c r="O21" s="18" t="n">
        <v>0</v>
      </c>
      <c r="P21" s="20" t="n">
        <v>0</v>
      </c>
      <c r="Q21" s="18" t="n">
        <v>5.58908626</v>
      </c>
      <c r="R21" s="20" t="n">
        <v>1.24955901</v>
      </c>
    </row>
    <row r="22" spans="1:18">
      <c r="A22" s="15" t="s">
        <v>582</v>
      </c>
      <c r="B22" s="17" t="n">
        <v>2931</v>
      </c>
      <c r="C22" s="18">
        <f>(2609.0/B22*100)</f>
        <v/>
      </c>
      <c r="D22" s="19" t="n">
        <v>322</v>
      </c>
      <c r="E22" s="18" t="n">
        <v>23.44415299</v>
      </c>
      <c r="F22" s="20" t="n">
        <v>3.23356437</v>
      </c>
      <c r="G22" s="18" t="n">
        <v>58.97032594</v>
      </c>
      <c r="H22" s="20" t="n">
        <v>3.51488496</v>
      </c>
      <c r="I22" s="18" t="s">
        <v>567</v>
      </c>
      <c r="J22" s="20" t="s">
        <v>567</v>
      </c>
      <c r="K22" s="18" t="n">
        <v>0.82915881</v>
      </c>
      <c r="L22" s="20" t="n">
        <v>0.41249814</v>
      </c>
      <c r="M22" s="18" t="n">
        <v>0</v>
      </c>
      <c r="N22" s="20" t="n">
        <v>0</v>
      </c>
      <c r="O22" s="18" t="n">
        <v>0</v>
      </c>
      <c r="P22" s="20" t="n">
        <v>0</v>
      </c>
      <c r="Q22" s="18" t="n">
        <v>16.75636226</v>
      </c>
      <c r="R22" s="20" t="n">
        <v>2.93991797</v>
      </c>
    </row>
    <row r="23" spans="1:18">
      <c r="A23" s="15" t="s">
        <v>583</v>
      </c>
      <c r="B23" s="17" t="n">
        <v>5791</v>
      </c>
      <c r="C23" s="18">
        <f>(5130.0/B23*100)</f>
        <v/>
      </c>
      <c r="D23" s="19" t="n">
        <v>661</v>
      </c>
      <c r="E23" s="18" t="n">
        <v>17.08172828</v>
      </c>
      <c r="F23" s="20" t="n">
        <v>1.73654466</v>
      </c>
      <c r="G23" s="18" t="n">
        <v>69.90576993000001</v>
      </c>
      <c r="H23" s="20" t="n">
        <v>3.29360999</v>
      </c>
      <c r="I23" s="18" t="s">
        <v>567</v>
      </c>
      <c r="J23" s="20" t="s">
        <v>567</v>
      </c>
      <c r="K23" s="18" t="n">
        <v>0.48752094</v>
      </c>
      <c r="L23" s="20" t="n">
        <v>0.56186988</v>
      </c>
      <c r="M23" s="18" t="n">
        <v>0.01216198</v>
      </c>
      <c r="N23" s="20" t="n">
        <v>0.01208933</v>
      </c>
      <c r="O23" s="18" t="n">
        <v>0</v>
      </c>
      <c r="P23" s="20" t="n">
        <v>0</v>
      </c>
      <c r="Q23" s="18" t="n">
        <v>12.51281887</v>
      </c>
      <c r="R23" s="20" t="n">
        <v>2.15680525</v>
      </c>
    </row>
    <row r="24" spans="1:18">
      <c r="A24" s="15" t="s">
        <v>584</v>
      </c>
      <c r="B24" s="17" t="n">
        <v>3338</v>
      </c>
      <c r="C24" s="18">
        <f>(2975.0/B24*100)</f>
        <v/>
      </c>
      <c r="D24" s="19" t="n">
        <v>363</v>
      </c>
      <c r="E24" s="18" t="n">
        <v>18.60225481</v>
      </c>
      <c r="F24" s="20" t="n">
        <v>2.78600631</v>
      </c>
      <c r="G24" s="18" t="n">
        <v>75.09200494</v>
      </c>
      <c r="H24" s="20" t="n">
        <v>2.74097223</v>
      </c>
      <c r="I24" s="18" t="s">
        <v>567</v>
      </c>
      <c r="J24" s="20" t="s">
        <v>567</v>
      </c>
      <c r="K24" s="18" t="n">
        <v>0.24026473</v>
      </c>
      <c r="L24" s="20" t="n">
        <v>0.23977104</v>
      </c>
      <c r="M24" s="18" t="n">
        <v>0</v>
      </c>
      <c r="N24" s="20" t="n">
        <v>0</v>
      </c>
      <c r="O24" s="18" t="n">
        <v>0</v>
      </c>
      <c r="P24" s="20" t="n">
        <v>0</v>
      </c>
      <c r="Q24" s="18" t="n">
        <v>6.06547552</v>
      </c>
      <c r="R24" s="20" t="n">
        <v>1.12001982</v>
      </c>
    </row>
    <row r="25" spans="1:18">
      <c r="A25" s="15" t="s">
        <v>585</v>
      </c>
      <c r="B25" s="17" t="n">
        <v>2912</v>
      </c>
      <c r="C25" s="18">
        <f>(2561.0/B25*100)</f>
        <v/>
      </c>
      <c r="D25" s="19" t="n">
        <v>351</v>
      </c>
      <c r="E25" s="18" t="n">
        <v>33.26017869</v>
      </c>
      <c r="F25" s="20" t="n">
        <v>2.67987475</v>
      </c>
      <c r="G25" s="18" t="n">
        <v>57.7193992</v>
      </c>
      <c r="H25" s="20" t="n">
        <v>3.09963087</v>
      </c>
      <c r="I25" s="18" t="s">
        <v>567</v>
      </c>
      <c r="J25" s="20" t="s">
        <v>567</v>
      </c>
      <c r="K25" s="18" t="n">
        <v>1.69652275</v>
      </c>
      <c r="L25" s="20" t="n">
        <v>0.6732216</v>
      </c>
      <c r="M25" s="18" t="n">
        <v>0</v>
      </c>
      <c r="N25" s="20" t="n">
        <v>0</v>
      </c>
      <c r="O25" s="18" t="n">
        <v>0</v>
      </c>
      <c r="P25" s="20" t="n">
        <v>0</v>
      </c>
      <c r="Q25" s="18" t="n">
        <v>7.32389937</v>
      </c>
      <c r="R25" s="20" t="n">
        <v>1.4480069</v>
      </c>
    </row>
    <row r="26" spans="1:18">
      <c r="A26" s="15" t="s">
        <v>586</v>
      </c>
      <c r="B26" s="17" t="n">
        <v>2450</v>
      </c>
      <c r="C26" s="18">
        <f>(2181.0/B26*100)</f>
        <v/>
      </c>
      <c r="D26" s="19" t="n">
        <v>269</v>
      </c>
      <c r="E26" s="18" t="n">
        <v>16.08512736</v>
      </c>
      <c r="F26" s="20" t="n">
        <v>2.28986467</v>
      </c>
      <c r="G26" s="18" t="n">
        <v>80.75659408</v>
      </c>
      <c r="H26" s="20" t="n">
        <v>2.26884752</v>
      </c>
      <c r="I26" s="18" t="s">
        <v>567</v>
      </c>
      <c r="J26" s="20" t="s">
        <v>567</v>
      </c>
      <c r="K26" s="18" t="n">
        <v>0</v>
      </c>
      <c r="L26" s="20" t="n">
        <v>0</v>
      </c>
      <c r="M26" s="18" t="n">
        <v>0</v>
      </c>
      <c r="N26" s="20" t="n">
        <v>0</v>
      </c>
      <c r="O26" s="18" t="n">
        <v>0</v>
      </c>
      <c r="P26" s="20" t="n">
        <v>0</v>
      </c>
      <c r="Q26" s="18" t="n">
        <v>3.15827856</v>
      </c>
      <c r="R26" s="20" t="n">
        <v>0.98119495</v>
      </c>
    </row>
    <row r="27" spans="1:18">
      <c r="A27" s="15" t="s">
        <v>587</v>
      </c>
      <c r="B27" s="17" t="n">
        <v>2616</v>
      </c>
      <c r="C27" s="18">
        <f>(2351.0/B27*100)</f>
        <v/>
      </c>
      <c r="D27" s="19" t="n">
        <v>265</v>
      </c>
      <c r="E27" s="18" t="n">
        <v>13.90762076</v>
      </c>
      <c r="F27" s="20" t="n">
        <v>2.1056953</v>
      </c>
      <c r="G27" s="18" t="n">
        <v>79.63427555</v>
      </c>
      <c r="H27" s="20" t="n">
        <v>2.38665914</v>
      </c>
      <c r="I27" s="18" t="s">
        <v>567</v>
      </c>
      <c r="J27" s="20" t="s">
        <v>567</v>
      </c>
      <c r="K27" s="18" t="n">
        <v>0</v>
      </c>
      <c r="L27" s="20" t="n">
        <v>0</v>
      </c>
      <c r="M27" s="18" t="n">
        <v>0</v>
      </c>
      <c r="N27" s="20" t="n">
        <v>0</v>
      </c>
      <c r="O27" s="18" t="n">
        <v>0</v>
      </c>
      <c r="P27" s="20" t="n">
        <v>0</v>
      </c>
      <c r="Q27" s="18" t="n">
        <v>6.4581037</v>
      </c>
      <c r="R27" s="20" t="n">
        <v>1.46212489</v>
      </c>
    </row>
    <row r="28" spans="1:18">
      <c r="A28" s="15" t="s">
        <v>588</v>
      </c>
      <c r="B28" s="17" t="n">
        <v>3765</v>
      </c>
      <c r="C28" s="18">
        <f>(3353.0/B28*100)</f>
        <v/>
      </c>
      <c r="D28" s="19" t="n">
        <v>412</v>
      </c>
      <c r="E28" s="18" t="n">
        <v>28.08427517</v>
      </c>
      <c r="F28" s="20" t="n">
        <v>2.67479256</v>
      </c>
      <c r="G28" s="18" t="n">
        <v>68.54092092</v>
      </c>
      <c r="H28" s="20" t="n">
        <v>2.60282304</v>
      </c>
      <c r="I28" s="18" t="s">
        <v>567</v>
      </c>
      <c r="J28" s="20" t="s">
        <v>567</v>
      </c>
      <c r="K28" s="18" t="n">
        <v>0.8817258100000001</v>
      </c>
      <c r="L28" s="20" t="n">
        <v>0.49108955</v>
      </c>
      <c r="M28" s="18" t="n">
        <v>0</v>
      </c>
      <c r="N28" s="20" t="n">
        <v>0</v>
      </c>
      <c r="O28" s="18" t="n">
        <v>0</v>
      </c>
      <c r="P28" s="20" t="n">
        <v>0</v>
      </c>
      <c r="Q28" s="18" t="n">
        <v>2.49307809</v>
      </c>
      <c r="R28" s="20" t="n">
        <v>1.06622997</v>
      </c>
    </row>
    <row r="29" spans="1:18">
      <c r="A29" s="15" t="s">
        <v>589</v>
      </c>
      <c r="B29" s="17" t="n">
        <v>2685</v>
      </c>
      <c r="C29" s="18">
        <f>(2387.0/B29*100)</f>
        <v/>
      </c>
      <c r="D29" s="19" t="n">
        <v>298</v>
      </c>
      <c r="E29" s="18" t="n">
        <v>16.88084168</v>
      </c>
      <c r="F29" s="20" t="n">
        <v>2.47652802</v>
      </c>
      <c r="G29" s="18" t="n">
        <v>80.77909764</v>
      </c>
      <c r="H29" s="20" t="n">
        <v>2.49974493</v>
      </c>
      <c r="I29" s="18" t="s">
        <v>567</v>
      </c>
      <c r="J29" s="20" t="s">
        <v>567</v>
      </c>
      <c r="K29" s="18" t="n">
        <v>0.38078387</v>
      </c>
      <c r="L29" s="20" t="n">
        <v>0.35229087</v>
      </c>
      <c r="M29" s="18" t="n">
        <v>0</v>
      </c>
      <c r="N29" s="20" t="n">
        <v>0</v>
      </c>
      <c r="O29" s="18" t="n">
        <v>0</v>
      </c>
      <c r="P29" s="20" t="n">
        <v>0</v>
      </c>
      <c r="Q29" s="18" t="n">
        <v>1.95927681</v>
      </c>
      <c r="R29" s="20" t="n">
        <v>0.9705253</v>
      </c>
    </row>
    <row r="30" spans="1:18">
      <c r="A30" s="15" t="s">
        <v>590</v>
      </c>
      <c r="B30" s="17" t="n">
        <v>2263</v>
      </c>
      <c r="C30" s="18">
        <f>(2020.0/B30*100)</f>
        <v/>
      </c>
      <c r="D30" s="19" t="n">
        <v>243</v>
      </c>
      <c r="E30" s="18" t="n">
        <v>11.3038624</v>
      </c>
      <c r="F30" s="20" t="n">
        <v>2.09380696</v>
      </c>
      <c r="G30" s="18" t="n">
        <v>80.48257220000001</v>
      </c>
      <c r="H30" s="20" t="n">
        <v>2.73524126</v>
      </c>
      <c r="I30" s="18" t="s">
        <v>567</v>
      </c>
      <c r="J30" s="20" t="s">
        <v>567</v>
      </c>
      <c r="K30" s="18" t="n">
        <v>0.97494566</v>
      </c>
      <c r="L30" s="20" t="n">
        <v>0.6414561</v>
      </c>
      <c r="M30" s="18" t="n">
        <v>0</v>
      </c>
      <c r="N30" s="20" t="n">
        <v>0</v>
      </c>
      <c r="O30" s="18" t="n">
        <v>0</v>
      </c>
      <c r="P30" s="20" t="n">
        <v>0</v>
      </c>
      <c r="Q30" s="18" t="n">
        <v>7.23861974</v>
      </c>
      <c r="R30" s="20" t="n">
        <v>2.06864193</v>
      </c>
    </row>
    <row r="31" spans="1:18">
      <c r="A31" s="15" t="s">
        <v>591</v>
      </c>
      <c r="B31" s="17" t="n">
        <v>2750</v>
      </c>
      <c r="C31" s="18">
        <f>(2454.0/B31*100)</f>
        <v/>
      </c>
      <c r="D31" s="19" t="n">
        <v>296</v>
      </c>
      <c r="E31" s="18" t="n">
        <v>10.4317855</v>
      </c>
      <c r="F31" s="20" t="n">
        <v>1.80026011</v>
      </c>
      <c r="G31" s="18" t="n">
        <v>81.96705428</v>
      </c>
      <c r="H31" s="20" t="n">
        <v>2.18357955</v>
      </c>
      <c r="I31" s="18" t="s">
        <v>567</v>
      </c>
      <c r="J31" s="20" t="s">
        <v>567</v>
      </c>
      <c r="K31" s="18" t="n">
        <v>0.67264729</v>
      </c>
      <c r="L31" s="20" t="n">
        <v>0.48671607</v>
      </c>
      <c r="M31" s="18" t="n">
        <v>0.28695226</v>
      </c>
      <c r="N31" s="20" t="n">
        <v>0.33633197</v>
      </c>
      <c r="O31" s="18" t="n">
        <v>0</v>
      </c>
      <c r="P31" s="20" t="n">
        <v>0</v>
      </c>
      <c r="Q31" s="18" t="n">
        <v>6.64156068</v>
      </c>
      <c r="R31" s="20" t="n">
        <v>1.29040072</v>
      </c>
    </row>
    <row r="32" spans="1:18">
      <c r="A32" s="15" t="s">
        <v>592</v>
      </c>
      <c r="B32" s="17" t="n">
        <v>2269</v>
      </c>
      <c r="C32" s="18">
        <f>(2026.0/B32*100)</f>
        <v/>
      </c>
      <c r="D32" s="19" t="n">
        <v>243</v>
      </c>
      <c r="E32" s="18" t="n">
        <v>14.19832264</v>
      </c>
      <c r="F32" s="20" t="n">
        <v>2.50318658</v>
      </c>
      <c r="G32" s="18" t="n">
        <v>81.49004461</v>
      </c>
      <c r="H32" s="20" t="n">
        <v>2.68130635</v>
      </c>
      <c r="I32" s="18" t="s">
        <v>567</v>
      </c>
      <c r="J32" s="20" t="s">
        <v>567</v>
      </c>
      <c r="K32" s="18" t="n">
        <v>0</v>
      </c>
      <c r="L32" s="20" t="n">
        <v>0</v>
      </c>
      <c r="M32" s="18" t="n">
        <v>0</v>
      </c>
      <c r="N32" s="20" t="n">
        <v>0</v>
      </c>
      <c r="O32" s="18" t="n">
        <v>0</v>
      </c>
      <c r="P32" s="20" t="n">
        <v>0</v>
      </c>
      <c r="Q32" s="18" t="n">
        <v>4.31163274</v>
      </c>
      <c r="R32" s="20" t="n">
        <v>1.23570884</v>
      </c>
    </row>
    <row r="33" spans="1:18">
      <c r="A33" s="15" t="s">
        <v>593</v>
      </c>
      <c r="B33" s="17" t="n">
        <v>3674</v>
      </c>
      <c r="C33" s="18">
        <f>(3285.0/B33*100)</f>
        <v/>
      </c>
      <c r="D33" s="19" t="n">
        <v>389</v>
      </c>
      <c r="E33" s="18" t="n">
        <v>7.10895314</v>
      </c>
      <c r="F33" s="20" t="n">
        <v>1.47604481</v>
      </c>
      <c r="G33" s="18" t="n">
        <v>86.45007173</v>
      </c>
      <c r="H33" s="20" t="n">
        <v>2.16111404</v>
      </c>
      <c r="I33" s="18" t="s">
        <v>567</v>
      </c>
      <c r="J33" s="20" t="s">
        <v>567</v>
      </c>
      <c r="K33" s="18" t="n">
        <v>0.51687897</v>
      </c>
      <c r="L33" s="20" t="n">
        <v>0.61085474</v>
      </c>
      <c r="M33" s="18" t="n">
        <v>0</v>
      </c>
      <c r="N33" s="20" t="n">
        <v>0</v>
      </c>
      <c r="O33" s="18" t="n">
        <v>0</v>
      </c>
      <c r="P33" s="20" t="n">
        <v>0</v>
      </c>
      <c r="Q33" s="18" t="n">
        <v>5.92409616</v>
      </c>
      <c r="R33" s="20" t="n">
        <v>1.49156299</v>
      </c>
    </row>
    <row r="34" spans="1:18">
      <c r="A34" s="15" t="s">
        <v>594</v>
      </c>
      <c r="B34" s="17" t="n">
        <v>3315</v>
      </c>
      <c r="C34" s="18">
        <f>(2956.0/B34*100)</f>
        <v/>
      </c>
      <c r="D34" s="19" t="n">
        <v>359</v>
      </c>
      <c r="E34" s="18" t="n">
        <v>13.33837348</v>
      </c>
      <c r="F34" s="20" t="n">
        <v>1.927623</v>
      </c>
      <c r="G34" s="18" t="n">
        <v>78.13391195</v>
      </c>
      <c r="H34" s="20" t="n">
        <v>2.14355944</v>
      </c>
      <c r="I34" s="18" t="s">
        <v>567</v>
      </c>
      <c r="J34" s="20" t="s">
        <v>567</v>
      </c>
      <c r="K34" s="18" t="n">
        <v>0</v>
      </c>
      <c r="L34" s="20" t="n">
        <v>0</v>
      </c>
      <c r="M34" s="18" t="n">
        <v>0</v>
      </c>
      <c r="N34" s="20" t="n">
        <v>0</v>
      </c>
      <c r="O34" s="18" t="n">
        <v>0</v>
      </c>
      <c r="P34" s="20" t="n">
        <v>0</v>
      </c>
      <c r="Q34" s="18" t="n">
        <v>8.527714570000001</v>
      </c>
      <c r="R34" s="20" t="n">
        <v>1.40334453</v>
      </c>
    </row>
    <row r="35" spans="1:18">
      <c r="A35" s="15" t="s">
        <v>595</v>
      </c>
      <c r="B35" s="17" t="n">
        <v>3505</v>
      </c>
      <c r="C35" s="18">
        <f>(3109.0/B35*100)</f>
        <v/>
      </c>
      <c r="D35" s="19" t="n">
        <v>396</v>
      </c>
      <c r="E35" s="18" t="n">
        <v>9.486254199999999</v>
      </c>
      <c r="F35" s="20" t="n">
        <v>1.87894123</v>
      </c>
      <c r="G35" s="18" t="n">
        <v>88.01711903</v>
      </c>
      <c r="H35" s="20" t="n">
        <v>1.96121069</v>
      </c>
      <c r="I35" s="18" t="s">
        <v>567</v>
      </c>
      <c r="J35" s="20" t="s">
        <v>567</v>
      </c>
      <c r="K35" s="18" t="n">
        <v>0</v>
      </c>
      <c r="L35" s="20" t="n">
        <v>0</v>
      </c>
      <c r="M35" s="18" t="n">
        <v>0.4402311</v>
      </c>
      <c r="N35" s="20" t="n">
        <v>0.44211122</v>
      </c>
      <c r="O35" s="18" t="n">
        <v>0</v>
      </c>
      <c r="P35" s="20" t="n">
        <v>0</v>
      </c>
      <c r="Q35" s="18" t="n">
        <v>2.05639568</v>
      </c>
      <c r="R35" s="20" t="n">
        <v>0.68138347</v>
      </c>
    </row>
    <row r="36" spans="1:18">
      <c r="A36" s="15" t="s">
        <v>596</v>
      </c>
      <c r="B36" s="17" t="n">
        <v>3332</v>
      </c>
      <c r="C36" s="18">
        <f>(2959.0/B36*100)</f>
        <v/>
      </c>
      <c r="D36" s="19" t="n">
        <v>373</v>
      </c>
      <c r="E36" s="18" t="n">
        <v>8.28774203</v>
      </c>
      <c r="F36" s="20" t="n">
        <v>1.38149384</v>
      </c>
      <c r="G36" s="18" t="n">
        <v>85.06876523</v>
      </c>
      <c r="H36" s="20" t="n">
        <v>1.82831192</v>
      </c>
      <c r="I36" s="18" t="s">
        <v>567</v>
      </c>
      <c r="J36" s="20" t="s">
        <v>567</v>
      </c>
      <c r="K36" s="18" t="n">
        <v>1.0144898</v>
      </c>
      <c r="L36" s="20" t="n">
        <v>0.60311644</v>
      </c>
      <c r="M36" s="18" t="n">
        <v>0</v>
      </c>
      <c r="N36" s="20" t="n">
        <v>0</v>
      </c>
      <c r="O36" s="18" t="n">
        <v>0</v>
      </c>
      <c r="P36" s="20" t="n">
        <v>0</v>
      </c>
      <c r="Q36" s="18" t="n">
        <v>5.62900294</v>
      </c>
      <c r="R36" s="20" t="n">
        <v>1.11329093</v>
      </c>
    </row>
    <row r="37" spans="1:18">
      <c r="A37" s="15" t="s">
        <v>597</v>
      </c>
      <c r="B37" s="17" t="n">
        <v>2727</v>
      </c>
      <c r="C37" s="18">
        <f>(2443.0/B37*100)</f>
        <v/>
      </c>
      <c r="D37" s="19" t="n">
        <v>284</v>
      </c>
      <c r="E37" s="18" t="n">
        <v>13.4562109</v>
      </c>
      <c r="F37" s="20" t="n">
        <v>2.02894805</v>
      </c>
      <c r="G37" s="18" t="n">
        <v>78.30307517999999</v>
      </c>
      <c r="H37" s="20" t="n">
        <v>2.40504941</v>
      </c>
      <c r="I37" s="18" t="s">
        <v>567</v>
      </c>
      <c r="J37" s="20" t="s">
        <v>567</v>
      </c>
      <c r="K37" s="18" t="n">
        <v>0.63487034</v>
      </c>
      <c r="L37" s="20" t="n">
        <v>0.45728951</v>
      </c>
      <c r="M37" s="18" t="n">
        <v>0</v>
      </c>
      <c r="N37" s="20" t="n">
        <v>0</v>
      </c>
      <c r="O37" s="18" t="n">
        <v>0</v>
      </c>
      <c r="P37" s="20" t="n">
        <v>0</v>
      </c>
      <c r="Q37" s="18" t="n">
        <v>7.60584358</v>
      </c>
      <c r="R37" s="20" t="n">
        <v>1.67779898</v>
      </c>
    </row>
    <row r="38" spans="1:18">
      <c r="A38" s="15" t="s">
        <v>598</v>
      </c>
      <c r="B38" s="17" t="n">
        <v>3053</v>
      </c>
      <c r="C38" s="18">
        <f>(2712.0/B38*100)</f>
        <v/>
      </c>
      <c r="D38" s="19" t="n">
        <v>341</v>
      </c>
      <c r="E38" s="18" t="n">
        <v>13.11924384</v>
      </c>
      <c r="F38" s="20" t="n">
        <v>2.04465634</v>
      </c>
      <c r="G38" s="18" t="n">
        <v>79.13143316</v>
      </c>
      <c r="H38" s="20" t="n">
        <v>2.33236875</v>
      </c>
      <c r="I38" s="18" t="s">
        <v>567</v>
      </c>
      <c r="J38" s="20" t="s">
        <v>567</v>
      </c>
      <c r="K38" s="18" t="n">
        <v>0</v>
      </c>
      <c r="L38" s="20" t="n">
        <v>0</v>
      </c>
      <c r="M38" s="18" t="n">
        <v>2.08786044</v>
      </c>
      <c r="N38" s="20" t="n">
        <v>0.86001967</v>
      </c>
      <c r="O38" s="18" t="n">
        <v>0</v>
      </c>
      <c r="P38" s="20" t="n">
        <v>0</v>
      </c>
      <c r="Q38" s="18" t="n">
        <v>5.66146256</v>
      </c>
      <c r="R38" s="20" t="n">
        <v>1.43581727</v>
      </c>
    </row>
    <row r="39" spans="1:18">
      <c r="A39" s="15" t="s">
        <v>599</v>
      </c>
      <c r="B39" s="17" t="n">
        <v>2957</v>
      </c>
      <c r="C39" s="18">
        <f>(2639.0/B39*100)</f>
        <v/>
      </c>
      <c r="D39" s="19" t="n">
        <v>318</v>
      </c>
      <c r="E39" s="18" t="n">
        <v>19.41061991</v>
      </c>
      <c r="F39" s="20" t="n">
        <v>3.02563433</v>
      </c>
      <c r="G39" s="18" t="n">
        <v>68.51336923</v>
      </c>
      <c r="H39" s="20" t="n">
        <v>3.10965895</v>
      </c>
      <c r="I39" s="18" t="s">
        <v>567</v>
      </c>
      <c r="J39" s="20" t="s">
        <v>567</v>
      </c>
      <c r="K39" s="18" t="n">
        <v>0</v>
      </c>
      <c r="L39" s="20" t="n">
        <v>0</v>
      </c>
      <c r="M39" s="18" t="n">
        <v>0</v>
      </c>
      <c r="N39" s="20" t="n">
        <v>0</v>
      </c>
      <c r="O39" s="18" t="n">
        <v>0</v>
      </c>
      <c r="P39" s="20" t="n">
        <v>0</v>
      </c>
      <c r="Q39" s="18" t="n">
        <v>12.07601086</v>
      </c>
      <c r="R39" s="20" t="n">
        <v>1.8837871</v>
      </c>
    </row>
    <row r="40" spans="1:18">
      <c r="A40" s="15" t="s">
        <v>600</v>
      </c>
      <c r="B40" s="17" t="n">
        <v>7235</v>
      </c>
      <c r="C40" s="18">
        <f>(6425.0/B40*100)</f>
        <v/>
      </c>
      <c r="D40" s="19" t="n">
        <v>810</v>
      </c>
      <c r="E40" s="18" t="n">
        <v>13.31271011</v>
      </c>
      <c r="F40" s="20" t="n">
        <v>1.74532134</v>
      </c>
      <c r="G40" s="18" t="n">
        <v>77.57978180000001</v>
      </c>
      <c r="H40" s="20" t="n">
        <v>1.73922127</v>
      </c>
      <c r="I40" s="18" t="s">
        <v>567</v>
      </c>
      <c r="J40" s="20" t="s">
        <v>567</v>
      </c>
      <c r="K40" s="18" t="n">
        <v>0.57211489</v>
      </c>
      <c r="L40" s="20" t="n">
        <v>0.34493636</v>
      </c>
      <c r="M40" s="18" t="n">
        <v>0.09414298</v>
      </c>
      <c r="N40" s="20" t="n">
        <v>0.09090048000000001</v>
      </c>
      <c r="O40" s="18" t="n">
        <v>0</v>
      </c>
      <c r="P40" s="20" t="n">
        <v>0</v>
      </c>
      <c r="Q40" s="18" t="n">
        <v>8.44125023</v>
      </c>
      <c r="R40" s="20" t="n">
        <v>1.62876612</v>
      </c>
    </row>
    <row r="41" spans="1:18">
      <c r="A41" s="15" t="s">
        <v>601</v>
      </c>
      <c r="B41" s="17" t="n">
        <v>2858</v>
      </c>
      <c r="C41" s="18">
        <f>(2555.0/B41*100)</f>
        <v/>
      </c>
      <c r="D41" s="19" t="n">
        <v>303</v>
      </c>
      <c r="E41" s="18" t="n">
        <v>23.17587543</v>
      </c>
      <c r="F41" s="20" t="n">
        <v>2.45503886</v>
      </c>
      <c r="G41" s="18" t="n">
        <v>73.60023373999999</v>
      </c>
      <c r="H41" s="20" t="n">
        <v>2.82715645</v>
      </c>
      <c r="I41" s="18" t="s">
        <v>567</v>
      </c>
      <c r="J41" s="20" t="s">
        <v>567</v>
      </c>
      <c r="K41" s="18" t="n">
        <v>0.45063005</v>
      </c>
      <c r="L41" s="20" t="n">
        <v>0.36451207</v>
      </c>
      <c r="M41" s="18" t="n">
        <v>0</v>
      </c>
      <c r="N41" s="20" t="n">
        <v>0</v>
      </c>
      <c r="O41" s="18" t="n">
        <v>0</v>
      </c>
      <c r="P41" s="20" t="n">
        <v>0</v>
      </c>
      <c r="Q41" s="18" t="n">
        <v>2.77326077</v>
      </c>
      <c r="R41" s="20" t="n">
        <v>1.10041586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(10100.0/B46*100)</f>
        <v/>
      </c>
      <c r="D46" s="19" t="n">
        <v>968</v>
      </c>
      <c r="E46" s="18" t="n">
        <v>24.65950919</v>
      </c>
      <c r="F46" s="20" t="n">
        <v>1.77565897</v>
      </c>
      <c r="G46" s="18" t="n">
        <v>59.51081887</v>
      </c>
      <c r="H46" s="20" t="n">
        <v>1.88291838</v>
      </c>
      <c r="I46" s="18" t="s">
        <v>567</v>
      </c>
      <c r="J46" s="20" t="s">
        <v>567</v>
      </c>
      <c r="K46" s="18" t="n">
        <v>1.29797773</v>
      </c>
      <c r="L46" s="20" t="n">
        <v>0.4657049</v>
      </c>
      <c r="M46" s="18" t="n">
        <v>0.20517824</v>
      </c>
      <c r="N46" s="20" t="n">
        <v>0.20468605</v>
      </c>
      <c r="O46" s="18" t="n">
        <v>0</v>
      </c>
      <c r="P46" s="20" t="n">
        <v>0</v>
      </c>
      <c r="Q46" s="18" t="n">
        <v>14.32651598</v>
      </c>
      <c r="R46" s="20" t="n">
        <v>1.62760911</v>
      </c>
    </row>
    <row r="47" spans="1:18">
      <c r="A47" s="15" t="s">
        <v>607</v>
      </c>
      <c r="B47" s="17" t="n">
        <v>3105</v>
      </c>
      <c r="C47" s="18">
        <f>(2769.0/B47*100)</f>
        <v/>
      </c>
      <c r="D47" s="19" t="n">
        <v>336</v>
      </c>
      <c r="E47" s="18" t="n">
        <v>22.33584696</v>
      </c>
      <c r="F47" s="20" t="n">
        <v>2.41961467</v>
      </c>
      <c r="G47" s="18" t="n">
        <v>55.06497594</v>
      </c>
      <c r="H47" s="20" t="n">
        <v>2.59583601</v>
      </c>
      <c r="I47" s="18" t="s">
        <v>567</v>
      </c>
      <c r="J47" s="20" t="s">
        <v>567</v>
      </c>
      <c r="K47" s="18" t="n">
        <v>0</v>
      </c>
      <c r="L47" s="20" t="n">
        <v>0</v>
      </c>
      <c r="M47" s="18" t="n">
        <v>0.30401645</v>
      </c>
      <c r="N47" s="20" t="n">
        <v>0.28935823</v>
      </c>
      <c r="O47" s="18" t="n">
        <v>0</v>
      </c>
      <c r="P47" s="20" t="n">
        <v>0</v>
      </c>
      <c r="Q47" s="18" t="n">
        <v>22.29516065</v>
      </c>
      <c r="R47" s="20" t="n">
        <v>2.74898159</v>
      </c>
    </row>
    <row r="48" spans="1:18">
      <c r="A48" s="15" t="s">
        <v>608</v>
      </c>
      <c r="B48" s="17" t="n">
        <v>5159</v>
      </c>
      <c r="C48" s="18">
        <f>(4599.0/B48*100)</f>
        <v/>
      </c>
      <c r="D48" s="19" t="n">
        <v>560</v>
      </c>
      <c r="E48" s="18" t="n">
        <v>30.15629297</v>
      </c>
      <c r="F48" s="20" t="n">
        <v>2.42360387</v>
      </c>
      <c r="G48" s="18" t="n">
        <v>63.83196369</v>
      </c>
      <c r="H48" s="20" t="n">
        <v>2.53078349</v>
      </c>
      <c r="I48" s="18" t="s">
        <v>567</v>
      </c>
      <c r="J48" s="20" t="s">
        <v>567</v>
      </c>
      <c r="K48" s="18" t="n">
        <v>0.33492136</v>
      </c>
      <c r="L48" s="20" t="n">
        <v>0.23832351</v>
      </c>
      <c r="M48" s="18" t="n">
        <v>0</v>
      </c>
      <c r="N48" s="20" t="n">
        <v>0</v>
      </c>
      <c r="O48" s="18" t="n">
        <v>0</v>
      </c>
      <c r="P48" s="20" t="n">
        <v>0</v>
      </c>
      <c r="Q48" s="18" t="n">
        <v>5.67682198</v>
      </c>
      <c r="R48" s="20" t="n">
        <v>1.14140696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(5038.0/B50*100)</f>
        <v/>
      </c>
      <c r="D50" s="19" t="n">
        <v>599</v>
      </c>
      <c r="E50" s="18" t="n">
        <v>27.31387285</v>
      </c>
      <c r="F50" s="20" t="n">
        <v>2.54701101</v>
      </c>
      <c r="G50" s="18" t="n">
        <v>66.54910504</v>
      </c>
      <c r="H50" s="20" t="n">
        <v>2.84968618</v>
      </c>
      <c r="I50" s="18" t="s">
        <v>567</v>
      </c>
      <c r="J50" s="20" t="s">
        <v>567</v>
      </c>
      <c r="K50" s="18" t="n">
        <v>2.28503566</v>
      </c>
      <c r="L50" s="20" t="n">
        <v>1.28777306</v>
      </c>
      <c r="M50" s="18" t="n">
        <v>0.06277774</v>
      </c>
      <c r="N50" s="20" t="n">
        <v>0.05414804</v>
      </c>
      <c r="O50" s="18" t="n">
        <v>0</v>
      </c>
      <c r="P50" s="20" t="n">
        <v>0</v>
      </c>
      <c r="Q50" s="18" t="n">
        <v>3.78920872</v>
      </c>
      <c r="R50" s="20" t="n">
        <v>1.03830082</v>
      </c>
    </row>
    <row r="51" spans="1:18">
      <c r="A51" s="15" t="s">
        <v>611</v>
      </c>
      <c r="B51" s="17" t="n">
        <v>3372</v>
      </c>
      <c r="C51" s="18">
        <f>(3049.0/B51*100)</f>
        <v/>
      </c>
      <c r="D51" s="19" t="n">
        <v>323</v>
      </c>
      <c r="E51" s="18" t="n">
        <v>20.75600463</v>
      </c>
      <c r="F51" s="20" t="n">
        <v>2.72809485</v>
      </c>
      <c r="G51" s="18" t="n">
        <v>72.97857641</v>
      </c>
      <c r="H51" s="20" t="n">
        <v>2.85696689</v>
      </c>
      <c r="I51" s="18" t="s">
        <v>567</v>
      </c>
      <c r="J51" s="20" t="s">
        <v>567</v>
      </c>
      <c r="K51" s="18" t="n">
        <v>0.35136404</v>
      </c>
      <c r="L51" s="20" t="n">
        <v>0.34897476</v>
      </c>
      <c r="M51" s="18" t="n">
        <v>0.69644257</v>
      </c>
      <c r="N51" s="20" t="n">
        <v>0.67762213</v>
      </c>
      <c r="O51" s="18" t="n">
        <v>0</v>
      </c>
      <c r="P51" s="20" t="n">
        <v>0</v>
      </c>
      <c r="Q51" s="18" t="n">
        <v>5.21761234</v>
      </c>
      <c r="R51" s="20" t="n">
        <v>1.21951061</v>
      </c>
    </row>
    <row r="52" spans="1:18">
      <c r="A52" s="15" t="s">
        <v>612</v>
      </c>
      <c r="B52" s="17" t="n">
        <v>2796</v>
      </c>
      <c r="C52" s="18">
        <f>(2478.0/B52*100)</f>
        <v/>
      </c>
      <c r="D52" s="19" t="n">
        <v>318</v>
      </c>
      <c r="E52" s="18" t="n">
        <v>6.495534</v>
      </c>
      <c r="F52" s="20" t="n">
        <v>1.33167996</v>
      </c>
      <c r="G52" s="18" t="n">
        <v>85.59615734</v>
      </c>
      <c r="H52" s="20" t="n">
        <v>1.70414704</v>
      </c>
      <c r="I52" s="18" t="s">
        <v>567</v>
      </c>
      <c r="J52" s="20" t="s">
        <v>567</v>
      </c>
      <c r="K52" s="18" t="n">
        <v>0.32137366</v>
      </c>
      <c r="L52" s="20" t="n">
        <v>0.31399922</v>
      </c>
      <c r="M52" s="18" t="n">
        <v>0</v>
      </c>
      <c r="N52" s="20" t="n">
        <v>0</v>
      </c>
      <c r="O52" s="18" t="n">
        <v>0</v>
      </c>
      <c r="P52" s="20" t="n">
        <v>0</v>
      </c>
      <c r="Q52" s="18" t="n">
        <v>7.586935</v>
      </c>
      <c r="R52" s="20" t="n">
        <v>1.38287948</v>
      </c>
    </row>
    <row r="53" spans="1:18">
      <c r="A53" s="15" t="s">
        <v>613</v>
      </c>
      <c r="B53" s="17" t="n">
        <v>2811</v>
      </c>
      <c r="C53" s="18">
        <f>(2496.0/B53*100)</f>
        <v/>
      </c>
      <c r="D53" s="19" t="n">
        <v>315</v>
      </c>
      <c r="E53" s="18" t="n">
        <v>23.27979277</v>
      </c>
      <c r="F53" s="20" t="n">
        <v>2.52835852</v>
      </c>
      <c r="G53" s="18" t="n">
        <v>62.27376131</v>
      </c>
      <c r="H53" s="20" t="n">
        <v>2.82856283</v>
      </c>
      <c r="I53" s="18" t="s">
        <v>567</v>
      </c>
      <c r="J53" s="20" t="s">
        <v>567</v>
      </c>
      <c r="K53" s="18" t="n">
        <v>0.71206183</v>
      </c>
      <c r="L53" s="20" t="n">
        <v>0.40633685</v>
      </c>
      <c r="M53" s="18" t="n">
        <v>0.45322123</v>
      </c>
      <c r="N53" s="20" t="n">
        <v>0.45417745</v>
      </c>
      <c r="O53" s="18" t="n">
        <v>0</v>
      </c>
      <c r="P53" s="20" t="n">
        <v>0</v>
      </c>
      <c r="Q53" s="18" t="n">
        <v>13.28116285</v>
      </c>
      <c r="R53" s="20" t="n">
        <v>1.78390996</v>
      </c>
    </row>
    <row r="54" spans="1:18">
      <c r="A54" s="15" t="s">
        <v>614</v>
      </c>
      <c r="B54" s="17" t="n">
        <v>2266</v>
      </c>
      <c r="C54" s="18">
        <f>(2017.0/B54*100)</f>
        <v/>
      </c>
      <c r="D54" s="19" t="n">
        <v>249</v>
      </c>
      <c r="E54" s="18" t="n">
        <v>35.73865403</v>
      </c>
      <c r="F54" s="20" t="n">
        <v>3.07494566</v>
      </c>
      <c r="G54" s="18" t="n">
        <v>38.72458759</v>
      </c>
      <c r="H54" s="20" t="n">
        <v>3.12610056</v>
      </c>
      <c r="I54" s="18" t="s">
        <v>567</v>
      </c>
      <c r="J54" s="20" t="s">
        <v>567</v>
      </c>
      <c r="K54" s="18" t="n">
        <v>11.32473631</v>
      </c>
      <c r="L54" s="20" t="n">
        <v>1.88800246</v>
      </c>
      <c r="M54" s="18" t="n">
        <v>0.76183614</v>
      </c>
      <c r="N54" s="20" t="n">
        <v>0.53013621</v>
      </c>
      <c r="O54" s="18" t="n">
        <v>0</v>
      </c>
      <c r="P54" s="20" t="n">
        <v>0</v>
      </c>
      <c r="Q54" s="18" t="n">
        <v>13.45018594</v>
      </c>
      <c r="R54" s="20" t="n">
        <v>2.12782501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(2392.0/B56*100)</f>
        <v/>
      </c>
      <c r="D56" s="19" t="n">
        <v>292</v>
      </c>
      <c r="E56" s="18" t="n">
        <v>26.75239502</v>
      </c>
      <c r="F56" s="20" t="n">
        <v>2.72102303</v>
      </c>
      <c r="G56" s="18" t="n">
        <v>67.92829193999999</v>
      </c>
      <c r="H56" s="20" t="n">
        <v>2.90920119</v>
      </c>
      <c r="I56" s="18" t="s">
        <v>567</v>
      </c>
      <c r="J56" s="20" t="s">
        <v>567</v>
      </c>
      <c r="K56" s="18" t="n">
        <v>0</v>
      </c>
      <c r="L56" s="20" t="n">
        <v>0</v>
      </c>
      <c r="M56" s="18" t="n">
        <v>0</v>
      </c>
      <c r="N56" s="20" t="n">
        <v>0</v>
      </c>
      <c r="O56" s="18" t="n">
        <v>0</v>
      </c>
      <c r="P56" s="20" t="n">
        <v>0</v>
      </c>
      <c r="Q56" s="18" t="n">
        <v>5.31931303</v>
      </c>
      <c r="R56" s="20" t="n">
        <v>1.50724474</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(2981.0/B61*100)</f>
        <v/>
      </c>
      <c r="D61" s="19" t="n">
        <v>343</v>
      </c>
      <c r="E61" s="18" t="n">
        <v>19.06071657</v>
      </c>
      <c r="F61" s="20" t="n">
        <v>2.56538085</v>
      </c>
      <c r="G61" s="18" t="n">
        <v>74.01975238</v>
      </c>
      <c r="H61" s="20" t="n">
        <v>2.62309686</v>
      </c>
      <c r="I61" s="18" t="s">
        <v>567</v>
      </c>
      <c r="J61" s="20" t="s">
        <v>567</v>
      </c>
      <c r="K61" s="18" t="n">
        <v>0</v>
      </c>
      <c r="L61" s="20" t="n">
        <v>0</v>
      </c>
      <c r="M61" s="18" t="n">
        <v>0</v>
      </c>
      <c r="N61" s="20" t="n">
        <v>0</v>
      </c>
      <c r="O61" s="18" t="n">
        <v>0</v>
      </c>
      <c r="P61" s="20" t="n">
        <v>0</v>
      </c>
      <c r="Q61" s="18" t="n">
        <v>6.91953105</v>
      </c>
      <c r="R61" s="20" t="n">
        <v>1.45439486</v>
      </c>
    </row>
    <row r="62" spans="1:18">
      <c r="A62" s="15" t="s">
        <v>622</v>
      </c>
      <c r="B62" s="17" t="n">
        <v>2246</v>
      </c>
      <c r="C62" s="18">
        <f>(1998.0/B62*100)</f>
        <v/>
      </c>
      <c r="D62" s="19" t="n">
        <v>248</v>
      </c>
      <c r="E62" s="18" t="n">
        <v>32.63314397</v>
      </c>
      <c r="F62" s="20" t="n">
        <v>3.07081183</v>
      </c>
      <c r="G62" s="18" t="n">
        <v>64.08860346</v>
      </c>
      <c r="H62" s="20" t="n">
        <v>3.23811399</v>
      </c>
      <c r="I62" s="18" t="s">
        <v>567</v>
      </c>
      <c r="J62" s="20" t="s">
        <v>567</v>
      </c>
      <c r="K62" s="18" t="n">
        <v>0</v>
      </c>
      <c r="L62" s="20" t="n">
        <v>0</v>
      </c>
      <c r="M62" s="18" t="n">
        <v>0</v>
      </c>
      <c r="N62" s="20" t="n">
        <v>0</v>
      </c>
      <c r="O62" s="18" t="n">
        <v>0</v>
      </c>
      <c r="P62" s="20" t="n">
        <v>0</v>
      </c>
      <c r="Q62" s="18" t="n">
        <v>3.27825257</v>
      </c>
      <c r="R62" s="20" t="n">
        <v>1.09733857</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(2596.0/B66*100)</f>
        <v/>
      </c>
      <c r="D66" s="19" t="n">
        <v>298</v>
      </c>
      <c r="E66" s="18" t="n">
        <v>13.50955243</v>
      </c>
      <c r="F66" s="20" t="n">
        <v>2.07187457</v>
      </c>
      <c r="G66" s="18" t="n">
        <v>65.20315325</v>
      </c>
      <c r="H66" s="20" t="n">
        <v>2.3957395</v>
      </c>
      <c r="I66" s="18" t="s">
        <v>567</v>
      </c>
      <c r="J66" s="20" t="s">
        <v>567</v>
      </c>
      <c r="K66" s="18" t="n">
        <v>0</v>
      </c>
      <c r="L66" s="20" t="n">
        <v>0</v>
      </c>
      <c r="M66" s="18" t="n">
        <v>0.63806528</v>
      </c>
      <c r="N66" s="20" t="n">
        <v>0.4418493</v>
      </c>
      <c r="O66" s="18" t="n">
        <v>0</v>
      </c>
      <c r="P66" s="20" t="n">
        <v>0</v>
      </c>
      <c r="Q66" s="18" t="n">
        <v>20.64922904</v>
      </c>
      <c r="R66" s="20" t="n">
        <v>2.12700693</v>
      </c>
    </row>
    <row r="67" spans="1:18">
      <c r="A67" s="15" t="s">
        <v>627</v>
      </c>
      <c r="B67" s="17" t="n">
        <v>3511</v>
      </c>
      <c r="C67" s="18">
        <f>(3158.0/B67*100)</f>
        <v/>
      </c>
      <c r="D67" s="19" t="n">
        <v>353</v>
      </c>
      <c r="E67" s="18" t="n">
        <v>23.76382565</v>
      </c>
      <c r="F67" s="20" t="n">
        <v>2.51474741</v>
      </c>
      <c r="G67" s="18" t="n">
        <v>71.23122798999999</v>
      </c>
      <c r="H67" s="20" t="n">
        <v>2.8450573</v>
      </c>
      <c r="I67" s="18" t="s">
        <v>567</v>
      </c>
      <c r="J67" s="20" t="s">
        <v>567</v>
      </c>
      <c r="K67" s="18" t="n">
        <v>0.21038034</v>
      </c>
      <c r="L67" s="20" t="n">
        <v>0.21013137</v>
      </c>
      <c r="M67" s="18" t="n">
        <v>0</v>
      </c>
      <c r="N67" s="20" t="n">
        <v>0</v>
      </c>
      <c r="O67" s="18" t="n">
        <v>0</v>
      </c>
      <c r="P67" s="20" t="n">
        <v>0</v>
      </c>
      <c r="Q67" s="18" t="n">
        <v>4.79456602</v>
      </c>
      <c r="R67" s="20" t="n">
        <v>1.14151573</v>
      </c>
    </row>
    <row r="68" spans="1:18">
      <c r="A68" s="15" t="s">
        <v>628</v>
      </c>
      <c r="B68" s="17" t="n">
        <v>6049</v>
      </c>
      <c r="C68" s="18">
        <f>(5385.0/B68*100)</f>
        <v/>
      </c>
      <c r="D68" s="19" t="n">
        <v>664</v>
      </c>
      <c r="E68" s="18" t="n">
        <v>34.47759708</v>
      </c>
      <c r="F68" s="20" t="n">
        <v>1.81508347</v>
      </c>
      <c r="G68" s="18" t="n">
        <v>47.93282976</v>
      </c>
      <c r="H68" s="20" t="n">
        <v>1.78272644</v>
      </c>
      <c r="I68" s="18" t="s">
        <v>567</v>
      </c>
      <c r="J68" s="20" t="s">
        <v>567</v>
      </c>
      <c r="K68" s="18" t="n">
        <v>2.35957397</v>
      </c>
      <c r="L68" s="20" t="n">
        <v>0.66021766</v>
      </c>
      <c r="M68" s="18" t="n">
        <v>0</v>
      </c>
      <c r="N68" s="20" t="n">
        <v>0</v>
      </c>
      <c r="O68" s="18" t="n">
        <v>0</v>
      </c>
      <c r="P68" s="20" t="n">
        <v>0</v>
      </c>
      <c r="Q68" s="18" t="n">
        <v>15.22999918</v>
      </c>
      <c r="R68" s="20" t="n">
        <v>1.32860575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(2610.0/B70*100)</f>
        <v/>
      </c>
      <c r="D70" s="19" t="n">
        <v>319</v>
      </c>
      <c r="E70" s="18" t="n">
        <v>20.88373279</v>
      </c>
      <c r="F70" s="20" t="n">
        <v>2.52278185</v>
      </c>
      <c r="G70" s="18" t="n">
        <v>70.01362184</v>
      </c>
      <c r="H70" s="20" t="n">
        <v>3.10366821</v>
      </c>
      <c r="I70" s="18" t="s">
        <v>567</v>
      </c>
      <c r="J70" s="20" t="s">
        <v>567</v>
      </c>
      <c r="K70" s="18" t="n">
        <v>0.78844819</v>
      </c>
      <c r="L70" s="20" t="n">
        <v>0.43579853</v>
      </c>
      <c r="M70" s="18" t="n">
        <v>0</v>
      </c>
      <c r="N70" s="20" t="n">
        <v>0</v>
      </c>
      <c r="O70" s="18" t="n">
        <v>0</v>
      </c>
      <c r="P70" s="20" t="n">
        <v>0</v>
      </c>
      <c r="Q70" s="18" t="n">
        <v>8.314197180000001</v>
      </c>
      <c r="R70" s="20" t="n">
        <v>1.75830918</v>
      </c>
    </row>
    <row r="71" spans="1:18">
      <c r="A71" s="15" t="s">
        <v>631</v>
      </c>
      <c r="B71" s="17" t="n">
        <v>3142</v>
      </c>
      <c r="C71" s="18">
        <f>(2801.0/B71*100)</f>
        <v/>
      </c>
      <c r="D71" s="19" t="n">
        <v>341</v>
      </c>
      <c r="E71" s="18" t="n">
        <v>21.88503616</v>
      </c>
      <c r="F71" s="20" t="n">
        <v>2.24854328</v>
      </c>
      <c r="G71" s="18" t="n">
        <v>75.27909244</v>
      </c>
      <c r="H71" s="20" t="n">
        <v>2.37212175</v>
      </c>
      <c r="I71" s="18" t="s">
        <v>567</v>
      </c>
      <c r="J71" s="20" t="s">
        <v>567</v>
      </c>
      <c r="K71" s="18" t="n">
        <v>0</v>
      </c>
      <c r="L71" s="20" t="n">
        <v>0</v>
      </c>
      <c r="M71" s="18" t="n">
        <v>0</v>
      </c>
      <c r="N71" s="20" t="n">
        <v>0</v>
      </c>
      <c r="O71" s="18" t="n">
        <v>0</v>
      </c>
      <c r="P71" s="20" t="n">
        <v>0</v>
      </c>
      <c r="Q71" s="18" t="n">
        <v>2.8358714</v>
      </c>
      <c r="R71" s="20" t="n">
        <v>0.84334022</v>
      </c>
    </row>
    <row r="72" spans="1:18">
      <c r="A72" s="15" t="s">
        <v>632</v>
      </c>
      <c r="B72" s="17" t="n">
        <v>3889</v>
      </c>
      <c r="C72" s="18">
        <f>(3450.0/B72*100)</f>
        <v/>
      </c>
      <c r="D72" s="19" t="n">
        <v>439</v>
      </c>
      <c r="E72" s="18" t="n">
        <v>18.55472443</v>
      </c>
      <c r="F72" s="20" t="n">
        <v>2.15840057</v>
      </c>
      <c r="G72" s="18" t="n">
        <v>75.75357121</v>
      </c>
      <c r="H72" s="20" t="n">
        <v>2.36315356</v>
      </c>
      <c r="I72" s="18" t="s">
        <v>567</v>
      </c>
      <c r="J72" s="20" t="s">
        <v>567</v>
      </c>
      <c r="K72" s="18" t="n">
        <v>0.30194896</v>
      </c>
      <c r="L72" s="20" t="n">
        <v>0.30330645</v>
      </c>
      <c r="M72" s="18" t="n">
        <v>0</v>
      </c>
      <c r="N72" s="20" t="n">
        <v>0</v>
      </c>
      <c r="O72" s="18" t="n">
        <v>0</v>
      </c>
      <c r="P72" s="20" t="n">
        <v>0</v>
      </c>
      <c r="Q72" s="18" t="n">
        <v>5.38975539</v>
      </c>
      <c r="R72" s="20" t="n">
        <v>1.01758348</v>
      </c>
    </row>
    <row r="73" spans="1:18">
      <c r="A73" s="15" t="s">
        <v>633</v>
      </c>
      <c r="B73" s="17" t="n">
        <v>3597</v>
      </c>
      <c r="C73" s="18">
        <f>(3239.0/B73*100)</f>
        <v/>
      </c>
      <c r="D73" s="19" t="n">
        <v>358</v>
      </c>
      <c r="E73" s="18" t="n">
        <v>41.9241099</v>
      </c>
      <c r="F73" s="20" t="n">
        <v>3.18496165</v>
      </c>
      <c r="G73" s="18" t="n">
        <v>55.17434067</v>
      </c>
      <c r="H73" s="20" t="n">
        <v>3.1730647</v>
      </c>
      <c r="I73" s="18" t="s">
        <v>567</v>
      </c>
      <c r="J73" s="20" t="s">
        <v>567</v>
      </c>
      <c r="K73" s="18" t="n">
        <v>0</v>
      </c>
      <c r="L73" s="20" t="n">
        <v>0</v>
      </c>
      <c r="M73" s="18" t="n">
        <v>0</v>
      </c>
      <c r="N73" s="20" t="n">
        <v>0</v>
      </c>
      <c r="O73" s="18" t="n">
        <v>0</v>
      </c>
      <c r="P73" s="20" t="n">
        <v>0</v>
      </c>
      <c r="Q73" s="18" t="n">
        <v>2.90154943</v>
      </c>
      <c r="R73" s="20" t="n">
        <v>1.16067285</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(2177.0/B75*100)</f>
        <v/>
      </c>
      <c r="D75" s="19" t="n">
        <v>229</v>
      </c>
      <c r="E75" s="18" t="n">
        <v>29.2298727</v>
      </c>
      <c r="F75" s="20" t="n">
        <v>3.96801808</v>
      </c>
      <c r="G75" s="18" t="n">
        <v>35.53384661</v>
      </c>
      <c r="H75" s="20" t="n">
        <v>3.72175362</v>
      </c>
      <c r="I75" s="18" t="s">
        <v>567</v>
      </c>
      <c r="J75" s="20" t="s">
        <v>567</v>
      </c>
      <c r="K75" s="18" t="n">
        <v>2.19408916</v>
      </c>
      <c r="L75" s="20" t="n">
        <v>0.9541497799999999</v>
      </c>
      <c r="M75" s="18" t="n">
        <v>0.50827313</v>
      </c>
      <c r="N75" s="20" t="n">
        <v>0.50934565</v>
      </c>
      <c r="O75" s="18" t="n">
        <v>0</v>
      </c>
      <c r="P75" s="20" t="n">
        <v>0</v>
      </c>
      <c r="Q75" s="18" t="n">
        <v>32.53391841</v>
      </c>
      <c r="R75" s="20" t="n">
        <v>3.99548936</v>
      </c>
    </row>
    <row r="76" spans="1:18">
      <c r="A76" s="15" t="s">
        <v>636</v>
      </c>
      <c r="B76" s="17" t="n">
        <v>7052</v>
      </c>
      <c r="C76" s="18">
        <f>(6259.0/B76*100)</f>
        <v/>
      </c>
      <c r="D76" s="19" t="n">
        <v>793</v>
      </c>
      <c r="E76" s="18" t="n">
        <v>34.4852933</v>
      </c>
      <c r="F76" s="20" t="n">
        <v>1.82142376</v>
      </c>
      <c r="G76" s="18" t="n">
        <v>55.53248474</v>
      </c>
      <c r="H76" s="20" t="n">
        <v>1.86105785</v>
      </c>
      <c r="I76" s="18" t="s">
        <v>567</v>
      </c>
      <c r="J76" s="20" t="s">
        <v>567</v>
      </c>
      <c r="K76" s="18" t="n">
        <v>1.45941565</v>
      </c>
      <c r="L76" s="20" t="n">
        <v>0.5682554399999999</v>
      </c>
      <c r="M76" s="18" t="n">
        <v>0.06542756</v>
      </c>
      <c r="N76" s="20" t="n">
        <v>0.06572157000000001</v>
      </c>
      <c r="O76" s="18" t="n">
        <v>0</v>
      </c>
      <c r="P76" s="20" t="n">
        <v>0</v>
      </c>
      <c r="Q76" s="18" t="n">
        <v>8.45737875</v>
      </c>
      <c r="R76" s="20" t="n">
        <v>0.97108242</v>
      </c>
    </row>
    <row r="77" spans="1:18">
      <c r="A77" s="15" t="s">
        <v>637</v>
      </c>
      <c r="B77" s="17" t="n">
        <v>2908</v>
      </c>
      <c r="C77" s="18">
        <f>(2592.0/B77*100)</f>
        <v/>
      </c>
      <c r="D77" s="19" t="n">
        <v>316</v>
      </c>
      <c r="E77" s="18" t="n">
        <v>22.99481928</v>
      </c>
      <c r="F77" s="20" t="n">
        <v>2.75573874</v>
      </c>
      <c r="G77" s="18" t="n">
        <v>62.48364277</v>
      </c>
      <c r="H77" s="20" t="n">
        <v>3.13314901</v>
      </c>
      <c r="I77" s="18" t="s">
        <v>567</v>
      </c>
      <c r="J77" s="20" t="s">
        <v>567</v>
      </c>
      <c r="K77" s="18" t="n">
        <v>0.93818152</v>
      </c>
      <c r="L77" s="20" t="n">
        <v>0.55255496</v>
      </c>
      <c r="M77" s="18" t="n">
        <v>0</v>
      </c>
      <c r="N77" s="20" t="n">
        <v>0</v>
      </c>
      <c r="O77" s="18" t="n">
        <v>0</v>
      </c>
      <c r="P77" s="20" t="n">
        <v>0</v>
      </c>
      <c r="Q77" s="18" t="n">
        <v>13.58335644</v>
      </c>
      <c r="R77" s="20" t="n">
        <v>1.95492316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(3729.0/B81*100)</f>
        <v/>
      </c>
      <c r="D81" s="19" t="n">
        <v>434</v>
      </c>
      <c r="E81" s="18" t="n">
        <v>31.83883752</v>
      </c>
      <c r="F81" s="20" t="n">
        <v>3.17612324</v>
      </c>
      <c r="G81" s="18" t="n">
        <v>65.49097039999999</v>
      </c>
      <c r="H81" s="20" t="n">
        <v>3.14796968</v>
      </c>
      <c r="I81" s="18" t="s">
        <v>567</v>
      </c>
      <c r="J81" s="20" t="s">
        <v>567</v>
      </c>
      <c r="K81" s="18" t="n">
        <v>0</v>
      </c>
      <c r="L81" s="20" t="n">
        <v>0</v>
      </c>
      <c r="M81" s="18" t="n">
        <v>0</v>
      </c>
      <c r="N81" s="20" t="n">
        <v>0</v>
      </c>
      <c r="O81" s="18" t="n">
        <v>0</v>
      </c>
      <c r="P81" s="20" t="n">
        <v>0</v>
      </c>
      <c r="Q81" s="18" t="n">
        <v>2.67019209</v>
      </c>
      <c r="R81" s="20" t="n">
        <v>0.95666484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(6561.0/B7*100)</f>
        <v/>
      </c>
      <c r="D7" s="19" t="n">
        <v>806</v>
      </c>
      <c r="E7" s="18" t="n">
        <v>52.55313846</v>
      </c>
      <c r="F7" s="20" t="n">
        <v>1.97398674</v>
      </c>
      <c r="G7" s="18" t="n">
        <v>45.47651231</v>
      </c>
      <c r="H7" s="20" t="n">
        <v>1.92981678</v>
      </c>
      <c r="I7" s="18" t="s">
        <v>567</v>
      </c>
      <c r="J7" s="20" t="s">
        <v>567</v>
      </c>
      <c r="K7" s="18" t="n">
        <v>0.00752516</v>
      </c>
      <c r="L7" s="20" t="n">
        <v>0.00759821</v>
      </c>
      <c r="M7" s="18" t="n">
        <v>0.20265339</v>
      </c>
      <c r="N7" s="20" t="n">
        <v>0.17318732</v>
      </c>
      <c r="O7" s="18" t="n">
        <v>0</v>
      </c>
      <c r="P7" s="20" t="n">
        <v>0</v>
      </c>
      <c r="Q7" s="18" t="n">
        <v>1.76017068</v>
      </c>
      <c r="R7" s="20" t="n">
        <v>0.5186596</v>
      </c>
    </row>
    <row r="8" spans="1:18">
      <c r="A8" s="15" t="s">
        <v>568</v>
      </c>
      <c r="B8" s="17" t="n">
        <v>3564</v>
      </c>
      <c r="C8" s="18">
        <f>(3162.0/B8*100)</f>
        <v/>
      </c>
      <c r="D8" s="19" t="n">
        <v>402</v>
      </c>
      <c r="E8" s="18" t="n">
        <v>64.33658582</v>
      </c>
      <c r="F8" s="20" t="n">
        <v>2.40487493</v>
      </c>
      <c r="G8" s="18" t="n">
        <v>34.67587953</v>
      </c>
      <c r="H8" s="20" t="n">
        <v>2.53015321</v>
      </c>
      <c r="I8" s="18" t="s">
        <v>567</v>
      </c>
      <c r="J8" s="20" t="s">
        <v>567</v>
      </c>
      <c r="K8" s="18" t="n">
        <v>0.29912443</v>
      </c>
      <c r="L8" s="20" t="n">
        <v>0.45603314</v>
      </c>
      <c r="M8" s="18" t="n">
        <v>0</v>
      </c>
      <c r="N8" s="20" t="n">
        <v>0</v>
      </c>
      <c r="O8" s="18" t="n">
        <v>0</v>
      </c>
      <c r="P8" s="20" t="n">
        <v>0</v>
      </c>
      <c r="Q8" s="18" t="n">
        <v>0.68841022</v>
      </c>
      <c r="R8" s="20" t="n">
        <v>0.59254035</v>
      </c>
    </row>
    <row r="9" spans="1:18">
      <c r="A9" s="15" t="s">
        <v>569</v>
      </c>
      <c r="B9" s="17" t="n">
        <v>4899</v>
      </c>
      <c r="C9" s="18">
        <f>(4425.0/B9*100)</f>
        <v/>
      </c>
      <c r="D9" s="19" t="n">
        <v>474</v>
      </c>
      <c r="E9" s="18" t="n">
        <v>51.05415782</v>
      </c>
      <c r="F9" s="20" t="n">
        <v>2.25623174</v>
      </c>
      <c r="G9" s="18" t="n">
        <v>47.3128718</v>
      </c>
      <c r="H9" s="20" t="n">
        <v>2.27716579</v>
      </c>
      <c r="I9" s="18" t="s">
        <v>567</v>
      </c>
      <c r="J9" s="20" t="s">
        <v>567</v>
      </c>
      <c r="K9" s="18" t="n">
        <v>0.19951462</v>
      </c>
      <c r="L9" s="20" t="n">
        <v>0.19997838</v>
      </c>
      <c r="M9" s="18" t="n">
        <v>0.88455275</v>
      </c>
      <c r="N9" s="20" t="n">
        <v>0.31051536</v>
      </c>
      <c r="O9" s="18" t="n">
        <v>0</v>
      </c>
      <c r="P9" s="20" t="n">
        <v>0</v>
      </c>
      <c r="Q9" s="18" t="n">
        <v>0.54890302</v>
      </c>
      <c r="R9" s="20" t="n">
        <v>0.17264869</v>
      </c>
    </row>
    <row r="10" spans="1:18">
      <c r="A10" s="15" t="s">
        <v>570</v>
      </c>
      <c r="B10" s="17" t="n">
        <v>10036</v>
      </c>
      <c r="C10" s="18">
        <f>(8968.0/B10*100)</f>
        <v/>
      </c>
      <c r="D10" s="19" t="n">
        <v>1068</v>
      </c>
      <c r="E10" s="18" t="n">
        <v>50.36587317</v>
      </c>
      <c r="F10" s="20" t="n">
        <v>2.12538953</v>
      </c>
      <c r="G10" s="18" t="n">
        <v>47.71293502</v>
      </c>
      <c r="H10" s="20" t="n">
        <v>2.18529566</v>
      </c>
      <c r="I10" s="18" t="s">
        <v>567</v>
      </c>
      <c r="J10" s="20" t="s">
        <v>567</v>
      </c>
      <c r="K10" s="18" t="n">
        <v>0.24818317</v>
      </c>
      <c r="L10" s="20" t="n">
        <v>0.18281047</v>
      </c>
      <c r="M10" s="18" t="n">
        <v>0</v>
      </c>
      <c r="N10" s="20" t="n">
        <v>0</v>
      </c>
      <c r="O10" s="18" t="n">
        <v>0</v>
      </c>
      <c r="P10" s="20" t="n">
        <v>0</v>
      </c>
      <c r="Q10" s="18" t="n">
        <v>1.67300864</v>
      </c>
      <c r="R10" s="20" t="n">
        <v>0.57322617</v>
      </c>
    </row>
    <row r="11" spans="1:18">
      <c r="A11" s="15" t="s">
        <v>571</v>
      </c>
      <c r="B11" s="17" t="n">
        <v>3553</v>
      </c>
      <c r="C11" s="18">
        <f>(3167.0/B11*100)</f>
        <v/>
      </c>
      <c r="D11" s="19" t="n">
        <v>386</v>
      </c>
      <c r="E11" s="18" t="n">
        <v>53.36885036</v>
      </c>
      <c r="F11" s="20" t="n">
        <v>3.08001003</v>
      </c>
      <c r="G11" s="18" t="n">
        <v>44.88250262</v>
      </c>
      <c r="H11" s="20" t="n">
        <v>2.9393643</v>
      </c>
      <c r="I11" s="18" t="s">
        <v>567</v>
      </c>
      <c r="J11" s="20" t="s">
        <v>567</v>
      </c>
      <c r="K11" s="18" t="n">
        <v>0</v>
      </c>
      <c r="L11" s="20" t="n">
        <v>0</v>
      </c>
      <c r="M11" s="18" t="n">
        <v>0</v>
      </c>
      <c r="N11" s="20" t="n">
        <v>0</v>
      </c>
      <c r="O11" s="18" t="n">
        <v>0</v>
      </c>
      <c r="P11" s="20" t="n">
        <v>0</v>
      </c>
      <c r="Q11" s="18" t="n">
        <v>1.74864702</v>
      </c>
      <c r="R11" s="20" t="n">
        <v>0.74818537</v>
      </c>
    </row>
    <row r="12" spans="1:18">
      <c r="A12" s="15" t="s">
        <v>572</v>
      </c>
      <c r="B12" s="17" t="n">
        <v>3472</v>
      </c>
      <c r="C12" s="18">
        <f>(3099.0/B12*100)</f>
        <v/>
      </c>
      <c r="D12" s="19" t="n">
        <v>373</v>
      </c>
      <c r="E12" s="18" t="n">
        <v>45.22320949</v>
      </c>
      <c r="F12" s="20" t="n">
        <v>2.61178378</v>
      </c>
      <c r="G12" s="18" t="n">
        <v>53.71853836</v>
      </c>
      <c r="H12" s="20" t="n">
        <v>2.6467827</v>
      </c>
      <c r="I12" s="18" t="s">
        <v>567</v>
      </c>
      <c r="J12" s="20" t="s">
        <v>567</v>
      </c>
      <c r="K12" s="18" t="n">
        <v>0</v>
      </c>
      <c r="L12" s="20" t="n">
        <v>0</v>
      </c>
      <c r="M12" s="18" t="n">
        <v>0.15294461</v>
      </c>
      <c r="N12" s="20" t="n">
        <v>0.20628887</v>
      </c>
      <c r="O12" s="18" t="n">
        <v>0</v>
      </c>
      <c r="P12" s="20" t="n">
        <v>0</v>
      </c>
      <c r="Q12" s="18" t="n">
        <v>0.90530755</v>
      </c>
      <c r="R12" s="20" t="n">
        <v>0.62905685</v>
      </c>
    </row>
    <row r="13" spans="1:18">
      <c r="A13" s="15" t="s">
        <v>573</v>
      </c>
      <c r="B13" s="17" t="n">
        <v>3559</v>
      </c>
      <c r="C13" s="18">
        <f>(3191.0/B13*100)</f>
        <v/>
      </c>
      <c r="D13" s="19" t="n">
        <v>368</v>
      </c>
      <c r="E13" s="18" t="n">
        <v>62.80372562</v>
      </c>
      <c r="F13" s="20" t="n">
        <v>3.13246696</v>
      </c>
      <c r="G13" s="18" t="n">
        <v>34.79570919</v>
      </c>
      <c r="H13" s="20" t="n">
        <v>3.18722334</v>
      </c>
      <c r="I13" s="18" t="s">
        <v>567</v>
      </c>
      <c r="J13" s="20" t="s">
        <v>567</v>
      </c>
      <c r="K13" s="18" t="n">
        <v>0.31728808</v>
      </c>
      <c r="L13" s="20" t="n">
        <v>0.22837537</v>
      </c>
      <c r="M13" s="18" t="n">
        <v>0</v>
      </c>
      <c r="N13" s="20" t="n">
        <v>0</v>
      </c>
      <c r="O13" s="18" t="n">
        <v>0</v>
      </c>
      <c r="P13" s="20" t="n">
        <v>0</v>
      </c>
      <c r="Q13" s="18" t="n">
        <v>2.08327711</v>
      </c>
      <c r="R13" s="20" t="n">
        <v>0.907204</v>
      </c>
    </row>
    <row r="14" spans="1:18">
      <c r="A14" s="15" t="s">
        <v>574</v>
      </c>
      <c r="B14" s="17" t="n">
        <v>2799</v>
      </c>
      <c r="C14" s="18">
        <f>(2511.0/B14*100)</f>
        <v/>
      </c>
      <c r="D14" s="19" t="n">
        <v>288</v>
      </c>
      <c r="E14" s="18" t="n">
        <v>38.82008137</v>
      </c>
      <c r="F14" s="20" t="n">
        <v>3.58807773</v>
      </c>
      <c r="G14" s="18" t="n">
        <v>60.16932596</v>
      </c>
      <c r="H14" s="20" t="n">
        <v>3.62558501</v>
      </c>
      <c r="I14" s="18" t="s">
        <v>567</v>
      </c>
      <c r="J14" s="20" t="s">
        <v>567</v>
      </c>
      <c r="K14" s="18" t="n">
        <v>0</v>
      </c>
      <c r="L14" s="20" t="n">
        <v>0</v>
      </c>
      <c r="M14" s="18" t="n">
        <v>0</v>
      </c>
      <c r="N14" s="20" t="n">
        <v>0</v>
      </c>
      <c r="O14" s="18" t="n">
        <v>0</v>
      </c>
      <c r="P14" s="20" t="n">
        <v>0</v>
      </c>
      <c r="Q14" s="18" t="n">
        <v>1.01059267</v>
      </c>
      <c r="R14" s="20" t="n">
        <v>0.60432249</v>
      </c>
    </row>
    <row r="15" spans="1:18">
      <c r="A15" s="15" t="s">
        <v>575</v>
      </c>
      <c r="B15" s="17" t="n">
        <v>3019</v>
      </c>
      <c r="C15" s="18">
        <f>(2664.0/B15*100)</f>
        <v/>
      </c>
      <c r="D15" s="19" t="n">
        <v>355</v>
      </c>
      <c r="E15" s="18" t="n">
        <v>48.08672217</v>
      </c>
      <c r="F15" s="20" t="n">
        <v>2.77148114</v>
      </c>
      <c r="G15" s="18" t="n">
        <v>50.12707951</v>
      </c>
      <c r="H15" s="20" t="n">
        <v>2.75159469</v>
      </c>
      <c r="I15" s="18" t="s">
        <v>567</v>
      </c>
      <c r="J15" s="20" t="s">
        <v>567</v>
      </c>
      <c r="K15" s="18" t="n">
        <v>0</v>
      </c>
      <c r="L15" s="20" t="n">
        <v>0</v>
      </c>
      <c r="M15" s="18" t="n">
        <v>0</v>
      </c>
      <c r="N15" s="20" t="n">
        <v>0</v>
      </c>
      <c r="O15" s="18" t="n">
        <v>0</v>
      </c>
      <c r="P15" s="20" t="n">
        <v>0</v>
      </c>
      <c r="Q15" s="18" t="n">
        <v>1.78619832</v>
      </c>
      <c r="R15" s="20" t="n">
        <v>0.71678769</v>
      </c>
    </row>
    <row r="16" spans="1:18">
      <c r="A16" s="15" t="s">
        <v>576</v>
      </c>
      <c r="B16" s="17" t="n">
        <v>2997</v>
      </c>
      <c r="C16" s="18">
        <f>(2664.0/B16*100)</f>
        <v/>
      </c>
      <c r="D16" s="19" t="n">
        <v>333</v>
      </c>
      <c r="E16" s="18" t="n">
        <v>62.8229487</v>
      </c>
      <c r="F16" s="20" t="n">
        <v>2.3734759</v>
      </c>
      <c r="G16" s="18" t="n">
        <v>33.56870912</v>
      </c>
      <c r="H16" s="20" t="n">
        <v>2.45431053</v>
      </c>
      <c r="I16" s="18" t="s">
        <v>567</v>
      </c>
      <c r="J16" s="20" t="s">
        <v>567</v>
      </c>
      <c r="K16" s="18" t="n">
        <v>0</v>
      </c>
      <c r="L16" s="20" t="n">
        <v>0</v>
      </c>
      <c r="M16" s="18" t="n">
        <v>0</v>
      </c>
      <c r="N16" s="20" t="n">
        <v>0</v>
      </c>
      <c r="O16" s="18" t="n">
        <v>0</v>
      </c>
      <c r="P16" s="20" t="n">
        <v>0</v>
      </c>
      <c r="Q16" s="18" t="n">
        <v>3.60834218</v>
      </c>
      <c r="R16" s="20" t="n">
        <v>1.1687864</v>
      </c>
    </row>
    <row r="17" spans="1:18">
      <c r="A17" s="15" t="s">
        <v>577</v>
      </c>
      <c r="B17" s="17" t="n">
        <v>3307</v>
      </c>
      <c r="C17" s="18">
        <f>(2979.0/B17*100)</f>
        <v/>
      </c>
      <c r="D17" s="19" t="n">
        <v>328</v>
      </c>
      <c r="E17" s="18" t="n">
        <v>47.73784391</v>
      </c>
      <c r="F17" s="20" t="n">
        <v>3.46360347</v>
      </c>
      <c r="G17" s="18" t="n">
        <v>49.33367559</v>
      </c>
      <c r="H17" s="20" t="n">
        <v>3.30570744</v>
      </c>
      <c r="I17" s="18" t="s">
        <v>567</v>
      </c>
      <c r="J17" s="20" t="s">
        <v>567</v>
      </c>
      <c r="K17" s="18" t="n">
        <v>0</v>
      </c>
      <c r="L17" s="20" t="n">
        <v>0</v>
      </c>
      <c r="M17" s="18" t="n">
        <v>0</v>
      </c>
      <c r="N17" s="20" t="n">
        <v>0</v>
      </c>
      <c r="O17" s="18" t="n">
        <v>0</v>
      </c>
      <c r="P17" s="20" t="n">
        <v>0</v>
      </c>
      <c r="Q17" s="18" t="n">
        <v>2.9284805</v>
      </c>
      <c r="R17" s="20" t="n">
        <v>0.89238314</v>
      </c>
    </row>
    <row r="18" spans="1:18">
      <c r="A18" s="15" t="s">
        <v>578</v>
      </c>
      <c r="B18" s="17" t="n">
        <v>2826</v>
      </c>
      <c r="C18" s="18">
        <f>(2501.0/B18*100)</f>
        <v/>
      </c>
      <c r="D18" s="19" t="n">
        <v>325</v>
      </c>
      <c r="E18" s="18" t="n">
        <v>66.00226153</v>
      </c>
      <c r="F18" s="20" t="n">
        <v>2.69937693</v>
      </c>
      <c r="G18" s="18" t="n">
        <v>32.20253783</v>
      </c>
      <c r="H18" s="20" t="n">
        <v>2.80511905</v>
      </c>
      <c r="I18" s="18" t="s">
        <v>567</v>
      </c>
      <c r="J18" s="20" t="s">
        <v>567</v>
      </c>
      <c r="K18" s="18" t="n">
        <v>0.35210808</v>
      </c>
      <c r="L18" s="20" t="n">
        <v>0.34887791</v>
      </c>
      <c r="M18" s="18" t="n">
        <v>0</v>
      </c>
      <c r="N18" s="20" t="n">
        <v>0</v>
      </c>
      <c r="O18" s="18" t="n">
        <v>0</v>
      </c>
      <c r="P18" s="20" t="n">
        <v>0</v>
      </c>
      <c r="Q18" s="18" t="n">
        <v>1.44309255</v>
      </c>
      <c r="R18" s="20" t="n">
        <v>0.62336083</v>
      </c>
    </row>
    <row r="19" spans="1:18">
      <c r="A19" s="15" t="s">
        <v>579</v>
      </c>
      <c r="B19" s="17" t="n">
        <v>2808</v>
      </c>
      <c r="C19" s="18">
        <f>(2485.0/B19*100)</f>
        <v/>
      </c>
      <c r="D19" s="19" t="n">
        <v>323</v>
      </c>
      <c r="E19" s="18" t="n">
        <v>51.84050623</v>
      </c>
      <c r="F19" s="20" t="n">
        <v>2.87312709</v>
      </c>
      <c r="G19" s="18" t="n">
        <v>47.32752691</v>
      </c>
      <c r="H19" s="20" t="n">
        <v>2.84959303</v>
      </c>
      <c r="I19" s="18" t="s">
        <v>567</v>
      </c>
      <c r="J19" s="20" t="s">
        <v>567</v>
      </c>
      <c r="K19" s="18" t="n">
        <v>0</v>
      </c>
      <c r="L19" s="20" t="n">
        <v>0</v>
      </c>
      <c r="M19" s="18" t="n">
        <v>0</v>
      </c>
      <c r="N19" s="20" t="n">
        <v>0</v>
      </c>
      <c r="O19" s="18" t="n">
        <v>0</v>
      </c>
      <c r="P19" s="20" t="n">
        <v>0</v>
      </c>
      <c r="Q19" s="18" t="n">
        <v>0.83196687</v>
      </c>
      <c r="R19" s="20" t="n">
        <v>0.46967191</v>
      </c>
    </row>
    <row r="20" spans="1:18">
      <c r="A20" s="15" t="s">
        <v>580</v>
      </c>
      <c r="B20" s="17" t="n">
        <v>1630</v>
      </c>
      <c r="C20" s="18">
        <f>(1469.0/B20*100)</f>
        <v/>
      </c>
      <c r="D20" s="19" t="n">
        <v>161</v>
      </c>
      <c r="E20" s="18" t="n">
        <v>74.52909293</v>
      </c>
      <c r="F20" s="20" t="n">
        <v>3.43530099</v>
      </c>
      <c r="G20" s="18" t="n">
        <v>24.21287913</v>
      </c>
      <c r="H20" s="20" t="n">
        <v>3.49804029</v>
      </c>
      <c r="I20" s="18" t="s">
        <v>567</v>
      </c>
      <c r="J20" s="20" t="s">
        <v>567</v>
      </c>
      <c r="K20" s="18" t="n">
        <v>0</v>
      </c>
      <c r="L20" s="20" t="n">
        <v>0</v>
      </c>
      <c r="M20" s="18" t="n">
        <v>0</v>
      </c>
      <c r="N20" s="20" t="n">
        <v>0</v>
      </c>
      <c r="O20" s="18" t="n">
        <v>0</v>
      </c>
      <c r="P20" s="20" t="n">
        <v>0</v>
      </c>
      <c r="Q20" s="18" t="n">
        <v>1.25802793</v>
      </c>
      <c r="R20" s="20" t="n">
        <v>0.88638529</v>
      </c>
    </row>
    <row r="21" spans="1:18">
      <c r="A21" s="15" t="s">
        <v>581</v>
      </c>
      <c r="B21" s="17" t="n">
        <v>2908</v>
      </c>
      <c r="C21" s="18">
        <f>(2598.0/B21*100)</f>
        <v/>
      </c>
      <c r="D21" s="19" t="n">
        <v>310</v>
      </c>
      <c r="E21" s="18" t="n">
        <v>50.83312657</v>
      </c>
      <c r="F21" s="20" t="n">
        <v>2.6165346</v>
      </c>
      <c r="G21" s="18" t="n">
        <v>48.16402693</v>
      </c>
      <c r="H21" s="20" t="n">
        <v>2.72535453</v>
      </c>
      <c r="I21" s="18" t="s">
        <v>567</v>
      </c>
      <c r="J21" s="20" t="s">
        <v>567</v>
      </c>
      <c r="K21" s="18" t="n">
        <v>0</v>
      </c>
      <c r="L21" s="20" t="n">
        <v>0</v>
      </c>
      <c r="M21" s="18" t="n">
        <v>0</v>
      </c>
      <c r="N21" s="20" t="n">
        <v>0</v>
      </c>
      <c r="O21" s="18" t="n">
        <v>0</v>
      </c>
      <c r="P21" s="20" t="n">
        <v>0</v>
      </c>
      <c r="Q21" s="18" t="n">
        <v>1.0028465</v>
      </c>
      <c r="R21" s="20" t="n">
        <v>0.5644077</v>
      </c>
    </row>
    <row r="22" spans="1:18">
      <c r="A22" s="15" t="s">
        <v>582</v>
      </c>
      <c r="B22" s="17" t="n">
        <v>2931</v>
      </c>
      <c r="C22" s="18">
        <f>(2609.0/B22*100)</f>
        <v/>
      </c>
      <c r="D22" s="19" t="n">
        <v>322</v>
      </c>
      <c r="E22" s="18" t="n">
        <v>71.72996515</v>
      </c>
      <c r="F22" s="20" t="n">
        <v>2.36534517</v>
      </c>
      <c r="G22" s="18" t="n">
        <v>24.71019895</v>
      </c>
      <c r="H22" s="20" t="n">
        <v>2.49078752</v>
      </c>
      <c r="I22" s="18" t="s">
        <v>567</v>
      </c>
      <c r="J22" s="20" t="s">
        <v>567</v>
      </c>
      <c r="K22" s="18" t="n">
        <v>0.82915881</v>
      </c>
      <c r="L22" s="20" t="n">
        <v>0.41249814</v>
      </c>
      <c r="M22" s="18" t="n">
        <v>0</v>
      </c>
      <c r="N22" s="20" t="n">
        <v>0</v>
      </c>
      <c r="O22" s="18" t="n">
        <v>0</v>
      </c>
      <c r="P22" s="20" t="n">
        <v>0</v>
      </c>
      <c r="Q22" s="18" t="n">
        <v>2.73067709</v>
      </c>
      <c r="R22" s="20" t="n">
        <v>1.02143632</v>
      </c>
    </row>
    <row r="23" spans="1:18">
      <c r="A23" s="15" t="s">
        <v>583</v>
      </c>
      <c r="B23" s="17" t="n">
        <v>5791</v>
      </c>
      <c r="C23" s="18">
        <f>(5130.0/B23*100)</f>
        <v/>
      </c>
      <c r="D23" s="19" t="n">
        <v>661</v>
      </c>
      <c r="E23" s="18" t="n">
        <v>62.38440612</v>
      </c>
      <c r="F23" s="20" t="n">
        <v>2.86814734</v>
      </c>
      <c r="G23" s="18" t="n">
        <v>32.47850963</v>
      </c>
      <c r="H23" s="20" t="n">
        <v>2.80829961</v>
      </c>
      <c r="I23" s="18" t="s">
        <v>567</v>
      </c>
      <c r="J23" s="20" t="s">
        <v>567</v>
      </c>
      <c r="K23" s="18" t="n">
        <v>0.48752094</v>
      </c>
      <c r="L23" s="20" t="n">
        <v>0.56186988</v>
      </c>
      <c r="M23" s="18" t="n">
        <v>0.01216198</v>
      </c>
      <c r="N23" s="20" t="n">
        <v>0.01208933</v>
      </c>
      <c r="O23" s="18" t="n">
        <v>0</v>
      </c>
      <c r="P23" s="20" t="n">
        <v>0</v>
      </c>
      <c r="Q23" s="18" t="n">
        <v>4.63740133</v>
      </c>
      <c r="R23" s="20" t="n">
        <v>1.92303905</v>
      </c>
    </row>
    <row r="24" spans="1:18">
      <c r="A24" s="15" t="s">
        <v>584</v>
      </c>
      <c r="B24" s="17" t="n">
        <v>3338</v>
      </c>
      <c r="C24" s="18">
        <f>(2975.0/B24*100)</f>
        <v/>
      </c>
      <c r="D24" s="19" t="n">
        <v>363</v>
      </c>
      <c r="E24" s="18" t="n">
        <v>32.35637859</v>
      </c>
      <c r="F24" s="20" t="n">
        <v>3.57945774</v>
      </c>
      <c r="G24" s="18" t="n">
        <v>65.79924945</v>
      </c>
      <c r="H24" s="20" t="n">
        <v>3.53340287</v>
      </c>
      <c r="I24" s="18" t="s">
        <v>567</v>
      </c>
      <c r="J24" s="20" t="s">
        <v>567</v>
      </c>
      <c r="K24" s="18" t="n">
        <v>0.24026473</v>
      </c>
      <c r="L24" s="20" t="n">
        <v>0.23977104</v>
      </c>
      <c r="M24" s="18" t="n">
        <v>0</v>
      </c>
      <c r="N24" s="20" t="n">
        <v>0</v>
      </c>
      <c r="O24" s="18" t="n">
        <v>0</v>
      </c>
      <c r="P24" s="20" t="n">
        <v>0</v>
      </c>
      <c r="Q24" s="18" t="n">
        <v>1.60410723</v>
      </c>
      <c r="R24" s="20" t="n">
        <v>0.65524684</v>
      </c>
    </row>
    <row r="25" spans="1:18">
      <c r="A25" s="15" t="s">
        <v>585</v>
      </c>
      <c r="B25" s="17" t="n">
        <v>2912</v>
      </c>
      <c r="C25" s="18">
        <f>(2561.0/B25*100)</f>
        <v/>
      </c>
      <c r="D25" s="19" t="n">
        <v>351</v>
      </c>
      <c r="E25" s="18" t="n">
        <v>42.28790224</v>
      </c>
      <c r="F25" s="20" t="n">
        <v>2.47765525</v>
      </c>
      <c r="G25" s="18" t="n">
        <v>54.38419282</v>
      </c>
      <c r="H25" s="20" t="n">
        <v>2.77480278</v>
      </c>
      <c r="I25" s="18" t="s">
        <v>567</v>
      </c>
      <c r="J25" s="20" t="s">
        <v>567</v>
      </c>
      <c r="K25" s="18" t="n">
        <v>1.69652275</v>
      </c>
      <c r="L25" s="20" t="n">
        <v>0.6732216</v>
      </c>
      <c r="M25" s="18" t="n">
        <v>0</v>
      </c>
      <c r="N25" s="20" t="n">
        <v>0</v>
      </c>
      <c r="O25" s="18" t="n">
        <v>0</v>
      </c>
      <c r="P25" s="20" t="n">
        <v>0</v>
      </c>
      <c r="Q25" s="18" t="n">
        <v>1.6313822</v>
      </c>
      <c r="R25" s="20" t="n">
        <v>0.82970386</v>
      </c>
    </row>
    <row r="26" spans="1:18">
      <c r="A26" s="15" t="s">
        <v>586</v>
      </c>
      <c r="B26" s="17" t="n">
        <v>2450</v>
      </c>
      <c r="C26" s="18">
        <f>(2181.0/B26*100)</f>
        <v/>
      </c>
      <c r="D26" s="19" t="n">
        <v>269</v>
      </c>
      <c r="E26" s="18" t="n">
        <v>54.07075389</v>
      </c>
      <c r="F26" s="20" t="n">
        <v>3.46000709</v>
      </c>
      <c r="G26" s="18" t="n">
        <v>44.37561818</v>
      </c>
      <c r="H26" s="20" t="n">
        <v>3.39457981</v>
      </c>
      <c r="I26" s="18" t="s">
        <v>567</v>
      </c>
      <c r="J26" s="20" t="s">
        <v>567</v>
      </c>
      <c r="K26" s="18" t="n">
        <v>0</v>
      </c>
      <c r="L26" s="20" t="n">
        <v>0</v>
      </c>
      <c r="M26" s="18" t="n">
        <v>0</v>
      </c>
      <c r="N26" s="20" t="n">
        <v>0</v>
      </c>
      <c r="O26" s="18" t="n">
        <v>0</v>
      </c>
      <c r="P26" s="20" t="n">
        <v>0</v>
      </c>
      <c r="Q26" s="18" t="n">
        <v>1.55362793</v>
      </c>
      <c r="R26" s="20" t="n">
        <v>0.68110223</v>
      </c>
    </row>
    <row r="27" spans="1:18">
      <c r="A27" s="15" t="s">
        <v>587</v>
      </c>
      <c r="B27" s="17" t="n">
        <v>2616</v>
      </c>
      <c r="C27" s="18">
        <f>(2351.0/B27*100)</f>
        <v/>
      </c>
      <c r="D27" s="19" t="n">
        <v>265</v>
      </c>
      <c r="E27" s="18" t="n">
        <v>64.74556334</v>
      </c>
      <c r="F27" s="20" t="n">
        <v>3.15099837</v>
      </c>
      <c r="G27" s="18" t="n">
        <v>31.00948874</v>
      </c>
      <c r="H27" s="20" t="n">
        <v>3.00213587</v>
      </c>
      <c r="I27" s="18" t="s">
        <v>567</v>
      </c>
      <c r="J27" s="20" t="s">
        <v>567</v>
      </c>
      <c r="K27" s="18" t="n">
        <v>0.36797253</v>
      </c>
      <c r="L27" s="20" t="n">
        <v>0.35842241</v>
      </c>
      <c r="M27" s="18" t="n">
        <v>0</v>
      </c>
      <c r="N27" s="20" t="n">
        <v>0</v>
      </c>
      <c r="O27" s="18" t="n">
        <v>0</v>
      </c>
      <c r="P27" s="20" t="n">
        <v>0</v>
      </c>
      <c r="Q27" s="18" t="n">
        <v>3.87697539</v>
      </c>
      <c r="R27" s="20" t="n">
        <v>1.31902078</v>
      </c>
    </row>
    <row r="28" spans="1:18">
      <c r="A28" s="15" t="s">
        <v>588</v>
      </c>
      <c r="B28" s="17" t="n">
        <v>3765</v>
      </c>
      <c r="C28" s="18">
        <f>(3353.0/B28*100)</f>
        <v/>
      </c>
      <c r="D28" s="19" t="n">
        <v>412</v>
      </c>
      <c r="E28" s="18" t="n">
        <v>68.71952529000001</v>
      </c>
      <c r="F28" s="20" t="n">
        <v>2.65478304</v>
      </c>
      <c r="G28" s="18" t="n">
        <v>29.90971302</v>
      </c>
      <c r="H28" s="20" t="n">
        <v>2.57138467</v>
      </c>
      <c r="I28" s="18" t="s">
        <v>567</v>
      </c>
      <c r="J28" s="20" t="s">
        <v>567</v>
      </c>
      <c r="K28" s="18" t="n">
        <v>0.8817258100000001</v>
      </c>
      <c r="L28" s="20" t="n">
        <v>0.49108955</v>
      </c>
      <c r="M28" s="18" t="n">
        <v>0</v>
      </c>
      <c r="N28" s="20" t="n">
        <v>0</v>
      </c>
      <c r="O28" s="18" t="n">
        <v>0</v>
      </c>
      <c r="P28" s="20" t="n">
        <v>0</v>
      </c>
      <c r="Q28" s="18" t="n">
        <v>0.48903587</v>
      </c>
      <c r="R28" s="20" t="n">
        <v>0.35182645</v>
      </c>
    </row>
    <row r="29" spans="1:18">
      <c r="A29" s="15" t="s">
        <v>589</v>
      </c>
      <c r="B29" s="17" t="n">
        <v>2685</v>
      </c>
      <c r="C29" s="18">
        <f>(2387.0/B29*100)</f>
        <v/>
      </c>
      <c r="D29" s="19" t="n">
        <v>298</v>
      </c>
      <c r="E29" s="18" t="n">
        <v>49.33991599</v>
      </c>
      <c r="F29" s="20" t="n">
        <v>2.85868912</v>
      </c>
      <c r="G29" s="18" t="n">
        <v>49.64455806</v>
      </c>
      <c r="H29" s="20" t="n">
        <v>2.85429532</v>
      </c>
      <c r="I29" s="18" t="s">
        <v>567</v>
      </c>
      <c r="J29" s="20" t="s">
        <v>567</v>
      </c>
      <c r="K29" s="18" t="n">
        <v>0.38078387</v>
      </c>
      <c r="L29" s="20" t="n">
        <v>0.35229087</v>
      </c>
      <c r="M29" s="18" t="n">
        <v>0</v>
      </c>
      <c r="N29" s="20" t="n">
        <v>0</v>
      </c>
      <c r="O29" s="18" t="n">
        <v>0</v>
      </c>
      <c r="P29" s="20" t="n">
        <v>0</v>
      </c>
      <c r="Q29" s="18" t="n">
        <v>0.63474208</v>
      </c>
      <c r="R29" s="20" t="n">
        <v>0.5285912699999999</v>
      </c>
    </row>
    <row r="30" spans="1:18">
      <c r="A30" s="15" t="s">
        <v>590</v>
      </c>
      <c r="B30" s="17" t="n">
        <v>2263</v>
      </c>
      <c r="C30" s="18">
        <f>(2020.0/B30*100)</f>
        <v/>
      </c>
      <c r="D30" s="19" t="n">
        <v>243</v>
      </c>
      <c r="E30" s="18" t="n">
        <v>48.03406869</v>
      </c>
      <c r="F30" s="20" t="n">
        <v>2.8490624</v>
      </c>
      <c r="G30" s="18" t="n">
        <v>49.16213153</v>
      </c>
      <c r="H30" s="20" t="n">
        <v>2.73332058</v>
      </c>
      <c r="I30" s="18" t="s">
        <v>567</v>
      </c>
      <c r="J30" s="20" t="s">
        <v>567</v>
      </c>
      <c r="K30" s="18" t="n">
        <v>0.97494566</v>
      </c>
      <c r="L30" s="20" t="n">
        <v>0.6414561</v>
      </c>
      <c r="M30" s="18" t="n">
        <v>0</v>
      </c>
      <c r="N30" s="20" t="n">
        <v>0</v>
      </c>
      <c r="O30" s="18" t="n">
        <v>0</v>
      </c>
      <c r="P30" s="20" t="n">
        <v>0</v>
      </c>
      <c r="Q30" s="18" t="n">
        <v>1.82885412</v>
      </c>
      <c r="R30" s="20" t="n">
        <v>0.93397989</v>
      </c>
    </row>
    <row r="31" spans="1:18">
      <c r="A31" s="15" t="s">
        <v>591</v>
      </c>
      <c r="B31" s="17" t="n">
        <v>2750</v>
      </c>
      <c r="C31" s="18">
        <f>(2454.0/B31*100)</f>
        <v/>
      </c>
      <c r="D31" s="19" t="n">
        <v>296</v>
      </c>
      <c r="E31" s="18" t="n">
        <v>59.17370964</v>
      </c>
      <c r="F31" s="20" t="n">
        <v>3.18160511</v>
      </c>
      <c r="G31" s="18" t="n">
        <v>37.84534707</v>
      </c>
      <c r="H31" s="20" t="n">
        <v>3.00959919</v>
      </c>
      <c r="I31" s="18" t="s">
        <v>567</v>
      </c>
      <c r="J31" s="20" t="s">
        <v>567</v>
      </c>
      <c r="K31" s="18" t="n">
        <v>0.67264729</v>
      </c>
      <c r="L31" s="20" t="n">
        <v>0.48671607</v>
      </c>
      <c r="M31" s="18" t="n">
        <v>0.28695226</v>
      </c>
      <c r="N31" s="20" t="n">
        <v>0.33633197</v>
      </c>
      <c r="O31" s="18" t="n">
        <v>0</v>
      </c>
      <c r="P31" s="20" t="n">
        <v>0</v>
      </c>
      <c r="Q31" s="18" t="n">
        <v>2.02134374</v>
      </c>
      <c r="R31" s="20" t="n">
        <v>0.93105867</v>
      </c>
    </row>
    <row r="32" spans="1:18">
      <c r="A32" s="15" t="s">
        <v>592</v>
      </c>
      <c r="B32" s="17" t="n">
        <v>2269</v>
      </c>
      <c r="C32" s="18">
        <f>(2026.0/B32*100)</f>
        <v/>
      </c>
      <c r="D32" s="19" t="n">
        <v>243</v>
      </c>
      <c r="E32" s="18" t="n">
        <v>41.61717713</v>
      </c>
      <c r="F32" s="20" t="n">
        <v>3.86076618</v>
      </c>
      <c r="G32" s="18" t="n">
        <v>57.27697169</v>
      </c>
      <c r="H32" s="20" t="n">
        <v>3.86407075</v>
      </c>
      <c r="I32" s="18" t="s">
        <v>567</v>
      </c>
      <c r="J32" s="20" t="s">
        <v>567</v>
      </c>
      <c r="K32" s="18" t="n">
        <v>0</v>
      </c>
      <c r="L32" s="20" t="n">
        <v>0</v>
      </c>
      <c r="M32" s="18" t="n">
        <v>0</v>
      </c>
      <c r="N32" s="20" t="n">
        <v>0</v>
      </c>
      <c r="O32" s="18" t="n">
        <v>0</v>
      </c>
      <c r="P32" s="20" t="n">
        <v>0</v>
      </c>
      <c r="Q32" s="18" t="n">
        <v>1.10585117</v>
      </c>
      <c r="R32" s="20" t="n">
        <v>0.63188988</v>
      </c>
    </row>
    <row r="33" spans="1:18">
      <c r="A33" s="15" t="s">
        <v>593</v>
      </c>
      <c r="B33" s="17" t="n">
        <v>3674</v>
      </c>
      <c r="C33" s="18">
        <f>(3285.0/B33*100)</f>
        <v/>
      </c>
      <c r="D33" s="19" t="n">
        <v>389</v>
      </c>
      <c r="E33" s="18" t="n">
        <v>66.36390218</v>
      </c>
      <c r="F33" s="20" t="n">
        <v>3.32034186</v>
      </c>
      <c r="G33" s="18" t="n">
        <v>31.33158723</v>
      </c>
      <c r="H33" s="20" t="n">
        <v>3.16876972</v>
      </c>
      <c r="I33" s="18" t="s">
        <v>567</v>
      </c>
      <c r="J33" s="20" t="s">
        <v>567</v>
      </c>
      <c r="K33" s="18" t="n">
        <v>0.51687897</v>
      </c>
      <c r="L33" s="20" t="n">
        <v>0.61085474</v>
      </c>
      <c r="M33" s="18" t="n">
        <v>0</v>
      </c>
      <c r="N33" s="20" t="n">
        <v>0</v>
      </c>
      <c r="O33" s="18" t="n">
        <v>0</v>
      </c>
      <c r="P33" s="20" t="n">
        <v>0</v>
      </c>
      <c r="Q33" s="18" t="n">
        <v>1.78763162</v>
      </c>
      <c r="R33" s="20" t="n">
        <v>0.98954528</v>
      </c>
    </row>
    <row r="34" spans="1:18">
      <c r="A34" s="15" t="s">
        <v>594</v>
      </c>
      <c r="B34" s="17" t="n">
        <v>3315</v>
      </c>
      <c r="C34" s="18">
        <f>(2956.0/B34*100)</f>
        <v/>
      </c>
      <c r="D34" s="19" t="n">
        <v>359</v>
      </c>
      <c r="E34" s="18" t="n">
        <v>62.40938389</v>
      </c>
      <c r="F34" s="20" t="n">
        <v>2.62857239</v>
      </c>
      <c r="G34" s="18" t="n">
        <v>36.91054211</v>
      </c>
      <c r="H34" s="20" t="n">
        <v>2.56754695</v>
      </c>
      <c r="I34" s="18" t="s">
        <v>567</v>
      </c>
      <c r="J34" s="20" t="s">
        <v>567</v>
      </c>
      <c r="K34" s="18" t="n">
        <v>0</v>
      </c>
      <c r="L34" s="20" t="n">
        <v>0</v>
      </c>
      <c r="M34" s="18" t="n">
        <v>0</v>
      </c>
      <c r="N34" s="20" t="n">
        <v>0</v>
      </c>
      <c r="O34" s="18" t="n">
        <v>0</v>
      </c>
      <c r="P34" s="20" t="n">
        <v>0</v>
      </c>
      <c r="Q34" s="18" t="n">
        <v>0.68007401</v>
      </c>
      <c r="R34" s="20" t="n">
        <v>0.50313408</v>
      </c>
    </row>
    <row r="35" spans="1:18">
      <c r="A35" s="15" t="s">
        <v>595</v>
      </c>
      <c r="B35" s="17" t="n">
        <v>3505</v>
      </c>
      <c r="C35" s="18">
        <f>(3109.0/B35*100)</f>
        <v/>
      </c>
      <c r="D35" s="19" t="n">
        <v>396</v>
      </c>
      <c r="E35" s="18" t="n">
        <v>53.66367783</v>
      </c>
      <c r="F35" s="20" t="n">
        <v>3.0271022</v>
      </c>
      <c r="G35" s="18" t="n">
        <v>45.38322474</v>
      </c>
      <c r="H35" s="20" t="n">
        <v>3.04394537</v>
      </c>
      <c r="I35" s="18" t="s">
        <v>567</v>
      </c>
      <c r="J35" s="20" t="s">
        <v>567</v>
      </c>
      <c r="K35" s="18" t="n">
        <v>0</v>
      </c>
      <c r="L35" s="20" t="n">
        <v>0</v>
      </c>
      <c r="M35" s="18" t="n">
        <v>0.4402311</v>
      </c>
      <c r="N35" s="20" t="n">
        <v>0.44211122</v>
      </c>
      <c r="O35" s="18" t="n">
        <v>0</v>
      </c>
      <c r="P35" s="20" t="n">
        <v>0</v>
      </c>
      <c r="Q35" s="18" t="n">
        <v>0.51286634</v>
      </c>
      <c r="R35" s="20" t="n">
        <v>0.25197868</v>
      </c>
    </row>
    <row r="36" spans="1:18">
      <c r="A36" s="15" t="s">
        <v>596</v>
      </c>
      <c r="B36" s="17" t="n">
        <v>3332</v>
      </c>
      <c r="C36" s="18">
        <f>(2959.0/B36*100)</f>
        <v/>
      </c>
      <c r="D36" s="19" t="n">
        <v>373</v>
      </c>
      <c r="E36" s="18" t="n">
        <v>64.57031578</v>
      </c>
      <c r="F36" s="20" t="n">
        <v>2.73024369</v>
      </c>
      <c r="G36" s="18" t="n">
        <v>31.92145244</v>
      </c>
      <c r="H36" s="20" t="n">
        <v>2.47495517</v>
      </c>
      <c r="I36" s="18" t="s">
        <v>567</v>
      </c>
      <c r="J36" s="20" t="s">
        <v>567</v>
      </c>
      <c r="K36" s="18" t="n">
        <v>1.0144898</v>
      </c>
      <c r="L36" s="20" t="n">
        <v>0.60311644</v>
      </c>
      <c r="M36" s="18" t="n">
        <v>0.24933847</v>
      </c>
      <c r="N36" s="20" t="n">
        <v>0.2507347</v>
      </c>
      <c r="O36" s="18" t="n">
        <v>0</v>
      </c>
      <c r="P36" s="20" t="n">
        <v>0</v>
      </c>
      <c r="Q36" s="18" t="n">
        <v>2.24440351</v>
      </c>
      <c r="R36" s="20" t="n">
        <v>0.85610332</v>
      </c>
    </row>
    <row r="37" spans="1:18">
      <c r="A37" s="15" t="s">
        <v>597</v>
      </c>
      <c r="B37" s="17" t="n">
        <v>2727</v>
      </c>
      <c r="C37" s="18">
        <f>(2443.0/B37*100)</f>
        <v/>
      </c>
      <c r="D37" s="19" t="n">
        <v>284</v>
      </c>
      <c r="E37" s="18" t="n">
        <v>56.78896656</v>
      </c>
      <c r="F37" s="20" t="n">
        <v>3.11553702</v>
      </c>
      <c r="G37" s="18" t="n">
        <v>38.78508184</v>
      </c>
      <c r="H37" s="20" t="n">
        <v>3.13111791</v>
      </c>
      <c r="I37" s="18" t="s">
        <v>567</v>
      </c>
      <c r="J37" s="20" t="s">
        <v>567</v>
      </c>
      <c r="K37" s="18" t="n">
        <v>0.63487034</v>
      </c>
      <c r="L37" s="20" t="n">
        <v>0.45728951</v>
      </c>
      <c r="M37" s="18" t="n">
        <v>0</v>
      </c>
      <c r="N37" s="20" t="n">
        <v>0</v>
      </c>
      <c r="O37" s="18" t="n">
        <v>0</v>
      </c>
      <c r="P37" s="20" t="n">
        <v>0</v>
      </c>
      <c r="Q37" s="18" t="n">
        <v>3.79108127</v>
      </c>
      <c r="R37" s="20" t="n">
        <v>1.12555211</v>
      </c>
    </row>
    <row r="38" spans="1:18">
      <c r="A38" s="15" t="s">
        <v>598</v>
      </c>
      <c r="B38" s="17" t="n">
        <v>3053</v>
      </c>
      <c r="C38" s="18">
        <f>(2712.0/B38*100)</f>
        <v/>
      </c>
      <c r="D38" s="19" t="n">
        <v>341</v>
      </c>
      <c r="E38" s="18" t="n">
        <v>57.52893135</v>
      </c>
      <c r="F38" s="20" t="n">
        <v>3.23359396</v>
      </c>
      <c r="G38" s="18" t="n">
        <v>36.31856449</v>
      </c>
      <c r="H38" s="20" t="n">
        <v>3.41974884</v>
      </c>
      <c r="I38" s="18" t="s">
        <v>567</v>
      </c>
      <c r="J38" s="20" t="s">
        <v>567</v>
      </c>
      <c r="K38" s="18" t="n">
        <v>0</v>
      </c>
      <c r="L38" s="20" t="n">
        <v>0</v>
      </c>
      <c r="M38" s="18" t="n">
        <v>5.10980625</v>
      </c>
      <c r="N38" s="20" t="n">
        <v>1.2594869</v>
      </c>
      <c r="O38" s="18" t="n">
        <v>0</v>
      </c>
      <c r="P38" s="20" t="n">
        <v>0</v>
      </c>
      <c r="Q38" s="18" t="n">
        <v>1.0426979</v>
      </c>
      <c r="R38" s="20" t="n">
        <v>0.57526604</v>
      </c>
    </row>
    <row r="39" spans="1:18">
      <c r="A39" s="15" t="s">
        <v>599</v>
      </c>
      <c r="B39" s="17" t="n">
        <v>2957</v>
      </c>
      <c r="C39" s="18">
        <f>(2639.0/B39*100)</f>
        <v/>
      </c>
      <c r="D39" s="19" t="n">
        <v>318</v>
      </c>
      <c r="E39" s="18" t="n">
        <v>67.53987175</v>
      </c>
      <c r="F39" s="20" t="n">
        <v>3.39359906</v>
      </c>
      <c r="G39" s="18" t="n">
        <v>30.73259831</v>
      </c>
      <c r="H39" s="20" t="n">
        <v>3.55432286</v>
      </c>
      <c r="I39" s="18" t="s">
        <v>567</v>
      </c>
      <c r="J39" s="20" t="s">
        <v>567</v>
      </c>
      <c r="K39" s="18" t="n">
        <v>0</v>
      </c>
      <c r="L39" s="20" t="n">
        <v>0</v>
      </c>
      <c r="M39" s="18" t="n">
        <v>0</v>
      </c>
      <c r="N39" s="20" t="n">
        <v>0</v>
      </c>
      <c r="O39" s="18" t="n">
        <v>0</v>
      </c>
      <c r="P39" s="20" t="n">
        <v>0</v>
      </c>
      <c r="Q39" s="18" t="n">
        <v>1.72752993</v>
      </c>
      <c r="R39" s="20" t="n">
        <v>0.76056578</v>
      </c>
    </row>
    <row r="40" spans="1:18">
      <c r="A40" s="15" t="s">
        <v>600</v>
      </c>
      <c r="B40" s="17" t="n">
        <v>7235</v>
      </c>
      <c r="C40" s="18">
        <f>(6425.0/B40*100)</f>
        <v/>
      </c>
      <c r="D40" s="19" t="n">
        <v>810</v>
      </c>
      <c r="E40" s="18" t="n">
        <v>62.53537301</v>
      </c>
      <c r="F40" s="20" t="n">
        <v>2.55961452</v>
      </c>
      <c r="G40" s="18" t="n">
        <v>34.01251647</v>
      </c>
      <c r="H40" s="20" t="n">
        <v>2.43261393</v>
      </c>
      <c r="I40" s="18" t="s">
        <v>567</v>
      </c>
      <c r="J40" s="20" t="s">
        <v>567</v>
      </c>
      <c r="K40" s="18" t="n">
        <v>0.57211489</v>
      </c>
      <c r="L40" s="20" t="n">
        <v>0.34493636</v>
      </c>
      <c r="M40" s="18" t="n">
        <v>0.09414298</v>
      </c>
      <c r="N40" s="20" t="n">
        <v>0.09090048000000001</v>
      </c>
      <c r="O40" s="18" t="n">
        <v>0</v>
      </c>
      <c r="P40" s="20" t="n">
        <v>0</v>
      </c>
      <c r="Q40" s="18" t="n">
        <v>2.78585266</v>
      </c>
      <c r="R40" s="20" t="n">
        <v>1.02758576</v>
      </c>
    </row>
    <row r="41" spans="1:18">
      <c r="A41" s="15" t="s">
        <v>601</v>
      </c>
      <c r="B41" s="17" t="n">
        <v>2858</v>
      </c>
      <c r="C41" s="18">
        <f>(2555.0/B41*100)</f>
        <v/>
      </c>
      <c r="D41" s="19" t="n">
        <v>303</v>
      </c>
      <c r="E41" s="18" t="n">
        <v>57.2728816</v>
      </c>
      <c r="F41" s="20" t="n">
        <v>3.100773</v>
      </c>
      <c r="G41" s="18" t="n">
        <v>41.85053551</v>
      </c>
      <c r="H41" s="20" t="n">
        <v>3.17801186</v>
      </c>
      <c r="I41" s="18" t="s">
        <v>567</v>
      </c>
      <c r="J41" s="20" t="s">
        <v>567</v>
      </c>
      <c r="K41" s="18" t="n">
        <v>0.45063005</v>
      </c>
      <c r="L41" s="20" t="n">
        <v>0.36451207</v>
      </c>
      <c r="M41" s="18" t="n">
        <v>0</v>
      </c>
      <c r="N41" s="20" t="n">
        <v>0</v>
      </c>
      <c r="O41" s="18" t="n">
        <v>0</v>
      </c>
      <c r="P41" s="20" t="n">
        <v>0</v>
      </c>
      <c r="Q41" s="18" t="n">
        <v>0.42595284</v>
      </c>
      <c r="R41" s="20" t="n">
        <v>0.42938242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(10095.0/B46*100)</f>
        <v/>
      </c>
      <c r="D46" s="19" t="n">
        <v>973</v>
      </c>
      <c r="E46" s="18" t="n">
        <v>74.54151276</v>
      </c>
      <c r="F46" s="20" t="n">
        <v>2.0635535</v>
      </c>
      <c r="G46" s="18" t="n">
        <v>20.86879396</v>
      </c>
      <c r="H46" s="20" t="n">
        <v>2.03797506</v>
      </c>
      <c r="I46" s="18" t="s">
        <v>567</v>
      </c>
      <c r="J46" s="20" t="s">
        <v>567</v>
      </c>
      <c r="K46" s="18" t="n">
        <v>1.53859463</v>
      </c>
      <c r="L46" s="20" t="n">
        <v>0.5571121999999999</v>
      </c>
      <c r="M46" s="18" t="n">
        <v>0.20377492</v>
      </c>
      <c r="N46" s="20" t="n">
        <v>0.20328034</v>
      </c>
      <c r="O46" s="18" t="n">
        <v>0</v>
      </c>
      <c r="P46" s="20" t="n">
        <v>0</v>
      </c>
      <c r="Q46" s="18" t="n">
        <v>2.84732373</v>
      </c>
      <c r="R46" s="20" t="n">
        <v>0.6766622799999999</v>
      </c>
    </row>
    <row r="47" spans="1:18">
      <c r="A47" s="15" t="s">
        <v>607</v>
      </c>
      <c r="B47" s="17" t="n">
        <v>3105</v>
      </c>
      <c r="C47" s="18">
        <f>(2769.0/B47*100)</f>
        <v/>
      </c>
      <c r="D47" s="19" t="n">
        <v>336</v>
      </c>
      <c r="E47" s="18" t="n">
        <v>68.90239213</v>
      </c>
      <c r="F47" s="20" t="n">
        <v>3.2123053</v>
      </c>
      <c r="G47" s="18" t="n">
        <v>12.97838803</v>
      </c>
      <c r="H47" s="20" t="n">
        <v>1.88070424</v>
      </c>
      <c r="I47" s="18" t="s">
        <v>567</v>
      </c>
      <c r="J47" s="20" t="s">
        <v>567</v>
      </c>
      <c r="K47" s="18" t="n">
        <v>0</v>
      </c>
      <c r="L47" s="20" t="n">
        <v>0</v>
      </c>
      <c r="M47" s="18" t="n">
        <v>2.33010964</v>
      </c>
      <c r="N47" s="20" t="n">
        <v>0.81375864</v>
      </c>
      <c r="O47" s="18" t="n">
        <v>0</v>
      </c>
      <c r="P47" s="20" t="n">
        <v>0</v>
      </c>
      <c r="Q47" s="18" t="n">
        <v>15.7891102</v>
      </c>
      <c r="R47" s="20" t="n">
        <v>2.67062226</v>
      </c>
    </row>
    <row r="48" spans="1:18">
      <c r="A48" s="15" t="s">
        <v>608</v>
      </c>
      <c r="B48" s="17" t="n">
        <v>5159</v>
      </c>
      <c r="C48" s="18">
        <f>(4599.0/B48*100)</f>
        <v/>
      </c>
      <c r="D48" s="19" t="n">
        <v>560</v>
      </c>
      <c r="E48" s="18" t="n">
        <v>56.51584889</v>
      </c>
      <c r="F48" s="20" t="n">
        <v>2.77005859</v>
      </c>
      <c r="G48" s="18" t="n">
        <v>43.14793324</v>
      </c>
      <c r="H48" s="20" t="n">
        <v>2.76282051</v>
      </c>
      <c r="I48" s="18" t="s">
        <v>567</v>
      </c>
      <c r="J48" s="20" t="s">
        <v>567</v>
      </c>
      <c r="K48" s="18" t="n">
        <v>0.33492136</v>
      </c>
      <c r="L48" s="20" t="n">
        <v>0.23832351</v>
      </c>
      <c r="M48" s="18" t="n">
        <v>0</v>
      </c>
      <c r="N48" s="20" t="n">
        <v>0</v>
      </c>
      <c r="O48" s="18" t="n">
        <v>0</v>
      </c>
      <c r="P48" s="20" t="n">
        <v>0</v>
      </c>
      <c r="Q48" s="18" t="n">
        <v>0.00129651</v>
      </c>
      <c r="R48" s="20" t="n">
        <v>0.00130105</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(5038.0/B50*100)</f>
        <v/>
      </c>
      <c r="D50" s="19" t="n">
        <v>599</v>
      </c>
      <c r="E50" s="18" t="n">
        <v>68.29176871</v>
      </c>
      <c r="F50" s="20" t="n">
        <v>2.55276314</v>
      </c>
      <c r="G50" s="18" t="n">
        <v>28.17892654</v>
      </c>
      <c r="H50" s="20" t="n">
        <v>2.42117735</v>
      </c>
      <c r="I50" s="18" t="s">
        <v>567</v>
      </c>
      <c r="J50" s="20" t="s">
        <v>567</v>
      </c>
      <c r="K50" s="18" t="n">
        <v>2.63882062</v>
      </c>
      <c r="L50" s="20" t="n">
        <v>1.32569263</v>
      </c>
      <c r="M50" s="18" t="n">
        <v>0.06277774</v>
      </c>
      <c r="N50" s="20" t="n">
        <v>0.05414804</v>
      </c>
      <c r="O50" s="18" t="n">
        <v>0</v>
      </c>
      <c r="P50" s="20" t="n">
        <v>0</v>
      </c>
      <c r="Q50" s="18" t="n">
        <v>0.82770639</v>
      </c>
      <c r="R50" s="20" t="n">
        <v>0.35657064</v>
      </c>
    </row>
    <row r="51" spans="1:18">
      <c r="A51" s="15" t="s">
        <v>611</v>
      </c>
      <c r="B51" s="17" t="n">
        <v>3372</v>
      </c>
      <c r="C51" s="18">
        <f>(3049.0/B51*100)</f>
        <v/>
      </c>
      <c r="D51" s="19" t="n">
        <v>323</v>
      </c>
      <c r="E51" s="18" t="n">
        <v>69.82772124</v>
      </c>
      <c r="F51" s="20" t="n">
        <v>2.90727279</v>
      </c>
      <c r="G51" s="18" t="n">
        <v>27.55786652</v>
      </c>
      <c r="H51" s="20" t="n">
        <v>2.84039321</v>
      </c>
      <c r="I51" s="18" t="s">
        <v>567</v>
      </c>
      <c r="J51" s="20" t="s">
        <v>567</v>
      </c>
      <c r="K51" s="18" t="n">
        <v>0.35136404</v>
      </c>
      <c r="L51" s="20" t="n">
        <v>0.34897476</v>
      </c>
      <c r="M51" s="18" t="n">
        <v>0.69644257</v>
      </c>
      <c r="N51" s="20" t="n">
        <v>0.67762213</v>
      </c>
      <c r="O51" s="18" t="n">
        <v>0</v>
      </c>
      <c r="P51" s="20" t="n">
        <v>0</v>
      </c>
      <c r="Q51" s="18" t="n">
        <v>1.56660563</v>
      </c>
      <c r="R51" s="20" t="n">
        <v>0.63999717</v>
      </c>
    </row>
    <row r="52" spans="1:18">
      <c r="A52" s="15" t="s">
        <v>612</v>
      </c>
      <c r="B52" s="17" t="n">
        <v>2796</v>
      </c>
      <c r="C52" s="18">
        <f>(2478.0/B52*100)</f>
        <v/>
      </c>
      <c r="D52" s="19" t="n">
        <v>318</v>
      </c>
      <c r="E52" s="18" t="n">
        <v>58.37407588</v>
      </c>
      <c r="F52" s="20" t="n">
        <v>3.04384223</v>
      </c>
      <c r="G52" s="18" t="n">
        <v>38.74825432</v>
      </c>
      <c r="H52" s="20" t="n">
        <v>2.95260908</v>
      </c>
      <c r="I52" s="18" t="s">
        <v>567</v>
      </c>
      <c r="J52" s="20" t="s">
        <v>567</v>
      </c>
      <c r="K52" s="18" t="n">
        <v>0.32137366</v>
      </c>
      <c r="L52" s="20" t="n">
        <v>0.31399922</v>
      </c>
      <c r="M52" s="18" t="n">
        <v>0</v>
      </c>
      <c r="N52" s="20" t="n">
        <v>0</v>
      </c>
      <c r="O52" s="18" t="n">
        <v>0</v>
      </c>
      <c r="P52" s="20" t="n">
        <v>0</v>
      </c>
      <c r="Q52" s="18" t="n">
        <v>2.55629613</v>
      </c>
      <c r="R52" s="20" t="n">
        <v>1.11488641</v>
      </c>
    </row>
    <row r="53" spans="1:18">
      <c r="A53" s="15" t="s">
        <v>613</v>
      </c>
      <c r="B53" s="17" t="n">
        <v>2811</v>
      </c>
      <c r="C53" s="18">
        <f>(2494.0/B53*100)</f>
        <v/>
      </c>
      <c r="D53" s="19" t="n">
        <v>317</v>
      </c>
      <c r="E53" s="18" t="n">
        <v>74.02738038</v>
      </c>
      <c r="F53" s="20" t="n">
        <v>2.27441644</v>
      </c>
      <c r="G53" s="18" t="n">
        <v>22.44410259</v>
      </c>
      <c r="H53" s="20" t="n">
        <v>2.34076047</v>
      </c>
      <c r="I53" s="18" t="s">
        <v>567</v>
      </c>
      <c r="J53" s="20" t="s">
        <v>567</v>
      </c>
      <c r="K53" s="18" t="n">
        <v>0.94234177</v>
      </c>
      <c r="L53" s="20" t="n">
        <v>0.47140979</v>
      </c>
      <c r="M53" s="18" t="n">
        <v>0.45003668</v>
      </c>
      <c r="N53" s="20" t="n">
        <v>0.45101961</v>
      </c>
      <c r="O53" s="18" t="n">
        <v>0</v>
      </c>
      <c r="P53" s="20" t="n">
        <v>0</v>
      </c>
      <c r="Q53" s="18" t="n">
        <v>2.13613858</v>
      </c>
      <c r="R53" s="20" t="n">
        <v>0.85541177</v>
      </c>
    </row>
    <row r="54" spans="1:18">
      <c r="A54" s="15" t="s">
        <v>614</v>
      </c>
      <c r="B54" s="17" t="n">
        <v>2266</v>
      </c>
      <c r="C54" s="18">
        <f>(2017.0/B54*100)</f>
        <v/>
      </c>
      <c r="D54" s="19" t="n">
        <v>249</v>
      </c>
      <c r="E54" s="18" t="n">
        <v>74.27983447</v>
      </c>
      <c r="F54" s="20" t="n">
        <v>3.48781536</v>
      </c>
      <c r="G54" s="18" t="n">
        <v>7.97295092</v>
      </c>
      <c r="H54" s="20" t="n">
        <v>1.81273901</v>
      </c>
      <c r="I54" s="18" t="s">
        <v>567</v>
      </c>
      <c r="J54" s="20" t="s">
        <v>567</v>
      </c>
      <c r="K54" s="18" t="n">
        <v>12.35471779</v>
      </c>
      <c r="L54" s="20" t="n">
        <v>2.0992938</v>
      </c>
      <c r="M54" s="18" t="n">
        <v>0.76183614</v>
      </c>
      <c r="N54" s="20" t="n">
        <v>0.53013621</v>
      </c>
      <c r="O54" s="18" t="n">
        <v>0</v>
      </c>
      <c r="P54" s="20" t="n">
        <v>0</v>
      </c>
      <c r="Q54" s="18" t="n">
        <v>4.63066069</v>
      </c>
      <c r="R54" s="20" t="n">
        <v>1.78628624</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(2392.0/B56*100)</f>
        <v/>
      </c>
      <c r="D56" s="19" t="n">
        <v>292</v>
      </c>
      <c r="E56" s="18" t="n">
        <v>47.71317609</v>
      </c>
      <c r="F56" s="20" t="n">
        <v>3.48962265</v>
      </c>
      <c r="G56" s="18" t="n">
        <v>51.86327093</v>
      </c>
      <c r="H56" s="20" t="n">
        <v>3.38975754</v>
      </c>
      <c r="I56" s="18" t="s">
        <v>567</v>
      </c>
      <c r="J56" s="20" t="s">
        <v>567</v>
      </c>
      <c r="K56" s="18" t="n">
        <v>0</v>
      </c>
      <c r="L56" s="20" t="n">
        <v>0</v>
      </c>
      <c r="M56" s="18" t="n">
        <v>0</v>
      </c>
      <c r="N56" s="20" t="n">
        <v>0</v>
      </c>
      <c r="O56" s="18" t="n">
        <v>0</v>
      </c>
      <c r="P56" s="20" t="n">
        <v>0</v>
      </c>
      <c r="Q56" s="18" t="n">
        <v>0.42355298</v>
      </c>
      <c r="R56" s="20" t="n">
        <v>0.41943202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(2981.0/B61*100)</f>
        <v/>
      </c>
      <c r="D61" s="19" t="n">
        <v>343</v>
      </c>
      <c r="E61" s="18" t="n">
        <v>51.92063354</v>
      </c>
      <c r="F61" s="20" t="n">
        <v>2.99310812</v>
      </c>
      <c r="G61" s="18" t="n">
        <v>47.36461216</v>
      </c>
      <c r="H61" s="20" t="n">
        <v>2.94223248</v>
      </c>
      <c r="I61" s="18" t="s">
        <v>567</v>
      </c>
      <c r="J61" s="20" t="s">
        <v>567</v>
      </c>
      <c r="K61" s="18" t="n">
        <v>0</v>
      </c>
      <c r="L61" s="20" t="n">
        <v>0</v>
      </c>
      <c r="M61" s="18" t="n">
        <v>0</v>
      </c>
      <c r="N61" s="20" t="n">
        <v>0</v>
      </c>
      <c r="O61" s="18" t="n">
        <v>0</v>
      </c>
      <c r="P61" s="20" t="n">
        <v>0</v>
      </c>
      <c r="Q61" s="18" t="n">
        <v>0.71475431</v>
      </c>
      <c r="R61" s="20" t="n">
        <v>0.49939953</v>
      </c>
    </row>
    <row r="62" spans="1:18">
      <c r="A62" s="15" t="s">
        <v>622</v>
      </c>
      <c r="B62" s="17" t="n">
        <v>2246</v>
      </c>
      <c r="C62" s="18">
        <f>(1998.0/B62*100)</f>
        <v/>
      </c>
      <c r="D62" s="19" t="n">
        <v>248</v>
      </c>
      <c r="E62" s="18" t="n">
        <v>53.68597558</v>
      </c>
      <c r="F62" s="20" t="n">
        <v>3.4507489</v>
      </c>
      <c r="G62" s="18" t="n">
        <v>44.67058877</v>
      </c>
      <c r="H62" s="20" t="n">
        <v>3.52018603</v>
      </c>
      <c r="I62" s="18" t="s">
        <v>567</v>
      </c>
      <c r="J62" s="20" t="s">
        <v>567</v>
      </c>
      <c r="K62" s="18" t="n">
        <v>0</v>
      </c>
      <c r="L62" s="20" t="n">
        <v>0</v>
      </c>
      <c r="M62" s="18" t="n">
        <v>0</v>
      </c>
      <c r="N62" s="20" t="n">
        <v>0</v>
      </c>
      <c r="O62" s="18" t="n">
        <v>0</v>
      </c>
      <c r="P62" s="20" t="n">
        <v>0</v>
      </c>
      <c r="Q62" s="18" t="n">
        <v>1.64343565</v>
      </c>
      <c r="R62" s="20" t="n">
        <v>0.81347948</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(2597.0/B66*100)</f>
        <v/>
      </c>
      <c r="D66" s="19" t="n">
        <v>297</v>
      </c>
      <c r="E66" s="18" t="n">
        <v>68.09654517</v>
      </c>
      <c r="F66" s="20" t="n">
        <v>3.02616506</v>
      </c>
      <c r="G66" s="18" t="n">
        <v>27.937174</v>
      </c>
      <c r="H66" s="20" t="n">
        <v>2.76942379</v>
      </c>
      <c r="I66" s="18" t="s">
        <v>567</v>
      </c>
      <c r="J66" s="20" t="s">
        <v>567</v>
      </c>
      <c r="K66" s="18" t="n">
        <v>0</v>
      </c>
      <c r="L66" s="20" t="n">
        <v>0</v>
      </c>
      <c r="M66" s="18" t="n">
        <v>0.63996845</v>
      </c>
      <c r="N66" s="20" t="n">
        <v>0.44316041</v>
      </c>
      <c r="O66" s="18" t="n">
        <v>0</v>
      </c>
      <c r="P66" s="20" t="n">
        <v>0</v>
      </c>
      <c r="Q66" s="18" t="n">
        <v>3.32631238</v>
      </c>
      <c r="R66" s="20" t="n">
        <v>1.09401394</v>
      </c>
    </row>
    <row r="67" spans="1:18">
      <c r="A67" s="15" t="s">
        <v>627</v>
      </c>
      <c r="B67" s="17" t="n">
        <v>3511</v>
      </c>
      <c r="C67" s="18">
        <f>(3158.0/B67*100)</f>
        <v/>
      </c>
      <c r="D67" s="19" t="n">
        <v>353</v>
      </c>
      <c r="E67" s="18" t="n">
        <v>71.82040248</v>
      </c>
      <c r="F67" s="20" t="n">
        <v>2.3367022</v>
      </c>
      <c r="G67" s="18" t="n">
        <v>26.30736869</v>
      </c>
      <c r="H67" s="20" t="n">
        <v>2.31222659</v>
      </c>
      <c r="I67" s="18" t="s">
        <v>567</v>
      </c>
      <c r="J67" s="20" t="s">
        <v>567</v>
      </c>
      <c r="K67" s="18" t="n">
        <v>0.45992831</v>
      </c>
      <c r="L67" s="20" t="n">
        <v>0.32467937</v>
      </c>
      <c r="M67" s="18" t="n">
        <v>0</v>
      </c>
      <c r="N67" s="20" t="n">
        <v>0</v>
      </c>
      <c r="O67" s="18" t="n">
        <v>0</v>
      </c>
      <c r="P67" s="20" t="n">
        <v>0</v>
      </c>
      <c r="Q67" s="18" t="n">
        <v>1.41230052</v>
      </c>
      <c r="R67" s="20" t="n">
        <v>0.5447303100000001</v>
      </c>
    </row>
    <row r="68" spans="1:18">
      <c r="A68" s="15" t="s">
        <v>628</v>
      </c>
      <c r="B68" s="17" t="n">
        <v>6049</v>
      </c>
      <c r="C68" s="18">
        <f>(5385.0/B68*100)</f>
        <v/>
      </c>
      <c r="D68" s="19" t="n">
        <v>664</v>
      </c>
      <c r="E68" s="18" t="n">
        <v>82.38612487</v>
      </c>
      <c r="F68" s="20" t="n">
        <v>1.63081745</v>
      </c>
      <c r="G68" s="18" t="n">
        <v>11.37190552</v>
      </c>
      <c r="H68" s="20" t="n">
        <v>1.35541417</v>
      </c>
      <c r="I68" s="18" t="s">
        <v>567</v>
      </c>
      <c r="J68" s="20" t="s">
        <v>567</v>
      </c>
      <c r="K68" s="18" t="n">
        <v>2.52437037</v>
      </c>
      <c r="L68" s="20" t="n">
        <v>0.67983561</v>
      </c>
      <c r="M68" s="18" t="n">
        <v>0</v>
      </c>
      <c r="N68" s="20" t="n">
        <v>0</v>
      </c>
      <c r="O68" s="18" t="n">
        <v>0</v>
      </c>
      <c r="P68" s="20" t="n">
        <v>0</v>
      </c>
      <c r="Q68" s="18" t="n">
        <v>3.71759924</v>
      </c>
      <c r="R68" s="20" t="n">
        <v>0.73669864</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(2610.0/B70*100)</f>
        <v/>
      </c>
      <c r="D70" s="19" t="n">
        <v>319</v>
      </c>
      <c r="E70" s="18" t="n">
        <v>51.84141757</v>
      </c>
      <c r="F70" s="20" t="n">
        <v>3.68948286</v>
      </c>
      <c r="G70" s="18" t="n">
        <v>46.44538997</v>
      </c>
      <c r="H70" s="20" t="n">
        <v>3.8071951</v>
      </c>
      <c r="I70" s="18" t="s">
        <v>567</v>
      </c>
      <c r="J70" s="20" t="s">
        <v>567</v>
      </c>
      <c r="K70" s="18" t="n">
        <v>0.78844819</v>
      </c>
      <c r="L70" s="20" t="n">
        <v>0.43579853</v>
      </c>
      <c r="M70" s="18" t="n">
        <v>0</v>
      </c>
      <c r="N70" s="20" t="n">
        <v>0</v>
      </c>
      <c r="O70" s="18" t="n">
        <v>0</v>
      </c>
      <c r="P70" s="20" t="n">
        <v>0</v>
      </c>
      <c r="Q70" s="18" t="n">
        <v>0.92474427</v>
      </c>
      <c r="R70" s="20" t="n">
        <v>0.51742518</v>
      </c>
    </row>
    <row r="71" spans="1:18">
      <c r="A71" s="15" t="s">
        <v>631</v>
      </c>
      <c r="B71" s="17" t="n">
        <v>3142</v>
      </c>
      <c r="C71" s="18">
        <f>(2801.0/B71*100)</f>
        <v/>
      </c>
      <c r="D71" s="19" t="n">
        <v>341</v>
      </c>
      <c r="E71" s="18" t="n">
        <v>51.13401871</v>
      </c>
      <c r="F71" s="20" t="n">
        <v>2.83135687</v>
      </c>
      <c r="G71" s="18" t="n">
        <v>47.58293704</v>
      </c>
      <c r="H71" s="20" t="n">
        <v>2.83722586</v>
      </c>
      <c r="I71" s="18" t="s">
        <v>567</v>
      </c>
      <c r="J71" s="20" t="s">
        <v>567</v>
      </c>
      <c r="K71" s="18" t="n">
        <v>0</v>
      </c>
      <c r="L71" s="20" t="n">
        <v>0</v>
      </c>
      <c r="M71" s="18" t="n">
        <v>0</v>
      </c>
      <c r="N71" s="20" t="n">
        <v>0</v>
      </c>
      <c r="O71" s="18" t="n">
        <v>0</v>
      </c>
      <c r="P71" s="20" t="n">
        <v>0</v>
      </c>
      <c r="Q71" s="18" t="n">
        <v>1.28304425</v>
      </c>
      <c r="R71" s="20" t="n">
        <v>0.60989399</v>
      </c>
    </row>
    <row r="72" spans="1:18">
      <c r="A72" s="15" t="s">
        <v>632</v>
      </c>
      <c r="B72" s="17" t="n">
        <v>3889</v>
      </c>
      <c r="C72" s="18">
        <f>(3449.0/B72*100)</f>
        <v/>
      </c>
      <c r="D72" s="19" t="n">
        <v>440</v>
      </c>
      <c r="E72" s="18" t="n">
        <v>46.62878627</v>
      </c>
      <c r="F72" s="20" t="n">
        <v>2.69380867</v>
      </c>
      <c r="G72" s="18" t="n">
        <v>52.57731588</v>
      </c>
      <c r="H72" s="20" t="n">
        <v>2.76946939</v>
      </c>
      <c r="I72" s="18" t="s">
        <v>567</v>
      </c>
      <c r="J72" s="20" t="s">
        <v>567</v>
      </c>
      <c r="K72" s="18" t="n">
        <v>0.30110292</v>
      </c>
      <c r="L72" s="20" t="n">
        <v>0.30243754</v>
      </c>
      <c r="M72" s="18" t="n">
        <v>0</v>
      </c>
      <c r="N72" s="20" t="n">
        <v>0</v>
      </c>
      <c r="O72" s="18" t="n">
        <v>0</v>
      </c>
      <c r="P72" s="20" t="n">
        <v>0</v>
      </c>
      <c r="Q72" s="18" t="n">
        <v>0.49279493</v>
      </c>
      <c r="R72" s="20" t="n">
        <v>0.34787225</v>
      </c>
    </row>
    <row r="73" spans="1:18">
      <c r="A73" s="15" t="s">
        <v>633</v>
      </c>
      <c r="B73" s="17" t="n">
        <v>3597</v>
      </c>
      <c r="C73" s="18">
        <f>(3239.0/B73*100)</f>
        <v/>
      </c>
      <c r="D73" s="19" t="n">
        <v>358</v>
      </c>
      <c r="E73" s="18" t="n">
        <v>72.4350932</v>
      </c>
      <c r="F73" s="20" t="n">
        <v>3.15876354</v>
      </c>
      <c r="G73" s="18" t="n">
        <v>26.43795178</v>
      </c>
      <c r="H73" s="20" t="n">
        <v>3.02824446</v>
      </c>
      <c r="I73" s="18" t="s">
        <v>567</v>
      </c>
      <c r="J73" s="20" t="s">
        <v>567</v>
      </c>
      <c r="K73" s="18" t="n">
        <v>0</v>
      </c>
      <c r="L73" s="20" t="n">
        <v>0</v>
      </c>
      <c r="M73" s="18" t="n">
        <v>0</v>
      </c>
      <c r="N73" s="20" t="n">
        <v>0</v>
      </c>
      <c r="O73" s="18" t="n">
        <v>0</v>
      </c>
      <c r="P73" s="20" t="n">
        <v>0</v>
      </c>
      <c r="Q73" s="18" t="n">
        <v>1.12695502</v>
      </c>
      <c r="R73" s="20" t="n">
        <v>0.71070714</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(2177.0/B75*100)</f>
        <v/>
      </c>
      <c r="D75" s="19" t="n">
        <v>229</v>
      </c>
      <c r="E75" s="18" t="n">
        <v>89.28882007</v>
      </c>
      <c r="F75" s="20" t="n">
        <v>2.05659382</v>
      </c>
      <c r="G75" s="18" t="n">
        <v>6.7682172</v>
      </c>
      <c r="H75" s="20" t="n">
        <v>1.54092435</v>
      </c>
      <c r="I75" s="18" t="s">
        <v>567</v>
      </c>
      <c r="J75" s="20" t="s">
        <v>567</v>
      </c>
      <c r="K75" s="18" t="n">
        <v>2.19408916</v>
      </c>
      <c r="L75" s="20" t="n">
        <v>0.9541497799999999</v>
      </c>
      <c r="M75" s="18" t="n">
        <v>0.50827313</v>
      </c>
      <c r="N75" s="20" t="n">
        <v>0.50934565</v>
      </c>
      <c r="O75" s="18" t="n">
        <v>0</v>
      </c>
      <c r="P75" s="20" t="n">
        <v>0</v>
      </c>
      <c r="Q75" s="18" t="n">
        <v>1.24060045</v>
      </c>
      <c r="R75" s="20" t="n">
        <v>0.6988675</v>
      </c>
    </row>
    <row r="76" spans="1:18">
      <c r="A76" s="15" t="s">
        <v>636</v>
      </c>
      <c r="B76" s="17" t="n">
        <v>7052</v>
      </c>
      <c r="C76" s="18">
        <f>(6259.0/B76*100)</f>
        <v/>
      </c>
      <c r="D76" s="19" t="n">
        <v>793</v>
      </c>
      <c r="E76" s="18" t="n">
        <v>81.15518261</v>
      </c>
      <c r="F76" s="20" t="n">
        <v>1.67534051</v>
      </c>
      <c r="G76" s="18" t="n">
        <v>13.75583664</v>
      </c>
      <c r="H76" s="20" t="n">
        <v>1.52153257</v>
      </c>
      <c r="I76" s="18" t="s">
        <v>567</v>
      </c>
      <c r="J76" s="20" t="s">
        <v>567</v>
      </c>
      <c r="K76" s="18" t="n">
        <v>1.45941565</v>
      </c>
      <c r="L76" s="20" t="n">
        <v>0.5682554399999999</v>
      </c>
      <c r="M76" s="18" t="n">
        <v>0.06542756</v>
      </c>
      <c r="N76" s="20" t="n">
        <v>0.06572157000000001</v>
      </c>
      <c r="O76" s="18" t="n">
        <v>0</v>
      </c>
      <c r="P76" s="20" t="n">
        <v>0</v>
      </c>
      <c r="Q76" s="18" t="n">
        <v>3.56413754</v>
      </c>
      <c r="R76" s="20" t="n">
        <v>0.7650191</v>
      </c>
    </row>
    <row r="77" spans="1:18">
      <c r="A77" s="15" t="s">
        <v>637</v>
      </c>
      <c r="B77" s="17" t="n">
        <v>2908</v>
      </c>
      <c r="C77" s="18">
        <f>(2592.0/B77*100)</f>
        <v/>
      </c>
      <c r="D77" s="19" t="n">
        <v>316</v>
      </c>
      <c r="E77" s="18" t="n">
        <v>62.51810108</v>
      </c>
      <c r="F77" s="20" t="n">
        <v>3.03684352</v>
      </c>
      <c r="G77" s="18" t="n">
        <v>32.5345354</v>
      </c>
      <c r="H77" s="20" t="n">
        <v>2.81814053</v>
      </c>
      <c r="I77" s="18" t="s">
        <v>567</v>
      </c>
      <c r="J77" s="20" t="s">
        <v>567</v>
      </c>
      <c r="K77" s="18" t="n">
        <v>0.93818152</v>
      </c>
      <c r="L77" s="20" t="n">
        <v>0.55255496</v>
      </c>
      <c r="M77" s="18" t="n">
        <v>0</v>
      </c>
      <c r="N77" s="20" t="n">
        <v>0</v>
      </c>
      <c r="O77" s="18" t="n">
        <v>0</v>
      </c>
      <c r="P77" s="20" t="n">
        <v>0</v>
      </c>
      <c r="Q77" s="18" t="n">
        <v>4.009182</v>
      </c>
      <c r="R77" s="20" t="n">
        <v>1.30821911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(3729.0/B81*100)</f>
        <v/>
      </c>
      <c r="D81" s="19" t="n">
        <v>434</v>
      </c>
      <c r="E81" s="18" t="n">
        <v>79.16784693</v>
      </c>
      <c r="F81" s="20" t="n">
        <v>2.05108185</v>
      </c>
      <c r="G81" s="18" t="n">
        <v>20.04830898</v>
      </c>
      <c r="H81" s="20" t="n">
        <v>2.06503192</v>
      </c>
      <c r="I81" s="18" t="s">
        <v>567</v>
      </c>
      <c r="J81" s="20" t="s">
        <v>567</v>
      </c>
      <c r="K81" s="18" t="n">
        <v>0</v>
      </c>
      <c r="L81" s="20" t="n">
        <v>0</v>
      </c>
      <c r="M81" s="18" t="n">
        <v>0</v>
      </c>
      <c r="N81" s="20" t="n">
        <v>0</v>
      </c>
      <c r="O81" s="18" t="n">
        <v>0</v>
      </c>
      <c r="P81" s="20" t="n">
        <v>0</v>
      </c>
      <c r="Q81" s="18" t="n">
        <v>0.78384409</v>
      </c>
      <c r="R81" s="20" t="n">
        <v>0.48547218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(6561.0/B7*100)</f>
        <v/>
      </c>
      <c r="D7" s="19" t="n">
        <v>806</v>
      </c>
      <c r="E7" s="18" t="n">
        <v>45.11511763</v>
      </c>
      <c r="F7" s="20" t="n">
        <v>2.00204922</v>
      </c>
      <c r="G7" s="18" t="n">
        <v>48.81665797</v>
      </c>
      <c r="H7" s="20" t="n">
        <v>1.98456504</v>
      </c>
      <c r="I7" s="18" t="s">
        <v>567</v>
      </c>
      <c r="J7" s="20" t="s">
        <v>567</v>
      </c>
      <c r="K7" s="18" t="n">
        <v>0.07517919000000001</v>
      </c>
      <c r="L7" s="20" t="n">
        <v>0.07311798</v>
      </c>
      <c r="M7" s="18" t="n">
        <v>0.20265339</v>
      </c>
      <c r="N7" s="20" t="n">
        <v>0.17318732</v>
      </c>
      <c r="O7" s="18" t="n">
        <v>0</v>
      </c>
      <c r="P7" s="20" t="n">
        <v>0</v>
      </c>
      <c r="Q7" s="18" t="n">
        <v>5.79039182</v>
      </c>
      <c r="R7" s="20" t="n">
        <v>0.86849702</v>
      </c>
    </row>
    <row r="8" spans="1:18">
      <c r="A8" s="15" t="s">
        <v>568</v>
      </c>
      <c r="B8" s="17" t="n">
        <v>3564</v>
      </c>
      <c r="C8" s="18">
        <f>(3162.0/B8*100)</f>
        <v/>
      </c>
      <c r="D8" s="19" t="n">
        <v>402</v>
      </c>
      <c r="E8" s="18" t="n">
        <v>34.77492347</v>
      </c>
      <c r="F8" s="20" t="n">
        <v>2.3146898</v>
      </c>
      <c r="G8" s="18" t="n">
        <v>59.34866011</v>
      </c>
      <c r="H8" s="20" t="n">
        <v>2.39254229</v>
      </c>
      <c r="I8" s="18" t="s">
        <v>567</v>
      </c>
      <c r="J8" s="20" t="s">
        <v>567</v>
      </c>
      <c r="K8" s="18" t="n">
        <v>0.29912443</v>
      </c>
      <c r="L8" s="20" t="n">
        <v>0.45603314</v>
      </c>
      <c r="M8" s="18" t="n">
        <v>0</v>
      </c>
      <c r="N8" s="20" t="n">
        <v>0</v>
      </c>
      <c r="O8" s="18" t="n">
        <v>0</v>
      </c>
      <c r="P8" s="20" t="n">
        <v>0</v>
      </c>
      <c r="Q8" s="18" t="n">
        <v>5.57729199</v>
      </c>
      <c r="R8" s="20" t="n">
        <v>1.19598508</v>
      </c>
    </row>
    <row r="9" spans="1:18">
      <c r="A9" s="15" t="s">
        <v>569</v>
      </c>
      <c r="B9" s="17" t="n">
        <v>4899</v>
      </c>
      <c r="C9" s="18">
        <f>(4424.0/B9*100)</f>
        <v/>
      </c>
      <c r="D9" s="19" t="n">
        <v>475</v>
      </c>
      <c r="E9" s="18" t="n">
        <v>32.91765497</v>
      </c>
      <c r="F9" s="20" t="n">
        <v>1.96064324</v>
      </c>
      <c r="G9" s="18" t="n">
        <v>61.94488009</v>
      </c>
      <c r="H9" s="20" t="n">
        <v>2.09548142</v>
      </c>
      <c r="I9" s="18" t="s">
        <v>567</v>
      </c>
      <c r="J9" s="20" t="s">
        <v>567</v>
      </c>
      <c r="K9" s="18" t="n">
        <v>0.19915706</v>
      </c>
      <c r="L9" s="20" t="n">
        <v>0.19961846</v>
      </c>
      <c r="M9" s="18" t="n">
        <v>0.88296748</v>
      </c>
      <c r="N9" s="20" t="n">
        <v>0.30990297</v>
      </c>
      <c r="O9" s="18" t="n">
        <v>0</v>
      </c>
      <c r="P9" s="20" t="n">
        <v>0</v>
      </c>
      <c r="Q9" s="18" t="n">
        <v>4.0553404</v>
      </c>
      <c r="R9" s="20" t="n">
        <v>0.98062779</v>
      </c>
    </row>
    <row r="10" spans="1:18">
      <c r="A10" s="15" t="s">
        <v>570</v>
      </c>
      <c r="B10" s="17" t="n">
        <v>10036</v>
      </c>
      <c r="C10" s="18">
        <f>(8967.0/B10*100)</f>
        <v/>
      </c>
      <c r="D10" s="19" t="n">
        <v>1069</v>
      </c>
      <c r="E10" s="18" t="n">
        <v>37.76341135</v>
      </c>
      <c r="F10" s="20" t="n">
        <v>2.11718674</v>
      </c>
      <c r="G10" s="18" t="n">
        <v>57.28728268</v>
      </c>
      <c r="H10" s="20" t="n">
        <v>2.00579379</v>
      </c>
      <c r="I10" s="18" t="s">
        <v>567</v>
      </c>
      <c r="J10" s="20" t="s">
        <v>567</v>
      </c>
      <c r="K10" s="18" t="n">
        <v>0.2480228</v>
      </c>
      <c r="L10" s="20" t="n">
        <v>0.18269285</v>
      </c>
      <c r="M10" s="18" t="n">
        <v>0</v>
      </c>
      <c r="N10" s="20" t="n">
        <v>0</v>
      </c>
      <c r="O10" s="18" t="n">
        <v>0</v>
      </c>
      <c r="P10" s="20" t="n">
        <v>0</v>
      </c>
      <c r="Q10" s="18" t="n">
        <v>4.70128317</v>
      </c>
      <c r="R10" s="20" t="n">
        <v>0.86095623</v>
      </c>
    </row>
    <row r="11" spans="1:18">
      <c r="A11" s="15" t="s">
        <v>571</v>
      </c>
      <c r="B11" s="17" t="n">
        <v>3553</v>
      </c>
      <c r="C11" s="18">
        <f>(3167.0/B11*100)</f>
        <v/>
      </c>
      <c r="D11" s="19" t="n">
        <v>386</v>
      </c>
      <c r="E11" s="18" t="n">
        <v>41.15597278</v>
      </c>
      <c r="F11" s="20" t="n">
        <v>2.55328375</v>
      </c>
      <c r="G11" s="18" t="n">
        <v>51.482127</v>
      </c>
      <c r="H11" s="20" t="n">
        <v>2.84982628</v>
      </c>
      <c r="I11" s="18" t="s">
        <v>567</v>
      </c>
      <c r="J11" s="20" t="s">
        <v>567</v>
      </c>
      <c r="K11" s="18" t="n">
        <v>0</v>
      </c>
      <c r="L11" s="20" t="n">
        <v>0</v>
      </c>
      <c r="M11" s="18" t="n">
        <v>0</v>
      </c>
      <c r="N11" s="20" t="n">
        <v>0</v>
      </c>
      <c r="O11" s="18" t="n">
        <v>0</v>
      </c>
      <c r="P11" s="20" t="n">
        <v>0</v>
      </c>
      <c r="Q11" s="18" t="n">
        <v>7.36190022</v>
      </c>
      <c r="R11" s="20" t="n">
        <v>2.07538339</v>
      </c>
    </row>
    <row r="12" spans="1:18">
      <c r="A12" s="15" t="s">
        <v>572</v>
      </c>
      <c r="B12" s="17" t="n">
        <v>3472</v>
      </c>
      <c r="C12" s="18">
        <f>(3099.0/B12*100)</f>
        <v/>
      </c>
      <c r="D12" s="19" t="n">
        <v>373</v>
      </c>
      <c r="E12" s="18" t="n">
        <v>35.62033838</v>
      </c>
      <c r="F12" s="20" t="n">
        <v>2.63367022</v>
      </c>
      <c r="G12" s="18" t="n">
        <v>60.27001851</v>
      </c>
      <c r="H12" s="20" t="n">
        <v>2.84648076</v>
      </c>
      <c r="I12" s="18" t="s">
        <v>567</v>
      </c>
      <c r="J12" s="20" t="s">
        <v>567</v>
      </c>
      <c r="K12" s="18" t="n">
        <v>0</v>
      </c>
      <c r="L12" s="20" t="n">
        <v>0</v>
      </c>
      <c r="M12" s="18" t="n">
        <v>0.15294461</v>
      </c>
      <c r="N12" s="20" t="n">
        <v>0.20628887</v>
      </c>
      <c r="O12" s="18" t="n">
        <v>0</v>
      </c>
      <c r="P12" s="20" t="n">
        <v>0</v>
      </c>
      <c r="Q12" s="18" t="n">
        <v>3.9566985</v>
      </c>
      <c r="R12" s="20" t="n">
        <v>0.93940198</v>
      </c>
    </row>
    <row r="13" spans="1:18">
      <c r="A13" s="15" t="s">
        <v>573</v>
      </c>
      <c r="B13" s="17" t="n">
        <v>3559</v>
      </c>
      <c r="C13" s="18">
        <f>(3191.0/B13*100)</f>
        <v/>
      </c>
      <c r="D13" s="19" t="n">
        <v>368</v>
      </c>
      <c r="E13" s="18" t="n">
        <v>57.00307622</v>
      </c>
      <c r="F13" s="20" t="n">
        <v>3.06403798</v>
      </c>
      <c r="G13" s="18" t="n">
        <v>36.48478562</v>
      </c>
      <c r="H13" s="20" t="n">
        <v>2.91705312</v>
      </c>
      <c r="I13" s="18" t="s">
        <v>567</v>
      </c>
      <c r="J13" s="20" t="s">
        <v>567</v>
      </c>
      <c r="K13" s="18" t="n">
        <v>0.31728808</v>
      </c>
      <c r="L13" s="20" t="n">
        <v>0.22837537</v>
      </c>
      <c r="M13" s="18" t="n">
        <v>0</v>
      </c>
      <c r="N13" s="20" t="n">
        <v>0</v>
      </c>
      <c r="O13" s="18" t="n">
        <v>0</v>
      </c>
      <c r="P13" s="20" t="n">
        <v>0</v>
      </c>
      <c r="Q13" s="18" t="n">
        <v>6.19485007</v>
      </c>
      <c r="R13" s="20" t="n">
        <v>1.52387275</v>
      </c>
    </row>
    <row r="14" spans="1:18">
      <c r="A14" s="15" t="s">
        <v>574</v>
      </c>
      <c r="B14" s="17" t="n">
        <v>2799</v>
      </c>
      <c r="C14" s="18">
        <f>(2511.0/B14*100)</f>
        <v/>
      </c>
      <c r="D14" s="19" t="n">
        <v>288</v>
      </c>
      <c r="E14" s="18" t="n">
        <v>32.06253051</v>
      </c>
      <c r="F14" s="20" t="n">
        <v>3.46543335</v>
      </c>
      <c r="G14" s="18" t="n">
        <v>66.7713105</v>
      </c>
      <c r="H14" s="20" t="n">
        <v>3.58001994</v>
      </c>
      <c r="I14" s="18" t="s">
        <v>567</v>
      </c>
      <c r="J14" s="20" t="s">
        <v>567</v>
      </c>
      <c r="K14" s="18" t="n">
        <v>0</v>
      </c>
      <c r="L14" s="20" t="n">
        <v>0</v>
      </c>
      <c r="M14" s="18" t="n">
        <v>0</v>
      </c>
      <c r="N14" s="20" t="n">
        <v>0</v>
      </c>
      <c r="O14" s="18" t="n">
        <v>0</v>
      </c>
      <c r="P14" s="20" t="n">
        <v>0</v>
      </c>
      <c r="Q14" s="18" t="n">
        <v>1.16615899</v>
      </c>
      <c r="R14" s="20" t="n">
        <v>0.57421044</v>
      </c>
    </row>
    <row r="15" spans="1:18">
      <c r="A15" s="15" t="s">
        <v>575</v>
      </c>
      <c r="B15" s="17" t="n">
        <v>3019</v>
      </c>
      <c r="C15" s="18">
        <f>(2664.0/B15*100)</f>
        <v/>
      </c>
      <c r="D15" s="19" t="n">
        <v>355</v>
      </c>
      <c r="E15" s="18" t="n">
        <v>46.06961031</v>
      </c>
      <c r="F15" s="20" t="n">
        <v>2.43654884</v>
      </c>
      <c r="G15" s="18" t="n">
        <v>49.91845467</v>
      </c>
      <c r="H15" s="20" t="n">
        <v>2.48432653</v>
      </c>
      <c r="I15" s="18" t="s">
        <v>567</v>
      </c>
      <c r="J15" s="20" t="s">
        <v>567</v>
      </c>
      <c r="K15" s="18" t="n">
        <v>0</v>
      </c>
      <c r="L15" s="20" t="n">
        <v>0</v>
      </c>
      <c r="M15" s="18" t="n">
        <v>0</v>
      </c>
      <c r="N15" s="20" t="n">
        <v>0</v>
      </c>
      <c r="O15" s="18" t="n">
        <v>0</v>
      </c>
      <c r="P15" s="20" t="n">
        <v>0</v>
      </c>
      <c r="Q15" s="18" t="n">
        <v>4.01193502</v>
      </c>
      <c r="R15" s="20" t="n">
        <v>1.0673719</v>
      </c>
    </row>
    <row r="16" spans="1:18">
      <c r="A16" s="15" t="s">
        <v>576</v>
      </c>
      <c r="B16" s="17" t="n">
        <v>2997</v>
      </c>
      <c r="C16" s="18">
        <f>(2664.0/B16*100)</f>
        <v/>
      </c>
      <c r="D16" s="19" t="n">
        <v>333</v>
      </c>
      <c r="E16" s="18" t="n">
        <v>29.09865791</v>
      </c>
      <c r="F16" s="20" t="n">
        <v>2.76766384</v>
      </c>
      <c r="G16" s="18" t="n">
        <v>60.1990214</v>
      </c>
      <c r="H16" s="20" t="n">
        <v>2.9230869</v>
      </c>
      <c r="I16" s="18" t="s">
        <v>567</v>
      </c>
      <c r="J16" s="20" t="s">
        <v>567</v>
      </c>
      <c r="K16" s="18" t="n">
        <v>0.29983731</v>
      </c>
      <c r="L16" s="20" t="n">
        <v>0.31991358</v>
      </c>
      <c r="M16" s="18" t="n">
        <v>0</v>
      </c>
      <c r="N16" s="20" t="n">
        <v>0</v>
      </c>
      <c r="O16" s="18" t="n">
        <v>0</v>
      </c>
      <c r="P16" s="20" t="n">
        <v>0</v>
      </c>
      <c r="Q16" s="18" t="n">
        <v>10.40248338</v>
      </c>
      <c r="R16" s="20" t="n">
        <v>1.74454772</v>
      </c>
    </row>
    <row r="17" spans="1:18">
      <c r="A17" s="15" t="s">
        <v>577</v>
      </c>
      <c r="B17" s="17" t="n">
        <v>3307</v>
      </c>
      <c r="C17" s="18">
        <f>(2979.0/B17*100)</f>
        <v/>
      </c>
      <c r="D17" s="19" t="n">
        <v>328</v>
      </c>
      <c r="E17" s="18" t="n">
        <v>35.28501115</v>
      </c>
      <c r="F17" s="20" t="n">
        <v>3.04454834</v>
      </c>
      <c r="G17" s="18" t="n">
        <v>61.14077307</v>
      </c>
      <c r="H17" s="20" t="n">
        <v>2.90539289</v>
      </c>
      <c r="I17" s="18" t="s">
        <v>567</v>
      </c>
      <c r="J17" s="20" t="s">
        <v>567</v>
      </c>
      <c r="K17" s="18" t="n">
        <v>0</v>
      </c>
      <c r="L17" s="20" t="n">
        <v>0</v>
      </c>
      <c r="M17" s="18" t="n">
        <v>0</v>
      </c>
      <c r="N17" s="20" t="n">
        <v>0</v>
      </c>
      <c r="O17" s="18" t="n">
        <v>0</v>
      </c>
      <c r="P17" s="20" t="n">
        <v>0</v>
      </c>
      <c r="Q17" s="18" t="n">
        <v>3.57421578</v>
      </c>
      <c r="R17" s="20" t="n">
        <v>1.09494934</v>
      </c>
    </row>
    <row r="18" spans="1:18">
      <c r="A18" s="15" t="s">
        <v>578</v>
      </c>
      <c r="B18" s="17" t="n">
        <v>2826</v>
      </c>
      <c r="C18" s="18">
        <f>(2501.0/B18*100)</f>
        <v/>
      </c>
      <c r="D18" s="19" t="n">
        <v>325</v>
      </c>
      <c r="E18" s="18" t="n">
        <v>55.02290545</v>
      </c>
      <c r="F18" s="20" t="n">
        <v>3.44645159</v>
      </c>
      <c r="G18" s="18" t="n">
        <v>35.97192151</v>
      </c>
      <c r="H18" s="20" t="n">
        <v>2.94668686</v>
      </c>
      <c r="I18" s="18" t="s">
        <v>567</v>
      </c>
      <c r="J18" s="20" t="s">
        <v>567</v>
      </c>
      <c r="K18" s="18" t="n">
        <v>0.35210808</v>
      </c>
      <c r="L18" s="20" t="n">
        <v>0.34887791</v>
      </c>
      <c r="M18" s="18" t="n">
        <v>0</v>
      </c>
      <c r="N18" s="20" t="n">
        <v>0</v>
      </c>
      <c r="O18" s="18" t="n">
        <v>0</v>
      </c>
      <c r="P18" s="20" t="n">
        <v>0</v>
      </c>
      <c r="Q18" s="18" t="n">
        <v>8.65306496</v>
      </c>
      <c r="R18" s="20" t="n">
        <v>1.68386318</v>
      </c>
    </row>
    <row r="19" spans="1:18">
      <c r="A19" s="15" t="s">
        <v>579</v>
      </c>
      <c r="B19" s="17" t="n">
        <v>2808</v>
      </c>
      <c r="C19" s="18">
        <f>(2484.0/B19*100)</f>
        <v/>
      </c>
      <c r="D19" s="19" t="n">
        <v>324</v>
      </c>
      <c r="E19" s="18" t="n">
        <v>49.9954608</v>
      </c>
      <c r="F19" s="20" t="n">
        <v>2.98881641</v>
      </c>
      <c r="G19" s="18" t="n">
        <v>47.602385</v>
      </c>
      <c r="H19" s="20" t="n">
        <v>3.10314249</v>
      </c>
      <c r="I19" s="18" t="s">
        <v>567</v>
      </c>
      <c r="J19" s="20" t="s">
        <v>567</v>
      </c>
      <c r="K19" s="18" t="n">
        <v>0</v>
      </c>
      <c r="L19" s="20" t="n">
        <v>0</v>
      </c>
      <c r="M19" s="18" t="n">
        <v>0</v>
      </c>
      <c r="N19" s="20" t="n">
        <v>0</v>
      </c>
      <c r="O19" s="18" t="n">
        <v>0</v>
      </c>
      <c r="P19" s="20" t="n">
        <v>0</v>
      </c>
      <c r="Q19" s="18" t="n">
        <v>2.4021542</v>
      </c>
      <c r="R19" s="20" t="n">
        <v>0.84863171</v>
      </c>
    </row>
    <row r="20" spans="1:18">
      <c r="A20" s="15" t="s">
        <v>580</v>
      </c>
      <c r="B20" s="17" t="n">
        <v>1630</v>
      </c>
      <c r="C20" s="18">
        <f>(1469.0/B20*100)</f>
        <v/>
      </c>
      <c r="D20" s="19" t="n">
        <v>161</v>
      </c>
      <c r="E20" s="18" t="n">
        <v>51.76362813</v>
      </c>
      <c r="F20" s="20" t="n">
        <v>3.54920472</v>
      </c>
      <c r="G20" s="18" t="n">
        <v>41.57163629</v>
      </c>
      <c r="H20" s="20" t="n">
        <v>3.34065406</v>
      </c>
      <c r="I20" s="18" t="s">
        <v>567</v>
      </c>
      <c r="J20" s="20" t="s">
        <v>567</v>
      </c>
      <c r="K20" s="18" t="n">
        <v>0</v>
      </c>
      <c r="L20" s="20" t="n">
        <v>0</v>
      </c>
      <c r="M20" s="18" t="n">
        <v>0</v>
      </c>
      <c r="N20" s="20" t="n">
        <v>0</v>
      </c>
      <c r="O20" s="18" t="n">
        <v>0</v>
      </c>
      <c r="P20" s="20" t="n">
        <v>0</v>
      </c>
      <c r="Q20" s="18" t="n">
        <v>6.66473558</v>
      </c>
      <c r="R20" s="20" t="n">
        <v>1.95145721</v>
      </c>
    </row>
    <row r="21" spans="1:18">
      <c r="A21" s="15" t="s">
        <v>581</v>
      </c>
      <c r="B21" s="17" t="n">
        <v>2908</v>
      </c>
      <c r="C21" s="18">
        <f>(2598.0/B21*100)</f>
        <v/>
      </c>
      <c r="D21" s="19" t="n">
        <v>310</v>
      </c>
      <c r="E21" s="18" t="n">
        <v>46.10679545</v>
      </c>
      <c r="F21" s="20" t="n">
        <v>2.70973248</v>
      </c>
      <c r="G21" s="18" t="n">
        <v>49.47555449</v>
      </c>
      <c r="H21" s="20" t="n">
        <v>2.55713954</v>
      </c>
      <c r="I21" s="18" t="s">
        <v>567</v>
      </c>
      <c r="J21" s="20" t="s">
        <v>567</v>
      </c>
      <c r="K21" s="18" t="n">
        <v>0</v>
      </c>
      <c r="L21" s="20" t="n">
        <v>0</v>
      </c>
      <c r="M21" s="18" t="n">
        <v>0</v>
      </c>
      <c r="N21" s="20" t="n">
        <v>0</v>
      </c>
      <c r="O21" s="18" t="n">
        <v>0</v>
      </c>
      <c r="P21" s="20" t="n">
        <v>0</v>
      </c>
      <c r="Q21" s="18" t="n">
        <v>4.41765006</v>
      </c>
      <c r="R21" s="20" t="n">
        <v>1.10306997</v>
      </c>
    </row>
    <row r="22" spans="1:18">
      <c r="A22" s="15" t="s">
        <v>582</v>
      </c>
      <c r="B22" s="17" t="n">
        <v>2931</v>
      </c>
      <c r="C22" s="18">
        <f>(2609.0/B22*100)</f>
        <v/>
      </c>
      <c r="D22" s="19" t="n">
        <v>322</v>
      </c>
      <c r="E22" s="18" t="n">
        <v>41.81173237</v>
      </c>
      <c r="F22" s="20" t="n">
        <v>3.24068719</v>
      </c>
      <c r="G22" s="18" t="n">
        <v>45.56589274</v>
      </c>
      <c r="H22" s="20" t="n">
        <v>3.73869403</v>
      </c>
      <c r="I22" s="18" t="s">
        <v>567</v>
      </c>
      <c r="J22" s="20" t="s">
        <v>567</v>
      </c>
      <c r="K22" s="18" t="n">
        <v>0.82915881</v>
      </c>
      <c r="L22" s="20" t="n">
        <v>0.41249814</v>
      </c>
      <c r="M22" s="18" t="n">
        <v>0</v>
      </c>
      <c r="N22" s="20" t="n">
        <v>0</v>
      </c>
      <c r="O22" s="18" t="n">
        <v>0</v>
      </c>
      <c r="P22" s="20" t="n">
        <v>0</v>
      </c>
      <c r="Q22" s="18" t="n">
        <v>11.79321609</v>
      </c>
      <c r="R22" s="20" t="n">
        <v>1.63980928</v>
      </c>
    </row>
    <row r="23" spans="1:18">
      <c r="A23" s="15" t="s">
        <v>583</v>
      </c>
      <c r="B23" s="17" t="n">
        <v>5791</v>
      </c>
      <c r="C23" s="18">
        <f>(5130.0/B23*100)</f>
        <v/>
      </c>
      <c r="D23" s="19" t="n">
        <v>661</v>
      </c>
      <c r="E23" s="18" t="n">
        <v>36.0706211</v>
      </c>
      <c r="F23" s="20" t="n">
        <v>2.92810639</v>
      </c>
      <c r="G23" s="18" t="n">
        <v>52.0096601</v>
      </c>
      <c r="H23" s="20" t="n">
        <v>3.0323423</v>
      </c>
      <c r="I23" s="18" t="s">
        <v>567</v>
      </c>
      <c r="J23" s="20" t="s">
        <v>567</v>
      </c>
      <c r="K23" s="18" t="n">
        <v>0.48752094</v>
      </c>
      <c r="L23" s="20" t="n">
        <v>0.56186988</v>
      </c>
      <c r="M23" s="18" t="n">
        <v>0.01216198</v>
      </c>
      <c r="N23" s="20" t="n">
        <v>0.01208933</v>
      </c>
      <c r="O23" s="18" t="n">
        <v>0</v>
      </c>
      <c r="P23" s="20" t="n">
        <v>0</v>
      </c>
      <c r="Q23" s="18" t="n">
        <v>11.42003588</v>
      </c>
      <c r="R23" s="20" t="n">
        <v>1.83813848</v>
      </c>
    </row>
    <row r="24" spans="1:18">
      <c r="A24" s="15" t="s">
        <v>584</v>
      </c>
      <c r="B24" s="17" t="n">
        <v>3338</v>
      </c>
      <c r="C24" s="18">
        <f>(2975.0/B24*100)</f>
        <v/>
      </c>
      <c r="D24" s="19" t="n">
        <v>363</v>
      </c>
      <c r="E24" s="18" t="n">
        <v>18.86233278</v>
      </c>
      <c r="F24" s="20" t="n">
        <v>1.8205633</v>
      </c>
      <c r="G24" s="18" t="n">
        <v>77.72161188</v>
      </c>
      <c r="H24" s="20" t="n">
        <v>2.06563717</v>
      </c>
      <c r="I24" s="18" t="s">
        <v>567</v>
      </c>
      <c r="J24" s="20" t="s">
        <v>567</v>
      </c>
      <c r="K24" s="18" t="n">
        <v>0.24026473</v>
      </c>
      <c r="L24" s="20" t="n">
        <v>0.23977104</v>
      </c>
      <c r="M24" s="18" t="n">
        <v>0</v>
      </c>
      <c r="N24" s="20" t="n">
        <v>0</v>
      </c>
      <c r="O24" s="18" t="n">
        <v>0</v>
      </c>
      <c r="P24" s="20" t="n">
        <v>0</v>
      </c>
      <c r="Q24" s="18" t="n">
        <v>3.17579061</v>
      </c>
      <c r="R24" s="20" t="n">
        <v>0.89397347</v>
      </c>
    </row>
    <row r="25" spans="1:18">
      <c r="A25" s="15" t="s">
        <v>585</v>
      </c>
      <c r="B25" s="17" t="n">
        <v>2912</v>
      </c>
      <c r="C25" s="18">
        <f>(2561.0/B25*100)</f>
        <v/>
      </c>
      <c r="D25" s="19" t="n">
        <v>351</v>
      </c>
      <c r="E25" s="18" t="n">
        <v>26.3526259</v>
      </c>
      <c r="F25" s="20" t="n">
        <v>2.44409419</v>
      </c>
      <c r="G25" s="18" t="n">
        <v>69.18734796</v>
      </c>
      <c r="H25" s="20" t="n">
        <v>2.71849346</v>
      </c>
      <c r="I25" s="18" t="s">
        <v>567</v>
      </c>
      <c r="J25" s="20" t="s">
        <v>567</v>
      </c>
      <c r="K25" s="18" t="n">
        <v>1.69652275</v>
      </c>
      <c r="L25" s="20" t="n">
        <v>0.6732216</v>
      </c>
      <c r="M25" s="18" t="n">
        <v>0</v>
      </c>
      <c r="N25" s="20" t="n">
        <v>0</v>
      </c>
      <c r="O25" s="18" t="n">
        <v>0</v>
      </c>
      <c r="P25" s="20" t="n">
        <v>0</v>
      </c>
      <c r="Q25" s="18" t="n">
        <v>2.76350339</v>
      </c>
      <c r="R25" s="20" t="n">
        <v>0.97004904</v>
      </c>
    </row>
    <row r="26" spans="1:18">
      <c r="A26" s="15" t="s">
        <v>586</v>
      </c>
      <c r="B26" s="17" t="n">
        <v>2450</v>
      </c>
      <c r="C26" s="18">
        <f>(2181.0/B26*100)</f>
        <v/>
      </c>
      <c r="D26" s="19" t="n">
        <v>269</v>
      </c>
      <c r="E26" s="18" t="n">
        <v>44.51759553</v>
      </c>
      <c r="F26" s="20" t="n">
        <v>2.77414165</v>
      </c>
      <c r="G26" s="18" t="n">
        <v>54.84229706</v>
      </c>
      <c r="H26" s="20" t="n">
        <v>2.8007499</v>
      </c>
      <c r="I26" s="18" t="s">
        <v>567</v>
      </c>
      <c r="J26" s="20" t="s">
        <v>567</v>
      </c>
      <c r="K26" s="18" t="n">
        <v>0</v>
      </c>
      <c r="L26" s="20" t="n">
        <v>0</v>
      </c>
      <c r="M26" s="18" t="n">
        <v>0</v>
      </c>
      <c r="N26" s="20" t="n">
        <v>0</v>
      </c>
      <c r="O26" s="18" t="n">
        <v>0</v>
      </c>
      <c r="P26" s="20" t="n">
        <v>0</v>
      </c>
      <c r="Q26" s="18" t="n">
        <v>0.64010741</v>
      </c>
      <c r="R26" s="20" t="n">
        <v>0.47533438</v>
      </c>
    </row>
    <row r="27" spans="1:18">
      <c r="A27" s="15" t="s">
        <v>587</v>
      </c>
      <c r="B27" s="17" t="n">
        <v>2616</v>
      </c>
      <c r="C27" s="18">
        <f>(2351.0/B27*100)</f>
        <v/>
      </c>
      <c r="D27" s="19" t="n">
        <v>265</v>
      </c>
      <c r="E27" s="18" t="n">
        <v>34.08749691</v>
      </c>
      <c r="F27" s="20" t="n">
        <v>2.53890615</v>
      </c>
      <c r="G27" s="18" t="n">
        <v>55.54937508</v>
      </c>
      <c r="H27" s="20" t="n">
        <v>2.5992578</v>
      </c>
      <c r="I27" s="18" t="s">
        <v>567</v>
      </c>
      <c r="J27" s="20" t="s">
        <v>567</v>
      </c>
      <c r="K27" s="18" t="n">
        <v>0.36797253</v>
      </c>
      <c r="L27" s="20" t="n">
        <v>0.35842241</v>
      </c>
      <c r="M27" s="18" t="n">
        <v>0</v>
      </c>
      <c r="N27" s="20" t="n">
        <v>0</v>
      </c>
      <c r="O27" s="18" t="n">
        <v>0</v>
      </c>
      <c r="P27" s="20" t="n">
        <v>0</v>
      </c>
      <c r="Q27" s="18" t="n">
        <v>9.995155479999999</v>
      </c>
      <c r="R27" s="20" t="n">
        <v>1.7349642</v>
      </c>
    </row>
    <row r="28" spans="1:18">
      <c r="A28" s="15" t="s">
        <v>588</v>
      </c>
      <c r="B28" s="17" t="n">
        <v>3765</v>
      </c>
      <c r="C28" s="18">
        <f>(3353.0/B28*100)</f>
        <v/>
      </c>
      <c r="D28" s="19" t="n">
        <v>412</v>
      </c>
      <c r="E28" s="18" t="n">
        <v>63.09110616</v>
      </c>
      <c r="F28" s="20" t="n">
        <v>2.48694904</v>
      </c>
      <c r="G28" s="18" t="n">
        <v>31.12997162</v>
      </c>
      <c r="H28" s="20" t="n">
        <v>2.52099457</v>
      </c>
      <c r="I28" s="18" t="s">
        <v>567</v>
      </c>
      <c r="J28" s="20" t="s">
        <v>567</v>
      </c>
      <c r="K28" s="18" t="n">
        <v>0.8817258100000001</v>
      </c>
      <c r="L28" s="20" t="n">
        <v>0.49108955</v>
      </c>
      <c r="M28" s="18" t="n">
        <v>0</v>
      </c>
      <c r="N28" s="20" t="n">
        <v>0</v>
      </c>
      <c r="O28" s="18" t="n">
        <v>0</v>
      </c>
      <c r="P28" s="20" t="n">
        <v>0</v>
      </c>
      <c r="Q28" s="18" t="n">
        <v>4.8971964</v>
      </c>
      <c r="R28" s="20" t="n">
        <v>1.4559635</v>
      </c>
    </row>
    <row r="29" spans="1:18">
      <c r="A29" s="15" t="s">
        <v>589</v>
      </c>
      <c r="B29" s="17" t="n">
        <v>2685</v>
      </c>
      <c r="C29" s="18">
        <f>(2387.0/B29*100)</f>
        <v/>
      </c>
      <c r="D29" s="19" t="n">
        <v>298</v>
      </c>
      <c r="E29" s="18" t="n">
        <v>30.76061538</v>
      </c>
      <c r="F29" s="20" t="n">
        <v>2.73511911</v>
      </c>
      <c r="G29" s="18" t="n">
        <v>67.30870733</v>
      </c>
      <c r="H29" s="20" t="n">
        <v>2.70957773</v>
      </c>
      <c r="I29" s="18" t="s">
        <v>567</v>
      </c>
      <c r="J29" s="20" t="s">
        <v>567</v>
      </c>
      <c r="K29" s="18" t="n">
        <v>0.38078387</v>
      </c>
      <c r="L29" s="20" t="n">
        <v>0.35229087</v>
      </c>
      <c r="M29" s="18" t="n">
        <v>0</v>
      </c>
      <c r="N29" s="20" t="n">
        <v>0</v>
      </c>
      <c r="O29" s="18" t="n">
        <v>0</v>
      </c>
      <c r="P29" s="20" t="n">
        <v>0</v>
      </c>
      <c r="Q29" s="18" t="n">
        <v>1.54989342</v>
      </c>
      <c r="R29" s="20" t="n">
        <v>0.89913246</v>
      </c>
    </row>
    <row r="30" spans="1:18">
      <c r="A30" s="15" t="s">
        <v>590</v>
      </c>
      <c r="B30" s="17" t="n">
        <v>2263</v>
      </c>
      <c r="C30" s="18">
        <f>(2020.0/B30*100)</f>
        <v/>
      </c>
      <c r="D30" s="19" t="n">
        <v>243</v>
      </c>
      <c r="E30" s="18" t="n">
        <v>48.14346048</v>
      </c>
      <c r="F30" s="20" t="n">
        <v>3.31279121</v>
      </c>
      <c r="G30" s="18" t="n">
        <v>42.72123244</v>
      </c>
      <c r="H30" s="20" t="n">
        <v>3.24232547</v>
      </c>
      <c r="I30" s="18" t="s">
        <v>567</v>
      </c>
      <c r="J30" s="20" t="s">
        <v>567</v>
      </c>
      <c r="K30" s="18" t="n">
        <v>0.97494566</v>
      </c>
      <c r="L30" s="20" t="n">
        <v>0.6414561</v>
      </c>
      <c r="M30" s="18" t="n">
        <v>0</v>
      </c>
      <c r="N30" s="20" t="n">
        <v>0</v>
      </c>
      <c r="O30" s="18" t="n">
        <v>0</v>
      </c>
      <c r="P30" s="20" t="n">
        <v>0</v>
      </c>
      <c r="Q30" s="18" t="n">
        <v>8.160361419999999</v>
      </c>
      <c r="R30" s="20" t="n">
        <v>1.69587894</v>
      </c>
    </row>
    <row r="31" spans="1:18">
      <c r="A31" s="15" t="s">
        <v>591</v>
      </c>
      <c r="B31" s="17" t="n">
        <v>2750</v>
      </c>
      <c r="C31" s="18">
        <f>(2454.0/B31*100)</f>
        <v/>
      </c>
      <c r="D31" s="19" t="n">
        <v>296</v>
      </c>
      <c r="E31" s="18" t="n">
        <v>49.32807441</v>
      </c>
      <c r="F31" s="20" t="n">
        <v>2.80824342</v>
      </c>
      <c r="G31" s="18" t="n">
        <v>43.97611993</v>
      </c>
      <c r="H31" s="20" t="n">
        <v>2.71613363</v>
      </c>
      <c r="I31" s="18" t="s">
        <v>567</v>
      </c>
      <c r="J31" s="20" t="s">
        <v>567</v>
      </c>
      <c r="K31" s="18" t="n">
        <v>0.67264729</v>
      </c>
      <c r="L31" s="20" t="n">
        <v>0.48671607</v>
      </c>
      <c r="M31" s="18" t="n">
        <v>0.28695226</v>
      </c>
      <c r="N31" s="20" t="n">
        <v>0.33633197</v>
      </c>
      <c r="O31" s="18" t="n">
        <v>0</v>
      </c>
      <c r="P31" s="20" t="n">
        <v>0</v>
      </c>
      <c r="Q31" s="18" t="n">
        <v>5.73620611</v>
      </c>
      <c r="R31" s="20" t="n">
        <v>1.20678835</v>
      </c>
    </row>
    <row r="32" spans="1:18">
      <c r="A32" s="15" t="s">
        <v>592</v>
      </c>
      <c r="B32" s="17" t="n">
        <v>2269</v>
      </c>
      <c r="C32" s="18">
        <f>(2026.0/B32*100)</f>
        <v/>
      </c>
      <c r="D32" s="19" t="n">
        <v>243</v>
      </c>
      <c r="E32" s="18" t="n">
        <v>38.01378542</v>
      </c>
      <c r="F32" s="20" t="n">
        <v>3.33398569</v>
      </c>
      <c r="G32" s="18" t="n">
        <v>60.8813105</v>
      </c>
      <c r="H32" s="20" t="n">
        <v>3.36991826</v>
      </c>
      <c r="I32" s="18" t="s">
        <v>567</v>
      </c>
      <c r="J32" s="20" t="s">
        <v>567</v>
      </c>
      <c r="K32" s="18" t="n">
        <v>0</v>
      </c>
      <c r="L32" s="20" t="n">
        <v>0</v>
      </c>
      <c r="M32" s="18" t="n">
        <v>0</v>
      </c>
      <c r="N32" s="20" t="n">
        <v>0</v>
      </c>
      <c r="O32" s="18" t="n">
        <v>0</v>
      </c>
      <c r="P32" s="20" t="n">
        <v>0</v>
      </c>
      <c r="Q32" s="18" t="n">
        <v>1.10490409</v>
      </c>
      <c r="R32" s="20" t="n">
        <v>0.6310171</v>
      </c>
    </row>
    <row r="33" spans="1:18">
      <c r="A33" s="15" t="s">
        <v>593</v>
      </c>
      <c r="B33" s="17" t="n">
        <v>3674</v>
      </c>
      <c r="C33" s="18">
        <f>(3285.0/B33*100)</f>
        <v/>
      </c>
      <c r="D33" s="19" t="n">
        <v>389</v>
      </c>
      <c r="E33" s="18" t="n">
        <v>41.8038822</v>
      </c>
      <c r="F33" s="20" t="n">
        <v>2.78961699</v>
      </c>
      <c r="G33" s="18" t="n">
        <v>55.44280403</v>
      </c>
      <c r="H33" s="20" t="n">
        <v>2.91203883</v>
      </c>
      <c r="I33" s="18" t="s">
        <v>567</v>
      </c>
      <c r="J33" s="20" t="s">
        <v>567</v>
      </c>
      <c r="K33" s="18" t="n">
        <v>0.51687897</v>
      </c>
      <c r="L33" s="20" t="n">
        <v>0.61085474</v>
      </c>
      <c r="M33" s="18" t="n">
        <v>0</v>
      </c>
      <c r="N33" s="20" t="n">
        <v>0</v>
      </c>
      <c r="O33" s="18" t="n">
        <v>0</v>
      </c>
      <c r="P33" s="20" t="n">
        <v>0</v>
      </c>
      <c r="Q33" s="18" t="n">
        <v>2.2364348</v>
      </c>
      <c r="R33" s="20" t="n">
        <v>0.9263734300000001</v>
      </c>
    </row>
    <row r="34" spans="1:18">
      <c r="A34" s="15" t="s">
        <v>594</v>
      </c>
      <c r="B34" s="17" t="n">
        <v>3315</v>
      </c>
      <c r="C34" s="18">
        <f>(2956.0/B34*100)</f>
        <v/>
      </c>
      <c r="D34" s="19" t="n">
        <v>359</v>
      </c>
      <c r="E34" s="18" t="n">
        <v>48.4348952</v>
      </c>
      <c r="F34" s="20" t="n">
        <v>2.76075373</v>
      </c>
      <c r="G34" s="18" t="n">
        <v>43.95710109</v>
      </c>
      <c r="H34" s="20" t="n">
        <v>2.48739948</v>
      </c>
      <c r="I34" s="18" t="s">
        <v>567</v>
      </c>
      <c r="J34" s="20" t="s">
        <v>567</v>
      </c>
      <c r="K34" s="18" t="n">
        <v>0</v>
      </c>
      <c r="L34" s="20" t="n">
        <v>0</v>
      </c>
      <c r="M34" s="18" t="n">
        <v>0</v>
      </c>
      <c r="N34" s="20" t="n">
        <v>0</v>
      </c>
      <c r="O34" s="18" t="n">
        <v>0</v>
      </c>
      <c r="P34" s="20" t="n">
        <v>0</v>
      </c>
      <c r="Q34" s="18" t="n">
        <v>7.60800371</v>
      </c>
      <c r="R34" s="20" t="n">
        <v>1.70785342</v>
      </c>
    </row>
    <row r="35" spans="1:18">
      <c r="A35" s="15" t="s">
        <v>595</v>
      </c>
      <c r="B35" s="17" t="n">
        <v>3505</v>
      </c>
      <c r="C35" s="18">
        <f>(3109.0/B35*100)</f>
        <v/>
      </c>
      <c r="D35" s="19" t="n">
        <v>396</v>
      </c>
      <c r="E35" s="18" t="n">
        <v>36.68506722</v>
      </c>
      <c r="F35" s="20" t="n">
        <v>3.09068432</v>
      </c>
      <c r="G35" s="18" t="n">
        <v>61.19132206</v>
      </c>
      <c r="H35" s="20" t="n">
        <v>3.09622576</v>
      </c>
      <c r="I35" s="18" t="s">
        <v>567</v>
      </c>
      <c r="J35" s="20" t="s">
        <v>567</v>
      </c>
      <c r="K35" s="18" t="n">
        <v>0</v>
      </c>
      <c r="L35" s="20" t="n">
        <v>0</v>
      </c>
      <c r="M35" s="18" t="n">
        <v>0.4402311</v>
      </c>
      <c r="N35" s="20" t="n">
        <v>0.44211122</v>
      </c>
      <c r="O35" s="18" t="n">
        <v>0</v>
      </c>
      <c r="P35" s="20" t="n">
        <v>0</v>
      </c>
      <c r="Q35" s="18" t="n">
        <v>1.68337963</v>
      </c>
      <c r="R35" s="20" t="n">
        <v>0.47431539</v>
      </c>
    </row>
    <row r="36" spans="1:18">
      <c r="A36" s="15" t="s">
        <v>596</v>
      </c>
      <c r="B36" s="17" t="n">
        <v>3332</v>
      </c>
      <c r="C36" s="18">
        <f>(2959.0/B36*100)</f>
        <v/>
      </c>
      <c r="D36" s="19" t="n">
        <v>373</v>
      </c>
      <c r="E36" s="18" t="n">
        <v>38.584884</v>
      </c>
      <c r="F36" s="20" t="n">
        <v>2.63535361</v>
      </c>
      <c r="G36" s="18" t="n">
        <v>51.81968448</v>
      </c>
      <c r="H36" s="20" t="n">
        <v>2.53355936</v>
      </c>
      <c r="I36" s="18" t="s">
        <v>567</v>
      </c>
      <c r="J36" s="20" t="s">
        <v>567</v>
      </c>
      <c r="K36" s="18" t="n">
        <v>1.0144898</v>
      </c>
      <c r="L36" s="20" t="n">
        <v>0.60311644</v>
      </c>
      <c r="M36" s="18" t="n">
        <v>0</v>
      </c>
      <c r="N36" s="20" t="n">
        <v>0</v>
      </c>
      <c r="O36" s="18" t="n">
        <v>0</v>
      </c>
      <c r="P36" s="20" t="n">
        <v>0</v>
      </c>
      <c r="Q36" s="18" t="n">
        <v>8.58094172</v>
      </c>
      <c r="R36" s="20" t="n">
        <v>1.56738965</v>
      </c>
    </row>
    <row r="37" spans="1:18">
      <c r="A37" s="15" t="s">
        <v>597</v>
      </c>
      <c r="B37" s="17" t="n">
        <v>2727</v>
      </c>
      <c r="C37" s="18">
        <f>(2443.0/B37*100)</f>
        <v/>
      </c>
      <c r="D37" s="19" t="n">
        <v>284</v>
      </c>
      <c r="E37" s="18" t="n">
        <v>49.50918522</v>
      </c>
      <c r="F37" s="20" t="n">
        <v>2.94099043</v>
      </c>
      <c r="G37" s="18" t="n">
        <v>42.31958809</v>
      </c>
      <c r="H37" s="20" t="n">
        <v>3.08949884</v>
      </c>
      <c r="I37" s="18" t="s">
        <v>567</v>
      </c>
      <c r="J37" s="20" t="s">
        <v>567</v>
      </c>
      <c r="K37" s="18" t="n">
        <v>1.01138483</v>
      </c>
      <c r="L37" s="20" t="n">
        <v>0.59497931</v>
      </c>
      <c r="M37" s="18" t="n">
        <v>0</v>
      </c>
      <c r="N37" s="20" t="n">
        <v>0</v>
      </c>
      <c r="O37" s="18" t="n">
        <v>0</v>
      </c>
      <c r="P37" s="20" t="n">
        <v>0</v>
      </c>
      <c r="Q37" s="18" t="n">
        <v>7.15984185</v>
      </c>
      <c r="R37" s="20" t="n">
        <v>1.36168805</v>
      </c>
    </row>
    <row r="38" spans="1:18">
      <c r="A38" s="15" t="s">
        <v>598</v>
      </c>
      <c r="B38" s="17" t="n">
        <v>3053</v>
      </c>
      <c r="C38" s="18">
        <f>(2712.0/B38*100)</f>
        <v/>
      </c>
      <c r="D38" s="19" t="n">
        <v>341</v>
      </c>
      <c r="E38" s="18" t="n">
        <v>37.82652513</v>
      </c>
      <c r="F38" s="20" t="n">
        <v>3.29032481</v>
      </c>
      <c r="G38" s="18" t="n">
        <v>57.1983387</v>
      </c>
      <c r="H38" s="20" t="n">
        <v>3.06474697</v>
      </c>
      <c r="I38" s="18" t="s">
        <v>567</v>
      </c>
      <c r="J38" s="20" t="s">
        <v>567</v>
      </c>
      <c r="K38" s="18" t="n">
        <v>0.35674002</v>
      </c>
      <c r="L38" s="20" t="n">
        <v>0.36134148</v>
      </c>
      <c r="M38" s="18" t="n">
        <v>2.08786044</v>
      </c>
      <c r="N38" s="20" t="n">
        <v>0.86001967</v>
      </c>
      <c r="O38" s="18" t="n">
        <v>0</v>
      </c>
      <c r="P38" s="20" t="n">
        <v>0</v>
      </c>
      <c r="Q38" s="18" t="n">
        <v>2.53053571</v>
      </c>
      <c r="R38" s="20" t="n">
        <v>0.85736064</v>
      </c>
    </row>
    <row r="39" spans="1:18">
      <c r="A39" s="15" t="s">
        <v>599</v>
      </c>
      <c r="B39" s="17" t="n">
        <v>2957</v>
      </c>
      <c r="C39" s="18">
        <f>(2639.0/B39*100)</f>
        <v/>
      </c>
      <c r="D39" s="19" t="n">
        <v>318</v>
      </c>
      <c r="E39" s="18" t="n">
        <v>59.03395218</v>
      </c>
      <c r="F39" s="20" t="n">
        <v>3.54963758</v>
      </c>
      <c r="G39" s="18" t="n">
        <v>34.84464286</v>
      </c>
      <c r="H39" s="20" t="n">
        <v>3.52209579</v>
      </c>
      <c r="I39" s="18" t="s">
        <v>567</v>
      </c>
      <c r="J39" s="20" t="s">
        <v>567</v>
      </c>
      <c r="K39" s="18" t="n">
        <v>0</v>
      </c>
      <c r="L39" s="20" t="n">
        <v>0</v>
      </c>
      <c r="M39" s="18" t="n">
        <v>0</v>
      </c>
      <c r="N39" s="20" t="n">
        <v>0</v>
      </c>
      <c r="O39" s="18" t="n">
        <v>0</v>
      </c>
      <c r="P39" s="20" t="n">
        <v>0</v>
      </c>
      <c r="Q39" s="18" t="n">
        <v>6.12140496</v>
      </c>
      <c r="R39" s="20" t="n">
        <v>1.60521963</v>
      </c>
    </row>
    <row r="40" spans="1:18">
      <c r="A40" s="15" t="s">
        <v>600</v>
      </c>
      <c r="B40" s="17" t="n">
        <v>7235</v>
      </c>
      <c r="C40" s="18">
        <f>(6425.0/B40*100)</f>
        <v/>
      </c>
      <c r="D40" s="19" t="n">
        <v>810</v>
      </c>
      <c r="E40" s="18" t="n">
        <v>50.05535352</v>
      </c>
      <c r="F40" s="20" t="n">
        <v>2.85192394</v>
      </c>
      <c r="G40" s="18" t="n">
        <v>43.59355514</v>
      </c>
      <c r="H40" s="20" t="n">
        <v>2.75713098</v>
      </c>
      <c r="I40" s="18" t="s">
        <v>567</v>
      </c>
      <c r="J40" s="20" t="s">
        <v>567</v>
      </c>
      <c r="K40" s="18" t="n">
        <v>0.61856612</v>
      </c>
      <c r="L40" s="20" t="n">
        <v>0.34862157</v>
      </c>
      <c r="M40" s="18" t="n">
        <v>0.09414298</v>
      </c>
      <c r="N40" s="20" t="n">
        <v>0.09090048000000001</v>
      </c>
      <c r="O40" s="18" t="n">
        <v>0</v>
      </c>
      <c r="P40" s="20" t="n">
        <v>0</v>
      </c>
      <c r="Q40" s="18" t="n">
        <v>5.63838225</v>
      </c>
      <c r="R40" s="20" t="n">
        <v>1.3624857</v>
      </c>
    </row>
    <row r="41" spans="1:18">
      <c r="A41" s="15" t="s">
        <v>601</v>
      </c>
      <c r="B41" s="17" t="n">
        <v>2858</v>
      </c>
      <c r="C41" s="18">
        <f>(2555.0/B41*100)</f>
        <v/>
      </c>
      <c r="D41" s="19" t="n">
        <v>303</v>
      </c>
      <c r="E41" s="18" t="n">
        <v>51.48232806</v>
      </c>
      <c r="F41" s="20" t="n">
        <v>2.83843797</v>
      </c>
      <c r="G41" s="18" t="n">
        <v>43.22646001</v>
      </c>
      <c r="H41" s="20" t="n">
        <v>2.84266865</v>
      </c>
      <c r="I41" s="18" t="s">
        <v>567</v>
      </c>
      <c r="J41" s="20" t="s">
        <v>567</v>
      </c>
      <c r="K41" s="18" t="n">
        <v>0.88473713</v>
      </c>
      <c r="L41" s="20" t="n">
        <v>0.56124469</v>
      </c>
      <c r="M41" s="18" t="n">
        <v>0</v>
      </c>
      <c r="N41" s="20" t="n">
        <v>0</v>
      </c>
      <c r="O41" s="18" t="n">
        <v>0</v>
      </c>
      <c r="P41" s="20" t="n">
        <v>0</v>
      </c>
      <c r="Q41" s="18" t="n">
        <v>4.4064748</v>
      </c>
      <c r="R41" s="20" t="n">
        <v>1.45289043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(10095.0/B46*100)</f>
        <v/>
      </c>
      <c r="D46" s="19" t="n">
        <v>973</v>
      </c>
      <c r="E46" s="18" t="n">
        <v>61.79633877</v>
      </c>
      <c r="F46" s="20" t="n">
        <v>2.02596914</v>
      </c>
      <c r="G46" s="18" t="n">
        <v>25.30508385</v>
      </c>
      <c r="H46" s="20" t="n">
        <v>1.7972418</v>
      </c>
      <c r="I46" s="18" t="s">
        <v>567</v>
      </c>
      <c r="J46" s="20" t="s">
        <v>567</v>
      </c>
      <c r="K46" s="18" t="n">
        <v>1.7198077</v>
      </c>
      <c r="L46" s="20" t="n">
        <v>0.57960176</v>
      </c>
      <c r="M46" s="18" t="n">
        <v>0.20377492</v>
      </c>
      <c r="N46" s="20" t="n">
        <v>0.20328034</v>
      </c>
      <c r="O46" s="18" t="n">
        <v>0</v>
      </c>
      <c r="P46" s="20" t="n">
        <v>0</v>
      </c>
      <c r="Q46" s="18" t="n">
        <v>10.97499476</v>
      </c>
      <c r="R46" s="20" t="n">
        <v>1.16897125</v>
      </c>
    </row>
    <row r="47" spans="1:18">
      <c r="A47" s="15" t="s">
        <v>607</v>
      </c>
      <c r="B47" s="17" t="n">
        <v>3105</v>
      </c>
      <c r="C47" s="18">
        <f>(2769.0/B47*100)</f>
        <v/>
      </c>
      <c r="D47" s="19" t="n">
        <v>336</v>
      </c>
      <c r="E47" s="18" t="n">
        <v>51.70581153</v>
      </c>
      <c r="F47" s="20" t="n">
        <v>3.17039036</v>
      </c>
      <c r="G47" s="18" t="n">
        <v>35.94536663</v>
      </c>
      <c r="H47" s="20" t="n">
        <v>3.67027493</v>
      </c>
      <c r="I47" s="18" t="s">
        <v>567</v>
      </c>
      <c r="J47" s="20" t="s">
        <v>567</v>
      </c>
      <c r="K47" s="18" t="n">
        <v>0</v>
      </c>
      <c r="L47" s="20" t="n">
        <v>0</v>
      </c>
      <c r="M47" s="18" t="n">
        <v>0.30401645</v>
      </c>
      <c r="N47" s="20" t="n">
        <v>0.28935823</v>
      </c>
      <c r="O47" s="18" t="n">
        <v>0</v>
      </c>
      <c r="P47" s="20" t="n">
        <v>0</v>
      </c>
      <c r="Q47" s="18" t="n">
        <v>12.0448054</v>
      </c>
      <c r="R47" s="20" t="n">
        <v>1.95516346</v>
      </c>
    </row>
    <row r="48" spans="1:18">
      <c r="A48" s="15" t="s">
        <v>608</v>
      </c>
      <c r="B48" s="17" t="n">
        <v>5159</v>
      </c>
      <c r="C48" s="18">
        <f>(4599.0/B48*100)</f>
        <v/>
      </c>
      <c r="D48" s="19" t="n">
        <v>560</v>
      </c>
      <c r="E48" s="18" t="n">
        <v>23.72889895</v>
      </c>
      <c r="F48" s="20" t="n">
        <v>2.20008496</v>
      </c>
      <c r="G48" s="18" t="n">
        <v>71.97347794</v>
      </c>
      <c r="H48" s="20" t="n">
        <v>2.50731332</v>
      </c>
      <c r="I48" s="18" t="s">
        <v>567</v>
      </c>
      <c r="J48" s="20" t="s">
        <v>567</v>
      </c>
      <c r="K48" s="18" t="n">
        <v>0.5745426300000001</v>
      </c>
      <c r="L48" s="20" t="n">
        <v>0.2913772</v>
      </c>
      <c r="M48" s="18" t="n">
        <v>0</v>
      </c>
      <c r="N48" s="20" t="n">
        <v>0</v>
      </c>
      <c r="O48" s="18" t="n">
        <v>0</v>
      </c>
      <c r="P48" s="20" t="n">
        <v>0</v>
      </c>
      <c r="Q48" s="18" t="n">
        <v>3.72308048</v>
      </c>
      <c r="R48" s="20" t="n">
        <v>0.98724588</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(5038.0/B50*100)</f>
        <v/>
      </c>
      <c r="D50" s="19" t="n">
        <v>599</v>
      </c>
      <c r="E50" s="18" t="n">
        <v>62.55216076</v>
      </c>
      <c r="F50" s="20" t="n">
        <v>2.48030227</v>
      </c>
      <c r="G50" s="18" t="n">
        <v>29.30403877</v>
      </c>
      <c r="H50" s="20" t="n">
        <v>2.02790913</v>
      </c>
      <c r="I50" s="18" t="s">
        <v>567</v>
      </c>
      <c r="J50" s="20" t="s">
        <v>567</v>
      </c>
      <c r="K50" s="18" t="n">
        <v>2.64247926</v>
      </c>
      <c r="L50" s="20" t="n">
        <v>1.32566207</v>
      </c>
      <c r="M50" s="18" t="n">
        <v>0.06277774</v>
      </c>
      <c r="N50" s="20" t="n">
        <v>0.05414804</v>
      </c>
      <c r="O50" s="18" t="n">
        <v>0</v>
      </c>
      <c r="P50" s="20" t="n">
        <v>0</v>
      </c>
      <c r="Q50" s="18" t="n">
        <v>5.43854348</v>
      </c>
      <c r="R50" s="20" t="n">
        <v>1.28379108</v>
      </c>
    </row>
    <row r="51" spans="1:18">
      <c r="A51" s="15" t="s">
        <v>611</v>
      </c>
      <c r="B51" s="17" t="n">
        <v>3372</v>
      </c>
      <c r="C51" s="18">
        <f>(3049.0/B51*100)</f>
        <v/>
      </c>
      <c r="D51" s="19" t="n">
        <v>323</v>
      </c>
      <c r="E51" s="18" t="n">
        <v>53.54839398</v>
      </c>
      <c r="F51" s="20" t="n">
        <v>3.1337456</v>
      </c>
      <c r="G51" s="18" t="n">
        <v>41.32983009</v>
      </c>
      <c r="H51" s="20" t="n">
        <v>3.11408222</v>
      </c>
      <c r="I51" s="18" t="s">
        <v>567</v>
      </c>
      <c r="J51" s="20" t="s">
        <v>567</v>
      </c>
      <c r="K51" s="18" t="n">
        <v>0.35136404</v>
      </c>
      <c r="L51" s="20" t="n">
        <v>0.34897476</v>
      </c>
      <c r="M51" s="18" t="n">
        <v>0.69644257</v>
      </c>
      <c r="N51" s="20" t="n">
        <v>0.67762213</v>
      </c>
      <c r="O51" s="18" t="n">
        <v>0</v>
      </c>
      <c r="P51" s="20" t="n">
        <v>0</v>
      </c>
      <c r="Q51" s="18" t="n">
        <v>4.07396932</v>
      </c>
      <c r="R51" s="20" t="n">
        <v>1.28048947</v>
      </c>
    </row>
    <row r="52" spans="1:18">
      <c r="A52" s="15" t="s">
        <v>612</v>
      </c>
      <c r="B52" s="17" t="n">
        <v>2796</v>
      </c>
      <c r="C52" s="18">
        <f>(2478.0/B52*100)</f>
        <v/>
      </c>
      <c r="D52" s="19" t="n">
        <v>318</v>
      </c>
      <c r="E52" s="18" t="n">
        <v>47.94287432</v>
      </c>
      <c r="F52" s="20" t="n">
        <v>2.83732372</v>
      </c>
      <c r="G52" s="18" t="n">
        <v>45.15768402</v>
      </c>
      <c r="H52" s="20" t="n">
        <v>2.88832534</v>
      </c>
      <c r="I52" s="18" t="s">
        <v>567</v>
      </c>
      <c r="J52" s="20" t="s">
        <v>567</v>
      </c>
      <c r="K52" s="18" t="n">
        <v>0.32137366</v>
      </c>
      <c r="L52" s="20" t="n">
        <v>0.31399922</v>
      </c>
      <c r="M52" s="18" t="n">
        <v>0</v>
      </c>
      <c r="N52" s="20" t="n">
        <v>0</v>
      </c>
      <c r="O52" s="18" t="n">
        <v>0</v>
      </c>
      <c r="P52" s="20" t="n">
        <v>0</v>
      </c>
      <c r="Q52" s="18" t="n">
        <v>6.57806799</v>
      </c>
      <c r="R52" s="20" t="n">
        <v>1.5609472</v>
      </c>
    </row>
    <row r="53" spans="1:18">
      <c r="A53" s="15" t="s">
        <v>613</v>
      </c>
      <c r="B53" s="17" t="n">
        <v>2811</v>
      </c>
      <c r="C53" s="18">
        <f>(2494.0/B53*100)</f>
        <v/>
      </c>
      <c r="D53" s="19" t="n">
        <v>317</v>
      </c>
      <c r="E53" s="18" t="n">
        <v>63.74812468</v>
      </c>
      <c r="F53" s="20" t="n">
        <v>2.76373547</v>
      </c>
      <c r="G53" s="18" t="n">
        <v>27.14952136</v>
      </c>
      <c r="H53" s="20" t="n">
        <v>2.79158234</v>
      </c>
      <c r="I53" s="18" t="s">
        <v>567</v>
      </c>
      <c r="J53" s="20" t="s">
        <v>567</v>
      </c>
      <c r="K53" s="18" t="n">
        <v>0.94234177</v>
      </c>
      <c r="L53" s="20" t="n">
        <v>0.47140979</v>
      </c>
      <c r="M53" s="18" t="n">
        <v>0.45003668</v>
      </c>
      <c r="N53" s="20" t="n">
        <v>0.45101961</v>
      </c>
      <c r="O53" s="18" t="n">
        <v>0</v>
      </c>
      <c r="P53" s="20" t="n">
        <v>0</v>
      </c>
      <c r="Q53" s="18" t="n">
        <v>7.70997551</v>
      </c>
      <c r="R53" s="20" t="n">
        <v>1.47011295</v>
      </c>
    </row>
    <row r="54" spans="1:18">
      <c r="A54" s="15" t="s">
        <v>614</v>
      </c>
      <c r="B54" s="17" t="n">
        <v>2266</v>
      </c>
      <c r="C54" s="18">
        <f>(2017.0/B54*100)</f>
        <v/>
      </c>
      <c r="D54" s="19" t="n">
        <v>249</v>
      </c>
      <c r="E54" s="18" t="n">
        <v>61.89795535</v>
      </c>
      <c r="F54" s="20" t="n">
        <v>3.68242693</v>
      </c>
      <c r="G54" s="18" t="n">
        <v>4.42660419</v>
      </c>
      <c r="H54" s="20" t="n">
        <v>1.21563323</v>
      </c>
      <c r="I54" s="18" t="s">
        <v>567</v>
      </c>
      <c r="J54" s="20" t="s">
        <v>567</v>
      </c>
      <c r="K54" s="18" t="n">
        <v>15.78564294</v>
      </c>
      <c r="L54" s="20" t="n">
        <v>2.37746538</v>
      </c>
      <c r="M54" s="18" t="n">
        <v>0.76183614</v>
      </c>
      <c r="N54" s="20" t="n">
        <v>0.53013621</v>
      </c>
      <c r="O54" s="18" t="n">
        <v>0</v>
      </c>
      <c r="P54" s="20" t="n">
        <v>0</v>
      </c>
      <c r="Q54" s="18" t="n">
        <v>17.12796139</v>
      </c>
      <c r="R54" s="20" t="n">
        <v>2.75261504</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(2392.0/B56*100)</f>
        <v/>
      </c>
      <c r="D56" s="19" t="n">
        <v>292</v>
      </c>
      <c r="E56" s="18" t="n">
        <v>30.30957836</v>
      </c>
      <c r="F56" s="20" t="n">
        <v>2.56829981</v>
      </c>
      <c r="G56" s="18" t="n">
        <v>66.72073627</v>
      </c>
      <c r="H56" s="20" t="n">
        <v>2.83938849</v>
      </c>
      <c r="I56" s="18" t="s">
        <v>567</v>
      </c>
      <c r="J56" s="20" t="s">
        <v>567</v>
      </c>
      <c r="K56" s="18" t="n">
        <v>0.34256552</v>
      </c>
      <c r="L56" s="20" t="n">
        <v>0.35252132</v>
      </c>
      <c r="M56" s="18" t="n">
        <v>0</v>
      </c>
      <c r="N56" s="20" t="n">
        <v>0</v>
      </c>
      <c r="O56" s="18" t="n">
        <v>0</v>
      </c>
      <c r="P56" s="20" t="n">
        <v>0</v>
      </c>
      <c r="Q56" s="18" t="n">
        <v>2.62711985</v>
      </c>
      <c r="R56" s="20" t="n">
        <v>1.06599005</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(2981.0/B61*100)</f>
        <v/>
      </c>
      <c r="D61" s="19" t="n">
        <v>343</v>
      </c>
      <c r="E61" s="18" t="n">
        <v>45.74683271</v>
      </c>
      <c r="F61" s="20" t="n">
        <v>2.98039493</v>
      </c>
      <c r="G61" s="18" t="n">
        <v>51.57197679</v>
      </c>
      <c r="H61" s="20" t="n">
        <v>3.05727845</v>
      </c>
      <c r="I61" s="18" t="s">
        <v>567</v>
      </c>
      <c r="J61" s="20" t="s">
        <v>567</v>
      </c>
      <c r="K61" s="18" t="n">
        <v>0</v>
      </c>
      <c r="L61" s="20" t="n">
        <v>0</v>
      </c>
      <c r="M61" s="18" t="n">
        <v>0</v>
      </c>
      <c r="N61" s="20" t="n">
        <v>0</v>
      </c>
      <c r="O61" s="18" t="n">
        <v>0</v>
      </c>
      <c r="P61" s="20" t="n">
        <v>0</v>
      </c>
      <c r="Q61" s="18" t="n">
        <v>2.6811905</v>
      </c>
      <c r="R61" s="20" t="n">
        <v>0.8551402</v>
      </c>
    </row>
    <row r="62" spans="1:18">
      <c r="A62" s="15" t="s">
        <v>622</v>
      </c>
      <c r="B62" s="17" t="n">
        <v>2246</v>
      </c>
      <c r="C62" s="18">
        <f>(1998.0/B62*100)</f>
        <v/>
      </c>
      <c r="D62" s="19" t="n">
        <v>248</v>
      </c>
      <c r="E62" s="18" t="n">
        <v>31.94909334</v>
      </c>
      <c r="F62" s="20" t="n">
        <v>3.12032224</v>
      </c>
      <c r="G62" s="18" t="n">
        <v>66.04415523</v>
      </c>
      <c r="H62" s="20" t="n">
        <v>3.23652294</v>
      </c>
      <c r="I62" s="18" t="s">
        <v>567</v>
      </c>
      <c r="J62" s="20" t="s">
        <v>567</v>
      </c>
      <c r="K62" s="18" t="n">
        <v>0</v>
      </c>
      <c r="L62" s="20" t="n">
        <v>0</v>
      </c>
      <c r="M62" s="18" t="n">
        <v>0</v>
      </c>
      <c r="N62" s="20" t="n">
        <v>0</v>
      </c>
      <c r="O62" s="18" t="n">
        <v>0</v>
      </c>
      <c r="P62" s="20" t="n">
        <v>0</v>
      </c>
      <c r="Q62" s="18" t="n">
        <v>2.00675144</v>
      </c>
      <c r="R62" s="20" t="n">
        <v>0.87605487</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(2597.0/B66*100)</f>
        <v/>
      </c>
      <c r="D66" s="19" t="n">
        <v>297</v>
      </c>
      <c r="E66" s="18" t="n">
        <v>49.63863013</v>
      </c>
      <c r="F66" s="20" t="n">
        <v>3.17200968</v>
      </c>
      <c r="G66" s="18" t="n">
        <v>35.54572409</v>
      </c>
      <c r="H66" s="20" t="n">
        <v>3.22066635</v>
      </c>
      <c r="I66" s="18" t="s">
        <v>567</v>
      </c>
      <c r="J66" s="20" t="s">
        <v>567</v>
      </c>
      <c r="K66" s="18" t="n">
        <v>0</v>
      </c>
      <c r="L66" s="20" t="n">
        <v>0</v>
      </c>
      <c r="M66" s="18" t="n">
        <v>0.63996845</v>
      </c>
      <c r="N66" s="20" t="n">
        <v>0.44316041</v>
      </c>
      <c r="O66" s="18" t="n">
        <v>0</v>
      </c>
      <c r="P66" s="20" t="n">
        <v>0</v>
      </c>
      <c r="Q66" s="18" t="n">
        <v>14.17567733</v>
      </c>
      <c r="R66" s="20" t="n">
        <v>2.06837733</v>
      </c>
    </row>
    <row r="67" spans="1:18">
      <c r="A67" s="15" t="s">
        <v>627</v>
      </c>
      <c r="B67" s="17" t="n">
        <v>3511</v>
      </c>
      <c r="C67" s="18">
        <f>(3158.0/B67*100)</f>
        <v/>
      </c>
      <c r="D67" s="19" t="n">
        <v>353</v>
      </c>
      <c r="E67" s="18" t="n">
        <v>59.86874872</v>
      </c>
      <c r="F67" s="20" t="n">
        <v>2.33691159</v>
      </c>
      <c r="G67" s="18" t="n">
        <v>30.14165187</v>
      </c>
      <c r="H67" s="20" t="n">
        <v>2.2166563</v>
      </c>
      <c r="I67" s="18" t="s">
        <v>567</v>
      </c>
      <c r="J67" s="20" t="s">
        <v>567</v>
      </c>
      <c r="K67" s="18" t="n">
        <v>0.45992831</v>
      </c>
      <c r="L67" s="20" t="n">
        <v>0.32467937</v>
      </c>
      <c r="M67" s="18" t="n">
        <v>0</v>
      </c>
      <c r="N67" s="20" t="n">
        <v>0</v>
      </c>
      <c r="O67" s="18" t="n">
        <v>0</v>
      </c>
      <c r="P67" s="20" t="n">
        <v>0</v>
      </c>
      <c r="Q67" s="18" t="n">
        <v>9.5296711</v>
      </c>
      <c r="R67" s="20" t="n">
        <v>1.87357792</v>
      </c>
    </row>
    <row r="68" spans="1:18">
      <c r="A68" s="15" t="s">
        <v>628</v>
      </c>
      <c r="B68" s="17" t="n">
        <v>6049</v>
      </c>
      <c r="C68" s="18">
        <f>(5385.0/B68*100)</f>
        <v/>
      </c>
      <c r="D68" s="19" t="n">
        <v>664</v>
      </c>
      <c r="E68" s="18" t="n">
        <v>61.2274917</v>
      </c>
      <c r="F68" s="20" t="n">
        <v>1.93294421</v>
      </c>
      <c r="G68" s="18" t="n">
        <v>23.0617898</v>
      </c>
      <c r="H68" s="20" t="n">
        <v>1.57907313</v>
      </c>
      <c r="I68" s="18" t="s">
        <v>567</v>
      </c>
      <c r="J68" s="20" t="s">
        <v>567</v>
      </c>
      <c r="K68" s="18" t="n">
        <v>3.42048508</v>
      </c>
      <c r="L68" s="20" t="n">
        <v>0.73801377</v>
      </c>
      <c r="M68" s="18" t="n">
        <v>0</v>
      </c>
      <c r="N68" s="20" t="n">
        <v>0</v>
      </c>
      <c r="O68" s="18" t="n">
        <v>0</v>
      </c>
      <c r="P68" s="20" t="n">
        <v>0</v>
      </c>
      <c r="Q68" s="18" t="n">
        <v>12.29023342</v>
      </c>
      <c r="R68" s="20" t="n">
        <v>1.2934057</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(2610.0/B70*100)</f>
        <v/>
      </c>
      <c r="D70" s="19" t="n">
        <v>319</v>
      </c>
      <c r="E70" s="18" t="n">
        <v>37.70085233</v>
      </c>
      <c r="F70" s="20" t="n">
        <v>3.78496812</v>
      </c>
      <c r="G70" s="18" t="n">
        <v>55.11984828</v>
      </c>
      <c r="H70" s="20" t="n">
        <v>4.06728386</v>
      </c>
      <c r="I70" s="18" t="s">
        <v>567</v>
      </c>
      <c r="J70" s="20" t="s">
        <v>567</v>
      </c>
      <c r="K70" s="18" t="n">
        <v>0.78844819</v>
      </c>
      <c r="L70" s="20" t="n">
        <v>0.43579853</v>
      </c>
      <c r="M70" s="18" t="n">
        <v>0</v>
      </c>
      <c r="N70" s="20" t="n">
        <v>0</v>
      </c>
      <c r="O70" s="18" t="n">
        <v>0</v>
      </c>
      <c r="P70" s="20" t="n">
        <v>0</v>
      </c>
      <c r="Q70" s="18" t="n">
        <v>6.39085121</v>
      </c>
      <c r="R70" s="20" t="n">
        <v>1.47295593</v>
      </c>
    </row>
    <row r="71" spans="1:18">
      <c r="A71" s="15" t="s">
        <v>631</v>
      </c>
      <c r="B71" s="17" t="n">
        <v>3142</v>
      </c>
      <c r="C71" s="18">
        <f>(2801.0/B71*100)</f>
        <v/>
      </c>
      <c r="D71" s="19" t="n">
        <v>341</v>
      </c>
      <c r="E71" s="18" t="n">
        <v>35.80740714</v>
      </c>
      <c r="F71" s="20" t="n">
        <v>2.77846765</v>
      </c>
      <c r="G71" s="18" t="n">
        <v>63.32393652</v>
      </c>
      <c r="H71" s="20" t="n">
        <v>2.81773914</v>
      </c>
      <c r="I71" s="18" t="s">
        <v>567</v>
      </c>
      <c r="J71" s="20" t="s">
        <v>567</v>
      </c>
      <c r="K71" s="18" t="n">
        <v>0</v>
      </c>
      <c r="L71" s="20" t="n">
        <v>0</v>
      </c>
      <c r="M71" s="18" t="n">
        <v>0</v>
      </c>
      <c r="N71" s="20" t="n">
        <v>0</v>
      </c>
      <c r="O71" s="18" t="n">
        <v>0</v>
      </c>
      <c r="P71" s="20" t="n">
        <v>0</v>
      </c>
      <c r="Q71" s="18" t="n">
        <v>0.86865634</v>
      </c>
      <c r="R71" s="20" t="n">
        <v>0.42511429</v>
      </c>
    </row>
    <row r="72" spans="1:18">
      <c r="A72" s="15" t="s">
        <v>632</v>
      </c>
      <c r="B72" s="17" t="n">
        <v>3889</v>
      </c>
      <c r="C72" s="18">
        <f>(3449.0/B72*100)</f>
        <v/>
      </c>
      <c r="D72" s="19" t="n">
        <v>440</v>
      </c>
      <c r="E72" s="18" t="n">
        <v>26.18049838</v>
      </c>
      <c r="F72" s="20" t="n">
        <v>2.18813472</v>
      </c>
      <c r="G72" s="18" t="n">
        <v>72.26200661</v>
      </c>
      <c r="H72" s="20" t="n">
        <v>2.19567878</v>
      </c>
      <c r="I72" s="18" t="s">
        <v>567</v>
      </c>
      <c r="J72" s="20" t="s">
        <v>567</v>
      </c>
      <c r="K72" s="18" t="n">
        <v>0.30110292</v>
      </c>
      <c r="L72" s="20" t="n">
        <v>0.30243754</v>
      </c>
      <c r="M72" s="18" t="n">
        <v>0</v>
      </c>
      <c r="N72" s="20" t="n">
        <v>0</v>
      </c>
      <c r="O72" s="18" t="n">
        <v>0</v>
      </c>
      <c r="P72" s="20" t="n">
        <v>0</v>
      </c>
      <c r="Q72" s="18" t="n">
        <v>1.25639209</v>
      </c>
      <c r="R72" s="20" t="n">
        <v>0.43818956</v>
      </c>
    </row>
    <row r="73" spans="1:18">
      <c r="A73" s="15" t="s">
        <v>633</v>
      </c>
      <c r="B73" s="17" t="n">
        <v>3597</v>
      </c>
      <c r="C73" s="18">
        <f>(3242.0/B73*100)</f>
        <v/>
      </c>
      <c r="D73" s="19" t="n">
        <v>355</v>
      </c>
      <c r="E73" s="18" t="n">
        <v>76.63065631000001</v>
      </c>
      <c r="F73" s="20" t="n">
        <v>2.77173919</v>
      </c>
      <c r="G73" s="18" t="n">
        <v>19.59212791</v>
      </c>
      <c r="H73" s="20" t="n">
        <v>2.58197512</v>
      </c>
      <c r="I73" s="18" t="s">
        <v>567</v>
      </c>
      <c r="J73" s="20" t="s">
        <v>567</v>
      </c>
      <c r="K73" s="18" t="n">
        <v>0</v>
      </c>
      <c r="L73" s="20" t="n">
        <v>0</v>
      </c>
      <c r="M73" s="18" t="n">
        <v>0</v>
      </c>
      <c r="N73" s="20" t="n">
        <v>0</v>
      </c>
      <c r="O73" s="18" t="n">
        <v>0</v>
      </c>
      <c r="P73" s="20" t="n">
        <v>0</v>
      </c>
      <c r="Q73" s="18" t="n">
        <v>3.77721578</v>
      </c>
      <c r="R73" s="20" t="n">
        <v>1.22794132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(2177.0/B75*100)</f>
        <v/>
      </c>
      <c r="D75" s="19" t="n">
        <v>229</v>
      </c>
      <c r="E75" s="18" t="n">
        <v>65.10999224</v>
      </c>
      <c r="F75" s="20" t="n">
        <v>3.84385307</v>
      </c>
      <c r="G75" s="18" t="n">
        <v>20.2063436</v>
      </c>
      <c r="H75" s="20" t="n">
        <v>2.88396488</v>
      </c>
      <c r="I75" s="18" t="s">
        <v>567</v>
      </c>
      <c r="J75" s="20" t="s">
        <v>567</v>
      </c>
      <c r="K75" s="18" t="n">
        <v>3.07374369</v>
      </c>
      <c r="L75" s="20" t="n">
        <v>1.24846091</v>
      </c>
      <c r="M75" s="18" t="n">
        <v>0.50827313</v>
      </c>
      <c r="N75" s="20" t="n">
        <v>0.50934565</v>
      </c>
      <c r="O75" s="18" t="n">
        <v>0</v>
      </c>
      <c r="P75" s="20" t="n">
        <v>0</v>
      </c>
      <c r="Q75" s="18" t="n">
        <v>11.10164735</v>
      </c>
      <c r="R75" s="20" t="n">
        <v>2.91479033</v>
      </c>
    </row>
    <row r="76" spans="1:18">
      <c r="A76" s="15" t="s">
        <v>636</v>
      </c>
      <c r="B76" s="17" t="n">
        <v>7052</v>
      </c>
      <c r="C76" s="18">
        <f>(6259.0/B76*100)</f>
        <v/>
      </c>
      <c r="D76" s="19" t="n">
        <v>793</v>
      </c>
      <c r="E76" s="18" t="n">
        <v>65.81463303</v>
      </c>
      <c r="F76" s="20" t="n">
        <v>1.86633539</v>
      </c>
      <c r="G76" s="18" t="n">
        <v>27.35021398</v>
      </c>
      <c r="H76" s="20" t="n">
        <v>2.01728057</v>
      </c>
      <c r="I76" s="18" t="s">
        <v>567</v>
      </c>
      <c r="J76" s="20" t="s">
        <v>567</v>
      </c>
      <c r="K76" s="18" t="n">
        <v>1.45941565</v>
      </c>
      <c r="L76" s="20" t="n">
        <v>0.5682554399999999</v>
      </c>
      <c r="M76" s="18" t="n">
        <v>0.06542756</v>
      </c>
      <c r="N76" s="20" t="n">
        <v>0.06572157000000001</v>
      </c>
      <c r="O76" s="18" t="n">
        <v>0</v>
      </c>
      <c r="P76" s="20" t="n">
        <v>0</v>
      </c>
      <c r="Q76" s="18" t="n">
        <v>5.31030978</v>
      </c>
      <c r="R76" s="20" t="n">
        <v>0.98604062</v>
      </c>
    </row>
    <row r="77" spans="1:18">
      <c r="A77" s="15" t="s">
        <v>637</v>
      </c>
      <c r="B77" s="17" t="n">
        <v>2908</v>
      </c>
      <c r="C77" s="18">
        <f>(2592.0/B77*100)</f>
        <v/>
      </c>
      <c r="D77" s="19" t="n">
        <v>316</v>
      </c>
      <c r="E77" s="18" t="n">
        <v>50.19931453</v>
      </c>
      <c r="F77" s="20" t="n">
        <v>3.25291354</v>
      </c>
      <c r="G77" s="18" t="n">
        <v>35.81943123</v>
      </c>
      <c r="H77" s="20" t="n">
        <v>3.21062536</v>
      </c>
      <c r="I77" s="18" t="s">
        <v>567</v>
      </c>
      <c r="J77" s="20" t="s">
        <v>567</v>
      </c>
      <c r="K77" s="18" t="n">
        <v>0.93818152</v>
      </c>
      <c r="L77" s="20" t="n">
        <v>0.55255496</v>
      </c>
      <c r="M77" s="18" t="n">
        <v>0</v>
      </c>
      <c r="N77" s="20" t="n">
        <v>0</v>
      </c>
      <c r="O77" s="18" t="n">
        <v>0</v>
      </c>
      <c r="P77" s="20" t="n">
        <v>0</v>
      </c>
      <c r="Q77" s="18" t="n">
        <v>13.04307272</v>
      </c>
      <c r="R77" s="20" t="n">
        <v>1.89364601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(3729.0/B81*100)</f>
        <v/>
      </c>
      <c r="D81" s="19" t="n">
        <v>434</v>
      </c>
      <c r="E81" s="18" t="n">
        <v>58.86934233</v>
      </c>
      <c r="F81" s="20" t="n">
        <v>2.81149049</v>
      </c>
      <c r="G81" s="18" t="n">
        <v>40.38068068</v>
      </c>
      <c r="H81" s="20" t="n">
        <v>2.8324629</v>
      </c>
      <c r="I81" s="18" t="s">
        <v>567</v>
      </c>
      <c r="J81" s="20" t="s">
        <v>567</v>
      </c>
      <c r="K81" s="18" t="n">
        <v>0</v>
      </c>
      <c r="L81" s="20" t="n">
        <v>0</v>
      </c>
      <c r="M81" s="18" t="n">
        <v>0</v>
      </c>
      <c r="N81" s="20" t="n">
        <v>0</v>
      </c>
      <c r="O81" s="18" t="n">
        <v>0</v>
      </c>
      <c r="P81" s="20" t="n">
        <v>0</v>
      </c>
      <c r="Q81" s="18" t="n">
        <v>0.74997699</v>
      </c>
      <c r="R81" s="20" t="n">
        <v>0.4543677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(6565.0/B7*100)</f>
        <v/>
      </c>
      <c r="D7" s="19" t="n">
        <v>802</v>
      </c>
      <c r="E7" s="18" t="n">
        <v>21.79578556</v>
      </c>
      <c r="F7" s="20" t="n">
        <v>1.42831352</v>
      </c>
      <c r="G7" s="18" t="n">
        <v>77.74858668</v>
      </c>
      <c r="H7" s="20" t="n">
        <v>1.44619976</v>
      </c>
      <c r="I7" s="18" t="s">
        <v>567</v>
      </c>
      <c r="J7" s="20" t="s">
        <v>567</v>
      </c>
      <c r="K7" s="18" t="n">
        <v>0.07573379</v>
      </c>
      <c r="L7" s="20" t="n">
        <v>0.07366427</v>
      </c>
      <c r="M7" s="18" t="n">
        <v>0</v>
      </c>
      <c r="N7" s="20" t="n">
        <v>0</v>
      </c>
      <c r="O7" s="18" t="n">
        <v>0</v>
      </c>
      <c r="P7" s="20" t="n">
        <v>0</v>
      </c>
      <c r="Q7" s="18" t="n">
        <v>0.37989396</v>
      </c>
      <c r="R7" s="20" t="n">
        <v>0.20668535</v>
      </c>
    </row>
    <row r="8" spans="1:18">
      <c r="A8" s="15" t="s">
        <v>568</v>
      </c>
      <c r="B8" s="17" t="n">
        <v>3564</v>
      </c>
      <c r="C8" s="18">
        <f>(3165.0/B8*100)</f>
        <v/>
      </c>
      <c r="D8" s="19" t="n">
        <v>399</v>
      </c>
      <c r="E8" s="18" t="n">
        <v>24.05908194</v>
      </c>
      <c r="F8" s="20" t="n">
        <v>2.27284912</v>
      </c>
      <c r="G8" s="18" t="n">
        <v>75.54628889</v>
      </c>
      <c r="H8" s="20" t="n">
        <v>2.30747101</v>
      </c>
      <c r="I8" s="18" t="s">
        <v>567</v>
      </c>
      <c r="J8" s="20" t="s">
        <v>567</v>
      </c>
      <c r="K8" s="18" t="n">
        <v>0.30096438</v>
      </c>
      <c r="L8" s="20" t="n">
        <v>0.45880482</v>
      </c>
      <c r="M8" s="18" t="n">
        <v>0</v>
      </c>
      <c r="N8" s="20" t="n">
        <v>0</v>
      </c>
      <c r="O8" s="18" t="n">
        <v>0</v>
      </c>
      <c r="P8" s="20" t="n">
        <v>0</v>
      </c>
      <c r="Q8" s="18" t="n">
        <v>0.09366479</v>
      </c>
      <c r="R8" s="20" t="n">
        <v>0.09735914</v>
      </c>
    </row>
    <row r="9" spans="1:18">
      <c r="A9" s="15" t="s">
        <v>569</v>
      </c>
      <c r="B9" s="17" t="n">
        <v>4899</v>
      </c>
      <c r="C9" s="18">
        <f>(4427.0/B9*100)</f>
        <v/>
      </c>
      <c r="D9" s="19" t="n">
        <v>472</v>
      </c>
      <c r="E9" s="18" t="n">
        <v>19.01750299</v>
      </c>
      <c r="F9" s="20" t="n">
        <v>2.01133931</v>
      </c>
      <c r="G9" s="18" t="n">
        <v>80.61330298999999</v>
      </c>
      <c r="H9" s="20" t="n">
        <v>2.02329012</v>
      </c>
      <c r="I9" s="18" t="s">
        <v>567</v>
      </c>
      <c r="J9" s="20" t="s">
        <v>567</v>
      </c>
      <c r="K9" s="18" t="n">
        <v>0.20018619</v>
      </c>
      <c r="L9" s="20" t="n">
        <v>0.20065626</v>
      </c>
      <c r="M9" s="18" t="n">
        <v>0</v>
      </c>
      <c r="N9" s="20" t="n">
        <v>0</v>
      </c>
      <c r="O9" s="18" t="n">
        <v>0</v>
      </c>
      <c r="P9" s="20" t="n">
        <v>0</v>
      </c>
      <c r="Q9" s="18" t="n">
        <v>0.16900782</v>
      </c>
      <c r="R9" s="20" t="n">
        <v>0.16988598</v>
      </c>
    </row>
    <row r="10" spans="1:18">
      <c r="A10" s="15" t="s">
        <v>570</v>
      </c>
      <c r="B10" s="17" t="n">
        <v>10036</v>
      </c>
      <c r="C10" s="18">
        <f>(8969.0/B10*100)</f>
        <v/>
      </c>
      <c r="D10" s="19" t="n">
        <v>1067</v>
      </c>
      <c r="E10" s="18" t="n">
        <v>25.47791025</v>
      </c>
      <c r="F10" s="20" t="n">
        <v>1.93254812</v>
      </c>
      <c r="G10" s="18" t="n">
        <v>73.50992546000001</v>
      </c>
      <c r="H10" s="20" t="n">
        <v>1.87620628</v>
      </c>
      <c r="I10" s="18" t="s">
        <v>567</v>
      </c>
      <c r="J10" s="20" t="s">
        <v>567</v>
      </c>
      <c r="K10" s="18" t="n">
        <v>0.24883056</v>
      </c>
      <c r="L10" s="20" t="n">
        <v>0.18326602</v>
      </c>
      <c r="M10" s="18" t="n">
        <v>0</v>
      </c>
      <c r="N10" s="20" t="n">
        <v>0</v>
      </c>
      <c r="O10" s="18" t="n">
        <v>0</v>
      </c>
      <c r="P10" s="20" t="n">
        <v>0</v>
      </c>
      <c r="Q10" s="18" t="n">
        <v>0.76333373</v>
      </c>
      <c r="R10" s="20" t="n">
        <v>0.41260169</v>
      </c>
    </row>
    <row r="11" spans="1:18">
      <c r="A11" s="15" t="s">
        <v>571</v>
      </c>
      <c r="B11" s="17" t="n">
        <v>3553</v>
      </c>
      <c r="C11" s="18">
        <f>(3172.0/B11*100)</f>
        <v/>
      </c>
      <c r="D11" s="19" t="n">
        <v>381</v>
      </c>
      <c r="E11" s="18" t="n">
        <v>29.27973591</v>
      </c>
      <c r="F11" s="20" t="n">
        <v>2.46142743</v>
      </c>
      <c r="G11" s="18" t="n">
        <v>70.27197375</v>
      </c>
      <c r="H11" s="20" t="n">
        <v>2.45726023</v>
      </c>
      <c r="I11" s="18" t="s">
        <v>567</v>
      </c>
      <c r="J11" s="20" t="s">
        <v>567</v>
      </c>
      <c r="K11" s="18" t="n">
        <v>0.34509105</v>
      </c>
      <c r="L11" s="20" t="n">
        <v>0.34250147</v>
      </c>
      <c r="M11" s="18" t="n">
        <v>0</v>
      </c>
      <c r="N11" s="20" t="n">
        <v>0</v>
      </c>
      <c r="O11" s="18" t="n">
        <v>0</v>
      </c>
      <c r="P11" s="20" t="n">
        <v>0</v>
      </c>
      <c r="Q11" s="18" t="n">
        <v>0.10319929</v>
      </c>
      <c r="R11" s="20" t="n">
        <v>0.09013764</v>
      </c>
    </row>
    <row r="12" spans="1:18">
      <c r="A12" s="15" t="s">
        <v>572</v>
      </c>
      <c r="B12" s="17" t="n">
        <v>3472</v>
      </c>
      <c r="C12" s="18">
        <f>(3098.0/B12*100)</f>
        <v/>
      </c>
      <c r="D12" s="19" t="n">
        <v>374</v>
      </c>
      <c r="E12" s="18" t="n">
        <v>18.01423252</v>
      </c>
      <c r="F12" s="20" t="n">
        <v>2.15303568</v>
      </c>
      <c r="G12" s="18" t="n">
        <v>81.98576748000001</v>
      </c>
      <c r="H12" s="20" t="n">
        <v>2.15303568</v>
      </c>
      <c r="I12" s="18" t="s">
        <v>567</v>
      </c>
      <c r="J12" s="20" t="s">
        <v>567</v>
      </c>
      <c r="K12" s="18" t="n">
        <v>0</v>
      </c>
      <c r="L12" s="20" t="n">
        <v>0</v>
      </c>
      <c r="M12" s="18" t="n">
        <v>0</v>
      </c>
      <c r="N12" s="20" t="n">
        <v>0</v>
      </c>
      <c r="O12" s="18" t="n">
        <v>0</v>
      </c>
      <c r="P12" s="20" t="n">
        <v>0</v>
      </c>
      <c r="Q12" s="18" t="n">
        <v>0</v>
      </c>
      <c r="R12" s="20" t="n">
        <v>0</v>
      </c>
    </row>
    <row r="13" spans="1:18">
      <c r="A13" s="15" t="s">
        <v>573</v>
      </c>
      <c r="B13" s="17" t="n">
        <v>3559</v>
      </c>
      <c r="C13" s="18">
        <f>(3191.0/B13*100)</f>
        <v/>
      </c>
      <c r="D13" s="19" t="n">
        <v>368</v>
      </c>
      <c r="E13" s="18" t="n">
        <v>17.32782542</v>
      </c>
      <c r="F13" s="20" t="n">
        <v>2.32956546</v>
      </c>
      <c r="G13" s="18" t="n">
        <v>82.20052265</v>
      </c>
      <c r="H13" s="20" t="n">
        <v>2.34499502</v>
      </c>
      <c r="I13" s="18" t="s">
        <v>567</v>
      </c>
      <c r="J13" s="20" t="s">
        <v>567</v>
      </c>
      <c r="K13" s="18" t="n">
        <v>0.31728808</v>
      </c>
      <c r="L13" s="20" t="n">
        <v>0.22837537</v>
      </c>
      <c r="M13" s="18" t="n">
        <v>0</v>
      </c>
      <c r="N13" s="20" t="n">
        <v>0</v>
      </c>
      <c r="O13" s="18" t="n">
        <v>0</v>
      </c>
      <c r="P13" s="20" t="n">
        <v>0</v>
      </c>
      <c r="Q13" s="18" t="n">
        <v>0.15436385</v>
      </c>
      <c r="R13" s="20" t="n">
        <v>0.1578974</v>
      </c>
    </row>
    <row r="14" spans="1:18">
      <c r="A14" s="15" t="s">
        <v>574</v>
      </c>
      <c r="B14" s="17" t="n">
        <v>2799</v>
      </c>
      <c r="C14" s="18">
        <f>(2510.0/B14*100)</f>
        <v/>
      </c>
      <c r="D14" s="19" t="n">
        <v>289</v>
      </c>
      <c r="E14" s="18" t="n">
        <v>20.93957243</v>
      </c>
      <c r="F14" s="20" t="n">
        <v>2.3684939</v>
      </c>
      <c r="G14" s="18" t="n">
        <v>78.69113932</v>
      </c>
      <c r="H14" s="20" t="n">
        <v>2.38640086</v>
      </c>
      <c r="I14" s="18" t="s">
        <v>567</v>
      </c>
      <c r="J14" s="20" t="s">
        <v>567</v>
      </c>
      <c r="K14" s="18" t="n">
        <v>0</v>
      </c>
      <c r="L14" s="20" t="n">
        <v>0</v>
      </c>
      <c r="M14" s="18" t="n">
        <v>0</v>
      </c>
      <c r="N14" s="20" t="n">
        <v>0</v>
      </c>
      <c r="O14" s="18" t="n">
        <v>0</v>
      </c>
      <c r="P14" s="20" t="n">
        <v>0</v>
      </c>
      <c r="Q14" s="18" t="n">
        <v>0.36928824</v>
      </c>
      <c r="R14" s="20" t="n">
        <v>0.3735226</v>
      </c>
    </row>
    <row r="15" spans="1:18">
      <c r="A15" s="15" t="s">
        <v>575</v>
      </c>
      <c r="B15" s="17" t="n">
        <v>3019</v>
      </c>
      <c r="C15" s="18">
        <f>(2664.0/B15*100)</f>
        <v/>
      </c>
      <c r="D15" s="19" t="n">
        <v>355</v>
      </c>
      <c r="E15" s="18" t="n">
        <v>18.63242748</v>
      </c>
      <c r="F15" s="20" t="n">
        <v>2.05269585</v>
      </c>
      <c r="G15" s="18" t="n">
        <v>81.05193813</v>
      </c>
      <c r="H15" s="20" t="n">
        <v>2.08902336</v>
      </c>
      <c r="I15" s="18" t="s">
        <v>567</v>
      </c>
      <c r="J15" s="20" t="s">
        <v>567</v>
      </c>
      <c r="K15" s="18" t="n">
        <v>0</v>
      </c>
      <c r="L15" s="20" t="n">
        <v>0</v>
      </c>
      <c r="M15" s="18" t="n">
        <v>0</v>
      </c>
      <c r="N15" s="20" t="n">
        <v>0</v>
      </c>
      <c r="O15" s="18" t="n">
        <v>0</v>
      </c>
      <c r="P15" s="20" t="n">
        <v>0</v>
      </c>
      <c r="Q15" s="18" t="n">
        <v>0.31563439</v>
      </c>
      <c r="R15" s="20" t="n">
        <v>0.34461894</v>
      </c>
    </row>
    <row r="16" spans="1:18">
      <c r="A16" s="15" t="s">
        <v>576</v>
      </c>
      <c r="B16" s="17" t="n">
        <v>2997</v>
      </c>
      <c r="C16" s="18">
        <f>(2664.0/B16*100)</f>
        <v/>
      </c>
      <c r="D16" s="19" t="n">
        <v>333</v>
      </c>
      <c r="E16" s="18" t="n">
        <v>27.0755067</v>
      </c>
      <c r="F16" s="20" t="n">
        <v>2.05575755</v>
      </c>
      <c r="G16" s="18" t="n">
        <v>71.54285007</v>
      </c>
      <c r="H16" s="20" t="n">
        <v>2.10222715</v>
      </c>
      <c r="I16" s="18" t="s">
        <v>567</v>
      </c>
      <c r="J16" s="20" t="s">
        <v>567</v>
      </c>
      <c r="K16" s="18" t="n">
        <v>0.29983731</v>
      </c>
      <c r="L16" s="20" t="n">
        <v>0.31991358</v>
      </c>
      <c r="M16" s="18" t="n">
        <v>0</v>
      </c>
      <c r="N16" s="20" t="n">
        <v>0</v>
      </c>
      <c r="O16" s="18" t="n">
        <v>0</v>
      </c>
      <c r="P16" s="20" t="n">
        <v>0</v>
      </c>
      <c r="Q16" s="18" t="n">
        <v>1.08180592</v>
      </c>
      <c r="R16" s="20" t="n">
        <v>0.49931557</v>
      </c>
    </row>
    <row r="17" spans="1:18">
      <c r="A17" s="15" t="s">
        <v>577</v>
      </c>
      <c r="B17" s="17" t="n">
        <v>3307</v>
      </c>
      <c r="C17" s="18">
        <f>(2979.0/B17*100)</f>
        <v/>
      </c>
      <c r="D17" s="19" t="n">
        <v>328</v>
      </c>
      <c r="E17" s="18" t="n">
        <v>16.34097143</v>
      </c>
      <c r="F17" s="20" t="n">
        <v>2.44913927</v>
      </c>
      <c r="G17" s="18" t="n">
        <v>83.25010591</v>
      </c>
      <c r="H17" s="20" t="n">
        <v>2.42561729</v>
      </c>
      <c r="I17" s="18" t="s">
        <v>567</v>
      </c>
      <c r="J17" s="20" t="s">
        <v>567</v>
      </c>
      <c r="K17" s="18" t="n">
        <v>0</v>
      </c>
      <c r="L17" s="20" t="n">
        <v>0</v>
      </c>
      <c r="M17" s="18" t="n">
        <v>0</v>
      </c>
      <c r="N17" s="20" t="n">
        <v>0</v>
      </c>
      <c r="O17" s="18" t="n">
        <v>0</v>
      </c>
      <c r="P17" s="20" t="n">
        <v>0</v>
      </c>
      <c r="Q17" s="18" t="n">
        <v>0.40892266</v>
      </c>
      <c r="R17" s="20" t="n">
        <v>0.41026206</v>
      </c>
    </row>
    <row r="18" spans="1:18">
      <c r="A18" s="15" t="s">
        <v>578</v>
      </c>
      <c r="B18" s="17" t="n">
        <v>2826</v>
      </c>
      <c r="C18" s="18">
        <f>(2502.0/B18*100)</f>
        <v/>
      </c>
      <c r="D18" s="19" t="n">
        <v>324</v>
      </c>
      <c r="E18" s="18" t="n">
        <v>37.40428701</v>
      </c>
      <c r="F18" s="20" t="n">
        <v>3.26964599</v>
      </c>
      <c r="G18" s="18" t="n">
        <v>61.44832392</v>
      </c>
      <c r="H18" s="20" t="n">
        <v>3.18818878</v>
      </c>
      <c r="I18" s="18" t="s">
        <v>567</v>
      </c>
      <c r="J18" s="20" t="s">
        <v>567</v>
      </c>
      <c r="K18" s="18" t="n">
        <v>0.35335226</v>
      </c>
      <c r="L18" s="20" t="n">
        <v>0.35137277</v>
      </c>
      <c r="M18" s="18" t="n">
        <v>0</v>
      </c>
      <c r="N18" s="20" t="n">
        <v>0</v>
      </c>
      <c r="O18" s="18" t="n">
        <v>0</v>
      </c>
      <c r="P18" s="20" t="n">
        <v>0</v>
      </c>
      <c r="Q18" s="18" t="n">
        <v>0.7940368</v>
      </c>
      <c r="R18" s="20" t="n">
        <v>0.45317195</v>
      </c>
    </row>
    <row r="19" spans="1:18">
      <c r="A19" s="15" t="s">
        <v>579</v>
      </c>
      <c r="B19" s="17" t="n">
        <v>2808</v>
      </c>
      <c r="C19" s="18">
        <f>(2484.0/B19*100)</f>
        <v/>
      </c>
      <c r="D19" s="19" t="n">
        <v>324</v>
      </c>
      <c r="E19" s="18" t="n">
        <v>18.05894432</v>
      </c>
      <c r="F19" s="20" t="n">
        <v>2.60177349</v>
      </c>
      <c r="G19" s="18" t="n">
        <v>81.94105568000001</v>
      </c>
      <c r="H19" s="20" t="n">
        <v>2.60177349</v>
      </c>
      <c r="I19" s="18" t="s">
        <v>567</v>
      </c>
      <c r="J19" s="20" t="s">
        <v>567</v>
      </c>
      <c r="K19" s="18" t="n">
        <v>0</v>
      </c>
      <c r="L19" s="20" t="n">
        <v>0</v>
      </c>
      <c r="M19" s="18" t="n">
        <v>0</v>
      </c>
      <c r="N19" s="20" t="n">
        <v>0</v>
      </c>
      <c r="O19" s="18" t="n">
        <v>0</v>
      </c>
      <c r="P19" s="20" t="n">
        <v>0</v>
      </c>
      <c r="Q19" s="18" t="n">
        <v>0</v>
      </c>
      <c r="R19" s="20" t="n">
        <v>0</v>
      </c>
    </row>
    <row r="20" spans="1:18">
      <c r="A20" s="15" t="s">
        <v>580</v>
      </c>
      <c r="B20" s="17" t="n">
        <v>1630</v>
      </c>
      <c r="C20" s="18">
        <f>(1469.0/B20*100)</f>
        <v/>
      </c>
      <c r="D20" s="19" t="n">
        <v>161</v>
      </c>
      <c r="E20" s="18" t="n">
        <v>22.02041848</v>
      </c>
      <c r="F20" s="20" t="n">
        <v>3.16217155</v>
      </c>
      <c r="G20" s="18" t="n">
        <v>77.28256661</v>
      </c>
      <c r="H20" s="20" t="n">
        <v>3.20672605</v>
      </c>
      <c r="I20" s="18" t="s">
        <v>567</v>
      </c>
      <c r="J20" s="20" t="s">
        <v>567</v>
      </c>
      <c r="K20" s="18" t="n">
        <v>0</v>
      </c>
      <c r="L20" s="20" t="n">
        <v>0</v>
      </c>
      <c r="M20" s="18" t="n">
        <v>0</v>
      </c>
      <c r="N20" s="20" t="n">
        <v>0</v>
      </c>
      <c r="O20" s="18" t="n">
        <v>0</v>
      </c>
      <c r="P20" s="20" t="n">
        <v>0</v>
      </c>
      <c r="Q20" s="18" t="n">
        <v>0.69701491</v>
      </c>
      <c r="R20" s="20" t="n">
        <v>0.7139381299999999</v>
      </c>
    </row>
    <row r="21" spans="1:18">
      <c r="A21" s="15" t="s">
        <v>581</v>
      </c>
      <c r="B21" s="17" t="n">
        <v>2908</v>
      </c>
      <c r="C21" s="18">
        <f>(2598.0/B21*100)</f>
        <v/>
      </c>
      <c r="D21" s="19" t="n">
        <v>310</v>
      </c>
      <c r="E21" s="18" t="n">
        <v>17.33057631</v>
      </c>
      <c r="F21" s="20" t="n">
        <v>2.34745431</v>
      </c>
      <c r="G21" s="18" t="n">
        <v>82.66942369</v>
      </c>
      <c r="H21" s="20" t="n">
        <v>2.34745431</v>
      </c>
      <c r="I21" s="18" t="s">
        <v>567</v>
      </c>
      <c r="J21" s="20" t="s">
        <v>567</v>
      </c>
      <c r="K21" s="18" t="n">
        <v>0</v>
      </c>
      <c r="L21" s="20" t="n">
        <v>0</v>
      </c>
      <c r="M21" s="18" t="n">
        <v>0</v>
      </c>
      <c r="N21" s="20" t="n">
        <v>0</v>
      </c>
      <c r="O21" s="18" t="n">
        <v>0</v>
      </c>
      <c r="P21" s="20" t="n">
        <v>0</v>
      </c>
      <c r="Q21" s="18" t="n">
        <v>0</v>
      </c>
      <c r="R21" s="20" t="n">
        <v>0</v>
      </c>
    </row>
    <row r="22" spans="1:18">
      <c r="A22" s="15" t="s">
        <v>582</v>
      </c>
      <c r="B22" s="17" t="n">
        <v>2931</v>
      </c>
      <c r="C22" s="18">
        <f>(2619.0/B22*100)</f>
        <v/>
      </c>
      <c r="D22" s="19" t="n">
        <v>312</v>
      </c>
      <c r="E22" s="18" t="n">
        <v>36.61743167</v>
      </c>
      <c r="F22" s="20" t="n">
        <v>2.95499673</v>
      </c>
      <c r="G22" s="18" t="n">
        <v>61.84270323</v>
      </c>
      <c r="H22" s="20" t="n">
        <v>3.02148026</v>
      </c>
      <c r="I22" s="18" t="s">
        <v>567</v>
      </c>
      <c r="J22" s="20" t="s">
        <v>567</v>
      </c>
      <c r="K22" s="18" t="n">
        <v>0.89019004</v>
      </c>
      <c r="L22" s="20" t="n">
        <v>0.44264807</v>
      </c>
      <c r="M22" s="18" t="n">
        <v>0</v>
      </c>
      <c r="N22" s="20" t="n">
        <v>0</v>
      </c>
      <c r="O22" s="18" t="n">
        <v>0</v>
      </c>
      <c r="P22" s="20" t="n">
        <v>0</v>
      </c>
      <c r="Q22" s="18" t="n">
        <v>0.64967505</v>
      </c>
      <c r="R22" s="20" t="n">
        <v>0.37641119</v>
      </c>
    </row>
    <row r="23" spans="1:18">
      <c r="A23" s="15" t="s">
        <v>583</v>
      </c>
      <c r="B23" s="17" t="n">
        <v>5791</v>
      </c>
      <c r="C23" s="18">
        <f>(5133.0/B23*100)</f>
        <v/>
      </c>
      <c r="D23" s="19" t="n">
        <v>658</v>
      </c>
      <c r="E23" s="18" t="n">
        <v>21.77950993</v>
      </c>
      <c r="F23" s="20" t="n">
        <v>2.31564284</v>
      </c>
      <c r="G23" s="18" t="n">
        <v>77.48549548</v>
      </c>
      <c r="H23" s="20" t="n">
        <v>2.51817687</v>
      </c>
      <c r="I23" s="18" t="s">
        <v>567</v>
      </c>
      <c r="J23" s="20" t="s">
        <v>567</v>
      </c>
      <c r="K23" s="18" t="n">
        <v>0.58159463</v>
      </c>
      <c r="L23" s="20" t="n">
        <v>0.57558719</v>
      </c>
      <c r="M23" s="18" t="n">
        <v>0</v>
      </c>
      <c r="N23" s="20" t="n">
        <v>0</v>
      </c>
      <c r="O23" s="18" t="n">
        <v>0</v>
      </c>
      <c r="P23" s="20" t="n">
        <v>0</v>
      </c>
      <c r="Q23" s="18" t="n">
        <v>0.15339997</v>
      </c>
      <c r="R23" s="20" t="n">
        <v>0.15944123</v>
      </c>
    </row>
    <row r="24" spans="1:18">
      <c r="A24" s="15" t="s">
        <v>584</v>
      </c>
      <c r="B24" s="17" t="n">
        <v>3338</v>
      </c>
      <c r="C24" s="18">
        <f>(2975.0/B24*100)</f>
        <v/>
      </c>
      <c r="D24" s="19" t="n">
        <v>363</v>
      </c>
      <c r="E24" s="18" t="n">
        <v>29.32545655</v>
      </c>
      <c r="F24" s="20" t="n">
        <v>2.32947556</v>
      </c>
      <c r="G24" s="18" t="n">
        <v>70.43427873</v>
      </c>
      <c r="H24" s="20" t="n">
        <v>2.33372595</v>
      </c>
      <c r="I24" s="18" t="s">
        <v>567</v>
      </c>
      <c r="J24" s="20" t="s">
        <v>567</v>
      </c>
      <c r="K24" s="18" t="n">
        <v>0.24026473</v>
      </c>
      <c r="L24" s="20" t="n">
        <v>0.23977104</v>
      </c>
      <c r="M24" s="18" t="n">
        <v>0</v>
      </c>
      <c r="N24" s="20" t="n">
        <v>0</v>
      </c>
      <c r="O24" s="18" t="n">
        <v>0</v>
      </c>
      <c r="P24" s="20" t="n">
        <v>0</v>
      </c>
      <c r="Q24" s="18" t="n">
        <v>0</v>
      </c>
      <c r="R24" s="20" t="n">
        <v>0</v>
      </c>
    </row>
    <row r="25" spans="1:18">
      <c r="A25" s="15" t="s">
        <v>585</v>
      </c>
      <c r="B25" s="17" t="n">
        <v>2912</v>
      </c>
      <c r="C25" s="18">
        <f>(2561.0/B25*100)</f>
        <v/>
      </c>
      <c r="D25" s="19" t="n">
        <v>351</v>
      </c>
      <c r="E25" s="18" t="n">
        <v>31.33590352</v>
      </c>
      <c r="F25" s="20" t="n">
        <v>2.43819398</v>
      </c>
      <c r="G25" s="18" t="n">
        <v>66.96757373</v>
      </c>
      <c r="H25" s="20" t="n">
        <v>2.52920131</v>
      </c>
      <c r="I25" s="18" t="s">
        <v>567</v>
      </c>
      <c r="J25" s="20" t="s">
        <v>567</v>
      </c>
      <c r="K25" s="18" t="n">
        <v>1.69652275</v>
      </c>
      <c r="L25" s="20" t="n">
        <v>0.6732216</v>
      </c>
      <c r="M25" s="18" t="n">
        <v>0</v>
      </c>
      <c r="N25" s="20" t="n">
        <v>0</v>
      </c>
      <c r="O25" s="18" t="n">
        <v>0</v>
      </c>
      <c r="P25" s="20" t="n">
        <v>0</v>
      </c>
      <c r="Q25" s="18" t="n">
        <v>0</v>
      </c>
      <c r="R25" s="20" t="n">
        <v>0</v>
      </c>
    </row>
    <row r="26" spans="1:18">
      <c r="A26" s="15" t="s">
        <v>586</v>
      </c>
      <c r="B26" s="17" t="n">
        <v>2450</v>
      </c>
      <c r="C26" s="18">
        <f>(2181.0/B26*100)</f>
        <v/>
      </c>
      <c r="D26" s="19" t="n">
        <v>269</v>
      </c>
      <c r="E26" s="18" t="n">
        <v>21.65449824</v>
      </c>
      <c r="F26" s="20" t="n">
        <v>3.11833211</v>
      </c>
      <c r="G26" s="18" t="n">
        <v>78.34550176</v>
      </c>
      <c r="H26" s="20" t="n">
        <v>3.11833211</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(2352.0/B27*100)</f>
        <v/>
      </c>
      <c r="D27" s="19" t="n">
        <v>264</v>
      </c>
      <c r="E27" s="18" t="n">
        <v>25.51737248</v>
      </c>
      <c r="F27" s="20" t="n">
        <v>2.35401243</v>
      </c>
      <c r="G27" s="18" t="n">
        <v>74.11309866000001</v>
      </c>
      <c r="H27" s="20" t="n">
        <v>2.33437645</v>
      </c>
      <c r="I27" s="18" t="s">
        <v>567</v>
      </c>
      <c r="J27" s="20" t="s">
        <v>567</v>
      </c>
      <c r="K27" s="18" t="n">
        <v>0.36952886</v>
      </c>
      <c r="L27" s="20" t="n">
        <v>0.35989501</v>
      </c>
      <c r="M27" s="18" t="n">
        <v>0</v>
      </c>
      <c r="N27" s="20" t="n">
        <v>0</v>
      </c>
      <c r="O27" s="18" t="n">
        <v>0</v>
      </c>
      <c r="P27" s="20" t="n">
        <v>0</v>
      </c>
      <c r="Q27" s="18" t="n">
        <v>0</v>
      </c>
      <c r="R27" s="20" t="n">
        <v>0</v>
      </c>
    </row>
    <row r="28" spans="1:18">
      <c r="A28" s="15" t="s">
        <v>588</v>
      </c>
      <c r="B28" s="17" t="n">
        <v>3765</v>
      </c>
      <c r="C28" s="18">
        <f>(3358.0/B28*100)</f>
        <v/>
      </c>
      <c r="D28" s="19" t="n">
        <v>407</v>
      </c>
      <c r="E28" s="18" t="n">
        <v>30.53302383</v>
      </c>
      <c r="F28" s="20" t="n">
        <v>2.43403181</v>
      </c>
      <c r="G28" s="18" t="n">
        <v>68.1449314</v>
      </c>
      <c r="H28" s="20" t="n">
        <v>2.50894655</v>
      </c>
      <c r="I28" s="18" t="s">
        <v>567</v>
      </c>
      <c r="J28" s="20" t="s">
        <v>567</v>
      </c>
      <c r="K28" s="18" t="n">
        <v>1.16703115</v>
      </c>
      <c r="L28" s="20" t="n">
        <v>0.57055864</v>
      </c>
      <c r="M28" s="18" t="n">
        <v>0</v>
      </c>
      <c r="N28" s="20" t="n">
        <v>0</v>
      </c>
      <c r="O28" s="18" t="n">
        <v>0</v>
      </c>
      <c r="P28" s="20" t="n">
        <v>0</v>
      </c>
      <c r="Q28" s="18" t="n">
        <v>0.15501362</v>
      </c>
      <c r="R28" s="20" t="n">
        <v>0.15536314</v>
      </c>
    </row>
    <row r="29" spans="1:18">
      <c r="A29" s="15" t="s">
        <v>589</v>
      </c>
      <c r="B29" s="17" t="n">
        <v>2685</v>
      </c>
      <c r="C29" s="18">
        <f>(2387.0/B29*100)</f>
        <v/>
      </c>
      <c r="D29" s="19" t="n">
        <v>298</v>
      </c>
      <c r="E29" s="18" t="n">
        <v>19.33492734</v>
      </c>
      <c r="F29" s="20" t="n">
        <v>2.48383774</v>
      </c>
      <c r="G29" s="18" t="n">
        <v>79.97495381</v>
      </c>
      <c r="H29" s="20" t="n">
        <v>2.44921517</v>
      </c>
      <c r="I29" s="18" t="s">
        <v>567</v>
      </c>
      <c r="J29" s="20" t="s">
        <v>567</v>
      </c>
      <c r="K29" s="18" t="n">
        <v>0.38078387</v>
      </c>
      <c r="L29" s="20" t="n">
        <v>0.35229087</v>
      </c>
      <c r="M29" s="18" t="n">
        <v>0</v>
      </c>
      <c r="N29" s="20" t="n">
        <v>0</v>
      </c>
      <c r="O29" s="18" t="n">
        <v>0</v>
      </c>
      <c r="P29" s="20" t="n">
        <v>0</v>
      </c>
      <c r="Q29" s="18" t="n">
        <v>0.30933498</v>
      </c>
      <c r="R29" s="20" t="n">
        <v>0.40073208</v>
      </c>
    </row>
    <row r="30" spans="1:18">
      <c r="A30" s="15" t="s">
        <v>590</v>
      </c>
      <c r="B30" s="17" t="n">
        <v>2263</v>
      </c>
      <c r="C30" s="18">
        <f>(2022.0/B30*100)</f>
        <v/>
      </c>
      <c r="D30" s="19" t="n">
        <v>241</v>
      </c>
      <c r="E30" s="18" t="n">
        <v>20.79533924</v>
      </c>
      <c r="F30" s="20" t="n">
        <v>2.63841077</v>
      </c>
      <c r="G30" s="18" t="n">
        <v>78.22300522</v>
      </c>
      <c r="H30" s="20" t="n">
        <v>2.71516507</v>
      </c>
      <c r="I30" s="18" t="s">
        <v>567</v>
      </c>
      <c r="J30" s="20" t="s">
        <v>567</v>
      </c>
      <c r="K30" s="18" t="n">
        <v>0.98165554</v>
      </c>
      <c r="L30" s="20" t="n">
        <v>0.64578105</v>
      </c>
      <c r="M30" s="18" t="n">
        <v>0</v>
      </c>
      <c r="N30" s="20" t="n">
        <v>0</v>
      </c>
      <c r="O30" s="18" t="n">
        <v>0</v>
      </c>
      <c r="P30" s="20" t="n">
        <v>0</v>
      </c>
      <c r="Q30" s="18" t="n">
        <v>0</v>
      </c>
      <c r="R30" s="20" t="n">
        <v>0</v>
      </c>
    </row>
    <row r="31" spans="1:18">
      <c r="A31" s="15" t="s">
        <v>591</v>
      </c>
      <c r="B31" s="17" t="n">
        <v>2750</v>
      </c>
      <c r="C31" s="18">
        <f>(2455.0/B31*100)</f>
        <v/>
      </c>
      <c r="D31" s="19" t="n">
        <v>295</v>
      </c>
      <c r="E31" s="18" t="n">
        <v>24.15721545</v>
      </c>
      <c r="F31" s="20" t="n">
        <v>2.40541802</v>
      </c>
      <c r="G31" s="18" t="n">
        <v>75.16820153</v>
      </c>
      <c r="H31" s="20" t="n">
        <v>2.48773273</v>
      </c>
      <c r="I31" s="18" t="s">
        <v>567</v>
      </c>
      <c r="J31" s="20" t="s">
        <v>567</v>
      </c>
      <c r="K31" s="18" t="n">
        <v>0.67458302</v>
      </c>
      <c r="L31" s="20" t="n">
        <v>0.48815371</v>
      </c>
      <c r="M31" s="18" t="n">
        <v>0</v>
      </c>
      <c r="N31" s="20" t="n">
        <v>0</v>
      </c>
      <c r="O31" s="18" t="n">
        <v>0</v>
      </c>
      <c r="P31" s="20" t="n">
        <v>0</v>
      </c>
      <c r="Q31" s="18" t="n">
        <v>0</v>
      </c>
      <c r="R31" s="20" t="n">
        <v>0</v>
      </c>
    </row>
    <row r="32" spans="1:18">
      <c r="A32" s="15" t="s">
        <v>592</v>
      </c>
      <c r="B32" s="17" t="n">
        <v>2269</v>
      </c>
      <c r="C32" s="18">
        <f>(2026.0/B32*100)</f>
        <v/>
      </c>
      <c r="D32" s="19" t="n">
        <v>243</v>
      </c>
      <c r="E32" s="18" t="n">
        <v>21.71880433</v>
      </c>
      <c r="F32" s="20" t="n">
        <v>2.70965091</v>
      </c>
      <c r="G32" s="18" t="n">
        <v>77.91765402999999</v>
      </c>
      <c r="H32" s="20" t="n">
        <v>2.72758218</v>
      </c>
      <c r="I32" s="18" t="s">
        <v>567</v>
      </c>
      <c r="J32" s="20" t="s">
        <v>567</v>
      </c>
      <c r="K32" s="18" t="n">
        <v>0</v>
      </c>
      <c r="L32" s="20" t="n">
        <v>0</v>
      </c>
      <c r="M32" s="18" t="n">
        <v>0</v>
      </c>
      <c r="N32" s="20" t="n">
        <v>0</v>
      </c>
      <c r="O32" s="18" t="n">
        <v>0</v>
      </c>
      <c r="P32" s="20" t="n">
        <v>0</v>
      </c>
      <c r="Q32" s="18" t="n">
        <v>0.36354164</v>
      </c>
      <c r="R32" s="20" t="n">
        <v>0.38144759</v>
      </c>
    </row>
    <row r="33" spans="1:18">
      <c r="A33" s="15" t="s">
        <v>593</v>
      </c>
      <c r="B33" s="17" t="n">
        <v>3674</v>
      </c>
      <c r="C33" s="18">
        <f>(3286.0/B33*100)</f>
        <v/>
      </c>
      <c r="D33" s="19" t="n">
        <v>388</v>
      </c>
      <c r="E33" s="18" t="n">
        <v>29.91377956</v>
      </c>
      <c r="F33" s="20" t="n">
        <v>2.47997653</v>
      </c>
      <c r="G33" s="18" t="n">
        <v>69.52641385</v>
      </c>
      <c r="H33" s="20" t="n">
        <v>2.46471735</v>
      </c>
      <c r="I33" s="18" t="s">
        <v>567</v>
      </c>
      <c r="J33" s="20" t="s">
        <v>567</v>
      </c>
      <c r="K33" s="18" t="n">
        <v>0.51707158</v>
      </c>
      <c r="L33" s="20" t="n">
        <v>0.61108665</v>
      </c>
      <c r="M33" s="18" t="n">
        <v>0</v>
      </c>
      <c r="N33" s="20" t="n">
        <v>0</v>
      </c>
      <c r="O33" s="18" t="n">
        <v>0</v>
      </c>
      <c r="P33" s="20" t="n">
        <v>0</v>
      </c>
      <c r="Q33" s="18" t="n">
        <v>0.04273502</v>
      </c>
      <c r="R33" s="20" t="n">
        <v>0.04298774</v>
      </c>
    </row>
    <row r="34" spans="1:18">
      <c r="A34" s="15" t="s">
        <v>594</v>
      </c>
      <c r="B34" s="17" t="n">
        <v>3315</v>
      </c>
      <c r="C34" s="18">
        <f>(2960.0/B34*100)</f>
        <v/>
      </c>
      <c r="D34" s="19" t="n">
        <v>355</v>
      </c>
      <c r="E34" s="18" t="n">
        <v>29.97295709</v>
      </c>
      <c r="F34" s="20" t="n">
        <v>2.48327126</v>
      </c>
      <c r="G34" s="18" t="n">
        <v>69.22288197</v>
      </c>
      <c r="H34" s="20" t="n">
        <v>2.52212085</v>
      </c>
      <c r="I34" s="18" t="s">
        <v>567</v>
      </c>
      <c r="J34" s="20" t="s">
        <v>567</v>
      </c>
      <c r="K34" s="18" t="n">
        <v>0</v>
      </c>
      <c r="L34" s="20" t="n">
        <v>0</v>
      </c>
      <c r="M34" s="18" t="n">
        <v>0</v>
      </c>
      <c r="N34" s="20" t="n">
        <v>0</v>
      </c>
      <c r="O34" s="18" t="n">
        <v>0</v>
      </c>
      <c r="P34" s="20" t="n">
        <v>0</v>
      </c>
      <c r="Q34" s="18" t="n">
        <v>0.80416094</v>
      </c>
      <c r="R34" s="20" t="n">
        <v>0.60062346</v>
      </c>
    </row>
    <row r="35" spans="1:18">
      <c r="A35" s="15" t="s">
        <v>595</v>
      </c>
      <c r="B35" s="17" t="n">
        <v>3505</v>
      </c>
      <c r="C35" s="18">
        <f>(3109.0/B35*100)</f>
        <v/>
      </c>
      <c r="D35" s="19" t="n">
        <v>396</v>
      </c>
      <c r="E35" s="18" t="n">
        <v>17.66220927</v>
      </c>
      <c r="F35" s="20" t="n">
        <v>2.18115465</v>
      </c>
      <c r="G35" s="18" t="n">
        <v>82.21096142</v>
      </c>
      <c r="H35" s="20" t="n">
        <v>2.18572603</v>
      </c>
      <c r="I35" s="18" t="s">
        <v>567</v>
      </c>
      <c r="J35" s="20" t="s">
        <v>567</v>
      </c>
      <c r="K35" s="18" t="n">
        <v>0</v>
      </c>
      <c r="L35" s="20" t="n">
        <v>0</v>
      </c>
      <c r="M35" s="18" t="n">
        <v>0</v>
      </c>
      <c r="N35" s="20" t="n">
        <v>0</v>
      </c>
      <c r="O35" s="18" t="n">
        <v>0</v>
      </c>
      <c r="P35" s="20" t="n">
        <v>0</v>
      </c>
      <c r="Q35" s="18" t="n">
        <v>0.12682931</v>
      </c>
      <c r="R35" s="20" t="n">
        <v>0.12610151</v>
      </c>
    </row>
    <row r="36" spans="1:18">
      <c r="A36" s="15" t="s">
        <v>596</v>
      </c>
      <c r="B36" s="17" t="n">
        <v>3332</v>
      </c>
      <c r="C36" s="18">
        <f>(2959.0/B36*100)</f>
        <v/>
      </c>
      <c r="D36" s="19" t="n">
        <v>373</v>
      </c>
      <c r="E36" s="18" t="n">
        <v>22.06597966</v>
      </c>
      <c r="F36" s="20" t="n">
        <v>2.15056202</v>
      </c>
      <c r="G36" s="18" t="n">
        <v>75.69671773</v>
      </c>
      <c r="H36" s="20" t="n">
        <v>2.30165889</v>
      </c>
      <c r="I36" s="18" t="s">
        <v>567</v>
      </c>
      <c r="J36" s="20" t="s">
        <v>567</v>
      </c>
      <c r="K36" s="18" t="n">
        <v>1.61282975</v>
      </c>
      <c r="L36" s="20" t="n">
        <v>0.78396532</v>
      </c>
      <c r="M36" s="18" t="n">
        <v>0</v>
      </c>
      <c r="N36" s="20" t="n">
        <v>0</v>
      </c>
      <c r="O36" s="18" t="n">
        <v>0</v>
      </c>
      <c r="P36" s="20" t="n">
        <v>0</v>
      </c>
      <c r="Q36" s="18" t="n">
        <v>0.62447286</v>
      </c>
      <c r="R36" s="20" t="n">
        <v>0.46149511</v>
      </c>
    </row>
    <row r="37" spans="1:18">
      <c r="A37" s="15" t="s">
        <v>597</v>
      </c>
      <c r="B37" s="17" t="n">
        <v>2727</v>
      </c>
      <c r="C37" s="18">
        <f>(2444.0/B37*100)</f>
        <v/>
      </c>
      <c r="D37" s="19" t="n">
        <v>283</v>
      </c>
      <c r="E37" s="18" t="n">
        <v>24.2741084</v>
      </c>
      <c r="F37" s="20" t="n">
        <v>2.55917013</v>
      </c>
      <c r="G37" s="18" t="n">
        <v>73.96805437</v>
      </c>
      <c r="H37" s="20" t="n">
        <v>2.5702574</v>
      </c>
      <c r="I37" s="18" t="s">
        <v>567</v>
      </c>
      <c r="J37" s="20" t="s">
        <v>567</v>
      </c>
      <c r="K37" s="18" t="n">
        <v>1.01463053</v>
      </c>
      <c r="L37" s="20" t="n">
        <v>0.59754834</v>
      </c>
      <c r="M37" s="18" t="n">
        <v>0</v>
      </c>
      <c r="N37" s="20" t="n">
        <v>0</v>
      </c>
      <c r="O37" s="18" t="n">
        <v>0</v>
      </c>
      <c r="P37" s="20" t="n">
        <v>0</v>
      </c>
      <c r="Q37" s="18" t="n">
        <v>0.7432067</v>
      </c>
      <c r="R37" s="20" t="n">
        <v>0.53986329</v>
      </c>
    </row>
    <row r="38" spans="1:18">
      <c r="A38" s="15" t="s">
        <v>598</v>
      </c>
      <c r="B38" s="17" t="n">
        <v>3053</v>
      </c>
      <c r="C38" s="18">
        <f>(2716.0/B38*100)</f>
        <v/>
      </c>
      <c r="D38" s="19" t="n">
        <v>337</v>
      </c>
      <c r="E38" s="18" t="n">
        <v>19.21089177</v>
      </c>
      <c r="F38" s="20" t="n">
        <v>2.45865674</v>
      </c>
      <c r="G38" s="18" t="n">
        <v>80.42894815</v>
      </c>
      <c r="H38" s="20" t="n">
        <v>2.51447981</v>
      </c>
      <c r="I38" s="18" t="s">
        <v>567</v>
      </c>
      <c r="J38" s="20" t="s">
        <v>567</v>
      </c>
      <c r="K38" s="18" t="n">
        <v>0.36016007</v>
      </c>
      <c r="L38" s="20" t="n">
        <v>0.3647661</v>
      </c>
      <c r="M38" s="18" t="n">
        <v>0</v>
      </c>
      <c r="N38" s="20" t="n">
        <v>0</v>
      </c>
      <c r="O38" s="18" t="n">
        <v>0</v>
      </c>
      <c r="P38" s="20" t="n">
        <v>0</v>
      </c>
      <c r="Q38" s="18" t="n">
        <v>0</v>
      </c>
      <c r="R38" s="20" t="n">
        <v>0</v>
      </c>
    </row>
    <row r="39" spans="1:18">
      <c r="A39" s="15" t="s">
        <v>599</v>
      </c>
      <c r="B39" s="17" t="n">
        <v>2957</v>
      </c>
      <c r="C39" s="18">
        <f>(2640.0/B39*100)</f>
        <v/>
      </c>
      <c r="D39" s="19" t="n">
        <v>317</v>
      </c>
      <c r="E39" s="18" t="n">
        <v>50.0388619</v>
      </c>
      <c r="F39" s="20" t="n">
        <v>2.71998041</v>
      </c>
      <c r="G39" s="18" t="n">
        <v>49.72048094</v>
      </c>
      <c r="H39" s="20" t="n">
        <v>2.73983364</v>
      </c>
      <c r="I39" s="18" t="s">
        <v>567</v>
      </c>
      <c r="J39" s="20" t="s">
        <v>567</v>
      </c>
      <c r="K39" s="18" t="n">
        <v>0</v>
      </c>
      <c r="L39" s="20" t="n">
        <v>0</v>
      </c>
      <c r="M39" s="18" t="n">
        <v>0</v>
      </c>
      <c r="N39" s="20" t="n">
        <v>0</v>
      </c>
      <c r="O39" s="18" t="n">
        <v>0</v>
      </c>
      <c r="P39" s="20" t="n">
        <v>0</v>
      </c>
      <c r="Q39" s="18" t="n">
        <v>0.24065716</v>
      </c>
      <c r="R39" s="20" t="n">
        <v>0.24516997</v>
      </c>
    </row>
    <row r="40" spans="1:18">
      <c r="A40" s="15" t="s">
        <v>600</v>
      </c>
      <c r="B40" s="17" t="n">
        <v>7235</v>
      </c>
      <c r="C40" s="18">
        <f>(6425.0/B40*100)</f>
        <v/>
      </c>
      <c r="D40" s="19" t="n">
        <v>810</v>
      </c>
      <c r="E40" s="18" t="n">
        <v>19.56928052</v>
      </c>
      <c r="F40" s="20" t="n">
        <v>2.14861128</v>
      </c>
      <c r="G40" s="18" t="n">
        <v>78.51577329</v>
      </c>
      <c r="H40" s="20" t="n">
        <v>2.22612385</v>
      </c>
      <c r="I40" s="18" t="s">
        <v>567</v>
      </c>
      <c r="J40" s="20" t="s">
        <v>567</v>
      </c>
      <c r="K40" s="18" t="n">
        <v>1.00857857</v>
      </c>
      <c r="L40" s="20" t="n">
        <v>0.53718598</v>
      </c>
      <c r="M40" s="18" t="n">
        <v>0</v>
      </c>
      <c r="N40" s="20" t="n">
        <v>0</v>
      </c>
      <c r="O40" s="18" t="n">
        <v>0</v>
      </c>
      <c r="P40" s="20" t="n">
        <v>0</v>
      </c>
      <c r="Q40" s="18" t="n">
        <v>0.90636762</v>
      </c>
      <c r="R40" s="20" t="n">
        <v>0.71486792</v>
      </c>
    </row>
    <row r="41" spans="1:18">
      <c r="A41" s="15" t="s">
        <v>601</v>
      </c>
      <c r="B41" s="17" t="n">
        <v>2858</v>
      </c>
      <c r="C41" s="18">
        <f>(2555.0/B41*100)</f>
        <v/>
      </c>
      <c r="D41" s="19" t="n">
        <v>303</v>
      </c>
      <c r="E41" s="18" t="n">
        <v>28.97603455</v>
      </c>
      <c r="F41" s="20" t="n">
        <v>2.53328158</v>
      </c>
      <c r="G41" s="18" t="n">
        <v>69.3801718</v>
      </c>
      <c r="H41" s="20" t="n">
        <v>2.65921722</v>
      </c>
      <c r="I41" s="18" t="s">
        <v>567</v>
      </c>
      <c r="J41" s="20" t="s">
        <v>567</v>
      </c>
      <c r="K41" s="18" t="n">
        <v>0.88473713</v>
      </c>
      <c r="L41" s="20" t="n">
        <v>0.56124469</v>
      </c>
      <c r="M41" s="18" t="n">
        <v>0</v>
      </c>
      <c r="N41" s="20" t="n">
        <v>0</v>
      </c>
      <c r="O41" s="18" t="n">
        <v>0</v>
      </c>
      <c r="P41" s="20" t="n">
        <v>0</v>
      </c>
      <c r="Q41" s="18" t="n">
        <v>0.75905652</v>
      </c>
      <c r="R41" s="20" t="n">
        <v>0.52552316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(10132.0/B46*100)</f>
        <v/>
      </c>
      <c r="D46" s="19" t="n">
        <v>936</v>
      </c>
      <c r="E46" s="18" t="n">
        <v>49.43841939</v>
      </c>
      <c r="F46" s="20" t="n">
        <v>1.99788586</v>
      </c>
      <c r="G46" s="18" t="n">
        <v>46.85886276</v>
      </c>
      <c r="H46" s="20" t="n">
        <v>2.07680195</v>
      </c>
      <c r="I46" s="18" t="s">
        <v>567</v>
      </c>
      <c r="J46" s="20" t="s">
        <v>567</v>
      </c>
      <c r="K46" s="18" t="n">
        <v>2.11168669</v>
      </c>
      <c r="L46" s="20" t="n">
        <v>0.65719918</v>
      </c>
      <c r="M46" s="18" t="n">
        <v>0</v>
      </c>
      <c r="N46" s="20" t="n">
        <v>0</v>
      </c>
      <c r="O46" s="18" t="n">
        <v>0</v>
      </c>
      <c r="P46" s="20" t="n">
        <v>0</v>
      </c>
      <c r="Q46" s="18" t="n">
        <v>1.59103116</v>
      </c>
      <c r="R46" s="20" t="n">
        <v>0.48944776</v>
      </c>
    </row>
    <row r="47" spans="1:18">
      <c r="A47" s="15" t="s">
        <v>607</v>
      </c>
      <c r="B47" s="17" t="n">
        <v>3105</v>
      </c>
      <c r="C47" s="18">
        <f>(2770.0/B47*100)</f>
        <v/>
      </c>
      <c r="D47" s="19" t="n">
        <v>335</v>
      </c>
      <c r="E47" s="18" t="n">
        <v>37.00099734</v>
      </c>
      <c r="F47" s="20" t="n">
        <v>2.58601695</v>
      </c>
      <c r="G47" s="18" t="n">
        <v>62.7058576</v>
      </c>
      <c r="H47" s="20" t="n">
        <v>2.6133037</v>
      </c>
      <c r="I47" s="18" t="s">
        <v>567</v>
      </c>
      <c r="J47" s="20" t="s">
        <v>567</v>
      </c>
      <c r="K47" s="18" t="n">
        <v>0</v>
      </c>
      <c r="L47" s="20" t="n">
        <v>0</v>
      </c>
      <c r="M47" s="18" t="n">
        <v>0</v>
      </c>
      <c r="N47" s="20" t="n">
        <v>0</v>
      </c>
      <c r="O47" s="18" t="n">
        <v>0</v>
      </c>
      <c r="P47" s="20" t="n">
        <v>0</v>
      </c>
      <c r="Q47" s="18" t="n">
        <v>0.29314506</v>
      </c>
      <c r="R47" s="20" t="n">
        <v>0.26192722</v>
      </c>
    </row>
    <row r="48" spans="1:18">
      <c r="A48" s="15" t="s">
        <v>608</v>
      </c>
      <c r="B48" s="17" t="n">
        <v>5159</v>
      </c>
      <c r="C48" s="18">
        <f>(4600.0/B48*100)</f>
        <v/>
      </c>
      <c r="D48" s="19" t="n">
        <v>559</v>
      </c>
      <c r="E48" s="18" t="n">
        <v>32.07098308</v>
      </c>
      <c r="F48" s="20" t="n">
        <v>2.44799816</v>
      </c>
      <c r="G48" s="18" t="n">
        <v>66.56963763</v>
      </c>
      <c r="H48" s="20" t="n">
        <v>2.53496472</v>
      </c>
      <c r="I48" s="18" t="s">
        <v>567</v>
      </c>
      <c r="J48" s="20" t="s">
        <v>567</v>
      </c>
      <c r="K48" s="18" t="n">
        <v>0.5758711</v>
      </c>
      <c r="L48" s="20" t="n">
        <v>0.29206686</v>
      </c>
      <c r="M48" s="18" t="n">
        <v>0</v>
      </c>
      <c r="N48" s="20" t="n">
        <v>0</v>
      </c>
      <c r="O48" s="18" t="n">
        <v>0</v>
      </c>
      <c r="P48" s="20" t="n">
        <v>0</v>
      </c>
      <c r="Q48" s="18" t="n">
        <v>0.78350818</v>
      </c>
      <c r="R48" s="20" t="n">
        <v>0.61287244</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(5045.0/B50*100)</f>
        <v/>
      </c>
      <c r="D50" s="19" t="n">
        <v>592</v>
      </c>
      <c r="E50" s="18" t="n">
        <v>21.14424471</v>
      </c>
      <c r="F50" s="20" t="n">
        <v>2.20505854</v>
      </c>
      <c r="G50" s="18" t="n">
        <v>75.27058529999999</v>
      </c>
      <c r="H50" s="20" t="n">
        <v>2.45048741</v>
      </c>
      <c r="I50" s="18" t="s">
        <v>567</v>
      </c>
      <c r="J50" s="20" t="s">
        <v>567</v>
      </c>
      <c r="K50" s="18" t="n">
        <v>3.25969035</v>
      </c>
      <c r="L50" s="20" t="n">
        <v>1.23465692</v>
      </c>
      <c r="M50" s="18" t="n">
        <v>0</v>
      </c>
      <c r="N50" s="20" t="n">
        <v>0</v>
      </c>
      <c r="O50" s="18" t="n">
        <v>0</v>
      </c>
      <c r="P50" s="20" t="n">
        <v>0</v>
      </c>
      <c r="Q50" s="18" t="n">
        <v>0.32547964</v>
      </c>
      <c r="R50" s="20" t="n">
        <v>0.28425876</v>
      </c>
    </row>
    <row r="51" spans="1:18">
      <c r="A51" s="15" t="s">
        <v>611</v>
      </c>
      <c r="B51" s="17" t="n">
        <v>3372</v>
      </c>
      <c r="C51" s="18">
        <f>(3049.0/B51*100)</f>
        <v/>
      </c>
      <c r="D51" s="19" t="n">
        <v>323</v>
      </c>
      <c r="E51" s="18" t="n">
        <v>32.87350307</v>
      </c>
      <c r="F51" s="20" t="n">
        <v>2.64873705</v>
      </c>
      <c r="G51" s="18" t="n">
        <v>66.77513288999999</v>
      </c>
      <c r="H51" s="20" t="n">
        <v>2.63060006</v>
      </c>
      <c r="I51" s="18" t="s">
        <v>567</v>
      </c>
      <c r="J51" s="20" t="s">
        <v>567</v>
      </c>
      <c r="K51" s="18" t="n">
        <v>0.35136404</v>
      </c>
      <c r="L51" s="20" t="n">
        <v>0.34897476</v>
      </c>
      <c r="M51" s="18" t="n">
        <v>0</v>
      </c>
      <c r="N51" s="20" t="n">
        <v>0</v>
      </c>
      <c r="O51" s="18" t="n">
        <v>0</v>
      </c>
      <c r="P51" s="20" t="n">
        <v>0</v>
      </c>
      <c r="Q51" s="18" t="n">
        <v>0</v>
      </c>
      <c r="R51" s="20" t="n">
        <v>0</v>
      </c>
    </row>
    <row r="52" spans="1:18">
      <c r="A52" s="15" t="s">
        <v>612</v>
      </c>
      <c r="B52" s="17" t="n">
        <v>2796</v>
      </c>
      <c r="C52" s="18">
        <f>(2479.0/B52*100)</f>
        <v/>
      </c>
      <c r="D52" s="19" t="n">
        <v>317</v>
      </c>
      <c r="E52" s="18" t="n">
        <v>31.28361747</v>
      </c>
      <c r="F52" s="20" t="n">
        <v>2.77556062</v>
      </c>
      <c r="G52" s="18" t="n">
        <v>68.06548485</v>
      </c>
      <c r="H52" s="20" t="n">
        <v>2.8074224</v>
      </c>
      <c r="I52" s="18" t="s">
        <v>567</v>
      </c>
      <c r="J52" s="20" t="s">
        <v>567</v>
      </c>
      <c r="K52" s="18" t="n">
        <v>0.32239369</v>
      </c>
      <c r="L52" s="20" t="n">
        <v>0.3149981</v>
      </c>
      <c r="M52" s="18" t="n">
        <v>0</v>
      </c>
      <c r="N52" s="20" t="n">
        <v>0</v>
      </c>
      <c r="O52" s="18" t="n">
        <v>0</v>
      </c>
      <c r="P52" s="20" t="n">
        <v>0</v>
      </c>
      <c r="Q52" s="18" t="n">
        <v>0.328504</v>
      </c>
      <c r="R52" s="20" t="n">
        <v>0.3305243</v>
      </c>
    </row>
    <row r="53" spans="1:18">
      <c r="A53" s="15" t="s">
        <v>613</v>
      </c>
      <c r="B53" s="17" t="n">
        <v>2811</v>
      </c>
      <c r="C53" s="18">
        <f>(2496.0/B53*100)</f>
        <v/>
      </c>
      <c r="D53" s="19" t="n">
        <v>315</v>
      </c>
      <c r="E53" s="18" t="n">
        <v>43.12334457</v>
      </c>
      <c r="F53" s="20" t="n">
        <v>2.86500435</v>
      </c>
      <c r="G53" s="18" t="n">
        <v>55.70869438</v>
      </c>
      <c r="H53" s="20" t="n">
        <v>2.78348094</v>
      </c>
      <c r="I53" s="18" t="s">
        <v>567</v>
      </c>
      <c r="J53" s="20" t="s">
        <v>567</v>
      </c>
      <c r="K53" s="18" t="n">
        <v>0.94976985</v>
      </c>
      <c r="L53" s="20" t="n">
        <v>0.47509868</v>
      </c>
      <c r="M53" s="18" t="n">
        <v>0</v>
      </c>
      <c r="N53" s="20" t="n">
        <v>0</v>
      </c>
      <c r="O53" s="18" t="n">
        <v>0</v>
      </c>
      <c r="P53" s="20" t="n">
        <v>0</v>
      </c>
      <c r="Q53" s="18" t="n">
        <v>0.21819121</v>
      </c>
      <c r="R53" s="20" t="n">
        <v>0.21908715</v>
      </c>
    </row>
    <row r="54" spans="1:18">
      <c r="A54" s="15" t="s">
        <v>614</v>
      </c>
      <c r="B54" s="17" t="n">
        <v>2266</v>
      </c>
      <c r="C54" s="18">
        <f>(2018.0/B54*100)</f>
        <v/>
      </c>
      <c r="D54" s="19" t="n">
        <v>248</v>
      </c>
      <c r="E54" s="18" t="n">
        <v>53.95369486</v>
      </c>
      <c r="F54" s="20" t="n">
        <v>3.43874332</v>
      </c>
      <c r="G54" s="18" t="n">
        <v>28.19221047</v>
      </c>
      <c r="H54" s="20" t="n">
        <v>3.08820182</v>
      </c>
      <c r="I54" s="18" t="s">
        <v>567</v>
      </c>
      <c r="J54" s="20" t="s">
        <v>567</v>
      </c>
      <c r="K54" s="18" t="n">
        <v>15.86242383</v>
      </c>
      <c r="L54" s="20" t="n">
        <v>2.38766412</v>
      </c>
      <c r="M54" s="18" t="n">
        <v>0</v>
      </c>
      <c r="N54" s="20" t="n">
        <v>0</v>
      </c>
      <c r="O54" s="18" t="n">
        <v>0</v>
      </c>
      <c r="P54" s="20" t="n">
        <v>0</v>
      </c>
      <c r="Q54" s="18" t="n">
        <v>1.99167084</v>
      </c>
      <c r="R54" s="20" t="n">
        <v>0.88735331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(2393.0/B56*100)</f>
        <v/>
      </c>
      <c r="D56" s="19" t="n">
        <v>291</v>
      </c>
      <c r="E56" s="18" t="n">
        <v>22.79775516</v>
      </c>
      <c r="F56" s="20" t="n">
        <v>2.79961559</v>
      </c>
      <c r="G56" s="18" t="n">
        <v>76.52645194</v>
      </c>
      <c r="H56" s="20" t="n">
        <v>2.85942519</v>
      </c>
      <c r="I56" s="18" t="s">
        <v>567</v>
      </c>
      <c r="J56" s="20" t="s">
        <v>567</v>
      </c>
      <c r="K56" s="18" t="n">
        <v>0.6757929</v>
      </c>
      <c r="L56" s="20" t="n">
        <v>0.48465416</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(2981.0/B61*100)</f>
        <v/>
      </c>
      <c r="D61" s="19" t="n">
        <v>343</v>
      </c>
      <c r="E61" s="18" t="n">
        <v>24.4554927</v>
      </c>
      <c r="F61" s="20" t="n">
        <v>2.72935592</v>
      </c>
      <c r="G61" s="18" t="n">
        <v>75.54450730000001</v>
      </c>
      <c r="H61" s="20" t="n">
        <v>2.72935592</v>
      </c>
      <c r="I61" s="18" t="s">
        <v>567</v>
      </c>
      <c r="J61" s="20" t="s">
        <v>567</v>
      </c>
      <c r="K61" s="18" t="n">
        <v>0</v>
      </c>
      <c r="L61" s="20" t="n">
        <v>0</v>
      </c>
      <c r="M61" s="18" t="n">
        <v>0</v>
      </c>
      <c r="N61" s="20" t="n">
        <v>0</v>
      </c>
      <c r="O61" s="18" t="n">
        <v>0</v>
      </c>
      <c r="P61" s="20" t="n">
        <v>0</v>
      </c>
      <c r="Q61" s="18" t="n">
        <v>0</v>
      </c>
      <c r="R61" s="20" t="n">
        <v>0</v>
      </c>
    </row>
    <row r="62" spans="1:18">
      <c r="A62" s="15" t="s">
        <v>622</v>
      </c>
      <c r="B62" s="17" t="n">
        <v>2246</v>
      </c>
      <c r="C62" s="18">
        <f>(2000.0/B62*100)</f>
        <v/>
      </c>
      <c r="D62" s="19" t="n">
        <v>246</v>
      </c>
      <c r="E62" s="18" t="n">
        <v>24.36818783</v>
      </c>
      <c r="F62" s="20" t="n">
        <v>2.81111933</v>
      </c>
      <c r="G62" s="18" t="n">
        <v>75.63181217</v>
      </c>
      <c r="H62" s="20" t="n">
        <v>2.81111933</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(2597.0/B66*100)</f>
        <v/>
      </c>
      <c r="D66" s="19" t="n">
        <v>297</v>
      </c>
      <c r="E66" s="18" t="n">
        <v>38.8060963</v>
      </c>
      <c r="F66" s="20" t="n">
        <v>2.77220081</v>
      </c>
      <c r="G66" s="18" t="n">
        <v>59.90867783</v>
      </c>
      <c r="H66" s="20" t="n">
        <v>2.74471836</v>
      </c>
      <c r="I66" s="18" t="s">
        <v>567</v>
      </c>
      <c r="J66" s="20" t="s">
        <v>567</v>
      </c>
      <c r="K66" s="18" t="n">
        <v>0</v>
      </c>
      <c r="L66" s="20" t="n">
        <v>0</v>
      </c>
      <c r="M66" s="18" t="n">
        <v>0</v>
      </c>
      <c r="N66" s="20" t="n">
        <v>0</v>
      </c>
      <c r="O66" s="18" t="n">
        <v>0</v>
      </c>
      <c r="P66" s="20" t="n">
        <v>0</v>
      </c>
      <c r="Q66" s="18" t="n">
        <v>1.28522587</v>
      </c>
      <c r="R66" s="20" t="n">
        <v>0.64074387</v>
      </c>
    </row>
    <row r="67" spans="1:18">
      <c r="A67" s="15" t="s">
        <v>627</v>
      </c>
      <c r="B67" s="17" t="n">
        <v>3511</v>
      </c>
      <c r="C67" s="18">
        <f>(3160.0/B67*100)</f>
        <v/>
      </c>
      <c r="D67" s="19" t="n">
        <v>351</v>
      </c>
      <c r="E67" s="18" t="n">
        <v>41.56267571</v>
      </c>
      <c r="F67" s="20" t="n">
        <v>2.9220904</v>
      </c>
      <c r="G67" s="18" t="n">
        <v>57.24793374</v>
      </c>
      <c r="H67" s="20" t="n">
        <v>2.89514984</v>
      </c>
      <c r="I67" s="18" t="s">
        <v>567</v>
      </c>
      <c r="J67" s="20" t="s">
        <v>567</v>
      </c>
      <c r="K67" s="18" t="n">
        <v>0.46253846</v>
      </c>
      <c r="L67" s="20" t="n">
        <v>0.32639524</v>
      </c>
      <c r="M67" s="18" t="n">
        <v>0</v>
      </c>
      <c r="N67" s="20" t="n">
        <v>0</v>
      </c>
      <c r="O67" s="18" t="n">
        <v>0</v>
      </c>
      <c r="P67" s="20" t="n">
        <v>0</v>
      </c>
      <c r="Q67" s="18" t="n">
        <v>0.72685209</v>
      </c>
      <c r="R67" s="20" t="n">
        <v>0.56217789</v>
      </c>
    </row>
    <row r="68" spans="1:18">
      <c r="A68" s="15" t="s">
        <v>628</v>
      </c>
      <c r="B68" s="17" t="n">
        <v>6049</v>
      </c>
      <c r="C68" s="18">
        <f>(5384.0/B68*100)</f>
        <v/>
      </c>
      <c r="D68" s="19" t="n">
        <v>665</v>
      </c>
      <c r="E68" s="18" t="n">
        <v>48.13707418</v>
      </c>
      <c r="F68" s="20" t="n">
        <v>1.90315908</v>
      </c>
      <c r="G68" s="18" t="n">
        <v>47.22129699</v>
      </c>
      <c r="H68" s="20" t="n">
        <v>1.7443179</v>
      </c>
      <c r="I68" s="18" t="s">
        <v>567</v>
      </c>
      <c r="J68" s="20" t="s">
        <v>567</v>
      </c>
      <c r="K68" s="18" t="n">
        <v>3.70201091</v>
      </c>
      <c r="L68" s="20" t="n">
        <v>0.70757753</v>
      </c>
      <c r="M68" s="18" t="n">
        <v>0</v>
      </c>
      <c r="N68" s="20" t="n">
        <v>0</v>
      </c>
      <c r="O68" s="18" t="n">
        <v>0</v>
      </c>
      <c r="P68" s="20" t="n">
        <v>0</v>
      </c>
      <c r="Q68" s="18" t="n">
        <v>0.93961792</v>
      </c>
      <c r="R68" s="20" t="n">
        <v>0.31395833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(2615.0/B70*100)</f>
        <v/>
      </c>
      <c r="D70" s="19" t="n">
        <v>314</v>
      </c>
      <c r="E70" s="18" t="n">
        <v>29.48078021</v>
      </c>
      <c r="F70" s="20" t="n">
        <v>2.87943091</v>
      </c>
      <c r="G70" s="18" t="n">
        <v>69.37369223</v>
      </c>
      <c r="H70" s="20" t="n">
        <v>2.96503971</v>
      </c>
      <c r="I70" s="18" t="s">
        <v>567</v>
      </c>
      <c r="J70" s="20" t="s">
        <v>567</v>
      </c>
      <c r="K70" s="18" t="n">
        <v>0.8096592</v>
      </c>
      <c r="L70" s="20" t="n">
        <v>0.44682055</v>
      </c>
      <c r="M70" s="18" t="n">
        <v>0</v>
      </c>
      <c r="N70" s="20" t="n">
        <v>0</v>
      </c>
      <c r="O70" s="18" t="n">
        <v>0</v>
      </c>
      <c r="P70" s="20" t="n">
        <v>0</v>
      </c>
      <c r="Q70" s="18" t="n">
        <v>0.33586836</v>
      </c>
      <c r="R70" s="20" t="n">
        <v>0.33247772</v>
      </c>
    </row>
    <row r="71" spans="1:18">
      <c r="A71" s="15" t="s">
        <v>631</v>
      </c>
      <c r="B71" s="17" t="n">
        <v>3142</v>
      </c>
      <c r="C71" s="18">
        <f>(2803.0/B71*100)</f>
        <v/>
      </c>
      <c r="D71" s="19" t="n">
        <v>339</v>
      </c>
      <c r="E71" s="18" t="n">
        <v>31.16688888</v>
      </c>
      <c r="F71" s="20" t="n">
        <v>2.43138766</v>
      </c>
      <c r="G71" s="18" t="n">
        <v>68.67823303999999</v>
      </c>
      <c r="H71" s="20" t="n">
        <v>2.43697034</v>
      </c>
      <c r="I71" s="18" t="s">
        <v>567</v>
      </c>
      <c r="J71" s="20" t="s">
        <v>567</v>
      </c>
      <c r="K71" s="18" t="n">
        <v>0</v>
      </c>
      <c r="L71" s="20" t="n">
        <v>0</v>
      </c>
      <c r="M71" s="18" t="n">
        <v>0</v>
      </c>
      <c r="N71" s="20" t="n">
        <v>0</v>
      </c>
      <c r="O71" s="18" t="n">
        <v>0</v>
      </c>
      <c r="P71" s="20" t="n">
        <v>0</v>
      </c>
      <c r="Q71" s="18" t="n">
        <v>0.15487808</v>
      </c>
      <c r="R71" s="20" t="n">
        <v>0.15488465</v>
      </c>
    </row>
    <row r="72" spans="1:18">
      <c r="A72" s="15" t="s">
        <v>632</v>
      </c>
      <c r="B72" s="17" t="n">
        <v>3889</v>
      </c>
      <c r="C72" s="18">
        <f>(3449.0/B72*100)</f>
        <v/>
      </c>
      <c r="D72" s="19" t="n">
        <v>440</v>
      </c>
      <c r="E72" s="18" t="n">
        <v>26.17365689</v>
      </c>
      <c r="F72" s="20" t="n">
        <v>2.50708986</v>
      </c>
      <c r="G72" s="18" t="n">
        <v>73.52524019000001</v>
      </c>
      <c r="H72" s="20" t="n">
        <v>2.57098649</v>
      </c>
      <c r="I72" s="18" t="s">
        <v>567</v>
      </c>
      <c r="J72" s="20" t="s">
        <v>567</v>
      </c>
      <c r="K72" s="18" t="n">
        <v>0.30110292</v>
      </c>
      <c r="L72" s="20" t="n">
        <v>0.30243754</v>
      </c>
      <c r="M72" s="18" t="n">
        <v>0</v>
      </c>
      <c r="N72" s="20" t="n">
        <v>0</v>
      </c>
      <c r="O72" s="18" t="n">
        <v>0</v>
      </c>
      <c r="P72" s="20" t="n">
        <v>0</v>
      </c>
      <c r="Q72" s="18" t="n">
        <v>0</v>
      </c>
      <c r="R72" s="20" t="n">
        <v>0</v>
      </c>
    </row>
    <row r="73" spans="1:18">
      <c r="A73" s="15" t="s">
        <v>633</v>
      </c>
      <c r="B73" s="17" t="n">
        <v>3597</v>
      </c>
      <c r="C73" s="18">
        <f>(3242.0/B73*100)</f>
        <v/>
      </c>
      <c r="D73" s="19" t="n">
        <v>355</v>
      </c>
      <c r="E73" s="18" t="n">
        <v>41.69391722</v>
      </c>
      <c r="F73" s="20" t="n">
        <v>2.99516334</v>
      </c>
      <c r="G73" s="18" t="n">
        <v>57.75987418</v>
      </c>
      <c r="H73" s="20" t="n">
        <v>2.87628921</v>
      </c>
      <c r="I73" s="18" t="s">
        <v>567</v>
      </c>
      <c r="J73" s="20" t="s">
        <v>567</v>
      </c>
      <c r="K73" s="18" t="n">
        <v>0</v>
      </c>
      <c r="L73" s="20" t="n">
        <v>0</v>
      </c>
      <c r="M73" s="18" t="n">
        <v>0</v>
      </c>
      <c r="N73" s="20" t="n">
        <v>0</v>
      </c>
      <c r="O73" s="18" t="n">
        <v>0</v>
      </c>
      <c r="P73" s="20" t="n">
        <v>0</v>
      </c>
      <c r="Q73" s="18" t="n">
        <v>0.54620861</v>
      </c>
      <c r="R73" s="20" t="n">
        <v>0.53255622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(2177.0/B75*100)</f>
        <v/>
      </c>
      <c r="D75" s="19" t="n">
        <v>229</v>
      </c>
      <c r="E75" s="18" t="n">
        <v>52.3018308</v>
      </c>
      <c r="F75" s="20" t="n">
        <v>3.37138146</v>
      </c>
      <c r="G75" s="18" t="n">
        <v>44.19463218</v>
      </c>
      <c r="H75" s="20" t="n">
        <v>3.56244897</v>
      </c>
      <c r="I75" s="18" t="s">
        <v>567</v>
      </c>
      <c r="J75" s="20" t="s">
        <v>567</v>
      </c>
      <c r="K75" s="18" t="n">
        <v>3.07374369</v>
      </c>
      <c r="L75" s="20" t="n">
        <v>1.24846091</v>
      </c>
      <c r="M75" s="18" t="n">
        <v>0</v>
      </c>
      <c r="N75" s="20" t="n">
        <v>0</v>
      </c>
      <c r="O75" s="18" t="n">
        <v>0</v>
      </c>
      <c r="P75" s="20" t="n">
        <v>0</v>
      </c>
      <c r="Q75" s="18" t="n">
        <v>0.42979334</v>
      </c>
      <c r="R75" s="20" t="n">
        <v>0.42393175</v>
      </c>
    </row>
    <row r="76" spans="1:18">
      <c r="A76" s="15" t="s">
        <v>636</v>
      </c>
      <c r="B76" s="17" t="n">
        <v>7052</v>
      </c>
      <c r="C76" s="18">
        <f>(6261.0/B76*100)</f>
        <v/>
      </c>
      <c r="D76" s="19" t="n">
        <v>791</v>
      </c>
      <c r="E76" s="18" t="n">
        <v>46.39078727</v>
      </c>
      <c r="F76" s="20" t="n">
        <v>2.10755082</v>
      </c>
      <c r="G76" s="18" t="n">
        <v>51.28878211</v>
      </c>
      <c r="H76" s="20" t="n">
        <v>2.04044693</v>
      </c>
      <c r="I76" s="18" t="s">
        <v>567</v>
      </c>
      <c r="J76" s="20" t="s">
        <v>567</v>
      </c>
      <c r="K76" s="18" t="n">
        <v>1.46209834</v>
      </c>
      <c r="L76" s="20" t="n">
        <v>0.56929919</v>
      </c>
      <c r="M76" s="18" t="n">
        <v>0</v>
      </c>
      <c r="N76" s="20" t="n">
        <v>0</v>
      </c>
      <c r="O76" s="18" t="n">
        <v>0</v>
      </c>
      <c r="P76" s="20" t="n">
        <v>0</v>
      </c>
      <c r="Q76" s="18" t="n">
        <v>0.8583322799999999</v>
      </c>
      <c r="R76" s="20" t="n">
        <v>0.40905571</v>
      </c>
    </row>
    <row r="77" spans="1:18">
      <c r="A77" s="15" t="s">
        <v>637</v>
      </c>
      <c r="B77" s="17" t="n">
        <v>2908</v>
      </c>
      <c r="C77" s="18">
        <f>(2592.0/B77*100)</f>
        <v/>
      </c>
      <c r="D77" s="19" t="n">
        <v>316</v>
      </c>
      <c r="E77" s="18" t="n">
        <v>33.43066399</v>
      </c>
      <c r="F77" s="20" t="n">
        <v>2.47118525</v>
      </c>
      <c r="G77" s="18" t="n">
        <v>64.89911351000001</v>
      </c>
      <c r="H77" s="20" t="n">
        <v>2.67767816</v>
      </c>
      <c r="I77" s="18" t="s">
        <v>567</v>
      </c>
      <c r="J77" s="20" t="s">
        <v>567</v>
      </c>
      <c r="K77" s="18" t="n">
        <v>0.93818152</v>
      </c>
      <c r="L77" s="20" t="n">
        <v>0.55255496</v>
      </c>
      <c r="M77" s="18" t="n">
        <v>0</v>
      </c>
      <c r="N77" s="20" t="n">
        <v>0</v>
      </c>
      <c r="O77" s="18" t="n">
        <v>0</v>
      </c>
      <c r="P77" s="20" t="n">
        <v>0</v>
      </c>
      <c r="Q77" s="18" t="n">
        <v>0.73204098</v>
      </c>
      <c r="R77" s="20" t="n">
        <v>0.49430336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(3730.0/B81*100)</f>
        <v/>
      </c>
      <c r="D81" s="19" t="n">
        <v>433</v>
      </c>
      <c r="E81" s="18" t="n">
        <v>31.86218082</v>
      </c>
      <c r="F81" s="20" t="n">
        <v>2.90133711</v>
      </c>
      <c r="G81" s="18" t="n">
        <v>67.51331852</v>
      </c>
      <c r="H81" s="20" t="n">
        <v>2.98375446</v>
      </c>
      <c r="I81" s="18" t="s">
        <v>567</v>
      </c>
      <c r="J81" s="20" t="s">
        <v>567</v>
      </c>
      <c r="K81" s="18" t="n">
        <v>0.31610635</v>
      </c>
      <c r="L81" s="20" t="n">
        <v>0.31884533</v>
      </c>
      <c r="M81" s="18" t="n">
        <v>0</v>
      </c>
      <c r="N81" s="20" t="n">
        <v>0</v>
      </c>
      <c r="O81" s="18" t="n">
        <v>0</v>
      </c>
      <c r="P81" s="20" t="n">
        <v>0</v>
      </c>
      <c r="Q81" s="18" t="n">
        <v>0.30839431</v>
      </c>
      <c r="R81" s="20" t="n">
        <v>0.31269963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(6567.0/B7*100)</f>
        <v/>
      </c>
      <c r="D7" s="19" t="n">
        <v>800</v>
      </c>
      <c r="E7" s="18" t="n">
        <v>31.2452231</v>
      </c>
      <c r="F7" s="20" t="n">
        <v>2.03827925</v>
      </c>
      <c r="G7" s="18" t="n">
        <v>66.78524004000001</v>
      </c>
      <c r="H7" s="20" t="n">
        <v>2.07992638</v>
      </c>
      <c r="I7" s="18" t="s">
        <v>567</v>
      </c>
      <c r="J7" s="20" t="s">
        <v>567</v>
      </c>
      <c r="K7" s="18" t="n">
        <v>0.19339059</v>
      </c>
      <c r="L7" s="20" t="n">
        <v>0.13798998</v>
      </c>
      <c r="M7" s="18" t="n">
        <v>0</v>
      </c>
      <c r="N7" s="20" t="n">
        <v>0</v>
      </c>
      <c r="O7" s="18" t="n">
        <v>0</v>
      </c>
      <c r="P7" s="20" t="n">
        <v>0</v>
      </c>
      <c r="Q7" s="18" t="n">
        <v>1.77614627</v>
      </c>
      <c r="R7" s="20" t="n">
        <v>0.55334264</v>
      </c>
    </row>
    <row r="8" spans="1:18">
      <c r="A8" s="15" t="s">
        <v>568</v>
      </c>
      <c r="B8" s="17" t="n">
        <v>3564</v>
      </c>
      <c r="C8" s="18">
        <f>(3165.0/B8*100)</f>
        <v/>
      </c>
      <c r="D8" s="19" t="n">
        <v>399</v>
      </c>
      <c r="E8" s="18" t="n">
        <v>48.24974167</v>
      </c>
      <c r="F8" s="20" t="n">
        <v>2.4298561</v>
      </c>
      <c r="G8" s="18" t="n">
        <v>50.53403842</v>
      </c>
      <c r="H8" s="20" t="n">
        <v>2.44748598</v>
      </c>
      <c r="I8" s="18" t="s">
        <v>567</v>
      </c>
      <c r="J8" s="20" t="s">
        <v>567</v>
      </c>
      <c r="K8" s="18" t="n">
        <v>0.30096438</v>
      </c>
      <c r="L8" s="20" t="n">
        <v>0.45880482</v>
      </c>
      <c r="M8" s="18" t="n">
        <v>0</v>
      </c>
      <c r="N8" s="20" t="n">
        <v>0</v>
      </c>
      <c r="O8" s="18" t="n">
        <v>0</v>
      </c>
      <c r="P8" s="20" t="n">
        <v>0</v>
      </c>
      <c r="Q8" s="18" t="n">
        <v>0.91525553</v>
      </c>
      <c r="R8" s="20" t="n">
        <v>0.4576028</v>
      </c>
    </row>
    <row r="9" spans="1:18">
      <c r="A9" s="15" t="s">
        <v>569</v>
      </c>
      <c r="B9" s="17" t="n">
        <v>4899</v>
      </c>
      <c r="C9" s="18">
        <f>(4429.0/B9*100)</f>
        <v/>
      </c>
      <c r="D9" s="19" t="n">
        <v>470</v>
      </c>
      <c r="E9" s="18" t="n">
        <v>35.49606713</v>
      </c>
      <c r="F9" s="20" t="n">
        <v>2.60177628</v>
      </c>
      <c r="G9" s="18" t="n">
        <v>63.16817931</v>
      </c>
      <c r="H9" s="20" t="n">
        <v>2.72248755</v>
      </c>
      <c r="I9" s="18" t="s">
        <v>567</v>
      </c>
      <c r="J9" s="20" t="s">
        <v>567</v>
      </c>
      <c r="K9" s="18" t="n">
        <v>0.34511382</v>
      </c>
      <c r="L9" s="20" t="n">
        <v>0.24914806</v>
      </c>
      <c r="M9" s="18" t="n">
        <v>0</v>
      </c>
      <c r="N9" s="20" t="n">
        <v>0</v>
      </c>
      <c r="O9" s="18" t="n">
        <v>0</v>
      </c>
      <c r="P9" s="20" t="n">
        <v>0</v>
      </c>
      <c r="Q9" s="18" t="n">
        <v>0.9906397300000001</v>
      </c>
      <c r="R9" s="20" t="n">
        <v>0.56050123</v>
      </c>
    </row>
    <row r="10" spans="1:18">
      <c r="A10" s="15" t="s">
        <v>570</v>
      </c>
      <c r="B10" s="17" t="n">
        <v>10036</v>
      </c>
      <c r="C10" s="18">
        <f>(8970.0/B10*100)</f>
        <v/>
      </c>
      <c r="D10" s="19" t="n">
        <v>1066</v>
      </c>
      <c r="E10" s="18" t="n">
        <v>36.08293503</v>
      </c>
      <c r="F10" s="20" t="n">
        <v>2.35589074</v>
      </c>
      <c r="G10" s="18" t="n">
        <v>61.33985186</v>
      </c>
      <c r="H10" s="20" t="n">
        <v>2.47444608</v>
      </c>
      <c r="I10" s="18" t="s">
        <v>567</v>
      </c>
      <c r="J10" s="20" t="s">
        <v>567</v>
      </c>
      <c r="K10" s="18" t="n">
        <v>0.5372893399999999</v>
      </c>
      <c r="L10" s="20" t="n">
        <v>0.31286162</v>
      </c>
      <c r="M10" s="18" t="n">
        <v>0</v>
      </c>
      <c r="N10" s="20" t="n">
        <v>0</v>
      </c>
      <c r="O10" s="18" t="n">
        <v>0</v>
      </c>
      <c r="P10" s="20" t="n">
        <v>0</v>
      </c>
      <c r="Q10" s="18" t="n">
        <v>2.03992377</v>
      </c>
      <c r="R10" s="20" t="n">
        <v>0.45489908</v>
      </c>
    </row>
    <row r="11" spans="1:18">
      <c r="A11" s="15" t="s">
        <v>571</v>
      </c>
      <c r="B11" s="17" t="n">
        <v>3553</v>
      </c>
      <c r="C11" s="18">
        <f>(3170.0/B11*100)</f>
        <v/>
      </c>
      <c r="D11" s="19" t="n">
        <v>383</v>
      </c>
      <c r="E11" s="18" t="n">
        <v>43.14136148</v>
      </c>
      <c r="F11" s="20" t="n">
        <v>2.69663846</v>
      </c>
      <c r="G11" s="18" t="n">
        <v>52.21859341</v>
      </c>
      <c r="H11" s="20" t="n">
        <v>2.8368025</v>
      </c>
      <c r="I11" s="18" t="s">
        <v>567</v>
      </c>
      <c r="J11" s="20" t="s">
        <v>567</v>
      </c>
      <c r="K11" s="18" t="n">
        <v>1.3058556</v>
      </c>
      <c r="L11" s="20" t="n">
        <v>0.57704941</v>
      </c>
      <c r="M11" s="18" t="n">
        <v>0</v>
      </c>
      <c r="N11" s="20" t="n">
        <v>0</v>
      </c>
      <c r="O11" s="18" t="n">
        <v>0</v>
      </c>
      <c r="P11" s="20" t="n">
        <v>0</v>
      </c>
      <c r="Q11" s="18" t="n">
        <v>3.33418951</v>
      </c>
      <c r="R11" s="20" t="n">
        <v>1.64370861</v>
      </c>
    </row>
    <row r="12" spans="1:18">
      <c r="A12" s="15" t="s">
        <v>572</v>
      </c>
      <c r="B12" s="17" t="n">
        <v>3472</v>
      </c>
      <c r="C12" s="18">
        <f>(3098.0/B12*100)</f>
        <v/>
      </c>
      <c r="D12" s="19" t="n">
        <v>374</v>
      </c>
      <c r="E12" s="18" t="n">
        <v>42.10246681</v>
      </c>
      <c r="F12" s="20" t="n">
        <v>3.16706825</v>
      </c>
      <c r="G12" s="18" t="n">
        <v>56.34155254</v>
      </c>
      <c r="H12" s="20" t="n">
        <v>3.26127745</v>
      </c>
      <c r="I12" s="18" t="s">
        <v>567</v>
      </c>
      <c r="J12" s="20" t="s">
        <v>567</v>
      </c>
      <c r="K12" s="18" t="n">
        <v>0</v>
      </c>
      <c r="L12" s="20" t="n">
        <v>0</v>
      </c>
      <c r="M12" s="18" t="n">
        <v>0</v>
      </c>
      <c r="N12" s="20" t="n">
        <v>0</v>
      </c>
      <c r="O12" s="18" t="n">
        <v>0</v>
      </c>
      <c r="P12" s="20" t="n">
        <v>0</v>
      </c>
      <c r="Q12" s="18" t="n">
        <v>1.55598064</v>
      </c>
      <c r="R12" s="20" t="n">
        <v>0.58622401</v>
      </c>
    </row>
    <row r="13" spans="1:18">
      <c r="A13" s="15" t="s">
        <v>573</v>
      </c>
      <c r="B13" s="17" t="n">
        <v>3559</v>
      </c>
      <c r="C13" s="18">
        <f>(3192.0/B13*100)</f>
        <v/>
      </c>
      <c r="D13" s="19" t="n">
        <v>367</v>
      </c>
      <c r="E13" s="18" t="n">
        <v>46.54762046</v>
      </c>
      <c r="F13" s="20" t="n">
        <v>3.25107924</v>
      </c>
      <c r="G13" s="18" t="n">
        <v>51.79486517</v>
      </c>
      <c r="H13" s="20" t="n">
        <v>3.17369657</v>
      </c>
      <c r="I13" s="18" t="s">
        <v>567</v>
      </c>
      <c r="J13" s="20" t="s">
        <v>567</v>
      </c>
      <c r="K13" s="18" t="n">
        <v>0.31742937</v>
      </c>
      <c r="L13" s="20" t="n">
        <v>0.22848471</v>
      </c>
      <c r="M13" s="18" t="n">
        <v>0</v>
      </c>
      <c r="N13" s="20" t="n">
        <v>0</v>
      </c>
      <c r="O13" s="18" t="n">
        <v>0</v>
      </c>
      <c r="P13" s="20" t="n">
        <v>0</v>
      </c>
      <c r="Q13" s="18" t="n">
        <v>1.340085</v>
      </c>
      <c r="R13" s="20" t="n">
        <v>0.64153722</v>
      </c>
    </row>
    <row r="14" spans="1:18">
      <c r="A14" s="15" t="s">
        <v>574</v>
      </c>
      <c r="B14" s="17" t="n">
        <v>2799</v>
      </c>
      <c r="C14" s="18">
        <f>(2510.0/B14*100)</f>
        <v/>
      </c>
      <c r="D14" s="19" t="n">
        <v>289</v>
      </c>
      <c r="E14" s="18" t="n">
        <v>23.29809635</v>
      </c>
      <c r="F14" s="20" t="n">
        <v>2.76775941</v>
      </c>
      <c r="G14" s="18" t="n">
        <v>75.52043926</v>
      </c>
      <c r="H14" s="20" t="n">
        <v>2.80210485</v>
      </c>
      <c r="I14" s="18" t="s">
        <v>567</v>
      </c>
      <c r="J14" s="20" t="s">
        <v>567</v>
      </c>
      <c r="K14" s="18" t="n">
        <v>0</v>
      </c>
      <c r="L14" s="20" t="n">
        <v>0</v>
      </c>
      <c r="M14" s="18" t="n">
        <v>0</v>
      </c>
      <c r="N14" s="20" t="n">
        <v>0</v>
      </c>
      <c r="O14" s="18" t="n">
        <v>0</v>
      </c>
      <c r="P14" s="20" t="n">
        <v>0</v>
      </c>
      <c r="Q14" s="18" t="n">
        <v>1.18146439</v>
      </c>
      <c r="R14" s="20" t="n">
        <v>0.5692773</v>
      </c>
    </row>
    <row r="15" spans="1:18">
      <c r="A15" s="15" t="s">
        <v>575</v>
      </c>
      <c r="B15" s="17" t="n">
        <v>3019</v>
      </c>
      <c r="C15" s="18">
        <f>(2665.0/B15*100)</f>
        <v/>
      </c>
      <c r="D15" s="19" t="n">
        <v>354</v>
      </c>
      <c r="E15" s="18" t="n">
        <v>33.64450908</v>
      </c>
      <c r="F15" s="20" t="n">
        <v>2.41003029</v>
      </c>
      <c r="G15" s="18" t="n">
        <v>63.97666227</v>
      </c>
      <c r="H15" s="20" t="n">
        <v>2.34808887</v>
      </c>
      <c r="I15" s="18" t="s">
        <v>567</v>
      </c>
      <c r="J15" s="20" t="s">
        <v>567</v>
      </c>
      <c r="K15" s="18" t="n">
        <v>0</v>
      </c>
      <c r="L15" s="20" t="n">
        <v>0</v>
      </c>
      <c r="M15" s="18" t="n">
        <v>0</v>
      </c>
      <c r="N15" s="20" t="n">
        <v>0</v>
      </c>
      <c r="O15" s="18" t="n">
        <v>0</v>
      </c>
      <c r="P15" s="20" t="n">
        <v>0</v>
      </c>
      <c r="Q15" s="18" t="n">
        <v>2.37882865</v>
      </c>
      <c r="R15" s="20" t="n">
        <v>0.86040919</v>
      </c>
    </row>
    <row r="16" spans="1:18">
      <c r="A16" s="15" t="s">
        <v>576</v>
      </c>
      <c r="B16" s="17" t="n">
        <v>2997</v>
      </c>
      <c r="C16" s="18">
        <f>(2667.0/B16*100)</f>
        <v/>
      </c>
      <c r="D16" s="19" t="n">
        <v>330</v>
      </c>
      <c r="E16" s="18" t="n">
        <v>41.53079384</v>
      </c>
      <c r="F16" s="20" t="n">
        <v>2.3899073</v>
      </c>
      <c r="G16" s="18" t="n">
        <v>52.8748969</v>
      </c>
      <c r="H16" s="20" t="n">
        <v>2.45475743</v>
      </c>
      <c r="I16" s="18" t="s">
        <v>567</v>
      </c>
      <c r="J16" s="20" t="s">
        <v>567</v>
      </c>
      <c r="K16" s="18" t="n">
        <v>1.00270493</v>
      </c>
      <c r="L16" s="20" t="n">
        <v>0.75345775</v>
      </c>
      <c r="M16" s="18" t="n">
        <v>0</v>
      </c>
      <c r="N16" s="20" t="n">
        <v>0</v>
      </c>
      <c r="O16" s="18" t="n">
        <v>0</v>
      </c>
      <c r="P16" s="20" t="n">
        <v>0</v>
      </c>
      <c r="Q16" s="18" t="n">
        <v>4.59160434</v>
      </c>
      <c r="R16" s="20" t="n">
        <v>1.06109086</v>
      </c>
    </row>
    <row r="17" spans="1:18">
      <c r="A17" s="15" t="s">
        <v>577</v>
      </c>
      <c r="B17" s="17" t="n">
        <v>3307</v>
      </c>
      <c r="C17" s="18">
        <f>(2980.0/B17*100)</f>
        <v/>
      </c>
      <c r="D17" s="19" t="n">
        <v>327</v>
      </c>
      <c r="E17" s="18" t="n">
        <v>41.00701159</v>
      </c>
      <c r="F17" s="20" t="n">
        <v>3.13381195</v>
      </c>
      <c r="G17" s="18" t="n">
        <v>57.9148902</v>
      </c>
      <c r="H17" s="20" t="n">
        <v>3.03599155</v>
      </c>
      <c r="I17" s="18" t="s">
        <v>567</v>
      </c>
      <c r="J17" s="20" t="s">
        <v>567</v>
      </c>
      <c r="K17" s="18" t="n">
        <v>0.25808244</v>
      </c>
      <c r="L17" s="20" t="n">
        <v>0.24339701</v>
      </c>
      <c r="M17" s="18" t="n">
        <v>0</v>
      </c>
      <c r="N17" s="20" t="n">
        <v>0</v>
      </c>
      <c r="O17" s="18" t="n">
        <v>0</v>
      </c>
      <c r="P17" s="20" t="n">
        <v>0</v>
      </c>
      <c r="Q17" s="18" t="n">
        <v>0.82001577</v>
      </c>
      <c r="R17" s="20" t="n">
        <v>0.47260555</v>
      </c>
    </row>
    <row r="18" spans="1:18">
      <c r="A18" s="15" t="s">
        <v>578</v>
      </c>
      <c r="B18" s="17" t="n">
        <v>2826</v>
      </c>
      <c r="C18" s="18">
        <f>(2501.0/B18*100)</f>
        <v/>
      </c>
      <c r="D18" s="19" t="n">
        <v>325</v>
      </c>
      <c r="E18" s="18" t="n">
        <v>50.11850611</v>
      </c>
      <c r="F18" s="20" t="n">
        <v>3.37755523</v>
      </c>
      <c r="G18" s="18" t="n">
        <v>46.86175355</v>
      </c>
      <c r="H18" s="20" t="n">
        <v>3.15752527</v>
      </c>
      <c r="I18" s="18" t="s">
        <v>567</v>
      </c>
      <c r="J18" s="20" t="s">
        <v>567</v>
      </c>
      <c r="K18" s="18" t="n">
        <v>0.70421617</v>
      </c>
      <c r="L18" s="20" t="n">
        <v>0.69775582</v>
      </c>
      <c r="M18" s="18" t="n">
        <v>0</v>
      </c>
      <c r="N18" s="20" t="n">
        <v>0</v>
      </c>
      <c r="O18" s="18" t="n">
        <v>0</v>
      </c>
      <c r="P18" s="20" t="n">
        <v>0</v>
      </c>
      <c r="Q18" s="18" t="n">
        <v>2.31552418</v>
      </c>
      <c r="R18" s="20" t="n">
        <v>0.83917973</v>
      </c>
    </row>
    <row r="19" spans="1:18">
      <c r="A19" s="15" t="s">
        <v>579</v>
      </c>
      <c r="B19" s="17" t="n">
        <v>2808</v>
      </c>
      <c r="C19" s="18">
        <f>(2484.0/B19*100)</f>
        <v/>
      </c>
      <c r="D19" s="19" t="n">
        <v>324</v>
      </c>
      <c r="E19" s="18" t="n">
        <v>38.94346291</v>
      </c>
      <c r="F19" s="20" t="n">
        <v>2.84457616</v>
      </c>
      <c r="G19" s="18" t="n">
        <v>60.04007445</v>
      </c>
      <c r="H19" s="20" t="n">
        <v>3.08624933</v>
      </c>
      <c r="I19" s="18" t="s">
        <v>567</v>
      </c>
      <c r="J19" s="20" t="s">
        <v>567</v>
      </c>
      <c r="K19" s="18" t="n">
        <v>0</v>
      </c>
      <c r="L19" s="20" t="n">
        <v>0</v>
      </c>
      <c r="M19" s="18" t="n">
        <v>0</v>
      </c>
      <c r="N19" s="20" t="n">
        <v>0</v>
      </c>
      <c r="O19" s="18" t="n">
        <v>0</v>
      </c>
      <c r="P19" s="20" t="n">
        <v>0</v>
      </c>
      <c r="Q19" s="18" t="n">
        <v>1.01646265</v>
      </c>
      <c r="R19" s="20" t="n">
        <v>0.57607673</v>
      </c>
    </row>
    <row r="20" spans="1:18">
      <c r="A20" s="15" t="s">
        <v>580</v>
      </c>
      <c r="B20" s="17" t="n">
        <v>1630</v>
      </c>
      <c r="C20" s="18">
        <f>(1470.0/B20*100)</f>
        <v/>
      </c>
      <c r="D20" s="19" t="n">
        <v>160</v>
      </c>
      <c r="E20" s="18" t="n">
        <v>51.71664618</v>
      </c>
      <c r="F20" s="20" t="n">
        <v>3.85096375</v>
      </c>
      <c r="G20" s="18" t="n">
        <v>44.03928245</v>
      </c>
      <c r="H20" s="20" t="n">
        <v>3.94749172</v>
      </c>
      <c r="I20" s="18" t="s">
        <v>567</v>
      </c>
      <c r="J20" s="20" t="s">
        <v>567</v>
      </c>
      <c r="K20" s="18" t="n">
        <v>0</v>
      </c>
      <c r="L20" s="20" t="n">
        <v>0</v>
      </c>
      <c r="M20" s="18" t="n">
        <v>0</v>
      </c>
      <c r="N20" s="20" t="n">
        <v>0</v>
      </c>
      <c r="O20" s="18" t="n">
        <v>0</v>
      </c>
      <c r="P20" s="20" t="n">
        <v>0</v>
      </c>
      <c r="Q20" s="18" t="n">
        <v>4.24407138</v>
      </c>
      <c r="R20" s="20" t="n">
        <v>1.55809152</v>
      </c>
    </row>
    <row r="21" spans="1:18">
      <c r="A21" s="15" t="s">
        <v>581</v>
      </c>
      <c r="B21" s="17" t="n">
        <v>2908</v>
      </c>
      <c r="C21" s="18">
        <f>(2598.0/B21*100)</f>
        <v/>
      </c>
      <c r="D21" s="19" t="n">
        <v>310</v>
      </c>
      <c r="E21" s="18" t="n">
        <v>28.42318198</v>
      </c>
      <c r="F21" s="20" t="n">
        <v>2.5003934</v>
      </c>
      <c r="G21" s="18" t="n">
        <v>69.34473264</v>
      </c>
      <c r="H21" s="20" t="n">
        <v>2.59589914</v>
      </c>
      <c r="I21" s="18" t="s">
        <v>567</v>
      </c>
      <c r="J21" s="20" t="s">
        <v>567</v>
      </c>
      <c r="K21" s="18" t="n">
        <v>0</v>
      </c>
      <c r="L21" s="20" t="n">
        <v>0</v>
      </c>
      <c r="M21" s="18" t="n">
        <v>0</v>
      </c>
      <c r="N21" s="20" t="n">
        <v>0</v>
      </c>
      <c r="O21" s="18" t="n">
        <v>0</v>
      </c>
      <c r="P21" s="20" t="n">
        <v>0</v>
      </c>
      <c r="Q21" s="18" t="n">
        <v>2.23208539</v>
      </c>
      <c r="R21" s="20" t="n">
        <v>0.67250022</v>
      </c>
    </row>
    <row r="22" spans="1:18">
      <c r="A22" s="15" t="s">
        <v>582</v>
      </c>
      <c r="B22" s="17" t="n">
        <v>2931</v>
      </c>
      <c r="C22" s="18">
        <f>(2619.0/B22*100)</f>
        <v/>
      </c>
      <c r="D22" s="19" t="n">
        <v>312</v>
      </c>
      <c r="E22" s="18" t="n">
        <v>31.68972982</v>
      </c>
      <c r="F22" s="20" t="n">
        <v>2.9388835</v>
      </c>
      <c r="G22" s="18" t="n">
        <v>66.17532985</v>
      </c>
      <c r="H22" s="20" t="n">
        <v>2.95762304</v>
      </c>
      <c r="I22" s="18" t="s">
        <v>567</v>
      </c>
      <c r="J22" s="20" t="s">
        <v>567</v>
      </c>
      <c r="K22" s="18" t="n">
        <v>0.89019004</v>
      </c>
      <c r="L22" s="20" t="n">
        <v>0.44264807</v>
      </c>
      <c r="M22" s="18" t="n">
        <v>0</v>
      </c>
      <c r="N22" s="20" t="n">
        <v>0</v>
      </c>
      <c r="O22" s="18" t="n">
        <v>0</v>
      </c>
      <c r="P22" s="20" t="n">
        <v>0</v>
      </c>
      <c r="Q22" s="18" t="n">
        <v>1.24475029</v>
      </c>
      <c r="R22" s="20" t="n">
        <v>0.5888249800000001</v>
      </c>
    </row>
    <row r="23" spans="1:18">
      <c r="A23" s="15" t="s">
        <v>583</v>
      </c>
      <c r="B23" s="17" t="n">
        <v>5791</v>
      </c>
      <c r="C23" s="18">
        <f>(5135.0/B23*100)</f>
        <v/>
      </c>
      <c r="D23" s="19" t="n">
        <v>656</v>
      </c>
      <c r="E23" s="18" t="n">
        <v>48.11806419</v>
      </c>
      <c r="F23" s="20" t="n">
        <v>2.45383526</v>
      </c>
      <c r="G23" s="18" t="n">
        <v>49.32972239</v>
      </c>
      <c r="H23" s="20" t="n">
        <v>2.72172901</v>
      </c>
      <c r="I23" s="18" t="s">
        <v>567</v>
      </c>
      <c r="J23" s="20" t="s">
        <v>567</v>
      </c>
      <c r="K23" s="18" t="n">
        <v>0.58805654</v>
      </c>
      <c r="L23" s="20" t="n">
        <v>0.57753554</v>
      </c>
      <c r="M23" s="18" t="n">
        <v>0</v>
      </c>
      <c r="N23" s="20" t="n">
        <v>0</v>
      </c>
      <c r="O23" s="18" t="n">
        <v>0</v>
      </c>
      <c r="P23" s="20" t="n">
        <v>0</v>
      </c>
      <c r="Q23" s="18" t="n">
        <v>1.96415688</v>
      </c>
      <c r="R23" s="20" t="n">
        <v>0.78267771</v>
      </c>
    </row>
    <row r="24" spans="1:18">
      <c r="A24" s="15" t="s">
        <v>584</v>
      </c>
      <c r="B24" s="17" t="n">
        <v>3338</v>
      </c>
      <c r="C24" s="18">
        <f>(2975.0/B24*100)</f>
        <v/>
      </c>
      <c r="D24" s="19" t="n">
        <v>363</v>
      </c>
      <c r="E24" s="18" t="n">
        <v>28.98184641</v>
      </c>
      <c r="F24" s="20" t="n">
        <v>2.68750224</v>
      </c>
      <c r="G24" s="18" t="n">
        <v>70.52670415999999</v>
      </c>
      <c r="H24" s="20" t="n">
        <v>2.72987389</v>
      </c>
      <c r="I24" s="18" t="s">
        <v>567</v>
      </c>
      <c r="J24" s="20" t="s">
        <v>567</v>
      </c>
      <c r="K24" s="18" t="n">
        <v>0.24026473</v>
      </c>
      <c r="L24" s="20" t="n">
        <v>0.23977104</v>
      </c>
      <c r="M24" s="18" t="n">
        <v>0</v>
      </c>
      <c r="N24" s="20" t="n">
        <v>0</v>
      </c>
      <c r="O24" s="18" t="n">
        <v>0</v>
      </c>
      <c r="P24" s="20" t="n">
        <v>0</v>
      </c>
      <c r="Q24" s="18" t="n">
        <v>0.25118471</v>
      </c>
      <c r="R24" s="20" t="n">
        <v>0.25287235</v>
      </c>
    </row>
    <row r="25" spans="1:18">
      <c r="A25" s="15" t="s">
        <v>585</v>
      </c>
      <c r="B25" s="17" t="n">
        <v>2912</v>
      </c>
      <c r="C25" s="18">
        <f>(2561.0/B25*100)</f>
        <v/>
      </c>
      <c r="D25" s="19" t="n">
        <v>351</v>
      </c>
      <c r="E25" s="18" t="n">
        <v>39.24828527</v>
      </c>
      <c r="F25" s="20" t="n">
        <v>2.5641642</v>
      </c>
      <c r="G25" s="18" t="n">
        <v>58.46599353</v>
      </c>
      <c r="H25" s="20" t="n">
        <v>2.76438151</v>
      </c>
      <c r="I25" s="18" t="s">
        <v>567</v>
      </c>
      <c r="J25" s="20" t="s">
        <v>567</v>
      </c>
      <c r="K25" s="18" t="n">
        <v>1.69652275</v>
      </c>
      <c r="L25" s="20" t="n">
        <v>0.6732216</v>
      </c>
      <c r="M25" s="18" t="n">
        <v>0</v>
      </c>
      <c r="N25" s="20" t="n">
        <v>0</v>
      </c>
      <c r="O25" s="18" t="n">
        <v>0</v>
      </c>
      <c r="P25" s="20" t="n">
        <v>0</v>
      </c>
      <c r="Q25" s="18" t="n">
        <v>0.58919845</v>
      </c>
      <c r="R25" s="20" t="n">
        <v>0.41493016</v>
      </c>
    </row>
    <row r="26" spans="1:18">
      <c r="A26" s="15" t="s">
        <v>586</v>
      </c>
      <c r="B26" s="17" t="n">
        <v>2450</v>
      </c>
      <c r="C26" s="18">
        <f>(2182.0/B26*100)</f>
        <v/>
      </c>
      <c r="D26" s="19" t="n">
        <v>268</v>
      </c>
      <c r="E26" s="18" t="n">
        <v>31.54585113</v>
      </c>
      <c r="F26" s="20" t="n">
        <v>2.82849816</v>
      </c>
      <c r="G26" s="18" t="n">
        <v>67.70097742</v>
      </c>
      <c r="H26" s="20" t="n">
        <v>2.74862596</v>
      </c>
      <c r="I26" s="18" t="s">
        <v>567</v>
      </c>
      <c r="J26" s="20" t="s">
        <v>567</v>
      </c>
      <c r="K26" s="18" t="n">
        <v>0</v>
      </c>
      <c r="L26" s="20" t="n">
        <v>0</v>
      </c>
      <c r="M26" s="18" t="n">
        <v>0</v>
      </c>
      <c r="N26" s="20" t="n">
        <v>0</v>
      </c>
      <c r="O26" s="18" t="n">
        <v>0</v>
      </c>
      <c r="P26" s="20" t="n">
        <v>0</v>
      </c>
      <c r="Q26" s="18" t="n">
        <v>0.75317145</v>
      </c>
      <c r="R26" s="20" t="n">
        <v>0.45696506</v>
      </c>
    </row>
    <row r="27" spans="1:18">
      <c r="A27" s="15" t="s">
        <v>587</v>
      </c>
      <c r="B27" s="17" t="n">
        <v>2616</v>
      </c>
      <c r="C27" s="18">
        <f>(2354.0/B27*100)</f>
        <v/>
      </c>
      <c r="D27" s="19" t="n">
        <v>262</v>
      </c>
      <c r="E27" s="18" t="n">
        <v>47.97033812</v>
      </c>
      <c r="F27" s="20" t="n">
        <v>3.35352467</v>
      </c>
      <c r="G27" s="18" t="n">
        <v>49.25809349</v>
      </c>
      <c r="H27" s="20" t="n">
        <v>3.23003236</v>
      </c>
      <c r="I27" s="18" t="s">
        <v>567</v>
      </c>
      <c r="J27" s="20" t="s">
        <v>567</v>
      </c>
      <c r="K27" s="18" t="n">
        <v>0.37232364</v>
      </c>
      <c r="L27" s="20" t="n">
        <v>0.36258316</v>
      </c>
      <c r="M27" s="18" t="n">
        <v>0</v>
      </c>
      <c r="N27" s="20" t="n">
        <v>0</v>
      </c>
      <c r="O27" s="18" t="n">
        <v>0</v>
      </c>
      <c r="P27" s="20" t="n">
        <v>0</v>
      </c>
      <c r="Q27" s="18" t="n">
        <v>2.39924475</v>
      </c>
      <c r="R27" s="20" t="n">
        <v>0.96093868</v>
      </c>
    </row>
    <row r="28" spans="1:18">
      <c r="A28" s="15" t="s">
        <v>588</v>
      </c>
      <c r="B28" s="17" t="n">
        <v>3765</v>
      </c>
      <c r="C28" s="18">
        <f>(3365.0/B28*100)</f>
        <v/>
      </c>
      <c r="D28" s="19" t="n">
        <v>400</v>
      </c>
      <c r="E28" s="18" t="n">
        <v>55.20116226</v>
      </c>
      <c r="F28" s="20" t="n">
        <v>3.25886195</v>
      </c>
      <c r="G28" s="18" t="n">
        <v>42.33257656</v>
      </c>
      <c r="H28" s="20" t="n">
        <v>3.23441831</v>
      </c>
      <c r="I28" s="18" t="s">
        <v>567</v>
      </c>
      <c r="J28" s="20" t="s">
        <v>567</v>
      </c>
      <c r="K28" s="18" t="n">
        <v>1.19833045</v>
      </c>
      <c r="L28" s="20" t="n">
        <v>0.58737871</v>
      </c>
      <c r="M28" s="18" t="n">
        <v>0</v>
      </c>
      <c r="N28" s="20" t="n">
        <v>0</v>
      </c>
      <c r="O28" s="18" t="n">
        <v>0</v>
      </c>
      <c r="P28" s="20" t="n">
        <v>0</v>
      </c>
      <c r="Q28" s="18" t="n">
        <v>1.26793073</v>
      </c>
      <c r="R28" s="20" t="n">
        <v>0.58037247</v>
      </c>
    </row>
    <row r="29" spans="1:18">
      <c r="A29" s="15" t="s">
        <v>589</v>
      </c>
      <c r="B29" s="17" t="n">
        <v>2685</v>
      </c>
      <c r="C29" s="18">
        <f>(2387.0/B29*100)</f>
        <v/>
      </c>
      <c r="D29" s="19" t="n">
        <v>298</v>
      </c>
      <c r="E29" s="18" t="n">
        <v>38.71685066</v>
      </c>
      <c r="F29" s="20" t="n">
        <v>2.86783484</v>
      </c>
      <c r="G29" s="18" t="n">
        <v>60.26762339</v>
      </c>
      <c r="H29" s="20" t="n">
        <v>2.8250512</v>
      </c>
      <c r="I29" s="18" t="s">
        <v>567</v>
      </c>
      <c r="J29" s="20" t="s">
        <v>567</v>
      </c>
      <c r="K29" s="18" t="n">
        <v>0.38078387</v>
      </c>
      <c r="L29" s="20" t="n">
        <v>0.35229087</v>
      </c>
      <c r="M29" s="18" t="n">
        <v>0</v>
      </c>
      <c r="N29" s="20" t="n">
        <v>0</v>
      </c>
      <c r="O29" s="18" t="n">
        <v>0</v>
      </c>
      <c r="P29" s="20" t="n">
        <v>0</v>
      </c>
      <c r="Q29" s="18" t="n">
        <v>0.63474208</v>
      </c>
      <c r="R29" s="20" t="n">
        <v>0.5285912699999999</v>
      </c>
    </row>
    <row r="30" spans="1:18">
      <c r="A30" s="15" t="s">
        <v>590</v>
      </c>
      <c r="B30" s="17" t="n">
        <v>2263</v>
      </c>
      <c r="C30" s="18">
        <f>(2025.0/B30*100)</f>
        <v/>
      </c>
      <c r="D30" s="19" t="n">
        <v>238</v>
      </c>
      <c r="E30" s="18" t="n">
        <v>30.76488362</v>
      </c>
      <c r="F30" s="20" t="n">
        <v>3.18041814</v>
      </c>
      <c r="G30" s="18" t="n">
        <v>66.22446696999999</v>
      </c>
      <c r="H30" s="20" t="n">
        <v>3.17241035</v>
      </c>
      <c r="I30" s="18" t="s">
        <v>567</v>
      </c>
      <c r="J30" s="20" t="s">
        <v>567</v>
      </c>
      <c r="K30" s="18" t="n">
        <v>0.9955718099999999</v>
      </c>
      <c r="L30" s="20" t="n">
        <v>0.65507241</v>
      </c>
      <c r="M30" s="18" t="n">
        <v>0</v>
      </c>
      <c r="N30" s="20" t="n">
        <v>0</v>
      </c>
      <c r="O30" s="18" t="n">
        <v>0</v>
      </c>
      <c r="P30" s="20" t="n">
        <v>0</v>
      </c>
      <c r="Q30" s="18" t="n">
        <v>2.0150776</v>
      </c>
      <c r="R30" s="20" t="n">
        <v>1.25448617</v>
      </c>
    </row>
    <row r="31" spans="1:18">
      <c r="A31" s="15" t="s">
        <v>591</v>
      </c>
      <c r="B31" s="17" t="n">
        <v>2750</v>
      </c>
      <c r="C31" s="18">
        <f>(2458.0/B31*100)</f>
        <v/>
      </c>
      <c r="D31" s="19" t="n">
        <v>292</v>
      </c>
      <c r="E31" s="18" t="n">
        <v>36.61395504</v>
      </c>
      <c r="F31" s="20" t="n">
        <v>2.69547654</v>
      </c>
      <c r="G31" s="18" t="n">
        <v>59.71157889</v>
      </c>
      <c r="H31" s="20" t="n">
        <v>2.69836711</v>
      </c>
      <c r="I31" s="18" t="s">
        <v>567</v>
      </c>
      <c r="J31" s="20" t="s">
        <v>567</v>
      </c>
      <c r="K31" s="18" t="n">
        <v>0.68245521</v>
      </c>
      <c r="L31" s="20" t="n">
        <v>0.49428705</v>
      </c>
      <c r="M31" s="18" t="n">
        <v>0</v>
      </c>
      <c r="N31" s="20" t="n">
        <v>0</v>
      </c>
      <c r="O31" s="18" t="n">
        <v>0</v>
      </c>
      <c r="P31" s="20" t="n">
        <v>0</v>
      </c>
      <c r="Q31" s="18" t="n">
        <v>2.99201086</v>
      </c>
      <c r="R31" s="20" t="n">
        <v>0.88423976</v>
      </c>
    </row>
    <row r="32" spans="1:18">
      <c r="A32" s="15" t="s">
        <v>592</v>
      </c>
      <c r="B32" s="17" t="n">
        <v>2269</v>
      </c>
      <c r="C32" s="18">
        <f>(2026.0/B32*100)</f>
        <v/>
      </c>
      <c r="D32" s="19" t="n">
        <v>243</v>
      </c>
      <c r="E32" s="18" t="n">
        <v>33.44143862</v>
      </c>
      <c r="F32" s="20" t="n">
        <v>3.36501545</v>
      </c>
      <c r="G32" s="18" t="n">
        <v>65.79983812</v>
      </c>
      <c r="H32" s="20" t="n">
        <v>3.28689301</v>
      </c>
      <c r="I32" s="18" t="s">
        <v>567</v>
      </c>
      <c r="J32" s="20" t="s">
        <v>567</v>
      </c>
      <c r="K32" s="18" t="n">
        <v>0</v>
      </c>
      <c r="L32" s="20" t="n">
        <v>0</v>
      </c>
      <c r="M32" s="18" t="n">
        <v>0</v>
      </c>
      <c r="N32" s="20" t="n">
        <v>0</v>
      </c>
      <c r="O32" s="18" t="n">
        <v>0</v>
      </c>
      <c r="P32" s="20" t="n">
        <v>0</v>
      </c>
      <c r="Q32" s="18" t="n">
        <v>0.75872326</v>
      </c>
      <c r="R32" s="20" t="n">
        <v>0.52379427</v>
      </c>
    </row>
    <row r="33" spans="1:18">
      <c r="A33" s="15" t="s">
        <v>593</v>
      </c>
      <c r="B33" s="17" t="n">
        <v>3674</v>
      </c>
      <c r="C33" s="18">
        <f>(3287.0/B33*100)</f>
        <v/>
      </c>
      <c r="D33" s="19" t="n">
        <v>387</v>
      </c>
      <c r="E33" s="18" t="n">
        <v>36.13562095</v>
      </c>
      <c r="F33" s="20" t="n">
        <v>2.76510674</v>
      </c>
      <c r="G33" s="18" t="n">
        <v>61.96848213</v>
      </c>
      <c r="H33" s="20" t="n">
        <v>2.66562363</v>
      </c>
      <c r="I33" s="18" t="s">
        <v>567</v>
      </c>
      <c r="J33" s="20" t="s">
        <v>567</v>
      </c>
      <c r="K33" s="18" t="n">
        <v>0.55753684</v>
      </c>
      <c r="L33" s="20" t="n">
        <v>0.61605194</v>
      </c>
      <c r="M33" s="18" t="n">
        <v>0</v>
      </c>
      <c r="N33" s="20" t="n">
        <v>0</v>
      </c>
      <c r="O33" s="18" t="n">
        <v>0</v>
      </c>
      <c r="P33" s="20" t="n">
        <v>0</v>
      </c>
      <c r="Q33" s="18" t="n">
        <v>1.33836008</v>
      </c>
      <c r="R33" s="20" t="n">
        <v>0.81775395</v>
      </c>
    </row>
    <row r="34" spans="1:18">
      <c r="A34" s="15" t="s">
        <v>594</v>
      </c>
      <c r="B34" s="17" t="n">
        <v>3315</v>
      </c>
      <c r="C34" s="18">
        <f>(2961.0/B34*100)</f>
        <v/>
      </c>
      <c r="D34" s="19" t="n">
        <v>354</v>
      </c>
      <c r="E34" s="18" t="n">
        <v>52.4131004</v>
      </c>
      <c r="F34" s="20" t="n">
        <v>2.59093445</v>
      </c>
      <c r="G34" s="18" t="n">
        <v>46.91725023</v>
      </c>
      <c r="H34" s="20" t="n">
        <v>2.56593984</v>
      </c>
      <c r="I34" s="18" t="s">
        <v>567</v>
      </c>
      <c r="J34" s="20" t="s">
        <v>567</v>
      </c>
      <c r="K34" s="18" t="n">
        <v>0</v>
      </c>
      <c r="L34" s="20" t="n">
        <v>0</v>
      </c>
      <c r="M34" s="18" t="n">
        <v>0</v>
      </c>
      <c r="N34" s="20" t="n">
        <v>0</v>
      </c>
      <c r="O34" s="18" t="n">
        <v>0</v>
      </c>
      <c r="P34" s="20" t="n">
        <v>0</v>
      </c>
      <c r="Q34" s="18" t="n">
        <v>0.66964937</v>
      </c>
      <c r="R34" s="20" t="n">
        <v>0.46378686</v>
      </c>
    </row>
    <row r="35" spans="1:18">
      <c r="A35" s="15" t="s">
        <v>595</v>
      </c>
      <c r="B35" s="17" t="n">
        <v>3505</v>
      </c>
      <c r="C35" s="18">
        <f>(3109.0/B35*100)</f>
        <v/>
      </c>
      <c r="D35" s="19" t="n">
        <v>396</v>
      </c>
      <c r="E35" s="18" t="n">
        <v>40.90655313</v>
      </c>
      <c r="F35" s="20" t="n">
        <v>3.38867941</v>
      </c>
      <c r="G35" s="18" t="n">
        <v>58.86745548</v>
      </c>
      <c r="H35" s="20" t="n">
        <v>3.36152937</v>
      </c>
      <c r="I35" s="18" t="s">
        <v>567</v>
      </c>
      <c r="J35" s="20" t="s">
        <v>567</v>
      </c>
      <c r="K35" s="18" t="n">
        <v>0</v>
      </c>
      <c r="L35" s="20" t="n">
        <v>0</v>
      </c>
      <c r="M35" s="18" t="n">
        <v>0</v>
      </c>
      <c r="N35" s="20" t="n">
        <v>0</v>
      </c>
      <c r="O35" s="18" t="n">
        <v>0</v>
      </c>
      <c r="P35" s="20" t="n">
        <v>0</v>
      </c>
      <c r="Q35" s="18" t="n">
        <v>0.2259914</v>
      </c>
      <c r="R35" s="20" t="n">
        <v>0.15970822</v>
      </c>
    </row>
    <row r="36" spans="1:18">
      <c r="A36" s="15" t="s">
        <v>596</v>
      </c>
      <c r="B36" s="17" t="n">
        <v>3332</v>
      </c>
      <c r="C36" s="18">
        <f>(2959.0/B36*100)</f>
        <v/>
      </c>
      <c r="D36" s="19" t="n">
        <v>373</v>
      </c>
      <c r="E36" s="18" t="n">
        <v>38.6880285</v>
      </c>
      <c r="F36" s="20" t="n">
        <v>2.56140625</v>
      </c>
      <c r="G36" s="18" t="n">
        <v>57.65350012</v>
      </c>
      <c r="H36" s="20" t="n">
        <v>2.60447741</v>
      </c>
      <c r="I36" s="18" t="s">
        <v>567</v>
      </c>
      <c r="J36" s="20" t="s">
        <v>567</v>
      </c>
      <c r="K36" s="18" t="n">
        <v>1.61282975</v>
      </c>
      <c r="L36" s="20" t="n">
        <v>0.78396532</v>
      </c>
      <c r="M36" s="18" t="n">
        <v>0</v>
      </c>
      <c r="N36" s="20" t="n">
        <v>0</v>
      </c>
      <c r="O36" s="18" t="n">
        <v>0</v>
      </c>
      <c r="P36" s="20" t="n">
        <v>0</v>
      </c>
      <c r="Q36" s="18" t="n">
        <v>2.04564162</v>
      </c>
      <c r="R36" s="20" t="n">
        <v>0.81784622</v>
      </c>
    </row>
    <row r="37" spans="1:18">
      <c r="A37" s="15" t="s">
        <v>597</v>
      </c>
      <c r="B37" s="17" t="n">
        <v>2727</v>
      </c>
      <c r="C37" s="18">
        <f>(2446.0/B37*100)</f>
        <v/>
      </c>
      <c r="D37" s="19" t="n">
        <v>281</v>
      </c>
      <c r="E37" s="18" t="n">
        <v>37.15444878</v>
      </c>
      <c r="F37" s="20" t="n">
        <v>2.71892228</v>
      </c>
      <c r="G37" s="18" t="n">
        <v>59.02066757</v>
      </c>
      <c r="H37" s="20" t="n">
        <v>2.7367807</v>
      </c>
      <c r="I37" s="18" t="s">
        <v>567</v>
      </c>
      <c r="J37" s="20" t="s">
        <v>567</v>
      </c>
      <c r="K37" s="18" t="n">
        <v>1.0218922</v>
      </c>
      <c r="L37" s="20" t="n">
        <v>0.60173915</v>
      </c>
      <c r="M37" s="18" t="n">
        <v>0</v>
      </c>
      <c r="N37" s="20" t="n">
        <v>0</v>
      </c>
      <c r="O37" s="18" t="n">
        <v>0</v>
      </c>
      <c r="P37" s="20" t="n">
        <v>0</v>
      </c>
      <c r="Q37" s="18" t="n">
        <v>2.80299145</v>
      </c>
      <c r="R37" s="20" t="n">
        <v>0.96701086</v>
      </c>
    </row>
    <row r="38" spans="1:18">
      <c r="A38" s="15" t="s">
        <v>598</v>
      </c>
      <c r="B38" s="17" t="n">
        <v>3053</v>
      </c>
      <c r="C38" s="18">
        <f>(2715.0/B38*100)</f>
        <v/>
      </c>
      <c r="D38" s="19" t="n">
        <v>338</v>
      </c>
      <c r="E38" s="18" t="n">
        <v>43.21744581</v>
      </c>
      <c r="F38" s="20" t="n">
        <v>2.93408431</v>
      </c>
      <c r="G38" s="18" t="n">
        <v>53.53384452</v>
      </c>
      <c r="H38" s="20" t="n">
        <v>3.02271438</v>
      </c>
      <c r="I38" s="18" t="s">
        <v>567</v>
      </c>
      <c r="J38" s="20" t="s">
        <v>567</v>
      </c>
      <c r="K38" s="18" t="n">
        <v>0.41556938</v>
      </c>
      <c r="L38" s="20" t="n">
        <v>0.36796461</v>
      </c>
      <c r="M38" s="18" t="n">
        <v>0</v>
      </c>
      <c r="N38" s="20" t="n">
        <v>0</v>
      </c>
      <c r="O38" s="18" t="n">
        <v>0</v>
      </c>
      <c r="P38" s="20" t="n">
        <v>0</v>
      </c>
      <c r="Q38" s="18" t="n">
        <v>2.83314029</v>
      </c>
      <c r="R38" s="20" t="n">
        <v>1.09573131</v>
      </c>
    </row>
    <row r="39" spans="1:18">
      <c r="A39" s="15" t="s">
        <v>599</v>
      </c>
      <c r="B39" s="17" t="n">
        <v>2957</v>
      </c>
      <c r="C39" s="18">
        <f>(2640.0/B39*100)</f>
        <v/>
      </c>
      <c r="D39" s="19" t="n">
        <v>317</v>
      </c>
      <c r="E39" s="18" t="n">
        <v>54.01581775</v>
      </c>
      <c r="F39" s="20" t="n">
        <v>3.01121717</v>
      </c>
      <c r="G39" s="18" t="n">
        <v>43.65727446</v>
      </c>
      <c r="H39" s="20" t="n">
        <v>2.90139138</v>
      </c>
      <c r="I39" s="18" t="s">
        <v>567</v>
      </c>
      <c r="J39" s="20" t="s">
        <v>567</v>
      </c>
      <c r="K39" s="18" t="n">
        <v>0</v>
      </c>
      <c r="L39" s="20" t="n">
        <v>0</v>
      </c>
      <c r="M39" s="18" t="n">
        <v>0</v>
      </c>
      <c r="N39" s="20" t="n">
        <v>0</v>
      </c>
      <c r="O39" s="18" t="n">
        <v>0</v>
      </c>
      <c r="P39" s="20" t="n">
        <v>0</v>
      </c>
      <c r="Q39" s="18" t="n">
        <v>2.32690779</v>
      </c>
      <c r="R39" s="20" t="n">
        <v>0.97402643</v>
      </c>
    </row>
    <row r="40" spans="1:18">
      <c r="A40" s="15" t="s">
        <v>600</v>
      </c>
      <c r="B40" s="17" t="n">
        <v>7235</v>
      </c>
      <c r="C40" s="18">
        <f>(6426.0/B40*100)</f>
        <v/>
      </c>
      <c r="D40" s="19" t="n">
        <v>809</v>
      </c>
      <c r="E40" s="18" t="n">
        <v>40.47089866</v>
      </c>
      <c r="F40" s="20" t="n">
        <v>2.73376223</v>
      </c>
      <c r="G40" s="18" t="n">
        <v>57.86011782</v>
      </c>
      <c r="H40" s="20" t="n">
        <v>2.7300204</v>
      </c>
      <c r="I40" s="18" t="s">
        <v>567</v>
      </c>
      <c r="J40" s="20" t="s">
        <v>567</v>
      </c>
      <c r="K40" s="18" t="n">
        <v>1.00888324</v>
      </c>
      <c r="L40" s="20" t="n">
        <v>0.53726524</v>
      </c>
      <c r="M40" s="18" t="n">
        <v>0</v>
      </c>
      <c r="N40" s="20" t="n">
        <v>0</v>
      </c>
      <c r="O40" s="18" t="n">
        <v>0</v>
      </c>
      <c r="P40" s="20" t="n">
        <v>0</v>
      </c>
      <c r="Q40" s="18" t="n">
        <v>0.66010029</v>
      </c>
      <c r="R40" s="20" t="n">
        <v>0.45101587</v>
      </c>
    </row>
    <row r="41" spans="1:18">
      <c r="A41" s="15" t="s">
        <v>601</v>
      </c>
      <c r="B41" s="17" t="n">
        <v>2858</v>
      </c>
      <c r="C41" s="18">
        <f>(2556.0/B41*100)</f>
        <v/>
      </c>
      <c r="D41" s="19" t="n">
        <v>302</v>
      </c>
      <c r="E41" s="18" t="n">
        <v>37.74741645</v>
      </c>
      <c r="F41" s="20" t="n">
        <v>2.91352489</v>
      </c>
      <c r="G41" s="18" t="n">
        <v>60.64017659</v>
      </c>
      <c r="H41" s="20" t="n">
        <v>2.98160739</v>
      </c>
      <c r="I41" s="18" t="s">
        <v>567</v>
      </c>
      <c r="J41" s="20" t="s">
        <v>567</v>
      </c>
      <c r="K41" s="18" t="n">
        <v>0.88688299</v>
      </c>
      <c r="L41" s="20" t="n">
        <v>0.5624116</v>
      </c>
      <c r="M41" s="18" t="n">
        <v>0</v>
      </c>
      <c r="N41" s="20" t="n">
        <v>0</v>
      </c>
      <c r="O41" s="18" t="n">
        <v>0</v>
      </c>
      <c r="P41" s="20" t="n">
        <v>0</v>
      </c>
      <c r="Q41" s="18" t="n">
        <v>0.72552396</v>
      </c>
      <c r="R41" s="20" t="n">
        <v>0.49960115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(10152.0/B46*100)</f>
        <v/>
      </c>
      <c r="D46" s="19" t="n">
        <v>916</v>
      </c>
      <c r="E46" s="18" t="n">
        <v>61.96788134</v>
      </c>
      <c r="F46" s="20" t="n">
        <v>1.8406331</v>
      </c>
      <c r="G46" s="18" t="n">
        <v>31.74439541</v>
      </c>
      <c r="H46" s="20" t="n">
        <v>1.94115154</v>
      </c>
      <c r="I46" s="18" t="s">
        <v>567</v>
      </c>
      <c r="J46" s="20" t="s">
        <v>567</v>
      </c>
      <c r="K46" s="18" t="n">
        <v>2.25261485</v>
      </c>
      <c r="L46" s="20" t="n">
        <v>0.67957729</v>
      </c>
      <c r="M46" s="18" t="n">
        <v>0</v>
      </c>
      <c r="N46" s="20" t="n">
        <v>0</v>
      </c>
      <c r="O46" s="18" t="n">
        <v>0</v>
      </c>
      <c r="P46" s="20" t="n">
        <v>0</v>
      </c>
      <c r="Q46" s="18" t="n">
        <v>4.0351084</v>
      </c>
      <c r="R46" s="20" t="n">
        <v>0.86197315</v>
      </c>
    </row>
    <row r="47" spans="1:18">
      <c r="A47" s="15" t="s">
        <v>607</v>
      </c>
      <c r="B47" s="17" t="n">
        <v>3105</v>
      </c>
      <c r="C47" s="18">
        <f>(2770.0/B47*100)</f>
        <v/>
      </c>
      <c r="D47" s="19" t="n">
        <v>335</v>
      </c>
      <c r="E47" s="18" t="n">
        <v>63.17895092</v>
      </c>
      <c r="F47" s="20" t="n">
        <v>2.74166507</v>
      </c>
      <c r="G47" s="18" t="n">
        <v>34.46023645</v>
      </c>
      <c r="H47" s="20" t="n">
        <v>2.8363636</v>
      </c>
      <c r="I47" s="18" t="s">
        <v>567</v>
      </c>
      <c r="J47" s="20" t="s">
        <v>567</v>
      </c>
      <c r="K47" s="18" t="n">
        <v>0.28069587</v>
      </c>
      <c r="L47" s="20" t="n">
        <v>0.28082939</v>
      </c>
      <c r="M47" s="18" t="n">
        <v>0</v>
      </c>
      <c r="N47" s="20" t="n">
        <v>0</v>
      </c>
      <c r="O47" s="18" t="n">
        <v>0</v>
      </c>
      <c r="P47" s="20" t="n">
        <v>0</v>
      </c>
      <c r="Q47" s="18" t="n">
        <v>2.08011676</v>
      </c>
      <c r="R47" s="20" t="n">
        <v>0.7598057</v>
      </c>
    </row>
    <row r="48" spans="1:18">
      <c r="A48" s="15" t="s">
        <v>608</v>
      </c>
      <c r="B48" s="17" t="n">
        <v>5159</v>
      </c>
      <c r="C48" s="18">
        <f>(4600.0/B48*100)</f>
        <v/>
      </c>
      <c r="D48" s="19" t="n">
        <v>559</v>
      </c>
      <c r="E48" s="18" t="n">
        <v>23.73218906</v>
      </c>
      <c r="F48" s="20" t="n">
        <v>2.19996894</v>
      </c>
      <c r="G48" s="18" t="n">
        <v>74.58754752999999</v>
      </c>
      <c r="H48" s="20" t="n">
        <v>2.29672683</v>
      </c>
      <c r="I48" s="18" t="s">
        <v>567</v>
      </c>
      <c r="J48" s="20" t="s">
        <v>567</v>
      </c>
      <c r="K48" s="18" t="n">
        <v>0.5758711</v>
      </c>
      <c r="L48" s="20" t="n">
        <v>0.29206686</v>
      </c>
      <c r="M48" s="18" t="n">
        <v>0</v>
      </c>
      <c r="N48" s="20" t="n">
        <v>0</v>
      </c>
      <c r="O48" s="18" t="n">
        <v>0</v>
      </c>
      <c r="P48" s="20" t="n">
        <v>0</v>
      </c>
      <c r="Q48" s="18" t="n">
        <v>1.10439231</v>
      </c>
      <c r="R48" s="20" t="n">
        <v>0.58393573</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(5048.0/B50*100)</f>
        <v/>
      </c>
      <c r="D50" s="19" t="n">
        <v>589</v>
      </c>
      <c r="E50" s="18" t="n">
        <v>49.202792</v>
      </c>
      <c r="F50" s="20" t="n">
        <v>2.99957195</v>
      </c>
      <c r="G50" s="18" t="n">
        <v>45.97803132</v>
      </c>
      <c r="H50" s="20" t="n">
        <v>2.97849598</v>
      </c>
      <c r="I50" s="18" t="s">
        <v>567</v>
      </c>
      <c r="J50" s="20" t="s">
        <v>567</v>
      </c>
      <c r="K50" s="18" t="n">
        <v>3.71952178</v>
      </c>
      <c r="L50" s="20" t="n">
        <v>1.56579539</v>
      </c>
      <c r="M50" s="18" t="n">
        <v>0</v>
      </c>
      <c r="N50" s="20" t="n">
        <v>0</v>
      </c>
      <c r="O50" s="18" t="n">
        <v>0</v>
      </c>
      <c r="P50" s="20" t="n">
        <v>0</v>
      </c>
      <c r="Q50" s="18" t="n">
        <v>1.09965489</v>
      </c>
      <c r="R50" s="20" t="n">
        <v>0.58540014</v>
      </c>
    </row>
    <row r="51" spans="1:18">
      <c r="A51" s="15" t="s">
        <v>611</v>
      </c>
      <c r="B51" s="17" t="n">
        <v>3372</v>
      </c>
      <c r="C51" s="18">
        <f>(3051.0/B51*100)</f>
        <v/>
      </c>
      <c r="D51" s="19" t="n">
        <v>321</v>
      </c>
      <c r="E51" s="18" t="n">
        <v>51.30464768</v>
      </c>
      <c r="F51" s="20" t="n">
        <v>3.15458518</v>
      </c>
      <c r="G51" s="18" t="n">
        <v>45.85059972</v>
      </c>
      <c r="H51" s="20" t="n">
        <v>3.20149902</v>
      </c>
      <c r="I51" s="18" t="s">
        <v>567</v>
      </c>
      <c r="J51" s="20" t="s">
        <v>567</v>
      </c>
      <c r="K51" s="18" t="n">
        <v>0.35379181</v>
      </c>
      <c r="L51" s="20" t="n">
        <v>0.3514271</v>
      </c>
      <c r="M51" s="18" t="n">
        <v>0</v>
      </c>
      <c r="N51" s="20" t="n">
        <v>0</v>
      </c>
      <c r="O51" s="18" t="n">
        <v>0</v>
      </c>
      <c r="P51" s="20" t="n">
        <v>0</v>
      </c>
      <c r="Q51" s="18" t="n">
        <v>2.49096079</v>
      </c>
      <c r="R51" s="20" t="n">
        <v>0.87561526</v>
      </c>
    </row>
    <row r="52" spans="1:18">
      <c r="A52" s="15" t="s">
        <v>612</v>
      </c>
      <c r="B52" s="17" t="n">
        <v>2796</v>
      </c>
      <c r="C52" s="18">
        <f>(2479.0/B52*100)</f>
        <v/>
      </c>
      <c r="D52" s="19" t="n">
        <v>317</v>
      </c>
      <c r="E52" s="18" t="n">
        <v>38.86252367</v>
      </c>
      <c r="F52" s="20" t="n">
        <v>2.99633056</v>
      </c>
      <c r="G52" s="18" t="n">
        <v>59.8054971</v>
      </c>
      <c r="H52" s="20" t="n">
        <v>2.90349763</v>
      </c>
      <c r="I52" s="18" t="s">
        <v>567</v>
      </c>
      <c r="J52" s="20" t="s">
        <v>567</v>
      </c>
      <c r="K52" s="18" t="n">
        <v>0.32239369</v>
      </c>
      <c r="L52" s="20" t="n">
        <v>0.3149981</v>
      </c>
      <c r="M52" s="18" t="n">
        <v>0</v>
      </c>
      <c r="N52" s="20" t="n">
        <v>0</v>
      </c>
      <c r="O52" s="18" t="n">
        <v>0</v>
      </c>
      <c r="P52" s="20" t="n">
        <v>0</v>
      </c>
      <c r="Q52" s="18" t="n">
        <v>1.00958554</v>
      </c>
      <c r="R52" s="20" t="n">
        <v>0.59504035</v>
      </c>
    </row>
    <row r="53" spans="1:18">
      <c r="A53" s="15" t="s">
        <v>613</v>
      </c>
      <c r="B53" s="17" t="n">
        <v>2811</v>
      </c>
      <c r="C53" s="18">
        <f>(2496.0/B53*100)</f>
        <v/>
      </c>
      <c r="D53" s="19" t="n">
        <v>315</v>
      </c>
      <c r="E53" s="18" t="n">
        <v>62.88260074</v>
      </c>
      <c r="F53" s="20" t="n">
        <v>3.11165905</v>
      </c>
      <c r="G53" s="18" t="n">
        <v>33.89816207</v>
      </c>
      <c r="H53" s="20" t="n">
        <v>2.91477408</v>
      </c>
      <c r="I53" s="18" t="s">
        <v>567</v>
      </c>
      <c r="J53" s="20" t="s">
        <v>567</v>
      </c>
      <c r="K53" s="18" t="n">
        <v>1.43101713</v>
      </c>
      <c r="L53" s="20" t="n">
        <v>0.48014172</v>
      </c>
      <c r="M53" s="18" t="n">
        <v>0</v>
      </c>
      <c r="N53" s="20" t="n">
        <v>0</v>
      </c>
      <c r="O53" s="18" t="n">
        <v>0</v>
      </c>
      <c r="P53" s="20" t="n">
        <v>0</v>
      </c>
      <c r="Q53" s="18" t="n">
        <v>1.78822005</v>
      </c>
      <c r="R53" s="20" t="n">
        <v>0.82660092</v>
      </c>
    </row>
    <row r="54" spans="1:18">
      <c r="A54" s="15" t="s">
        <v>614</v>
      </c>
      <c r="B54" s="17" t="n">
        <v>2266</v>
      </c>
      <c r="C54" s="18">
        <f>(2017.0/B54*100)</f>
        <v/>
      </c>
      <c r="D54" s="19" t="n">
        <v>249</v>
      </c>
      <c r="E54" s="18" t="n">
        <v>50.29307866</v>
      </c>
      <c r="F54" s="20" t="n">
        <v>3.5814214</v>
      </c>
      <c r="G54" s="18" t="n">
        <v>27.43528259</v>
      </c>
      <c r="H54" s="20" t="n">
        <v>3.22887958</v>
      </c>
      <c r="I54" s="18" t="s">
        <v>567</v>
      </c>
      <c r="J54" s="20" t="s">
        <v>567</v>
      </c>
      <c r="K54" s="18" t="n">
        <v>17.78748658</v>
      </c>
      <c r="L54" s="20" t="n">
        <v>2.65216399</v>
      </c>
      <c r="M54" s="18" t="n">
        <v>0</v>
      </c>
      <c r="N54" s="20" t="n">
        <v>0</v>
      </c>
      <c r="O54" s="18" t="n">
        <v>0</v>
      </c>
      <c r="P54" s="20" t="n">
        <v>0</v>
      </c>
      <c r="Q54" s="18" t="n">
        <v>4.48415217</v>
      </c>
      <c r="R54" s="20" t="n">
        <v>1.68207471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(2394.0/B56*100)</f>
        <v/>
      </c>
      <c r="D56" s="19" t="n">
        <v>290</v>
      </c>
      <c r="E56" s="18" t="n">
        <v>32.02057142</v>
      </c>
      <c r="F56" s="20" t="n">
        <v>3.09916461</v>
      </c>
      <c r="G56" s="18" t="n">
        <v>66.33754669</v>
      </c>
      <c r="H56" s="20" t="n">
        <v>3.01444123</v>
      </c>
      <c r="I56" s="18" t="s">
        <v>567</v>
      </c>
      <c r="J56" s="20" t="s">
        <v>567</v>
      </c>
      <c r="K56" s="18" t="n">
        <v>0.67823624</v>
      </c>
      <c r="L56" s="20" t="n">
        <v>0.48646666</v>
      </c>
      <c r="M56" s="18" t="n">
        <v>0</v>
      </c>
      <c r="N56" s="20" t="n">
        <v>0</v>
      </c>
      <c r="O56" s="18" t="n">
        <v>0</v>
      </c>
      <c r="P56" s="20" t="n">
        <v>0</v>
      </c>
      <c r="Q56" s="18" t="n">
        <v>0.96364564</v>
      </c>
      <c r="R56" s="20" t="n">
        <v>0.56553422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(2981.0/B61*100)</f>
        <v/>
      </c>
      <c r="D61" s="19" t="n">
        <v>343</v>
      </c>
      <c r="E61" s="18" t="n">
        <v>46.82146863</v>
      </c>
      <c r="F61" s="20" t="n">
        <v>3.13377652</v>
      </c>
      <c r="G61" s="18" t="n">
        <v>52.52995961</v>
      </c>
      <c r="H61" s="20" t="n">
        <v>3.17921272</v>
      </c>
      <c r="I61" s="18" t="s">
        <v>567</v>
      </c>
      <c r="J61" s="20" t="s">
        <v>567</v>
      </c>
      <c r="K61" s="18" t="n">
        <v>0</v>
      </c>
      <c r="L61" s="20" t="n">
        <v>0</v>
      </c>
      <c r="M61" s="18" t="n">
        <v>0</v>
      </c>
      <c r="N61" s="20" t="n">
        <v>0</v>
      </c>
      <c r="O61" s="18" t="n">
        <v>0</v>
      </c>
      <c r="P61" s="20" t="n">
        <v>0</v>
      </c>
      <c r="Q61" s="18" t="n">
        <v>0.6485717600000001</v>
      </c>
      <c r="R61" s="20" t="n">
        <v>0.36484572</v>
      </c>
    </row>
    <row r="62" spans="1:18">
      <c r="A62" s="15" t="s">
        <v>622</v>
      </c>
      <c r="B62" s="17" t="n">
        <v>2246</v>
      </c>
      <c r="C62" s="18">
        <f>(2000.0/B62*100)</f>
        <v/>
      </c>
      <c r="D62" s="19" t="n">
        <v>246</v>
      </c>
      <c r="E62" s="18" t="n">
        <v>28.43842717</v>
      </c>
      <c r="F62" s="20" t="n">
        <v>3.12723367</v>
      </c>
      <c r="G62" s="18" t="n">
        <v>71.56157283</v>
      </c>
      <c r="H62" s="20" t="n">
        <v>3.12723367</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(2597.0/B66*100)</f>
        <v/>
      </c>
      <c r="D66" s="19" t="n">
        <v>297</v>
      </c>
      <c r="E66" s="18" t="n">
        <v>63.65015479</v>
      </c>
      <c r="F66" s="20" t="n">
        <v>2.60012644</v>
      </c>
      <c r="G66" s="18" t="n">
        <v>32.31976404</v>
      </c>
      <c r="H66" s="20" t="n">
        <v>2.48285307</v>
      </c>
      <c r="I66" s="18" t="s">
        <v>567</v>
      </c>
      <c r="J66" s="20" t="s">
        <v>567</v>
      </c>
      <c r="K66" s="18" t="n">
        <v>0</v>
      </c>
      <c r="L66" s="20" t="n">
        <v>0</v>
      </c>
      <c r="M66" s="18" t="n">
        <v>0</v>
      </c>
      <c r="N66" s="20" t="n">
        <v>0</v>
      </c>
      <c r="O66" s="18" t="n">
        <v>0</v>
      </c>
      <c r="P66" s="20" t="n">
        <v>0</v>
      </c>
      <c r="Q66" s="18" t="n">
        <v>4.03008117</v>
      </c>
      <c r="R66" s="20" t="n">
        <v>0.9274426</v>
      </c>
    </row>
    <row r="67" spans="1:18">
      <c r="A67" s="15" t="s">
        <v>627</v>
      </c>
      <c r="B67" s="17" t="n">
        <v>3511</v>
      </c>
      <c r="C67" s="18">
        <f>(3164.0/B67*100)</f>
        <v/>
      </c>
      <c r="D67" s="19" t="n">
        <v>347</v>
      </c>
      <c r="E67" s="18" t="n">
        <v>49.36140056</v>
      </c>
      <c r="F67" s="20" t="n">
        <v>2.77048893</v>
      </c>
      <c r="G67" s="18" t="n">
        <v>47.24576054</v>
      </c>
      <c r="H67" s="20" t="n">
        <v>2.92810666</v>
      </c>
      <c r="I67" s="18" t="s">
        <v>567</v>
      </c>
      <c r="J67" s="20" t="s">
        <v>567</v>
      </c>
      <c r="K67" s="18" t="n">
        <v>0.46683746</v>
      </c>
      <c r="L67" s="20" t="n">
        <v>0.32932502</v>
      </c>
      <c r="M67" s="18" t="n">
        <v>0</v>
      </c>
      <c r="N67" s="20" t="n">
        <v>0</v>
      </c>
      <c r="O67" s="18" t="n">
        <v>0</v>
      </c>
      <c r="P67" s="20" t="n">
        <v>0</v>
      </c>
      <c r="Q67" s="18" t="n">
        <v>2.92600144</v>
      </c>
      <c r="R67" s="20" t="n">
        <v>1.01676959</v>
      </c>
    </row>
    <row r="68" spans="1:18">
      <c r="A68" s="15" t="s">
        <v>628</v>
      </c>
      <c r="B68" s="17" t="n">
        <v>6049</v>
      </c>
      <c r="C68" s="18">
        <f>(5384.0/B68*100)</f>
        <v/>
      </c>
      <c r="D68" s="19" t="n">
        <v>665</v>
      </c>
      <c r="E68" s="18" t="n">
        <v>57.78951814</v>
      </c>
      <c r="F68" s="20" t="n">
        <v>1.9452116</v>
      </c>
      <c r="G68" s="18" t="n">
        <v>34.9737126</v>
      </c>
      <c r="H68" s="20" t="n">
        <v>1.75462757</v>
      </c>
      <c r="I68" s="18" t="s">
        <v>567</v>
      </c>
      <c r="J68" s="20" t="s">
        <v>567</v>
      </c>
      <c r="K68" s="18" t="n">
        <v>3.98135808</v>
      </c>
      <c r="L68" s="20" t="n">
        <v>0.70769424</v>
      </c>
      <c r="M68" s="18" t="n">
        <v>0</v>
      </c>
      <c r="N68" s="20" t="n">
        <v>0</v>
      </c>
      <c r="O68" s="18" t="n">
        <v>0</v>
      </c>
      <c r="P68" s="20" t="n">
        <v>0</v>
      </c>
      <c r="Q68" s="18" t="n">
        <v>3.25541118</v>
      </c>
      <c r="R68" s="20" t="n">
        <v>0.6975994</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(2615.0/B70*100)</f>
        <v/>
      </c>
      <c r="D70" s="19" t="n">
        <v>314</v>
      </c>
      <c r="E70" s="18" t="n">
        <v>32.36452496</v>
      </c>
      <c r="F70" s="20" t="n">
        <v>3.2022873</v>
      </c>
      <c r="G70" s="18" t="n">
        <v>64.34414784000001</v>
      </c>
      <c r="H70" s="20" t="n">
        <v>3.15308451</v>
      </c>
      <c r="I70" s="18" t="s">
        <v>567</v>
      </c>
      <c r="J70" s="20" t="s">
        <v>567</v>
      </c>
      <c r="K70" s="18" t="n">
        <v>0.8096592</v>
      </c>
      <c r="L70" s="20" t="n">
        <v>0.44682055</v>
      </c>
      <c r="M70" s="18" t="n">
        <v>0</v>
      </c>
      <c r="N70" s="20" t="n">
        <v>0</v>
      </c>
      <c r="O70" s="18" t="n">
        <v>0</v>
      </c>
      <c r="P70" s="20" t="n">
        <v>0</v>
      </c>
      <c r="Q70" s="18" t="n">
        <v>2.481668</v>
      </c>
      <c r="R70" s="20" t="n">
        <v>1.0380256</v>
      </c>
    </row>
    <row r="71" spans="1:18">
      <c r="A71" s="15" t="s">
        <v>631</v>
      </c>
      <c r="B71" s="17" t="n">
        <v>3142</v>
      </c>
      <c r="C71" s="18">
        <f>(2803.0/B71*100)</f>
        <v/>
      </c>
      <c r="D71" s="19" t="n">
        <v>339</v>
      </c>
      <c r="E71" s="18" t="n">
        <v>25.92297138</v>
      </c>
      <c r="F71" s="20" t="n">
        <v>2.25160737</v>
      </c>
      <c r="G71" s="18" t="n">
        <v>73.36122503</v>
      </c>
      <c r="H71" s="20" t="n">
        <v>2.18203592</v>
      </c>
      <c r="I71" s="18" t="s">
        <v>567</v>
      </c>
      <c r="J71" s="20" t="s">
        <v>567</v>
      </c>
      <c r="K71" s="18" t="n">
        <v>0</v>
      </c>
      <c r="L71" s="20" t="n">
        <v>0</v>
      </c>
      <c r="M71" s="18" t="n">
        <v>0</v>
      </c>
      <c r="N71" s="20" t="n">
        <v>0</v>
      </c>
      <c r="O71" s="18" t="n">
        <v>0</v>
      </c>
      <c r="P71" s="20" t="n">
        <v>0</v>
      </c>
      <c r="Q71" s="18" t="n">
        <v>0.71580359</v>
      </c>
      <c r="R71" s="20" t="n">
        <v>0.37685962</v>
      </c>
    </row>
    <row r="72" spans="1:18">
      <c r="A72" s="15" t="s">
        <v>632</v>
      </c>
      <c r="B72" s="17" t="n">
        <v>3889</v>
      </c>
      <c r="C72" s="18">
        <f>(3449.0/B72*100)</f>
        <v/>
      </c>
      <c r="D72" s="19" t="n">
        <v>440</v>
      </c>
      <c r="E72" s="18" t="n">
        <v>27.72438423</v>
      </c>
      <c r="F72" s="20" t="n">
        <v>2.0941094</v>
      </c>
      <c r="G72" s="18" t="n">
        <v>71.65816273</v>
      </c>
      <c r="H72" s="20" t="n">
        <v>2.15854733</v>
      </c>
      <c r="I72" s="18" t="s">
        <v>567</v>
      </c>
      <c r="J72" s="20" t="s">
        <v>567</v>
      </c>
      <c r="K72" s="18" t="n">
        <v>0.30110292</v>
      </c>
      <c r="L72" s="20" t="n">
        <v>0.30243754</v>
      </c>
      <c r="M72" s="18" t="n">
        <v>0</v>
      </c>
      <c r="N72" s="20" t="n">
        <v>0</v>
      </c>
      <c r="O72" s="18" t="n">
        <v>0</v>
      </c>
      <c r="P72" s="20" t="n">
        <v>0</v>
      </c>
      <c r="Q72" s="18" t="n">
        <v>0.31635013</v>
      </c>
      <c r="R72" s="20" t="n">
        <v>0.19779858</v>
      </c>
    </row>
    <row r="73" spans="1:18">
      <c r="A73" s="15" t="s">
        <v>633</v>
      </c>
      <c r="B73" s="17" t="n">
        <v>3597</v>
      </c>
      <c r="C73" s="18">
        <f>(3245.0/B73*100)</f>
        <v/>
      </c>
      <c r="D73" s="19" t="n">
        <v>352</v>
      </c>
      <c r="E73" s="18" t="n">
        <v>57.92013256</v>
      </c>
      <c r="F73" s="20" t="n">
        <v>3.24050961</v>
      </c>
      <c r="G73" s="18" t="n">
        <v>41.3835425</v>
      </c>
      <c r="H73" s="20" t="n">
        <v>3.18282527</v>
      </c>
      <c r="I73" s="18" t="s">
        <v>567</v>
      </c>
      <c r="J73" s="20" t="s">
        <v>567</v>
      </c>
      <c r="K73" s="18" t="n">
        <v>0</v>
      </c>
      <c r="L73" s="20" t="n">
        <v>0</v>
      </c>
      <c r="M73" s="18" t="n">
        <v>0</v>
      </c>
      <c r="N73" s="20" t="n">
        <v>0</v>
      </c>
      <c r="O73" s="18" t="n">
        <v>0</v>
      </c>
      <c r="P73" s="20" t="n">
        <v>0</v>
      </c>
      <c r="Q73" s="18" t="n">
        <v>0.69632494</v>
      </c>
      <c r="R73" s="20" t="n">
        <v>0.55368292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(2179.0/B75*100)</f>
        <v/>
      </c>
      <c r="D75" s="19" t="n">
        <v>227</v>
      </c>
      <c r="E75" s="18" t="n">
        <v>61.22164542</v>
      </c>
      <c r="F75" s="20" t="n">
        <v>2.97866535</v>
      </c>
      <c r="G75" s="18" t="n">
        <v>32.7982481</v>
      </c>
      <c r="H75" s="20" t="n">
        <v>2.63721262</v>
      </c>
      <c r="I75" s="18" t="s">
        <v>567</v>
      </c>
      <c r="J75" s="20" t="s">
        <v>567</v>
      </c>
      <c r="K75" s="18" t="n">
        <v>3.09098614</v>
      </c>
      <c r="L75" s="20" t="n">
        <v>1.25523622</v>
      </c>
      <c r="M75" s="18" t="n">
        <v>0</v>
      </c>
      <c r="N75" s="20" t="n">
        <v>0</v>
      </c>
      <c r="O75" s="18" t="n">
        <v>0</v>
      </c>
      <c r="P75" s="20" t="n">
        <v>0</v>
      </c>
      <c r="Q75" s="18" t="n">
        <v>2.88912035</v>
      </c>
      <c r="R75" s="20" t="n">
        <v>1.14612878</v>
      </c>
    </row>
    <row r="76" spans="1:18">
      <c r="A76" s="15" t="s">
        <v>636</v>
      </c>
      <c r="B76" s="17" t="n">
        <v>7052</v>
      </c>
      <c r="C76" s="18">
        <f>(6263.0/B76*100)</f>
        <v/>
      </c>
      <c r="D76" s="19" t="n">
        <v>789</v>
      </c>
      <c r="E76" s="18" t="n">
        <v>59.99924598</v>
      </c>
      <c r="F76" s="20" t="n">
        <v>1.88350423</v>
      </c>
      <c r="G76" s="18" t="n">
        <v>36.55924448</v>
      </c>
      <c r="H76" s="20" t="n">
        <v>2.05843198</v>
      </c>
      <c r="I76" s="18" t="s">
        <v>567</v>
      </c>
      <c r="J76" s="20" t="s">
        <v>567</v>
      </c>
      <c r="K76" s="18" t="n">
        <v>1.46592195</v>
      </c>
      <c r="L76" s="20" t="n">
        <v>0.57076547</v>
      </c>
      <c r="M76" s="18" t="n">
        <v>0</v>
      </c>
      <c r="N76" s="20" t="n">
        <v>0</v>
      </c>
      <c r="O76" s="18" t="n">
        <v>0</v>
      </c>
      <c r="P76" s="20" t="n">
        <v>0</v>
      </c>
      <c r="Q76" s="18" t="n">
        <v>1.97558759</v>
      </c>
      <c r="R76" s="20" t="n">
        <v>0.51782903</v>
      </c>
    </row>
    <row r="77" spans="1:18">
      <c r="A77" s="15" t="s">
        <v>637</v>
      </c>
      <c r="B77" s="17" t="n">
        <v>2908</v>
      </c>
      <c r="C77" s="18">
        <f>(2594.0/B77*100)</f>
        <v/>
      </c>
      <c r="D77" s="19" t="n">
        <v>314</v>
      </c>
      <c r="E77" s="18" t="n">
        <v>54.99702935</v>
      </c>
      <c r="F77" s="20" t="n">
        <v>3.0345017</v>
      </c>
      <c r="G77" s="18" t="n">
        <v>39.63658514</v>
      </c>
      <c r="H77" s="20" t="n">
        <v>3.06114195</v>
      </c>
      <c r="I77" s="18" t="s">
        <v>567</v>
      </c>
      <c r="J77" s="20" t="s">
        <v>567</v>
      </c>
      <c r="K77" s="18" t="n">
        <v>1.28555325</v>
      </c>
      <c r="L77" s="20" t="n">
        <v>0.63873928</v>
      </c>
      <c r="M77" s="18" t="n">
        <v>0</v>
      </c>
      <c r="N77" s="20" t="n">
        <v>0</v>
      </c>
      <c r="O77" s="18" t="n">
        <v>0</v>
      </c>
      <c r="P77" s="20" t="n">
        <v>0</v>
      </c>
      <c r="Q77" s="18" t="n">
        <v>4.08083226</v>
      </c>
      <c r="R77" s="20" t="n">
        <v>0.9682789000000001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(3731.0/B81*100)</f>
        <v/>
      </c>
      <c r="D81" s="19" t="n">
        <v>432</v>
      </c>
      <c r="E81" s="18" t="n">
        <v>46.47433227</v>
      </c>
      <c r="F81" s="20" t="n">
        <v>3.30042908</v>
      </c>
      <c r="G81" s="18" t="n">
        <v>52.4837552</v>
      </c>
      <c r="H81" s="20" t="n">
        <v>3.19485764</v>
      </c>
      <c r="I81" s="18" t="s">
        <v>567</v>
      </c>
      <c r="J81" s="20" t="s">
        <v>567</v>
      </c>
      <c r="K81" s="18" t="n">
        <v>0.31711574</v>
      </c>
      <c r="L81" s="20" t="n">
        <v>0.31986952</v>
      </c>
      <c r="M81" s="18" t="n">
        <v>0</v>
      </c>
      <c r="N81" s="20" t="n">
        <v>0</v>
      </c>
      <c r="O81" s="18" t="n">
        <v>0</v>
      </c>
      <c r="P81" s="20" t="n">
        <v>0</v>
      </c>
      <c r="Q81" s="18" t="n">
        <v>0.72479678</v>
      </c>
      <c r="R81" s="20" t="n">
        <v>0.43600334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714</v>
      </c>
    </row>
    <row customHeight="1" ht="30" r="4" spans="1:20">
      <c r="A4" s="6" t="n"/>
      <c r="B4" s="7" t="s">
        <v>551</v>
      </c>
      <c r="C4" s="7" t="s">
        <v>552</v>
      </c>
      <c r="D4" s="8" t="s">
        <v>551</v>
      </c>
      <c r="E4" s="9" t="s">
        <v>657</v>
      </c>
      <c r="F4" s="10" t="n"/>
      <c r="G4" s="9" t="s">
        <v>659</v>
      </c>
      <c r="H4" s="10" t="n"/>
      <c r="I4" s="9" t="s">
        <v>660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7367</v>
      </c>
      <c r="C7" s="18">
        <f>(6568.0/B7*100)</f>
        <v/>
      </c>
      <c r="D7" s="19" t="n">
        <v>799</v>
      </c>
      <c r="E7" s="18" t="n">
        <v>50.44101283</v>
      </c>
      <c r="F7" s="20" t="n">
        <v>2.00545979</v>
      </c>
      <c r="G7" s="18" t="n">
        <v>23.23896709</v>
      </c>
      <c r="H7" s="20" t="n">
        <v>1.57278667</v>
      </c>
      <c r="I7" s="18" t="n">
        <v>16.20463928</v>
      </c>
      <c r="J7" s="20" t="n">
        <v>1.71151925</v>
      </c>
      <c r="K7" s="18" t="s">
        <v>567</v>
      </c>
      <c r="L7" s="20" t="s">
        <v>567</v>
      </c>
      <c r="M7" s="18" t="n">
        <v>0.21715231</v>
      </c>
      <c r="N7" s="20" t="n">
        <v>0.14192564</v>
      </c>
      <c r="O7" s="18" t="n">
        <v>0.20485087</v>
      </c>
      <c r="P7" s="20" t="n">
        <v>0.17504804</v>
      </c>
      <c r="Q7" s="18" t="n">
        <v>0</v>
      </c>
      <c r="R7" s="20" t="n">
        <v>0</v>
      </c>
      <c r="S7" s="18" t="n">
        <v>9.693377610000001</v>
      </c>
      <c r="T7" s="20" t="n">
        <v>1.23874733</v>
      </c>
    </row>
    <row r="8" spans="1:20">
      <c r="A8" s="15" t="s">
        <v>568</v>
      </c>
      <c r="B8" s="17" t="n">
        <v>3564</v>
      </c>
      <c r="C8" s="18">
        <f>(3165.0/B8*100)</f>
        <v/>
      </c>
      <c r="D8" s="19" t="n">
        <v>399</v>
      </c>
      <c r="E8" s="18" t="n">
        <v>43.99027156</v>
      </c>
      <c r="F8" s="20" t="n">
        <v>3.046644</v>
      </c>
      <c r="G8" s="18" t="n">
        <v>17.95146888</v>
      </c>
      <c r="H8" s="20" t="n">
        <v>2.28607752</v>
      </c>
      <c r="I8" s="18" t="n">
        <v>10.43582327</v>
      </c>
      <c r="J8" s="20" t="n">
        <v>1.86525785</v>
      </c>
      <c r="K8" s="18" t="s">
        <v>567</v>
      </c>
      <c r="L8" s="20" t="s">
        <v>567</v>
      </c>
      <c r="M8" s="18" t="n">
        <v>0.30096438</v>
      </c>
      <c r="N8" s="20" t="n">
        <v>0.45880482</v>
      </c>
      <c r="O8" s="18" t="n">
        <v>0</v>
      </c>
      <c r="P8" s="20" t="n">
        <v>0</v>
      </c>
      <c r="Q8" s="18" t="n">
        <v>0</v>
      </c>
      <c r="R8" s="20" t="n">
        <v>0</v>
      </c>
      <c r="S8" s="18" t="n">
        <v>27.32147192</v>
      </c>
      <c r="T8" s="20" t="n">
        <v>2.75795627</v>
      </c>
    </row>
    <row r="9" spans="1:20">
      <c r="A9" s="15" t="s">
        <v>569</v>
      </c>
      <c r="B9" s="17" t="n">
        <v>4899</v>
      </c>
      <c r="C9" s="18">
        <f>(4430.0/B9*100)</f>
        <v/>
      </c>
      <c r="D9" s="19" t="n">
        <v>469</v>
      </c>
      <c r="E9" s="18" t="n">
        <v>46.24251495</v>
      </c>
      <c r="F9" s="20" t="n">
        <v>2.64207488</v>
      </c>
      <c r="G9" s="18" t="n">
        <v>22.9459836</v>
      </c>
      <c r="H9" s="20" t="n">
        <v>2.21017909</v>
      </c>
      <c r="I9" s="18" t="n">
        <v>14.73753446</v>
      </c>
      <c r="J9" s="20" t="n">
        <v>1.47018882</v>
      </c>
      <c r="K9" s="18" t="s">
        <v>567</v>
      </c>
      <c r="L9" s="20" t="s">
        <v>567</v>
      </c>
      <c r="M9" s="18" t="n">
        <v>0.34586238</v>
      </c>
      <c r="N9" s="20" t="n">
        <v>0.2496864</v>
      </c>
      <c r="O9" s="18" t="n">
        <v>0.89329667</v>
      </c>
      <c r="P9" s="20" t="n">
        <v>0.31340106</v>
      </c>
      <c r="Q9" s="18" t="n">
        <v>0</v>
      </c>
      <c r="R9" s="20" t="n">
        <v>0</v>
      </c>
      <c r="S9" s="18" t="n">
        <v>14.83480794</v>
      </c>
      <c r="T9" s="20" t="n">
        <v>1.92157953</v>
      </c>
    </row>
    <row r="10" spans="1:20">
      <c r="A10" s="15" t="s">
        <v>570</v>
      </c>
      <c r="B10" s="17" t="n">
        <v>10036</v>
      </c>
      <c r="C10" s="18">
        <f>(8969.0/B10*100)</f>
        <v/>
      </c>
      <c r="D10" s="19" t="n">
        <v>1067</v>
      </c>
      <c r="E10" s="18" t="n">
        <v>54.72735822</v>
      </c>
      <c r="F10" s="20" t="n">
        <v>2.26840901</v>
      </c>
      <c r="G10" s="18" t="n">
        <v>21.51074985</v>
      </c>
      <c r="H10" s="20" t="n">
        <v>1.97454777</v>
      </c>
      <c r="I10" s="18" t="n">
        <v>14.31729777</v>
      </c>
      <c r="J10" s="20" t="n">
        <v>1.45573301</v>
      </c>
      <c r="K10" s="18" t="s">
        <v>567</v>
      </c>
      <c r="L10" s="20" t="s">
        <v>567</v>
      </c>
      <c r="M10" s="18" t="n">
        <v>0.64157474</v>
      </c>
      <c r="N10" s="20" t="n">
        <v>0.32043074</v>
      </c>
      <c r="O10" s="18" t="n">
        <v>0</v>
      </c>
      <c r="P10" s="20" t="n">
        <v>0</v>
      </c>
      <c r="Q10" s="18" t="n">
        <v>0</v>
      </c>
      <c r="R10" s="20" t="n">
        <v>0</v>
      </c>
      <c r="S10" s="18" t="n">
        <v>8.80301942</v>
      </c>
      <c r="T10" s="20" t="n">
        <v>1.36726063</v>
      </c>
    </row>
    <row r="11" spans="1:20">
      <c r="A11" s="15" t="s">
        <v>571</v>
      </c>
      <c r="B11" s="17" t="n">
        <v>3553</v>
      </c>
      <c r="C11" s="18">
        <f>(3172.0/B11*100)</f>
        <v/>
      </c>
      <c r="D11" s="19" t="n">
        <v>381</v>
      </c>
      <c r="E11" s="18" t="n">
        <v>61.77949522</v>
      </c>
      <c r="F11" s="20" t="n">
        <v>3.02031041</v>
      </c>
      <c r="G11" s="18" t="n">
        <v>9.444426910000001</v>
      </c>
      <c r="H11" s="20" t="n">
        <v>2.06343507</v>
      </c>
      <c r="I11" s="18" t="n">
        <v>6.09976251</v>
      </c>
      <c r="J11" s="20" t="n">
        <v>1.24587055</v>
      </c>
      <c r="K11" s="18" t="s">
        <v>567</v>
      </c>
      <c r="L11" s="20" t="s">
        <v>567</v>
      </c>
      <c r="M11" s="18" t="n">
        <v>1.55984801</v>
      </c>
      <c r="N11" s="20" t="n">
        <v>0.60182978</v>
      </c>
      <c r="O11" s="18" t="n">
        <v>0</v>
      </c>
      <c r="P11" s="20" t="n">
        <v>0</v>
      </c>
      <c r="Q11" s="18" t="n">
        <v>0</v>
      </c>
      <c r="R11" s="20" t="n">
        <v>0</v>
      </c>
      <c r="S11" s="18" t="n">
        <v>21.11646735</v>
      </c>
      <c r="T11" s="20" t="n">
        <v>3.07654886</v>
      </c>
    </row>
    <row r="12" spans="1:20">
      <c r="A12" s="15" t="s">
        <v>572</v>
      </c>
      <c r="B12" s="17" t="n">
        <v>3472</v>
      </c>
      <c r="C12" s="18">
        <f>(3100.0/B12*100)</f>
        <v/>
      </c>
      <c r="D12" s="19" t="n">
        <v>372</v>
      </c>
      <c r="E12" s="18" t="n">
        <v>40.00238217</v>
      </c>
      <c r="F12" s="20" t="n">
        <v>3.25999156</v>
      </c>
      <c r="G12" s="18" t="n">
        <v>16.83424308</v>
      </c>
      <c r="H12" s="20" t="n">
        <v>2.16693303</v>
      </c>
      <c r="I12" s="18" t="n">
        <v>16.34311431</v>
      </c>
      <c r="J12" s="20" t="n">
        <v>2.53466262</v>
      </c>
      <c r="K12" s="18" t="s">
        <v>567</v>
      </c>
      <c r="L12" s="20" t="s">
        <v>567</v>
      </c>
      <c r="M12" s="18" t="n">
        <v>0.23035147</v>
      </c>
      <c r="N12" s="20" t="n">
        <v>0.22346934</v>
      </c>
      <c r="O12" s="18" t="n">
        <v>0.15373864</v>
      </c>
      <c r="P12" s="20" t="n">
        <v>0.20736566</v>
      </c>
      <c r="Q12" s="18" t="n">
        <v>0</v>
      </c>
      <c r="R12" s="20" t="n">
        <v>0</v>
      </c>
      <c r="S12" s="18" t="n">
        <v>26.43617034</v>
      </c>
      <c r="T12" s="20" t="n">
        <v>2.58042974</v>
      </c>
    </row>
    <row r="13" spans="1:20">
      <c r="A13" s="15" t="s">
        <v>573</v>
      </c>
      <c r="B13" s="17" t="n">
        <v>3559</v>
      </c>
      <c r="C13" s="18">
        <f>(3192.0/B13*100)</f>
        <v/>
      </c>
      <c r="D13" s="19" t="n">
        <v>367</v>
      </c>
      <c r="E13" s="18" t="n">
        <v>50.27573311</v>
      </c>
      <c r="F13" s="20" t="n">
        <v>3.66850621</v>
      </c>
      <c r="G13" s="18" t="n">
        <v>20.42074472</v>
      </c>
      <c r="H13" s="20" t="n">
        <v>2.72719974</v>
      </c>
      <c r="I13" s="18" t="n">
        <v>17.29703517</v>
      </c>
      <c r="J13" s="20" t="n">
        <v>2.86258502</v>
      </c>
      <c r="K13" s="18" t="s">
        <v>567</v>
      </c>
      <c r="L13" s="20" t="s">
        <v>567</v>
      </c>
      <c r="M13" s="18" t="n">
        <v>0.31742937</v>
      </c>
      <c r="N13" s="20" t="n">
        <v>0.22848471</v>
      </c>
      <c r="O13" s="18" t="n">
        <v>0</v>
      </c>
      <c r="P13" s="20" t="n">
        <v>0</v>
      </c>
      <c r="Q13" s="18" t="n">
        <v>0</v>
      </c>
      <c r="R13" s="20" t="n">
        <v>0</v>
      </c>
      <c r="S13" s="18" t="n">
        <v>11.68905763</v>
      </c>
      <c r="T13" s="20" t="n">
        <v>1.74207131</v>
      </c>
    </row>
    <row r="14" spans="1:20">
      <c r="A14" s="15" t="s">
        <v>574</v>
      </c>
      <c r="B14" s="17" t="n">
        <v>2799</v>
      </c>
      <c r="C14" s="18">
        <f>(2512.0/B14*100)</f>
        <v/>
      </c>
      <c r="D14" s="19" t="n">
        <v>287</v>
      </c>
      <c r="E14" s="18" t="n">
        <v>28.65586481</v>
      </c>
      <c r="F14" s="20" t="n">
        <v>2.71804965</v>
      </c>
      <c r="G14" s="18" t="n">
        <v>39.74409974</v>
      </c>
      <c r="H14" s="20" t="n">
        <v>3.03691075</v>
      </c>
      <c r="I14" s="18" t="n">
        <v>20.78450557</v>
      </c>
      <c r="J14" s="20" t="n">
        <v>2.57719678</v>
      </c>
      <c r="K14" s="18" t="s">
        <v>567</v>
      </c>
      <c r="L14" s="20" t="s">
        <v>567</v>
      </c>
      <c r="M14" s="18" t="n">
        <v>0</v>
      </c>
      <c r="N14" s="20" t="n">
        <v>0</v>
      </c>
      <c r="O14" s="18" t="n">
        <v>0</v>
      </c>
      <c r="P14" s="20" t="n">
        <v>0</v>
      </c>
      <c r="Q14" s="18" t="n">
        <v>0</v>
      </c>
      <c r="R14" s="20" t="n">
        <v>0</v>
      </c>
      <c r="S14" s="18" t="n">
        <v>10.81552987</v>
      </c>
      <c r="T14" s="20" t="n">
        <v>1.84811487</v>
      </c>
    </row>
    <row r="15" spans="1:20">
      <c r="A15" s="15" t="s">
        <v>575</v>
      </c>
      <c r="B15" s="17" t="n">
        <v>3019</v>
      </c>
      <c r="C15" s="18">
        <f>(2665.0/B15*100)</f>
        <v/>
      </c>
      <c r="D15" s="19" t="n">
        <v>354</v>
      </c>
      <c r="E15" s="18" t="n">
        <v>53.00418338</v>
      </c>
      <c r="F15" s="20" t="n">
        <v>2.53048602</v>
      </c>
      <c r="G15" s="18" t="n">
        <v>13.56559274</v>
      </c>
      <c r="H15" s="20" t="n">
        <v>1.76797688</v>
      </c>
      <c r="I15" s="18" t="n">
        <v>14.43288979</v>
      </c>
      <c r="J15" s="20" t="n">
        <v>1.8167492</v>
      </c>
      <c r="K15" s="18" t="s">
        <v>567</v>
      </c>
      <c r="L15" s="20" t="s">
        <v>567</v>
      </c>
      <c r="M15" s="18" t="n">
        <v>0</v>
      </c>
      <c r="N15" s="20" t="n">
        <v>0</v>
      </c>
      <c r="O15" s="18" t="n">
        <v>0</v>
      </c>
      <c r="P15" s="20" t="n">
        <v>0</v>
      </c>
      <c r="Q15" s="18" t="n">
        <v>0</v>
      </c>
      <c r="R15" s="20" t="n">
        <v>0</v>
      </c>
      <c r="S15" s="18" t="n">
        <v>18.99733409</v>
      </c>
      <c r="T15" s="20" t="n">
        <v>1.94762489</v>
      </c>
    </row>
    <row r="16" spans="1:20">
      <c r="A16" s="15" t="s">
        <v>576</v>
      </c>
      <c r="B16" s="17" t="n">
        <v>2997</v>
      </c>
      <c r="C16" s="18">
        <f>(2668.0/B16*100)</f>
        <v/>
      </c>
      <c r="D16" s="19" t="n">
        <v>329</v>
      </c>
      <c r="E16" s="18" t="n">
        <v>44.29342639</v>
      </c>
      <c r="F16" s="20" t="n">
        <v>2.95808913</v>
      </c>
      <c r="G16" s="18" t="n">
        <v>15.99507839</v>
      </c>
      <c r="H16" s="20" t="n">
        <v>2.01919186</v>
      </c>
      <c r="I16" s="18" t="n">
        <v>10.78120379</v>
      </c>
      <c r="J16" s="20" t="n">
        <v>1.67249167</v>
      </c>
      <c r="K16" s="18" t="s">
        <v>567</v>
      </c>
      <c r="L16" s="20" t="s">
        <v>567</v>
      </c>
      <c r="M16" s="18" t="n">
        <v>1.27501869</v>
      </c>
      <c r="N16" s="20" t="n">
        <v>0.79492942</v>
      </c>
      <c r="O16" s="18" t="n">
        <v>0</v>
      </c>
      <c r="P16" s="20" t="n">
        <v>0</v>
      </c>
      <c r="Q16" s="18" t="n">
        <v>0</v>
      </c>
      <c r="R16" s="20" t="n">
        <v>0</v>
      </c>
      <c r="S16" s="18" t="n">
        <v>27.65527274</v>
      </c>
      <c r="T16" s="20" t="n">
        <v>2.71171501</v>
      </c>
    </row>
    <row r="17" spans="1:20">
      <c r="A17" s="15" t="s">
        <v>577</v>
      </c>
      <c r="B17" s="17" t="n">
        <v>3307</v>
      </c>
      <c r="C17" s="18">
        <f>(2981.0/B17*100)</f>
        <v/>
      </c>
      <c r="D17" s="19" t="n">
        <v>326</v>
      </c>
      <c r="E17" s="18" t="n">
        <v>59.1823421</v>
      </c>
      <c r="F17" s="20" t="n">
        <v>2.41376948</v>
      </c>
      <c r="G17" s="18" t="n">
        <v>19.65691985</v>
      </c>
      <c r="H17" s="20" t="n">
        <v>1.96370529</v>
      </c>
      <c r="I17" s="18" t="n">
        <v>1.9009029</v>
      </c>
      <c r="J17" s="20" t="n">
        <v>0.71937905</v>
      </c>
      <c r="K17" s="18" t="s">
        <v>567</v>
      </c>
      <c r="L17" s="20" t="s">
        <v>567</v>
      </c>
      <c r="M17" s="18" t="n">
        <v>0.25888112</v>
      </c>
      <c r="N17" s="20" t="n">
        <v>0.24414761</v>
      </c>
      <c r="O17" s="18" t="n">
        <v>0</v>
      </c>
      <c r="P17" s="20" t="n">
        <v>0</v>
      </c>
      <c r="Q17" s="18" t="n">
        <v>0</v>
      </c>
      <c r="R17" s="20" t="n">
        <v>0</v>
      </c>
      <c r="S17" s="18" t="n">
        <v>19.00095404</v>
      </c>
      <c r="T17" s="20" t="n">
        <v>2.42537116</v>
      </c>
    </row>
    <row r="18" spans="1:20">
      <c r="A18" s="15" t="s">
        <v>578</v>
      </c>
      <c r="B18" s="17" t="n">
        <v>2826</v>
      </c>
      <c r="C18" s="18">
        <f>(2501.0/B18*100)</f>
        <v/>
      </c>
      <c r="D18" s="19" t="n">
        <v>325</v>
      </c>
      <c r="E18" s="18" t="n">
        <v>46.92572807</v>
      </c>
      <c r="F18" s="20" t="n">
        <v>2.62414168</v>
      </c>
      <c r="G18" s="18" t="n">
        <v>21.2751942</v>
      </c>
      <c r="H18" s="20" t="n">
        <v>2.42366218</v>
      </c>
      <c r="I18" s="18" t="n">
        <v>8.58546941</v>
      </c>
      <c r="J18" s="20" t="n">
        <v>1.62058101</v>
      </c>
      <c r="K18" s="18" t="s">
        <v>567</v>
      </c>
      <c r="L18" s="20" t="s">
        <v>567</v>
      </c>
      <c r="M18" s="18" t="n">
        <v>0.70421617</v>
      </c>
      <c r="N18" s="20" t="n">
        <v>0.69775582</v>
      </c>
      <c r="O18" s="18" t="n">
        <v>0</v>
      </c>
      <c r="P18" s="20" t="n">
        <v>0</v>
      </c>
      <c r="Q18" s="18" t="n">
        <v>0</v>
      </c>
      <c r="R18" s="20" t="n">
        <v>0</v>
      </c>
      <c r="S18" s="18" t="n">
        <v>22.50939216</v>
      </c>
      <c r="T18" s="20" t="n">
        <v>2.5912407</v>
      </c>
    </row>
    <row r="19" spans="1:20">
      <c r="A19" s="15" t="s">
        <v>579</v>
      </c>
      <c r="B19" s="17" t="n">
        <v>2808</v>
      </c>
      <c r="C19" s="18">
        <f>(2485.0/B19*100)</f>
        <v/>
      </c>
      <c r="D19" s="19" t="n">
        <v>323</v>
      </c>
      <c r="E19" s="18" t="n">
        <v>49.68333008</v>
      </c>
      <c r="F19" s="20" t="n">
        <v>2.91603339</v>
      </c>
      <c r="G19" s="18" t="n">
        <v>17.56761015</v>
      </c>
      <c r="H19" s="20" t="n">
        <v>2.16014275</v>
      </c>
      <c r="I19" s="18" t="n">
        <v>7.93602728</v>
      </c>
      <c r="J19" s="20" t="n">
        <v>1.60160964</v>
      </c>
      <c r="K19" s="18" t="s">
        <v>567</v>
      </c>
      <c r="L19" s="20" t="s">
        <v>567</v>
      </c>
      <c r="M19" s="18" t="n">
        <v>0</v>
      </c>
      <c r="N19" s="20" t="n">
        <v>0</v>
      </c>
      <c r="O19" s="18" t="n">
        <v>0</v>
      </c>
      <c r="P19" s="20" t="n">
        <v>0</v>
      </c>
      <c r="Q19" s="18" t="n">
        <v>0</v>
      </c>
      <c r="R19" s="20" t="n">
        <v>0</v>
      </c>
      <c r="S19" s="18" t="n">
        <v>24.81303248</v>
      </c>
      <c r="T19" s="20" t="n">
        <v>2.87900944</v>
      </c>
    </row>
    <row r="20" spans="1:20">
      <c r="A20" s="15" t="s">
        <v>580</v>
      </c>
      <c r="B20" s="17" t="n">
        <v>1630</v>
      </c>
      <c r="C20" s="18">
        <f>(1470.0/B20*100)</f>
        <v/>
      </c>
      <c r="D20" s="19" t="n">
        <v>160</v>
      </c>
      <c r="E20" s="18" t="n">
        <v>59.79138494</v>
      </c>
      <c r="F20" s="20" t="n">
        <v>3.78981675</v>
      </c>
      <c r="G20" s="18" t="n">
        <v>12.24603586</v>
      </c>
      <c r="H20" s="20" t="n">
        <v>2.47822287</v>
      </c>
      <c r="I20" s="18" t="n">
        <v>12.88024406</v>
      </c>
      <c r="J20" s="20" t="n">
        <v>2.59580798</v>
      </c>
      <c r="K20" s="18" t="s">
        <v>567</v>
      </c>
      <c r="L20" s="20" t="s">
        <v>567</v>
      </c>
      <c r="M20" s="18" t="n">
        <v>0</v>
      </c>
      <c r="N20" s="20" t="n">
        <v>0</v>
      </c>
      <c r="O20" s="18" t="n">
        <v>0</v>
      </c>
      <c r="P20" s="20" t="n">
        <v>0</v>
      </c>
      <c r="Q20" s="18" t="n">
        <v>0</v>
      </c>
      <c r="R20" s="20" t="n">
        <v>0</v>
      </c>
      <c r="S20" s="18" t="n">
        <v>15.08233514</v>
      </c>
      <c r="T20" s="20" t="n">
        <v>2.78494865</v>
      </c>
    </row>
    <row r="21" spans="1:20">
      <c r="A21" s="15" t="s">
        <v>581</v>
      </c>
      <c r="B21" s="17" t="n">
        <v>2908</v>
      </c>
      <c r="C21" s="18">
        <f>(2598.0/B21*100)</f>
        <v/>
      </c>
      <c r="D21" s="19" t="n">
        <v>310</v>
      </c>
      <c r="E21" s="18" t="n">
        <v>40.58293342</v>
      </c>
      <c r="F21" s="20" t="n">
        <v>2.97709649</v>
      </c>
      <c r="G21" s="18" t="n">
        <v>27.88036859</v>
      </c>
      <c r="H21" s="20" t="n">
        <v>2.33729368</v>
      </c>
      <c r="I21" s="18" t="n">
        <v>18.31286197</v>
      </c>
      <c r="J21" s="20" t="n">
        <v>2.22085861</v>
      </c>
      <c r="K21" s="18" t="s">
        <v>567</v>
      </c>
      <c r="L21" s="20" t="s">
        <v>567</v>
      </c>
      <c r="M21" s="18" t="n">
        <v>0.29624327</v>
      </c>
      <c r="N21" s="20" t="n">
        <v>0.33740846</v>
      </c>
      <c r="O21" s="18" t="n">
        <v>0</v>
      </c>
      <c r="P21" s="20" t="n">
        <v>0</v>
      </c>
      <c r="Q21" s="18" t="n">
        <v>0</v>
      </c>
      <c r="R21" s="20" t="n">
        <v>0</v>
      </c>
      <c r="S21" s="18" t="n">
        <v>12.92759275</v>
      </c>
      <c r="T21" s="20" t="n">
        <v>2.12249704</v>
      </c>
    </row>
    <row r="22" spans="1:20">
      <c r="A22" s="15" t="s">
        <v>582</v>
      </c>
      <c r="B22" s="17" t="n">
        <v>2931</v>
      </c>
      <c r="C22" s="18">
        <f>(2621.0/B22*100)</f>
        <v/>
      </c>
      <c r="D22" s="19" t="n">
        <v>310</v>
      </c>
      <c r="E22" s="18" t="n">
        <v>39.35071986</v>
      </c>
      <c r="F22" s="20" t="n">
        <v>2.63271504</v>
      </c>
      <c r="G22" s="18" t="n">
        <v>17.90487028</v>
      </c>
      <c r="H22" s="20" t="n">
        <v>2.36473253</v>
      </c>
      <c r="I22" s="18" t="n">
        <v>19.41254249</v>
      </c>
      <c r="J22" s="20" t="n">
        <v>2.4267273</v>
      </c>
      <c r="K22" s="18" t="s">
        <v>567</v>
      </c>
      <c r="L22" s="20" t="s">
        <v>567</v>
      </c>
      <c r="M22" s="18" t="n">
        <v>1.51149718</v>
      </c>
      <c r="N22" s="20" t="n">
        <v>0.6651297</v>
      </c>
      <c r="O22" s="18" t="n">
        <v>0</v>
      </c>
      <c r="P22" s="20" t="n">
        <v>0</v>
      </c>
      <c r="Q22" s="18" t="n">
        <v>0</v>
      </c>
      <c r="R22" s="20" t="n">
        <v>0</v>
      </c>
      <c r="S22" s="18" t="n">
        <v>21.82037019</v>
      </c>
      <c r="T22" s="20" t="n">
        <v>2.5332488</v>
      </c>
    </row>
    <row r="23" spans="1:20">
      <c r="A23" s="15" t="s">
        <v>583</v>
      </c>
      <c r="B23" s="17" t="n">
        <v>5791</v>
      </c>
      <c r="C23" s="18">
        <f>(5138.0/B23*100)</f>
        <v/>
      </c>
      <c r="D23" s="19" t="n">
        <v>653</v>
      </c>
      <c r="E23" s="18" t="n">
        <v>48.58223489</v>
      </c>
      <c r="F23" s="20" t="n">
        <v>3.03713489</v>
      </c>
      <c r="G23" s="18" t="n">
        <v>13.31200576</v>
      </c>
      <c r="H23" s="20" t="n">
        <v>1.45762504</v>
      </c>
      <c r="I23" s="18" t="n">
        <v>11.5336045</v>
      </c>
      <c r="J23" s="20" t="n">
        <v>1.68351234</v>
      </c>
      <c r="K23" s="18" t="s">
        <v>567</v>
      </c>
      <c r="L23" s="20" t="s">
        <v>567</v>
      </c>
      <c r="M23" s="18" t="n">
        <v>0.58943994</v>
      </c>
      <c r="N23" s="20" t="n">
        <v>0.57891956</v>
      </c>
      <c r="O23" s="18" t="n">
        <v>0.01234641</v>
      </c>
      <c r="P23" s="20" t="n">
        <v>0.01228434</v>
      </c>
      <c r="Q23" s="18" t="n">
        <v>0</v>
      </c>
      <c r="R23" s="20" t="n">
        <v>0</v>
      </c>
      <c r="S23" s="18" t="n">
        <v>25.97036851</v>
      </c>
      <c r="T23" s="20" t="n">
        <v>2.56164173</v>
      </c>
    </row>
    <row r="24" spans="1:20">
      <c r="A24" s="15" t="s">
        <v>584</v>
      </c>
      <c r="B24" s="17" t="n">
        <v>3338</v>
      </c>
      <c r="C24" s="18">
        <f>(2975.0/B24*100)</f>
        <v/>
      </c>
      <c r="D24" s="19" t="n">
        <v>363</v>
      </c>
      <c r="E24" s="18" t="n">
        <v>33.10058938</v>
      </c>
      <c r="F24" s="20" t="n">
        <v>2.29080052</v>
      </c>
      <c r="G24" s="18" t="n">
        <v>21.47254314</v>
      </c>
      <c r="H24" s="20" t="n">
        <v>2.27796331</v>
      </c>
      <c r="I24" s="18" t="n">
        <v>23.04721443</v>
      </c>
      <c r="J24" s="20" t="n">
        <v>2.47739194</v>
      </c>
      <c r="K24" s="18" t="s">
        <v>567</v>
      </c>
      <c r="L24" s="20" t="s">
        <v>567</v>
      </c>
      <c r="M24" s="18" t="n">
        <v>0.24026473</v>
      </c>
      <c r="N24" s="20" t="n">
        <v>0.23977104</v>
      </c>
      <c r="O24" s="18" t="n">
        <v>0</v>
      </c>
      <c r="P24" s="20" t="n">
        <v>0</v>
      </c>
      <c r="Q24" s="18" t="n">
        <v>0</v>
      </c>
      <c r="R24" s="20" t="n">
        <v>0</v>
      </c>
      <c r="S24" s="18" t="n">
        <v>22.13938832</v>
      </c>
      <c r="T24" s="20" t="n">
        <v>2.33773831</v>
      </c>
    </row>
    <row r="25" spans="1:20">
      <c r="A25" s="15" t="s">
        <v>585</v>
      </c>
      <c r="B25" s="17" t="n">
        <v>2912</v>
      </c>
      <c r="C25" s="18">
        <f>(2561.0/B25*100)</f>
        <v/>
      </c>
      <c r="D25" s="19" t="n">
        <v>351</v>
      </c>
      <c r="E25" s="18" t="n">
        <v>64.99142565</v>
      </c>
      <c r="F25" s="20" t="n">
        <v>2.65508512</v>
      </c>
      <c r="G25" s="18" t="n">
        <v>9.55130157</v>
      </c>
      <c r="H25" s="20" t="n">
        <v>1.79286433</v>
      </c>
      <c r="I25" s="18" t="n">
        <v>8.26924357</v>
      </c>
      <c r="J25" s="20" t="n">
        <v>1.72003573</v>
      </c>
      <c r="K25" s="18" t="s">
        <v>567</v>
      </c>
      <c r="L25" s="20" t="s">
        <v>567</v>
      </c>
      <c r="M25" s="18" t="n">
        <v>1.69652275</v>
      </c>
      <c r="N25" s="20" t="n">
        <v>0.6732216</v>
      </c>
      <c r="O25" s="18" t="n">
        <v>0</v>
      </c>
      <c r="P25" s="20" t="n">
        <v>0</v>
      </c>
      <c r="Q25" s="18" t="n">
        <v>0</v>
      </c>
      <c r="R25" s="20" t="n">
        <v>0</v>
      </c>
      <c r="S25" s="18" t="n">
        <v>15.49150646</v>
      </c>
      <c r="T25" s="20" t="n">
        <v>2.05242371</v>
      </c>
    </row>
    <row r="26" spans="1:20">
      <c r="A26" s="15" t="s">
        <v>586</v>
      </c>
      <c r="B26" s="17" t="n">
        <v>2450</v>
      </c>
      <c r="C26" s="18">
        <f>(2183.0/B26*100)</f>
        <v/>
      </c>
      <c r="D26" s="19" t="n">
        <v>267</v>
      </c>
      <c r="E26" s="18" t="n">
        <v>53.36535253</v>
      </c>
      <c r="F26" s="20" t="n">
        <v>3.3752317</v>
      </c>
      <c r="G26" s="18" t="n">
        <v>23.62178476</v>
      </c>
      <c r="H26" s="20" t="n">
        <v>2.94775335</v>
      </c>
      <c r="I26" s="18" t="n">
        <v>9.536397859999999</v>
      </c>
      <c r="J26" s="20" t="n">
        <v>1.7228047</v>
      </c>
      <c r="K26" s="18" t="s">
        <v>567</v>
      </c>
      <c r="L26" s="20" t="s">
        <v>567</v>
      </c>
      <c r="M26" s="18" t="n">
        <v>0</v>
      </c>
      <c r="N26" s="20" t="n">
        <v>0</v>
      </c>
      <c r="O26" s="18" t="n">
        <v>0</v>
      </c>
      <c r="P26" s="20" t="n">
        <v>0</v>
      </c>
      <c r="Q26" s="18" t="n">
        <v>0</v>
      </c>
      <c r="R26" s="20" t="n">
        <v>0</v>
      </c>
      <c r="S26" s="18" t="n">
        <v>13.47646485</v>
      </c>
      <c r="T26" s="20" t="n">
        <v>2.08564134</v>
      </c>
    </row>
    <row r="27" spans="1:20">
      <c r="A27" s="15" t="s">
        <v>587</v>
      </c>
      <c r="B27" s="17" t="n">
        <v>2616</v>
      </c>
      <c r="C27" s="18">
        <f>(2357.0/B27*100)</f>
        <v/>
      </c>
      <c r="D27" s="19" t="n">
        <v>259</v>
      </c>
      <c r="E27" s="18" t="n">
        <v>37.92003508</v>
      </c>
      <c r="F27" s="20" t="n">
        <v>3.15831371</v>
      </c>
      <c r="G27" s="18" t="n">
        <v>18.00692605</v>
      </c>
      <c r="H27" s="20" t="n">
        <v>2.5483588</v>
      </c>
      <c r="I27" s="18" t="n">
        <v>16.92723319</v>
      </c>
      <c r="J27" s="20" t="n">
        <v>2.16864041</v>
      </c>
      <c r="K27" s="18" t="s">
        <v>567</v>
      </c>
      <c r="L27" s="20" t="s">
        <v>567</v>
      </c>
      <c r="M27" s="18" t="n">
        <v>0.84196819</v>
      </c>
      <c r="N27" s="20" t="n">
        <v>0.57857633</v>
      </c>
      <c r="O27" s="18" t="n">
        <v>0</v>
      </c>
      <c r="P27" s="20" t="n">
        <v>0</v>
      </c>
      <c r="Q27" s="18" t="n">
        <v>0</v>
      </c>
      <c r="R27" s="20" t="n">
        <v>0</v>
      </c>
      <c r="S27" s="18" t="n">
        <v>26.30383749</v>
      </c>
      <c r="T27" s="20" t="n">
        <v>2.89274379</v>
      </c>
    </row>
    <row r="28" spans="1:20">
      <c r="A28" s="15" t="s">
        <v>588</v>
      </c>
      <c r="B28" s="17" t="n">
        <v>3765</v>
      </c>
      <c r="C28" s="18">
        <f>(3370.0/B28*100)</f>
        <v/>
      </c>
      <c r="D28" s="19" t="n">
        <v>395</v>
      </c>
      <c r="E28" s="18" t="n">
        <v>77.80591611</v>
      </c>
      <c r="F28" s="20" t="n">
        <v>2.32645166</v>
      </c>
      <c r="G28" s="18" t="n">
        <v>10.17642387</v>
      </c>
      <c r="H28" s="20" t="n">
        <v>2.00325234</v>
      </c>
      <c r="I28" s="18" t="n">
        <v>2.14832786</v>
      </c>
      <c r="J28" s="20" t="n">
        <v>0.64006771</v>
      </c>
      <c r="K28" s="18" t="s">
        <v>567</v>
      </c>
      <c r="L28" s="20" t="s">
        <v>567</v>
      </c>
      <c r="M28" s="18" t="n">
        <v>1.21341564</v>
      </c>
      <c r="N28" s="20" t="n">
        <v>0.59466986</v>
      </c>
      <c r="O28" s="18" t="n">
        <v>0</v>
      </c>
      <c r="P28" s="20" t="n">
        <v>0</v>
      </c>
      <c r="Q28" s="18" t="n">
        <v>0</v>
      </c>
      <c r="R28" s="20" t="n">
        <v>0</v>
      </c>
      <c r="S28" s="18" t="n">
        <v>8.655916510000001</v>
      </c>
      <c r="T28" s="20" t="n">
        <v>1.45710626</v>
      </c>
    </row>
    <row r="29" spans="1:20">
      <c r="A29" s="15" t="s">
        <v>589</v>
      </c>
      <c r="B29" s="17" t="n">
        <v>2685</v>
      </c>
      <c r="C29" s="18">
        <f>(2387.0/B29*100)</f>
        <v/>
      </c>
      <c r="D29" s="19" t="n">
        <v>298</v>
      </c>
      <c r="E29" s="18" t="n">
        <v>53.82900649</v>
      </c>
      <c r="F29" s="20" t="n">
        <v>3.12281031</v>
      </c>
      <c r="G29" s="18" t="n">
        <v>20.83215881</v>
      </c>
      <c r="H29" s="20" t="n">
        <v>2.47679111</v>
      </c>
      <c r="I29" s="18" t="n">
        <v>19.49543729</v>
      </c>
      <c r="J29" s="20" t="n">
        <v>2.21599082</v>
      </c>
      <c r="K29" s="18" t="s">
        <v>567</v>
      </c>
      <c r="L29" s="20" t="s">
        <v>567</v>
      </c>
      <c r="M29" s="18" t="n">
        <v>0.38078387</v>
      </c>
      <c r="N29" s="20" t="n">
        <v>0.35229087</v>
      </c>
      <c r="O29" s="18" t="n">
        <v>0</v>
      </c>
      <c r="P29" s="20" t="n">
        <v>0</v>
      </c>
      <c r="Q29" s="18" t="n">
        <v>0</v>
      </c>
      <c r="R29" s="20" t="n">
        <v>0</v>
      </c>
      <c r="S29" s="18" t="n">
        <v>5.46261354</v>
      </c>
      <c r="T29" s="20" t="n">
        <v>1.31209853</v>
      </c>
    </row>
    <row r="30" spans="1:20">
      <c r="A30" s="15" t="s">
        <v>590</v>
      </c>
      <c r="B30" s="17" t="n">
        <v>2263</v>
      </c>
      <c r="C30" s="18">
        <f>(2026.0/B30*100)</f>
        <v/>
      </c>
      <c r="D30" s="19" t="n">
        <v>237</v>
      </c>
      <c r="E30" s="18" t="n">
        <v>34.2089915</v>
      </c>
      <c r="F30" s="20" t="n">
        <v>3.64173945</v>
      </c>
      <c r="G30" s="18" t="n">
        <v>30.50664698</v>
      </c>
      <c r="H30" s="20" t="n">
        <v>2.95600106</v>
      </c>
      <c r="I30" s="18" t="n">
        <v>21.22022297</v>
      </c>
      <c r="J30" s="20" t="n">
        <v>2.82068378</v>
      </c>
      <c r="K30" s="18" t="s">
        <v>567</v>
      </c>
      <c r="L30" s="20" t="s">
        <v>567</v>
      </c>
      <c r="M30" s="18" t="n">
        <v>0.99959216</v>
      </c>
      <c r="N30" s="20" t="n">
        <v>0.65777173</v>
      </c>
      <c r="O30" s="18" t="n">
        <v>0</v>
      </c>
      <c r="P30" s="20" t="n">
        <v>0</v>
      </c>
      <c r="Q30" s="18" t="n">
        <v>0</v>
      </c>
      <c r="R30" s="20" t="n">
        <v>0</v>
      </c>
      <c r="S30" s="18" t="n">
        <v>13.06454639</v>
      </c>
      <c r="T30" s="20" t="n">
        <v>2.46522174</v>
      </c>
    </row>
    <row r="31" spans="1:20">
      <c r="A31" s="15" t="s">
        <v>591</v>
      </c>
      <c r="B31" s="17" t="n">
        <v>2750</v>
      </c>
      <c r="C31" s="18">
        <f>(2459.0/B31*100)</f>
        <v/>
      </c>
      <c r="D31" s="19" t="n">
        <v>291</v>
      </c>
      <c r="E31" s="18" t="n">
        <v>42.11480025</v>
      </c>
      <c r="F31" s="20" t="n">
        <v>3.00711547</v>
      </c>
      <c r="G31" s="18" t="n">
        <v>15.71914725</v>
      </c>
      <c r="H31" s="20" t="n">
        <v>2.2710733</v>
      </c>
      <c r="I31" s="18" t="n">
        <v>25.26716326</v>
      </c>
      <c r="J31" s="20" t="n">
        <v>2.82657404</v>
      </c>
      <c r="K31" s="18" t="s">
        <v>567</v>
      </c>
      <c r="L31" s="20" t="s">
        <v>567</v>
      </c>
      <c r="M31" s="18" t="n">
        <v>1.34947841</v>
      </c>
      <c r="N31" s="20" t="n">
        <v>0.65626559</v>
      </c>
      <c r="O31" s="18" t="n">
        <v>0</v>
      </c>
      <c r="P31" s="20" t="n">
        <v>0</v>
      </c>
      <c r="Q31" s="18" t="n">
        <v>0</v>
      </c>
      <c r="R31" s="20" t="n">
        <v>0</v>
      </c>
      <c r="S31" s="18" t="n">
        <v>15.54941082</v>
      </c>
      <c r="T31" s="20" t="n">
        <v>2.20339318</v>
      </c>
    </row>
    <row r="32" spans="1:20">
      <c r="A32" s="15" t="s">
        <v>592</v>
      </c>
      <c r="B32" s="17" t="n">
        <v>2269</v>
      </c>
      <c r="C32" s="18">
        <f>(2026.0/B32*100)</f>
        <v/>
      </c>
      <c r="D32" s="19" t="n">
        <v>243</v>
      </c>
      <c r="E32" s="18" t="n">
        <v>50.78022702</v>
      </c>
      <c r="F32" s="20" t="n">
        <v>3.18426852</v>
      </c>
      <c r="G32" s="18" t="n">
        <v>13.44978028</v>
      </c>
      <c r="H32" s="20" t="n">
        <v>1.72593044</v>
      </c>
      <c r="I32" s="18" t="n">
        <v>14.57579183</v>
      </c>
      <c r="J32" s="20" t="n">
        <v>2.10641048</v>
      </c>
      <c r="K32" s="18" t="s">
        <v>567</v>
      </c>
      <c r="L32" s="20" t="s">
        <v>567</v>
      </c>
      <c r="M32" s="18" t="n">
        <v>0</v>
      </c>
      <c r="N32" s="20" t="n">
        <v>0</v>
      </c>
      <c r="O32" s="18" t="n">
        <v>0</v>
      </c>
      <c r="P32" s="20" t="n">
        <v>0</v>
      </c>
      <c r="Q32" s="18" t="n">
        <v>0</v>
      </c>
      <c r="R32" s="20" t="n">
        <v>0</v>
      </c>
      <c r="S32" s="18" t="n">
        <v>21.19420087</v>
      </c>
      <c r="T32" s="20" t="n">
        <v>2.69731763</v>
      </c>
    </row>
    <row r="33" spans="1:20">
      <c r="A33" s="15" t="s">
        <v>593</v>
      </c>
      <c r="B33" s="17" t="n">
        <v>3674</v>
      </c>
      <c r="C33" s="18">
        <f>(3292.0/B33*100)</f>
        <v/>
      </c>
      <c r="D33" s="19" t="n">
        <v>382</v>
      </c>
      <c r="E33" s="18" t="n">
        <v>48.36506561</v>
      </c>
      <c r="F33" s="20" t="n">
        <v>3.14980736</v>
      </c>
      <c r="G33" s="18" t="n">
        <v>19.08284168</v>
      </c>
      <c r="H33" s="20" t="n">
        <v>2.35207001</v>
      </c>
      <c r="I33" s="18" t="n">
        <v>11.21897411</v>
      </c>
      <c r="J33" s="20" t="n">
        <v>1.74222172</v>
      </c>
      <c r="K33" s="18" t="s">
        <v>567</v>
      </c>
      <c r="L33" s="20" t="s">
        <v>567</v>
      </c>
      <c r="M33" s="18" t="n">
        <v>0.56684362</v>
      </c>
      <c r="N33" s="20" t="n">
        <v>0.62612724</v>
      </c>
      <c r="O33" s="18" t="n">
        <v>0</v>
      </c>
      <c r="P33" s="20" t="n">
        <v>0</v>
      </c>
      <c r="Q33" s="18" t="n">
        <v>0</v>
      </c>
      <c r="R33" s="20" t="n">
        <v>0</v>
      </c>
      <c r="S33" s="18" t="n">
        <v>20.76627499</v>
      </c>
      <c r="T33" s="20" t="n">
        <v>3.04276621</v>
      </c>
    </row>
    <row r="34" spans="1:20">
      <c r="A34" s="15" t="s">
        <v>594</v>
      </c>
      <c r="B34" s="17" t="n">
        <v>3315</v>
      </c>
      <c r="C34" s="18">
        <f>(2961.0/B34*100)</f>
        <v/>
      </c>
      <c r="D34" s="19" t="n">
        <v>354</v>
      </c>
      <c r="E34" s="18" t="n">
        <v>54.88545111</v>
      </c>
      <c r="F34" s="20" t="n">
        <v>3.13297226</v>
      </c>
      <c r="G34" s="18" t="n">
        <v>12.06338415</v>
      </c>
      <c r="H34" s="20" t="n">
        <v>1.88499427</v>
      </c>
      <c r="I34" s="18" t="n">
        <v>6.47733715</v>
      </c>
      <c r="J34" s="20" t="n">
        <v>1.36470661</v>
      </c>
      <c r="K34" s="18" t="s">
        <v>567</v>
      </c>
      <c r="L34" s="20" t="s">
        <v>567</v>
      </c>
      <c r="M34" s="18" t="n">
        <v>0</v>
      </c>
      <c r="N34" s="20" t="n">
        <v>0</v>
      </c>
      <c r="O34" s="18" t="n">
        <v>0</v>
      </c>
      <c r="P34" s="20" t="n">
        <v>0</v>
      </c>
      <c r="Q34" s="18" t="n">
        <v>0</v>
      </c>
      <c r="R34" s="20" t="n">
        <v>0</v>
      </c>
      <c r="S34" s="18" t="n">
        <v>26.57382759</v>
      </c>
      <c r="T34" s="20" t="n">
        <v>2.59750908</v>
      </c>
    </row>
    <row r="35" spans="1:20">
      <c r="A35" s="15" t="s">
        <v>595</v>
      </c>
      <c r="B35" s="17" t="n">
        <v>3505</v>
      </c>
      <c r="C35" s="18">
        <f>(3109.0/B35*100)</f>
        <v/>
      </c>
      <c r="D35" s="19" t="n">
        <v>396</v>
      </c>
      <c r="E35" s="18" t="n">
        <v>50.06602658</v>
      </c>
      <c r="F35" s="20" t="n">
        <v>2.67225596</v>
      </c>
      <c r="G35" s="18" t="n">
        <v>14.54902038</v>
      </c>
      <c r="H35" s="20" t="n">
        <v>2.04092978</v>
      </c>
      <c r="I35" s="18" t="n">
        <v>15.76184018</v>
      </c>
      <c r="J35" s="20" t="n">
        <v>2.47654834</v>
      </c>
      <c r="K35" s="18" t="s">
        <v>567</v>
      </c>
      <c r="L35" s="20" t="s">
        <v>567</v>
      </c>
      <c r="M35" s="18" t="n">
        <v>0.23151869</v>
      </c>
      <c r="N35" s="20" t="n">
        <v>0.1671849</v>
      </c>
      <c r="O35" s="18" t="n">
        <v>0.4402311</v>
      </c>
      <c r="P35" s="20" t="n">
        <v>0.44211122</v>
      </c>
      <c r="Q35" s="18" t="n">
        <v>0</v>
      </c>
      <c r="R35" s="20" t="n">
        <v>0</v>
      </c>
      <c r="S35" s="18" t="n">
        <v>18.95136307</v>
      </c>
      <c r="T35" s="20" t="n">
        <v>2.04739409</v>
      </c>
    </row>
    <row r="36" spans="1:20">
      <c r="A36" s="15" t="s">
        <v>596</v>
      </c>
      <c r="B36" s="17" t="n">
        <v>3332</v>
      </c>
      <c r="C36" s="18">
        <f>(2964.0/B36*100)</f>
        <v/>
      </c>
      <c r="D36" s="19" t="n">
        <v>368</v>
      </c>
      <c r="E36" s="18" t="n">
        <v>50.90176804</v>
      </c>
      <c r="F36" s="20" t="n">
        <v>2.60745698</v>
      </c>
      <c r="G36" s="18" t="n">
        <v>16.45879986</v>
      </c>
      <c r="H36" s="20" t="n">
        <v>1.87490552</v>
      </c>
      <c r="I36" s="18" t="n">
        <v>12.18481332</v>
      </c>
      <c r="J36" s="20" t="n">
        <v>1.59035985</v>
      </c>
      <c r="K36" s="18" t="s">
        <v>567</v>
      </c>
      <c r="L36" s="20" t="s">
        <v>567</v>
      </c>
      <c r="M36" s="18" t="n">
        <v>1.63170333</v>
      </c>
      <c r="N36" s="20" t="n">
        <v>0.79538863</v>
      </c>
      <c r="O36" s="18" t="n">
        <v>0</v>
      </c>
      <c r="P36" s="20" t="n">
        <v>0</v>
      </c>
      <c r="Q36" s="18" t="n">
        <v>0</v>
      </c>
      <c r="R36" s="20" t="n">
        <v>0</v>
      </c>
      <c r="S36" s="18" t="n">
        <v>18.82291545</v>
      </c>
      <c r="T36" s="20" t="n">
        <v>2.34068387</v>
      </c>
    </row>
    <row r="37" spans="1:20">
      <c r="A37" s="15" t="s">
        <v>597</v>
      </c>
      <c r="B37" s="17" t="n">
        <v>2727</v>
      </c>
      <c r="C37" s="18">
        <f>(2447.0/B37*100)</f>
        <v/>
      </c>
      <c r="D37" s="19" t="n">
        <v>280</v>
      </c>
      <c r="E37" s="18" t="n">
        <v>48.06604624</v>
      </c>
      <c r="F37" s="20" t="n">
        <v>3.03621016</v>
      </c>
      <c r="G37" s="18" t="n">
        <v>18.52108415</v>
      </c>
      <c r="H37" s="20" t="n">
        <v>2.39783737</v>
      </c>
      <c r="I37" s="18" t="n">
        <v>9.691271889999999</v>
      </c>
      <c r="J37" s="20" t="n">
        <v>2.15528282</v>
      </c>
      <c r="K37" s="18" t="s">
        <v>567</v>
      </c>
      <c r="L37" s="20" t="s">
        <v>567</v>
      </c>
      <c r="M37" s="18" t="n">
        <v>1.0250451</v>
      </c>
      <c r="N37" s="20" t="n">
        <v>0.60340371</v>
      </c>
      <c r="O37" s="18" t="n">
        <v>0</v>
      </c>
      <c r="P37" s="20" t="n">
        <v>0</v>
      </c>
      <c r="Q37" s="18" t="n">
        <v>0</v>
      </c>
      <c r="R37" s="20" t="n">
        <v>0</v>
      </c>
      <c r="S37" s="18" t="n">
        <v>22.69655262</v>
      </c>
      <c r="T37" s="20" t="n">
        <v>2.69003695</v>
      </c>
    </row>
    <row r="38" spans="1:20">
      <c r="A38" s="15" t="s">
        <v>598</v>
      </c>
      <c r="B38" s="17" t="n">
        <v>3053</v>
      </c>
      <c r="C38" s="18">
        <f>(2715.0/B38*100)</f>
        <v/>
      </c>
      <c r="D38" s="19" t="n">
        <v>338</v>
      </c>
      <c r="E38" s="18" t="n">
        <v>45.37111464</v>
      </c>
      <c r="F38" s="20" t="n">
        <v>3.20750066</v>
      </c>
      <c r="G38" s="18" t="n">
        <v>15.6572554</v>
      </c>
      <c r="H38" s="20" t="n">
        <v>2.10456629</v>
      </c>
      <c r="I38" s="18" t="n">
        <v>21.83144364</v>
      </c>
      <c r="J38" s="20" t="n">
        <v>2.70170871</v>
      </c>
      <c r="K38" s="18" t="s">
        <v>567</v>
      </c>
      <c r="L38" s="20" t="s">
        <v>567</v>
      </c>
      <c r="M38" s="18" t="n">
        <v>0.41556938</v>
      </c>
      <c r="N38" s="20" t="n">
        <v>0.36796461</v>
      </c>
      <c r="O38" s="18" t="n">
        <v>4.08704053</v>
      </c>
      <c r="P38" s="20" t="n">
        <v>1.17364672</v>
      </c>
      <c r="Q38" s="18" t="n">
        <v>0</v>
      </c>
      <c r="R38" s="20" t="n">
        <v>0</v>
      </c>
      <c r="S38" s="18" t="n">
        <v>12.6375764</v>
      </c>
      <c r="T38" s="20" t="n">
        <v>2.14700756</v>
      </c>
    </row>
    <row r="39" spans="1:20">
      <c r="A39" s="15" t="s">
        <v>599</v>
      </c>
      <c r="B39" s="17" t="n">
        <v>2957</v>
      </c>
      <c r="C39" s="18">
        <f>(2639.0/B39*100)</f>
        <v/>
      </c>
      <c r="D39" s="19" t="n">
        <v>318</v>
      </c>
      <c r="E39" s="18" t="n">
        <v>63.66840631</v>
      </c>
      <c r="F39" s="20" t="n">
        <v>2.84474988</v>
      </c>
      <c r="G39" s="18" t="n">
        <v>12.45705485</v>
      </c>
      <c r="H39" s="20" t="n">
        <v>2.09037797</v>
      </c>
      <c r="I39" s="18" t="n">
        <v>0.50221122</v>
      </c>
      <c r="J39" s="20" t="n">
        <v>0.36899053</v>
      </c>
      <c r="K39" s="18" t="s">
        <v>567</v>
      </c>
      <c r="L39" s="20" t="s">
        <v>567</v>
      </c>
      <c r="M39" s="18" t="n">
        <v>0</v>
      </c>
      <c r="N39" s="20" t="n">
        <v>0</v>
      </c>
      <c r="O39" s="18" t="n">
        <v>0</v>
      </c>
      <c r="P39" s="20" t="n">
        <v>0</v>
      </c>
      <c r="Q39" s="18" t="n">
        <v>0</v>
      </c>
      <c r="R39" s="20" t="n">
        <v>0</v>
      </c>
      <c r="S39" s="18" t="n">
        <v>23.37232763</v>
      </c>
      <c r="T39" s="20" t="n">
        <v>2.47127175</v>
      </c>
    </row>
    <row r="40" spans="1:20">
      <c r="A40" s="15" t="s">
        <v>600</v>
      </c>
      <c r="B40" s="17" t="n">
        <v>7235</v>
      </c>
      <c r="C40" s="18">
        <f>(6427.0/B40*100)</f>
        <v/>
      </c>
      <c r="D40" s="19" t="n">
        <v>808</v>
      </c>
      <c r="E40" s="18" t="n">
        <v>33.95040315</v>
      </c>
      <c r="F40" s="20" t="n">
        <v>2.67696984</v>
      </c>
      <c r="G40" s="18" t="n">
        <v>29.7799052</v>
      </c>
      <c r="H40" s="20" t="n">
        <v>2.45804217</v>
      </c>
      <c r="I40" s="18" t="n">
        <v>22.07780125</v>
      </c>
      <c r="J40" s="20" t="n">
        <v>2.62823165</v>
      </c>
      <c r="K40" s="18" t="s">
        <v>567</v>
      </c>
      <c r="L40" s="20" t="s">
        <v>567</v>
      </c>
      <c r="M40" s="18" t="n">
        <v>1.00916861</v>
      </c>
      <c r="N40" s="20" t="n">
        <v>0.53746654</v>
      </c>
      <c r="O40" s="18" t="n">
        <v>0.09419806</v>
      </c>
      <c r="P40" s="20" t="n">
        <v>0.09094279</v>
      </c>
      <c r="Q40" s="18" t="n">
        <v>0</v>
      </c>
      <c r="R40" s="20" t="n">
        <v>0</v>
      </c>
      <c r="S40" s="18" t="n">
        <v>13.08852374</v>
      </c>
      <c r="T40" s="20" t="n">
        <v>1.92480056</v>
      </c>
    </row>
    <row r="41" spans="1:20">
      <c r="A41" s="15" t="s">
        <v>601</v>
      </c>
      <c r="B41" s="17" t="n">
        <v>2858</v>
      </c>
      <c r="C41" s="18">
        <f>(2560.0/B41*100)</f>
        <v/>
      </c>
      <c r="D41" s="19" t="n">
        <v>298</v>
      </c>
      <c r="E41" s="18" t="n">
        <v>56.60591484</v>
      </c>
      <c r="F41" s="20" t="n">
        <v>2.75273284</v>
      </c>
      <c r="G41" s="18" t="n">
        <v>16.48656083</v>
      </c>
      <c r="H41" s="20" t="n">
        <v>2.59799931</v>
      </c>
      <c r="I41" s="18" t="n">
        <v>19.58944601</v>
      </c>
      <c r="J41" s="20" t="n">
        <v>2.52173949</v>
      </c>
      <c r="K41" s="18" t="s">
        <v>567</v>
      </c>
      <c r="L41" s="20" t="s">
        <v>567</v>
      </c>
      <c r="M41" s="18" t="n">
        <v>0.89801492</v>
      </c>
      <c r="N41" s="20" t="n">
        <v>0.56954527</v>
      </c>
      <c r="O41" s="18" t="n">
        <v>0</v>
      </c>
      <c r="P41" s="20" t="n">
        <v>0</v>
      </c>
      <c r="Q41" s="18" t="n">
        <v>0</v>
      </c>
      <c r="R41" s="20" t="n">
        <v>0</v>
      </c>
      <c r="S41" s="18" t="n">
        <v>6.4200634</v>
      </c>
      <c r="T41" s="20" t="n">
        <v>1.58298122</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11068</v>
      </c>
      <c r="C46" s="18">
        <f>(10178.0/B46*100)</f>
        <v/>
      </c>
      <c r="D46" s="19" t="n">
        <v>890</v>
      </c>
      <c r="E46" s="18" t="n">
        <v>66.01985026</v>
      </c>
      <c r="F46" s="20" t="n">
        <v>2.22480878</v>
      </c>
      <c r="G46" s="18" t="n">
        <v>5.46542984</v>
      </c>
      <c r="H46" s="20" t="n">
        <v>1.2114672</v>
      </c>
      <c r="I46" s="18" t="n">
        <v>3.0392977</v>
      </c>
      <c r="J46" s="20" t="n">
        <v>0.76279055</v>
      </c>
      <c r="K46" s="18" t="s">
        <v>567</v>
      </c>
      <c r="L46" s="20" t="s">
        <v>567</v>
      </c>
      <c r="M46" s="18" t="n">
        <v>2.32215128</v>
      </c>
      <c r="N46" s="20" t="n">
        <v>0.70161099</v>
      </c>
      <c r="O46" s="18" t="n">
        <v>0.22092769</v>
      </c>
      <c r="P46" s="20" t="n">
        <v>0.22116805</v>
      </c>
      <c r="Q46" s="18" t="n">
        <v>0</v>
      </c>
      <c r="R46" s="20" t="n">
        <v>0</v>
      </c>
      <c r="S46" s="18" t="n">
        <v>22.93234322</v>
      </c>
      <c r="T46" s="20" t="n">
        <v>2.42732456</v>
      </c>
    </row>
    <row r="47" spans="1:20">
      <c r="A47" s="15" t="s">
        <v>607</v>
      </c>
      <c r="B47" s="17" t="n">
        <v>3105</v>
      </c>
      <c r="C47" s="18">
        <f>(2772.0/B47*100)</f>
        <v/>
      </c>
      <c r="D47" s="19" t="n">
        <v>333</v>
      </c>
      <c r="E47" s="18" t="n">
        <v>49.82639819</v>
      </c>
      <c r="F47" s="20" t="n">
        <v>2.77976132</v>
      </c>
      <c r="G47" s="18" t="n">
        <v>6.84540285</v>
      </c>
      <c r="H47" s="20" t="n">
        <v>1.53420477</v>
      </c>
      <c r="I47" s="18" t="n">
        <v>5.85723612</v>
      </c>
      <c r="J47" s="20" t="n">
        <v>0.96181276</v>
      </c>
      <c r="K47" s="18" t="s">
        <v>567</v>
      </c>
      <c r="L47" s="20" t="s">
        <v>567</v>
      </c>
      <c r="M47" s="18" t="n">
        <v>0.54532392</v>
      </c>
      <c r="N47" s="20" t="n">
        <v>0.38283647</v>
      </c>
      <c r="O47" s="18" t="n">
        <v>0.30629957</v>
      </c>
      <c r="P47" s="20" t="n">
        <v>0.29156296</v>
      </c>
      <c r="Q47" s="18" t="n">
        <v>0</v>
      </c>
      <c r="R47" s="20" t="n">
        <v>0</v>
      </c>
      <c r="S47" s="18" t="n">
        <v>36.61933935</v>
      </c>
      <c r="T47" s="20" t="n">
        <v>2.80006964</v>
      </c>
    </row>
    <row r="48" spans="1:20">
      <c r="A48" s="15" t="s">
        <v>608</v>
      </c>
      <c r="B48" s="17" t="n">
        <v>5159</v>
      </c>
      <c r="C48" s="18">
        <f>(4600.0/B48*100)</f>
        <v/>
      </c>
      <c r="D48" s="19" t="n">
        <v>559</v>
      </c>
      <c r="E48" s="18" t="n">
        <v>46.54874054</v>
      </c>
      <c r="F48" s="20" t="n">
        <v>2.66224991</v>
      </c>
      <c r="G48" s="18" t="n">
        <v>13.35879718</v>
      </c>
      <c r="H48" s="20" t="n">
        <v>1.6893857</v>
      </c>
      <c r="I48" s="18" t="n">
        <v>23.99997557</v>
      </c>
      <c r="J48" s="20" t="n">
        <v>2.66366817</v>
      </c>
      <c r="K48" s="18" t="s">
        <v>567</v>
      </c>
      <c r="L48" s="20" t="s">
        <v>567</v>
      </c>
      <c r="M48" s="18" t="n">
        <v>1.12790988</v>
      </c>
      <c r="N48" s="20" t="n">
        <v>0.63353101</v>
      </c>
      <c r="O48" s="18" t="n">
        <v>0</v>
      </c>
      <c r="P48" s="20" t="n">
        <v>0</v>
      </c>
      <c r="Q48" s="18" t="n">
        <v>0</v>
      </c>
      <c r="R48" s="20" t="n">
        <v>0</v>
      </c>
      <c r="S48" s="18" t="n">
        <v>14.96457683</v>
      </c>
      <c r="T48" s="20" t="n">
        <v>2.06968713</v>
      </c>
    </row>
    <row r="49" spans="1:20">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5637</v>
      </c>
      <c r="C50" s="18">
        <f>(5052.0/B50*100)</f>
        <v/>
      </c>
      <c r="D50" s="19" t="n">
        <v>585</v>
      </c>
      <c r="E50" s="18" t="n">
        <v>72.47198711999999</v>
      </c>
      <c r="F50" s="20" t="n">
        <v>2.30801739</v>
      </c>
      <c r="G50" s="18" t="n">
        <v>9.2055563</v>
      </c>
      <c r="H50" s="20" t="n">
        <v>1.48876149</v>
      </c>
      <c r="I50" s="18" t="n">
        <v>5.34112922</v>
      </c>
      <c r="J50" s="20" t="n">
        <v>1.03686454</v>
      </c>
      <c r="K50" s="18" t="s">
        <v>567</v>
      </c>
      <c r="L50" s="20" t="s">
        <v>567</v>
      </c>
      <c r="M50" s="18" t="n">
        <v>4.10588976</v>
      </c>
      <c r="N50" s="20" t="n">
        <v>1.59271376</v>
      </c>
      <c r="O50" s="18" t="n">
        <v>0.06443184</v>
      </c>
      <c r="P50" s="20" t="n">
        <v>0.05554941</v>
      </c>
      <c r="Q50" s="18" t="n">
        <v>0</v>
      </c>
      <c r="R50" s="20" t="n">
        <v>0</v>
      </c>
      <c r="S50" s="18" t="n">
        <v>8.81100575</v>
      </c>
      <c r="T50" s="20" t="n">
        <v>1.54348471</v>
      </c>
    </row>
    <row r="51" spans="1:20">
      <c r="A51" s="15" t="s">
        <v>611</v>
      </c>
      <c r="B51" s="17" t="n">
        <v>3372</v>
      </c>
      <c r="C51" s="18">
        <f>(3054.0/B51*100)</f>
        <v/>
      </c>
      <c r="D51" s="19" t="n">
        <v>318</v>
      </c>
      <c r="E51" s="18" t="n">
        <v>61.10218265</v>
      </c>
      <c r="F51" s="20" t="n">
        <v>3.31913372</v>
      </c>
      <c r="G51" s="18" t="n">
        <v>18.4035251</v>
      </c>
      <c r="H51" s="20" t="n">
        <v>2.61473981</v>
      </c>
      <c r="I51" s="18" t="n">
        <v>4.92348791</v>
      </c>
      <c r="J51" s="20" t="n">
        <v>1.31471422</v>
      </c>
      <c r="K51" s="18" t="s">
        <v>567</v>
      </c>
      <c r="L51" s="20" t="s">
        <v>567</v>
      </c>
      <c r="M51" s="18" t="n">
        <v>0.35809123</v>
      </c>
      <c r="N51" s="20" t="n">
        <v>0.35569816</v>
      </c>
      <c r="O51" s="18" t="n">
        <v>0.70977661</v>
      </c>
      <c r="P51" s="20" t="n">
        <v>0.69075973</v>
      </c>
      <c r="Q51" s="18" t="n">
        <v>0</v>
      </c>
      <c r="R51" s="20" t="n">
        <v>0</v>
      </c>
      <c r="S51" s="18" t="n">
        <v>14.50293649</v>
      </c>
      <c r="T51" s="20" t="n">
        <v>2.12015038</v>
      </c>
    </row>
    <row r="52" spans="1:20">
      <c r="A52" s="15" t="s">
        <v>612</v>
      </c>
      <c r="B52" s="17" t="n">
        <v>2796</v>
      </c>
      <c r="C52" s="18">
        <f>(2479.0/B52*100)</f>
        <v/>
      </c>
      <c r="D52" s="19" t="n">
        <v>317</v>
      </c>
      <c r="E52" s="18" t="n">
        <v>47.5594364</v>
      </c>
      <c r="F52" s="20" t="n">
        <v>2.75896047</v>
      </c>
      <c r="G52" s="18" t="n">
        <v>15.6900305</v>
      </c>
      <c r="H52" s="20" t="n">
        <v>2.04894542</v>
      </c>
      <c r="I52" s="18" t="n">
        <v>8.09211756</v>
      </c>
      <c r="J52" s="20" t="n">
        <v>1.7542376</v>
      </c>
      <c r="K52" s="18" t="s">
        <v>567</v>
      </c>
      <c r="L52" s="20" t="s">
        <v>567</v>
      </c>
      <c r="M52" s="18" t="n">
        <v>0.32239369</v>
      </c>
      <c r="N52" s="20" t="n">
        <v>0.3149981</v>
      </c>
      <c r="O52" s="18" t="n">
        <v>0</v>
      </c>
      <c r="P52" s="20" t="n">
        <v>0</v>
      </c>
      <c r="Q52" s="18" t="n">
        <v>0</v>
      </c>
      <c r="R52" s="20" t="n">
        <v>0</v>
      </c>
      <c r="S52" s="18" t="n">
        <v>28.33602184</v>
      </c>
      <c r="T52" s="20" t="n">
        <v>2.52523054</v>
      </c>
    </row>
    <row r="53" spans="1:20">
      <c r="A53" s="15" t="s">
        <v>613</v>
      </c>
      <c r="B53" s="17" t="n">
        <v>2811</v>
      </c>
      <c r="C53" s="18">
        <f>(2496.0/B53*100)</f>
        <v/>
      </c>
      <c r="D53" s="19" t="n">
        <v>315</v>
      </c>
      <c r="E53" s="18" t="n">
        <v>53.6618085</v>
      </c>
      <c r="F53" s="20" t="n">
        <v>3.23075643</v>
      </c>
      <c r="G53" s="18" t="n">
        <v>12.76004939</v>
      </c>
      <c r="H53" s="20" t="n">
        <v>2.13183807</v>
      </c>
      <c r="I53" s="18" t="n">
        <v>7.92485293</v>
      </c>
      <c r="J53" s="20" t="n">
        <v>1.47447017</v>
      </c>
      <c r="K53" s="18" t="s">
        <v>567</v>
      </c>
      <c r="L53" s="20" t="s">
        <v>567</v>
      </c>
      <c r="M53" s="18" t="n">
        <v>1.43101713</v>
      </c>
      <c r="N53" s="20" t="n">
        <v>0.48014172</v>
      </c>
      <c r="O53" s="18" t="n">
        <v>0.45358413</v>
      </c>
      <c r="P53" s="20" t="n">
        <v>0.45460141</v>
      </c>
      <c r="Q53" s="18" t="n">
        <v>0</v>
      </c>
      <c r="R53" s="20" t="n">
        <v>0</v>
      </c>
      <c r="S53" s="18" t="n">
        <v>23.76868791</v>
      </c>
      <c r="T53" s="20" t="n">
        <v>2.33921922</v>
      </c>
    </row>
    <row r="54" spans="1:20">
      <c r="A54" s="15" t="s">
        <v>614</v>
      </c>
      <c r="B54" s="17" t="n">
        <v>2266</v>
      </c>
      <c r="C54" s="18">
        <f>(2018.0/B54*100)</f>
        <v/>
      </c>
      <c r="D54" s="19" t="n">
        <v>248</v>
      </c>
      <c r="E54" s="18" t="n">
        <v>51.72881247</v>
      </c>
      <c r="F54" s="20" t="n">
        <v>3.32300361</v>
      </c>
      <c r="G54" s="18" t="n">
        <v>1.06329884</v>
      </c>
      <c r="H54" s="20" t="n">
        <v>0.6475253399999999</v>
      </c>
      <c r="I54" s="18" t="n">
        <v>0.41419277</v>
      </c>
      <c r="J54" s="20" t="n">
        <v>0.41148991</v>
      </c>
      <c r="K54" s="18" t="s">
        <v>567</v>
      </c>
      <c r="L54" s="20" t="s">
        <v>567</v>
      </c>
      <c r="M54" s="18" t="n">
        <v>19.64969804</v>
      </c>
      <c r="N54" s="20" t="n">
        <v>2.71616446</v>
      </c>
      <c r="O54" s="18" t="n">
        <v>0.76575874</v>
      </c>
      <c r="P54" s="20" t="n">
        <v>0.53304456</v>
      </c>
      <c r="Q54" s="18" t="n">
        <v>0</v>
      </c>
      <c r="R54" s="20" t="n">
        <v>0</v>
      </c>
      <c r="S54" s="18" t="n">
        <v>26.37823913</v>
      </c>
      <c r="T54" s="20" t="n">
        <v>3.16222363</v>
      </c>
    </row>
    <row r="55" spans="1:20">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2684</v>
      </c>
      <c r="C56" s="18">
        <f>(2394.0/B56*100)</f>
        <v/>
      </c>
      <c r="D56" s="19" t="n">
        <v>290</v>
      </c>
      <c r="E56" s="18" t="n">
        <v>41.74056225</v>
      </c>
      <c r="F56" s="20" t="n">
        <v>3.31448427</v>
      </c>
      <c r="G56" s="18" t="n">
        <v>28.49039593</v>
      </c>
      <c r="H56" s="20" t="n">
        <v>2.64784069</v>
      </c>
      <c r="I56" s="18" t="n">
        <v>16.16387223</v>
      </c>
      <c r="J56" s="20" t="n">
        <v>2.40696899</v>
      </c>
      <c r="K56" s="18" t="s">
        <v>567</v>
      </c>
      <c r="L56" s="20" t="s">
        <v>567</v>
      </c>
      <c r="M56" s="18" t="n">
        <v>0.67823624</v>
      </c>
      <c r="N56" s="20" t="n">
        <v>0.48646666</v>
      </c>
      <c r="O56" s="18" t="n">
        <v>0</v>
      </c>
      <c r="P56" s="20" t="n">
        <v>0</v>
      </c>
      <c r="Q56" s="18" t="n">
        <v>0</v>
      </c>
      <c r="R56" s="20" t="n">
        <v>0</v>
      </c>
      <c r="S56" s="18" t="n">
        <v>12.92693336</v>
      </c>
      <c r="T56" s="20" t="n">
        <v>1.84981588</v>
      </c>
    </row>
    <row r="57" spans="1:20">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3324</v>
      </c>
      <c r="C61" s="18">
        <f>(2981.0/B61*100)</f>
        <v/>
      </c>
      <c r="D61" s="19" t="n">
        <v>343</v>
      </c>
      <c r="E61" s="18" t="n">
        <v>54.90509799</v>
      </c>
      <c r="F61" s="20" t="n">
        <v>3.10720878</v>
      </c>
      <c r="G61" s="18" t="n">
        <v>16.45888538</v>
      </c>
      <c r="H61" s="20" t="n">
        <v>2.52357529</v>
      </c>
      <c r="I61" s="18" t="n">
        <v>9.976620280000001</v>
      </c>
      <c r="J61" s="20" t="n">
        <v>1.73371827</v>
      </c>
      <c r="K61" s="18" t="s">
        <v>567</v>
      </c>
      <c r="L61" s="20" t="s">
        <v>567</v>
      </c>
      <c r="M61" s="18" t="n">
        <v>0.36598218</v>
      </c>
      <c r="N61" s="20" t="n">
        <v>0.35926153</v>
      </c>
      <c r="O61" s="18" t="n">
        <v>0</v>
      </c>
      <c r="P61" s="20" t="n">
        <v>0</v>
      </c>
      <c r="Q61" s="18" t="n">
        <v>0</v>
      </c>
      <c r="R61" s="20" t="n">
        <v>0</v>
      </c>
      <c r="S61" s="18" t="n">
        <v>18.29341417</v>
      </c>
      <c r="T61" s="20" t="n">
        <v>2.38829282</v>
      </c>
    </row>
    <row r="62" spans="1:20">
      <c r="A62" s="15" t="s">
        <v>622</v>
      </c>
      <c r="B62" s="17" t="n">
        <v>2246</v>
      </c>
      <c r="C62" s="18">
        <f>(2002.0/B62*100)</f>
        <v/>
      </c>
      <c r="D62" s="19" t="n">
        <v>244</v>
      </c>
      <c r="E62" s="18" t="n">
        <v>61.4142702</v>
      </c>
      <c r="F62" s="20" t="n">
        <v>3.11797389</v>
      </c>
      <c r="G62" s="18" t="n">
        <v>13.57984432</v>
      </c>
      <c r="H62" s="20" t="n">
        <v>2.43619935</v>
      </c>
      <c r="I62" s="18" t="n">
        <v>13.0985613</v>
      </c>
      <c r="J62" s="20" t="n">
        <v>2.08313737</v>
      </c>
      <c r="K62" s="18" t="s">
        <v>567</v>
      </c>
      <c r="L62" s="20" t="s">
        <v>567</v>
      </c>
      <c r="M62" s="18" t="n">
        <v>0</v>
      </c>
      <c r="N62" s="20" t="n">
        <v>0</v>
      </c>
      <c r="O62" s="18" t="n">
        <v>0</v>
      </c>
      <c r="P62" s="20" t="n">
        <v>0</v>
      </c>
      <c r="Q62" s="18" t="n">
        <v>0</v>
      </c>
      <c r="R62" s="20" t="n">
        <v>0</v>
      </c>
      <c r="S62" s="18" t="n">
        <v>11.90732418</v>
      </c>
      <c r="T62" s="20" t="n">
        <v>1.79963147</v>
      </c>
    </row>
    <row r="63" spans="1:20">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2894</v>
      </c>
      <c r="C66" s="18">
        <f>(2599.0/B66*100)</f>
        <v/>
      </c>
      <c r="D66" s="19" t="n">
        <v>295</v>
      </c>
      <c r="E66" s="18" t="n">
        <v>28.11471462</v>
      </c>
      <c r="F66" s="20" t="n">
        <v>2.75550092</v>
      </c>
      <c r="G66" s="18" t="n">
        <v>16.38686371</v>
      </c>
      <c r="H66" s="20" t="n">
        <v>2.18822818</v>
      </c>
      <c r="I66" s="18" t="n">
        <v>8.82465105</v>
      </c>
      <c r="J66" s="20" t="n">
        <v>2.0791543</v>
      </c>
      <c r="K66" s="18" t="s">
        <v>567</v>
      </c>
      <c r="L66" s="20" t="s">
        <v>567</v>
      </c>
      <c r="M66" s="18" t="n">
        <v>0</v>
      </c>
      <c r="N66" s="20" t="n">
        <v>0</v>
      </c>
      <c r="O66" s="18" t="n">
        <v>0.6442911</v>
      </c>
      <c r="P66" s="20" t="n">
        <v>0.44602323</v>
      </c>
      <c r="Q66" s="18" t="n">
        <v>0</v>
      </c>
      <c r="R66" s="20" t="n">
        <v>0</v>
      </c>
      <c r="S66" s="18" t="n">
        <v>46.02947952</v>
      </c>
      <c r="T66" s="20" t="n">
        <v>2.81410047</v>
      </c>
    </row>
    <row r="67" spans="1:20">
      <c r="A67" s="15" t="s">
        <v>627</v>
      </c>
      <c r="B67" s="17" t="n">
        <v>3511</v>
      </c>
      <c r="C67" s="18">
        <f>(3170.0/B67*100)</f>
        <v/>
      </c>
      <c r="D67" s="19" t="n">
        <v>341</v>
      </c>
      <c r="E67" s="18" t="n">
        <v>75.60437899</v>
      </c>
      <c r="F67" s="20" t="n">
        <v>2.5222093</v>
      </c>
      <c r="G67" s="18" t="n">
        <v>3.53611618</v>
      </c>
      <c r="H67" s="20" t="n">
        <v>1.09421127</v>
      </c>
      <c r="I67" s="18" t="n">
        <v>2.63840465</v>
      </c>
      <c r="J67" s="20" t="n">
        <v>0.73201262</v>
      </c>
      <c r="K67" s="18" t="s">
        <v>567</v>
      </c>
      <c r="L67" s="20" t="s">
        <v>567</v>
      </c>
      <c r="M67" s="18" t="n">
        <v>0.85585293</v>
      </c>
      <c r="N67" s="20" t="n">
        <v>0.50760617</v>
      </c>
      <c r="O67" s="18" t="n">
        <v>0</v>
      </c>
      <c r="P67" s="20" t="n">
        <v>0</v>
      </c>
      <c r="Q67" s="18" t="n">
        <v>0</v>
      </c>
      <c r="R67" s="20" t="n">
        <v>0</v>
      </c>
      <c r="S67" s="18" t="n">
        <v>17.36524725</v>
      </c>
      <c r="T67" s="20" t="n">
        <v>2.09283212</v>
      </c>
    </row>
    <row r="68" spans="1:20">
      <c r="A68" s="15" t="s">
        <v>628</v>
      </c>
      <c r="B68" s="17" t="n">
        <v>6049</v>
      </c>
      <c r="C68" s="18">
        <f>(5385.0/B68*100)</f>
        <v/>
      </c>
      <c r="D68" s="19" t="n">
        <v>664</v>
      </c>
      <c r="E68" s="18" t="n">
        <v>50.51367419</v>
      </c>
      <c r="F68" s="20" t="n">
        <v>1.71484056</v>
      </c>
      <c r="G68" s="18" t="n">
        <v>9.19807947</v>
      </c>
      <c r="H68" s="20" t="n">
        <v>1.15848756</v>
      </c>
      <c r="I68" s="18" t="n">
        <v>9.888322199999999</v>
      </c>
      <c r="J68" s="20" t="n">
        <v>0.95998016</v>
      </c>
      <c r="K68" s="18" t="s">
        <v>567</v>
      </c>
      <c r="L68" s="20" t="s">
        <v>567</v>
      </c>
      <c r="M68" s="18" t="n">
        <v>4.90894105</v>
      </c>
      <c r="N68" s="20" t="n">
        <v>0.86990889</v>
      </c>
      <c r="O68" s="18" t="n">
        <v>0</v>
      </c>
      <c r="P68" s="20" t="n">
        <v>0</v>
      </c>
      <c r="Q68" s="18" t="n">
        <v>0</v>
      </c>
      <c r="R68" s="20" t="n">
        <v>0</v>
      </c>
      <c r="S68" s="18" t="n">
        <v>25.49098309</v>
      </c>
      <c r="T68" s="20" t="n">
        <v>1.65061527</v>
      </c>
    </row>
    <row r="69" spans="1:20">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2929</v>
      </c>
      <c r="C70" s="18">
        <f>(2617.0/B70*100)</f>
        <v/>
      </c>
      <c r="D70" s="19" t="n">
        <v>312</v>
      </c>
      <c r="E70" s="18" t="n">
        <v>53.65841398</v>
      </c>
      <c r="F70" s="20" t="n">
        <v>3.9916482</v>
      </c>
      <c r="G70" s="18" t="n">
        <v>13.20567902</v>
      </c>
      <c r="H70" s="20" t="n">
        <v>2.28871011</v>
      </c>
      <c r="I70" s="18" t="n">
        <v>16.68226456</v>
      </c>
      <c r="J70" s="20" t="n">
        <v>3.57494369</v>
      </c>
      <c r="K70" s="18" t="s">
        <v>567</v>
      </c>
      <c r="L70" s="20" t="s">
        <v>567</v>
      </c>
      <c r="M70" s="18" t="n">
        <v>0.81450671</v>
      </c>
      <c r="N70" s="20" t="n">
        <v>0.44948211</v>
      </c>
      <c r="O70" s="18" t="n">
        <v>0</v>
      </c>
      <c r="P70" s="20" t="n">
        <v>0</v>
      </c>
      <c r="Q70" s="18" t="n">
        <v>0</v>
      </c>
      <c r="R70" s="20" t="n">
        <v>0</v>
      </c>
      <c r="S70" s="18" t="n">
        <v>15.63913573</v>
      </c>
      <c r="T70" s="20" t="n">
        <v>2.2379929</v>
      </c>
    </row>
    <row r="71" spans="1:20">
      <c r="A71" s="15" t="s">
        <v>631</v>
      </c>
      <c r="B71" s="17" t="n">
        <v>3142</v>
      </c>
      <c r="C71" s="18">
        <f>(2803.0/B71*100)</f>
        <v/>
      </c>
      <c r="D71" s="19" t="n">
        <v>339</v>
      </c>
      <c r="E71" s="18" t="n">
        <v>34.00454958</v>
      </c>
      <c r="F71" s="20" t="n">
        <v>2.67285171</v>
      </c>
      <c r="G71" s="18" t="n">
        <v>27.91822417</v>
      </c>
      <c r="H71" s="20" t="n">
        <v>2.83863521</v>
      </c>
      <c r="I71" s="18" t="n">
        <v>31.75398523</v>
      </c>
      <c r="J71" s="20" t="n">
        <v>2.61276449</v>
      </c>
      <c r="K71" s="18" t="s">
        <v>567</v>
      </c>
      <c r="L71" s="20" t="s">
        <v>567</v>
      </c>
      <c r="M71" s="18" t="n">
        <v>0</v>
      </c>
      <c r="N71" s="20" t="n">
        <v>0</v>
      </c>
      <c r="O71" s="18" t="n">
        <v>0</v>
      </c>
      <c r="P71" s="20" t="n">
        <v>0</v>
      </c>
      <c r="Q71" s="18" t="n">
        <v>0</v>
      </c>
      <c r="R71" s="20" t="n">
        <v>0</v>
      </c>
      <c r="S71" s="18" t="n">
        <v>6.32324103</v>
      </c>
      <c r="T71" s="20" t="n">
        <v>1.40543702</v>
      </c>
    </row>
    <row r="72" spans="1:20">
      <c r="A72" s="15" t="s">
        <v>632</v>
      </c>
      <c r="B72" s="17" t="n">
        <v>3889</v>
      </c>
      <c r="C72" s="18">
        <f>(3450.0/B72*100)</f>
        <v/>
      </c>
      <c r="D72" s="19" t="n">
        <v>439</v>
      </c>
      <c r="E72" s="18" t="n">
        <v>45.98766674</v>
      </c>
      <c r="F72" s="20" t="n">
        <v>2.63375492</v>
      </c>
      <c r="G72" s="18" t="n">
        <v>22.91688731</v>
      </c>
      <c r="H72" s="20" t="n">
        <v>1.9253744</v>
      </c>
      <c r="I72" s="18" t="n">
        <v>19.23250155</v>
      </c>
      <c r="J72" s="20" t="n">
        <v>2.21041938</v>
      </c>
      <c r="K72" s="18" t="s">
        <v>567</v>
      </c>
      <c r="L72" s="20" t="s">
        <v>567</v>
      </c>
      <c r="M72" s="18" t="n">
        <v>0.30182822</v>
      </c>
      <c r="N72" s="20" t="n">
        <v>0.30316407</v>
      </c>
      <c r="O72" s="18" t="n">
        <v>0</v>
      </c>
      <c r="P72" s="20" t="n">
        <v>0</v>
      </c>
      <c r="Q72" s="18" t="n">
        <v>0</v>
      </c>
      <c r="R72" s="20" t="n">
        <v>0</v>
      </c>
      <c r="S72" s="18" t="n">
        <v>11.56111618</v>
      </c>
      <c r="T72" s="20" t="n">
        <v>1.58092745</v>
      </c>
    </row>
    <row r="73" spans="1:20">
      <c r="A73" s="15" t="s">
        <v>633</v>
      </c>
      <c r="B73" s="17" t="n">
        <v>3597</v>
      </c>
      <c r="C73" s="18">
        <f>(3246.0/B73*100)</f>
        <v/>
      </c>
      <c r="D73" s="19" t="n">
        <v>351</v>
      </c>
      <c r="E73" s="18" t="n">
        <v>80.77965542</v>
      </c>
      <c r="F73" s="20" t="n">
        <v>2.76964668</v>
      </c>
      <c r="G73" s="18" t="n">
        <v>6.36586394</v>
      </c>
      <c r="H73" s="20" t="n">
        <v>1.47176212</v>
      </c>
      <c r="I73" s="18" t="n">
        <v>8.267292729999999</v>
      </c>
      <c r="J73" s="20" t="n">
        <v>1.55435731</v>
      </c>
      <c r="K73" s="18" t="s">
        <v>567</v>
      </c>
      <c r="L73" s="20" t="s">
        <v>567</v>
      </c>
      <c r="M73" s="18" t="n">
        <v>0</v>
      </c>
      <c r="N73" s="20" t="n">
        <v>0</v>
      </c>
      <c r="O73" s="18" t="n">
        <v>0</v>
      </c>
      <c r="P73" s="20" t="n">
        <v>0</v>
      </c>
      <c r="Q73" s="18" t="n">
        <v>0</v>
      </c>
      <c r="R73" s="20" t="n">
        <v>0</v>
      </c>
      <c r="S73" s="18" t="n">
        <v>4.58718792</v>
      </c>
      <c r="T73" s="20" t="n">
        <v>1.43858249</v>
      </c>
    </row>
    <row r="74" spans="1:20">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2406</v>
      </c>
      <c r="C75" s="18">
        <f>(2179.0/B75*100)</f>
        <v/>
      </c>
      <c r="D75" s="19" t="n">
        <v>227</v>
      </c>
      <c r="E75" s="18" t="n">
        <v>41.00434584</v>
      </c>
      <c r="F75" s="20" t="n">
        <v>3.66702626</v>
      </c>
      <c r="G75" s="18" t="n">
        <v>1.80499337</v>
      </c>
      <c r="H75" s="20" t="n">
        <v>1.10638568</v>
      </c>
      <c r="I75" s="18" t="n">
        <v>2.61938024</v>
      </c>
      <c r="J75" s="20" t="n">
        <v>0.9295730800000001</v>
      </c>
      <c r="K75" s="18" t="s">
        <v>567</v>
      </c>
      <c r="L75" s="20" t="s">
        <v>567</v>
      </c>
      <c r="M75" s="18" t="n">
        <v>3.5404335</v>
      </c>
      <c r="N75" s="20" t="n">
        <v>1.32045086</v>
      </c>
      <c r="O75" s="18" t="n">
        <v>0.51112433</v>
      </c>
      <c r="P75" s="20" t="n">
        <v>0.5121930099999999</v>
      </c>
      <c r="Q75" s="18" t="n">
        <v>0</v>
      </c>
      <c r="R75" s="20" t="n">
        <v>0</v>
      </c>
      <c r="S75" s="18" t="n">
        <v>50.51972271</v>
      </c>
      <c r="T75" s="20" t="n">
        <v>3.73606066</v>
      </c>
    </row>
    <row r="76" spans="1:20">
      <c r="A76" s="15" t="s">
        <v>636</v>
      </c>
      <c r="B76" s="17" t="n">
        <v>7052</v>
      </c>
      <c r="C76" s="18">
        <f>(6263.0/B76*100)</f>
        <v/>
      </c>
      <c r="D76" s="19" t="n">
        <v>789</v>
      </c>
      <c r="E76" s="18" t="n">
        <v>60.38446873</v>
      </c>
      <c r="F76" s="20" t="n">
        <v>2.23986768</v>
      </c>
      <c r="G76" s="18" t="n">
        <v>12.18747174</v>
      </c>
      <c r="H76" s="20" t="n">
        <v>1.54175121</v>
      </c>
      <c r="I76" s="18" t="n">
        <v>7.20806834</v>
      </c>
      <c r="J76" s="20" t="n">
        <v>1.09162347</v>
      </c>
      <c r="K76" s="18" t="s">
        <v>567</v>
      </c>
      <c r="L76" s="20" t="s">
        <v>567</v>
      </c>
      <c r="M76" s="18" t="n">
        <v>1.46495447</v>
      </c>
      <c r="N76" s="20" t="n">
        <v>0.57034254</v>
      </c>
      <c r="O76" s="18" t="n">
        <v>0.06567587</v>
      </c>
      <c r="P76" s="20" t="n">
        <v>0.06597213</v>
      </c>
      <c r="Q76" s="18" t="n">
        <v>0</v>
      </c>
      <c r="R76" s="20" t="n">
        <v>0</v>
      </c>
      <c r="S76" s="18" t="n">
        <v>18.68936085</v>
      </c>
      <c r="T76" s="20" t="n">
        <v>1.40692475</v>
      </c>
    </row>
    <row r="77" spans="1:20">
      <c r="A77" s="15" t="s">
        <v>637</v>
      </c>
      <c r="B77" s="17" t="n">
        <v>2908</v>
      </c>
      <c r="C77" s="18">
        <f>(2595.0/B77*100)</f>
        <v/>
      </c>
      <c r="D77" s="19" t="n">
        <v>313</v>
      </c>
      <c r="E77" s="18" t="n">
        <v>48.03129191</v>
      </c>
      <c r="F77" s="20" t="n">
        <v>2.99695419</v>
      </c>
      <c r="G77" s="18" t="n">
        <v>11.61242932</v>
      </c>
      <c r="H77" s="20" t="n">
        <v>1.89512926</v>
      </c>
      <c r="I77" s="18" t="n">
        <v>7.28255865</v>
      </c>
      <c r="J77" s="20" t="n">
        <v>1.62600674</v>
      </c>
      <c r="K77" s="18" t="s">
        <v>567</v>
      </c>
      <c r="L77" s="20" t="s">
        <v>567</v>
      </c>
      <c r="M77" s="18" t="n">
        <v>1.29018943</v>
      </c>
      <c r="N77" s="20" t="n">
        <v>0.6408113</v>
      </c>
      <c r="O77" s="18" t="n">
        <v>0</v>
      </c>
      <c r="P77" s="20" t="n">
        <v>0</v>
      </c>
      <c r="Q77" s="18" t="n">
        <v>0</v>
      </c>
      <c r="R77" s="20" t="n">
        <v>0</v>
      </c>
      <c r="S77" s="18" t="n">
        <v>31.7835307</v>
      </c>
      <c r="T77" s="20" t="n">
        <v>2.43968476</v>
      </c>
    </row>
    <row r="78" spans="1:20">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4163</v>
      </c>
      <c r="C81" s="18">
        <f>(3731.0/B81*100)</f>
        <v/>
      </c>
      <c r="D81" s="19" t="n">
        <v>432</v>
      </c>
      <c r="E81" s="18" t="n">
        <v>78.87310127000001</v>
      </c>
      <c r="F81" s="20" t="n">
        <v>2.67787839</v>
      </c>
      <c r="G81" s="18" t="n">
        <v>4.52124445</v>
      </c>
      <c r="H81" s="20" t="n">
        <v>1.34374792</v>
      </c>
      <c r="I81" s="18" t="n">
        <v>10.8490668</v>
      </c>
      <c r="J81" s="20" t="n">
        <v>2.14783059</v>
      </c>
      <c r="K81" s="18" t="s">
        <v>567</v>
      </c>
      <c r="L81" s="20" t="s">
        <v>567</v>
      </c>
      <c r="M81" s="18" t="n">
        <v>0.31711574</v>
      </c>
      <c r="N81" s="20" t="n">
        <v>0.31986952</v>
      </c>
      <c r="O81" s="18" t="n">
        <v>0</v>
      </c>
      <c r="P81" s="20" t="n">
        <v>0</v>
      </c>
      <c r="Q81" s="18" t="n">
        <v>0</v>
      </c>
      <c r="R81" s="20" t="n">
        <v>0</v>
      </c>
      <c r="S81" s="18" t="n">
        <v>5.43947175</v>
      </c>
      <c r="T81" s="20" t="n">
        <v>1.44742274</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(6577.0/B7*100)</f>
        <v/>
      </c>
      <c r="D7" s="19" t="n">
        <v>790</v>
      </c>
      <c r="E7" s="18" t="n">
        <v>23.81226396</v>
      </c>
      <c r="F7" s="20" t="n">
        <v>1.79170332</v>
      </c>
      <c r="G7" s="18" t="n">
        <v>75.40266751999999</v>
      </c>
      <c r="H7" s="20" t="n">
        <v>1.7775332</v>
      </c>
      <c r="I7" s="18" t="s">
        <v>567</v>
      </c>
      <c r="J7" s="20" t="s">
        <v>567</v>
      </c>
      <c r="K7" s="18" t="n">
        <v>0.24719401</v>
      </c>
      <c r="L7" s="20" t="n">
        <v>0.14692818</v>
      </c>
      <c r="M7" s="18" t="n">
        <v>0</v>
      </c>
      <c r="N7" s="20" t="n">
        <v>0</v>
      </c>
      <c r="O7" s="18" t="n">
        <v>0</v>
      </c>
      <c r="P7" s="20" t="n">
        <v>0</v>
      </c>
      <c r="Q7" s="18" t="n">
        <v>0.53787451</v>
      </c>
      <c r="R7" s="20" t="n">
        <v>0.28153536</v>
      </c>
    </row>
    <row r="8" spans="1:18">
      <c r="A8" s="15" t="s">
        <v>568</v>
      </c>
      <c r="B8" s="17" t="n">
        <v>3564</v>
      </c>
      <c r="C8" s="18">
        <f>(3158.0/B8*100)</f>
        <v/>
      </c>
      <c r="D8" s="19" t="n">
        <v>406</v>
      </c>
      <c r="E8" s="18" t="n">
        <v>28.20496538</v>
      </c>
      <c r="F8" s="20" t="n">
        <v>2.49681661</v>
      </c>
      <c r="G8" s="18" t="n">
        <v>70.89861161</v>
      </c>
      <c r="H8" s="20" t="n">
        <v>2.57976356</v>
      </c>
      <c r="I8" s="18" t="s">
        <v>567</v>
      </c>
      <c r="J8" s="20" t="s">
        <v>567</v>
      </c>
      <c r="K8" s="18" t="n">
        <v>0.59232011</v>
      </c>
      <c r="L8" s="20" t="n">
        <v>0.53102767</v>
      </c>
      <c r="M8" s="18" t="n">
        <v>0</v>
      </c>
      <c r="N8" s="20" t="n">
        <v>0</v>
      </c>
      <c r="O8" s="18" t="n">
        <v>0</v>
      </c>
      <c r="P8" s="20" t="n">
        <v>0</v>
      </c>
      <c r="Q8" s="18" t="n">
        <v>0.30410291</v>
      </c>
      <c r="R8" s="20" t="n">
        <v>0.25930173</v>
      </c>
    </row>
    <row r="9" spans="1:18">
      <c r="A9" s="15" t="s">
        <v>569</v>
      </c>
      <c r="B9" s="17" t="n">
        <v>4899</v>
      </c>
      <c r="C9" s="18">
        <f>(4275.0/B9*100)</f>
        <v/>
      </c>
      <c r="D9" s="19" t="n">
        <v>624</v>
      </c>
      <c r="E9" s="18" t="n">
        <v>30.14725197</v>
      </c>
      <c r="F9" s="20" t="n">
        <v>2.23848962</v>
      </c>
      <c r="G9" s="18" t="n">
        <v>69.28794177</v>
      </c>
      <c r="H9" s="20" t="n">
        <v>2.29992514</v>
      </c>
      <c r="I9" s="18" t="s">
        <v>567</v>
      </c>
      <c r="J9" s="20" t="s">
        <v>567</v>
      </c>
      <c r="K9" s="18" t="n">
        <v>0.43942172</v>
      </c>
      <c r="L9" s="20" t="n">
        <v>0.20858855</v>
      </c>
      <c r="M9" s="18" t="n">
        <v>0</v>
      </c>
      <c r="N9" s="20" t="n">
        <v>0</v>
      </c>
      <c r="O9" s="18" t="n">
        <v>0</v>
      </c>
      <c r="P9" s="20" t="n">
        <v>0</v>
      </c>
      <c r="Q9" s="18" t="n">
        <v>0.12538453</v>
      </c>
      <c r="R9" s="20" t="n">
        <v>0.12044511</v>
      </c>
    </row>
    <row r="10" spans="1:18">
      <c r="A10" s="15" t="s">
        <v>570</v>
      </c>
      <c r="B10" s="17" t="n">
        <v>10036</v>
      </c>
      <c r="C10" s="18">
        <f>(8972.0/B10*100)</f>
        <v/>
      </c>
      <c r="D10" s="19" t="n">
        <v>1064</v>
      </c>
      <c r="E10" s="18" t="n">
        <v>22.95807781</v>
      </c>
      <c r="F10" s="20" t="n">
        <v>1.64308163</v>
      </c>
      <c r="G10" s="18" t="n">
        <v>76.28245871</v>
      </c>
      <c r="H10" s="20" t="n">
        <v>1.64691912</v>
      </c>
      <c r="I10" s="18" t="s">
        <v>567</v>
      </c>
      <c r="J10" s="20" t="s">
        <v>567</v>
      </c>
      <c r="K10" s="18" t="n">
        <v>0.71008176</v>
      </c>
      <c r="L10" s="20" t="n">
        <v>0.32819194</v>
      </c>
      <c r="M10" s="18" t="n">
        <v>0</v>
      </c>
      <c r="N10" s="20" t="n">
        <v>0</v>
      </c>
      <c r="O10" s="18" t="n">
        <v>0</v>
      </c>
      <c r="P10" s="20" t="n">
        <v>0</v>
      </c>
      <c r="Q10" s="18" t="n">
        <v>0.04938172</v>
      </c>
      <c r="R10" s="20" t="n">
        <v>0.03505943</v>
      </c>
    </row>
    <row r="11" spans="1:18">
      <c r="A11" s="15" t="s">
        <v>571</v>
      </c>
      <c r="B11" s="17" t="n">
        <v>3553</v>
      </c>
      <c r="C11" s="18">
        <f>(3175.0/B11*100)</f>
        <v/>
      </c>
      <c r="D11" s="19" t="n">
        <v>378</v>
      </c>
      <c r="E11" s="18" t="n">
        <v>43.19816531</v>
      </c>
      <c r="F11" s="20" t="n">
        <v>2.74279697</v>
      </c>
      <c r="G11" s="18" t="n">
        <v>54.44159881</v>
      </c>
      <c r="H11" s="20" t="n">
        <v>2.89886796</v>
      </c>
      <c r="I11" s="18" t="s">
        <v>567</v>
      </c>
      <c r="J11" s="20" t="s">
        <v>567</v>
      </c>
      <c r="K11" s="18" t="n">
        <v>1.57695235</v>
      </c>
      <c r="L11" s="20" t="n">
        <v>0.60834108</v>
      </c>
      <c r="M11" s="18" t="n">
        <v>0</v>
      </c>
      <c r="N11" s="20" t="n">
        <v>0</v>
      </c>
      <c r="O11" s="18" t="n">
        <v>0</v>
      </c>
      <c r="P11" s="20" t="n">
        <v>0</v>
      </c>
      <c r="Q11" s="18" t="n">
        <v>0.78328352</v>
      </c>
      <c r="R11" s="20" t="n">
        <v>0.47961759</v>
      </c>
    </row>
    <row r="12" spans="1:18">
      <c r="A12" s="15" t="s">
        <v>572</v>
      </c>
      <c r="B12" s="17" t="n">
        <v>3472</v>
      </c>
      <c r="C12" s="18">
        <f>(3056.0/B12*100)</f>
        <v/>
      </c>
      <c r="D12" s="19" t="n">
        <v>416</v>
      </c>
      <c r="E12" s="18" t="n">
        <v>27.26806791</v>
      </c>
      <c r="F12" s="20" t="n">
        <v>2.85543966</v>
      </c>
      <c r="G12" s="18" t="n">
        <v>71.4694162</v>
      </c>
      <c r="H12" s="20" t="n">
        <v>3.14790783</v>
      </c>
      <c r="I12" s="18" t="s">
        <v>567</v>
      </c>
      <c r="J12" s="20" t="s">
        <v>567</v>
      </c>
      <c r="K12" s="18" t="n">
        <v>0.18726506</v>
      </c>
      <c r="L12" s="20" t="n">
        <v>0.18174604</v>
      </c>
      <c r="M12" s="18" t="n">
        <v>0</v>
      </c>
      <c r="N12" s="20" t="n">
        <v>0</v>
      </c>
      <c r="O12" s="18" t="n">
        <v>0</v>
      </c>
      <c r="P12" s="20" t="n">
        <v>0</v>
      </c>
      <c r="Q12" s="18" t="n">
        <v>1.07525083</v>
      </c>
      <c r="R12" s="20" t="n">
        <v>0.60118797</v>
      </c>
    </row>
    <row r="13" spans="1:18">
      <c r="A13" s="15" t="s">
        <v>573</v>
      </c>
      <c r="B13" s="17" t="n">
        <v>3559</v>
      </c>
      <c r="C13" s="18">
        <f>(2999.0/B13*100)</f>
        <v/>
      </c>
      <c r="D13" s="19" t="n">
        <v>560</v>
      </c>
      <c r="E13" s="18" t="n">
        <v>23.80580824</v>
      </c>
      <c r="F13" s="20" t="n">
        <v>2.27077665</v>
      </c>
      <c r="G13" s="18" t="n">
        <v>75.49815391</v>
      </c>
      <c r="H13" s="20" t="n">
        <v>2.25588297</v>
      </c>
      <c r="I13" s="18" t="s">
        <v>567</v>
      </c>
      <c r="J13" s="20" t="s">
        <v>567</v>
      </c>
      <c r="K13" s="18" t="n">
        <v>0.49173378</v>
      </c>
      <c r="L13" s="20" t="n">
        <v>0.25926966</v>
      </c>
      <c r="M13" s="18" t="n">
        <v>0</v>
      </c>
      <c r="N13" s="20" t="n">
        <v>0</v>
      </c>
      <c r="O13" s="18" t="n">
        <v>0</v>
      </c>
      <c r="P13" s="20" t="n">
        <v>0</v>
      </c>
      <c r="Q13" s="18" t="n">
        <v>0.20430407</v>
      </c>
      <c r="R13" s="20" t="n">
        <v>0.20437973</v>
      </c>
    </row>
    <row r="14" spans="1:18">
      <c r="A14" s="15" t="s">
        <v>574</v>
      </c>
      <c r="B14" s="17" t="n">
        <v>2799</v>
      </c>
      <c r="C14" s="18">
        <f>(2512.0/B14*100)</f>
        <v/>
      </c>
      <c r="D14" s="19" t="n">
        <v>287</v>
      </c>
      <c r="E14" s="18" t="n">
        <v>27.92858452</v>
      </c>
      <c r="F14" s="20" t="n">
        <v>3.34563267</v>
      </c>
      <c r="G14" s="18" t="n">
        <v>71.29260834999999</v>
      </c>
      <c r="H14" s="20" t="n">
        <v>3.37022492</v>
      </c>
      <c r="I14" s="18" t="s">
        <v>567</v>
      </c>
      <c r="J14" s="20" t="s">
        <v>567</v>
      </c>
      <c r="K14" s="18" t="n">
        <v>0.53302813</v>
      </c>
      <c r="L14" s="20" t="n">
        <v>0.35444713</v>
      </c>
      <c r="M14" s="18" t="n">
        <v>0</v>
      </c>
      <c r="N14" s="20" t="n">
        <v>0</v>
      </c>
      <c r="O14" s="18" t="n">
        <v>0</v>
      </c>
      <c r="P14" s="20" t="n">
        <v>0</v>
      </c>
      <c r="Q14" s="18" t="n">
        <v>0.245779</v>
      </c>
      <c r="R14" s="20" t="n">
        <v>0.24723973</v>
      </c>
    </row>
    <row r="15" spans="1:18">
      <c r="A15" s="15" t="s">
        <v>575</v>
      </c>
      <c r="B15" s="17" t="n">
        <v>3019</v>
      </c>
      <c r="C15" s="18">
        <f>(2647.0/B15*100)</f>
        <v/>
      </c>
      <c r="D15" s="19" t="n">
        <v>372</v>
      </c>
      <c r="E15" s="18" t="n">
        <v>28.19278108</v>
      </c>
      <c r="F15" s="20" t="n">
        <v>3.00078387</v>
      </c>
      <c r="G15" s="18" t="n">
        <v>71.01474356</v>
      </c>
      <c r="H15" s="20" t="n">
        <v>3.2645711</v>
      </c>
      <c r="I15" s="18" t="s">
        <v>567</v>
      </c>
      <c r="J15" s="20" t="s">
        <v>567</v>
      </c>
      <c r="K15" s="18" t="n">
        <v>0</v>
      </c>
      <c r="L15" s="20" t="n">
        <v>0</v>
      </c>
      <c r="M15" s="18" t="n">
        <v>0</v>
      </c>
      <c r="N15" s="20" t="n">
        <v>0</v>
      </c>
      <c r="O15" s="18" t="n">
        <v>0</v>
      </c>
      <c r="P15" s="20" t="n">
        <v>0</v>
      </c>
      <c r="Q15" s="18" t="n">
        <v>0.79247537</v>
      </c>
      <c r="R15" s="20" t="n">
        <v>0.5561779100000001</v>
      </c>
    </row>
    <row r="16" spans="1:18">
      <c r="A16" s="15" t="s">
        <v>576</v>
      </c>
      <c r="B16" s="17" t="n">
        <v>2997</v>
      </c>
      <c r="C16" s="18">
        <f>(2670.0/B16*100)</f>
        <v/>
      </c>
      <c r="D16" s="19" t="n">
        <v>327</v>
      </c>
      <c r="E16" s="18" t="n">
        <v>26.89197979</v>
      </c>
      <c r="F16" s="20" t="n">
        <v>2.93563705</v>
      </c>
      <c r="G16" s="18" t="n">
        <v>71.51725958999999</v>
      </c>
      <c r="H16" s="20" t="n">
        <v>2.97380448</v>
      </c>
      <c r="I16" s="18" t="s">
        <v>567</v>
      </c>
      <c r="J16" s="20" t="s">
        <v>567</v>
      </c>
      <c r="K16" s="18" t="n">
        <v>1.2851055</v>
      </c>
      <c r="L16" s="20" t="n">
        <v>0.80068708</v>
      </c>
      <c r="M16" s="18" t="n">
        <v>0</v>
      </c>
      <c r="N16" s="20" t="n">
        <v>0</v>
      </c>
      <c r="O16" s="18" t="n">
        <v>0</v>
      </c>
      <c r="P16" s="20" t="n">
        <v>0</v>
      </c>
      <c r="Q16" s="18" t="n">
        <v>0.30565513</v>
      </c>
      <c r="R16" s="20" t="n">
        <v>0.32587489</v>
      </c>
    </row>
    <row r="17" spans="1:18">
      <c r="A17" s="15" t="s">
        <v>577</v>
      </c>
      <c r="B17" s="17" t="n">
        <v>3307</v>
      </c>
      <c r="C17" s="18">
        <f>(2898.0/B17*100)</f>
        <v/>
      </c>
      <c r="D17" s="19" t="n">
        <v>409</v>
      </c>
      <c r="E17" s="18" t="n">
        <v>18.79096091</v>
      </c>
      <c r="F17" s="20" t="n">
        <v>2.17293393</v>
      </c>
      <c r="G17" s="18" t="n">
        <v>80.26718869</v>
      </c>
      <c r="H17" s="20" t="n">
        <v>1.96401056</v>
      </c>
      <c r="I17" s="18" t="s">
        <v>567</v>
      </c>
      <c r="J17" s="20" t="s">
        <v>567</v>
      </c>
      <c r="K17" s="18" t="n">
        <v>0.9418504</v>
      </c>
      <c r="L17" s="20" t="n">
        <v>0.5228695</v>
      </c>
      <c r="M17" s="18" t="n">
        <v>0</v>
      </c>
      <c r="N17" s="20" t="n">
        <v>0</v>
      </c>
      <c r="O17" s="18" t="n">
        <v>0</v>
      </c>
      <c r="P17" s="20" t="n">
        <v>0</v>
      </c>
      <c r="Q17" s="18" t="n">
        <v>0</v>
      </c>
      <c r="R17" s="20" t="n">
        <v>0</v>
      </c>
    </row>
    <row r="18" spans="1:18">
      <c r="A18" s="15" t="s">
        <v>578</v>
      </c>
      <c r="B18" s="17" t="n">
        <v>2826</v>
      </c>
      <c r="C18" s="18">
        <f>(2503.0/B18*100)</f>
        <v/>
      </c>
      <c r="D18" s="19" t="n">
        <v>323</v>
      </c>
      <c r="E18" s="18" t="n">
        <v>29.08073593</v>
      </c>
      <c r="F18" s="20" t="n">
        <v>3.18928795</v>
      </c>
      <c r="G18" s="18" t="n">
        <v>69.64477128</v>
      </c>
      <c r="H18" s="20" t="n">
        <v>3.00866773</v>
      </c>
      <c r="I18" s="18" t="s">
        <v>567</v>
      </c>
      <c r="J18" s="20" t="s">
        <v>567</v>
      </c>
      <c r="K18" s="18" t="n">
        <v>0.70858633</v>
      </c>
      <c r="L18" s="20" t="n">
        <v>0.70177941</v>
      </c>
      <c r="M18" s="18" t="n">
        <v>0</v>
      </c>
      <c r="N18" s="20" t="n">
        <v>0</v>
      </c>
      <c r="O18" s="18" t="n">
        <v>0</v>
      </c>
      <c r="P18" s="20" t="n">
        <v>0</v>
      </c>
      <c r="Q18" s="18" t="n">
        <v>0.5659064499999999</v>
      </c>
      <c r="R18" s="20" t="n">
        <v>0.40509285</v>
      </c>
    </row>
    <row r="19" spans="1:18">
      <c r="A19" s="15" t="s">
        <v>579</v>
      </c>
      <c r="B19" s="17" t="n">
        <v>2808</v>
      </c>
      <c r="C19" s="18">
        <f>(2487.0/B19*100)</f>
        <v/>
      </c>
      <c r="D19" s="19" t="n">
        <v>321</v>
      </c>
      <c r="E19" s="18" t="n">
        <v>30.16561913</v>
      </c>
      <c r="F19" s="20" t="n">
        <v>2.42104823</v>
      </c>
      <c r="G19" s="18" t="n">
        <v>69.56575242</v>
      </c>
      <c r="H19" s="20" t="n">
        <v>2.41761724</v>
      </c>
      <c r="I19" s="18" t="s">
        <v>567</v>
      </c>
      <c r="J19" s="20" t="s">
        <v>567</v>
      </c>
      <c r="K19" s="18" t="n">
        <v>0.26862845</v>
      </c>
      <c r="L19" s="20" t="n">
        <v>0.26498752</v>
      </c>
      <c r="M19" s="18" t="n">
        <v>0</v>
      </c>
      <c r="N19" s="20" t="n">
        <v>0</v>
      </c>
      <c r="O19" s="18" t="n">
        <v>0</v>
      </c>
      <c r="P19" s="20" t="n">
        <v>0</v>
      </c>
      <c r="Q19" s="18" t="n">
        <v>0</v>
      </c>
      <c r="R19" s="20" t="n">
        <v>0</v>
      </c>
    </row>
    <row r="20" spans="1:18">
      <c r="A20" s="15" t="s">
        <v>580</v>
      </c>
      <c r="B20" s="17" t="n">
        <v>1630</v>
      </c>
      <c r="C20" s="18">
        <f>(1470.0/B20*100)</f>
        <v/>
      </c>
      <c r="D20" s="19" t="n">
        <v>160</v>
      </c>
      <c r="E20" s="18" t="n">
        <v>49.59197141</v>
      </c>
      <c r="F20" s="20" t="n">
        <v>3.56464601</v>
      </c>
      <c r="G20" s="18" t="n">
        <v>49.80853313</v>
      </c>
      <c r="H20" s="20" t="n">
        <v>3.44806754</v>
      </c>
      <c r="I20" s="18" t="s">
        <v>567</v>
      </c>
      <c r="J20" s="20" t="s">
        <v>567</v>
      </c>
      <c r="K20" s="18" t="n">
        <v>0</v>
      </c>
      <c r="L20" s="20" t="n">
        <v>0</v>
      </c>
      <c r="M20" s="18" t="n">
        <v>0</v>
      </c>
      <c r="N20" s="20" t="n">
        <v>0</v>
      </c>
      <c r="O20" s="18" t="n">
        <v>0</v>
      </c>
      <c r="P20" s="20" t="n">
        <v>0</v>
      </c>
      <c r="Q20" s="18" t="n">
        <v>0.59949545</v>
      </c>
      <c r="R20" s="20" t="n">
        <v>0.59597529</v>
      </c>
    </row>
    <row r="21" spans="1:18">
      <c r="A21" s="15" t="s">
        <v>581</v>
      </c>
      <c r="B21" s="17" t="n">
        <v>2908</v>
      </c>
      <c r="C21" s="18">
        <f>(2599.0/B21*100)</f>
        <v/>
      </c>
      <c r="D21" s="19" t="n">
        <v>309</v>
      </c>
      <c r="E21" s="18" t="n">
        <v>16.73945565</v>
      </c>
      <c r="F21" s="20" t="n">
        <v>2.35275666</v>
      </c>
      <c r="G21" s="18" t="n">
        <v>82.53537908</v>
      </c>
      <c r="H21" s="20" t="n">
        <v>2.36609638</v>
      </c>
      <c r="I21" s="18" t="s">
        <v>567</v>
      </c>
      <c r="J21" s="20" t="s">
        <v>567</v>
      </c>
      <c r="K21" s="18" t="n">
        <v>0.72516527</v>
      </c>
      <c r="L21" s="20" t="n">
        <v>0.5019472699999999</v>
      </c>
      <c r="M21" s="18" t="n">
        <v>0</v>
      </c>
      <c r="N21" s="20" t="n">
        <v>0</v>
      </c>
      <c r="O21" s="18" t="n">
        <v>0</v>
      </c>
      <c r="P21" s="20" t="n">
        <v>0</v>
      </c>
      <c r="Q21" s="18" t="n">
        <v>0</v>
      </c>
      <c r="R21" s="20" t="n">
        <v>0</v>
      </c>
    </row>
    <row r="22" spans="1:18">
      <c r="A22" s="15" t="s">
        <v>582</v>
      </c>
      <c r="B22" s="17" t="n">
        <v>2931</v>
      </c>
      <c r="C22" s="18">
        <f>(2621.0/B22*100)</f>
        <v/>
      </c>
      <c r="D22" s="19" t="n">
        <v>310</v>
      </c>
      <c r="E22" s="18" t="n">
        <v>32.22858698</v>
      </c>
      <c r="F22" s="20" t="n">
        <v>2.79916004</v>
      </c>
      <c r="G22" s="18" t="n">
        <v>65.32369041</v>
      </c>
      <c r="H22" s="20" t="n">
        <v>2.99217522</v>
      </c>
      <c r="I22" s="18" t="s">
        <v>567</v>
      </c>
      <c r="J22" s="20" t="s">
        <v>567</v>
      </c>
      <c r="K22" s="18" t="n">
        <v>1.51149718</v>
      </c>
      <c r="L22" s="20" t="n">
        <v>0.6651297</v>
      </c>
      <c r="M22" s="18" t="n">
        <v>0</v>
      </c>
      <c r="N22" s="20" t="n">
        <v>0</v>
      </c>
      <c r="O22" s="18" t="n">
        <v>0</v>
      </c>
      <c r="P22" s="20" t="n">
        <v>0</v>
      </c>
      <c r="Q22" s="18" t="n">
        <v>0.93622544</v>
      </c>
      <c r="R22" s="20" t="n">
        <v>0.51001017</v>
      </c>
    </row>
    <row r="23" spans="1:18">
      <c r="A23" s="15" t="s">
        <v>583</v>
      </c>
      <c r="B23" s="17" t="n">
        <v>5791</v>
      </c>
      <c r="C23" s="18">
        <f>(5140.0/B23*100)</f>
        <v/>
      </c>
      <c r="D23" s="19" t="n">
        <v>651</v>
      </c>
      <c r="E23" s="18" t="n">
        <v>23.45267366</v>
      </c>
      <c r="F23" s="20" t="n">
        <v>2.22024882</v>
      </c>
      <c r="G23" s="18" t="n">
        <v>75.64109197000001</v>
      </c>
      <c r="H23" s="20" t="n">
        <v>2.4301425</v>
      </c>
      <c r="I23" s="18" t="s">
        <v>567</v>
      </c>
      <c r="J23" s="20" t="s">
        <v>567</v>
      </c>
      <c r="K23" s="18" t="n">
        <v>0.89105234</v>
      </c>
      <c r="L23" s="20" t="n">
        <v>0.6517183600000001</v>
      </c>
      <c r="M23" s="18" t="n">
        <v>0</v>
      </c>
      <c r="N23" s="20" t="n">
        <v>0</v>
      </c>
      <c r="O23" s="18" t="n">
        <v>0</v>
      </c>
      <c r="P23" s="20" t="n">
        <v>0</v>
      </c>
      <c r="Q23" s="18" t="n">
        <v>0.01518203</v>
      </c>
      <c r="R23" s="20" t="n">
        <v>0.01530658</v>
      </c>
    </row>
    <row r="24" spans="1:18">
      <c r="A24" s="15" t="s">
        <v>584</v>
      </c>
      <c r="B24" s="17" t="n">
        <v>3338</v>
      </c>
      <c r="C24" s="18">
        <f>(2976.0/B24*100)</f>
        <v/>
      </c>
      <c r="D24" s="19" t="n">
        <v>362</v>
      </c>
      <c r="E24" s="18" t="n">
        <v>29.54376466</v>
      </c>
      <c r="F24" s="20" t="n">
        <v>2.17495707</v>
      </c>
      <c r="G24" s="18" t="n">
        <v>70.21530736</v>
      </c>
      <c r="H24" s="20" t="n">
        <v>2.17921535</v>
      </c>
      <c r="I24" s="18" t="s">
        <v>567</v>
      </c>
      <c r="J24" s="20" t="s">
        <v>567</v>
      </c>
      <c r="K24" s="18" t="n">
        <v>0.24092798</v>
      </c>
      <c r="L24" s="20" t="n">
        <v>0.24044862</v>
      </c>
      <c r="M24" s="18" t="n">
        <v>0</v>
      </c>
      <c r="N24" s="20" t="n">
        <v>0</v>
      </c>
      <c r="O24" s="18" t="n">
        <v>0</v>
      </c>
      <c r="P24" s="20" t="n">
        <v>0</v>
      </c>
      <c r="Q24" s="18" t="n">
        <v>0</v>
      </c>
      <c r="R24" s="20" t="n">
        <v>0</v>
      </c>
    </row>
    <row r="25" spans="1:18">
      <c r="A25" s="15" t="s">
        <v>585</v>
      </c>
      <c r="B25" s="17" t="n">
        <v>2912</v>
      </c>
      <c r="C25" s="18">
        <f>(2561.0/B25*100)</f>
        <v/>
      </c>
      <c r="D25" s="19" t="n">
        <v>351</v>
      </c>
      <c r="E25" s="18" t="n">
        <v>33.80861966</v>
      </c>
      <c r="F25" s="20" t="n">
        <v>2.98619216</v>
      </c>
      <c r="G25" s="18" t="n">
        <v>64.49485759</v>
      </c>
      <c r="H25" s="20" t="n">
        <v>3.05101401</v>
      </c>
      <c r="I25" s="18" t="s">
        <v>567</v>
      </c>
      <c r="J25" s="20" t="s">
        <v>567</v>
      </c>
      <c r="K25" s="18" t="n">
        <v>1.69652275</v>
      </c>
      <c r="L25" s="20" t="n">
        <v>0.6732216</v>
      </c>
      <c r="M25" s="18" t="n">
        <v>0</v>
      </c>
      <c r="N25" s="20" t="n">
        <v>0</v>
      </c>
      <c r="O25" s="18" t="n">
        <v>0</v>
      </c>
      <c r="P25" s="20" t="n">
        <v>0</v>
      </c>
      <c r="Q25" s="18" t="n">
        <v>0</v>
      </c>
      <c r="R25" s="20" t="n">
        <v>0</v>
      </c>
    </row>
    <row r="26" spans="1:18">
      <c r="A26" s="15" t="s">
        <v>586</v>
      </c>
      <c r="B26" s="17" t="n">
        <v>2450</v>
      </c>
      <c r="C26" s="18">
        <f>(2184.0/B26*100)</f>
        <v/>
      </c>
      <c r="D26" s="19" t="n">
        <v>266</v>
      </c>
      <c r="E26" s="18" t="n">
        <v>27.13173571</v>
      </c>
      <c r="F26" s="20" t="n">
        <v>3.33948786</v>
      </c>
      <c r="G26" s="18" t="n">
        <v>72.86826429</v>
      </c>
      <c r="H26" s="20" t="n">
        <v>3.33948786</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(2358.0/B27*100)</f>
        <v/>
      </c>
      <c r="D27" s="19" t="n">
        <v>258</v>
      </c>
      <c r="E27" s="18" t="n">
        <v>22.34387854</v>
      </c>
      <c r="F27" s="20" t="n">
        <v>2.06255012</v>
      </c>
      <c r="G27" s="18" t="n">
        <v>76.81082671999999</v>
      </c>
      <c r="H27" s="20" t="n">
        <v>2.09283949</v>
      </c>
      <c r="I27" s="18" t="s">
        <v>567</v>
      </c>
      <c r="J27" s="20" t="s">
        <v>567</v>
      </c>
      <c r="K27" s="18" t="n">
        <v>0.84529474</v>
      </c>
      <c r="L27" s="20" t="n">
        <v>0.58094561</v>
      </c>
      <c r="M27" s="18" t="n">
        <v>0</v>
      </c>
      <c r="N27" s="20" t="n">
        <v>0</v>
      </c>
      <c r="O27" s="18" t="n">
        <v>0</v>
      </c>
      <c r="P27" s="20" t="n">
        <v>0</v>
      </c>
      <c r="Q27" s="18" t="n">
        <v>0</v>
      </c>
      <c r="R27" s="20" t="n">
        <v>0</v>
      </c>
    </row>
    <row r="28" spans="1:18">
      <c r="A28" s="15" t="s">
        <v>588</v>
      </c>
      <c r="B28" s="17" t="n">
        <v>3765</v>
      </c>
      <c r="C28" s="18">
        <f>(3371.0/B28*100)</f>
        <v/>
      </c>
      <c r="D28" s="19" t="n">
        <v>394</v>
      </c>
      <c r="E28" s="18" t="n">
        <v>32.8417801</v>
      </c>
      <c r="F28" s="20" t="n">
        <v>2.97423478</v>
      </c>
      <c r="G28" s="18" t="n">
        <v>65.94209639</v>
      </c>
      <c r="H28" s="20" t="n">
        <v>3.04345021</v>
      </c>
      <c r="I28" s="18" t="s">
        <v>567</v>
      </c>
      <c r="J28" s="20" t="s">
        <v>567</v>
      </c>
      <c r="K28" s="18" t="n">
        <v>1.2161235</v>
      </c>
      <c r="L28" s="20" t="n">
        <v>0.59592408</v>
      </c>
      <c r="M28" s="18" t="n">
        <v>0</v>
      </c>
      <c r="N28" s="20" t="n">
        <v>0</v>
      </c>
      <c r="O28" s="18" t="n">
        <v>0</v>
      </c>
      <c r="P28" s="20" t="n">
        <v>0</v>
      </c>
      <c r="Q28" s="18" t="n">
        <v>0</v>
      </c>
      <c r="R28" s="20" t="n">
        <v>0</v>
      </c>
    </row>
    <row r="29" spans="1:18">
      <c r="A29" s="15" t="s">
        <v>589</v>
      </c>
      <c r="B29" s="17" t="n">
        <v>2685</v>
      </c>
      <c r="C29" s="18">
        <f>(2298.0/B29*100)</f>
        <v/>
      </c>
      <c r="D29" s="19" t="n">
        <v>387</v>
      </c>
      <c r="E29" s="18" t="n">
        <v>22.81467921</v>
      </c>
      <c r="F29" s="20" t="n">
        <v>2.00864543</v>
      </c>
      <c r="G29" s="18" t="n">
        <v>76.17780473000001</v>
      </c>
      <c r="H29" s="20" t="n">
        <v>1.87918291</v>
      </c>
      <c r="I29" s="18" t="s">
        <v>567</v>
      </c>
      <c r="J29" s="20" t="s">
        <v>567</v>
      </c>
      <c r="K29" s="18" t="n">
        <v>0.7685676299999999</v>
      </c>
      <c r="L29" s="20" t="n">
        <v>0.41315331</v>
      </c>
      <c r="M29" s="18" t="n">
        <v>0</v>
      </c>
      <c r="N29" s="20" t="n">
        <v>0</v>
      </c>
      <c r="O29" s="18" t="n">
        <v>0</v>
      </c>
      <c r="P29" s="20" t="n">
        <v>0</v>
      </c>
      <c r="Q29" s="18" t="n">
        <v>0.23894843</v>
      </c>
      <c r="R29" s="20" t="n">
        <v>0.30936077</v>
      </c>
    </row>
    <row r="30" spans="1:18">
      <c r="A30" s="15" t="s">
        <v>590</v>
      </c>
      <c r="B30" s="17" t="n">
        <v>2263</v>
      </c>
      <c r="C30" s="18">
        <f>(2028.0/B30*100)</f>
        <v/>
      </c>
      <c r="D30" s="19" t="n">
        <v>235</v>
      </c>
      <c r="E30" s="18" t="n">
        <v>17.02962623</v>
      </c>
      <c r="F30" s="20" t="n">
        <v>2.67108866</v>
      </c>
      <c r="G30" s="18" t="n">
        <v>81.96458776999999</v>
      </c>
      <c r="H30" s="20" t="n">
        <v>2.66488049</v>
      </c>
      <c r="I30" s="18" t="s">
        <v>567</v>
      </c>
      <c r="J30" s="20" t="s">
        <v>567</v>
      </c>
      <c r="K30" s="18" t="n">
        <v>1.005786</v>
      </c>
      <c r="L30" s="20" t="n">
        <v>0.66183514</v>
      </c>
      <c r="M30" s="18" t="n">
        <v>0</v>
      </c>
      <c r="N30" s="20" t="n">
        <v>0</v>
      </c>
      <c r="O30" s="18" t="n">
        <v>0</v>
      </c>
      <c r="P30" s="20" t="n">
        <v>0</v>
      </c>
      <c r="Q30" s="18" t="n">
        <v>0</v>
      </c>
      <c r="R30" s="20" t="n">
        <v>0</v>
      </c>
    </row>
    <row r="31" spans="1:18">
      <c r="A31" s="15" t="s">
        <v>591</v>
      </c>
      <c r="B31" s="17" t="n">
        <v>2750</v>
      </c>
      <c r="C31" s="18">
        <f>(2459.0/B31*100)</f>
        <v/>
      </c>
      <c r="D31" s="19" t="n">
        <v>291</v>
      </c>
      <c r="E31" s="18" t="n">
        <v>39.84035028</v>
      </c>
      <c r="F31" s="20" t="n">
        <v>2.92981247</v>
      </c>
      <c r="G31" s="18" t="n">
        <v>58.81017131</v>
      </c>
      <c r="H31" s="20" t="n">
        <v>2.96807986</v>
      </c>
      <c r="I31" s="18" t="s">
        <v>567</v>
      </c>
      <c r="J31" s="20" t="s">
        <v>567</v>
      </c>
      <c r="K31" s="18" t="n">
        <v>1.34947841</v>
      </c>
      <c r="L31" s="20" t="n">
        <v>0.65626559</v>
      </c>
      <c r="M31" s="18" t="n">
        <v>0</v>
      </c>
      <c r="N31" s="20" t="n">
        <v>0</v>
      </c>
      <c r="O31" s="18" t="n">
        <v>0</v>
      </c>
      <c r="P31" s="20" t="n">
        <v>0</v>
      </c>
      <c r="Q31" s="18" t="n">
        <v>0</v>
      </c>
      <c r="R31" s="20" t="n">
        <v>0</v>
      </c>
    </row>
    <row r="32" spans="1:18">
      <c r="A32" s="15" t="s">
        <v>592</v>
      </c>
      <c r="B32" s="17" t="n">
        <v>2269</v>
      </c>
      <c r="C32" s="18">
        <f>(2026.0/B32*100)</f>
        <v/>
      </c>
      <c r="D32" s="19" t="n">
        <v>243</v>
      </c>
      <c r="E32" s="18" t="n">
        <v>22.90256121</v>
      </c>
      <c r="F32" s="20" t="n">
        <v>2.87117775</v>
      </c>
      <c r="G32" s="18" t="n">
        <v>76.6574255</v>
      </c>
      <c r="H32" s="20" t="n">
        <v>2.97175392</v>
      </c>
      <c r="I32" s="18" t="s">
        <v>567</v>
      </c>
      <c r="J32" s="20" t="s">
        <v>567</v>
      </c>
      <c r="K32" s="18" t="n">
        <v>0</v>
      </c>
      <c r="L32" s="20" t="n">
        <v>0</v>
      </c>
      <c r="M32" s="18" t="n">
        <v>0</v>
      </c>
      <c r="N32" s="20" t="n">
        <v>0</v>
      </c>
      <c r="O32" s="18" t="n">
        <v>0</v>
      </c>
      <c r="P32" s="20" t="n">
        <v>0</v>
      </c>
      <c r="Q32" s="18" t="n">
        <v>0.44001329</v>
      </c>
      <c r="R32" s="20" t="n">
        <v>0.37863094</v>
      </c>
    </row>
    <row r="33" spans="1:18">
      <c r="A33" s="15" t="s">
        <v>593</v>
      </c>
      <c r="B33" s="17" t="n">
        <v>3674</v>
      </c>
      <c r="C33" s="18">
        <f>(3298.0/B33*100)</f>
        <v/>
      </c>
      <c r="D33" s="19" t="n">
        <v>376</v>
      </c>
      <c r="E33" s="18" t="n">
        <v>27.60705933</v>
      </c>
      <c r="F33" s="20" t="n">
        <v>2.66069533</v>
      </c>
      <c r="G33" s="18" t="n">
        <v>71.79611074</v>
      </c>
      <c r="H33" s="20" t="n">
        <v>2.65131222</v>
      </c>
      <c r="I33" s="18" t="s">
        <v>567</v>
      </c>
      <c r="J33" s="20" t="s">
        <v>567</v>
      </c>
      <c r="K33" s="18" t="n">
        <v>0.57354861</v>
      </c>
      <c r="L33" s="20" t="n">
        <v>0.63348636</v>
      </c>
      <c r="M33" s="18" t="n">
        <v>0</v>
      </c>
      <c r="N33" s="20" t="n">
        <v>0</v>
      </c>
      <c r="O33" s="18" t="n">
        <v>0</v>
      </c>
      <c r="P33" s="20" t="n">
        <v>0</v>
      </c>
      <c r="Q33" s="18" t="n">
        <v>0.02328131</v>
      </c>
      <c r="R33" s="20" t="n">
        <v>0.02335741</v>
      </c>
    </row>
    <row r="34" spans="1:18">
      <c r="A34" s="15" t="s">
        <v>594</v>
      </c>
      <c r="B34" s="17" t="n">
        <v>3315</v>
      </c>
      <c r="C34" s="18">
        <f>(2893.0/B34*100)</f>
        <v/>
      </c>
      <c r="D34" s="19" t="n">
        <v>422</v>
      </c>
      <c r="E34" s="18" t="n">
        <v>36.12001769</v>
      </c>
      <c r="F34" s="20" t="n">
        <v>3.17282641</v>
      </c>
      <c r="G34" s="18" t="n">
        <v>62.94732124</v>
      </c>
      <c r="H34" s="20" t="n">
        <v>3.12837137</v>
      </c>
      <c r="I34" s="18" t="s">
        <v>567</v>
      </c>
      <c r="J34" s="20" t="s">
        <v>567</v>
      </c>
      <c r="K34" s="18" t="n">
        <v>0.1713042</v>
      </c>
      <c r="L34" s="20" t="n">
        <v>0.17142121</v>
      </c>
      <c r="M34" s="18" t="n">
        <v>0</v>
      </c>
      <c r="N34" s="20" t="n">
        <v>0</v>
      </c>
      <c r="O34" s="18" t="n">
        <v>0</v>
      </c>
      <c r="P34" s="20" t="n">
        <v>0</v>
      </c>
      <c r="Q34" s="18" t="n">
        <v>0.76135687</v>
      </c>
      <c r="R34" s="20" t="n">
        <v>0.37869594</v>
      </c>
    </row>
    <row r="35" spans="1:18">
      <c r="A35" s="15" t="s">
        <v>595</v>
      </c>
      <c r="B35" s="17" t="n">
        <v>3505</v>
      </c>
      <c r="C35" s="18">
        <f>(3006.0/B35*100)</f>
        <v/>
      </c>
      <c r="D35" s="19" t="n">
        <v>499</v>
      </c>
      <c r="E35" s="18" t="n">
        <v>18.86102977</v>
      </c>
      <c r="F35" s="20" t="n">
        <v>2.03732827</v>
      </c>
      <c r="G35" s="18" t="n">
        <v>80.93398582</v>
      </c>
      <c r="H35" s="20" t="n">
        <v>2.02925435</v>
      </c>
      <c r="I35" s="18" t="s">
        <v>567</v>
      </c>
      <c r="J35" s="20" t="s">
        <v>567</v>
      </c>
      <c r="K35" s="18" t="n">
        <v>0.20498441</v>
      </c>
      <c r="L35" s="20" t="n">
        <v>0.14791302</v>
      </c>
      <c r="M35" s="18" t="n">
        <v>0</v>
      </c>
      <c r="N35" s="20" t="n">
        <v>0</v>
      </c>
      <c r="O35" s="18" t="n">
        <v>0</v>
      </c>
      <c r="P35" s="20" t="n">
        <v>0</v>
      </c>
      <c r="Q35" s="18" t="n">
        <v>0</v>
      </c>
      <c r="R35" s="20" t="n">
        <v>0</v>
      </c>
    </row>
    <row r="36" spans="1:18">
      <c r="A36" s="15" t="s">
        <v>596</v>
      </c>
      <c r="B36" s="17" t="n">
        <v>3332</v>
      </c>
      <c r="C36" s="18">
        <f>(2967.0/B36*100)</f>
        <v/>
      </c>
      <c r="D36" s="19" t="n">
        <v>365</v>
      </c>
      <c r="E36" s="18" t="n">
        <v>21.59161008</v>
      </c>
      <c r="F36" s="20" t="n">
        <v>2.37319198</v>
      </c>
      <c r="G36" s="18" t="n">
        <v>76.75638454</v>
      </c>
      <c r="H36" s="20" t="n">
        <v>2.41454826</v>
      </c>
      <c r="I36" s="18" t="s">
        <v>567</v>
      </c>
      <c r="J36" s="20" t="s">
        <v>567</v>
      </c>
      <c r="K36" s="18" t="n">
        <v>1.65200538</v>
      </c>
      <c r="L36" s="20" t="n">
        <v>0.80515861</v>
      </c>
      <c r="M36" s="18" t="n">
        <v>0</v>
      </c>
      <c r="N36" s="20" t="n">
        <v>0</v>
      </c>
      <c r="O36" s="18" t="n">
        <v>0</v>
      </c>
      <c r="P36" s="20" t="n">
        <v>0</v>
      </c>
      <c r="Q36" s="18" t="n">
        <v>0</v>
      </c>
      <c r="R36" s="20" t="n">
        <v>0</v>
      </c>
    </row>
    <row r="37" spans="1:18">
      <c r="A37" s="15" t="s">
        <v>597</v>
      </c>
      <c r="B37" s="17" t="n">
        <v>2727</v>
      </c>
      <c r="C37" s="18">
        <f>(2448.0/B37*100)</f>
        <v/>
      </c>
      <c r="D37" s="19" t="n">
        <v>279</v>
      </c>
      <c r="E37" s="18" t="n">
        <v>28.96462813</v>
      </c>
      <c r="F37" s="20" t="n">
        <v>2.62369494</v>
      </c>
      <c r="G37" s="18" t="n">
        <v>70.00670454</v>
      </c>
      <c r="H37" s="20" t="n">
        <v>2.78101229</v>
      </c>
      <c r="I37" s="18" t="s">
        <v>567</v>
      </c>
      <c r="J37" s="20" t="s">
        <v>567</v>
      </c>
      <c r="K37" s="18" t="n">
        <v>1.02866733</v>
      </c>
      <c r="L37" s="20" t="n">
        <v>0.60565873</v>
      </c>
      <c r="M37" s="18" t="n">
        <v>0</v>
      </c>
      <c r="N37" s="20" t="n">
        <v>0</v>
      </c>
      <c r="O37" s="18" t="n">
        <v>0</v>
      </c>
      <c r="P37" s="20" t="n">
        <v>0</v>
      </c>
      <c r="Q37" s="18" t="n">
        <v>0</v>
      </c>
      <c r="R37" s="20" t="n">
        <v>0</v>
      </c>
    </row>
    <row r="38" spans="1:18">
      <c r="A38" s="15" t="s">
        <v>598</v>
      </c>
      <c r="B38" s="17" t="n">
        <v>3053</v>
      </c>
      <c r="C38" s="18">
        <f>(2715.0/B38*100)</f>
        <v/>
      </c>
      <c r="D38" s="19" t="n">
        <v>338</v>
      </c>
      <c r="E38" s="18" t="n">
        <v>20.71806106</v>
      </c>
      <c r="F38" s="20" t="n">
        <v>2.38650311</v>
      </c>
      <c r="G38" s="18" t="n">
        <v>78.17541909000001</v>
      </c>
      <c r="H38" s="20" t="n">
        <v>2.40611138</v>
      </c>
      <c r="I38" s="18" t="s">
        <v>567</v>
      </c>
      <c r="J38" s="20" t="s">
        <v>567</v>
      </c>
      <c r="K38" s="18" t="n">
        <v>1.10651985</v>
      </c>
      <c r="L38" s="20" t="n">
        <v>0.6169548500000001</v>
      </c>
      <c r="M38" s="18" t="n">
        <v>0</v>
      </c>
      <c r="N38" s="20" t="n">
        <v>0</v>
      </c>
      <c r="O38" s="18" t="n">
        <v>0</v>
      </c>
      <c r="P38" s="20" t="n">
        <v>0</v>
      </c>
      <c r="Q38" s="18" t="n">
        <v>0</v>
      </c>
      <c r="R38" s="20" t="n">
        <v>0</v>
      </c>
    </row>
    <row r="39" spans="1:18">
      <c r="A39" s="15" t="s">
        <v>599</v>
      </c>
      <c r="B39" s="17" t="n">
        <v>2957</v>
      </c>
      <c r="C39" s="18">
        <f>(2642.0/B39*100)</f>
        <v/>
      </c>
      <c r="D39" s="19" t="n">
        <v>315</v>
      </c>
      <c r="E39" s="18" t="n">
        <v>46.09370233</v>
      </c>
      <c r="F39" s="20" t="n">
        <v>3.60633945</v>
      </c>
      <c r="G39" s="18" t="n">
        <v>53.49751199</v>
      </c>
      <c r="H39" s="20" t="n">
        <v>3.5789742</v>
      </c>
      <c r="I39" s="18" t="s">
        <v>567</v>
      </c>
      <c r="J39" s="20" t="s">
        <v>567</v>
      </c>
      <c r="K39" s="18" t="n">
        <v>0</v>
      </c>
      <c r="L39" s="20" t="n">
        <v>0</v>
      </c>
      <c r="M39" s="18" t="n">
        <v>0</v>
      </c>
      <c r="N39" s="20" t="n">
        <v>0</v>
      </c>
      <c r="O39" s="18" t="n">
        <v>0</v>
      </c>
      <c r="P39" s="20" t="n">
        <v>0</v>
      </c>
      <c r="Q39" s="18" t="n">
        <v>0.40878567</v>
      </c>
      <c r="R39" s="20" t="n">
        <v>0.292692</v>
      </c>
    </row>
    <row r="40" spans="1:18">
      <c r="A40" s="15" t="s">
        <v>600</v>
      </c>
      <c r="B40" s="17" t="n">
        <v>7235</v>
      </c>
      <c r="C40" s="18">
        <f>(6432.0/B40*100)</f>
        <v/>
      </c>
      <c r="D40" s="19" t="n">
        <v>803</v>
      </c>
      <c r="E40" s="18" t="n">
        <v>18.98362554</v>
      </c>
      <c r="F40" s="20" t="n">
        <v>1.93803518</v>
      </c>
      <c r="G40" s="18" t="n">
        <v>79.29741522</v>
      </c>
      <c r="H40" s="20" t="n">
        <v>2.25925029</v>
      </c>
      <c r="I40" s="18" t="s">
        <v>567</v>
      </c>
      <c r="J40" s="20" t="s">
        <v>567</v>
      </c>
      <c r="K40" s="18" t="n">
        <v>1.03692236</v>
      </c>
      <c r="L40" s="20" t="n">
        <v>0.54999021</v>
      </c>
      <c r="M40" s="18" t="n">
        <v>0</v>
      </c>
      <c r="N40" s="20" t="n">
        <v>0</v>
      </c>
      <c r="O40" s="18" t="n">
        <v>0</v>
      </c>
      <c r="P40" s="20" t="n">
        <v>0</v>
      </c>
      <c r="Q40" s="18" t="n">
        <v>0.68203688</v>
      </c>
      <c r="R40" s="20" t="n">
        <v>0.52855448</v>
      </c>
    </row>
    <row r="41" spans="1:18">
      <c r="A41" s="15" t="s">
        <v>601</v>
      </c>
      <c r="B41" s="17" t="n">
        <v>2858</v>
      </c>
      <c r="C41" s="18">
        <f>(2539.0/B41*100)</f>
        <v/>
      </c>
      <c r="D41" s="19" t="n">
        <v>319</v>
      </c>
      <c r="E41" s="18" t="n">
        <v>26.07886849</v>
      </c>
      <c r="F41" s="20" t="n">
        <v>2.68678292</v>
      </c>
      <c r="G41" s="18" t="n">
        <v>72.17313579</v>
      </c>
      <c r="H41" s="20" t="n">
        <v>2.75154729</v>
      </c>
      <c r="I41" s="18" t="s">
        <v>567</v>
      </c>
      <c r="J41" s="20" t="s">
        <v>567</v>
      </c>
      <c r="K41" s="18" t="n">
        <v>1.51449579</v>
      </c>
      <c r="L41" s="20" t="n">
        <v>0.70621329</v>
      </c>
      <c r="M41" s="18" t="n">
        <v>0</v>
      </c>
      <c r="N41" s="20" t="n">
        <v>0</v>
      </c>
      <c r="O41" s="18" t="n">
        <v>0</v>
      </c>
      <c r="P41" s="20" t="n">
        <v>0</v>
      </c>
      <c r="Q41" s="18" t="n">
        <v>0.23349993</v>
      </c>
      <c r="R41" s="20" t="n">
        <v>0.19282452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(10219.0/B46*100)</f>
        <v/>
      </c>
      <c r="D46" s="19" t="n">
        <v>849</v>
      </c>
      <c r="E46" s="18" t="n">
        <v>35.7252944</v>
      </c>
      <c r="F46" s="20" t="n">
        <v>2.03802809</v>
      </c>
      <c r="G46" s="18" t="n">
        <v>60.52809609</v>
      </c>
      <c r="H46" s="20" t="n">
        <v>2.21361149</v>
      </c>
      <c r="I46" s="18" t="s">
        <v>567</v>
      </c>
      <c r="J46" s="20" t="s">
        <v>567</v>
      </c>
      <c r="K46" s="18" t="n">
        <v>3.10204114</v>
      </c>
      <c r="L46" s="20" t="n">
        <v>0.83068224</v>
      </c>
      <c r="M46" s="18" t="n">
        <v>0</v>
      </c>
      <c r="N46" s="20" t="n">
        <v>0</v>
      </c>
      <c r="O46" s="18" t="n">
        <v>0</v>
      </c>
      <c r="P46" s="20" t="n">
        <v>0</v>
      </c>
      <c r="Q46" s="18" t="n">
        <v>0.6445683800000001</v>
      </c>
      <c r="R46" s="20" t="n">
        <v>0.30760271</v>
      </c>
    </row>
    <row r="47" spans="1:18">
      <c r="A47" s="15" t="s">
        <v>607</v>
      </c>
      <c r="B47" s="17" t="n">
        <v>3105</v>
      </c>
      <c r="C47" s="18">
        <f>(2772.0/B47*100)</f>
        <v/>
      </c>
      <c r="D47" s="19" t="n">
        <v>333</v>
      </c>
      <c r="E47" s="18" t="n">
        <v>47.7964734</v>
      </c>
      <c r="F47" s="20" t="n">
        <v>2.86554724</v>
      </c>
      <c r="G47" s="18" t="n">
        <v>50.73079901</v>
      </c>
      <c r="H47" s="20" t="n">
        <v>2.81291379</v>
      </c>
      <c r="I47" s="18" t="s">
        <v>567</v>
      </c>
      <c r="J47" s="20" t="s">
        <v>567</v>
      </c>
      <c r="K47" s="18" t="n">
        <v>0.54532392</v>
      </c>
      <c r="L47" s="20" t="n">
        <v>0.38283647</v>
      </c>
      <c r="M47" s="18" t="n">
        <v>0</v>
      </c>
      <c r="N47" s="20" t="n">
        <v>0</v>
      </c>
      <c r="O47" s="18" t="n">
        <v>0</v>
      </c>
      <c r="P47" s="20" t="n">
        <v>0</v>
      </c>
      <c r="Q47" s="18" t="n">
        <v>0.92740367</v>
      </c>
      <c r="R47" s="20" t="n">
        <v>0.6268655</v>
      </c>
    </row>
    <row r="48" spans="1:18">
      <c r="A48" s="15" t="s">
        <v>608</v>
      </c>
      <c r="B48" s="17" t="n">
        <v>5159</v>
      </c>
      <c r="C48" s="18">
        <f>(4600.0/B48*100)</f>
        <v/>
      </c>
      <c r="D48" s="19" t="n">
        <v>559</v>
      </c>
      <c r="E48" s="18" t="n">
        <v>32.65364337</v>
      </c>
      <c r="F48" s="20" t="n">
        <v>2.87154806</v>
      </c>
      <c r="G48" s="18" t="n">
        <v>66.21844675</v>
      </c>
      <c r="H48" s="20" t="n">
        <v>2.84754856</v>
      </c>
      <c r="I48" s="18" t="s">
        <v>567</v>
      </c>
      <c r="J48" s="20" t="s">
        <v>567</v>
      </c>
      <c r="K48" s="18" t="n">
        <v>1.12790988</v>
      </c>
      <c r="L48" s="20" t="n">
        <v>0.63353101</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(5056.0/B50*100)</f>
        <v/>
      </c>
      <c r="D50" s="19" t="n">
        <v>581</v>
      </c>
      <c r="E50" s="18" t="n">
        <v>28.86350893</v>
      </c>
      <c r="F50" s="20" t="n">
        <v>2.61516688</v>
      </c>
      <c r="G50" s="18" t="n">
        <v>65.69230507</v>
      </c>
      <c r="H50" s="20" t="n">
        <v>2.66497257</v>
      </c>
      <c r="I50" s="18" t="s">
        <v>567</v>
      </c>
      <c r="J50" s="20" t="s">
        <v>567</v>
      </c>
      <c r="K50" s="18" t="n">
        <v>4.46600116</v>
      </c>
      <c r="L50" s="20" t="n">
        <v>1.63446799</v>
      </c>
      <c r="M50" s="18" t="n">
        <v>0</v>
      </c>
      <c r="N50" s="20" t="n">
        <v>0</v>
      </c>
      <c r="O50" s="18" t="n">
        <v>0</v>
      </c>
      <c r="P50" s="20" t="n">
        <v>0</v>
      </c>
      <c r="Q50" s="18" t="n">
        <v>0.97818483</v>
      </c>
      <c r="R50" s="20" t="n">
        <v>1.03507621</v>
      </c>
    </row>
    <row r="51" spans="1:18">
      <c r="A51" s="15" t="s">
        <v>611</v>
      </c>
      <c r="B51" s="17" t="n">
        <v>3372</v>
      </c>
      <c r="C51" s="18">
        <f>(2692.0/B51*100)</f>
        <v/>
      </c>
      <c r="D51" s="19" t="n">
        <v>680</v>
      </c>
      <c r="E51" s="18" t="n">
        <v>35.44342608</v>
      </c>
      <c r="F51" s="20" t="n">
        <v>2.11404048</v>
      </c>
      <c r="G51" s="18" t="n">
        <v>64.39612296999999</v>
      </c>
      <c r="H51" s="20" t="n">
        <v>2.09354808</v>
      </c>
      <c r="I51" s="18" t="s">
        <v>567</v>
      </c>
      <c r="J51" s="20" t="s">
        <v>567</v>
      </c>
      <c r="K51" s="18" t="n">
        <v>0.16045095</v>
      </c>
      <c r="L51" s="20" t="n">
        <v>0.16021026</v>
      </c>
      <c r="M51" s="18" t="n">
        <v>0</v>
      </c>
      <c r="N51" s="20" t="n">
        <v>0</v>
      </c>
      <c r="O51" s="18" t="n">
        <v>0</v>
      </c>
      <c r="P51" s="20" t="n">
        <v>0</v>
      </c>
      <c r="Q51" s="18" t="n">
        <v>0</v>
      </c>
      <c r="R51" s="20" t="n">
        <v>0</v>
      </c>
    </row>
    <row r="52" spans="1:18">
      <c r="A52" s="15" t="s">
        <v>612</v>
      </c>
      <c r="B52" s="17" t="n">
        <v>2796</v>
      </c>
      <c r="C52" s="18">
        <f>(2480.0/B52*100)</f>
        <v/>
      </c>
      <c r="D52" s="19" t="n">
        <v>316</v>
      </c>
      <c r="E52" s="18" t="n">
        <v>24.88610683</v>
      </c>
      <c r="F52" s="20" t="n">
        <v>2.6511717</v>
      </c>
      <c r="G52" s="18" t="n">
        <v>74.54867099000001</v>
      </c>
      <c r="H52" s="20" t="n">
        <v>2.69613554</v>
      </c>
      <c r="I52" s="18" t="s">
        <v>567</v>
      </c>
      <c r="J52" s="20" t="s">
        <v>567</v>
      </c>
      <c r="K52" s="18" t="n">
        <v>0.56522218</v>
      </c>
      <c r="L52" s="20" t="n">
        <v>0.39050468</v>
      </c>
      <c r="M52" s="18" t="n">
        <v>0</v>
      </c>
      <c r="N52" s="20" t="n">
        <v>0</v>
      </c>
      <c r="O52" s="18" t="n">
        <v>0</v>
      </c>
      <c r="P52" s="20" t="n">
        <v>0</v>
      </c>
      <c r="Q52" s="18" t="n">
        <v>0</v>
      </c>
      <c r="R52" s="20" t="n">
        <v>0</v>
      </c>
    </row>
    <row r="53" spans="1:18">
      <c r="A53" s="15" t="s">
        <v>613</v>
      </c>
      <c r="B53" s="17" t="n">
        <v>2811</v>
      </c>
      <c r="C53" s="18">
        <f>(2498.0/B53*100)</f>
        <v/>
      </c>
      <c r="D53" s="19" t="n">
        <v>313</v>
      </c>
      <c r="E53" s="18" t="n">
        <v>37.31315581</v>
      </c>
      <c r="F53" s="20" t="n">
        <v>2.44658608</v>
      </c>
      <c r="G53" s="18" t="n">
        <v>61.02599912</v>
      </c>
      <c r="H53" s="20" t="n">
        <v>2.43023633</v>
      </c>
      <c r="I53" s="18" t="s">
        <v>567</v>
      </c>
      <c r="J53" s="20" t="s">
        <v>567</v>
      </c>
      <c r="K53" s="18" t="n">
        <v>1.44111431</v>
      </c>
      <c r="L53" s="20" t="n">
        <v>0.48321859</v>
      </c>
      <c r="M53" s="18" t="n">
        <v>0</v>
      </c>
      <c r="N53" s="20" t="n">
        <v>0</v>
      </c>
      <c r="O53" s="18" t="n">
        <v>0</v>
      </c>
      <c r="P53" s="20" t="n">
        <v>0</v>
      </c>
      <c r="Q53" s="18" t="n">
        <v>0.21973075</v>
      </c>
      <c r="R53" s="20" t="n">
        <v>0.22066189</v>
      </c>
    </row>
    <row r="54" spans="1:18">
      <c r="A54" s="15" t="s">
        <v>614</v>
      </c>
      <c r="B54" s="17" t="n">
        <v>2266</v>
      </c>
      <c r="C54" s="18">
        <f>(2018.0/B54*100)</f>
        <v/>
      </c>
      <c r="D54" s="19" t="n">
        <v>248</v>
      </c>
      <c r="E54" s="18" t="n">
        <v>38.5276118</v>
      </c>
      <c r="F54" s="20" t="n">
        <v>3.04765966</v>
      </c>
      <c r="G54" s="18" t="n">
        <v>40.24647791</v>
      </c>
      <c r="H54" s="20" t="n">
        <v>3.48554578</v>
      </c>
      <c r="I54" s="18" t="s">
        <v>567</v>
      </c>
      <c r="J54" s="20" t="s">
        <v>567</v>
      </c>
      <c r="K54" s="18" t="n">
        <v>20.3887767</v>
      </c>
      <c r="L54" s="20" t="n">
        <v>2.78391598</v>
      </c>
      <c r="M54" s="18" t="n">
        <v>0</v>
      </c>
      <c r="N54" s="20" t="n">
        <v>0</v>
      </c>
      <c r="O54" s="18" t="n">
        <v>0</v>
      </c>
      <c r="P54" s="20" t="n">
        <v>0</v>
      </c>
      <c r="Q54" s="18" t="n">
        <v>0.8371336</v>
      </c>
      <c r="R54" s="20" t="n">
        <v>0.58154055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(2394.0/B56*100)</f>
        <v/>
      </c>
      <c r="D56" s="19" t="n">
        <v>290</v>
      </c>
      <c r="E56" s="18" t="n">
        <v>31.99937668</v>
      </c>
      <c r="F56" s="20" t="n">
        <v>2.83747963</v>
      </c>
      <c r="G56" s="18" t="n">
        <v>67.32238708</v>
      </c>
      <c r="H56" s="20" t="n">
        <v>2.92238579</v>
      </c>
      <c r="I56" s="18" t="s">
        <v>567</v>
      </c>
      <c r="J56" s="20" t="s">
        <v>567</v>
      </c>
      <c r="K56" s="18" t="n">
        <v>0.67823624</v>
      </c>
      <c r="L56" s="20" t="n">
        <v>0.48646666</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(2982.0/B61*100)</f>
        <v/>
      </c>
      <c r="D61" s="19" t="n">
        <v>342</v>
      </c>
      <c r="E61" s="18" t="n">
        <v>27.63987774</v>
      </c>
      <c r="F61" s="20" t="n">
        <v>2.99799599</v>
      </c>
      <c r="G61" s="18" t="n">
        <v>71.99292665999999</v>
      </c>
      <c r="H61" s="20" t="n">
        <v>2.98056769</v>
      </c>
      <c r="I61" s="18" t="s">
        <v>567</v>
      </c>
      <c r="J61" s="20" t="s">
        <v>567</v>
      </c>
      <c r="K61" s="18" t="n">
        <v>0.3671956</v>
      </c>
      <c r="L61" s="20" t="n">
        <v>0.36045857</v>
      </c>
      <c r="M61" s="18" t="n">
        <v>0</v>
      </c>
      <c r="N61" s="20" t="n">
        <v>0</v>
      </c>
      <c r="O61" s="18" t="n">
        <v>0</v>
      </c>
      <c r="P61" s="20" t="n">
        <v>0</v>
      </c>
      <c r="Q61" s="18" t="n">
        <v>0</v>
      </c>
      <c r="R61" s="20" t="n">
        <v>0</v>
      </c>
    </row>
    <row r="62" spans="1:18">
      <c r="A62" s="15" t="s">
        <v>622</v>
      </c>
      <c r="B62" s="17" t="n">
        <v>2246</v>
      </c>
      <c r="C62" s="18">
        <f>(2004.0/B62*100)</f>
        <v/>
      </c>
      <c r="D62" s="19" t="n">
        <v>242</v>
      </c>
      <c r="E62" s="18" t="n">
        <v>32.65415563</v>
      </c>
      <c r="F62" s="20" t="n">
        <v>3.64656087</v>
      </c>
      <c r="G62" s="18" t="n">
        <v>67.34584436999999</v>
      </c>
      <c r="H62" s="20" t="n">
        <v>3.64656087</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(2600.0/B66*100)</f>
        <v/>
      </c>
      <c r="D66" s="19" t="n">
        <v>294</v>
      </c>
      <c r="E66" s="18" t="n">
        <v>40.61558149</v>
      </c>
      <c r="F66" s="20" t="n">
        <v>2.67139235</v>
      </c>
      <c r="G66" s="18" t="n">
        <v>56.95654119</v>
      </c>
      <c r="H66" s="20" t="n">
        <v>2.75747815</v>
      </c>
      <c r="I66" s="18" t="s">
        <v>567</v>
      </c>
      <c r="J66" s="20" t="s">
        <v>567</v>
      </c>
      <c r="K66" s="18" t="n">
        <v>0</v>
      </c>
      <c r="L66" s="20" t="n">
        <v>0</v>
      </c>
      <c r="M66" s="18" t="n">
        <v>0</v>
      </c>
      <c r="N66" s="20" t="n">
        <v>0</v>
      </c>
      <c r="O66" s="18" t="n">
        <v>0</v>
      </c>
      <c r="P66" s="20" t="n">
        <v>0</v>
      </c>
      <c r="Q66" s="18" t="n">
        <v>2.42787732</v>
      </c>
      <c r="R66" s="20" t="n">
        <v>0.89155472</v>
      </c>
    </row>
    <row r="67" spans="1:18">
      <c r="A67" s="15" t="s">
        <v>627</v>
      </c>
      <c r="B67" s="17" t="n">
        <v>3511</v>
      </c>
      <c r="C67" s="18">
        <f>(3172.0/B67*100)</f>
        <v/>
      </c>
      <c r="D67" s="19" t="n">
        <v>339</v>
      </c>
      <c r="E67" s="18" t="n">
        <v>48.86862304</v>
      </c>
      <c r="F67" s="20" t="n">
        <v>2.80663537</v>
      </c>
      <c r="G67" s="18" t="n">
        <v>50.27101536</v>
      </c>
      <c r="H67" s="20" t="n">
        <v>2.72281945</v>
      </c>
      <c r="I67" s="18" t="s">
        <v>567</v>
      </c>
      <c r="J67" s="20" t="s">
        <v>567</v>
      </c>
      <c r="K67" s="18" t="n">
        <v>0.8603615999999999</v>
      </c>
      <c r="L67" s="20" t="n">
        <v>0.51065649</v>
      </c>
      <c r="M67" s="18" t="n">
        <v>0</v>
      </c>
      <c r="N67" s="20" t="n">
        <v>0</v>
      </c>
      <c r="O67" s="18" t="n">
        <v>0</v>
      </c>
      <c r="P67" s="20" t="n">
        <v>0</v>
      </c>
      <c r="Q67" s="18" t="n">
        <v>0</v>
      </c>
      <c r="R67" s="20" t="n">
        <v>0</v>
      </c>
    </row>
    <row r="68" spans="1:18">
      <c r="A68" s="15" t="s">
        <v>628</v>
      </c>
      <c r="B68" s="17" t="n">
        <v>6049</v>
      </c>
      <c r="C68" s="18">
        <f>(5385.0/B68*100)</f>
        <v/>
      </c>
      <c r="D68" s="19" t="n">
        <v>664</v>
      </c>
      <c r="E68" s="18" t="n">
        <v>54.11708515</v>
      </c>
      <c r="F68" s="20" t="n">
        <v>2.28228482</v>
      </c>
      <c r="G68" s="18" t="n">
        <v>39.71896191</v>
      </c>
      <c r="H68" s="20" t="n">
        <v>2.01698118</v>
      </c>
      <c r="I68" s="18" t="s">
        <v>567</v>
      </c>
      <c r="J68" s="20" t="s">
        <v>567</v>
      </c>
      <c r="K68" s="18" t="n">
        <v>5.24719748</v>
      </c>
      <c r="L68" s="20" t="n">
        <v>0.91083251</v>
      </c>
      <c r="M68" s="18" t="n">
        <v>0</v>
      </c>
      <c r="N68" s="20" t="n">
        <v>0</v>
      </c>
      <c r="O68" s="18" t="n">
        <v>0</v>
      </c>
      <c r="P68" s="20" t="n">
        <v>0</v>
      </c>
      <c r="Q68" s="18" t="n">
        <v>0.91675546</v>
      </c>
      <c r="R68" s="20" t="n">
        <v>0.38154863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(2618.0/B70*100)</f>
        <v/>
      </c>
      <c r="D70" s="19" t="n">
        <v>311</v>
      </c>
      <c r="E70" s="18" t="n">
        <v>42.6401005</v>
      </c>
      <c r="F70" s="20" t="n">
        <v>3.03108871</v>
      </c>
      <c r="G70" s="18" t="n">
        <v>55.67255837</v>
      </c>
      <c r="H70" s="20" t="n">
        <v>3.08160534</v>
      </c>
      <c r="I70" s="18" t="s">
        <v>567</v>
      </c>
      <c r="J70" s="20" t="s">
        <v>567</v>
      </c>
      <c r="K70" s="18" t="n">
        <v>0.81755362</v>
      </c>
      <c r="L70" s="20" t="n">
        <v>0.44900315</v>
      </c>
      <c r="M70" s="18" t="n">
        <v>0</v>
      </c>
      <c r="N70" s="20" t="n">
        <v>0</v>
      </c>
      <c r="O70" s="18" t="n">
        <v>0</v>
      </c>
      <c r="P70" s="20" t="n">
        <v>0</v>
      </c>
      <c r="Q70" s="18" t="n">
        <v>0.86978751</v>
      </c>
      <c r="R70" s="20" t="n">
        <v>0.84848618</v>
      </c>
    </row>
    <row r="71" spans="1:18">
      <c r="A71" s="15" t="s">
        <v>631</v>
      </c>
      <c r="B71" s="17" t="n">
        <v>3142</v>
      </c>
      <c r="C71" s="18">
        <f>(2804.0/B71*100)</f>
        <v/>
      </c>
      <c r="D71" s="19" t="n">
        <v>338</v>
      </c>
      <c r="E71" s="18" t="n">
        <v>31.67154746</v>
      </c>
      <c r="F71" s="20" t="n">
        <v>2.47010871</v>
      </c>
      <c r="G71" s="18" t="n">
        <v>68.32845254</v>
      </c>
      <c r="H71" s="20" t="n">
        <v>2.47010871</v>
      </c>
      <c r="I71" s="18" t="s">
        <v>567</v>
      </c>
      <c r="J71" s="20" t="s">
        <v>567</v>
      </c>
      <c r="K71" s="18" t="n">
        <v>0</v>
      </c>
      <c r="L71" s="20" t="n">
        <v>0</v>
      </c>
      <c r="M71" s="18" t="n">
        <v>0</v>
      </c>
      <c r="N71" s="20" t="n">
        <v>0</v>
      </c>
      <c r="O71" s="18" t="n">
        <v>0</v>
      </c>
      <c r="P71" s="20" t="n">
        <v>0</v>
      </c>
      <c r="Q71" s="18" t="n">
        <v>0</v>
      </c>
      <c r="R71" s="20" t="n">
        <v>0</v>
      </c>
    </row>
    <row r="72" spans="1:18">
      <c r="A72" s="15" t="s">
        <v>632</v>
      </c>
      <c r="B72" s="17" t="n">
        <v>3889</v>
      </c>
      <c r="C72" s="18">
        <f>(3450.0/B72*100)</f>
        <v/>
      </c>
      <c r="D72" s="19" t="n">
        <v>439</v>
      </c>
      <c r="E72" s="18" t="n">
        <v>34.23833144</v>
      </c>
      <c r="F72" s="20" t="n">
        <v>2.0601027</v>
      </c>
      <c r="G72" s="18" t="n">
        <v>65.45984034</v>
      </c>
      <c r="H72" s="20" t="n">
        <v>2.09700376</v>
      </c>
      <c r="I72" s="18" t="s">
        <v>567</v>
      </c>
      <c r="J72" s="20" t="s">
        <v>567</v>
      </c>
      <c r="K72" s="18" t="n">
        <v>0.30182822</v>
      </c>
      <c r="L72" s="20" t="n">
        <v>0.30316407</v>
      </c>
      <c r="M72" s="18" t="n">
        <v>0</v>
      </c>
      <c r="N72" s="20" t="n">
        <v>0</v>
      </c>
      <c r="O72" s="18" t="n">
        <v>0</v>
      </c>
      <c r="P72" s="20" t="n">
        <v>0</v>
      </c>
      <c r="Q72" s="18" t="n">
        <v>0</v>
      </c>
      <c r="R72" s="20" t="n">
        <v>0</v>
      </c>
    </row>
    <row r="73" spans="1:18">
      <c r="A73" s="15" t="s">
        <v>633</v>
      </c>
      <c r="B73" s="17" t="n">
        <v>3597</v>
      </c>
      <c r="C73" s="18">
        <f>(3248.0/B73*100)</f>
        <v/>
      </c>
      <c r="D73" s="19" t="n">
        <v>349</v>
      </c>
      <c r="E73" s="18" t="n">
        <v>49.67056586</v>
      </c>
      <c r="F73" s="20" t="n">
        <v>3.35187058</v>
      </c>
      <c r="G73" s="18" t="n">
        <v>50.32943414</v>
      </c>
      <c r="H73" s="20" t="n">
        <v>3.35187058</v>
      </c>
      <c r="I73" s="18" t="s">
        <v>567</v>
      </c>
      <c r="J73" s="20" t="s">
        <v>567</v>
      </c>
      <c r="K73" s="18" t="n">
        <v>0</v>
      </c>
      <c r="L73" s="20" t="n">
        <v>0</v>
      </c>
      <c r="M73" s="18" t="n">
        <v>0</v>
      </c>
      <c r="N73" s="20" t="n">
        <v>0</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(2182.0/B75*100)</f>
        <v/>
      </c>
      <c r="D75" s="19" t="n">
        <v>224</v>
      </c>
      <c r="E75" s="18" t="n">
        <v>44.28497429</v>
      </c>
      <c r="F75" s="20" t="n">
        <v>3.55897847</v>
      </c>
      <c r="G75" s="18" t="n">
        <v>51.24248723</v>
      </c>
      <c r="H75" s="20" t="n">
        <v>3.53762363</v>
      </c>
      <c r="I75" s="18" t="s">
        <v>567</v>
      </c>
      <c r="J75" s="20" t="s">
        <v>567</v>
      </c>
      <c r="K75" s="18" t="n">
        <v>3.57525096</v>
      </c>
      <c r="L75" s="20" t="n">
        <v>1.33257895</v>
      </c>
      <c r="M75" s="18" t="n">
        <v>0</v>
      </c>
      <c r="N75" s="20" t="n">
        <v>0</v>
      </c>
      <c r="O75" s="18" t="n">
        <v>0</v>
      </c>
      <c r="P75" s="20" t="n">
        <v>0</v>
      </c>
      <c r="Q75" s="18" t="n">
        <v>0.89728751</v>
      </c>
      <c r="R75" s="20" t="n">
        <v>0.66310367</v>
      </c>
    </row>
    <row r="76" spans="1:18">
      <c r="A76" s="15" t="s">
        <v>636</v>
      </c>
      <c r="B76" s="17" t="n">
        <v>7052</v>
      </c>
      <c r="C76" s="18">
        <f>(6267.0/B76*100)</f>
        <v/>
      </c>
      <c r="D76" s="19" t="n">
        <v>785</v>
      </c>
      <c r="E76" s="18" t="n">
        <v>47.34063144</v>
      </c>
      <c r="F76" s="20" t="n">
        <v>2.12033692</v>
      </c>
      <c r="G76" s="18" t="n">
        <v>50.51588705</v>
      </c>
      <c r="H76" s="20" t="n">
        <v>2.18743251</v>
      </c>
      <c r="I76" s="18" t="s">
        <v>567</v>
      </c>
      <c r="J76" s="20" t="s">
        <v>567</v>
      </c>
      <c r="K76" s="18" t="n">
        <v>1.89432778</v>
      </c>
      <c r="L76" s="20" t="n">
        <v>0.68046434</v>
      </c>
      <c r="M76" s="18" t="n">
        <v>0</v>
      </c>
      <c r="N76" s="20" t="n">
        <v>0</v>
      </c>
      <c r="O76" s="18" t="n">
        <v>0</v>
      </c>
      <c r="P76" s="20" t="n">
        <v>0</v>
      </c>
      <c r="Q76" s="18" t="n">
        <v>0.24915373</v>
      </c>
      <c r="R76" s="20" t="n">
        <v>0.13120143</v>
      </c>
    </row>
    <row r="77" spans="1:18">
      <c r="A77" s="15" t="s">
        <v>637</v>
      </c>
      <c r="B77" s="17" t="n">
        <v>2908</v>
      </c>
      <c r="C77" s="18">
        <f>(2603.0/B77*100)</f>
        <v/>
      </c>
      <c r="D77" s="19" t="n">
        <v>305</v>
      </c>
      <c r="E77" s="18" t="n">
        <v>31.39800449</v>
      </c>
      <c r="F77" s="20" t="n">
        <v>2.78634493</v>
      </c>
      <c r="G77" s="18" t="n">
        <v>65.92566463999999</v>
      </c>
      <c r="H77" s="20" t="n">
        <v>3.16167383</v>
      </c>
      <c r="I77" s="18" t="s">
        <v>567</v>
      </c>
      <c r="J77" s="20" t="s">
        <v>567</v>
      </c>
      <c r="K77" s="18" t="n">
        <v>1.32305936</v>
      </c>
      <c r="L77" s="20" t="n">
        <v>0.65666298</v>
      </c>
      <c r="M77" s="18" t="n">
        <v>0</v>
      </c>
      <c r="N77" s="20" t="n">
        <v>0</v>
      </c>
      <c r="O77" s="18" t="n">
        <v>0</v>
      </c>
      <c r="P77" s="20" t="n">
        <v>0</v>
      </c>
      <c r="Q77" s="18" t="n">
        <v>1.35327151</v>
      </c>
      <c r="R77" s="20" t="n">
        <v>0.82493561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(3732.0/B81*100)</f>
        <v/>
      </c>
      <c r="D81" s="19" t="n">
        <v>431</v>
      </c>
      <c r="E81" s="18" t="n">
        <v>45.05375782</v>
      </c>
      <c r="F81" s="20" t="n">
        <v>3.08032364</v>
      </c>
      <c r="G81" s="18" t="n">
        <v>54.62799923</v>
      </c>
      <c r="H81" s="20" t="n">
        <v>3.10520137</v>
      </c>
      <c r="I81" s="18" t="s">
        <v>567</v>
      </c>
      <c r="J81" s="20" t="s">
        <v>567</v>
      </c>
      <c r="K81" s="18" t="n">
        <v>0.31824294</v>
      </c>
      <c r="L81" s="20" t="n">
        <v>0.32101274</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(6582.0/B7*100)</f>
        <v/>
      </c>
      <c r="D7" s="19" t="n">
        <v>785</v>
      </c>
      <c r="E7" s="18" t="n">
        <v>20.02300618</v>
      </c>
      <c r="F7" s="20" t="n">
        <v>1.66949332</v>
      </c>
      <c r="G7" s="18" t="n">
        <v>78.59241282000001</v>
      </c>
      <c r="H7" s="20" t="n">
        <v>1.56692169</v>
      </c>
      <c r="I7" s="18" t="s">
        <v>567</v>
      </c>
      <c r="J7" s="20" t="s">
        <v>567</v>
      </c>
      <c r="K7" s="18" t="n">
        <v>0.62474917</v>
      </c>
      <c r="L7" s="20" t="n">
        <v>0.28817739</v>
      </c>
      <c r="M7" s="18" t="n">
        <v>0</v>
      </c>
      <c r="N7" s="20" t="n">
        <v>0</v>
      </c>
      <c r="O7" s="18" t="n">
        <v>0</v>
      </c>
      <c r="P7" s="20" t="n">
        <v>0</v>
      </c>
      <c r="Q7" s="18" t="n">
        <v>0.75983184</v>
      </c>
      <c r="R7" s="20" t="n">
        <v>0.30501675</v>
      </c>
    </row>
    <row r="8" spans="1:18">
      <c r="A8" s="15" t="s">
        <v>568</v>
      </c>
      <c r="B8" s="17" t="n">
        <v>3564</v>
      </c>
      <c r="C8" s="18">
        <f>(3158.0/B8*100)</f>
        <v/>
      </c>
      <c r="D8" s="19" t="n">
        <v>406</v>
      </c>
      <c r="E8" s="18" t="n">
        <v>15.33833639</v>
      </c>
      <c r="F8" s="20" t="n">
        <v>1.75069819</v>
      </c>
      <c r="G8" s="18" t="n">
        <v>82.92625872000001</v>
      </c>
      <c r="H8" s="20" t="n">
        <v>1.85146128</v>
      </c>
      <c r="I8" s="18" t="s">
        <v>567</v>
      </c>
      <c r="J8" s="20" t="s">
        <v>567</v>
      </c>
      <c r="K8" s="18" t="n">
        <v>0.9188737</v>
      </c>
      <c r="L8" s="20" t="n">
        <v>0.62660117</v>
      </c>
      <c r="M8" s="18" t="n">
        <v>0</v>
      </c>
      <c r="N8" s="20" t="n">
        <v>0</v>
      </c>
      <c r="O8" s="18" t="n">
        <v>0</v>
      </c>
      <c r="P8" s="20" t="n">
        <v>0</v>
      </c>
      <c r="Q8" s="18" t="n">
        <v>0.81653119</v>
      </c>
      <c r="R8" s="20" t="n">
        <v>0.49011215</v>
      </c>
    </row>
    <row r="9" spans="1:18">
      <c r="A9" s="15" t="s">
        <v>569</v>
      </c>
      <c r="B9" s="17" t="n">
        <v>4899</v>
      </c>
      <c r="C9" s="18">
        <f>(4277.0/B9*100)</f>
        <v/>
      </c>
      <c r="D9" s="19" t="n">
        <v>622</v>
      </c>
      <c r="E9" s="18" t="n">
        <v>28.04057921</v>
      </c>
      <c r="F9" s="20" t="n">
        <v>2.66472861</v>
      </c>
      <c r="G9" s="18" t="n">
        <v>71.24833212</v>
      </c>
      <c r="H9" s="20" t="n">
        <v>2.73421127</v>
      </c>
      <c r="I9" s="18" t="s">
        <v>567</v>
      </c>
      <c r="J9" s="20" t="s">
        <v>567</v>
      </c>
      <c r="K9" s="18" t="n">
        <v>0.55939494</v>
      </c>
      <c r="L9" s="20" t="n">
        <v>0.2391246</v>
      </c>
      <c r="M9" s="18" t="n">
        <v>0</v>
      </c>
      <c r="N9" s="20" t="n">
        <v>0</v>
      </c>
      <c r="O9" s="18" t="n">
        <v>0</v>
      </c>
      <c r="P9" s="20" t="n">
        <v>0</v>
      </c>
      <c r="Q9" s="18" t="n">
        <v>0.15169373</v>
      </c>
      <c r="R9" s="20" t="n">
        <v>0.13383778</v>
      </c>
    </row>
    <row r="10" spans="1:18">
      <c r="A10" s="15" t="s">
        <v>570</v>
      </c>
      <c r="B10" s="17" t="n">
        <v>10036</v>
      </c>
      <c r="C10" s="18">
        <f>(8970.0/B10*100)</f>
        <v/>
      </c>
      <c r="D10" s="19" t="n">
        <v>1066</v>
      </c>
      <c r="E10" s="18" t="n">
        <v>18.74925766</v>
      </c>
      <c r="F10" s="20" t="n">
        <v>1.72886262</v>
      </c>
      <c r="G10" s="18" t="n">
        <v>79.16196689</v>
      </c>
      <c r="H10" s="20" t="n">
        <v>1.8416829</v>
      </c>
      <c r="I10" s="18" t="s">
        <v>567</v>
      </c>
      <c r="J10" s="20" t="s">
        <v>567</v>
      </c>
      <c r="K10" s="18" t="n">
        <v>1.20067979</v>
      </c>
      <c r="L10" s="20" t="n">
        <v>0.45439896</v>
      </c>
      <c r="M10" s="18" t="n">
        <v>0</v>
      </c>
      <c r="N10" s="20" t="n">
        <v>0</v>
      </c>
      <c r="O10" s="18" t="n">
        <v>0</v>
      </c>
      <c r="P10" s="20" t="n">
        <v>0</v>
      </c>
      <c r="Q10" s="18" t="n">
        <v>0.88809566</v>
      </c>
      <c r="R10" s="20" t="n">
        <v>0.49403714</v>
      </c>
    </row>
    <row r="11" spans="1:18">
      <c r="A11" s="15" t="s">
        <v>571</v>
      </c>
      <c r="B11" s="17" t="n">
        <v>3553</v>
      </c>
      <c r="C11" s="18">
        <f>(3178.0/B11*100)</f>
        <v/>
      </c>
      <c r="D11" s="19" t="n">
        <v>375</v>
      </c>
      <c r="E11" s="18" t="n">
        <v>30.81909204</v>
      </c>
      <c r="F11" s="20" t="n">
        <v>2.8169682</v>
      </c>
      <c r="G11" s="18" t="n">
        <v>66.86148381</v>
      </c>
      <c r="H11" s="20" t="n">
        <v>2.86376836</v>
      </c>
      <c r="I11" s="18" t="s">
        <v>567</v>
      </c>
      <c r="J11" s="20" t="s">
        <v>567</v>
      </c>
      <c r="K11" s="18" t="n">
        <v>1.59611279</v>
      </c>
      <c r="L11" s="20" t="n">
        <v>0.61519447</v>
      </c>
      <c r="M11" s="18" t="n">
        <v>0</v>
      </c>
      <c r="N11" s="20" t="n">
        <v>0</v>
      </c>
      <c r="O11" s="18" t="n">
        <v>0</v>
      </c>
      <c r="P11" s="20" t="n">
        <v>0</v>
      </c>
      <c r="Q11" s="18" t="n">
        <v>0.72331137</v>
      </c>
      <c r="R11" s="20" t="n">
        <v>0.6231644</v>
      </c>
    </row>
    <row r="12" spans="1:18">
      <c r="A12" s="15" t="s">
        <v>572</v>
      </c>
      <c r="B12" s="17" t="n">
        <v>3472</v>
      </c>
      <c r="C12" s="18">
        <f>(3057.0/B12*100)</f>
        <v/>
      </c>
      <c r="D12" s="19" t="n">
        <v>415</v>
      </c>
      <c r="E12" s="18" t="n">
        <v>28.90001782</v>
      </c>
      <c r="F12" s="20" t="n">
        <v>3.14488984</v>
      </c>
      <c r="G12" s="18" t="n">
        <v>69.73953763</v>
      </c>
      <c r="H12" s="20" t="n">
        <v>3.31627409</v>
      </c>
      <c r="I12" s="18" t="s">
        <v>567</v>
      </c>
      <c r="J12" s="20" t="s">
        <v>567</v>
      </c>
      <c r="K12" s="18" t="n">
        <v>0.29465769</v>
      </c>
      <c r="L12" s="20" t="n">
        <v>0.21171315</v>
      </c>
      <c r="M12" s="18" t="n">
        <v>0</v>
      </c>
      <c r="N12" s="20" t="n">
        <v>0</v>
      </c>
      <c r="O12" s="18" t="n">
        <v>0</v>
      </c>
      <c r="P12" s="20" t="n">
        <v>0</v>
      </c>
      <c r="Q12" s="18" t="n">
        <v>1.06578686</v>
      </c>
      <c r="R12" s="20" t="n">
        <v>0.66100296</v>
      </c>
    </row>
    <row r="13" spans="1:18">
      <c r="A13" s="15" t="s">
        <v>573</v>
      </c>
      <c r="B13" s="17" t="n">
        <v>3559</v>
      </c>
      <c r="C13" s="18">
        <f>(3000.0/B13*100)</f>
        <v/>
      </c>
      <c r="D13" s="19" t="n">
        <v>559</v>
      </c>
      <c r="E13" s="18" t="n">
        <v>21.00570441</v>
      </c>
      <c r="F13" s="20" t="n">
        <v>2.14553593</v>
      </c>
      <c r="G13" s="18" t="n">
        <v>77.28020110999999</v>
      </c>
      <c r="H13" s="20" t="n">
        <v>2.16225396</v>
      </c>
      <c r="I13" s="18" t="s">
        <v>567</v>
      </c>
      <c r="J13" s="20" t="s">
        <v>567</v>
      </c>
      <c r="K13" s="18" t="n">
        <v>1.03039089</v>
      </c>
      <c r="L13" s="20" t="n">
        <v>0.45981628</v>
      </c>
      <c r="M13" s="18" t="n">
        <v>0</v>
      </c>
      <c r="N13" s="20" t="n">
        <v>0</v>
      </c>
      <c r="O13" s="18" t="n">
        <v>0</v>
      </c>
      <c r="P13" s="20" t="n">
        <v>0</v>
      </c>
      <c r="Q13" s="18" t="n">
        <v>0.68370359</v>
      </c>
      <c r="R13" s="20" t="n">
        <v>0.49819819</v>
      </c>
    </row>
    <row r="14" spans="1:18">
      <c r="A14" s="15" t="s">
        <v>574</v>
      </c>
      <c r="B14" s="17" t="n">
        <v>2799</v>
      </c>
      <c r="C14" s="18">
        <f>(2512.0/B14*100)</f>
        <v/>
      </c>
      <c r="D14" s="19" t="n">
        <v>287</v>
      </c>
      <c r="E14" s="18" t="n">
        <v>13.51680726</v>
      </c>
      <c r="F14" s="20" t="n">
        <v>2.30810972</v>
      </c>
      <c r="G14" s="18" t="n">
        <v>84.05979773999999</v>
      </c>
      <c r="H14" s="20" t="n">
        <v>2.60155258</v>
      </c>
      <c r="I14" s="18" t="s">
        <v>567</v>
      </c>
      <c r="J14" s="20" t="s">
        <v>567</v>
      </c>
      <c r="K14" s="18" t="n">
        <v>0.53302813</v>
      </c>
      <c r="L14" s="20" t="n">
        <v>0.35444713</v>
      </c>
      <c r="M14" s="18" t="n">
        <v>0</v>
      </c>
      <c r="N14" s="20" t="n">
        <v>0</v>
      </c>
      <c r="O14" s="18" t="n">
        <v>0</v>
      </c>
      <c r="P14" s="20" t="n">
        <v>0</v>
      </c>
      <c r="Q14" s="18" t="n">
        <v>1.89036686</v>
      </c>
      <c r="R14" s="20" t="n">
        <v>0.93678857</v>
      </c>
    </row>
    <row r="15" spans="1:18">
      <c r="A15" s="15" t="s">
        <v>575</v>
      </c>
      <c r="B15" s="17" t="n">
        <v>3019</v>
      </c>
      <c r="C15" s="18">
        <f>(2647.0/B15*100)</f>
        <v/>
      </c>
      <c r="D15" s="19" t="n">
        <v>372</v>
      </c>
      <c r="E15" s="18" t="n">
        <v>15.99016655</v>
      </c>
      <c r="F15" s="20" t="n">
        <v>2.22793369</v>
      </c>
      <c r="G15" s="18" t="n">
        <v>82.76740753999999</v>
      </c>
      <c r="H15" s="20" t="n">
        <v>2.91895214</v>
      </c>
      <c r="I15" s="18" t="s">
        <v>567</v>
      </c>
      <c r="J15" s="20" t="s">
        <v>567</v>
      </c>
      <c r="K15" s="18" t="n">
        <v>0.23194431</v>
      </c>
      <c r="L15" s="20" t="n">
        <v>0.23232952</v>
      </c>
      <c r="M15" s="18" t="n">
        <v>0</v>
      </c>
      <c r="N15" s="20" t="n">
        <v>0</v>
      </c>
      <c r="O15" s="18" t="n">
        <v>0</v>
      </c>
      <c r="P15" s="20" t="n">
        <v>0</v>
      </c>
      <c r="Q15" s="18" t="n">
        <v>1.0104816</v>
      </c>
      <c r="R15" s="20" t="n">
        <v>0.94226495</v>
      </c>
    </row>
    <row r="16" spans="1:18">
      <c r="A16" s="15" t="s">
        <v>576</v>
      </c>
      <c r="B16" s="17" t="n">
        <v>2997</v>
      </c>
      <c r="C16" s="18">
        <f>(2671.0/B16*100)</f>
        <v/>
      </c>
      <c r="D16" s="19" t="n">
        <v>326</v>
      </c>
      <c r="E16" s="18" t="n">
        <v>25.73691393</v>
      </c>
      <c r="F16" s="20" t="n">
        <v>2.20299146</v>
      </c>
      <c r="G16" s="18" t="n">
        <v>71.89723742</v>
      </c>
      <c r="H16" s="20" t="n">
        <v>2.32114063</v>
      </c>
      <c r="I16" s="18" t="s">
        <v>567</v>
      </c>
      <c r="J16" s="20" t="s">
        <v>567</v>
      </c>
      <c r="K16" s="18" t="n">
        <v>1.76124959</v>
      </c>
      <c r="L16" s="20" t="n">
        <v>0.82664083</v>
      </c>
      <c r="M16" s="18" t="n">
        <v>0</v>
      </c>
      <c r="N16" s="20" t="n">
        <v>0</v>
      </c>
      <c r="O16" s="18" t="n">
        <v>0</v>
      </c>
      <c r="P16" s="20" t="n">
        <v>0</v>
      </c>
      <c r="Q16" s="18" t="n">
        <v>0.60459906</v>
      </c>
      <c r="R16" s="20" t="n">
        <v>0.41917827</v>
      </c>
    </row>
    <row r="17" spans="1:18">
      <c r="A17" s="15" t="s">
        <v>577</v>
      </c>
      <c r="B17" s="17" t="n">
        <v>3307</v>
      </c>
      <c r="C17" s="18">
        <f>(2898.0/B17*100)</f>
        <v/>
      </c>
      <c r="D17" s="19" t="n">
        <v>409</v>
      </c>
      <c r="E17" s="18" t="n">
        <v>17.49930487</v>
      </c>
      <c r="F17" s="20" t="n">
        <v>3.24059492</v>
      </c>
      <c r="G17" s="18" t="n">
        <v>80.74869451000001</v>
      </c>
      <c r="H17" s="20" t="n">
        <v>3.47409024</v>
      </c>
      <c r="I17" s="18" t="s">
        <v>567</v>
      </c>
      <c r="J17" s="20" t="s">
        <v>567</v>
      </c>
      <c r="K17" s="18" t="n">
        <v>1.49979052</v>
      </c>
      <c r="L17" s="20" t="n">
        <v>0.6663375499999999</v>
      </c>
      <c r="M17" s="18" t="n">
        <v>0</v>
      </c>
      <c r="N17" s="20" t="n">
        <v>0</v>
      </c>
      <c r="O17" s="18" t="n">
        <v>0</v>
      </c>
      <c r="P17" s="20" t="n">
        <v>0</v>
      </c>
      <c r="Q17" s="18" t="n">
        <v>0.2522101</v>
      </c>
      <c r="R17" s="20" t="n">
        <v>0.23484288</v>
      </c>
    </row>
    <row r="18" spans="1:18">
      <c r="A18" s="15" t="s">
        <v>578</v>
      </c>
      <c r="B18" s="17" t="n">
        <v>2826</v>
      </c>
      <c r="C18" s="18">
        <f>(2502.0/B18*100)</f>
        <v/>
      </c>
      <c r="D18" s="19" t="n">
        <v>324</v>
      </c>
      <c r="E18" s="18" t="n">
        <v>31.61538627</v>
      </c>
      <c r="F18" s="20" t="n">
        <v>2.77575378</v>
      </c>
      <c r="G18" s="18" t="n">
        <v>65.73742209</v>
      </c>
      <c r="H18" s="20" t="n">
        <v>2.9072853</v>
      </c>
      <c r="I18" s="18" t="s">
        <v>567</v>
      </c>
      <c r="J18" s="20" t="s">
        <v>567</v>
      </c>
      <c r="K18" s="18" t="n">
        <v>0.97997006</v>
      </c>
      <c r="L18" s="20" t="n">
        <v>0.71480671</v>
      </c>
      <c r="M18" s="18" t="n">
        <v>0</v>
      </c>
      <c r="N18" s="20" t="n">
        <v>0</v>
      </c>
      <c r="O18" s="18" t="n">
        <v>0</v>
      </c>
      <c r="P18" s="20" t="n">
        <v>0</v>
      </c>
      <c r="Q18" s="18" t="n">
        <v>1.66722158</v>
      </c>
      <c r="R18" s="20" t="n">
        <v>0.94783392</v>
      </c>
    </row>
    <row r="19" spans="1:18">
      <c r="A19" s="15" t="s">
        <v>579</v>
      </c>
      <c r="B19" s="17" t="n">
        <v>2808</v>
      </c>
      <c r="C19" s="18">
        <f>(2486.0/B19*100)</f>
        <v/>
      </c>
      <c r="D19" s="19" t="n">
        <v>322</v>
      </c>
      <c r="E19" s="18" t="n">
        <v>22.90075253</v>
      </c>
      <c r="F19" s="20" t="n">
        <v>2.4275076</v>
      </c>
      <c r="G19" s="18" t="n">
        <v>76.20788252</v>
      </c>
      <c r="H19" s="20" t="n">
        <v>2.45792786</v>
      </c>
      <c r="I19" s="18" t="s">
        <v>567</v>
      </c>
      <c r="J19" s="20" t="s">
        <v>567</v>
      </c>
      <c r="K19" s="18" t="n">
        <v>0.26770049</v>
      </c>
      <c r="L19" s="20" t="n">
        <v>0.26406372</v>
      </c>
      <c r="M19" s="18" t="n">
        <v>0</v>
      </c>
      <c r="N19" s="20" t="n">
        <v>0</v>
      </c>
      <c r="O19" s="18" t="n">
        <v>0</v>
      </c>
      <c r="P19" s="20" t="n">
        <v>0</v>
      </c>
      <c r="Q19" s="18" t="n">
        <v>0.62366446</v>
      </c>
      <c r="R19" s="20" t="n">
        <v>0.43465468</v>
      </c>
    </row>
    <row r="20" spans="1:18">
      <c r="A20" s="15" t="s">
        <v>580</v>
      </c>
      <c r="B20" s="17" t="n">
        <v>1630</v>
      </c>
      <c r="C20" s="18">
        <f>(1470.0/B20*100)</f>
        <v/>
      </c>
      <c r="D20" s="19" t="n">
        <v>160</v>
      </c>
      <c r="E20" s="18" t="n">
        <v>26.86847306</v>
      </c>
      <c r="F20" s="20" t="n">
        <v>3.3404553</v>
      </c>
      <c r="G20" s="18" t="n">
        <v>71.7293274</v>
      </c>
      <c r="H20" s="20" t="n">
        <v>3.35723889</v>
      </c>
      <c r="I20" s="18" t="s">
        <v>567</v>
      </c>
      <c r="J20" s="20" t="s">
        <v>567</v>
      </c>
      <c r="K20" s="18" t="n">
        <v>1.40219955</v>
      </c>
      <c r="L20" s="20" t="n">
        <v>0.79747135</v>
      </c>
      <c r="M20" s="18" t="n">
        <v>0</v>
      </c>
      <c r="N20" s="20" t="n">
        <v>0</v>
      </c>
      <c r="O20" s="18" t="n">
        <v>0</v>
      </c>
      <c r="P20" s="20" t="n">
        <v>0</v>
      </c>
      <c r="Q20" s="18" t="n">
        <v>0</v>
      </c>
      <c r="R20" s="20" t="n">
        <v>0</v>
      </c>
    </row>
    <row r="21" spans="1:18">
      <c r="A21" s="15" t="s">
        <v>581</v>
      </c>
      <c r="B21" s="17" t="n">
        <v>2908</v>
      </c>
      <c r="C21" s="18">
        <f>(2599.0/B21*100)</f>
        <v/>
      </c>
      <c r="D21" s="19" t="n">
        <v>309</v>
      </c>
      <c r="E21" s="18" t="n">
        <v>20.2488858</v>
      </c>
      <c r="F21" s="20" t="n">
        <v>2.72885911</v>
      </c>
      <c r="G21" s="18" t="n">
        <v>77.70297705999999</v>
      </c>
      <c r="H21" s="20" t="n">
        <v>2.72267483</v>
      </c>
      <c r="I21" s="18" t="s">
        <v>567</v>
      </c>
      <c r="J21" s="20" t="s">
        <v>567</v>
      </c>
      <c r="K21" s="18" t="n">
        <v>0.72516527</v>
      </c>
      <c r="L21" s="20" t="n">
        <v>0.5019472699999999</v>
      </c>
      <c r="M21" s="18" t="n">
        <v>0</v>
      </c>
      <c r="N21" s="20" t="n">
        <v>0</v>
      </c>
      <c r="O21" s="18" t="n">
        <v>0</v>
      </c>
      <c r="P21" s="20" t="n">
        <v>0</v>
      </c>
      <c r="Q21" s="18" t="n">
        <v>1.32297186</v>
      </c>
      <c r="R21" s="20" t="n">
        <v>0.64329653</v>
      </c>
    </row>
    <row r="22" spans="1:18">
      <c r="A22" s="15" t="s">
        <v>582</v>
      </c>
      <c r="B22" s="17" t="n">
        <v>2931</v>
      </c>
      <c r="C22" s="18">
        <f>(2622.0/B22*100)</f>
        <v/>
      </c>
      <c r="D22" s="19" t="n">
        <v>309</v>
      </c>
      <c r="E22" s="18" t="n">
        <v>32.85390359</v>
      </c>
      <c r="F22" s="20" t="n">
        <v>2.70607715</v>
      </c>
      <c r="G22" s="18" t="n">
        <v>65.36343843</v>
      </c>
      <c r="H22" s="20" t="n">
        <v>2.83551464</v>
      </c>
      <c r="I22" s="18" t="s">
        <v>567</v>
      </c>
      <c r="J22" s="20" t="s">
        <v>567</v>
      </c>
      <c r="K22" s="18" t="n">
        <v>1.51567491</v>
      </c>
      <c r="L22" s="20" t="n">
        <v>0.66707015</v>
      </c>
      <c r="M22" s="18" t="n">
        <v>0</v>
      </c>
      <c r="N22" s="20" t="n">
        <v>0</v>
      </c>
      <c r="O22" s="18" t="n">
        <v>0</v>
      </c>
      <c r="P22" s="20" t="n">
        <v>0</v>
      </c>
      <c r="Q22" s="18" t="n">
        <v>0.26698307</v>
      </c>
      <c r="R22" s="20" t="n">
        <v>0.26635982</v>
      </c>
    </row>
    <row r="23" spans="1:18">
      <c r="A23" s="15" t="s">
        <v>583</v>
      </c>
      <c r="B23" s="17" t="n">
        <v>5791</v>
      </c>
      <c r="C23" s="18">
        <f>(5144.0/B23*100)</f>
        <v/>
      </c>
      <c r="D23" s="19" t="n">
        <v>647</v>
      </c>
      <c r="E23" s="18" t="n">
        <v>23.55312053</v>
      </c>
      <c r="F23" s="20" t="n">
        <v>2.6473158</v>
      </c>
      <c r="G23" s="18" t="n">
        <v>74.97304857</v>
      </c>
      <c r="H23" s="20" t="n">
        <v>2.84378329</v>
      </c>
      <c r="I23" s="18" t="s">
        <v>567</v>
      </c>
      <c r="J23" s="20" t="s">
        <v>567</v>
      </c>
      <c r="K23" s="18" t="n">
        <v>1.3173911</v>
      </c>
      <c r="L23" s="20" t="n">
        <v>0.8526233600000001</v>
      </c>
      <c r="M23" s="18" t="n">
        <v>0</v>
      </c>
      <c r="N23" s="20" t="n">
        <v>0</v>
      </c>
      <c r="O23" s="18" t="n">
        <v>0</v>
      </c>
      <c r="P23" s="20" t="n">
        <v>0</v>
      </c>
      <c r="Q23" s="18" t="n">
        <v>0.1564398</v>
      </c>
      <c r="R23" s="20" t="n">
        <v>0.10741452</v>
      </c>
    </row>
    <row r="24" spans="1:18">
      <c r="A24" s="15" t="s">
        <v>584</v>
      </c>
      <c r="B24" s="17" t="n">
        <v>3338</v>
      </c>
      <c r="C24" s="18">
        <f>(2976.0/B24*100)</f>
        <v/>
      </c>
      <c r="D24" s="19" t="n">
        <v>362</v>
      </c>
      <c r="E24" s="18" t="n">
        <v>16.59670027</v>
      </c>
      <c r="F24" s="20" t="n">
        <v>2.07148903</v>
      </c>
      <c r="G24" s="18" t="n">
        <v>82.620721</v>
      </c>
      <c r="H24" s="20" t="n">
        <v>2.124729</v>
      </c>
      <c r="I24" s="18" t="s">
        <v>567</v>
      </c>
      <c r="J24" s="20" t="s">
        <v>567</v>
      </c>
      <c r="K24" s="18" t="n">
        <v>0.24092798</v>
      </c>
      <c r="L24" s="20" t="n">
        <v>0.24044862</v>
      </c>
      <c r="M24" s="18" t="n">
        <v>0</v>
      </c>
      <c r="N24" s="20" t="n">
        <v>0</v>
      </c>
      <c r="O24" s="18" t="n">
        <v>0</v>
      </c>
      <c r="P24" s="20" t="n">
        <v>0</v>
      </c>
      <c r="Q24" s="18" t="n">
        <v>0.54165074</v>
      </c>
      <c r="R24" s="20" t="n">
        <v>0.3862145</v>
      </c>
    </row>
    <row r="25" spans="1:18">
      <c r="A25" s="15" t="s">
        <v>585</v>
      </c>
      <c r="B25" s="17" t="n">
        <v>2912</v>
      </c>
      <c r="C25" s="18">
        <f>(2561.0/B25*100)</f>
        <v/>
      </c>
      <c r="D25" s="19" t="n">
        <v>351</v>
      </c>
      <c r="E25" s="18" t="n">
        <v>24.34972526</v>
      </c>
      <c r="F25" s="20" t="n">
        <v>1.97917465</v>
      </c>
      <c r="G25" s="18" t="n">
        <v>73.6758629</v>
      </c>
      <c r="H25" s="20" t="n">
        <v>2.21526327</v>
      </c>
      <c r="I25" s="18" t="s">
        <v>567</v>
      </c>
      <c r="J25" s="20" t="s">
        <v>567</v>
      </c>
      <c r="K25" s="18" t="n">
        <v>1.69652275</v>
      </c>
      <c r="L25" s="20" t="n">
        <v>0.6732216</v>
      </c>
      <c r="M25" s="18" t="n">
        <v>0</v>
      </c>
      <c r="N25" s="20" t="n">
        <v>0</v>
      </c>
      <c r="O25" s="18" t="n">
        <v>0</v>
      </c>
      <c r="P25" s="20" t="n">
        <v>0</v>
      </c>
      <c r="Q25" s="18" t="n">
        <v>0.27788909</v>
      </c>
      <c r="R25" s="20" t="n">
        <v>0.27564264</v>
      </c>
    </row>
    <row r="26" spans="1:18">
      <c r="A26" s="15" t="s">
        <v>586</v>
      </c>
      <c r="B26" s="17" t="n">
        <v>2450</v>
      </c>
      <c r="C26" s="18">
        <f>(2184.0/B26*100)</f>
        <v/>
      </c>
      <c r="D26" s="19" t="n">
        <v>266</v>
      </c>
      <c r="E26" s="18" t="n">
        <v>24.379262</v>
      </c>
      <c r="F26" s="20" t="n">
        <v>2.53387628</v>
      </c>
      <c r="G26" s="18" t="n">
        <v>74.9378164</v>
      </c>
      <c r="H26" s="20" t="n">
        <v>2.41494736</v>
      </c>
      <c r="I26" s="18" t="s">
        <v>567</v>
      </c>
      <c r="J26" s="20" t="s">
        <v>567</v>
      </c>
      <c r="K26" s="18" t="n">
        <v>0</v>
      </c>
      <c r="L26" s="20" t="n">
        <v>0</v>
      </c>
      <c r="M26" s="18" t="n">
        <v>0</v>
      </c>
      <c r="N26" s="20" t="n">
        <v>0</v>
      </c>
      <c r="O26" s="18" t="n">
        <v>0</v>
      </c>
      <c r="P26" s="20" t="n">
        <v>0</v>
      </c>
      <c r="Q26" s="18" t="n">
        <v>0.6829216</v>
      </c>
      <c r="R26" s="20" t="n">
        <v>0.71258109</v>
      </c>
    </row>
    <row r="27" spans="1:18">
      <c r="A27" s="15" t="s">
        <v>587</v>
      </c>
      <c r="B27" s="17" t="n">
        <v>2616</v>
      </c>
      <c r="C27" s="18">
        <f>(2359.0/B27*100)</f>
        <v/>
      </c>
      <c r="D27" s="19" t="n">
        <v>257</v>
      </c>
      <c r="E27" s="18" t="n">
        <v>16.92567467</v>
      </c>
      <c r="F27" s="20" t="n">
        <v>2.3377588</v>
      </c>
      <c r="G27" s="18" t="n">
        <v>82.22564733</v>
      </c>
      <c r="H27" s="20" t="n">
        <v>2.28755259</v>
      </c>
      <c r="I27" s="18" t="s">
        <v>567</v>
      </c>
      <c r="J27" s="20" t="s">
        <v>567</v>
      </c>
      <c r="K27" s="18" t="n">
        <v>0.848678</v>
      </c>
      <c r="L27" s="20" t="n">
        <v>0.58335159</v>
      </c>
      <c r="M27" s="18" t="n">
        <v>0</v>
      </c>
      <c r="N27" s="20" t="n">
        <v>0</v>
      </c>
      <c r="O27" s="18" t="n">
        <v>0</v>
      </c>
      <c r="P27" s="20" t="n">
        <v>0</v>
      </c>
      <c r="Q27" s="18" t="n">
        <v>0</v>
      </c>
      <c r="R27" s="20" t="n">
        <v>0</v>
      </c>
    </row>
    <row r="28" spans="1:18">
      <c r="A28" s="15" t="s">
        <v>588</v>
      </c>
      <c r="B28" s="17" t="n">
        <v>3765</v>
      </c>
      <c r="C28" s="18">
        <f>(3374.0/B28*100)</f>
        <v/>
      </c>
      <c r="D28" s="19" t="n">
        <v>391</v>
      </c>
      <c r="E28" s="18" t="n">
        <v>35.32890209</v>
      </c>
      <c r="F28" s="20" t="n">
        <v>2.68192415</v>
      </c>
      <c r="G28" s="18" t="n">
        <v>61.85632445</v>
      </c>
      <c r="H28" s="20" t="n">
        <v>2.73450154</v>
      </c>
      <c r="I28" s="18" t="s">
        <v>567</v>
      </c>
      <c r="J28" s="20" t="s">
        <v>567</v>
      </c>
      <c r="K28" s="18" t="n">
        <v>1.6627977</v>
      </c>
      <c r="L28" s="20" t="n">
        <v>0.73290836</v>
      </c>
      <c r="M28" s="18" t="n">
        <v>0</v>
      </c>
      <c r="N28" s="20" t="n">
        <v>0</v>
      </c>
      <c r="O28" s="18" t="n">
        <v>0</v>
      </c>
      <c r="P28" s="20" t="n">
        <v>0</v>
      </c>
      <c r="Q28" s="18" t="n">
        <v>1.15197575</v>
      </c>
      <c r="R28" s="20" t="n">
        <v>0.60760808</v>
      </c>
    </row>
    <row r="29" spans="1:18">
      <c r="A29" s="15" t="s">
        <v>589</v>
      </c>
      <c r="B29" s="17" t="n">
        <v>2685</v>
      </c>
      <c r="C29" s="18">
        <f>(2298.0/B29*100)</f>
        <v/>
      </c>
      <c r="D29" s="19" t="n">
        <v>387</v>
      </c>
      <c r="E29" s="18" t="n">
        <v>27.78260666</v>
      </c>
      <c r="F29" s="20" t="n">
        <v>2.32786841</v>
      </c>
      <c r="G29" s="18" t="n">
        <v>70.71987091</v>
      </c>
      <c r="H29" s="20" t="n">
        <v>2.28802829</v>
      </c>
      <c r="I29" s="18" t="s">
        <v>567</v>
      </c>
      <c r="J29" s="20" t="s">
        <v>567</v>
      </c>
      <c r="K29" s="18" t="n">
        <v>1.01993111</v>
      </c>
      <c r="L29" s="20" t="n">
        <v>0.48610291</v>
      </c>
      <c r="M29" s="18" t="n">
        <v>0</v>
      </c>
      <c r="N29" s="20" t="n">
        <v>0</v>
      </c>
      <c r="O29" s="18" t="n">
        <v>0</v>
      </c>
      <c r="P29" s="20" t="n">
        <v>0</v>
      </c>
      <c r="Q29" s="18" t="n">
        <v>0.47759131</v>
      </c>
      <c r="R29" s="20" t="n">
        <v>0.37232063</v>
      </c>
    </row>
    <row r="30" spans="1:18">
      <c r="A30" s="15" t="s">
        <v>590</v>
      </c>
      <c r="B30" s="17" t="n">
        <v>2263</v>
      </c>
      <c r="C30" s="18">
        <f>(2028.0/B30*100)</f>
        <v/>
      </c>
      <c r="D30" s="19" t="n">
        <v>235</v>
      </c>
      <c r="E30" s="18" t="n">
        <v>24.24981531</v>
      </c>
      <c r="F30" s="20" t="n">
        <v>2.88370732</v>
      </c>
      <c r="G30" s="18" t="n">
        <v>73.83759409</v>
      </c>
      <c r="H30" s="20" t="n">
        <v>3.24294923</v>
      </c>
      <c r="I30" s="18" t="s">
        <v>567</v>
      </c>
      <c r="J30" s="20" t="s">
        <v>567</v>
      </c>
      <c r="K30" s="18" t="n">
        <v>1.51630942</v>
      </c>
      <c r="L30" s="20" t="n">
        <v>0.83357777</v>
      </c>
      <c r="M30" s="18" t="n">
        <v>0</v>
      </c>
      <c r="N30" s="20" t="n">
        <v>0</v>
      </c>
      <c r="O30" s="18" t="n">
        <v>0</v>
      </c>
      <c r="P30" s="20" t="n">
        <v>0</v>
      </c>
      <c r="Q30" s="18" t="n">
        <v>0.39628118</v>
      </c>
      <c r="R30" s="20" t="n">
        <v>0.43289125</v>
      </c>
    </row>
    <row r="31" spans="1:18">
      <c r="A31" s="15" t="s">
        <v>591</v>
      </c>
      <c r="B31" s="17" t="n">
        <v>2750</v>
      </c>
      <c r="C31" s="18">
        <f>(2460.0/B31*100)</f>
        <v/>
      </c>
      <c r="D31" s="19" t="n">
        <v>290</v>
      </c>
      <c r="E31" s="18" t="n">
        <v>25.09433033</v>
      </c>
      <c r="F31" s="20" t="n">
        <v>2.66999522</v>
      </c>
      <c r="G31" s="18" t="n">
        <v>73.22812166</v>
      </c>
      <c r="H31" s="20" t="n">
        <v>2.74781943</v>
      </c>
      <c r="I31" s="18" t="s">
        <v>567</v>
      </c>
      <c r="J31" s="20" t="s">
        <v>567</v>
      </c>
      <c r="K31" s="18" t="n">
        <v>1.3543669</v>
      </c>
      <c r="L31" s="20" t="n">
        <v>0.65859273</v>
      </c>
      <c r="M31" s="18" t="n">
        <v>0</v>
      </c>
      <c r="N31" s="20" t="n">
        <v>0</v>
      </c>
      <c r="O31" s="18" t="n">
        <v>0</v>
      </c>
      <c r="P31" s="20" t="n">
        <v>0</v>
      </c>
      <c r="Q31" s="18" t="n">
        <v>0.32318111</v>
      </c>
      <c r="R31" s="20" t="n">
        <v>0.33089802</v>
      </c>
    </row>
    <row r="32" spans="1:18">
      <c r="A32" s="15" t="s">
        <v>592</v>
      </c>
      <c r="B32" s="17" t="n">
        <v>2269</v>
      </c>
      <c r="C32" s="18">
        <f>(2026.0/B32*100)</f>
        <v/>
      </c>
      <c r="D32" s="19" t="n">
        <v>243</v>
      </c>
      <c r="E32" s="18" t="n">
        <v>17.00016079</v>
      </c>
      <c r="F32" s="20" t="n">
        <v>2.63429301</v>
      </c>
      <c r="G32" s="18" t="n">
        <v>82.44030796</v>
      </c>
      <c r="H32" s="20" t="n">
        <v>2.68598276</v>
      </c>
      <c r="I32" s="18" t="s">
        <v>567</v>
      </c>
      <c r="J32" s="20" t="s">
        <v>567</v>
      </c>
      <c r="K32" s="18" t="n">
        <v>0</v>
      </c>
      <c r="L32" s="20" t="n">
        <v>0</v>
      </c>
      <c r="M32" s="18" t="n">
        <v>0</v>
      </c>
      <c r="N32" s="20" t="n">
        <v>0</v>
      </c>
      <c r="O32" s="18" t="n">
        <v>0</v>
      </c>
      <c r="P32" s="20" t="n">
        <v>0</v>
      </c>
      <c r="Q32" s="18" t="n">
        <v>0.55953125</v>
      </c>
      <c r="R32" s="20" t="n">
        <v>0.55228016</v>
      </c>
    </row>
    <row r="33" spans="1:18">
      <c r="A33" s="15" t="s">
        <v>593</v>
      </c>
      <c r="B33" s="17" t="n">
        <v>3674</v>
      </c>
      <c r="C33" s="18">
        <f>(3302.0/B33*100)</f>
        <v/>
      </c>
      <c r="D33" s="19" t="n">
        <v>372</v>
      </c>
      <c r="E33" s="18" t="n">
        <v>16.31039927</v>
      </c>
      <c r="F33" s="20" t="n">
        <v>2.09017234</v>
      </c>
      <c r="G33" s="18" t="n">
        <v>82.85932712</v>
      </c>
      <c r="H33" s="20" t="n">
        <v>2.2325656</v>
      </c>
      <c r="I33" s="18" t="s">
        <v>567</v>
      </c>
      <c r="J33" s="20" t="s">
        <v>567</v>
      </c>
      <c r="K33" s="18" t="n">
        <v>0.58018373</v>
      </c>
      <c r="L33" s="20" t="n">
        <v>0.64081862</v>
      </c>
      <c r="M33" s="18" t="n">
        <v>0</v>
      </c>
      <c r="N33" s="20" t="n">
        <v>0</v>
      </c>
      <c r="O33" s="18" t="n">
        <v>0</v>
      </c>
      <c r="P33" s="20" t="n">
        <v>0</v>
      </c>
      <c r="Q33" s="18" t="n">
        <v>0.25008987</v>
      </c>
      <c r="R33" s="20" t="n">
        <v>0.28390083</v>
      </c>
    </row>
    <row r="34" spans="1:18">
      <c r="A34" s="15" t="s">
        <v>594</v>
      </c>
      <c r="B34" s="17" t="n">
        <v>3315</v>
      </c>
      <c r="C34" s="18">
        <f>(2893.0/B34*100)</f>
        <v/>
      </c>
      <c r="D34" s="19" t="n">
        <v>422</v>
      </c>
      <c r="E34" s="18" t="n">
        <v>32.87645245</v>
      </c>
      <c r="F34" s="20" t="n">
        <v>2.76661686</v>
      </c>
      <c r="G34" s="18" t="n">
        <v>66.21484069</v>
      </c>
      <c r="H34" s="20" t="n">
        <v>2.70970226</v>
      </c>
      <c r="I34" s="18" t="s">
        <v>567</v>
      </c>
      <c r="J34" s="20" t="s">
        <v>567</v>
      </c>
      <c r="K34" s="18" t="n">
        <v>0.50720717</v>
      </c>
      <c r="L34" s="20" t="n">
        <v>0.29713581</v>
      </c>
      <c r="M34" s="18" t="n">
        <v>0</v>
      </c>
      <c r="N34" s="20" t="n">
        <v>0</v>
      </c>
      <c r="O34" s="18" t="n">
        <v>0</v>
      </c>
      <c r="P34" s="20" t="n">
        <v>0</v>
      </c>
      <c r="Q34" s="18" t="n">
        <v>0.40149969</v>
      </c>
      <c r="R34" s="20" t="n">
        <v>0.28428042</v>
      </c>
    </row>
    <row r="35" spans="1:18">
      <c r="A35" s="15" t="s">
        <v>595</v>
      </c>
      <c r="B35" s="17" t="n">
        <v>3505</v>
      </c>
      <c r="C35" s="18">
        <f>(3007.0/B35*100)</f>
        <v/>
      </c>
      <c r="D35" s="19" t="n">
        <v>498</v>
      </c>
      <c r="E35" s="18" t="n">
        <v>19.8676537</v>
      </c>
      <c r="F35" s="20" t="n">
        <v>1.90868623</v>
      </c>
      <c r="G35" s="18" t="n">
        <v>79.72439726</v>
      </c>
      <c r="H35" s="20" t="n">
        <v>1.91548915</v>
      </c>
      <c r="I35" s="18" t="s">
        <v>567</v>
      </c>
      <c r="J35" s="20" t="s">
        <v>567</v>
      </c>
      <c r="K35" s="18" t="n">
        <v>0.20564851</v>
      </c>
      <c r="L35" s="20" t="n">
        <v>0.14840078</v>
      </c>
      <c r="M35" s="18" t="n">
        <v>0</v>
      </c>
      <c r="N35" s="20" t="n">
        <v>0</v>
      </c>
      <c r="O35" s="18" t="n">
        <v>0</v>
      </c>
      <c r="P35" s="20" t="n">
        <v>0</v>
      </c>
      <c r="Q35" s="18" t="n">
        <v>0.20230053</v>
      </c>
      <c r="R35" s="20" t="n">
        <v>0.12401579</v>
      </c>
    </row>
    <row r="36" spans="1:18">
      <c r="A36" s="15" t="s">
        <v>596</v>
      </c>
      <c r="B36" s="17" t="n">
        <v>3332</v>
      </c>
      <c r="C36" s="18">
        <f>(2967.0/B36*100)</f>
        <v/>
      </c>
      <c r="D36" s="19" t="n">
        <v>365</v>
      </c>
      <c r="E36" s="18" t="n">
        <v>19.48339964</v>
      </c>
      <c r="F36" s="20" t="n">
        <v>2.44904392</v>
      </c>
      <c r="G36" s="18" t="n">
        <v>78.15700083</v>
      </c>
      <c r="H36" s="20" t="n">
        <v>2.61041093</v>
      </c>
      <c r="I36" s="18" t="s">
        <v>567</v>
      </c>
      <c r="J36" s="20" t="s">
        <v>567</v>
      </c>
      <c r="K36" s="18" t="n">
        <v>1.97764032</v>
      </c>
      <c r="L36" s="20" t="n">
        <v>0.85862587</v>
      </c>
      <c r="M36" s="18" t="n">
        <v>0</v>
      </c>
      <c r="N36" s="20" t="n">
        <v>0</v>
      </c>
      <c r="O36" s="18" t="n">
        <v>0</v>
      </c>
      <c r="P36" s="20" t="n">
        <v>0</v>
      </c>
      <c r="Q36" s="18" t="n">
        <v>0.38195921</v>
      </c>
      <c r="R36" s="20" t="n">
        <v>0.34725151</v>
      </c>
    </row>
    <row r="37" spans="1:18">
      <c r="A37" s="15" t="s">
        <v>597</v>
      </c>
      <c r="B37" s="17" t="n">
        <v>2727</v>
      </c>
      <c r="C37" s="18">
        <f>(2450.0/B37*100)</f>
        <v/>
      </c>
      <c r="D37" s="19" t="n">
        <v>277</v>
      </c>
      <c r="E37" s="18" t="n">
        <v>23.63373779</v>
      </c>
      <c r="F37" s="20" t="n">
        <v>2.46074201</v>
      </c>
      <c r="G37" s="18" t="n">
        <v>74.11305091</v>
      </c>
      <c r="H37" s="20" t="n">
        <v>2.61475277</v>
      </c>
      <c r="I37" s="18" t="s">
        <v>567</v>
      </c>
      <c r="J37" s="20" t="s">
        <v>567</v>
      </c>
      <c r="K37" s="18" t="n">
        <v>1.89864534</v>
      </c>
      <c r="L37" s="20" t="n">
        <v>0.7995198100000001</v>
      </c>
      <c r="M37" s="18" t="n">
        <v>0</v>
      </c>
      <c r="N37" s="20" t="n">
        <v>0</v>
      </c>
      <c r="O37" s="18" t="n">
        <v>0</v>
      </c>
      <c r="P37" s="20" t="n">
        <v>0</v>
      </c>
      <c r="Q37" s="18" t="n">
        <v>0.35456595</v>
      </c>
      <c r="R37" s="20" t="n">
        <v>0.35968005</v>
      </c>
    </row>
    <row r="38" spans="1:18">
      <c r="A38" s="15" t="s">
        <v>598</v>
      </c>
      <c r="B38" s="17" t="n">
        <v>3053</v>
      </c>
      <c r="C38" s="18">
        <f>(2716.0/B38*100)</f>
        <v/>
      </c>
      <c r="D38" s="19" t="n">
        <v>337</v>
      </c>
      <c r="E38" s="18" t="n">
        <v>18.35430873</v>
      </c>
      <c r="F38" s="20" t="n">
        <v>3.65100603</v>
      </c>
      <c r="G38" s="18" t="n">
        <v>79.43797579</v>
      </c>
      <c r="H38" s="20" t="n">
        <v>3.75021838</v>
      </c>
      <c r="I38" s="18" t="s">
        <v>567</v>
      </c>
      <c r="J38" s="20" t="s">
        <v>567</v>
      </c>
      <c r="K38" s="18" t="n">
        <v>1.75978615</v>
      </c>
      <c r="L38" s="20" t="n">
        <v>0.87148595</v>
      </c>
      <c r="M38" s="18" t="n">
        <v>0</v>
      </c>
      <c r="N38" s="20" t="n">
        <v>0</v>
      </c>
      <c r="O38" s="18" t="n">
        <v>0</v>
      </c>
      <c r="P38" s="20" t="n">
        <v>0</v>
      </c>
      <c r="Q38" s="18" t="n">
        <v>0.44792933</v>
      </c>
      <c r="R38" s="20" t="n">
        <v>0.4339515</v>
      </c>
    </row>
    <row r="39" spans="1:18">
      <c r="A39" s="15" t="s">
        <v>599</v>
      </c>
      <c r="B39" s="17" t="n">
        <v>2957</v>
      </c>
      <c r="C39" s="18">
        <f>(2640.0/B39*100)</f>
        <v/>
      </c>
      <c r="D39" s="19" t="n">
        <v>317</v>
      </c>
      <c r="E39" s="18" t="n">
        <v>53.74420339</v>
      </c>
      <c r="F39" s="20" t="n">
        <v>3.44089352</v>
      </c>
      <c r="G39" s="18" t="n">
        <v>44.84695358</v>
      </c>
      <c r="H39" s="20" t="n">
        <v>3.5543809</v>
      </c>
      <c r="I39" s="18" t="s">
        <v>567</v>
      </c>
      <c r="J39" s="20" t="s">
        <v>567</v>
      </c>
      <c r="K39" s="18" t="n">
        <v>0.24065716</v>
      </c>
      <c r="L39" s="20" t="n">
        <v>0.24516997</v>
      </c>
      <c r="M39" s="18" t="n">
        <v>0</v>
      </c>
      <c r="N39" s="20" t="n">
        <v>0</v>
      </c>
      <c r="O39" s="18" t="n">
        <v>0</v>
      </c>
      <c r="P39" s="20" t="n">
        <v>0</v>
      </c>
      <c r="Q39" s="18" t="n">
        <v>1.16818587</v>
      </c>
      <c r="R39" s="20" t="n">
        <v>0.73397261</v>
      </c>
    </row>
    <row r="40" spans="1:18">
      <c r="A40" s="15" t="s">
        <v>600</v>
      </c>
      <c r="B40" s="17" t="n">
        <v>7235</v>
      </c>
      <c r="C40" s="18">
        <f>(6432.0/B40*100)</f>
        <v/>
      </c>
      <c r="D40" s="19" t="n">
        <v>803</v>
      </c>
      <c r="E40" s="18" t="n">
        <v>23.45173285</v>
      </c>
      <c r="F40" s="20" t="n">
        <v>2.14991721</v>
      </c>
      <c r="G40" s="18" t="n">
        <v>74.07867358</v>
      </c>
      <c r="H40" s="20" t="n">
        <v>2.10841151</v>
      </c>
      <c r="I40" s="18" t="s">
        <v>567</v>
      </c>
      <c r="J40" s="20" t="s">
        <v>567</v>
      </c>
      <c r="K40" s="18" t="n">
        <v>1.06850892</v>
      </c>
      <c r="L40" s="20" t="n">
        <v>0.54998093</v>
      </c>
      <c r="M40" s="18" t="n">
        <v>0</v>
      </c>
      <c r="N40" s="20" t="n">
        <v>0</v>
      </c>
      <c r="O40" s="18" t="n">
        <v>0</v>
      </c>
      <c r="P40" s="20" t="n">
        <v>0</v>
      </c>
      <c r="Q40" s="18" t="n">
        <v>1.40108464</v>
      </c>
      <c r="R40" s="20" t="n">
        <v>0.74657624</v>
      </c>
    </row>
    <row r="41" spans="1:18">
      <c r="A41" s="15" t="s">
        <v>601</v>
      </c>
      <c r="B41" s="17" t="n">
        <v>2858</v>
      </c>
      <c r="C41" s="18">
        <f>(2539.0/B41*100)</f>
        <v/>
      </c>
      <c r="D41" s="19" t="n">
        <v>319</v>
      </c>
      <c r="E41" s="18" t="n">
        <v>26.89784727</v>
      </c>
      <c r="F41" s="20" t="n">
        <v>2.85223586</v>
      </c>
      <c r="G41" s="18" t="n">
        <v>70.89226599</v>
      </c>
      <c r="H41" s="20" t="n">
        <v>2.83813966</v>
      </c>
      <c r="I41" s="18" t="s">
        <v>567</v>
      </c>
      <c r="J41" s="20" t="s">
        <v>567</v>
      </c>
      <c r="K41" s="18" t="n">
        <v>1.51449579</v>
      </c>
      <c r="L41" s="20" t="n">
        <v>0.70621329</v>
      </c>
      <c r="M41" s="18" t="n">
        <v>0</v>
      </c>
      <c r="N41" s="20" t="n">
        <v>0</v>
      </c>
      <c r="O41" s="18" t="n">
        <v>0</v>
      </c>
      <c r="P41" s="20" t="n">
        <v>0</v>
      </c>
      <c r="Q41" s="18" t="n">
        <v>0.69539096</v>
      </c>
      <c r="R41" s="20" t="n">
        <v>0.46254164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(10230.0/B46*100)</f>
        <v/>
      </c>
      <c r="D46" s="19" t="n">
        <v>838</v>
      </c>
      <c r="E46" s="18" t="n">
        <v>43.87968226</v>
      </c>
      <c r="F46" s="20" t="n">
        <v>2.10065024</v>
      </c>
      <c r="G46" s="18" t="n">
        <v>51.60767193</v>
      </c>
      <c r="H46" s="20" t="n">
        <v>2.26067076</v>
      </c>
      <c r="I46" s="18" t="s">
        <v>567</v>
      </c>
      <c r="J46" s="20" t="s">
        <v>567</v>
      </c>
      <c r="K46" s="18" t="n">
        <v>3.46171452</v>
      </c>
      <c r="L46" s="20" t="n">
        <v>0.8110463999999999</v>
      </c>
      <c r="M46" s="18" t="n">
        <v>0</v>
      </c>
      <c r="N46" s="20" t="n">
        <v>0</v>
      </c>
      <c r="O46" s="18" t="n">
        <v>0</v>
      </c>
      <c r="P46" s="20" t="n">
        <v>0</v>
      </c>
      <c r="Q46" s="18" t="n">
        <v>1.0509313</v>
      </c>
      <c r="R46" s="20" t="n">
        <v>0.39439146</v>
      </c>
    </row>
    <row r="47" spans="1:18">
      <c r="A47" s="15" t="s">
        <v>607</v>
      </c>
      <c r="B47" s="17" t="n">
        <v>3105</v>
      </c>
      <c r="C47" s="18">
        <f>(2772.0/B47*100)</f>
        <v/>
      </c>
      <c r="D47" s="19" t="n">
        <v>333</v>
      </c>
      <c r="E47" s="18" t="n">
        <v>45.23690333</v>
      </c>
      <c r="F47" s="20" t="n">
        <v>3.00456466</v>
      </c>
      <c r="G47" s="18" t="n">
        <v>53.66533259</v>
      </c>
      <c r="H47" s="20" t="n">
        <v>3.09995313</v>
      </c>
      <c r="I47" s="18" t="s">
        <v>567</v>
      </c>
      <c r="J47" s="20" t="s">
        <v>567</v>
      </c>
      <c r="K47" s="18" t="n">
        <v>0.81059665</v>
      </c>
      <c r="L47" s="20" t="n">
        <v>0.46434012</v>
      </c>
      <c r="M47" s="18" t="n">
        <v>0</v>
      </c>
      <c r="N47" s="20" t="n">
        <v>0</v>
      </c>
      <c r="O47" s="18" t="n">
        <v>0</v>
      </c>
      <c r="P47" s="20" t="n">
        <v>0</v>
      </c>
      <c r="Q47" s="18" t="n">
        <v>0.28716744</v>
      </c>
      <c r="R47" s="20" t="n">
        <v>0.20687543</v>
      </c>
    </row>
    <row r="48" spans="1:18">
      <c r="A48" s="15" t="s">
        <v>608</v>
      </c>
      <c r="B48" s="17" t="n">
        <v>5159</v>
      </c>
      <c r="C48" s="18">
        <f>(4600.0/B48*100)</f>
        <v/>
      </c>
      <c r="D48" s="19" t="n">
        <v>559</v>
      </c>
      <c r="E48" s="18" t="n">
        <v>34.08329661</v>
      </c>
      <c r="F48" s="20" t="n">
        <v>2.41720909</v>
      </c>
      <c r="G48" s="18" t="n">
        <v>64.49709854</v>
      </c>
      <c r="H48" s="20" t="n">
        <v>2.57000339</v>
      </c>
      <c r="I48" s="18" t="s">
        <v>567</v>
      </c>
      <c r="J48" s="20" t="s">
        <v>567</v>
      </c>
      <c r="K48" s="18" t="n">
        <v>1.12790988</v>
      </c>
      <c r="L48" s="20" t="n">
        <v>0.63353101</v>
      </c>
      <c r="M48" s="18" t="n">
        <v>0</v>
      </c>
      <c r="N48" s="20" t="n">
        <v>0</v>
      </c>
      <c r="O48" s="18" t="n">
        <v>0</v>
      </c>
      <c r="P48" s="20" t="n">
        <v>0</v>
      </c>
      <c r="Q48" s="18" t="n">
        <v>0.29169497</v>
      </c>
      <c r="R48" s="20" t="n">
        <v>0.2925475</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(5059.0/B50*100)</f>
        <v/>
      </c>
      <c r="D50" s="19" t="n">
        <v>578</v>
      </c>
      <c r="E50" s="18" t="n">
        <v>37.20238614</v>
      </c>
      <c r="F50" s="20" t="n">
        <v>2.83293529</v>
      </c>
      <c r="G50" s="18" t="n">
        <v>58.13958269</v>
      </c>
      <c r="H50" s="20" t="n">
        <v>3.00864746</v>
      </c>
      <c r="I50" s="18" t="s">
        <v>567</v>
      </c>
      <c r="J50" s="20" t="s">
        <v>567</v>
      </c>
      <c r="K50" s="18" t="n">
        <v>4.53068876</v>
      </c>
      <c r="L50" s="20" t="n">
        <v>1.6399863</v>
      </c>
      <c r="M50" s="18" t="n">
        <v>0</v>
      </c>
      <c r="N50" s="20" t="n">
        <v>0</v>
      </c>
      <c r="O50" s="18" t="n">
        <v>0</v>
      </c>
      <c r="P50" s="20" t="n">
        <v>0</v>
      </c>
      <c r="Q50" s="18" t="n">
        <v>0.12734242</v>
      </c>
      <c r="R50" s="20" t="n">
        <v>0.08573401</v>
      </c>
    </row>
    <row r="51" spans="1:18">
      <c r="A51" s="15" t="s">
        <v>611</v>
      </c>
      <c r="B51" s="17" t="n">
        <v>3372</v>
      </c>
      <c r="C51" s="18">
        <f>(2695.0/B51*100)</f>
        <v/>
      </c>
      <c r="D51" s="19" t="n">
        <v>677</v>
      </c>
      <c r="E51" s="18" t="n">
        <v>30.6841582</v>
      </c>
      <c r="F51" s="20" t="n">
        <v>1.72059348</v>
      </c>
      <c r="G51" s="18" t="n">
        <v>68.26963320999999</v>
      </c>
      <c r="H51" s="20" t="n">
        <v>1.72477805</v>
      </c>
      <c r="I51" s="18" t="s">
        <v>567</v>
      </c>
      <c r="J51" s="20" t="s">
        <v>567</v>
      </c>
      <c r="K51" s="18" t="n">
        <v>0.61687693</v>
      </c>
      <c r="L51" s="20" t="n">
        <v>0.30237394</v>
      </c>
      <c r="M51" s="18" t="n">
        <v>0</v>
      </c>
      <c r="N51" s="20" t="n">
        <v>0</v>
      </c>
      <c r="O51" s="18" t="n">
        <v>0</v>
      </c>
      <c r="P51" s="20" t="n">
        <v>0</v>
      </c>
      <c r="Q51" s="18" t="n">
        <v>0.42933166</v>
      </c>
      <c r="R51" s="20" t="n">
        <v>0.23778779</v>
      </c>
    </row>
    <row r="52" spans="1:18">
      <c r="A52" s="15" t="s">
        <v>612</v>
      </c>
      <c r="B52" s="17" t="n">
        <v>2796</v>
      </c>
      <c r="C52" s="18">
        <f>(2483.0/B52*100)</f>
        <v/>
      </c>
      <c r="D52" s="19" t="n">
        <v>313</v>
      </c>
      <c r="E52" s="18" t="n">
        <v>24.25851409</v>
      </c>
      <c r="F52" s="20" t="n">
        <v>2.22893877</v>
      </c>
      <c r="G52" s="18" t="n">
        <v>73.74169707</v>
      </c>
      <c r="H52" s="20" t="n">
        <v>2.35063736</v>
      </c>
      <c r="I52" s="18" t="s">
        <v>567</v>
      </c>
      <c r="J52" s="20" t="s">
        <v>567</v>
      </c>
      <c r="K52" s="18" t="n">
        <v>0.56952967</v>
      </c>
      <c r="L52" s="20" t="n">
        <v>0.39346443</v>
      </c>
      <c r="M52" s="18" t="n">
        <v>0</v>
      </c>
      <c r="N52" s="20" t="n">
        <v>0</v>
      </c>
      <c r="O52" s="18" t="n">
        <v>0</v>
      </c>
      <c r="P52" s="20" t="n">
        <v>0</v>
      </c>
      <c r="Q52" s="18" t="n">
        <v>1.43025917</v>
      </c>
      <c r="R52" s="20" t="n">
        <v>0.55989396</v>
      </c>
    </row>
    <row r="53" spans="1:18">
      <c r="A53" s="15" t="s">
        <v>613</v>
      </c>
      <c r="B53" s="17" t="n">
        <v>2811</v>
      </c>
      <c r="C53" s="18">
        <f>(2499.0/B53*100)</f>
        <v/>
      </c>
      <c r="D53" s="19" t="n">
        <v>312</v>
      </c>
      <c r="E53" s="18" t="n">
        <v>38.09573956</v>
      </c>
      <c r="F53" s="20" t="n">
        <v>2.63366276</v>
      </c>
      <c r="G53" s="18" t="n">
        <v>59.54003296</v>
      </c>
      <c r="H53" s="20" t="n">
        <v>2.62349779</v>
      </c>
      <c r="I53" s="18" t="s">
        <v>567</v>
      </c>
      <c r="J53" s="20" t="s">
        <v>567</v>
      </c>
      <c r="K53" s="18" t="n">
        <v>2.04498908</v>
      </c>
      <c r="L53" s="20" t="n">
        <v>0.63579553</v>
      </c>
      <c r="M53" s="18" t="n">
        <v>0</v>
      </c>
      <c r="N53" s="20" t="n">
        <v>0</v>
      </c>
      <c r="O53" s="18" t="n">
        <v>0</v>
      </c>
      <c r="P53" s="20" t="n">
        <v>0</v>
      </c>
      <c r="Q53" s="18" t="n">
        <v>0.31923841</v>
      </c>
      <c r="R53" s="20" t="n">
        <v>0.31977495</v>
      </c>
    </row>
    <row r="54" spans="1:18">
      <c r="A54" s="15" t="s">
        <v>614</v>
      </c>
      <c r="B54" s="17" t="n">
        <v>2266</v>
      </c>
      <c r="C54" s="18">
        <f>(2018.0/B54*100)</f>
        <v/>
      </c>
      <c r="D54" s="19" t="n">
        <v>248</v>
      </c>
      <c r="E54" s="18" t="n">
        <v>44.48507833</v>
      </c>
      <c r="F54" s="20" t="n">
        <v>3.07875609</v>
      </c>
      <c r="G54" s="18" t="n">
        <v>29.38507181</v>
      </c>
      <c r="H54" s="20" t="n">
        <v>3.32213223</v>
      </c>
      <c r="I54" s="18" t="s">
        <v>567</v>
      </c>
      <c r="J54" s="20" t="s">
        <v>567</v>
      </c>
      <c r="K54" s="18" t="n">
        <v>22.79653973</v>
      </c>
      <c r="L54" s="20" t="n">
        <v>3.28623399</v>
      </c>
      <c r="M54" s="18" t="n">
        <v>0</v>
      </c>
      <c r="N54" s="20" t="n">
        <v>0</v>
      </c>
      <c r="O54" s="18" t="n">
        <v>0</v>
      </c>
      <c r="P54" s="20" t="n">
        <v>0</v>
      </c>
      <c r="Q54" s="18" t="n">
        <v>3.33331013</v>
      </c>
      <c r="R54" s="20" t="n">
        <v>1.24587737</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(2394.0/B56*100)</f>
        <v/>
      </c>
      <c r="D56" s="19" t="n">
        <v>290</v>
      </c>
      <c r="E56" s="18" t="n">
        <v>20.63184167</v>
      </c>
      <c r="F56" s="20" t="n">
        <v>2.6394735</v>
      </c>
      <c r="G56" s="18" t="n">
        <v>78.36591543999999</v>
      </c>
      <c r="H56" s="20" t="n">
        <v>2.76862143</v>
      </c>
      <c r="I56" s="18" t="s">
        <v>567</v>
      </c>
      <c r="J56" s="20" t="s">
        <v>567</v>
      </c>
      <c r="K56" s="18" t="n">
        <v>1.00224288</v>
      </c>
      <c r="L56" s="20" t="n">
        <v>0.61085928</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(2982.0/B61*100)</f>
        <v/>
      </c>
      <c r="D61" s="19" t="n">
        <v>342</v>
      </c>
      <c r="E61" s="18" t="n">
        <v>35.35818217</v>
      </c>
      <c r="F61" s="20" t="n">
        <v>3.03492093</v>
      </c>
      <c r="G61" s="18" t="n">
        <v>63.24612672</v>
      </c>
      <c r="H61" s="20" t="n">
        <v>3.19955773</v>
      </c>
      <c r="I61" s="18" t="s">
        <v>567</v>
      </c>
      <c r="J61" s="20" t="s">
        <v>567</v>
      </c>
      <c r="K61" s="18" t="n">
        <v>0.3671956</v>
      </c>
      <c r="L61" s="20" t="n">
        <v>0.36045857</v>
      </c>
      <c r="M61" s="18" t="n">
        <v>0</v>
      </c>
      <c r="N61" s="20" t="n">
        <v>0</v>
      </c>
      <c r="O61" s="18" t="n">
        <v>0</v>
      </c>
      <c r="P61" s="20" t="n">
        <v>0</v>
      </c>
      <c r="Q61" s="18" t="n">
        <v>1.0284955</v>
      </c>
      <c r="R61" s="20" t="n">
        <v>0.53256113</v>
      </c>
    </row>
    <row r="62" spans="1:18">
      <c r="A62" s="15" t="s">
        <v>622</v>
      </c>
      <c r="B62" s="17" t="n">
        <v>2246</v>
      </c>
      <c r="C62" s="18">
        <f>(2004.0/B62*100)</f>
        <v/>
      </c>
      <c r="D62" s="19" t="n">
        <v>242</v>
      </c>
      <c r="E62" s="18" t="n">
        <v>17.79377217</v>
      </c>
      <c r="F62" s="20" t="n">
        <v>2.30572539</v>
      </c>
      <c r="G62" s="18" t="n">
        <v>81.79561450999999</v>
      </c>
      <c r="H62" s="20" t="n">
        <v>2.31238323</v>
      </c>
      <c r="I62" s="18" t="s">
        <v>567</v>
      </c>
      <c r="J62" s="20" t="s">
        <v>567</v>
      </c>
      <c r="K62" s="18" t="n">
        <v>0</v>
      </c>
      <c r="L62" s="20" t="n">
        <v>0</v>
      </c>
      <c r="M62" s="18" t="n">
        <v>0</v>
      </c>
      <c r="N62" s="20" t="n">
        <v>0</v>
      </c>
      <c r="O62" s="18" t="n">
        <v>0</v>
      </c>
      <c r="P62" s="20" t="n">
        <v>0</v>
      </c>
      <c r="Q62" s="18" t="n">
        <v>0.41061332</v>
      </c>
      <c r="R62" s="20" t="n">
        <v>0.40761239</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(2604.0/B66*100)</f>
        <v/>
      </c>
      <c r="D66" s="19" t="n">
        <v>290</v>
      </c>
      <c r="E66" s="18" t="n">
        <v>39.29256806</v>
      </c>
      <c r="F66" s="20" t="n">
        <v>2.80267715</v>
      </c>
      <c r="G66" s="18" t="n">
        <v>58.31445523</v>
      </c>
      <c r="H66" s="20" t="n">
        <v>2.70145171</v>
      </c>
      <c r="I66" s="18" t="s">
        <v>567</v>
      </c>
      <c r="J66" s="20" t="s">
        <v>567</v>
      </c>
      <c r="K66" s="18" t="n">
        <v>0</v>
      </c>
      <c r="L66" s="20" t="n">
        <v>0</v>
      </c>
      <c r="M66" s="18" t="n">
        <v>0</v>
      </c>
      <c r="N66" s="20" t="n">
        <v>0</v>
      </c>
      <c r="O66" s="18" t="n">
        <v>0</v>
      </c>
      <c r="P66" s="20" t="n">
        <v>0</v>
      </c>
      <c r="Q66" s="18" t="n">
        <v>2.39297671</v>
      </c>
      <c r="R66" s="20" t="n">
        <v>0.79124493</v>
      </c>
    </row>
    <row r="67" spans="1:18">
      <c r="A67" s="15" t="s">
        <v>627</v>
      </c>
      <c r="B67" s="17" t="n">
        <v>3511</v>
      </c>
      <c r="C67" s="18">
        <f>(3174.0/B67*100)</f>
        <v/>
      </c>
      <c r="D67" s="19" t="n">
        <v>337</v>
      </c>
      <c r="E67" s="18" t="n">
        <v>39.01604464</v>
      </c>
      <c r="F67" s="20" t="n">
        <v>2.6075333</v>
      </c>
      <c r="G67" s="18" t="n">
        <v>58.77360251</v>
      </c>
      <c r="H67" s="20" t="n">
        <v>2.68909514</v>
      </c>
      <c r="I67" s="18" t="s">
        <v>567</v>
      </c>
      <c r="J67" s="20" t="s">
        <v>567</v>
      </c>
      <c r="K67" s="18" t="n">
        <v>0.8668023500000001</v>
      </c>
      <c r="L67" s="20" t="n">
        <v>0.51423938</v>
      </c>
      <c r="M67" s="18" t="n">
        <v>0</v>
      </c>
      <c r="N67" s="20" t="n">
        <v>0</v>
      </c>
      <c r="O67" s="18" t="n">
        <v>0</v>
      </c>
      <c r="P67" s="20" t="n">
        <v>0</v>
      </c>
      <c r="Q67" s="18" t="n">
        <v>1.34355049</v>
      </c>
      <c r="R67" s="20" t="n">
        <v>0.69180179</v>
      </c>
    </row>
    <row r="68" spans="1:18">
      <c r="A68" s="15" t="s">
        <v>628</v>
      </c>
      <c r="B68" s="17" t="n">
        <v>6049</v>
      </c>
      <c r="C68" s="18">
        <f>(5385.0/B68*100)</f>
        <v/>
      </c>
      <c r="D68" s="19" t="n">
        <v>664</v>
      </c>
      <c r="E68" s="18" t="n">
        <v>42.30371724</v>
      </c>
      <c r="F68" s="20" t="n">
        <v>1.91205403</v>
      </c>
      <c r="G68" s="18" t="n">
        <v>50.48609222</v>
      </c>
      <c r="H68" s="20" t="n">
        <v>1.59907469</v>
      </c>
      <c r="I68" s="18" t="s">
        <v>567</v>
      </c>
      <c r="J68" s="20" t="s">
        <v>567</v>
      </c>
      <c r="K68" s="18" t="n">
        <v>5.53824528</v>
      </c>
      <c r="L68" s="20" t="n">
        <v>0.94942932</v>
      </c>
      <c r="M68" s="18" t="n">
        <v>0</v>
      </c>
      <c r="N68" s="20" t="n">
        <v>0</v>
      </c>
      <c r="O68" s="18" t="n">
        <v>0</v>
      </c>
      <c r="P68" s="20" t="n">
        <v>0</v>
      </c>
      <c r="Q68" s="18" t="n">
        <v>1.67194526</v>
      </c>
      <c r="R68" s="20" t="n">
        <v>0.41548805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(2619.0/B70*100)</f>
        <v/>
      </c>
      <c r="D70" s="19" t="n">
        <v>310</v>
      </c>
      <c r="E70" s="18" t="n">
        <v>26.10843291</v>
      </c>
      <c r="F70" s="20" t="n">
        <v>2.85296377</v>
      </c>
      <c r="G70" s="18" t="n">
        <v>72.07960749</v>
      </c>
      <c r="H70" s="20" t="n">
        <v>2.91665706</v>
      </c>
      <c r="I70" s="18" t="s">
        <v>567</v>
      </c>
      <c r="J70" s="20" t="s">
        <v>567</v>
      </c>
      <c r="K70" s="18" t="n">
        <v>0.81987804</v>
      </c>
      <c r="L70" s="20" t="n">
        <v>0.45027304</v>
      </c>
      <c r="M70" s="18" t="n">
        <v>0</v>
      </c>
      <c r="N70" s="20" t="n">
        <v>0</v>
      </c>
      <c r="O70" s="18" t="n">
        <v>0</v>
      </c>
      <c r="P70" s="20" t="n">
        <v>0</v>
      </c>
      <c r="Q70" s="18" t="n">
        <v>0.99208156</v>
      </c>
      <c r="R70" s="20" t="n">
        <v>0.57441503</v>
      </c>
    </row>
    <row r="71" spans="1:18">
      <c r="A71" s="15" t="s">
        <v>631</v>
      </c>
      <c r="B71" s="17" t="n">
        <v>3142</v>
      </c>
      <c r="C71" s="18">
        <f>(2804.0/B71*100)</f>
        <v/>
      </c>
      <c r="D71" s="19" t="n">
        <v>338</v>
      </c>
      <c r="E71" s="18" t="n">
        <v>19.1433034</v>
      </c>
      <c r="F71" s="20" t="n">
        <v>2.25320356</v>
      </c>
      <c r="G71" s="18" t="n">
        <v>80.70131735</v>
      </c>
      <c r="H71" s="20" t="n">
        <v>2.2556546</v>
      </c>
      <c r="I71" s="18" t="s">
        <v>567</v>
      </c>
      <c r="J71" s="20" t="s">
        <v>567</v>
      </c>
      <c r="K71" s="18" t="n">
        <v>0.15537925</v>
      </c>
      <c r="L71" s="20" t="n">
        <v>0.1553932</v>
      </c>
      <c r="M71" s="18" t="n">
        <v>0</v>
      </c>
      <c r="N71" s="20" t="n">
        <v>0</v>
      </c>
      <c r="O71" s="18" t="n">
        <v>0</v>
      </c>
      <c r="P71" s="20" t="n">
        <v>0</v>
      </c>
      <c r="Q71" s="18" t="n">
        <v>0</v>
      </c>
      <c r="R71" s="20" t="n">
        <v>0</v>
      </c>
    </row>
    <row r="72" spans="1:18">
      <c r="A72" s="15" t="s">
        <v>632</v>
      </c>
      <c r="B72" s="17" t="n">
        <v>3889</v>
      </c>
      <c r="C72" s="18">
        <f>(3450.0/B72*100)</f>
        <v/>
      </c>
      <c r="D72" s="19" t="n">
        <v>439</v>
      </c>
      <c r="E72" s="18" t="n">
        <v>21.98395474</v>
      </c>
      <c r="F72" s="20" t="n">
        <v>2.09825479</v>
      </c>
      <c r="G72" s="18" t="n">
        <v>77.55027422000001</v>
      </c>
      <c r="H72" s="20" t="n">
        <v>2.11457447</v>
      </c>
      <c r="I72" s="18" t="s">
        <v>567</v>
      </c>
      <c r="J72" s="20" t="s">
        <v>567</v>
      </c>
      <c r="K72" s="18" t="n">
        <v>0.30182822</v>
      </c>
      <c r="L72" s="20" t="n">
        <v>0.30316407</v>
      </c>
      <c r="M72" s="18" t="n">
        <v>0</v>
      </c>
      <c r="N72" s="20" t="n">
        <v>0</v>
      </c>
      <c r="O72" s="18" t="n">
        <v>0</v>
      </c>
      <c r="P72" s="20" t="n">
        <v>0</v>
      </c>
      <c r="Q72" s="18" t="n">
        <v>0.16394281</v>
      </c>
      <c r="R72" s="20" t="n">
        <v>0.16690381</v>
      </c>
    </row>
    <row r="73" spans="1:18">
      <c r="A73" s="15" t="s">
        <v>633</v>
      </c>
      <c r="B73" s="17" t="n">
        <v>3597</v>
      </c>
      <c r="C73" s="18">
        <f>(3248.0/B73*100)</f>
        <v/>
      </c>
      <c r="D73" s="19" t="n">
        <v>349</v>
      </c>
      <c r="E73" s="18" t="n">
        <v>49.71951709</v>
      </c>
      <c r="F73" s="20" t="n">
        <v>3.14635401</v>
      </c>
      <c r="G73" s="18" t="n">
        <v>50.28048291</v>
      </c>
      <c r="H73" s="20" t="n">
        <v>3.14635401</v>
      </c>
      <c r="I73" s="18" t="s">
        <v>567</v>
      </c>
      <c r="J73" s="20" t="s">
        <v>567</v>
      </c>
      <c r="K73" s="18" t="n">
        <v>0</v>
      </c>
      <c r="L73" s="20" t="n">
        <v>0</v>
      </c>
      <c r="M73" s="18" t="n">
        <v>0</v>
      </c>
      <c r="N73" s="20" t="n">
        <v>0</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(2181.0/B75*100)</f>
        <v/>
      </c>
      <c r="D75" s="19" t="n">
        <v>225</v>
      </c>
      <c r="E75" s="18" t="n">
        <v>49.14977908</v>
      </c>
      <c r="F75" s="20" t="n">
        <v>3.20715069</v>
      </c>
      <c r="G75" s="18" t="n">
        <v>42.85071686</v>
      </c>
      <c r="H75" s="20" t="n">
        <v>2.84838918</v>
      </c>
      <c r="I75" s="18" t="s">
        <v>567</v>
      </c>
      <c r="J75" s="20" t="s">
        <v>567</v>
      </c>
      <c r="K75" s="18" t="n">
        <v>4.49990435</v>
      </c>
      <c r="L75" s="20" t="n">
        <v>1.55875964</v>
      </c>
      <c r="M75" s="18" t="n">
        <v>0</v>
      </c>
      <c r="N75" s="20" t="n">
        <v>0</v>
      </c>
      <c r="O75" s="18" t="n">
        <v>0</v>
      </c>
      <c r="P75" s="20" t="n">
        <v>0</v>
      </c>
      <c r="Q75" s="18" t="n">
        <v>3.4995997</v>
      </c>
      <c r="R75" s="20" t="n">
        <v>1.69177521</v>
      </c>
    </row>
    <row r="76" spans="1:18">
      <c r="A76" s="15" t="s">
        <v>636</v>
      </c>
      <c r="B76" s="17" t="n">
        <v>7052</v>
      </c>
      <c r="C76" s="18">
        <f>(6267.0/B76*100)</f>
        <v/>
      </c>
      <c r="D76" s="19" t="n">
        <v>785</v>
      </c>
      <c r="E76" s="18" t="n">
        <v>41.13422671</v>
      </c>
      <c r="F76" s="20" t="n">
        <v>2.275698</v>
      </c>
      <c r="G76" s="18" t="n">
        <v>55.82901968</v>
      </c>
      <c r="H76" s="20" t="n">
        <v>2.33573721</v>
      </c>
      <c r="I76" s="18" t="s">
        <v>567</v>
      </c>
      <c r="J76" s="20" t="s">
        <v>567</v>
      </c>
      <c r="K76" s="18" t="n">
        <v>2.2454346</v>
      </c>
      <c r="L76" s="20" t="n">
        <v>0.70428725</v>
      </c>
      <c r="M76" s="18" t="n">
        <v>0</v>
      </c>
      <c r="N76" s="20" t="n">
        <v>0</v>
      </c>
      <c r="O76" s="18" t="n">
        <v>0</v>
      </c>
      <c r="P76" s="20" t="n">
        <v>0</v>
      </c>
      <c r="Q76" s="18" t="n">
        <v>0.79131902</v>
      </c>
      <c r="R76" s="20" t="n">
        <v>0.31553083</v>
      </c>
    </row>
    <row r="77" spans="1:18">
      <c r="A77" s="15" t="s">
        <v>637</v>
      </c>
      <c r="B77" s="17" t="n">
        <v>2908</v>
      </c>
      <c r="C77" s="18">
        <f>(2605.0/B77*100)</f>
        <v/>
      </c>
      <c r="D77" s="19" t="n">
        <v>303</v>
      </c>
      <c r="E77" s="18" t="n">
        <v>35.76023345</v>
      </c>
      <c r="F77" s="20" t="n">
        <v>2.91279885</v>
      </c>
      <c r="G77" s="18" t="n">
        <v>60.74059842</v>
      </c>
      <c r="H77" s="20" t="n">
        <v>3.39307097</v>
      </c>
      <c r="I77" s="18" t="s">
        <v>567</v>
      </c>
      <c r="J77" s="20" t="s">
        <v>567</v>
      </c>
      <c r="K77" s="18" t="n">
        <v>2.28263453</v>
      </c>
      <c r="L77" s="20" t="n">
        <v>0.9134538800000001</v>
      </c>
      <c r="M77" s="18" t="n">
        <v>0</v>
      </c>
      <c r="N77" s="20" t="n">
        <v>0</v>
      </c>
      <c r="O77" s="18" t="n">
        <v>0</v>
      </c>
      <c r="P77" s="20" t="n">
        <v>0</v>
      </c>
      <c r="Q77" s="18" t="n">
        <v>1.2165336</v>
      </c>
      <c r="R77" s="20" t="n">
        <v>0.60732319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(3732.0/B81*100)</f>
        <v/>
      </c>
      <c r="D81" s="19" t="n">
        <v>431</v>
      </c>
      <c r="E81" s="18" t="n">
        <v>39.49502673</v>
      </c>
      <c r="F81" s="20" t="n">
        <v>2.77563565</v>
      </c>
      <c r="G81" s="18" t="n">
        <v>59.81801094</v>
      </c>
      <c r="H81" s="20" t="n">
        <v>2.72379397</v>
      </c>
      <c r="I81" s="18" t="s">
        <v>567</v>
      </c>
      <c r="J81" s="20" t="s">
        <v>567</v>
      </c>
      <c r="K81" s="18" t="n">
        <v>0.6753567700000001</v>
      </c>
      <c r="L81" s="20" t="n">
        <v>0.48756698</v>
      </c>
      <c r="M81" s="18" t="n">
        <v>0</v>
      </c>
      <c r="N81" s="20" t="n">
        <v>0</v>
      </c>
      <c r="O81" s="18" t="n">
        <v>0</v>
      </c>
      <c r="P81" s="20" t="n">
        <v>0</v>
      </c>
      <c r="Q81" s="18" t="n">
        <v>0.01160556</v>
      </c>
      <c r="R81" s="20" t="n">
        <v>0.0115941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(6579.0/B7*100)</f>
        <v/>
      </c>
      <c r="D7" s="19" t="n">
        <v>788</v>
      </c>
      <c r="E7" s="18" t="n">
        <v>42.92346153</v>
      </c>
      <c r="F7" s="20" t="n">
        <v>2.25142086</v>
      </c>
      <c r="G7" s="18" t="n">
        <v>55.85338049</v>
      </c>
      <c r="H7" s="20" t="n">
        <v>2.18953026</v>
      </c>
      <c r="I7" s="18" t="s">
        <v>567</v>
      </c>
      <c r="J7" s="20" t="s">
        <v>567</v>
      </c>
      <c r="K7" s="18" t="n">
        <v>1.22315799</v>
      </c>
      <c r="L7" s="20" t="n">
        <v>0.36371776</v>
      </c>
      <c r="M7" s="18" t="n">
        <v>0</v>
      </c>
      <c r="N7" s="20" t="n">
        <v>0</v>
      </c>
      <c r="O7" s="18" t="n">
        <v>0</v>
      </c>
      <c r="P7" s="20" t="n">
        <v>0</v>
      </c>
      <c r="Q7" s="18" t="n">
        <v>0</v>
      </c>
      <c r="R7" s="20" t="n">
        <v>0</v>
      </c>
    </row>
    <row r="8" spans="1:18">
      <c r="A8" s="15" t="s">
        <v>568</v>
      </c>
      <c r="B8" s="17" t="n">
        <v>3564</v>
      </c>
      <c r="C8" s="18">
        <f>(3159.0/B8*100)</f>
        <v/>
      </c>
      <c r="D8" s="19" t="n">
        <v>405</v>
      </c>
      <c r="E8" s="18" t="n">
        <v>47.82772877</v>
      </c>
      <c r="F8" s="20" t="n">
        <v>3.02162633</v>
      </c>
      <c r="G8" s="18" t="n">
        <v>50.58532196</v>
      </c>
      <c r="H8" s="20" t="n">
        <v>3.06334832</v>
      </c>
      <c r="I8" s="18" t="s">
        <v>567</v>
      </c>
      <c r="J8" s="20" t="s">
        <v>567</v>
      </c>
      <c r="K8" s="18" t="n">
        <v>1.13474165</v>
      </c>
      <c r="L8" s="20" t="n">
        <v>0.67115062</v>
      </c>
      <c r="M8" s="18" t="n">
        <v>0</v>
      </c>
      <c r="N8" s="20" t="n">
        <v>0</v>
      </c>
      <c r="O8" s="18" t="n">
        <v>0</v>
      </c>
      <c r="P8" s="20" t="n">
        <v>0</v>
      </c>
      <c r="Q8" s="18" t="n">
        <v>0.45220763</v>
      </c>
      <c r="R8" s="20" t="n">
        <v>0.44965204</v>
      </c>
    </row>
    <row r="9" spans="1:18">
      <c r="A9" s="15" t="s">
        <v>569</v>
      </c>
      <c r="B9" s="17" t="n">
        <v>4899</v>
      </c>
      <c r="C9" s="18">
        <f>(4277.0/B9*100)</f>
        <v/>
      </c>
      <c r="D9" s="19" t="n">
        <v>622</v>
      </c>
      <c r="E9" s="18" t="n">
        <v>42.81257256</v>
      </c>
      <c r="F9" s="20" t="n">
        <v>2.42030641</v>
      </c>
      <c r="G9" s="18" t="n">
        <v>56.13043888</v>
      </c>
      <c r="H9" s="20" t="n">
        <v>2.5110544</v>
      </c>
      <c r="I9" s="18" t="s">
        <v>567</v>
      </c>
      <c r="J9" s="20" t="s">
        <v>567</v>
      </c>
      <c r="K9" s="18" t="n">
        <v>1.05698856</v>
      </c>
      <c r="L9" s="20" t="n">
        <v>0.43651816</v>
      </c>
      <c r="M9" s="18" t="n">
        <v>0</v>
      </c>
      <c r="N9" s="20" t="n">
        <v>0</v>
      </c>
      <c r="O9" s="18" t="n">
        <v>0</v>
      </c>
      <c r="P9" s="20" t="n">
        <v>0</v>
      </c>
      <c r="Q9" s="18" t="n">
        <v>0</v>
      </c>
      <c r="R9" s="20" t="n">
        <v>0</v>
      </c>
    </row>
    <row r="10" spans="1:18">
      <c r="A10" s="15" t="s">
        <v>570</v>
      </c>
      <c r="B10" s="17" t="n">
        <v>10036</v>
      </c>
      <c r="C10" s="18">
        <f>(8971.0/B10*100)</f>
        <v/>
      </c>
      <c r="D10" s="19" t="n">
        <v>1065</v>
      </c>
      <c r="E10" s="18" t="n">
        <v>39.46792843</v>
      </c>
      <c r="F10" s="20" t="n">
        <v>2.14697667</v>
      </c>
      <c r="G10" s="18" t="n">
        <v>59.3087495</v>
      </c>
      <c r="H10" s="20" t="n">
        <v>2.07926111</v>
      </c>
      <c r="I10" s="18" t="s">
        <v>567</v>
      </c>
      <c r="J10" s="20" t="s">
        <v>567</v>
      </c>
      <c r="K10" s="18" t="n">
        <v>1.22332207</v>
      </c>
      <c r="L10" s="20" t="n">
        <v>0.455091</v>
      </c>
      <c r="M10" s="18" t="n">
        <v>0</v>
      </c>
      <c r="N10" s="20" t="n">
        <v>0</v>
      </c>
      <c r="O10" s="18" t="n">
        <v>0</v>
      </c>
      <c r="P10" s="20" t="n">
        <v>0</v>
      </c>
      <c r="Q10" s="18" t="n">
        <v>0</v>
      </c>
      <c r="R10" s="20" t="n">
        <v>0</v>
      </c>
    </row>
    <row r="11" spans="1:18">
      <c r="A11" s="15" t="s">
        <v>571</v>
      </c>
      <c r="B11" s="17" t="n">
        <v>3553</v>
      </c>
      <c r="C11" s="18">
        <f>(3179.0/B11*100)</f>
        <v/>
      </c>
      <c r="D11" s="19" t="n">
        <v>374</v>
      </c>
      <c r="E11" s="18" t="n">
        <v>42.5166257</v>
      </c>
      <c r="F11" s="20" t="n">
        <v>2.96804261</v>
      </c>
      <c r="G11" s="18" t="n">
        <v>55.19070978</v>
      </c>
      <c r="H11" s="20" t="n">
        <v>2.92058648</v>
      </c>
      <c r="I11" s="18" t="s">
        <v>567</v>
      </c>
      <c r="J11" s="20" t="s">
        <v>567</v>
      </c>
      <c r="K11" s="18" t="n">
        <v>2.29266452</v>
      </c>
      <c r="L11" s="20" t="n">
        <v>0.90669756</v>
      </c>
      <c r="M11" s="18" t="n">
        <v>0</v>
      </c>
      <c r="N11" s="20" t="n">
        <v>0</v>
      </c>
      <c r="O11" s="18" t="n">
        <v>0</v>
      </c>
      <c r="P11" s="20" t="n">
        <v>0</v>
      </c>
      <c r="Q11" s="18" t="n">
        <v>0</v>
      </c>
      <c r="R11" s="20" t="n">
        <v>0</v>
      </c>
    </row>
    <row r="12" spans="1:18">
      <c r="A12" s="15" t="s">
        <v>572</v>
      </c>
      <c r="B12" s="17" t="n">
        <v>3472</v>
      </c>
      <c r="C12" s="18">
        <f>(3059.0/B12*100)</f>
        <v/>
      </c>
      <c r="D12" s="19" t="n">
        <v>413</v>
      </c>
      <c r="E12" s="18" t="n">
        <v>53.95625311</v>
      </c>
      <c r="F12" s="20" t="n">
        <v>3.07102177</v>
      </c>
      <c r="G12" s="18" t="n">
        <v>44.88328636</v>
      </c>
      <c r="H12" s="20" t="n">
        <v>3.09552027</v>
      </c>
      <c r="I12" s="18" t="s">
        <v>567</v>
      </c>
      <c r="J12" s="20" t="s">
        <v>567</v>
      </c>
      <c r="K12" s="18" t="n">
        <v>0.72273948</v>
      </c>
      <c r="L12" s="20" t="n">
        <v>0.36674145</v>
      </c>
      <c r="M12" s="18" t="n">
        <v>0</v>
      </c>
      <c r="N12" s="20" t="n">
        <v>0</v>
      </c>
      <c r="O12" s="18" t="n">
        <v>0</v>
      </c>
      <c r="P12" s="20" t="n">
        <v>0</v>
      </c>
      <c r="Q12" s="18" t="n">
        <v>0.43772105</v>
      </c>
      <c r="R12" s="20" t="n">
        <v>0.48494802</v>
      </c>
    </row>
    <row r="13" spans="1:18">
      <c r="A13" s="15" t="s">
        <v>573</v>
      </c>
      <c r="B13" s="17" t="n">
        <v>3559</v>
      </c>
      <c r="C13" s="18">
        <f>(3001.0/B13*100)</f>
        <v/>
      </c>
      <c r="D13" s="19" t="n">
        <v>558</v>
      </c>
      <c r="E13" s="18" t="n">
        <v>39.24300437</v>
      </c>
      <c r="F13" s="20" t="n">
        <v>2.8016558</v>
      </c>
      <c r="G13" s="18" t="n">
        <v>59.49127244</v>
      </c>
      <c r="H13" s="20" t="n">
        <v>2.80812058</v>
      </c>
      <c r="I13" s="18" t="s">
        <v>567</v>
      </c>
      <c r="J13" s="20" t="s">
        <v>567</v>
      </c>
      <c r="K13" s="18" t="n">
        <v>1.0338679</v>
      </c>
      <c r="L13" s="20" t="n">
        <v>0.46117217</v>
      </c>
      <c r="M13" s="18" t="n">
        <v>0</v>
      </c>
      <c r="N13" s="20" t="n">
        <v>0</v>
      </c>
      <c r="O13" s="18" t="n">
        <v>0</v>
      </c>
      <c r="P13" s="20" t="n">
        <v>0</v>
      </c>
      <c r="Q13" s="18" t="n">
        <v>0.23185528</v>
      </c>
      <c r="R13" s="20" t="n">
        <v>0.22007626</v>
      </c>
    </row>
    <row r="14" spans="1:18">
      <c r="A14" s="15" t="s">
        <v>574</v>
      </c>
      <c r="B14" s="17" t="n">
        <v>2799</v>
      </c>
      <c r="C14" s="18">
        <f>(2537.0/B14*100)</f>
        <v/>
      </c>
      <c r="D14" s="19" t="n">
        <v>262</v>
      </c>
      <c r="E14" s="18" t="n">
        <v>28.84752302</v>
      </c>
      <c r="F14" s="20" t="n">
        <v>2.71041999</v>
      </c>
      <c r="G14" s="18" t="n">
        <v>69.40614072</v>
      </c>
      <c r="H14" s="20" t="n">
        <v>2.98200425</v>
      </c>
      <c r="I14" s="18" t="s">
        <v>567</v>
      </c>
      <c r="J14" s="20" t="s">
        <v>567</v>
      </c>
      <c r="K14" s="18" t="n">
        <v>1.74633626</v>
      </c>
      <c r="L14" s="20" t="n">
        <v>0.98301147</v>
      </c>
      <c r="M14" s="18" t="n">
        <v>0</v>
      </c>
      <c r="N14" s="20" t="n">
        <v>0</v>
      </c>
      <c r="O14" s="18" t="n">
        <v>0</v>
      </c>
      <c r="P14" s="20" t="n">
        <v>0</v>
      </c>
      <c r="Q14" s="18" t="n">
        <v>0</v>
      </c>
      <c r="R14" s="20" t="n">
        <v>0</v>
      </c>
    </row>
    <row r="15" spans="1:18">
      <c r="A15" s="15" t="s">
        <v>575</v>
      </c>
      <c r="B15" s="17" t="n">
        <v>3019</v>
      </c>
      <c r="C15" s="18">
        <f>(2647.0/B15*100)</f>
        <v/>
      </c>
      <c r="D15" s="19" t="n">
        <v>372</v>
      </c>
      <c r="E15" s="18" t="n">
        <v>35.00939316</v>
      </c>
      <c r="F15" s="20" t="n">
        <v>2.39612635</v>
      </c>
      <c r="G15" s="18" t="n">
        <v>63.74818093</v>
      </c>
      <c r="H15" s="20" t="n">
        <v>2.79550013</v>
      </c>
      <c r="I15" s="18" t="s">
        <v>567</v>
      </c>
      <c r="J15" s="20" t="s">
        <v>567</v>
      </c>
      <c r="K15" s="18" t="n">
        <v>0.23194431</v>
      </c>
      <c r="L15" s="20" t="n">
        <v>0.23232952</v>
      </c>
      <c r="M15" s="18" t="n">
        <v>0</v>
      </c>
      <c r="N15" s="20" t="n">
        <v>0</v>
      </c>
      <c r="O15" s="18" t="n">
        <v>0</v>
      </c>
      <c r="P15" s="20" t="n">
        <v>0</v>
      </c>
      <c r="Q15" s="18" t="n">
        <v>1.0104816</v>
      </c>
      <c r="R15" s="20" t="n">
        <v>0.94226495</v>
      </c>
    </row>
    <row r="16" spans="1:18">
      <c r="A16" s="15" t="s">
        <v>576</v>
      </c>
      <c r="B16" s="17" t="n">
        <v>2997</v>
      </c>
      <c r="C16" s="18">
        <f>(2671.0/B16*100)</f>
        <v/>
      </c>
      <c r="D16" s="19" t="n">
        <v>326</v>
      </c>
      <c r="E16" s="18" t="n">
        <v>35.70132284</v>
      </c>
      <c r="F16" s="20" t="n">
        <v>2.73299566</v>
      </c>
      <c r="G16" s="18" t="n">
        <v>61.98643667</v>
      </c>
      <c r="H16" s="20" t="n">
        <v>2.6687642</v>
      </c>
      <c r="I16" s="18" t="s">
        <v>567</v>
      </c>
      <c r="J16" s="20" t="s">
        <v>567</v>
      </c>
      <c r="K16" s="18" t="n">
        <v>2.31224049</v>
      </c>
      <c r="L16" s="20" t="n">
        <v>0.9514541399999999</v>
      </c>
      <c r="M16" s="18" t="n">
        <v>0</v>
      </c>
      <c r="N16" s="20" t="n">
        <v>0</v>
      </c>
      <c r="O16" s="18" t="n">
        <v>0</v>
      </c>
      <c r="P16" s="20" t="n">
        <v>0</v>
      </c>
      <c r="Q16" s="18" t="n">
        <v>0</v>
      </c>
      <c r="R16" s="20" t="n">
        <v>0</v>
      </c>
    </row>
    <row r="17" spans="1:18">
      <c r="A17" s="15" t="s">
        <v>577</v>
      </c>
      <c r="B17" s="17" t="n">
        <v>3307</v>
      </c>
      <c r="C17" s="18">
        <f>(2899.0/B17*100)</f>
        <v/>
      </c>
      <c r="D17" s="19" t="n">
        <v>408</v>
      </c>
      <c r="E17" s="18" t="n">
        <v>51.89176526</v>
      </c>
      <c r="F17" s="20" t="n">
        <v>2.87099073</v>
      </c>
      <c r="G17" s="18" t="n">
        <v>44.14791366</v>
      </c>
      <c r="H17" s="20" t="n">
        <v>2.80621262</v>
      </c>
      <c r="I17" s="18" t="s">
        <v>567</v>
      </c>
      <c r="J17" s="20" t="s">
        <v>567</v>
      </c>
      <c r="K17" s="18" t="n">
        <v>2.28869054</v>
      </c>
      <c r="L17" s="20" t="n">
        <v>0.80813851</v>
      </c>
      <c r="M17" s="18" t="n">
        <v>0</v>
      </c>
      <c r="N17" s="20" t="n">
        <v>0</v>
      </c>
      <c r="O17" s="18" t="n">
        <v>0</v>
      </c>
      <c r="P17" s="20" t="n">
        <v>0</v>
      </c>
      <c r="Q17" s="18" t="n">
        <v>1.67163054</v>
      </c>
      <c r="R17" s="20" t="n">
        <v>0.65754464</v>
      </c>
    </row>
    <row r="18" spans="1:18">
      <c r="A18" s="15" t="s">
        <v>578</v>
      </c>
      <c r="B18" s="17" t="n">
        <v>2826</v>
      </c>
      <c r="C18" s="18">
        <f>(2503.0/B18*100)</f>
        <v/>
      </c>
      <c r="D18" s="19" t="n">
        <v>323</v>
      </c>
      <c r="E18" s="18" t="n">
        <v>47.07033878</v>
      </c>
      <c r="F18" s="20" t="n">
        <v>3.74326351</v>
      </c>
      <c r="G18" s="18" t="n">
        <v>51.71352728</v>
      </c>
      <c r="H18" s="20" t="n">
        <v>3.68406817</v>
      </c>
      <c r="I18" s="18" t="s">
        <v>567</v>
      </c>
      <c r="J18" s="20" t="s">
        <v>567</v>
      </c>
      <c r="K18" s="18" t="n">
        <v>1.21613394</v>
      </c>
      <c r="L18" s="20" t="n">
        <v>0.75189439</v>
      </c>
      <c r="M18" s="18" t="n">
        <v>0</v>
      </c>
      <c r="N18" s="20" t="n">
        <v>0</v>
      </c>
      <c r="O18" s="18" t="n">
        <v>0</v>
      </c>
      <c r="P18" s="20" t="n">
        <v>0</v>
      </c>
      <c r="Q18" s="18" t="n">
        <v>0</v>
      </c>
      <c r="R18" s="20" t="n">
        <v>0</v>
      </c>
    </row>
    <row r="19" spans="1:18">
      <c r="A19" s="15" t="s">
        <v>579</v>
      </c>
      <c r="B19" s="17" t="n">
        <v>2808</v>
      </c>
      <c r="C19" s="18">
        <f>(2487.0/B19*100)</f>
        <v/>
      </c>
      <c r="D19" s="19" t="n">
        <v>321</v>
      </c>
      <c r="E19" s="18" t="n">
        <v>46.05529576</v>
      </c>
      <c r="F19" s="20" t="n">
        <v>3.05729388</v>
      </c>
      <c r="G19" s="18" t="n">
        <v>53.67400327</v>
      </c>
      <c r="H19" s="20" t="n">
        <v>3.01298585</v>
      </c>
      <c r="I19" s="18" t="s">
        <v>567</v>
      </c>
      <c r="J19" s="20" t="s">
        <v>567</v>
      </c>
      <c r="K19" s="18" t="n">
        <v>0.27070097</v>
      </c>
      <c r="L19" s="20" t="n">
        <v>0.26699777</v>
      </c>
      <c r="M19" s="18" t="n">
        <v>0</v>
      </c>
      <c r="N19" s="20" t="n">
        <v>0</v>
      </c>
      <c r="O19" s="18" t="n">
        <v>0</v>
      </c>
      <c r="P19" s="20" t="n">
        <v>0</v>
      </c>
      <c r="Q19" s="18" t="n">
        <v>0</v>
      </c>
      <c r="R19" s="20" t="n">
        <v>0</v>
      </c>
    </row>
    <row r="20" spans="1:18">
      <c r="A20" s="15" t="s">
        <v>580</v>
      </c>
      <c r="B20" s="17" t="n">
        <v>1630</v>
      </c>
      <c r="C20" s="18">
        <f>(1470.0/B20*100)</f>
        <v/>
      </c>
      <c r="D20" s="19" t="n">
        <v>160</v>
      </c>
      <c r="E20" s="18" t="n">
        <v>51.23732844</v>
      </c>
      <c r="F20" s="20" t="n">
        <v>3.45526356</v>
      </c>
      <c r="G20" s="18" t="n">
        <v>46.17070209</v>
      </c>
      <c r="H20" s="20" t="n">
        <v>3.47530824</v>
      </c>
      <c r="I20" s="18" t="s">
        <v>567</v>
      </c>
      <c r="J20" s="20" t="s">
        <v>567</v>
      </c>
      <c r="K20" s="18" t="n">
        <v>2.59196947</v>
      </c>
      <c r="L20" s="20" t="n">
        <v>1.41743937</v>
      </c>
      <c r="M20" s="18" t="n">
        <v>0</v>
      </c>
      <c r="N20" s="20" t="n">
        <v>0</v>
      </c>
      <c r="O20" s="18" t="n">
        <v>0</v>
      </c>
      <c r="P20" s="20" t="n">
        <v>0</v>
      </c>
      <c r="Q20" s="18" t="n">
        <v>0</v>
      </c>
      <c r="R20" s="20" t="n">
        <v>0</v>
      </c>
    </row>
    <row r="21" spans="1:18">
      <c r="A21" s="15" t="s">
        <v>581</v>
      </c>
      <c r="B21" s="17" t="n">
        <v>2908</v>
      </c>
      <c r="C21" s="18">
        <f>(2599.0/B21*100)</f>
        <v/>
      </c>
      <c r="D21" s="19" t="n">
        <v>309</v>
      </c>
      <c r="E21" s="18" t="n">
        <v>44.53232015</v>
      </c>
      <c r="F21" s="20" t="n">
        <v>2.4897377</v>
      </c>
      <c r="G21" s="18" t="n">
        <v>54.74251457</v>
      </c>
      <c r="H21" s="20" t="n">
        <v>2.59352831</v>
      </c>
      <c r="I21" s="18" t="s">
        <v>567</v>
      </c>
      <c r="J21" s="20" t="s">
        <v>567</v>
      </c>
      <c r="K21" s="18" t="n">
        <v>0.72516527</v>
      </c>
      <c r="L21" s="20" t="n">
        <v>0.5019472699999999</v>
      </c>
      <c r="M21" s="18" t="n">
        <v>0</v>
      </c>
      <c r="N21" s="20" t="n">
        <v>0</v>
      </c>
      <c r="O21" s="18" t="n">
        <v>0</v>
      </c>
      <c r="P21" s="20" t="n">
        <v>0</v>
      </c>
      <c r="Q21" s="18" t="n">
        <v>0</v>
      </c>
      <c r="R21" s="20" t="n">
        <v>0</v>
      </c>
    </row>
    <row r="22" spans="1:18">
      <c r="A22" s="15" t="s">
        <v>582</v>
      </c>
      <c r="B22" s="17" t="n">
        <v>2931</v>
      </c>
      <c r="C22" s="18">
        <f>(2622.0/B22*100)</f>
        <v/>
      </c>
      <c r="D22" s="19" t="n">
        <v>309</v>
      </c>
      <c r="E22" s="18" t="n">
        <v>48.45405232</v>
      </c>
      <c r="F22" s="20" t="n">
        <v>3.0242794</v>
      </c>
      <c r="G22" s="18" t="n">
        <v>50.03027277</v>
      </c>
      <c r="H22" s="20" t="n">
        <v>3.05808479</v>
      </c>
      <c r="I22" s="18" t="s">
        <v>567</v>
      </c>
      <c r="J22" s="20" t="s">
        <v>567</v>
      </c>
      <c r="K22" s="18" t="n">
        <v>1.51567491</v>
      </c>
      <c r="L22" s="20" t="n">
        <v>0.66707015</v>
      </c>
      <c r="M22" s="18" t="n">
        <v>0</v>
      </c>
      <c r="N22" s="20" t="n">
        <v>0</v>
      </c>
      <c r="O22" s="18" t="n">
        <v>0</v>
      </c>
      <c r="P22" s="20" t="n">
        <v>0</v>
      </c>
      <c r="Q22" s="18" t="n">
        <v>0</v>
      </c>
      <c r="R22" s="20" t="n">
        <v>0</v>
      </c>
    </row>
    <row r="23" spans="1:18">
      <c r="A23" s="15" t="s">
        <v>583</v>
      </c>
      <c r="B23" s="17" t="n">
        <v>5791</v>
      </c>
      <c r="C23" s="18">
        <f>(5146.0/B23*100)</f>
        <v/>
      </c>
      <c r="D23" s="19" t="n">
        <v>645</v>
      </c>
      <c r="E23" s="18" t="n">
        <v>37.22189918</v>
      </c>
      <c r="F23" s="20" t="n">
        <v>2.84648064</v>
      </c>
      <c r="G23" s="18" t="n">
        <v>60.84074904</v>
      </c>
      <c r="H23" s="20" t="n">
        <v>3.19254286</v>
      </c>
      <c r="I23" s="18" t="s">
        <v>567</v>
      </c>
      <c r="J23" s="20" t="s">
        <v>567</v>
      </c>
      <c r="K23" s="18" t="n">
        <v>1.93735177</v>
      </c>
      <c r="L23" s="20" t="n">
        <v>0.97769854</v>
      </c>
      <c r="M23" s="18" t="n">
        <v>0</v>
      </c>
      <c r="N23" s="20" t="n">
        <v>0</v>
      </c>
      <c r="O23" s="18" t="n">
        <v>0</v>
      </c>
      <c r="P23" s="20" t="n">
        <v>0</v>
      </c>
      <c r="Q23" s="18" t="n">
        <v>0</v>
      </c>
      <c r="R23" s="20" t="n">
        <v>0</v>
      </c>
    </row>
    <row r="24" spans="1:18">
      <c r="A24" s="15" t="s">
        <v>584</v>
      </c>
      <c r="B24" s="17" t="n">
        <v>3338</v>
      </c>
      <c r="C24" s="18">
        <f>(2977.0/B24*100)</f>
        <v/>
      </c>
      <c r="D24" s="19" t="n">
        <v>361</v>
      </c>
      <c r="E24" s="18" t="n">
        <v>22.37767049</v>
      </c>
      <c r="F24" s="20" t="n">
        <v>1.96703378</v>
      </c>
      <c r="G24" s="18" t="n">
        <v>77.11641545000001</v>
      </c>
      <c r="H24" s="20" t="n">
        <v>1.89823188</v>
      </c>
      <c r="I24" s="18" t="s">
        <v>567</v>
      </c>
      <c r="J24" s="20" t="s">
        <v>567</v>
      </c>
      <c r="K24" s="18" t="n">
        <v>0.5059140600000001</v>
      </c>
      <c r="L24" s="20" t="n">
        <v>0.35422901</v>
      </c>
      <c r="M24" s="18" t="n">
        <v>0</v>
      </c>
      <c r="N24" s="20" t="n">
        <v>0</v>
      </c>
      <c r="O24" s="18" t="n">
        <v>0</v>
      </c>
      <c r="P24" s="20" t="n">
        <v>0</v>
      </c>
      <c r="Q24" s="18" t="n">
        <v>0</v>
      </c>
      <c r="R24" s="20" t="n">
        <v>0</v>
      </c>
    </row>
    <row r="25" spans="1:18">
      <c r="A25" s="15" t="s">
        <v>585</v>
      </c>
      <c r="B25" s="17" t="n">
        <v>2912</v>
      </c>
      <c r="C25" s="18">
        <f>(2561.0/B25*100)</f>
        <v/>
      </c>
      <c r="D25" s="19" t="n">
        <v>351</v>
      </c>
      <c r="E25" s="18" t="n">
        <v>23.22122783</v>
      </c>
      <c r="F25" s="20" t="n">
        <v>2.1945228</v>
      </c>
      <c r="G25" s="18" t="n">
        <v>75.08224943</v>
      </c>
      <c r="H25" s="20" t="n">
        <v>2.38673907</v>
      </c>
      <c r="I25" s="18" t="s">
        <v>567</v>
      </c>
      <c r="J25" s="20" t="s">
        <v>567</v>
      </c>
      <c r="K25" s="18" t="n">
        <v>1.69652275</v>
      </c>
      <c r="L25" s="20" t="n">
        <v>0.6732216</v>
      </c>
      <c r="M25" s="18" t="n">
        <v>0</v>
      </c>
      <c r="N25" s="20" t="n">
        <v>0</v>
      </c>
      <c r="O25" s="18" t="n">
        <v>0</v>
      </c>
      <c r="P25" s="20" t="n">
        <v>0</v>
      </c>
      <c r="Q25" s="18" t="n">
        <v>0</v>
      </c>
      <c r="R25" s="20" t="n">
        <v>0</v>
      </c>
    </row>
    <row r="26" spans="1:18">
      <c r="A26" s="15" t="s">
        <v>586</v>
      </c>
      <c r="B26" s="17" t="n">
        <v>2450</v>
      </c>
      <c r="C26" s="18">
        <f>(2185.0/B26*100)</f>
        <v/>
      </c>
      <c r="D26" s="19" t="n">
        <v>265</v>
      </c>
      <c r="E26" s="18" t="n">
        <v>40.52515626</v>
      </c>
      <c r="F26" s="20" t="n">
        <v>3.06614073</v>
      </c>
      <c r="G26" s="18" t="n">
        <v>59.47484374</v>
      </c>
      <c r="H26" s="20" t="n">
        <v>3.06614073</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(2361.0/B27*100)</f>
        <v/>
      </c>
      <c r="D27" s="19" t="n">
        <v>255</v>
      </c>
      <c r="E27" s="18" t="n">
        <v>45.22829357</v>
      </c>
      <c r="F27" s="20" t="n">
        <v>2.85836901</v>
      </c>
      <c r="G27" s="18" t="n">
        <v>53.13779846</v>
      </c>
      <c r="H27" s="20" t="n">
        <v>2.90894815</v>
      </c>
      <c r="I27" s="18" t="s">
        <v>567</v>
      </c>
      <c r="J27" s="20" t="s">
        <v>567</v>
      </c>
      <c r="K27" s="18" t="n">
        <v>1.63390797</v>
      </c>
      <c r="L27" s="20" t="n">
        <v>0.80508536</v>
      </c>
      <c r="M27" s="18" t="n">
        <v>0</v>
      </c>
      <c r="N27" s="20" t="n">
        <v>0</v>
      </c>
      <c r="O27" s="18" t="n">
        <v>0</v>
      </c>
      <c r="P27" s="20" t="n">
        <v>0</v>
      </c>
      <c r="Q27" s="18" t="n">
        <v>0</v>
      </c>
      <c r="R27" s="20" t="n">
        <v>0</v>
      </c>
    </row>
    <row r="28" spans="1:18">
      <c r="A28" s="15" t="s">
        <v>588</v>
      </c>
      <c r="B28" s="17" t="n">
        <v>3765</v>
      </c>
      <c r="C28" s="18">
        <f>(3377.0/B28*100)</f>
        <v/>
      </c>
      <c r="D28" s="19" t="n">
        <v>388</v>
      </c>
      <c r="E28" s="18" t="n">
        <v>48.76765641</v>
      </c>
      <c r="F28" s="20" t="n">
        <v>3.35355316</v>
      </c>
      <c r="G28" s="18" t="n">
        <v>49.55825387</v>
      </c>
      <c r="H28" s="20" t="n">
        <v>3.14065329</v>
      </c>
      <c r="I28" s="18" t="s">
        <v>567</v>
      </c>
      <c r="J28" s="20" t="s">
        <v>567</v>
      </c>
      <c r="K28" s="18" t="n">
        <v>1.67408972</v>
      </c>
      <c r="L28" s="20" t="n">
        <v>0.73798763</v>
      </c>
      <c r="M28" s="18" t="n">
        <v>0</v>
      </c>
      <c r="N28" s="20" t="n">
        <v>0</v>
      </c>
      <c r="O28" s="18" t="n">
        <v>0</v>
      </c>
      <c r="P28" s="20" t="n">
        <v>0</v>
      </c>
      <c r="Q28" s="18" t="n">
        <v>0</v>
      </c>
      <c r="R28" s="20" t="n">
        <v>0</v>
      </c>
    </row>
    <row r="29" spans="1:18">
      <c r="A29" s="15" t="s">
        <v>589</v>
      </c>
      <c r="B29" s="17" t="n">
        <v>2685</v>
      </c>
      <c r="C29" s="18">
        <f>(2298.0/B29*100)</f>
        <v/>
      </c>
      <c r="D29" s="19" t="n">
        <v>387</v>
      </c>
      <c r="E29" s="18" t="n">
        <v>35.95823523</v>
      </c>
      <c r="F29" s="20" t="n">
        <v>2.76679186</v>
      </c>
      <c r="G29" s="18" t="n">
        <v>63.02183366</v>
      </c>
      <c r="H29" s="20" t="n">
        <v>2.85967524</v>
      </c>
      <c r="I29" s="18" t="s">
        <v>567</v>
      </c>
      <c r="J29" s="20" t="s">
        <v>567</v>
      </c>
      <c r="K29" s="18" t="n">
        <v>1.01993111</v>
      </c>
      <c r="L29" s="20" t="n">
        <v>0.48610291</v>
      </c>
      <c r="M29" s="18" t="n">
        <v>0</v>
      </c>
      <c r="N29" s="20" t="n">
        <v>0</v>
      </c>
      <c r="O29" s="18" t="n">
        <v>0</v>
      </c>
      <c r="P29" s="20" t="n">
        <v>0</v>
      </c>
      <c r="Q29" s="18" t="n">
        <v>0</v>
      </c>
      <c r="R29" s="20" t="n">
        <v>0</v>
      </c>
    </row>
    <row r="30" spans="1:18">
      <c r="A30" s="15" t="s">
        <v>590</v>
      </c>
      <c r="B30" s="17" t="n">
        <v>2263</v>
      </c>
      <c r="C30" s="18">
        <f>(2029.0/B30*100)</f>
        <v/>
      </c>
      <c r="D30" s="19" t="n">
        <v>234</v>
      </c>
      <c r="E30" s="18" t="n">
        <v>37.10545383</v>
      </c>
      <c r="F30" s="20" t="n">
        <v>3.60521319</v>
      </c>
      <c r="G30" s="18" t="n">
        <v>61.37036708</v>
      </c>
      <c r="H30" s="20" t="n">
        <v>3.59735374</v>
      </c>
      <c r="I30" s="18" t="s">
        <v>567</v>
      </c>
      <c r="J30" s="20" t="s">
        <v>567</v>
      </c>
      <c r="K30" s="18" t="n">
        <v>1.52417909</v>
      </c>
      <c r="L30" s="20" t="n">
        <v>0.83787459</v>
      </c>
      <c r="M30" s="18" t="n">
        <v>0</v>
      </c>
      <c r="N30" s="20" t="n">
        <v>0</v>
      </c>
      <c r="O30" s="18" t="n">
        <v>0</v>
      </c>
      <c r="P30" s="20" t="n">
        <v>0</v>
      </c>
      <c r="Q30" s="18" t="n">
        <v>0</v>
      </c>
      <c r="R30" s="20" t="n">
        <v>0</v>
      </c>
    </row>
    <row r="31" spans="1:18">
      <c r="A31" s="15" t="s">
        <v>591</v>
      </c>
      <c r="B31" s="17" t="n">
        <v>2750</v>
      </c>
      <c r="C31" s="18">
        <f>(2460.0/B31*100)</f>
        <v/>
      </c>
      <c r="D31" s="19" t="n">
        <v>290</v>
      </c>
      <c r="E31" s="18" t="n">
        <v>43.29746653</v>
      </c>
      <c r="F31" s="20" t="n">
        <v>2.90875513</v>
      </c>
      <c r="G31" s="18" t="n">
        <v>54.73101621</v>
      </c>
      <c r="H31" s="20" t="n">
        <v>3.15499591</v>
      </c>
      <c r="I31" s="18" t="s">
        <v>567</v>
      </c>
      <c r="J31" s="20" t="s">
        <v>567</v>
      </c>
      <c r="K31" s="18" t="n">
        <v>1.97151726</v>
      </c>
      <c r="L31" s="20" t="n">
        <v>0.7681021099999999</v>
      </c>
      <c r="M31" s="18" t="n">
        <v>0</v>
      </c>
      <c r="N31" s="20" t="n">
        <v>0</v>
      </c>
      <c r="O31" s="18" t="n">
        <v>0</v>
      </c>
      <c r="P31" s="20" t="n">
        <v>0</v>
      </c>
      <c r="Q31" s="18" t="n">
        <v>0</v>
      </c>
      <c r="R31" s="20" t="n">
        <v>0</v>
      </c>
    </row>
    <row r="32" spans="1:18">
      <c r="A32" s="15" t="s">
        <v>592</v>
      </c>
      <c r="B32" s="17" t="n">
        <v>2269</v>
      </c>
      <c r="C32" s="18">
        <f>(2026.0/B32*100)</f>
        <v/>
      </c>
      <c r="D32" s="19" t="n">
        <v>243</v>
      </c>
      <c r="E32" s="18" t="n">
        <v>35.40579784</v>
      </c>
      <c r="F32" s="20" t="n">
        <v>3.02855078</v>
      </c>
      <c r="G32" s="18" t="n">
        <v>64.59420215999999</v>
      </c>
      <c r="H32" s="20" t="n">
        <v>3.02855078</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(3304.0/B33*100)</f>
        <v/>
      </c>
      <c r="D33" s="19" t="n">
        <v>370</v>
      </c>
      <c r="E33" s="18" t="n">
        <v>42.07381267</v>
      </c>
      <c r="F33" s="20" t="n">
        <v>3.25811855</v>
      </c>
      <c r="G33" s="18" t="n">
        <v>56.89000496</v>
      </c>
      <c r="H33" s="20" t="n">
        <v>3.19041459</v>
      </c>
      <c r="I33" s="18" t="s">
        <v>567</v>
      </c>
      <c r="J33" s="20" t="s">
        <v>567</v>
      </c>
      <c r="K33" s="18" t="n">
        <v>1.03618237</v>
      </c>
      <c r="L33" s="20" t="n">
        <v>0.73589864</v>
      </c>
      <c r="M33" s="18" t="n">
        <v>0</v>
      </c>
      <c r="N33" s="20" t="n">
        <v>0</v>
      </c>
      <c r="O33" s="18" t="n">
        <v>0</v>
      </c>
      <c r="P33" s="20" t="n">
        <v>0</v>
      </c>
      <c r="Q33" s="18" t="n">
        <v>0</v>
      </c>
      <c r="R33" s="20" t="n">
        <v>0</v>
      </c>
    </row>
    <row r="34" spans="1:18">
      <c r="A34" s="15" t="s">
        <v>594</v>
      </c>
      <c r="B34" s="17" t="n">
        <v>3315</v>
      </c>
      <c r="C34" s="18">
        <f>(2893.0/B34*100)</f>
        <v/>
      </c>
      <c r="D34" s="19" t="n">
        <v>422</v>
      </c>
      <c r="E34" s="18" t="n">
        <v>56.16586169</v>
      </c>
      <c r="F34" s="20" t="n">
        <v>2.66404588</v>
      </c>
      <c r="G34" s="18" t="n">
        <v>43.32693114</v>
      </c>
      <c r="H34" s="20" t="n">
        <v>2.68978974</v>
      </c>
      <c r="I34" s="18" t="s">
        <v>567</v>
      </c>
      <c r="J34" s="20" t="s">
        <v>567</v>
      </c>
      <c r="K34" s="18" t="n">
        <v>0.50720717</v>
      </c>
      <c r="L34" s="20" t="n">
        <v>0.29713581</v>
      </c>
      <c r="M34" s="18" t="n">
        <v>0</v>
      </c>
      <c r="N34" s="20" t="n">
        <v>0</v>
      </c>
      <c r="O34" s="18" t="n">
        <v>0</v>
      </c>
      <c r="P34" s="20" t="n">
        <v>0</v>
      </c>
      <c r="Q34" s="18" t="n">
        <v>0</v>
      </c>
      <c r="R34" s="20" t="n">
        <v>0</v>
      </c>
    </row>
    <row r="35" spans="1:18">
      <c r="A35" s="15" t="s">
        <v>595</v>
      </c>
      <c r="B35" s="17" t="n">
        <v>3505</v>
      </c>
      <c r="C35" s="18">
        <f>(3007.0/B35*100)</f>
        <v/>
      </c>
      <c r="D35" s="19" t="n">
        <v>498</v>
      </c>
      <c r="E35" s="18" t="n">
        <v>43.59482109</v>
      </c>
      <c r="F35" s="20" t="n">
        <v>2.57255007</v>
      </c>
      <c r="G35" s="18" t="n">
        <v>56.1114488</v>
      </c>
      <c r="H35" s="20" t="n">
        <v>2.58040962</v>
      </c>
      <c r="I35" s="18" t="s">
        <v>567</v>
      </c>
      <c r="J35" s="20" t="s">
        <v>567</v>
      </c>
      <c r="K35" s="18" t="n">
        <v>0.29373011</v>
      </c>
      <c r="L35" s="20" t="n">
        <v>0.17199086</v>
      </c>
      <c r="M35" s="18" t="n">
        <v>0</v>
      </c>
      <c r="N35" s="20" t="n">
        <v>0</v>
      </c>
      <c r="O35" s="18" t="n">
        <v>0</v>
      </c>
      <c r="P35" s="20" t="n">
        <v>0</v>
      </c>
      <c r="Q35" s="18" t="n">
        <v>0</v>
      </c>
      <c r="R35" s="20" t="n">
        <v>0</v>
      </c>
    </row>
    <row r="36" spans="1:18">
      <c r="A36" s="15" t="s">
        <v>596</v>
      </c>
      <c r="B36" s="17" t="n">
        <v>3332</v>
      </c>
      <c r="C36" s="18">
        <f>(2971.0/B36*100)</f>
        <v/>
      </c>
      <c r="D36" s="19" t="n">
        <v>361</v>
      </c>
      <c r="E36" s="18" t="n">
        <v>39.92676051</v>
      </c>
      <c r="F36" s="20" t="n">
        <v>2.83868101</v>
      </c>
      <c r="G36" s="18" t="n">
        <v>57.46988132</v>
      </c>
      <c r="H36" s="20" t="n">
        <v>2.85186425</v>
      </c>
      <c r="I36" s="18" t="s">
        <v>567</v>
      </c>
      <c r="J36" s="20" t="s">
        <v>567</v>
      </c>
      <c r="K36" s="18" t="n">
        <v>2.60335817</v>
      </c>
      <c r="L36" s="20" t="n">
        <v>1.00749134</v>
      </c>
      <c r="M36" s="18" t="n">
        <v>0</v>
      </c>
      <c r="N36" s="20" t="n">
        <v>0</v>
      </c>
      <c r="O36" s="18" t="n">
        <v>0</v>
      </c>
      <c r="P36" s="20" t="n">
        <v>0</v>
      </c>
      <c r="Q36" s="18" t="n">
        <v>0</v>
      </c>
      <c r="R36" s="20" t="n">
        <v>0</v>
      </c>
    </row>
    <row r="37" spans="1:18">
      <c r="A37" s="15" t="s">
        <v>597</v>
      </c>
      <c r="B37" s="17" t="n">
        <v>2727</v>
      </c>
      <c r="C37" s="18">
        <f>(2450.0/B37*100)</f>
        <v/>
      </c>
      <c r="D37" s="19" t="n">
        <v>277</v>
      </c>
      <c r="E37" s="18" t="n">
        <v>35.73436229</v>
      </c>
      <c r="F37" s="20" t="n">
        <v>2.91784516</v>
      </c>
      <c r="G37" s="18" t="n">
        <v>62.36699237</v>
      </c>
      <c r="H37" s="20" t="n">
        <v>2.89036359</v>
      </c>
      <c r="I37" s="18" t="s">
        <v>567</v>
      </c>
      <c r="J37" s="20" t="s">
        <v>567</v>
      </c>
      <c r="K37" s="18" t="n">
        <v>1.89864534</v>
      </c>
      <c r="L37" s="20" t="n">
        <v>0.7995198100000001</v>
      </c>
      <c r="M37" s="18" t="n">
        <v>0</v>
      </c>
      <c r="N37" s="20" t="n">
        <v>0</v>
      </c>
      <c r="O37" s="18" t="n">
        <v>0</v>
      </c>
      <c r="P37" s="20" t="n">
        <v>0</v>
      </c>
      <c r="Q37" s="18" t="n">
        <v>0</v>
      </c>
      <c r="R37" s="20" t="n">
        <v>0</v>
      </c>
    </row>
    <row r="38" spans="1:18">
      <c r="A38" s="15" t="s">
        <v>598</v>
      </c>
      <c r="B38" s="17" t="n">
        <v>3053</v>
      </c>
      <c r="C38" s="18">
        <f>(2717.0/B38*100)</f>
        <v/>
      </c>
      <c r="D38" s="19" t="n">
        <v>336</v>
      </c>
      <c r="E38" s="18" t="n">
        <v>45.33083823</v>
      </c>
      <c r="F38" s="20" t="n">
        <v>3.2839946</v>
      </c>
      <c r="G38" s="18" t="n">
        <v>52.63981226</v>
      </c>
      <c r="H38" s="20" t="n">
        <v>3.30048898</v>
      </c>
      <c r="I38" s="18" t="s">
        <v>567</v>
      </c>
      <c r="J38" s="20" t="s">
        <v>567</v>
      </c>
      <c r="K38" s="18" t="n">
        <v>2.0293495</v>
      </c>
      <c r="L38" s="20" t="n">
        <v>0.89745703</v>
      </c>
      <c r="M38" s="18" t="n">
        <v>0</v>
      </c>
      <c r="N38" s="20" t="n">
        <v>0</v>
      </c>
      <c r="O38" s="18" t="n">
        <v>0</v>
      </c>
      <c r="P38" s="20" t="n">
        <v>0</v>
      </c>
      <c r="Q38" s="18" t="n">
        <v>0</v>
      </c>
      <c r="R38" s="20" t="n">
        <v>0</v>
      </c>
    </row>
    <row r="39" spans="1:18">
      <c r="A39" s="15" t="s">
        <v>599</v>
      </c>
      <c r="B39" s="17" t="n">
        <v>2957</v>
      </c>
      <c r="C39" s="18">
        <f>(2640.0/B39*100)</f>
        <v/>
      </c>
      <c r="D39" s="19" t="n">
        <v>317</v>
      </c>
      <c r="E39" s="18" t="n">
        <v>45.52611714</v>
      </c>
      <c r="F39" s="20" t="n">
        <v>3.03518941</v>
      </c>
      <c r="G39" s="18" t="n">
        <v>54.2332257</v>
      </c>
      <c r="H39" s="20" t="n">
        <v>3.07911075</v>
      </c>
      <c r="I39" s="18" t="s">
        <v>567</v>
      </c>
      <c r="J39" s="20" t="s">
        <v>567</v>
      </c>
      <c r="K39" s="18" t="n">
        <v>0.24065716</v>
      </c>
      <c r="L39" s="20" t="n">
        <v>0.24516997</v>
      </c>
      <c r="M39" s="18" t="n">
        <v>0</v>
      </c>
      <c r="N39" s="20" t="n">
        <v>0</v>
      </c>
      <c r="O39" s="18" t="n">
        <v>0</v>
      </c>
      <c r="P39" s="20" t="n">
        <v>0</v>
      </c>
      <c r="Q39" s="18" t="n">
        <v>0</v>
      </c>
      <c r="R39" s="20" t="n">
        <v>0</v>
      </c>
    </row>
    <row r="40" spans="1:18">
      <c r="A40" s="15" t="s">
        <v>600</v>
      </c>
      <c r="B40" s="17" t="n">
        <v>7235</v>
      </c>
      <c r="C40" s="18">
        <f>(6434.0/B40*100)</f>
        <v/>
      </c>
      <c r="D40" s="19" t="n">
        <v>801</v>
      </c>
      <c r="E40" s="18" t="n">
        <v>42.49124421</v>
      </c>
      <c r="F40" s="20" t="n">
        <v>2.43801641</v>
      </c>
      <c r="G40" s="18" t="n">
        <v>56.32467533</v>
      </c>
      <c r="H40" s="20" t="n">
        <v>2.46466938</v>
      </c>
      <c r="I40" s="18" t="s">
        <v>567</v>
      </c>
      <c r="J40" s="20" t="s">
        <v>567</v>
      </c>
      <c r="K40" s="18" t="n">
        <v>1.18408046</v>
      </c>
      <c r="L40" s="20" t="n">
        <v>0.59526942</v>
      </c>
      <c r="M40" s="18" t="n">
        <v>0</v>
      </c>
      <c r="N40" s="20" t="n">
        <v>0</v>
      </c>
      <c r="O40" s="18" t="n">
        <v>0</v>
      </c>
      <c r="P40" s="20" t="n">
        <v>0</v>
      </c>
      <c r="Q40" s="18" t="n">
        <v>0</v>
      </c>
      <c r="R40" s="20" t="n">
        <v>0</v>
      </c>
    </row>
    <row r="41" spans="1:18">
      <c r="A41" s="15" t="s">
        <v>601</v>
      </c>
      <c r="B41" s="17" t="n">
        <v>2858</v>
      </c>
      <c r="C41" s="18">
        <f>(2540.0/B41*100)</f>
        <v/>
      </c>
      <c r="D41" s="19" t="n">
        <v>318</v>
      </c>
      <c r="E41" s="18" t="n">
        <v>42.12441343</v>
      </c>
      <c r="F41" s="20" t="n">
        <v>2.84797399</v>
      </c>
      <c r="G41" s="18" t="n">
        <v>53.3626703</v>
      </c>
      <c r="H41" s="20" t="n">
        <v>2.94459457</v>
      </c>
      <c r="I41" s="18" t="s">
        <v>567</v>
      </c>
      <c r="J41" s="20" t="s">
        <v>567</v>
      </c>
      <c r="K41" s="18" t="n">
        <v>4.51291627</v>
      </c>
      <c r="L41" s="20" t="n">
        <v>1.28058631</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(10247.0/B46*100)</f>
        <v/>
      </c>
      <c r="D46" s="19" t="n">
        <v>821</v>
      </c>
      <c r="E46" s="18" t="n">
        <v>47.55023648</v>
      </c>
      <c r="F46" s="20" t="n">
        <v>2.44120974</v>
      </c>
      <c r="G46" s="18" t="n">
        <v>48.02112162</v>
      </c>
      <c r="H46" s="20" t="n">
        <v>2.45618813</v>
      </c>
      <c r="I46" s="18" t="s">
        <v>567</v>
      </c>
      <c r="J46" s="20" t="s">
        <v>567</v>
      </c>
      <c r="K46" s="18" t="n">
        <v>4.4286419</v>
      </c>
      <c r="L46" s="20" t="n">
        <v>0.90639401</v>
      </c>
      <c r="M46" s="18" t="n">
        <v>0</v>
      </c>
      <c r="N46" s="20" t="n">
        <v>0</v>
      </c>
      <c r="O46" s="18" t="n">
        <v>0</v>
      </c>
      <c r="P46" s="20" t="n">
        <v>0</v>
      </c>
      <c r="Q46" s="18" t="n">
        <v>0</v>
      </c>
      <c r="R46" s="20" t="n">
        <v>0</v>
      </c>
    </row>
    <row r="47" spans="1:18">
      <c r="A47" s="15" t="s">
        <v>607</v>
      </c>
      <c r="B47" s="17" t="n">
        <v>3105</v>
      </c>
      <c r="C47" s="18">
        <f>(2773.0/B47*100)</f>
        <v/>
      </c>
      <c r="D47" s="19" t="n">
        <v>332</v>
      </c>
      <c r="E47" s="18" t="n">
        <v>68.30183322000001</v>
      </c>
      <c r="F47" s="20" t="n">
        <v>2.81614331</v>
      </c>
      <c r="G47" s="18" t="n">
        <v>30.26944278</v>
      </c>
      <c r="H47" s="20" t="n">
        <v>2.68683203</v>
      </c>
      <c r="I47" s="18" t="s">
        <v>567</v>
      </c>
      <c r="J47" s="20" t="s">
        <v>567</v>
      </c>
      <c r="K47" s="18" t="n">
        <v>1.428724</v>
      </c>
      <c r="L47" s="20" t="n">
        <v>0.72443689</v>
      </c>
      <c r="M47" s="18" t="n">
        <v>0</v>
      </c>
      <c r="N47" s="20" t="n">
        <v>0</v>
      </c>
      <c r="O47" s="18" t="n">
        <v>0</v>
      </c>
      <c r="P47" s="20" t="n">
        <v>0</v>
      </c>
      <c r="Q47" s="18" t="n">
        <v>0</v>
      </c>
      <c r="R47" s="20" t="n">
        <v>0</v>
      </c>
    </row>
    <row r="48" spans="1:18">
      <c r="A48" s="15" t="s">
        <v>608</v>
      </c>
      <c r="B48" s="17" t="n">
        <v>5159</v>
      </c>
      <c r="C48" s="18">
        <f>(4604.0/B48*100)</f>
        <v/>
      </c>
      <c r="D48" s="19" t="n">
        <v>555</v>
      </c>
      <c r="E48" s="18" t="n">
        <v>34.93029378</v>
      </c>
      <c r="F48" s="20" t="n">
        <v>2.91900786</v>
      </c>
      <c r="G48" s="18" t="n">
        <v>63.93669334</v>
      </c>
      <c r="H48" s="20" t="n">
        <v>2.92701512</v>
      </c>
      <c r="I48" s="18" t="s">
        <v>567</v>
      </c>
      <c r="J48" s="20" t="s">
        <v>567</v>
      </c>
      <c r="K48" s="18" t="n">
        <v>1.13301288</v>
      </c>
      <c r="L48" s="20" t="n">
        <v>0.63604885</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(5063.0/B50*100)</f>
        <v/>
      </c>
      <c r="D50" s="19" t="n">
        <v>574</v>
      </c>
      <c r="E50" s="18" t="n">
        <v>40.57120041</v>
      </c>
      <c r="F50" s="20" t="n">
        <v>2.89637475</v>
      </c>
      <c r="G50" s="18" t="n">
        <v>54.76150981</v>
      </c>
      <c r="H50" s="20" t="n">
        <v>3.06008569</v>
      </c>
      <c r="I50" s="18" t="s">
        <v>567</v>
      </c>
      <c r="J50" s="20" t="s">
        <v>567</v>
      </c>
      <c r="K50" s="18" t="n">
        <v>4.66728978</v>
      </c>
      <c r="L50" s="20" t="n">
        <v>1.66257636</v>
      </c>
      <c r="M50" s="18" t="n">
        <v>0</v>
      </c>
      <c r="N50" s="20" t="n">
        <v>0</v>
      </c>
      <c r="O50" s="18" t="n">
        <v>0</v>
      </c>
      <c r="P50" s="20" t="n">
        <v>0</v>
      </c>
      <c r="Q50" s="18" t="n">
        <v>0</v>
      </c>
      <c r="R50" s="20" t="n">
        <v>0</v>
      </c>
    </row>
    <row r="51" spans="1:18">
      <c r="A51" s="15" t="s">
        <v>611</v>
      </c>
      <c r="B51" s="17" t="n">
        <v>3372</v>
      </c>
      <c r="C51" s="18">
        <f>(2696.0/B51*100)</f>
        <v/>
      </c>
      <c r="D51" s="19" t="n">
        <v>676</v>
      </c>
      <c r="E51" s="18" t="n">
        <v>51.55727163</v>
      </c>
      <c r="F51" s="20" t="n">
        <v>2.2539223</v>
      </c>
      <c r="G51" s="18" t="n">
        <v>47.3250336</v>
      </c>
      <c r="H51" s="20" t="n">
        <v>2.22500347</v>
      </c>
      <c r="I51" s="18" t="s">
        <v>567</v>
      </c>
      <c r="J51" s="20" t="s">
        <v>567</v>
      </c>
      <c r="K51" s="18" t="n">
        <v>0.9600033</v>
      </c>
      <c r="L51" s="20" t="n">
        <v>0.37306314</v>
      </c>
      <c r="M51" s="18" t="n">
        <v>0</v>
      </c>
      <c r="N51" s="20" t="n">
        <v>0</v>
      </c>
      <c r="O51" s="18" t="n">
        <v>0</v>
      </c>
      <c r="P51" s="20" t="n">
        <v>0</v>
      </c>
      <c r="Q51" s="18" t="n">
        <v>0.15769147</v>
      </c>
      <c r="R51" s="20" t="n">
        <v>0.15783547</v>
      </c>
    </row>
    <row r="52" spans="1:18">
      <c r="A52" s="15" t="s">
        <v>612</v>
      </c>
      <c r="B52" s="17" t="n">
        <v>2796</v>
      </c>
      <c r="C52" s="18">
        <f>(2484.0/B52*100)</f>
        <v/>
      </c>
      <c r="D52" s="19" t="n">
        <v>312</v>
      </c>
      <c r="E52" s="18" t="n">
        <v>52.96075568</v>
      </c>
      <c r="F52" s="20" t="n">
        <v>3.10112349</v>
      </c>
      <c r="G52" s="18" t="n">
        <v>46.4680362</v>
      </c>
      <c r="H52" s="20" t="n">
        <v>3.08455902</v>
      </c>
      <c r="I52" s="18" t="s">
        <v>567</v>
      </c>
      <c r="J52" s="20" t="s">
        <v>567</v>
      </c>
      <c r="K52" s="18" t="n">
        <v>0.57120812</v>
      </c>
      <c r="L52" s="20" t="n">
        <v>0.39462194</v>
      </c>
      <c r="M52" s="18" t="n">
        <v>0</v>
      </c>
      <c r="N52" s="20" t="n">
        <v>0</v>
      </c>
      <c r="O52" s="18" t="n">
        <v>0</v>
      </c>
      <c r="P52" s="20" t="n">
        <v>0</v>
      </c>
      <c r="Q52" s="18" t="n">
        <v>0</v>
      </c>
      <c r="R52" s="20" t="n">
        <v>0</v>
      </c>
    </row>
    <row r="53" spans="1:18">
      <c r="A53" s="15" t="s">
        <v>613</v>
      </c>
      <c r="B53" s="17" t="n">
        <v>2811</v>
      </c>
      <c r="C53" s="18">
        <f>(2499.0/B53*100)</f>
        <v/>
      </c>
      <c r="D53" s="19" t="n">
        <v>312</v>
      </c>
      <c r="E53" s="18" t="n">
        <v>56.46586515</v>
      </c>
      <c r="F53" s="20" t="n">
        <v>2.90147725</v>
      </c>
      <c r="G53" s="18" t="n">
        <v>41.48914577</v>
      </c>
      <c r="H53" s="20" t="n">
        <v>2.91116606</v>
      </c>
      <c r="I53" s="18" t="s">
        <v>567</v>
      </c>
      <c r="J53" s="20" t="s">
        <v>567</v>
      </c>
      <c r="K53" s="18" t="n">
        <v>2.04498908</v>
      </c>
      <c r="L53" s="20" t="n">
        <v>0.63579553</v>
      </c>
      <c r="M53" s="18" t="n">
        <v>0</v>
      </c>
      <c r="N53" s="20" t="n">
        <v>0</v>
      </c>
      <c r="O53" s="18" t="n">
        <v>0</v>
      </c>
      <c r="P53" s="20" t="n">
        <v>0</v>
      </c>
      <c r="Q53" s="18" t="n">
        <v>0</v>
      </c>
      <c r="R53" s="20" t="n">
        <v>0</v>
      </c>
    </row>
    <row r="54" spans="1:18">
      <c r="A54" s="15" t="s">
        <v>614</v>
      </c>
      <c r="B54" s="17" t="n">
        <v>2266</v>
      </c>
      <c r="C54" s="18">
        <f>(2018.0/B54*100)</f>
        <v/>
      </c>
      <c r="D54" s="19" t="n">
        <v>248</v>
      </c>
      <c r="E54" s="18" t="n">
        <v>56.61757904</v>
      </c>
      <c r="F54" s="20" t="n">
        <v>3.26230037</v>
      </c>
      <c r="G54" s="18" t="n">
        <v>18.63624017</v>
      </c>
      <c r="H54" s="20" t="n">
        <v>2.50722075</v>
      </c>
      <c r="I54" s="18" t="s">
        <v>567</v>
      </c>
      <c r="J54" s="20" t="s">
        <v>567</v>
      </c>
      <c r="K54" s="18" t="n">
        <v>24.74618079</v>
      </c>
      <c r="L54" s="20" t="n">
        <v>3.36095357</v>
      </c>
      <c r="M54" s="18" t="n">
        <v>0</v>
      </c>
      <c r="N54" s="20" t="n">
        <v>0</v>
      </c>
      <c r="O54" s="18" t="n">
        <v>0</v>
      </c>
      <c r="P54" s="20" t="n">
        <v>0</v>
      </c>
      <c r="Q54" s="18" t="n">
        <v>0</v>
      </c>
      <c r="R54" s="20" t="n">
        <v>0</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(2395.0/B56*100)</f>
        <v/>
      </c>
      <c r="D56" s="19" t="n">
        <v>289</v>
      </c>
      <c r="E56" s="18" t="n">
        <v>23.81662567</v>
      </c>
      <c r="F56" s="20" t="n">
        <v>2.68746513</v>
      </c>
      <c r="G56" s="18" t="n">
        <v>75.1780337</v>
      </c>
      <c r="H56" s="20" t="n">
        <v>2.75700664</v>
      </c>
      <c r="I56" s="18" t="s">
        <v>567</v>
      </c>
      <c r="J56" s="20" t="s">
        <v>567</v>
      </c>
      <c r="K56" s="18" t="n">
        <v>1.00534063</v>
      </c>
      <c r="L56" s="20" t="n">
        <v>0.61293574</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(2982.0/B61*100)</f>
        <v/>
      </c>
      <c r="D61" s="19" t="n">
        <v>342</v>
      </c>
      <c r="E61" s="18" t="n">
        <v>44.60854082</v>
      </c>
      <c r="F61" s="20" t="n">
        <v>3.48189781</v>
      </c>
      <c r="G61" s="18" t="n">
        <v>55.02426358</v>
      </c>
      <c r="H61" s="20" t="n">
        <v>3.46740129</v>
      </c>
      <c r="I61" s="18" t="s">
        <v>567</v>
      </c>
      <c r="J61" s="20" t="s">
        <v>567</v>
      </c>
      <c r="K61" s="18" t="n">
        <v>0.3671956</v>
      </c>
      <c r="L61" s="20" t="n">
        <v>0.36045857</v>
      </c>
      <c r="M61" s="18" t="n">
        <v>0</v>
      </c>
      <c r="N61" s="20" t="n">
        <v>0</v>
      </c>
      <c r="O61" s="18" t="n">
        <v>0</v>
      </c>
      <c r="P61" s="20" t="n">
        <v>0</v>
      </c>
      <c r="Q61" s="18" t="n">
        <v>0</v>
      </c>
      <c r="R61" s="20" t="n">
        <v>0</v>
      </c>
    </row>
    <row r="62" spans="1:18">
      <c r="A62" s="15" t="s">
        <v>622</v>
      </c>
      <c r="B62" s="17" t="n">
        <v>2246</v>
      </c>
      <c r="C62" s="18">
        <f>(2005.0/B62*100)</f>
        <v/>
      </c>
      <c r="D62" s="19" t="n">
        <v>241</v>
      </c>
      <c r="E62" s="18" t="n">
        <v>28.60767913</v>
      </c>
      <c r="F62" s="20" t="n">
        <v>2.71660072</v>
      </c>
      <c r="G62" s="18" t="n">
        <v>71.39232087000001</v>
      </c>
      <c r="H62" s="20" t="n">
        <v>2.71660072</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(2604.0/B66*100)</f>
        <v/>
      </c>
      <c r="D66" s="19" t="n">
        <v>290</v>
      </c>
      <c r="E66" s="18" t="n">
        <v>66.12415780000001</v>
      </c>
      <c r="F66" s="20" t="n">
        <v>3.15869295</v>
      </c>
      <c r="G66" s="18" t="n">
        <v>33.21164859</v>
      </c>
      <c r="H66" s="20" t="n">
        <v>3.04277345</v>
      </c>
      <c r="I66" s="18" t="s">
        <v>567</v>
      </c>
      <c r="J66" s="20" t="s">
        <v>567</v>
      </c>
      <c r="K66" s="18" t="n">
        <v>0.66419362</v>
      </c>
      <c r="L66" s="20" t="n">
        <v>0.46957238</v>
      </c>
      <c r="M66" s="18" t="n">
        <v>0</v>
      </c>
      <c r="N66" s="20" t="n">
        <v>0</v>
      </c>
      <c r="O66" s="18" t="n">
        <v>0</v>
      </c>
      <c r="P66" s="20" t="n">
        <v>0</v>
      </c>
      <c r="Q66" s="18" t="n">
        <v>0</v>
      </c>
      <c r="R66" s="20" t="n">
        <v>0</v>
      </c>
    </row>
    <row r="67" spans="1:18">
      <c r="A67" s="15" t="s">
        <v>627</v>
      </c>
      <c r="B67" s="17" t="n">
        <v>3511</v>
      </c>
      <c r="C67" s="18">
        <f>(3178.0/B67*100)</f>
        <v/>
      </c>
      <c r="D67" s="19" t="n">
        <v>333</v>
      </c>
      <c r="E67" s="18" t="n">
        <v>51.55293663</v>
      </c>
      <c r="F67" s="20" t="n">
        <v>2.87651126</v>
      </c>
      <c r="G67" s="18" t="n">
        <v>47.57051049</v>
      </c>
      <c r="H67" s="20" t="n">
        <v>2.92663968</v>
      </c>
      <c r="I67" s="18" t="s">
        <v>567</v>
      </c>
      <c r="J67" s="20" t="s">
        <v>567</v>
      </c>
      <c r="K67" s="18" t="n">
        <v>0.87655287</v>
      </c>
      <c r="L67" s="20" t="n">
        <v>0.5197338</v>
      </c>
      <c r="M67" s="18" t="n">
        <v>0</v>
      </c>
      <c r="N67" s="20" t="n">
        <v>0</v>
      </c>
      <c r="O67" s="18" t="n">
        <v>0</v>
      </c>
      <c r="P67" s="20" t="n">
        <v>0</v>
      </c>
      <c r="Q67" s="18" t="n">
        <v>0</v>
      </c>
      <c r="R67" s="20" t="n">
        <v>0</v>
      </c>
    </row>
    <row r="68" spans="1:18">
      <c r="A68" s="15" t="s">
        <v>628</v>
      </c>
      <c r="B68" s="17" t="n">
        <v>6049</v>
      </c>
      <c r="C68" s="18">
        <f>(5385.0/B68*100)</f>
        <v/>
      </c>
      <c r="D68" s="19" t="n">
        <v>664</v>
      </c>
      <c r="E68" s="18" t="n">
        <v>62.74560003</v>
      </c>
      <c r="F68" s="20" t="n">
        <v>1.82899565</v>
      </c>
      <c r="G68" s="18" t="n">
        <v>31.10607063</v>
      </c>
      <c r="H68" s="20" t="n">
        <v>1.74063283</v>
      </c>
      <c r="I68" s="18" t="s">
        <v>567</v>
      </c>
      <c r="J68" s="20" t="s">
        <v>567</v>
      </c>
      <c r="K68" s="18" t="n">
        <v>6.14832934</v>
      </c>
      <c r="L68" s="20" t="n">
        <v>0.9982084</v>
      </c>
      <c r="M68" s="18" t="n">
        <v>0</v>
      </c>
      <c r="N68" s="20" t="n">
        <v>0</v>
      </c>
      <c r="O68" s="18" t="n">
        <v>0</v>
      </c>
      <c r="P68" s="20" t="n">
        <v>0</v>
      </c>
      <c r="Q68" s="18" t="n">
        <v>0</v>
      </c>
      <c r="R68" s="20" t="n">
        <v>0</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(2620.0/B70*100)</f>
        <v/>
      </c>
      <c r="D70" s="19" t="n">
        <v>309</v>
      </c>
      <c r="E70" s="18" t="n">
        <v>48.05197112</v>
      </c>
      <c r="F70" s="20" t="n">
        <v>3.06471849</v>
      </c>
      <c r="G70" s="18" t="n">
        <v>50.84047548</v>
      </c>
      <c r="H70" s="20" t="n">
        <v>3.13903154</v>
      </c>
      <c r="I70" s="18" t="s">
        <v>567</v>
      </c>
      <c r="J70" s="20" t="s">
        <v>567</v>
      </c>
      <c r="K70" s="18" t="n">
        <v>1.1075534</v>
      </c>
      <c r="L70" s="20" t="n">
        <v>0.54963236</v>
      </c>
      <c r="M70" s="18" t="n">
        <v>0</v>
      </c>
      <c r="N70" s="20" t="n">
        <v>0</v>
      </c>
      <c r="O70" s="18" t="n">
        <v>0</v>
      </c>
      <c r="P70" s="20" t="n">
        <v>0</v>
      </c>
      <c r="Q70" s="18" t="n">
        <v>0</v>
      </c>
      <c r="R70" s="20" t="n">
        <v>0</v>
      </c>
    </row>
    <row r="71" spans="1:18">
      <c r="A71" s="15" t="s">
        <v>631</v>
      </c>
      <c r="B71" s="17" t="n">
        <v>3142</v>
      </c>
      <c r="C71" s="18">
        <f>(2804.0/B71*100)</f>
        <v/>
      </c>
      <c r="D71" s="19" t="n">
        <v>338</v>
      </c>
      <c r="E71" s="18" t="n">
        <v>36.58539823</v>
      </c>
      <c r="F71" s="20" t="n">
        <v>2.95723799</v>
      </c>
      <c r="G71" s="18" t="n">
        <v>63.25922252</v>
      </c>
      <c r="H71" s="20" t="n">
        <v>2.9597387</v>
      </c>
      <c r="I71" s="18" t="s">
        <v>567</v>
      </c>
      <c r="J71" s="20" t="s">
        <v>567</v>
      </c>
      <c r="K71" s="18" t="n">
        <v>0.15537925</v>
      </c>
      <c r="L71" s="20" t="n">
        <v>0.1553932</v>
      </c>
      <c r="M71" s="18" t="n">
        <v>0</v>
      </c>
      <c r="N71" s="20" t="n">
        <v>0</v>
      </c>
      <c r="O71" s="18" t="n">
        <v>0</v>
      </c>
      <c r="P71" s="20" t="n">
        <v>0</v>
      </c>
      <c r="Q71" s="18" t="n">
        <v>0</v>
      </c>
      <c r="R71" s="20" t="n">
        <v>0</v>
      </c>
    </row>
    <row r="72" spans="1:18">
      <c r="A72" s="15" t="s">
        <v>632</v>
      </c>
      <c r="B72" s="17" t="n">
        <v>3889</v>
      </c>
      <c r="C72" s="18">
        <f>(3450.0/B72*100)</f>
        <v/>
      </c>
      <c r="D72" s="19" t="n">
        <v>439</v>
      </c>
      <c r="E72" s="18" t="n">
        <v>33.06755529</v>
      </c>
      <c r="F72" s="20" t="n">
        <v>1.98953755</v>
      </c>
      <c r="G72" s="18" t="n">
        <v>66.63061648999999</v>
      </c>
      <c r="H72" s="20" t="n">
        <v>2.02948361</v>
      </c>
      <c r="I72" s="18" t="s">
        <v>567</v>
      </c>
      <c r="J72" s="20" t="s">
        <v>567</v>
      </c>
      <c r="K72" s="18" t="n">
        <v>0.30182822</v>
      </c>
      <c r="L72" s="20" t="n">
        <v>0.30316407</v>
      </c>
      <c r="M72" s="18" t="n">
        <v>0</v>
      </c>
      <c r="N72" s="20" t="n">
        <v>0</v>
      </c>
      <c r="O72" s="18" t="n">
        <v>0</v>
      </c>
      <c r="P72" s="20" t="n">
        <v>0</v>
      </c>
      <c r="Q72" s="18" t="n">
        <v>0</v>
      </c>
      <c r="R72" s="20" t="n">
        <v>0</v>
      </c>
    </row>
    <row r="73" spans="1:18">
      <c r="A73" s="15" t="s">
        <v>633</v>
      </c>
      <c r="B73" s="17" t="n">
        <v>3597</v>
      </c>
      <c r="C73" s="18">
        <f>(3248.0/B73*100)</f>
        <v/>
      </c>
      <c r="D73" s="19" t="n">
        <v>349</v>
      </c>
      <c r="E73" s="18" t="n">
        <v>50.19150935</v>
      </c>
      <c r="F73" s="20" t="n">
        <v>3.13559351</v>
      </c>
      <c r="G73" s="18" t="n">
        <v>49.70282518</v>
      </c>
      <c r="H73" s="20" t="n">
        <v>3.14305487</v>
      </c>
      <c r="I73" s="18" t="s">
        <v>567</v>
      </c>
      <c r="J73" s="20" t="s">
        <v>567</v>
      </c>
      <c r="K73" s="18" t="n">
        <v>0.10566547</v>
      </c>
      <c r="L73" s="20" t="n">
        <v>0.111263</v>
      </c>
      <c r="M73" s="18" t="n">
        <v>0</v>
      </c>
      <c r="N73" s="20" t="n">
        <v>0</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(2181.0/B75*100)</f>
        <v/>
      </c>
      <c r="D75" s="19" t="n">
        <v>225</v>
      </c>
      <c r="E75" s="18" t="n">
        <v>57.93830719</v>
      </c>
      <c r="F75" s="20" t="n">
        <v>3.52796988</v>
      </c>
      <c r="G75" s="18" t="n">
        <v>37.16766588</v>
      </c>
      <c r="H75" s="20" t="n">
        <v>3.23079104</v>
      </c>
      <c r="I75" s="18" t="s">
        <v>567</v>
      </c>
      <c r="J75" s="20" t="s">
        <v>567</v>
      </c>
      <c r="K75" s="18" t="n">
        <v>4.89402693</v>
      </c>
      <c r="L75" s="20" t="n">
        <v>1.7189778</v>
      </c>
      <c r="M75" s="18" t="n">
        <v>0</v>
      </c>
      <c r="N75" s="20" t="n">
        <v>0</v>
      </c>
      <c r="O75" s="18" t="n">
        <v>0</v>
      </c>
      <c r="P75" s="20" t="n">
        <v>0</v>
      </c>
      <c r="Q75" s="18" t="n">
        <v>0</v>
      </c>
      <c r="R75" s="20" t="n">
        <v>0</v>
      </c>
    </row>
    <row r="76" spans="1:18">
      <c r="A76" s="15" t="s">
        <v>636</v>
      </c>
      <c r="B76" s="17" t="n">
        <v>7052</v>
      </c>
      <c r="C76" s="18">
        <f>(6267.0/B76*100)</f>
        <v/>
      </c>
      <c r="D76" s="19" t="n">
        <v>785</v>
      </c>
      <c r="E76" s="18" t="n">
        <v>55.66260014</v>
      </c>
      <c r="F76" s="20" t="n">
        <v>1.95830578</v>
      </c>
      <c r="G76" s="18" t="n">
        <v>42.04466218</v>
      </c>
      <c r="H76" s="20" t="n">
        <v>1.86807097</v>
      </c>
      <c r="I76" s="18" t="s">
        <v>567</v>
      </c>
      <c r="J76" s="20" t="s">
        <v>567</v>
      </c>
      <c r="K76" s="18" t="n">
        <v>2.29273768</v>
      </c>
      <c r="L76" s="20" t="n">
        <v>0.70848581</v>
      </c>
      <c r="M76" s="18" t="n">
        <v>0</v>
      </c>
      <c r="N76" s="20" t="n">
        <v>0</v>
      </c>
      <c r="O76" s="18" t="n">
        <v>0</v>
      </c>
      <c r="P76" s="20" t="n">
        <v>0</v>
      </c>
      <c r="Q76" s="18" t="n">
        <v>0</v>
      </c>
      <c r="R76" s="20" t="n">
        <v>0</v>
      </c>
    </row>
    <row r="77" spans="1:18">
      <c r="A77" s="15" t="s">
        <v>637</v>
      </c>
      <c r="B77" s="17" t="n">
        <v>2908</v>
      </c>
      <c r="C77" s="18">
        <f>(2607.0/B77*100)</f>
        <v/>
      </c>
      <c r="D77" s="19" t="n">
        <v>301</v>
      </c>
      <c r="E77" s="18" t="n">
        <v>57.46677414</v>
      </c>
      <c r="F77" s="20" t="n">
        <v>2.88815204</v>
      </c>
      <c r="G77" s="18" t="n">
        <v>39.71047876</v>
      </c>
      <c r="H77" s="20" t="n">
        <v>3.12212586</v>
      </c>
      <c r="I77" s="18" t="s">
        <v>567</v>
      </c>
      <c r="J77" s="20" t="s">
        <v>567</v>
      </c>
      <c r="K77" s="18" t="n">
        <v>2.8227471</v>
      </c>
      <c r="L77" s="20" t="n">
        <v>1.0489726</v>
      </c>
      <c r="M77" s="18" t="n">
        <v>0</v>
      </c>
      <c r="N77" s="20" t="n">
        <v>0</v>
      </c>
      <c r="O77" s="18" t="n">
        <v>0</v>
      </c>
      <c r="P77" s="20" t="n">
        <v>0</v>
      </c>
      <c r="Q77" s="18" t="n">
        <v>0</v>
      </c>
      <c r="R77" s="20" t="n">
        <v>0</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(3733.0/B81*100)</f>
        <v/>
      </c>
      <c r="D81" s="19" t="n">
        <v>430</v>
      </c>
      <c r="E81" s="18" t="n">
        <v>44.66195999</v>
      </c>
      <c r="F81" s="20" t="n">
        <v>3.50108077</v>
      </c>
      <c r="G81" s="18" t="n">
        <v>54.66066115</v>
      </c>
      <c r="H81" s="20" t="n">
        <v>3.42574177</v>
      </c>
      <c r="I81" s="18" t="s">
        <v>567</v>
      </c>
      <c r="J81" s="20" t="s">
        <v>567</v>
      </c>
      <c r="K81" s="18" t="n">
        <v>0.67737885</v>
      </c>
      <c r="L81" s="20" t="n">
        <v>0.48909231</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(6527.0/B7*100)</f>
        <v/>
      </c>
      <c r="D7" s="19" t="n">
        <v>840</v>
      </c>
      <c r="E7" s="18" t="n">
        <v>24.10993169</v>
      </c>
      <c r="F7" s="20" t="n">
        <v>1.65206089</v>
      </c>
      <c r="G7" s="18" t="n">
        <v>74.33329426</v>
      </c>
      <c r="H7" s="20" t="n">
        <v>1.60663991</v>
      </c>
      <c r="I7" s="18" t="s">
        <v>567</v>
      </c>
      <c r="J7" s="20" t="s">
        <v>567</v>
      </c>
      <c r="K7" s="18" t="n">
        <v>0.04320075</v>
      </c>
      <c r="L7" s="20" t="n">
        <v>0.03057493</v>
      </c>
      <c r="M7" s="18" t="n">
        <v>0</v>
      </c>
      <c r="N7" s="20" t="n">
        <v>0</v>
      </c>
      <c r="O7" s="18" t="n">
        <v>0</v>
      </c>
      <c r="P7" s="20" t="n">
        <v>0</v>
      </c>
      <c r="Q7" s="18" t="n">
        <v>1.5135733</v>
      </c>
      <c r="R7" s="20" t="n">
        <v>0.49684477</v>
      </c>
    </row>
    <row r="8" spans="1:18">
      <c r="A8" s="15" t="s">
        <v>568</v>
      </c>
      <c r="B8" s="17" t="n">
        <v>3564</v>
      </c>
      <c r="C8" s="18">
        <f>(3132.0/B8*100)</f>
        <v/>
      </c>
      <c r="D8" s="19" t="n">
        <v>432</v>
      </c>
      <c r="E8" s="18" t="n">
        <v>19.15026933</v>
      </c>
      <c r="F8" s="20" t="n">
        <v>2.02115293</v>
      </c>
      <c r="G8" s="18" t="n">
        <v>80.05424066</v>
      </c>
      <c r="H8" s="20" t="n">
        <v>2.00775637</v>
      </c>
      <c r="I8" s="18" t="s">
        <v>567</v>
      </c>
      <c r="J8" s="20" t="s">
        <v>567</v>
      </c>
      <c r="K8" s="18" t="n">
        <v>0.19565471</v>
      </c>
      <c r="L8" s="20" t="n">
        <v>0.19871879</v>
      </c>
      <c r="M8" s="18" t="n">
        <v>0</v>
      </c>
      <c r="N8" s="20" t="n">
        <v>0</v>
      </c>
      <c r="O8" s="18" t="n">
        <v>0</v>
      </c>
      <c r="P8" s="20" t="n">
        <v>0</v>
      </c>
      <c r="Q8" s="18" t="n">
        <v>0.5998353</v>
      </c>
      <c r="R8" s="20" t="n">
        <v>0.34739278</v>
      </c>
    </row>
    <row r="9" spans="1:18">
      <c r="A9" s="15" t="s">
        <v>569</v>
      </c>
      <c r="B9" s="17" t="n">
        <v>4899</v>
      </c>
      <c r="C9" s="18">
        <f>(4208.0/B9*100)</f>
        <v/>
      </c>
      <c r="D9" s="19" t="n">
        <v>691</v>
      </c>
      <c r="E9" s="18" t="n">
        <v>34.76606601</v>
      </c>
      <c r="F9" s="20" t="n">
        <v>2.20777382</v>
      </c>
      <c r="G9" s="18" t="n">
        <v>62.2965107</v>
      </c>
      <c r="H9" s="20" t="n">
        <v>2.38586313</v>
      </c>
      <c r="I9" s="18" t="s">
        <v>567</v>
      </c>
      <c r="J9" s="20" t="s">
        <v>567</v>
      </c>
      <c r="K9" s="18" t="n">
        <v>0.36265864</v>
      </c>
      <c r="L9" s="20" t="n">
        <v>0.22880393</v>
      </c>
      <c r="M9" s="18" t="n">
        <v>0</v>
      </c>
      <c r="N9" s="20" t="n">
        <v>0</v>
      </c>
      <c r="O9" s="18" t="n">
        <v>0</v>
      </c>
      <c r="P9" s="20" t="n">
        <v>0</v>
      </c>
      <c r="Q9" s="18" t="n">
        <v>2.57476465</v>
      </c>
      <c r="R9" s="20" t="n">
        <v>0.62350379</v>
      </c>
    </row>
    <row r="10" spans="1:18">
      <c r="A10" s="15" t="s">
        <v>570</v>
      </c>
      <c r="B10" s="17" t="n">
        <v>10036</v>
      </c>
      <c r="C10" s="18">
        <f>(8965.0/B10*100)</f>
        <v/>
      </c>
      <c r="D10" s="19" t="n">
        <v>1071</v>
      </c>
      <c r="E10" s="18" t="n">
        <v>18.4393982</v>
      </c>
      <c r="F10" s="20" t="n">
        <v>1.511052</v>
      </c>
      <c r="G10" s="18" t="n">
        <v>80.91658921</v>
      </c>
      <c r="H10" s="20" t="n">
        <v>1.49210429</v>
      </c>
      <c r="I10" s="18" t="s">
        <v>567</v>
      </c>
      <c r="J10" s="20" t="s">
        <v>567</v>
      </c>
      <c r="K10" s="18" t="n">
        <v>0.01786449</v>
      </c>
      <c r="L10" s="20" t="n">
        <v>0.01791177</v>
      </c>
      <c r="M10" s="18" t="n">
        <v>0</v>
      </c>
      <c r="N10" s="20" t="n">
        <v>0</v>
      </c>
      <c r="O10" s="18" t="n">
        <v>0</v>
      </c>
      <c r="P10" s="20" t="n">
        <v>0</v>
      </c>
      <c r="Q10" s="18" t="n">
        <v>0.6261481</v>
      </c>
      <c r="R10" s="20" t="n">
        <v>0.25267663</v>
      </c>
    </row>
    <row r="11" spans="1:18">
      <c r="A11" s="15" t="s">
        <v>571</v>
      </c>
      <c r="B11" s="17" t="n">
        <v>3553</v>
      </c>
      <c r="C11" s="18">
        <f>(3164.0/B11*100)</f>
        <v/>
      </c>
      <c r="D11" s="19" t="n">
        <v>389</v>
      </c>
      <c r="E11" s="18" t="n">
        <v>34.92200768</v>
      </c>
      <c r="F11" s="20" t="n">
        <v>3.14264906</v>
      </c>
      <c r="G11" s="18" t="n">
        <v>61.44615756</v>
      </c>
      <c r="H11" s="20" t="n">
        <v>3.18396907</v>
      </c>
      <c r="I11" s="18" t="s">
        <v>567</v>
      </c>
      <c r="J11" s="20" t="s">
        <v>567</v>
      </c>
      <c r="K11" s="18" t="n">
        <v>0.54239173</v>
      </c>
      <c r="L11" s="20" t="n">
        <v>0.51823461</v>
      </c>
      <c r="M11" s="18" t="n">
        <v>0</v>
      </c>
      <c r="N11" s="20" t="n">
        <v>0</v>
      </c>
      <c r="O11" s="18" t="n">
        <v>0</v>
      </c>
      <c r="P11" s="20" t="n">
        <v>0</v>
      </c>
      <c r="Q11" s="18" t="n">
        <v>3.08944302</v>
      </c>
      <c r="R11" s="20" t="n">
        <v>0.8687685000000001</v>
      </c>
    </row>
    <row r="12" spans="1:18">
      <c r="A12" s="15" t="s">
        <v>572</v>
      </c>
      <c r="B12" s="17" t="n">
        <v>3472</v>
      </c>
      <c r="C12" s="18">
        <f>(3046.0/B12*100)</f>
        <v/>
      </c>
      <c r="D12" s="19" t="n">
        <v>426</v>
      </c>
      <c r="E12" s="18" t="n">
        <v>25.9958802</v>
      </c>
      <c r="F12" s="20" t="n">
        <v>2.57065098</v>
      </c>
      <c r="G12" s="18" t="n">
        <v>73.03354323000001</v>
      </c>
      <c r="H12" s="20" t="n">
        <v>2.56508141</v>
      </c>
      <c r="I12" s="18" t="s">
        <v>567</v>
      </c>
      <c r="J12" s="20" t="s">
        <v>567</v>
      </c>
      <c r="K12" s="18" t="n">
        <v>0</v>
      </c>
      <c r="L12" s="20" t="n">
        <v>0</v>
      </c>
      <c r="M12" s="18" t="n">
        <v>0</v>
      </c>
      <c r="N12" s="20" t="n">
        <v>0</v>
      </c>
      <c r="O12" s="18" t="n">
        <v>0</v>
      </c>
      <c r="P12" s="20" t="n">
        <v>0</v>
      </c>
      <c r="Q12" s="18" t="n">
        <v>0.97057657</v>
      </c>
      <c r="R12" s="20" t="n">
        <v>0.47474202</v>
      </c>
    </row>
    <row r="13" spans="1:18">
      <c r="A13" s="15" t="s">
        <v>573</v>
      </c>
      <c r="B13" s="17" t="n">
        <v>3559</v>
      </c>
      <c r="C13" s="18">
        <f>(2964.0/B13*100)</f>
        <v/>
      </c>
      <c r="D13" s="19" t="n">
        <v>595</v>
      </c>
      <c r="E13" s="18" t="n">
        <v>42.74913688</v>
      </c>
      <c r="F13" s="20" t="n">
        <v>2.79283014</v>
      </c>
      <c r="G13" s="18" t="n">
        <v>56.05711003</v>
      </c>
      <c r="H13" s="20" t="n">
        <v>2.83053866</v>
      </c>
      <c r="I13" s="18" t="s">
        <v>567</v>
      </c>
      <c r="J13" s="20" t="s">
        <v>567</v>
      </c>
      <c r="K13" s="18" t="n">
        <v>0.27930754</v>
      </c>
      <c r="L13" s="20" t="n">
        <v>0.19478806</v>
      </c>
      <c r="M13" s="18" t="n">
        <v>0</v>
      </c>
      <c r="N13" s="20" t="n">
        <v>0</v>
      </c>
      <c r="O13" s="18" t="n">
        <v>0</v>
      </c>
      <c r="P13" s="20" t="n">
        <v>0</v>
      </c>
      <c r="Q13" s="18" t="n">
        <v>0.9144455500000001</v>
      </c>
      <c r="R13" s="20" t="n">
        <v>0.44249064</v>
      </c>
    </row>
    <row r="14" spans="1:18">
      <c r="A14" s="15" t="s">
        <v>574</v>
      </c>
      <c r="B14" s="17" t="n">
        <v>2799</v>
      </c>
      <c r="C14" s="18">
        <f>(2505.0/B14*100)</f>
        <v/>
      </c>
      <c r="D14" s="19" t="n">
        <v>294</v>
      </c>
      <c r="E14" s="18" t="n">
        <v>20.57934988</v>
      </c>
      <c r="F14" s="20" t="n">
        <v>2.73827113</v>
      </c>
      <c r="G14" s="18" t="n">
        <v>79.42065012</v>
      </c>
      <c r="H14" s="20" t="n">
        <v>2.73827113</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(2689.0/B15*100)</f>
        <v/>
      </c>
      <c r="D15" s="19" t="n">
        <v>330</v>
      </c>
      <c r="E15" s="18" t="n">
        <v>27.54480912</v>
      </c>
      <c r="F15" s="20" t="n">
        <v>3.19411362</v>
      </c>
      <c r="G15" s="18" t="n">
        <v>70.99006224999999</v>
      </c>
      <c r="H15" s="20" t="n">
        <v>3.20247766</v>
      </c>
      <c r="I15" s="18" t="s">
        <v>567</v>
      </c>
      <c r="J15" s="20" t="s">
        <v>567</v>
      </c>
      <c r="K15" s="18" t="n">
        <v>0.53754516</v>
      </c>
      <c r="L15" s="20" t="n">
        <v>0.38160064</v>
      </c>
      <c r="M15" s="18" t="n">
        <v>0</v>
      </c>
      <c r="N15" s="20" t="n">
        <v>0</v>
      </c>
      <c r="O15" s="18" t="n">
        <v>0</v>
      </c>
      <c r="P15" s="20" t="n">
        <v>0</v>
      </c>
      <c r="Q15" s="18" t="n">
        <v>0.92758347</v>
      </c>
      <c r="R15" s="20" t="n">
        <v>0.54033725</v>
      </c>
    </row>
    <row r="16" spans="1:18">
      <c r="A16" s="15" t="s">
        <v>576</v>
      </c>
      <c r="B16" s="17" t="n">
        <v>2997</v>
      </c>
      <c r="C16" s="18">
        <f>(2678.0/B16*100)</f>
        <v/>
      </c>
      <c r="D16" s="19" t="n">
        <v>319</v>
      </c>
      <c r="E16" s="18" t="n">
        <v>31.87914505</v>
      </c>
      <c r="F16" s="20" t="n">
        <v>2.59356131</v>
      </c>
      <c r="G16" s="18" t="n">
        <v>65.07979520000001</v>
      </c>
      <c r="H16" s="20" t="n">
        <v>2.60863642</v>
      </c>
      <c r="I16" s="18" t="s">
        <v>567</v>
      </c>
      <c r="J16" s="20" t="s">
        <v>567</v>
      </c>
      <c r="K16" s="18" t="n">
        <v>0.51460672</v>
      </c>
      <c r="L16" s="20" t="n">
        <v>0.36529192</v>
      </c>
      <c r="M16" s="18" t="n">
        <v>0</v>
      </c>
      <c r="N16" s="20" t="n">
        <v>0</v>
      </c>
      <c r="O16" s="18" t="n">
        <v>0</v>
      </c>
      <c r="P16" s="20" t="n">
        <v>0</v>
      </c>
      <c r="Q16" s="18" t="n">
        <v>2.52645303</v>
      </c>
      <c r="R16" s="20" t="n">
        <v>0.746709</v>
      </c>
    </row>
    <row r="17" spans="1:18">
      <c r="A17" s="15" t="s">
        <v>577</v>
      </c>
      <c r="B17" s="17" t="n">
        <v>3307</v>
      </c>
      <c r="C17" s="18">
        <f>(2874.0/B17*100)</f>
        <v/>
      </c>
      <c r="D17" s="19" t="n">
        <v>433</v>
      </c>
      <c r="E17" s="18" t="n">
        <v>26.14992479</v>
      </c>
      <c r="F17" s="20" t="n">
        <v>2.35742436</v>
      </c>
      <c r="G17" s="18" t="n">
        <v>69.73487985</v>
      </c>
      <c r="H17" s="20" t="n">
        <v>2.44266826</v>
      </c>
      <c r="I17" s="18" t="s">
        <v>567</v>
      </c>
      <c r="J17" s="20" t="s">
        <v>567</v>
      </c>
      <c r="K17" s="18" t="n">
        <v>0.5217416</v>
      </c>
      <c r="L17" s="20" t="n">
        <v>0.43980225</v>
      </c>
      <c r="M17" s="18" t="n">
        <v>0</v>
      </c>
      <c r="N17" s="20" t="n">
        <v>0</v>
      </c>
      <c r="O17" s="18" t="n">
        <v>0</v>
      </c>
      <c r="P17" s="20" t="n">
        <v>0</v>
      </c>
      <c r="Q17" s="18" t="n">
        <v>3.59345376</v>
      </c>
      <c r="R17" s="20" t="n">
        <v>0.94802972</v>
      </c>
    </row>
    <row r="18" spans="1:18">
      <c r="A18" s="15" t="s">
        <v>578</v>
      </c>
      <c r="B18" s="17" t="n">
        <v>2826</v>
      </c>
      <c r="C18" s="18">
        <f>(2505.0/B18*100)</f>
        <v/>
      </c>
      <c r="D18" s="19" t="n">
        <v>321</v>
      </c>
      <c r="E18" s="18" t="n">
        <v>30.35099749</v>
      </c>
      <c r="F18" s="20" t="n">
        <v>2.97373982</v>
      </c>
      <c r="G18" s="18" t="n">
        <v>68.37152669</v>
      </c>
      <c r="H18" s="20" t="n">
        <v>3.11400559</v>
      </c>
      <c r="I18" s="18" t="s">
        <v>567</v>
      </c>
      <c r="J18" s="20" t="s">
        <v>567</v>
      </c>
      <c r="K18" s="18" t="n">
        <v>0</v>
      </c>
      <c r="L18" s="20" t="n">
        <v>0</v>
      </c>
      <c r="M18" s="18" t="n">
        <v>0</v>
      </c>
      <c r="N18" s="20" t="n">
        <v>0</v>
      </c>
      <c r="O18" s="18" t="n">
        <v>0</v>
      </c>
      <c r="P18" s="20" t="n">
        <v>0</v>
      </c>
      <c r="Q18" s="18" t="n">
        <v>1.27747581</v>
      </c>
      <c r="R18" s="20" t="n">
        <v>0.65736779</v>
      </c>
    </row>
    <row r="19" spans="1:18">
      <c r="A19" s="15" t="s">
        <v>579</v>
      </c>
      <c r="B19" s="17" t="n">
        <v>2808</v>
      </c>
      <c r="C19" s="18">
        <f>(2479.0/B19*100)</f>
        <v/>
      </c>
      <c r="D19" s="19" t="n">
        <v>329</v>
      </c>
      <c r="E19" s="18" t="n">
        <v>28.2746884</v>
      </c>
      <c r="F19" s="20" t="n">
        <v>2.7537852</v>
      </c>
      <c r="G19" s="18" t="n">
        <v>71.09604002</v>
      </c>
      <c r="H19" s="20" t="n">
        <v>2.86539768</v>
      </c>
      <c r="I19" s="18" t="s">
        <v>567</v>
      </c>
      <c r="J19" s="20" t="s">
        <v>567</v>
      </c>
      <c r="K19" s="18" t="n">
        <v>0.35175047</v>
      </c>
      <c r="L19" s="20" t="n">
        <v>0.37374207</v>
      </c>
      <c r="M19" s="18" t="n">
        <v>0</v>
      </c>
      <c r="N19" s="20" t="n">
        <v>0</v>
      </c>
      <c r="O19" s="18" t="n">
        <v>0</v>
      </c>
      <c r="P19" s="20" t="n">
        <v>0</v>
      </c>
      <c r="Q19" s="18" t="n">
        <v>0.27752111</v>
      </c>
      <c r="R19" s="20" t="n">
        <v>0.26144281</v>
      </c>
    </row>
    <row r="20" spans="1:18">
      <c r="A20" s="15" t="s">
        <v>580</v>
      </c>
      <c r="B20" s="17" t="n">
        <v>1630</v>
      </c>
      <c r="C20" s="18">
        <f>(1444.0/B20*100)</f>
        <v/>
      </c>
      <c r="D20" s="19" t="n">
        <v>186</v>
      </c>
      <c r="E20" s="18" t="n">
        <v>38.85854214</v>
      </c>
      <c r="F20" s="20" t="n">
        <v>3.59047104</v>
      </c>
      <c r="G20" s="18" t="n">
        <v>60.56167295</v>
      </c>
      <c r="H20" s="20" t="n">
        <v>3.67598936</v>
      </c>
      <c r="I20" s="18" t="s">
        <v>567</v>
      </c>
      <c r="J20" s="20" t="s">
        <v>567</v>
      </c>
      <c r="K20" s="18" t="n">
        <v>0</v>
      </c>
      <c r="L20" s="20" t="n">
        <v>0</v>
      </c>
      <c r="M20" s="18" t="n">
        <v>0</v>
      </c>
      <c r="N20" s="20" t="n">
        <v>0</v>
      </c>
      <c r="O20" s="18" t="n">
        <v>0</v>
      </c>
      <c r="P20" s="20" t="n">
        <v>0</v>
      </c>
      <c r="Q20" s="18" t="n">
        <v>0.57978491</v>
      </c>
      <c r="R20" s="20" t="n">
        <v>0.5696081200000001</v>
      </c>
    </row>
    <row r="21" spans="1:18">
      <c r="A21" s="15" t="s">
        <v>581</v>
      </c>
      <c r="B21" s="17" t="n">
        <v>2908</v>
      </c>
      <c r="C21" s="18">
        <f>(2597.0/B21*100)</f>
        <v/>
      </c>
      <c r="D21" s="19" t="n">
        <v>311</v>
      </c>
      <c r="E21" s="18" t="n">
        <v>19.58441453</v>
      </c>
      <c r="F21" s="20" t="n">
        <v>2.5734396</v>
      </c>
      <c r="G21" s="18" t="n">
        <v>80.41558547</v>
      </c>
      <c r="H21" s="20" t="n">
        <v>2.5734396</v>
      </c>
      <c r="I21" s="18" t="s">
        <v>567</v>
      </c>
      <c r="J21" s="20" t="s">
        <v>567</v>
      </c>
      <c r="K21" s="18" t="n">
        <v>0</v>
      </c>
      <c r="L21" s="20" t="n">
        <v>0</v>
      </c>
      <c r="M21" s="18" t="n">
        <v>0</v>
      </c>
      <c r="N21" s="20" t="n">
        <v>0</v>
      </c>
      <c r="O21" s="18" t="n">
        <v>0</v>
      </c>
      <c r="P21" s="20" t="n">
        <v>0</v>
      </c>
      <c r="Q21" s="18" t="n">
        <v>0</v>
      </c>
      <c r="R21" s="20" t="n">
        <v>0</v>
      </c>
    </row>
    <row r="22" spans="1:18">
      <c r="A22" s="15" t="s">
        <v>582</v>
      </c>
      <c r="B22" s="17" t="n">
        <v>2931</v>
      </c>
      <c r="C22" s="18">
        <f>(2600.0/B22*100)</f>
        <v/>
      </c>
      <c r="D22" s="19" t="n">
        <v>331</v>
      </c>
      <c r="E22" s="18" t="n">
        <v>32.39758946</v>
      </c>
      <c r="F22" s="20" t="n">
        <v>3.53945723</v>
      </c>
      <c r="G22" s="18" t="n">
        <v>64.11394991</v>
      </c>
      <c r="H22" s="20" t="n">
        <v>3.60249062</v>
      </c>
      <c r="I22" s="18" t="s">
        <v>567</v>
      </c>
      <c r="J22" s="20" t="s">
        <v>567</v>
      </c>
      <c r="K22" s="18" t="n">
        <v>0.97167129</v>
      </c>
      <c r="L22" s="20" t="n">
        <v>0.47996016</v>
      </c>
      <c r="M22" s="18" t="n">
        <v>0</v>
      </c>
      <c r="N22" s="20" t="n">
        <v>0</v>
      </c>
      <c r="O22" s="18" t="n">
        <v>0</v>
      </c>
      <c r="P22" s="20" t="n">
        <v>0</v>
      </c>
      <c r="Q22" s="18" t="n">
        <v>2.51678934</v>
      </c>
      <c r="R22" s="20" t="n">
        <v>0.73285182</v>
      </c>
    </row>
    <row r="23" spans="1:18">
      <c r="A23" s="15" t="s">
        <v>583</v>
      </c>
      <c r="B23" s="17" t="n">
        <v>5791</v>
      </c>
      <c r="C23" s="18">
        <f>(5142.0/B23*100)</f>
        <v/>
      </c>
      <c r="D23" s="19" t="n">
        <v>649</v>
      </c>
      <c r="E23" s="18" t="n">
        <v>22.83593099</v>
      </c>
      <c r="F23" s="20" t="n">
        <v>1.99970965</v>
      </c>
      <c r="G23" s="18" t="n">
        <v>74.84511842000001</v>
      </c>
      <c r="H23" s="20" t="n">
        <v>2.09271565</v>
      </c>
      <c r="I23" s="18" t="s">
        <v>567</v>
      </c>
      <c r="J23" s="20" t="s">
        <v>567</v>
      </c>
      <c r="K23" s="18" t="n">
        <v>0.9609734</v>
      </c>
      <c r="L23" s="20" t="n">
        <v>0.41476923</v>
      </c>
      <c r="M23" s="18" t="n">
        <v>0</v>
      </c>
      <c r="N23" s="20" t="n">
        <v>0</v>
      </c>
      <c r="O23" s="18" t="n">
        <v>0</v>
      </c>
      <c r="P23" s="20" t="n">
        <v>0</v>
      </c>
      <c r="Q23" s="18" t="n">
        <v>1.35797719</v>
      </c>
      <c r="R23" s="20" t="n">
        <v>0.6060229499999999</v>
      </c>
    </row>
    <row r="24" spans="1:18">
      <c r="A24" s="15" t="s">
        <v>584</v>
      </c>
      <c r="B24" s="17" t="n">
        <v>3338</v>
      </c>
      <c r="C24" s="18">
        <f>(2969.0/B24*100)</f>
        <v/>
      </c>
      <c r="D24" s="19" t="n">
        <v>369</v>
      </c>
      <c r="E24" s="18" t="n">
        <v>17.41123521</v>
      </c>
      <c r="F24" s="20" t="n">
        <v>1.88014708</v>
      </c>
      <c r="G24" s="18" t="n">
        <v>82.33975373</v>
      </c>
      <c r="H24" s="20" t="n">
        <v>1.87232053</v>
      </c>
      <c r="I24" s="18" t="s">
        <v>567</v>
      </c>
      <c r="J24" s="20" t="s">
        <v>567</v>
      </c>
      <c r="K24" s="18" t="n">
        <v>0</v>
      </c>
      <c r="L24" s="20" t="n">
        <v>0</v>
      </c>
      <c r="M24" s="18" t="n">
        <v>0</v>
      </c>
      <c r="N24" s="20" t="n">
        <v>0</v>
      </c>
      <c r="O24" s="18" t="n">
        <v>0</v>
      </c>
      <c r="P24" s="20" t="n">
        <v>0</v>
      </c>
      <c r="Q24" s="18" t="n">
        <v>0.24901106</v>
      </c>
      <c r="R24" s="20" t="n">
        <v>0.24830791</v>
      </c>
    </row>
    <row r="25" spans="1:18">
      <c r="A25" s="15" t="s">
        <v>585</v>
      </c>
      <c r="B25" s="17" t="n">
        <v>2912</v>
      </c>
      <c r="C25" s="18">
        <f>(2589.0/B25*100)</f>
        <v/>
      </c>
      <c r="D25" s="19" t="n">
        <v>323</v>
      </c>
      <c r="E25" s="18" t="n">
        <v>31.81953248</v>
      </c>
      <c r="F25" s="20" t="n">
        <v>2.81627197</v>
      </c>
      <c r="G25" s="18" t="n">
        <v>66.96639958999999</v>
      </c>
      <c r="H25" s="20" t="n">
        <v>2.898042</v>
      </c>
      <c r="I25" s="18" t="s">
        <v>567</v>
      </c>
      <c r="J25" s="20" t="s">
        <v>567</v>
      </c>
      <c r="K25" s="18" t="n">
        <v>0</v>
      </c>
      <c r="L25" s="20" t="n">
        <v>0</v>
      </c>
      <c r="M25" s="18" t="n">
        <v>0</v>
      </c>
      <c r="N25" s="20" t="n">
        <v>0</v>
      </c>
      <c r="O25" s="18" t="n">
        <v>0</v>
      </c>
      <c r="P25" s="20" t="n">
        <v>0</v>
      </c>
      <c r="Q25" s="18" t="n">
        <v>1.21406793</v>
      </c>
      <c r="R25" s="20" t="n">
        <v>0.61137779</v>
      </c>
    </row>
    <row r="26" spans="1:18">
      <c r="A26" s="15" t="s">
        <v>586</v>
      </c>
      <c r="B26" s="17" t="n">
        <v>2450</v>
      </c>
      <c r="C26" s="18">
        <f>(2207.0/B26*100)</f>
        <v/>
      </c>
      <c r="D26" s="19" t="n">
        <v>243</v>
      </c>
      <c r="E26" s="18" t="n">
        <v>31.60063359</v>
      </c>
      <c r="F26" s="20" t="n">
        <v>2.79600843</v>
      </c>
      <c r="G26" s="18" t="n">
        <v>67.75244931</v>
      </c>
      <c r="H26" s="20" t="n">
        <v>2.81472511</v>
      </c>
      <c r="I26" s="18" t="s">
        <v>567</v>
      </c>
      <c r="J26" s="20" t="s">
        <v>567</v>
      </c>
      <c r="K26" s="18" t="n">
        <v>0.35175939</v>
      </c>
      <c r="L26" s="20" t="n">
        <v>0.35153101</v>
      </c>
      <c r="M26" s="18" t="n">
        <v>0</v>
      </c>
      <c r="N26" s="20" t="n">
        <v>0</v>
      </c>
      <c r="O26" s="18" t="n">
        <v>0</v>
      </c>
      <c r="P26" s="20" t="n">
        <v>0</v>
      </c>
      <c r="Q26" s="18" t="n">
        <v>0.29515771</v>
      </c>
      <c r="R26" s="20" t="n">
        <v>0.2802139</v>
      </c>
    </row>
    <row r="27" spans="1:18">
      <c r="A27" s="15" t="s">
        <v>587</v>
      </c>
      <c r="B27" s="17" t="n">
        <v>2616</v>
      </c>
      <c r="C27" s="18">
        <f>(2355.0/B27*100)</f>
        <v/>
      </c>
      <c r="D27" s="19" t="n">
        <v>261</v>
      </c>
      <c r="E27" s="18" t="n">
        <v>25.88248353</v>
      </c>
      <c r="F27" s="20" t="n">
        <v>2.99483782</v>
      </c>
      <c r="G27" s="18" t="n">
        <v>72.17961819</v>
      </c>
      <c r="H27" s="20" t="n">
        <v>3.01185143</v>
      </c>
      <c r="I27" s="18" t="s">
        <v>567</v>
      </c>
      <c r="J27" s="20" t="s">
        <v>567</v>
      </c>
      <c r="K27" s="18" t="n">
        <v>0.38267455</v>
      </c>
      <c r="L27" s="20" t="n">
        <v>0.38563935</v>
      </c>
      <c r="M27" s="18" t="n">
        <v>0</v>
      </c>
      <c r="N27" s="20" t="n">
        <v>0</v>
      </c>
      <c r="O27" s="18" t="n">
        <v>0</v>
      </c>
      <c r="P27" s="20" t="n">
        <v>0</v>
      </c>
      <c r="Q27" s="18" t="n">
        <v>1.55522373</v>
      </c>
      <c r="R27" s="20" t="n">
        <v>0.76242428</v>
      </c>
    </row>
    <row r="28" spans="1:18">
      <c r="A28" s="15" t="s">
        <v>588</v>
      </c>
      <c r="B28" s="17" t="n">
        <v>3765</v>
      </c>
      <c r="C28" s="18">
        <f>(3346.0/B28*100)</f>
        <v/>
      </c>
      <c r="D28" s="19" t="n">
        <v>419</v>
      </c>
      <c r="E28" s="18" t="n">
        <v>46.53376766</v>
      </c>
      <c r="F28" s="20" t="n">
        <v>2.95711615</v>
      </c>
      <c r="G28" s="18" t="n">
        <v>52.31568808</v>
      </c>
      <c r="H28" s="20" t="n">
        <v>2.86640363</v>
      </c>
      <c r="I28" s="18" t="s">
        <v>567</v>
      </c>
      <c r="J28" s="20" t="s">
        <v>567</v>
      </c>
      <c r="K28" s="18" t="n">
        <v>0.32955058</v>
      </c>
      <c r="L28" s="20" t="n">
        <v>0.37372343</v>
      </c>
      <c r="M28" s="18" t="n">
        <v>0</v>
      </c>
      <c r="N28" s="20" t="n">
        <v>0</v>
      </c>
      <c r="O28" s="18" t="n">
        <v>0</v>
      </c>
      <c r="P28" s="20" t="n">
        <v>0</v>
      </c>
      <c r="Q28" s="18" t="n">
        <v>0.8209936799999999</v>
      </c>
      <c r="R28" s="20" t="n">
        <v>0.49578421</v>
      </c>
    </row>
    <row r="29" spans="1:18">
      <c r="A29" s="15" t="s">
        <v>589</v>
      </c>
      <c r="B29" s="17" t="n">
        <v>2685</v>
      </c>
      <c r="C29" s="18">
        <f>(2297.0/B29*100)</f>
        <v/>
      </c>
      <c r="D29" s="19" t="n">
        <v>388</v>
      </c>
      <c r="E29" s="18" t="n">
        <v>34.88120288</v>
      </c>
      <c r="F29" s="20" t="n">
        <v>3.30301798</v>
      </c>
      <c r="G29" s="18" t="n">
        <v>64.09562805</v>
      </c>
      <c r="H29" s="20" t="n">
        <v>3.33369745</v>
      </c>
      <c r="I29" s="18" t="s">
        <v>567</v>
      </c>
      <c r="J29" s="20" t="s">
        <v>567</v>
      </c>
      <c r="K29" s="18" t="n">
        <v>0.47778682</v>
      </c>
      <c r="L29" s="20" t="n">
        <v>0.31362372</v>
      </c>
      <c r="M29" s="18" t="n">
        <v>0</v>
      </c>
      <c r="N29" s="20" t="n">
        <v>0</v>
      </c>
      <c r="O29" s="18" t="n">
        <v>0</v>
      </c>
      <c r="P29" s="20" t="n">
        <v>0</v>
      </c>
      <c r="Q29" s="18" t="n">
        <v>0.54538226</v>
      </c>
      <c r="R29" s="20" t="n">
        <v>0.352578</v>
      </c>
    </row>
    <row r="30" spans="1:18">
      <c r="A30" s="15" t="s">
        <v>590</v>
      </c>
      <c r="B30" s="17" t="n">
        <v>2263</v>
      </c>
      <c r="C30" s="18">
        <f>(2017.0/B30*100)</f>
        <v/>
      </c>
      <c r="D30" s="19" t="n">
        <v>246</v>
      </c>
      <c r="E30" s="18" t="n">
        <v>20.52267818</v>
      </c>
      <c r="F30" s="20" t="n">
        <v>2.64554977</v>
      </c>
      <c r="G30" s="18" t="n">
        <v>76.16191936</v>
      </c>
      <c r="H30" s="20" t="n">
        <v>2.70210799</v>
      </c>
      <c r="I30" s="18" t="s">
        <v>567</v>
      </c>
      <c r="J30" s="20" t="s">
        <v>567</v>
      </c>
      <c r="K30" s="18" t="n">
        <v>0.92715076</v>
      </c>
      <c r="L30" s="20" t="n">
        <v>0.62857706</v>
      </c>
      <c r="M30" s="18" t="n">
        <v>0</v>
      </c>
      <c r="N30" s="20" t="n">
        <v>0</v>
      </c>
      <c r="O30" s="18" t="n">
        <v>0</v>
      </c>
      <c r="P30" s="20" t="n">
        <v>0</v>
      </c>
      <c r="Q30" s="18" t="n">
        <v>2.38825171</v>
      </c>
      <c r="R30" s="20" t="n">
        <v>0.89384013</v>
      </c>
    </row>
    <row r="31" spans="1:18">
      <c r="A31" s="15" t="s">
        <v>591</v>
      </c>
      <c r="B31" s="17" t="n">
        <v>2750</v>
      </c>
      <c r="C31" s="18">
        <f>(2439.0/B31*100)</f>
        <v/>
      </c>
      <c r="D31" s="19" t="n">
        <v>311</v>
      </c>
      <c r="E31" s="18" t="n">
        <v>27.45641892</v>
      </c>
      <c r="F31" s="20" t="n">
        <v>2.31046539</v>
      </c>
      <c r="G31" s="18" t="n">
        <v>69.72739273000001</v>
      </c>
      <c r="H31" s="20" t="n">
        <v>2.30908477</v>
      </c>
      <c r="I31" s="18" t="s">
        <v>567</v>
      </c>
      <c r="J31" s="20" t="s">
        <v>567</v>
      </c>
      <c r="K31" s="18" t="n">
        <v>0.62342436</v>
      </c>
      <c r="L31" s="20" t="n">
        <v>0.41354868</v>
      </c>
      <c r="M31" s="18" t="n">
        <v>0</v>
      </c>
      <c r="N31" s="20" t="n">
        <v>0</v>
      </c>
      <c r="O31" s="18" t="n">
        <v>0</v>
      </c>
      <c r="P31" s="20" t="n">
        <v>0</v>
      </c>
      <c r="Q31" s="18" t="n">
        <v>2.19276399</v>
      </c>
      <c r="R31" s="20" t="n">
        <v>0.6900293</v>
      </c>
    </row>
    <row r="32" spans="1:18">
      <c r="A32" s="15" t="s">
        <v>592</v>
      </c>
      <c r="B32" s="17" t="n">
        <v>2269</v>
      </c>
      <c r="C32" s="18">
        <f>(2020.0/B32*100)</f>
        <v/>
      </c>
      <c r="D32" s="19" t="n">
        <v>249</v>
      </c>
      <c r="E32" s="18" t="n">
        <v>23.35581048</v>
      </c>
      <c r="F32" s="20" t="n">
        <v>2.39508008</v>
      </c>
      <c r="G32" s="18" t="n">
        <v>75.35893901</v>
      </c>
      <c r="H32" s="20" t="n">
        <v>2.52277809</v>
      </c>
      <c r="I32" s="18" t="s">
        <v>567</v>
      </c>
      <c r="J32" s="20" t="s">
        <v>567</v>
      </c>
      <c r="K32" s="18" t="n">
        <v>0.48745243</v>
      </c>
      <c r="L32" s="20" t="n">
        <v>0.50628118</v>
      </c>
      <c r="M32" s="18" t="n">
        <v>0</v>
      </c>
      <c r="N32" s="20" t="n">
        <v>0</v>
      </c>
      <c r="O32" s="18" t="n">
        <v>0</v>
      </c>
      <c r="P32" s="20" t="n">
        <v>0</v>
      </c>
      <c r="Q32" s="18" t="n">
        <v>0.79779808</v>
      </c>
      <c r="R32" s="20" t="n">
        <v>0.54796584</v>
      </c>
    </row>
    <row r="33" spans="1:18">
      <c r="A33" s="15" t="s">
        <v>593</v>
      </c>
      <c r="B33" s="17" t="n">
        <v>3674</v>
      </c>
      <c r="C33" s="18">
        <f>(3285.0/B33*100)</f>
        <v/>
      </c>
      <c r="D33" s="19" t="n">
        <v>389</v>
      </c>
      <c r="E33" s="18" t="n">
        <v>19.76524288</v>
      </c>
      <c r="F33" s="20" t="n">
        <v>2.41237579</v>
      </c>
      <c r="G33" s="18" t="n">
        <v>78.30950633</v>
      </c>
      <c r="H33" s="20" t="n">
        <v>2.38359788</v>
      </c>
      <c r="I33" s="18" t="s">
        <v>567</v>
      </c>
      <c r="J33" s="20" t="s">
        <v>567</v>
      </c>
      <c r="K33" s="18" t="n">
        <v>0.02298402</v>
      </c>
      <c r="L33" s="20" t="n">
        <v>0.02305183</v>
      </c>
      <c r="M33" s="18" t="n">
        <v>0</v>
      </c>
      <c r="N33" s="20" t="n">
        <v>0</v>
      </c>
      <c r="O33" s="18" t="n">
        <v>0</v>
      </c>
      <c r="P33" s="20" t="n">
        <v>0</v>
      </c>
      <c r="Q33" s="18" t="n">
        <v>1.90226677</v>
      </c>
      <c r="R33" s="20" t="n">
        <v>0.89055471</v>
      </c>
    </row>
    <row r="34" spans="1:18">
      <c r="A34" s="15" t="s">
        <v>594</v>
      </c>
      <c r="B34" s="17" t="n">
        <v>3315</v>
      </c>
      <c r="C34" s="18">
        <f>(2859.0/B34*100)</f>
        <v/>
      </c>
      <c r="D34" s="19" t="n">
        <v>456</v>
      </c>
      <c r="E34" s="18" t="n">
        <v>33.19624382</v>
      </c>
      <c r="F34" s="20" t="n">
        <v>3.28634149</v>
      </c>
      <c r="G34" s="18" t="n">
        <v>65.29666588000001</v>
      </c>
      <c r="H34" s="20" t="n">
        <v>3.31081698</v>
      </c>
      <c r="I34" s="18" t="s">
        <v>567</v>
      </c>
      <c r="J34" s="20" t="s">
        <v>567</v>
      </c>
      <c r="K34" s="18" t="n">
        <v>0.17084065</v>
      </c>
      <c r="L34" s="20" t="n">
        <v>0.17003714</v>
      </c>
      <c r="M34" s="18" t="n">
        <v>0</v>
      </c>
      <c r="N34" s="20" t="n">
        <v>0</v>
      </c>
      <c r="O34" s="18" t="n">
        <v>0</v>
      </c>
      <c r="P34" s="20" t="n">
        <v>0</v>
      </c>
      <c r="Q34" s="18" t="n">
        <v>1.33624966</v>
      </c>
      <c r="R34" s="20" t="n">
        <v>0.5560723400000001</v>
      </c>
    </row>
    <row r="35" spans="1:18">
      <c r="A35" s="15" t="s">
        <v>595</v>
      </c>
      <c r="B35" s="17" t="n">
        <v>3505</v>
      </c>
      <c r="C35" s="18">
        <f>(3014.0/B35*100)</f>
        <v/>
      </c>
      <c r="D35" s="19" t="n">
        <v>491</v>
      </c>
      <c r="E35" s="18" t="n">
        <v>33.8262717</v>
      </c>
      <c r="F35" s="20" t="n">
        <v>2.27633906</v>
      </c>
      <c r="G35" s="18" t="n">
        <v>64.6659834</v>
      </c>
      <c r="H35" s="20" t="n">
        <v>2.37965255</v>
      </c>
      <c r="I35" s="18" t="s">
        <v>567</v>
      </c>
      <c r="J35" s="20" t="s">
        <v>567</v>
      </c>
      <c r="K35" s="18" t="n">
        <v>0</v>
      </c>
      <c r="L35" s="20" t="n">
        <v>0</v>
      </c>
      <c r="M35" s="18" t="n">
        <v>0</v>
      </c>
      <c r="N35" s="20" t="n">
        <v>0</v>
      </c>
      <c r="O35" s="18" t="n">
        <v>0</v>
      </c>
      <c r="P35" s="20" t="n">
        <v>0</v>
      </c>
      <c r="Q35" s="18" t="n">
        <v>1.5077449</v>
      </c>
      <c r="R35" s="20" t="n">
        <v>0.50711545</v>
      </c>
    </row>
    <row r="36" spans="1:18">
      <c r="A36" s="15" t="s">
        <v>596</v>
      </c>
      <c r="B36" s="17" t="n">
        <v>3332</v>
      </c>
      <c r="C36" s="18">
        <f>(2979.0/B36*100)</f>
        <v/>
      </c>
      <c r="D36" s="19" t="n">
        <v>353</v>
      </c>
      <c r="E36" s="18" t="n">
        <v>19.05288382</v>
      </c>
      <c r="F36" s="20" t="n">
        <v>2.24055668</v>
      </c>
      <c r="G36" s="18" t="n">
        <v>80.12777637000001</v>
      </c>
      <c r="H36" s="20" t="n">
        <v>2.26341544</v>
      </c>
      <c r="I36" s="18" t="s">
        <v>567</v>
      </c>
      <c r="J36" s="20" t="s">
        <v>567</v>
      </c>
      <c r="K36" s="18" t="n">
        <v>0.16126846</v>
      </c>
      <c r="L36" s="20" t="n">
        <v>0.14787155</v>
      </c>
      <c r="M36" s="18" t="n">
        <v>0</v>
      </c>
      <c r="N36" s="20" t="n">
        <v>0</v>
      </c>
      <c r="O36" s="18" t="n">
        <v>0</v>
      </c>
      <c r="P36" s="20" t="n">
        <v>0</v>
      </c>
      <c r="Q36" s="18" t="n">
        <v>0.65807134</v>
      </c>
      <c r="R36" s="20" t="n">
        <v>0.50008022</v>
      </c>
    </row>
    <row r="37" spans="1:18">
      <c r="A37" s="15" t="s">
        <v>597</v>
      </c>
      <c r="B37" s="17" t="n">
        <v>2727</v>
      </c>
      <c r="C37" s="18">
        <f>(2425.0/B37*100)</f>
        <v/>
      </c>
      <c r="D37" s="19" t="n">
        <v>302</v>
      </c>
      <c r="E37" s="18" t="n">
        <v>30.924904</v>
      </c>
      <c r="F37" s="20" t="n">
        <v>2.56033045</v>
      </c>
      <c r="G37" s="18" t="n">
        <v>66.8641011</v>
      </c>
      <c r="H37" s="20" t="n">
        <v>2.63062239</v>
      </c>
      <c r="I37" s="18" t="s">
        <v>567</v>
      </c>
      <c r="J37" s="20" t="s">
        <v>567</v>
      </c>
      <c r="K37" s="18" t="n">
        <v>1.30005949</v>
      </c>
      <c r="L37" s="20" t="n">
        <v>0.72096802</v>
      </c>
      <c r="M37" s="18" t="n">
        <v>0</v>
      </c>
      <c r="N37" s="20" t="n">
        <v>0</v>
      </c>
      <c r="O37" s="18" t="n">
        <v>0</v>
      </c>
      <c r="P37" s="20" t="n">
        <v>0</v>
      </c>
      <c r="Q37" s="18" t="n">
        <v>0.91093541</v>
      </c>
      <c r="R37" s="20" t="n">
        <v>0.5178945700000001</v>
      </c>
    </row>
    <row r="38" spans="1:18">
      <c r="A38" s="15" t="s">
        <v>598</v>
      </c>
      <c r="B38" s="17" t="n">
        <v>3053</v>
      </c>
      <c r="C38" s="18">
        <f>(2720.0/B38*100)</f>
        <v/>
      </c>
      <c r="D38" s="19" t="n">
        <v>333</v>
      </c>
      <c r="E38" s="18" t="n">
        <v>26.55421572</v>
      </c>
      <c r="F38" s="20" t="n">
        <v>3.55448366</v>
      </c>
      <c r="G38" s="18" t="n">
        <v>72.24759668999999</v>
      </c>
      <c r="H38" s="20" t="n">
        <v>3.65756524</v>
      </c>
      <c r="I38" s="18" t="s">
        <v>567</v>
      </c>
      <c r="J38" s="20" t="s">
        <v>567</v>
      </c>
      <c r="K38" s="18" t="n">
        <v>0.25384447</v>
      </c>
      <c r="L38" s="20" t="n">
        <v>0.2549003</v>
      </c>
      <c r="M38" s="18" t="n">
        <v>0</v>
      </c>
      <c r="N38" s="20" t="n">
        <v>0</v>
      </c>
      <c r="O38" s="18" t="n">
        <v>0</v>
      </c>
      <c r="P38" s="20" t="n">
        <v>0</v>
      </c>
      <c r="Q38" s="18" t="n">
        <v>0.94434313</v>
      </c>
      <c r="R38" s="20" t="n">
        <v>0.54912776</v>
      </c>
    </row>
    <row r="39" spans="1:18">
      <c r="A39" s="15" t="s">
        <v>599</v>
      </c>
      <c r="B39" s="17" t="n">
        <v>2957</v>
      </c>
      <c r="C39" s="18">
        <f>(2633.0/B39*100)</f>
        <v/>
      </c>
      <c r="D39" s="19" t="n">
        <v>324</v>
      </c>
      <c r="E39" s="18" t="n">
        <v>33.33576336</v>
      </c>
      <c r="F39" s="20" t="n">
        <v>3.54413934</v>
      </c>
      <c r="G39" s="18" t="n">
        <v>65.29244844</v>
      </c>
      <c r="H39" s="20" t="n">
        <v>3.55140721</v>
      </c>
      <c r="I39" s="18" t="s">
        <v>567</v>
      </c>
      <c r="J39" s="20" t="s">
        <v>567</v>
      </c>
      <c r="K39" s="18" t="n">
        <v>1.09851088</v>
      </c>
      <c r="L39" s="20" t="n">
        <v>0.6252323</v>
      </c>
      <c r="M39" s="18" t="n">
        <v>0</v>
      </c>
      <c r="N39" s="20" t="n">
        <v>0</v>
      </c>
      <c r="O39" s="18" t="n">
        <v>0</v>
      </c>
      <c r="P39" s="20" t="n">
        <v>0</v>
      </c>
      <c r="Q39" s="18" t="n">
        <v>0.27327732</v>
      </c>
      <c r="R39" s="20" t="n">
        <v>0.2809599</v>
      </c>
    </row>
    <row r="40" spans="1:18">
      <c r="A40" s="15" t="s">
        <v>600</v>
      </c>
      <c r="B40" s="17" t="n">
        <v>7235</v>
      </c>
      <c r="C40" s="18">
        <f>(6430.0/B40*100)</f>
        <v/>
      </c>
      <c r="D40" s="19" t="n">
        <v>805</v>
      </c>
      <c r="E40" s="18" t="n">
        <v>22.83845683</v>
      </c>
      <c r="F40" s="20" t="n">
        <v>2.29824811</v>
      </c>
      <c r="G40" s="18" t="n">
        <v>75.02245533999999</v>
      </c>
      <c r="H40" s="20" t="n">
        <v>2.3551177</v>
      </c>
      <c r="I40" s="18" t="s">
        <v>567</v>
      </c>
      <c r="J40" s="20" t="s">
        <v>567</v>
      </c>
      <c r="K40" s="18" t="n">
        <v>0.02483154</v>
      </c>
      <c r="L40" s="20" t="n">
        <v>0.02571724</v>
      </c>
      <c r="M40" s="18" t="n">
        <v>0</v>
      </c>
      <c r="N40" s="20" t="n">
        <v>0</v>
      </c>
      <c r="O40" s="18" t="n">
        <v>0</v>
      </c>
      <c r="P40" s="20" t="n">
        <v>0</v>
      </c>
      <c r="Q40" s="18" t="n">
        <v>2.11425629</v>
      </c>
      <c r="R40" s="20" t="n">
        <v>0.84155575</v>
      </c>
    </row>
    <row r="41" spans="1:18">
      <c r="A41" s="15" t="s">
        <v>601</v>
      </c>
      <c r="B41" s="17" t="n">
        <v>2858</v>
      </c>
      <c r="C41" s="18">
        <f>(2518.0/B41*100)</f>
        <v/>
      </c>
      <c r="D41" s="19" t="n">
        <v>340</v>
      </c>
      <c r="E41" s="18" t="n">
        <v>30.15839651</v>
      </c>
      <c r="F41" s="20" t="n">
        <v>3.03985686</v>
      </c>
      <c r="G41" s="18" t="n">
        <v>68.95486337</v>
      </c>
      <c r="H41" s="20" t="n">
        <v>3.0467631</v>
      </c>
      <c r="I41" s="18" t="s">
        <v>567</v>
      </c>
      <c r="J41" s="20" t="s">
        <v>567</v>
      </c>
      <c r="K41" s="18" t="n">
        <v>0.72697514</v>
      </c>
      <c r="L41" s="20" t="n">
        <v>0.5066961</v>
      </c>
      <c r="M41" s="18" t="n">
        <v>0</v>
      </c>
      <c r="N41" s="20" t="n">
        <v>0</v>
      </c>
      <c r="O41" s="18" t="n">
        <v>0</v>
      </c>
      <c r="P41" s="20" t="n">
        <v>0</v>
      </c>
      <c r="Q41" s="18" t="n">
        <v>0.15976497</v>
      </c>
      <c r="R41" s="20" t="n">
        <v>0.18039105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(9926.0/B46*100)</f>
        <v/>
      </c>
      <c r="D46" s="19" t="n">
        <v>1142</v>
      </c>
      <c r="E46" s="18" t="n">
        <v>46.34206484</v>
      </c>
      <c r="F46" s="20" t="n">
        <v>2.53443606</v>
      </c>
      <c r="G46" s="18" t="n">
        <v>51.29031355</v>
      </c>
      <c r="H46" s="20" t="n">
        <v>2.46669174</v>
      </c>
      <c r="I46" s="18" t="s">
        <v>567</v>
      </c>
      <c r="J46" s="20" t="s">
        <v>567</v>
      </c>
      <c r="K46" s="18" t="n">
        <v>0.31237738</v>
      </c>
      <c r="L46" s="20" t="n">
        <v>0.1724962</v>
      </c>
      <c r="M46" s="18" t="n">
        <v>0</v>
      </c>
      <c r="N46" s="20" t="n">
        <v>0</v>
      </c>
      <c r="O46" s="18" t="n">
        <v>0</v>
      </c>
      <c r="P46" s="20" t="n">
        <v>0</v>
      </c>
      <c r="Q46" s="18" t="n">
        <v>2.05524423</v>
      </c>
      <c r="R46" s="20" t="n">
        <v>0.70121585</v>
      </c>
    </row>
    <row r="47" spans="1:18">
      <c r="A47" s="15" t="s">
        <v>607</v>
      </c>
      <c r="B47" s="17" t="n">
        <v>3105</v>
      </c>
      <c r="C47" s="18">
        <f>(2778.0/B47*100)</f>
        <v/>
      </c>
      <c r="D47" s="19" t="n">
        <v>327</v>
      </c>
      <c r="E47" s="18" t="n">
        <v>34.16808409</v>
      </c>
      <c r="F47" s="20" t="n">
        <v>2.74010291</v>
      </c>
      <c r="G47" s="18" t="n">
        <v>64.01183886</v>
      </c>
      <c r="H47" s="20" t="n">
        <v>2.92177071</v>
      </c>
      <c r="I47" s="18" t="s">
        <v>567</v>
      </c>
      <c r="J47" s="20" t="s">
        <v>567</v>
      </c>
      <c r="K47" s="18" t="n">
        <v>0</v>
      </c>
      <c r="L47" s="20" t="n">
        <v>0</v>
      </c>
      <c r="M47" s="18" t="n">
        <v>0</v>
      </c>
      <c r="N47" s="20" t="n">
        <v>0</v>
      </c>
      <c r="O47" s="18" t="n">
        <v>0</v>
      </c>
      <c r="P47" s="20" t="n">
        <v>0</v>
      </c>
      <c r="Q47" s="18" t="n">
        <v>1.82007705</v>
      </c>
      <c r="R47" s="20" t="n">
        <v>0.67694552</v>
      </c>
    </row>
    <row r="48" spans="1:18">
      <c r="A48" s="15" t="s">
        <v>608</v>
      </c>
      <c r="B48" s="17" t="n">
        <v>5159</v>
      </c>
      <c r="C48" s="18">
        <f>(4576.0/B48*100)</f>
        <v/>
      </c>
      <c r="D48" s="19" t="n">
        <v>583</v>
      </c>
      <c r="E48" s="18" t="n">
        <v>26.72382134</v>
      </c>
      <c r="F48" s="20" t="n">
        <v>2.41754676</v>
      </c>
      <c r="G48" s="18" t="n">
        <v>72.39475293</v>
      </c>
      <c r="H48" s="20" t="n">
        <v>2.4754935</v>
      </c>
      <c r="I48" s="18" t="s">
        <v>567</v>
      </c>
      <c r="J48" s="20" t="s">
        <v>567</v>
      </c>
      <c r="K48" s="18" t="n">
        <v>0.43383739</v>
      </c>
      <c r="L48" s="20" t="n">
        <v>0.26026401</v>
      </c>
      <c r="M48" s="18" t="n">
        <v>0</v>
      </c>
      <c r="N48" s="20" t="n">
        <v>0</v>
      </c>
      <c r="O48" s="18" t="n">
        <v>0</v>
      </c>
      <c r="P48" s="20" t="n">
        <v>0</v>
      </c>
      <c r="Q48" s="18" t="n">
        <v>0.44758833</v>
      </c>
      <c r="R48" s="20" t="n">
        <v>0.31663318</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(5008.0/B50*100)</f>
        <v/>
      </c>
      <c r="D50" s="19" t="n">
        <v>629</v>
      </c>
      <c r="E50" s="18" t="n">
        <v>42.66656407</v>
      </c>
      <c r="F50" s="20" t="n">
        <v>2.7276875</v>
      </c>
      <c r="G50" s="18" t="n">
        <v>54.79482465</v>
      </c>
      <c r="H50" s="20" t="n">
        <v>2.87250255</v>
      </c>
      <c r="I50" s="18" t="s">
        <v>567</v>
      </c>
      <c r="J50" s="20" t="s">
        <v>567</v>
      </c>
      <c r="K50" s="18" t="n">
        <v>1.61405027</v>
      </c>
      <c r="L50" s="20" t="n">
        <v>0.85414554</v>
      </c>
      <c r="M50" s="18" t="n">
        <v>0</v>
      </c>
      <c r="N50" s="20" t="n">
        <v>0</v>
      </c>
      <c r="O50" s="18" t="n">
        <v>0</v>
      </c>
      <c r="P50" s="20" t="n">
        <v>0</v>
      </c>
      <c r="Q50" s="18" t="n">
        <v>0.92456102</v>
      </c>
      <c r="R50" s="20" t="n">
        <v>0.5337606499999999</v>
      </c>
    </row>
    <row r="51" spans="1:18">
      <c r="A51" s="15" t="s">
        <v>611</v>
      </c>
      <c r="B51" s="17" t="n">
        <v>3372</v>
      </c>
      <c r="C51" s="18">
        <f>(2672.0/B51*100)</f>
        <v/>
      </c>
      <c r="D51" s="19" t="n">
        <v>700</v>
      </c>
      <c r="E51" s="18" t="n">
        <v>39.99923868</v>
      </c>
      <c r="F51" s="20" t="n">
        <v>1.99983759</v>
      </c>
      <c r="G51" s="18" t="n">
        <v>57.7286032</v>
      </c>
      <c r="H51" s="20" t="n">
        <v>2.11893148</v>
      </c>
      <c r="I51" s="18" t="s">
        <v>567</v>
      </c>
      <c r="J51" s="20" t="s">
        <v>567</v>
      </c>
      <c r="K51" s="18" t="n">
        <v>0.21160923</v>
      </c>
      <c r="L51" s="20" t="n">
        <v>0.19057396</v>
      </c>
      <c r="M51" s="18" t="n">
        <v>0</v>
      </c>
      <c r="N51" s="20" t="n">
        <v>0</v>
      </c>
      <c r="O51" s="18" t="n">
        <v>0</v>
      </c>
      <c r="P51" s="20" t="n">
        <v>0</v>
      </c>
      <c r="Q51" s="18" t="n">
        <v>2.06054889</v>
      </c>
      <c r="R51" s="20" t="n">
        <v>0.54002485</v>
      </c>
    </row>
    <row r="52" spans="1:18">
      <c r="A52" s="15" t="s">
        <v>612</v>
      </c>
      <c r="B52" s="17" t="n">
        <v>2796</v>
      </c>
      <c r="C52" s="18">
        <f>(2443.0/B52*100)</f>
        <v/>
      </c>
      <c r="D52" s="19" t="n">
        <v>353</v>
      </c>
      <c r="E52" s="18" t="n">
        <v>19.80619357</v>
      </c>
      <c r="F52" s="20" t="n">
        <v>2.32551316</v>
      </c>
      <c r="G52" s="18" t="n">
        <v>77.94749878</v>
      </c>
      <c r="H52" s="20" t="n">
        <v>2.43717091</v>
      </c>
      <c r="I52" s="18" t="s">
        <v>567</v>
      </c>
      <c r="J52" s="20" t="s">
        <v>567</v>
      </c>
      <c r="K52" s="18" t="n">
        <v>0</v>
      </c>
      <c r="L52" s="20" t="n">
        <v>0</v>
      </c>
      <c r="M52" s="18" t="n">
        <v>0</v>
      </c>
      <c r="N52" s="20" t="n">
        <v>0</v>
      </c>
      <c r="O52" s="18" t="n">
        <v>0</v>
      </c>
      <c r="P52" s="20" t="n">
        <v>0</v>
      </c>
      <c r="Q52" s="18" t="n">
        <v>2.24630765</v>
      </c>
      <c r="R52" s="20" t="n">
        <v>0.8386068800000001</v>
      </c>
    </row>
    <row r="53" spans="1:18">
      <c r="A53" s="15" t="s">
        <v>613</v>
      </c>
      <c r="B53" s="17" t="n">
        <v>2811</v>
      </c>
      <c r="C53" s="18">
        <f>(2517.0/B53*100)</f>
        <v/>
      </c>
      <c r="D53" s="19" t="n">
        <v>294</v>
      </c>
      <c r="E53" s="18" t="n">
        <v>30.51780631</v>
      </c>
      <c r="F53" s="20" t="n">
        <v>3.04258846</v>
      </c>
      <c r="G53" s="18" t="n">
        <v>65.77286565</v>
      </c>
      <c r="H53" s="20" t="n">
        <v>2.94625722</v>
      </c>
      <c r="I53" s="18" t="s">
        <v>567</v>
      </c>
      <c r="J53" s="20" t="s">
        <v>567</v>
      </c>
      <c r="K53" s="18" t="n">
        <v>0.72700448</v>
      </c>
      <c r="L53" s="20" t="n">
        <v>0.41522473</v>
      </c>
      <c r="M53" s="18" t="n">
        <v>0</v>
      </c>
      <c r="N53" s="20" t="n">
        <v>0</v>
      </c>
      <c r="O53" s="18" t="n">
        <v>0</v>
      </c>
      <c r="P53" s="20" t="n">
        <v>0</v>
      </c>
      <c r="Q53" s="18" t="n">
        <v>2.98232356</v>
      </c>
      <c r="R53" s="20" t="n">
        <v>1.06252074</v>
      </c>
    </row>
    <row r="54" spans="1:18">
      <c r="A54" s="15" t="s">
        <v>614</v>
      </c>
      <c r="B54" s="17" t="n">
        <v>2266</v>
      </c>
      <c r="C54" s="18">
        <f>(2007.0/B54*100)</f>
        <v/>
      </c>
      <c r="D54" s="19" t="n">
        <v>259</v>
      </c>
      <c r="E54" s="18" t="n">
        <v>55.63702282</v>
      </c>
      <c r="F54" s="20" t="n">
        <v>3.5708549</v>
      </c>
      <c r="G54" s="18" t="n">
        <v>34.74805032</v>
      </c>
      <c r="H54" s="20" t="n">
        <v>3.56819159</v>
      </c>
      <c r="I54" s="18" t="s">
        <v>567</v>
      </c>
      <c r="J54" s="20" t="s">
        <v>567</v>
      </c>
      <c r="K54" s="18" t="n">
        <v>5.90156129</v>
      </c>
      <c r="L54" s="20" t="n">
        <v>1.98114557</v>
      </c>
      <c r="M54" s="18" t="n">
        <v>0</v>
      </c>
      <c r="N54" s="20" t="n">
        <v>0</v>
      </c>
      <c r="O54" s="18" t="n">
        <v>0</v>
      </c>
      <c r="P54" s="20" t="n">
        <v>0</v>
      </c>
      <c r="Q54" s="18" t="n">
        <v>3.71336558</v>
      </c>
      <c r="R54" s="20" t="n">
        <v>1.32073775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(2374.0/B56*100)</f>
        <v/>
      </c>
      <c r="D56" s="19" t="n">
        <v>310</v>
      </c>
      <c r="E56" s="18" t="n">
        <v>23.60000596</v>
      </c>
      <c r="F56" s="20" t="n">
        <v>2.35583977</v>
      </c>
      <c r="G56" s="18" t="n">
        <v>74.07384756</v>
      </c>
      <c r="H56" s="20" t="n">
        <v>2.51823017</v>
      </c>
      <c r="I56" s="18" t="s">
        <v>567</v>
      </c>
      <c r="J56" s="20" t="s">
        <v>567</v>
      </c>
      <c r="K56" s="18" t="n">
        <v>0.27027505</v>
      </c>
      <c r="L56" s="20" t="n">
        <v>0.27667304</v>
      </c>
      <c r="M56" s="18" t="n">
        <v>0</v>
      </c>
      <c r="N56" s="20" t="n">
        <v>0</v>
      </c>
      <c r="O56" s="18" t="n">
        <v>0</v>
      </c>
      <c r="P56" s="20" t="n">
        <v>0</v>
      </c>
      <c r="Q56" s="18" t="n">
        <v>2.05587143</v>
      </c>
      <c r="R56" s="20" t="n">
        <v>0.78543948</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(2904.0/B61*100)</f>
        <v/>
      </c>
      <c r="D61" s="19" t="n">
        <v>420</v>
      </c>
      <c r="E61" s="18" t="n">
        <v>35.94982394</v>
      </c>
      <c r="F61" s="20" t="n">
        <v>2.47829425</v>
      </c>
      <c r="G61" s="18" t="n">
        <v>63.56882501</v>
      </c>
      <c r="H61" s="20" t="n">
        <v>2.47279338</v>
      </c>
      <c r="I61" s="18" t="s">
        <v>567</v>
      </c>
      <c r="J61" s="20" t="s">
        <v>567</v>
      </c>
      <c r="K61" s="18" t="n">
        <v>0.05756394</v>
      </c>
      <c r="L61" s="20" t="n">
        <v>0.05749659</v>
      </c>
      <c r="M61" s="18" t="n">
        <v>0</v>
      </c>
      <c r="N61" s="20" t="n">
        <v>0</v>
      </c>
      <c r="O61" s="18" t="n">
        <v>0</v>
      </c>
      <c r="P61" s="20" t="n">
        <v>0</v>
      </c>
      <c r="Q61" s="18" t="n">
        <v>0.4237871</v>
      </c>
      <c r="R61" s="20" t="n">
        <v>0.31541841</v>
      </c>
    </row>
    <row r="62" spans="1:18">
      <c r="A62" s="15" t="s">
        <v>622</v>
      </c>
      <c r="B62" s="17" t="n">
        <v>2246</v>
      </c>
      <c r="C62" s="18">
        <f>(1991.0/B62*100)</f>
        <v/>
      </c>
      <c r="D62" s="19" t="n">
        <v>255</v>
      </c>
      <c r="E62" s="18" t="n">
        <v>19.26201896</v>
      </c>
      <c r="F62" s="20" t="n">
        <v>2.49914071</v>
      </c>
      <c r="G62" s="18" t="n">
        <v>80.34815222</v>
      </c>
      <c r="H62" s="20" t="n">
        <v>2.49375133</v>
      </c>
      <c r="I62" s="18" t="s">
        <v>567</v>
      </c>
      <c r="J62" s="20" t="s">
        <v>567</v>
      </c>
      <c r="K62" s="18" t="n">
        <v>0</v>
      </c>
      <c r="L62" s="20" t="n">
        <v>0</v>
      </c>
      <c r="M62" s="18" t="n">
        <v>0</v>
      </c>
      <c r="N62" s="20" t="n">
        <v>0</v>
      </c>
      <c r="O62" s="18" t="n">
        <v>0</v>
      </c>
      <c r="P62" s="20" t="n">
        <v>0</v>
      </c>
      <c r="Q62" s="18" t="n">
        <v>0.38982882</v>
      </c>
      <c r="R62" s="20" t="n">
        <v>0.39470974</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(2554.0/B66*100)</f>
        <v/>
      </c>
      <c r="D66" s="19" t="n">
        <v>340</v>
      </c>
      <c r="E66" s="18" t="n">
        <v>38.15185643</v>
      </c>
      <c r="F66" s="20" t="n">
        <v>2.49953884</v>
      </c>
      <c r="G66" s="18" t="n">
        <v>58.33237093</v>
      </c>
      <c r="H66" s="20" t="n">
        <v>2.47427261</v>
      </c>
      <c r="I66" s="18" t="s">
        <v>567</v>
      </c>
      <c r="J66" s="20" t="s">
        <v>567</v>
      </c>
      <c r="K66" s="18" t="n">
        <v>0.28980914</v>
      </c>
      <c r="L66" s="20" t="n">
        <v>0.28680367</v>
      </c>
      <c r="M66" s="18" t="n">
        <v>0</v>
      </c>
      <c r="N66" s="20" t="n">
        <v>0</v>
      </c>
      <c r="O66" s="18" t="n">
        <v>0</v>
      </c>
      <c r="P66" s="20" t="n">
        <v>0</v>
      </c>
      <c r="Q66" s="18" t="n">
        <v>3.2259635</v>
      </c>
      <c r="R66" s="20" t="n">
        <v>0.98523407</v>
      </c>
    </row>
    <row r="67" spans="1:18">
      <c r="A67" s="15" t="s">
        <v>627</v>
      </c>
      <c r="B67" s="17" t="n">
        <v>3511</v>
      </c>
      <c r="C67" s="18">
        <f>(3139.0/B67*100)</f>
        <v/>
      </c>
      <c r="D67" s="19" t="n">
        <v>372</v>
      </c>
      <c r="E67" s="18" t="n">
        <v>44.34790883</v>
      </c>
      <c r="F67" s="20" t="n">
        <v>2.95447271</v>
      </c>
      <c r="G67" s="18" t="n">
        <v>54.37721614</v>
      </c>
      <c r="H67" s="20" t="n">
        <v>2.95332733</v>
      </c>
      <c r="I67" s="18" t="s">
        <v>567</v>
      </c>
      <c r="J67" s="20" t="s">
        <v>567</v>
      </c>
      <c r="K67" s="18" t="n">
        <v>0</v>
      </c>
      <c r="L67" s="20" t="n">
        <v>0</v>
      </c>
      <c r="M67" s="18" t="n">
        <v>0</v>
      </c>
      <c r="N67" s="20" t="n">
        <v>0</v>
      </c>
      <c r="O67" s="18" t="n">
        <v>0</v>
      </c>
      <c r="P67" s="20" t="n">
        <v>0</v>
      </c>
      <c r="Q67" s="18" t="n">
        <v>1.27487503</v>
      </c>
      <c r="R67" s="20" t="n">
        <v>0.56281735</v>
      </c>
    </row>
    <row r="68" spans="1:18">
      <c r="A68" s="15" t="s">
        <v>628</v>
      </c>
      <c r="B68" s="17" t="n">
        <v>6049</v>
      </c>
      <c r="C68" s="18">
        <f>(5385.0/B68*100)</f>
        <v/>
      </c>
      <c r="D68" s="19" t="n">
        <v>664</v>
      </c>
      <c r="E68" s="18" t="n">
        <v>35.04796816</v>
      </c>
      <c r="F68" s="20" t="n">
        <v>1.63292182</v>
      </c>
      <c r="G68" s="18" t="n">
        <v>61.81068641</v>
      </c>
      <c r="H68" s="20" t="n">
        <v>1.69326729</v>
      </c>
      <c r="I68" s="18" t="s">
        <v>567</v>
      </c>
      <c r="J68" s="20" t="s">
        <v>567</v>
      </c>
      <c r="K68" s="18" t="n">
        <v>1.07078753</v>
      </c>
      <c r="L68" s="20" t="n">
        <v>0.40751488</v>
      </c>
      <c r="M68" s="18" t="n">
        <v>0</v>
      </c>
      <c r="N68" s="20" t="n">
        <v>0</v>
      </c>
      <c r="O68" s="18" t="n">
        <v>0</v>
      </c>
      <c r="P68" s="20" t="n">
        <v>0</v>
      </c>
      <c r="Q68" s="18" t="n">
        <v>2.07055791</v>
      </c>
      <c r="R68" s="20" t="n">
        <v>0.48104649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(2612.0/B70*100)</f>
        <v/>
      </c>
      <c r="D70" s="19" t="n">
        <v>317</v>
      </c>
      <c r="E70" s="18" t="n">
        <v>25.72426676</v>
      </c>
      <c r="F70" s="20" t="n">
        <v>2.75408603</v>
      </c>
      <c r="G70" s="18" t="n">
        <v>72.27864071</v>
      </c>
      <c r="H70" s="20" t="n">
        <v>2.73956846</v>
      </c>
      <c r="I70" s="18" t="s">
        <v>567</v>
      </c>
      <c r="J70" s="20" t="s">
        <v>567</v>
      </c>
      <c r="K70" s="18" t="n">
        <v>0</v>
      </c>
      <c r="L70" s="20" t="n">
        <v>0</v>
      </c>
      <c r="M70" s="18" t="n">
        <v>0</v>
      </c>
      <c r="N70" s="20" t="n">
        <v>0</v>
      </c>
      <c r="O70" s="18" t="n">
        <v>0</v>
      </c>
      <c r="P70" s="20" t="n">
        <v>0</v>
      </c>
      <c r="Q70" s="18" t="n">
        <v>1.99709253</v>
      </c>
      <c r="R70" s="20" t="n">
        <v>0.43730519</v>
      </c>
    </row>
    <row r="71" spans="1:18">
      <c r="A71" s="15" t="s">
        <v>631</v>
      </c>
      <c r="B71" s="17" t="n">
        <v>3142</v>
      </c>
      <c r="C71" s="18">
        <f>(2783.0/B71*100)</f>
        <v/>
      </c>
      <c r="D71" s="19" t="n">
        <v>359</v>
      </c>
      <c r="E71" s="18" t="n">
        <v>12.80807202</v>
      </c>
      <c r="F71" s="20" t="n">
        <v>1.61894953</v>
      </c>
      <c r="G71" s="18" t="n">
        <v>86.97773343</v>
      </c>
      <c r="H71" s="20" t="n">
        <v>1.655858</v>
      </c>
      <c r="I71" s="18" t="s">
        <v>567</v>
      </c>
      <c r="J71" s="20" t="s">
        <v>567</v>
      </c>
      <c r="K71" s="18" t="n">
        <v>0</v>
      </c>
      <c r="L71" s="20" t="n">
        <v>0</v>
      </c>
      <c r="M71" s="18" t="n">
        <v>0</v>
      </c>
      <c r="N71" s="20" t="n">
        <v>0</v>
      </c>
      <c r="O71" s="18" t="n">
        <v>0</v>
      </c>
      <c r="P71" s="20" t="n">
        <v>0</v>
      </c>
      <c r="Q71" s="18" t="n">
        <v>0.21419454</v>
      </c>
      <c r="R71" s="20" t="n">
        <v>0.2128053</v>
      </c>
    </row>
    <row r="72" spans="1:18">
      <c r="A72" s="15" t="s">
        <v>632</v>
      </c>
      <c r="B72" s="17" t="n">
        <v>3889</v>
      </c>
      <c r="C72" s="18">
        <f>(3433.0/B72*100)</f>
        <v/>
      </c>
      <c r="D72" s="19" t="n">
        <v>456</v>
      </c>
      <c r="E72" s="18" t="n">
        <v>19.9231532</v>
      </c>
      <c r="F72" s="20" t="n">
        <v>2.23273459</v>
      </c>
      <c r="G72" s="18" t="n">
        <v>79.31871996</v>
      </c>
      <c r="H72" s="20" t="n">
        <v>2.1844361</v>
      </c>
      <c r="I72" s="18" t="s">
        <v>567</v>
      </c>
      <c r="J72" s="20" t="s">
        <v>567</v>
      </c>
      <c r="K72" s="18" t="n">
        <v>0.46512762</v>
      </c>
      <c r="L72" s="20" t="n">
        <v>0.35056184</v>
      </c>
      <c r="M72" s="18" t="n">
        <v>0</v>
      </c>
      <c r="N72" s="20" t="n">
        <v>0</v>
      </c>
      <c r="O72" s="18" t="n">
        <v>0</v>
      </c>
      <c r="P72" s="20" t="n">
        <v>0</v>
      </c>
      <c r="Q72" s="18" t="n">
        <v>0.29299922</v>
      </c>
      <c r="R72" s="20" t="n">
        <v>0.17710015</v>
      </c>
    </row>
    <row r="73" spans="1:18">
      <c r="A73" s="15" t="s">
        <v>633</v>
      </c>
      <c r="B73" s="17" t="n">
        <v>3597</v>
      </c>
      <c r="C73" s="18">
        <f>(3195.0/B73*100)</f>
        <v/>
      </c>
      <c r="D73" s="19" t="n">
        <v>402</v>
      </c>
      <c r="E73" s="18" t="n">
        <v>41.09654574</v>
      </c>
      <c r="F73" s="20" t="n">
        <v>2.68153896</v>
      </c>
      <c r="G73" s="18" t="n">
        <v>58.4784489</v>
      </c>
      <c r="H73" s="20" t="n">
        <v>2.6949681</v>
      </c>
      <c r="I73" s="18" t="s">
        <v>567</v>
      </c>
      <c r="J73" s="20" t="s">
        <v>567</v>
      </c>
      <c r="K73" s="18" t="n">
        <v>0.09253585</v>
      </c>
      <c r="L73" s="20" t="n">
        <v>0.09700872000000001</v>
      </c>
      <c r="M73" s="18" t="n">
        <v>0</v>
      </c>
      <c r="N73" s="20" t="n">
        <v>0</v>
      </c>
      <c r="O73" s="18" t="n">
        <v>0</v>
      </c>
      <c r="P73" s="20" t="n">
        <v>0</v>
      </c>
      <c r="Q73" s="18" t="n">
        <v>0.33246951</v>
      </c>
      <c r="R73" s="20" t="n">
        <v>0.24491622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(2163.0/B75*100)</f>
        <v/>
      </c>
      <c r="D75" s="19" t="n">
        <v>243</v>
      </c>
      <c r="E75" s="18" t="n">
        <v>33.02163066</v>
      </c>
      <c r="F75" s="20" t="n">
        <v>2.76324059</v>
      </c>
      <c r="G75" s="18" t="n">
        <v>62.17113026</v>
      </c>
      <c r="H75" s="20" t="n">
        <v>2.904618</v>
      </c>
      <c r="I75" s="18" t="s">
        <v>567</v>
      </c>
      <c r="J75" s="20" t="s">
        <v>567</v>
      </c>
      <c r="K75" s="18" t="n">
        <v>1.0760488</v>
      </c>
      <c r="L75" s="20" t="n">
        <v>0.612424</v>
      </c>
      <c r="M75" s="18" t="n">
        <v>0</v>
      </c>
      <c r="N75" s="20" t="n">
        <v>0</v>
      </c>
      <c r="O75" s="18" t="n">
        <v>0</v>
      </c>
      <c r="P75" s="20" t="n">
        <v>0</v>
      </c>
      <c r="Q75" s="18" t="n">
        <v>3.73119028</v>
      </c>
      <c r="R75" s="20" t="n">
        <v>1.00595645</v>
      </c>
    </row>
    <row r="76" spans="1:18">
      <c r="A76" s="15" t="s">
        <v>636</v>
      </c>
      <c r="B76" s="17" t="n">
        <v>7052</v>
      </c>
      <c r="C76" s="18">
        <f>(6268.0/B76*100)</f>
        <v/>
      </c>
      <c r="D76" s="19" t="n">
        <v>784</v>
      </c>
      <c r="E76" s="18" t="n">
        <v>34.44239153</v>
      </c>
      <c r="F76" s="20" t="n">
        <v>2.07749352</v>
      </c>
      <c r="G76" s="18" t="n">
        <v>63.81418008</v>
      </c>
      <c r="H76" s="20" t="n">
        <v>2.1181249</v>
      </c>
      <c r="I76" s="18" t="s">
        <v>567</v>
      </c>
      <c r="J76" s="20" t="s">
        <v>567</v>
      </c>
      <c r="K76" s="18" t="n">
        <v>0.62323297</v>
      </c>
      <c r="L76" s="20" t="n">
        <v>0.39504763</v>
      </c>
      <c r="M76" s="18" t="n">
        <v>0</v>
      </c>
      <c r="N76" s="20" t="n">
        <v>0</v>
      </c>
      <c r="O76" s="18" t="n">
        <v>0</v>
      </c>
      <c r="P76" s="20" t="n">
        <v>0</v>
      </c>
      <c r="Q76" s="18" t="n">
        <v>1.12019542</v>
      </c>
      <c r="R76" s="20" t="n">
        <v>0.35146365</v>
      </c>
    </row>
    <row r="77" spans="1:18">
      <c r="A77" s="15" t="s">
        <v>637</v>
      </c>
      <c r="B77" s="17" t="n">
        <v>2908</v>
      </c>
      <c r="C77" s="18">
        <f>(2574.0/B77*100)</f>
        <v/>
      </c>
      <c r="D77" s="19" t="n">
        <v>334</v>
      </c>
      <c r="E77" s="18" t="n">
        <v>33.67627692</v>
      </c>
      <c r="F77" s="20" t="n">
        <v>2.63479873</v>
      </c>
      <c r="G77" s="18" t="n">
        <v>64.7111483</v>
      </c>
      <c r="H77" s="20" t="n">
        <v>2.63327224</v>
      </c>
      <c r="I77" s="18" t="s">
        <v>567</v>
      </c>
      <c r="J77" s="20" t="s">
        <v>567</v>
      </c>
      <c r="K77" s="18" t="n">
        <v>0.26188771</v>
      </c>
      <c r="L77" s="20" t="n">
        <v>0.27833997</v>
      </c>
      <c r="M77" s="18" t="n">
        <v>0</v>
      </c>
      <c r="N77" s="20" t="n">
        <v>0</v>
      </c>
      <c r="O77" s="18" t="n">
        <v>0</v>
      </c>
      <c r="P77" s="20" t="n">
        <v>0</v>
      </c>
      <c r="Q77" s="18" t="n">
        <v>1.35068707</v>
      </c>
      <c r="R77" s="20" t="n">
        <v>0.68851515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(3678.0/B81*100)</f>
        <v/>
      </c>
      <c r="D81" s="19" t="n">
        <v>485</v>
      </c>
      <c r="E81" s="18" t="n">
        <v>20.35860102</v>
      </c>
      <c r="F81" s="20" t="n">
        <v>2.38204723</v>
      </c>
      <c r="G81" s="18" t="n">
        <v>78.97124221</v>
      </c>
      <c r="H81" s="20" t="n">
        <v>2.30382841</v>
      </c>
      <c r="I81" s="18" t="s">
        <v>567</v>
      </c>
      <c r="J81" s="20" t="s">
        <v>567</v>
      </c>
      <c r="K81" s="18" t="n">
        <v>0</v>
      </c>
      <c r="L81" s="20" t="n">
        <v>0</v>
      </c>
      <c r="M81" s="18" t="n">
        <v>0</v>
      </c>
      <c r="N81" s="20" t="n">
        <v>0</v>
      </c>
      <c r="O81" s="18" t="n">
        <v>0</v>
      </c>
      <c r="P81" s="20" t="n">
        <v>0</v>
      </c>
      <c r="Q81" s="18" t="n">
        <v>0.67015676</v>
      </c>
      <c r="R81" s="20" t="n">
        <v>0.79950506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(6525.0/B7*100)</f>
        <v/>
      </c>
      <c r="D7" s="19" t="n">
        <v>842</v>
      </c>
      <c r="E7" s="18" t="n">
        <v>25.89400408</v>
      </c>
      <c r="F7" s="20" t="n">
        <v>1.6486519</v>
      </c>
      <c r="G7" s="18" t="n">
        <v>73.27459956</v>
      </c>
      <c r="H7" s="20" t="n">
        <v>1.66881398</v>
      </c>
      <c r="I7" s="18" t="s">
        <v>567</v>
      </c>
      <c r="J7" s="20" t="s">
        <v>567</v>
      </c>
      <c r="K7" s="18" t="n">
        <v>0.04307162</v>
      </c>
      <c r="L7" s="20" t="n">
        <v>0.03047934</v>
      </c>
      <c r="M7" s="18" t="n">
        <v>0</v>
      </c>
      <c r="N7" s="20" t="n">
        <v>0</v>
      </c>
      <c r="O7" s="18" t="n">
        <v>0</v>
      </c>
      <c r="P7" s="20" t="n">
        <v>0</v>
      </c>
      <c r="Q7" s="18" t="n">
        <v>0.78832474</v>
      </c>
      <c r="R7" s="20" t="n">
        <v>0.34377066</v>
      </c>
    </row>
    <row r="8" spans="1:18">
      <c r="A8" s="15" t="s">
        <v>568</v>
      </c>
      <c r="B8" s="17" t="n">
        <v>3564</v>
      </c>
      <c r="C8" s="18">
        <f>(3132.0/B8*100)</f>
        <v/>
      </c>
      <c r="D8" s="19" t="n">
        <v>432</v>
      </c>
      <c r="E8" s="18" t="n">
        <v>17.00323883</v>
      </c>
      <c r="F8" s="20" t="n">
        <v>2.06373663</v>
      </c>
      <c r="G8" s="18" t="n">
        <v>81.91222006</v>
      </c>
      <c r="H8" s="20" t="n">
        <v>2.11344249</v>
      </c>
      <c r="I8" s="18" t="s">
        <v>567</v>
      </c>
      <c r="J8" s="20" t="s">
        <v>567</v>
      </c>
      <c r="K8" s="18" t="n">
        <v>0.19565471</v>
      </c>
      <c r="L8" s="20" t="n">
        <v>0.19871879</v>
      </c>
      <c r="M8" s="18" t="n">
        <v>0</v>
      </c>
      <c r="N8" s="20" t="n">
        <v>0</v>
      </c>
      <c r="O8" s="18" t="n">
        <v>0</v>
      </c>
      <c r="P8" s="20" t="n">
        <v>0</v>
      </c>
      <c r="Q8" s="18" t="n">
        <v>0.8888864</v>
      </c>
      <c r="R8" s="20" t="n">
        <v>0.36618918</v>
      </c>
    </row>
    <row r="9" spans="1:18">
      <c r="A9" s="15" t="s">
        <v>569</v>
      </c>
      <c r="B9" s="17" t="n">
        <v>4899</v>
      </c>
      <c r="C9" s="18">
        <f>(4208.0/B9*100)</f>
        <v/>
      </c>
      <c r="D9" s="19" t="n">
        <v>691</v>
      </c>
      <c r="E9" s="18" t="n">
        <v>34.56037671</v>
      </c>
      <c r="F9" s="20" t="n">
        <v>1.61846726</v>
      </c>
      <c r="G9" s="18" t="n">
        <v>63.95009954</v>
      </c>
      <c r="H9" s="20" t="n">
        <v>1.66892617</v>
      </c>
      <c r="I9" s="18" t="s">
        <v>567</v>
      </c>
      <c r="J9" s="20" t="s">
        <v>567</v>
      </c>
      <c r="K9" s="18" t="n">
        <v>0.72531728</v>
      </c>
      <c r="L9" s="20" t="n">
        <v>0.45760786</v>
      </c>
      <c r="M9" s="18" t="n">
        <v>0</v>
      </c>
      <c r="N9" s="20" t="n">
        <v>0</v>
      </c>
      <c r="O9" s="18" t="n">
        <v>0</v>
      </c>
      <c r="P9" s="20" t="n">
        <v>0</v>
      </c>
      <c r="Q9" s="18" t="n">
        <v>0.76420647</v>
      </c>
      <c r="R9" s="20" t="n">
        <v>0.33515506</v>
      </c>
    </row>
    <row r="10" spans="1:18">
      <c r="A10" s="15" t="s">
        <v>570</v>
      </c>
      <c r="B10" s="17" t="n">
        <v>10036</v>
      </c>
      <c r="C10" s="18">
        <f>(8965.0/B10*100)</f>
        <v/>
      </c>
      <c r="D10" s="19" t="n">
        <v>1071</v>
      </c>
      <c r="E10" s="18" t="n">
        <v>16.86177868</v>
      </c>
      <c r="F10" s="20" t="n">
        <v>1.62184521</v>
      </c>
      <c r="G10" s="18" t="n">
        <v>82.54455692000001</v>
      </c>
      <c r="H10" s="20" t="n">
        <v>1.59865433</v>
      </c>
      <c r="I10" s="18" t="s">
        <v>567</v>
      </c>
      <c r="J10" s="20" t="s">
        <v>567</v>
      </c>
      <c r="K10" s="18" t="n">
        <v>0.04111974</v>
      </c>
      <c r="L10" s="20" t="n">
        <v>0.02853301</v>
      </c>
      <c r="M10" s="18" t="n">
        <v>0</v>
      </c>
      <c r="N10" s="20" t="n">
        <v>0</v>
      </c>
      <c r="O10" s="18" t="n">
        <v>0</v>
      </c>
      <c r="P10" s="20" t="n">
        <v>0</v>
      </c>
      <c r="Q10" s="18" t="n">
        <v>0.55254466</v>
      </c>
      <c r="R10" s="20" t="n">
        <v>0.31178168</v>
      </c>
    </row>
    <row r="11" spans="1:18">
      <c r="A11" s="15" t="s">
        <v>571</v>
      </c>
      <c r="B11" s="17" t="n">
        <v>3553</v>
      </c>
      <c r="C11" s="18">
        <f>(3164.0/B11*100)</f>
        <v/>
      </c>
      <c r="D11" s="19" t="n">
        <v>389</v>
      </c>
      <c r="E11" s="18" t="n">
        <v>29.77772237</v>
      </c>
      <c r="F11" s="20" t="n">
        <v>2.55100345</v>
      </c>
      <c r="G11" s="18" t="n">
        <v>68.25559448</v>
      </c>
      <c r="H11" s="20" t="n">
        <v>2.83378516</v>
      </c>
      <c r="I11" s="18" t="s">
        <v>567</v>
      </c>
      <c r="J11" s="20" t="s">
        <v>567</v>
      </c>
      <c r="K11" s="18" t="n">
        <v>0.54239173</v>
      </c>
      <c r="L11" s="20" t="n">
        <v>0.51823461</v>
      </c>
      <c r="M11" s="18" t="n">
        <v>0</v>
      </c>
      <c r="N11" s="20" t="n">
        <v>0</v>
      </c>
      <c r="O11" s="18" t="n">
        <v>0</v>
      </c>
      <c r="P11" s="20" t="n">
        <v>0</v>
      </c>
      <c r="Q11" s="18" t="n">
        <v>1.42429142</v>
      </c>
      <c r="R11" s="20" t="n">
        <v>0.6954851399999999</v>
      </c>
    </row>
    <row r="12" spans="1:18">
      <c r="A12" s="15" t="s">
        <v>572</v>
      </c>
      <c r="B12" s="17" t="n">
        <v>3472</v>
      </c>
      <c r="C12" s="18">
        <f>(3046.0/B12*100)</f>
        <v/>
      </c>
      <c r="D12" s="19" t="n">
        <v>426</v>
      </c>
      <c r="E12" s="18" t="n">
        <v>19.35914185</v>
      </c>
      <c r="F12" s="20" t="n">
        <v>2.13796848</v>
      </c>
      <c r="G12" s="18" t="n">
        <v>79.46489391</v>
      </c>
      <c r="H12" s="20" t="n">
        <v>2.05854131</v>
      </c>
      <c r="I12" s="18" t="s">
        <v>567</v>
      </c>
      <c r="J12" s="20" t="s">
        <v>567</v>
      </c>
      <c r="K12" s="18" t="n">
        <v>0</v>
      </c>
      <c r="L12" s="20" t="n">
        <v>0</v>
      </c>
      <c r="M12" s="18" t="n">
        <v>0</v>
      </c>
      <c r="N12" s="20" t="n">
        <v>0</v>
      </c>
      <c r="O12" s="18" t="n">
        <v>0</v>
      </c>
      <c r="P12" s="20" t="n">
        <v>0</v>
      </c>
      <c r="Q12" s="18" t="n">
        <v>1.17596423</v>
      </c>
      <c r="R12" s="20" t="n">
        <v>0.58871619</v>
      </c>
    </row>
    <row r="13" spans="1:18">
      <c r="A13" s="15" t="s">
        <v>573</v>
      </c>
      <c r="B13" s="17" t="n">
        <v>3559</v>
      </c>
      <c r="C13" s="18">
        <f>(2965.0/B13*100)</f>
        <v/>
      </c>
      <c r="D13" s="19" t="n">
        <v>594</v>
      </c>
      <c r="E13" s="18" t="n">
        <v>23.88885459</v>
      </c>
      <c r="F13" s="20" t="n">
        <v>2.12775651</v>
      </c>
      <c r="G13" s="18" t="n">
        <v>74.56571751</v>
      </c>
      <c r="H13" s="20" t="n">
        <v>2.23505715</v>
      </c>
      <c r="I13" s="18" t="s">
        <v>567</v>
      </c>
      <c r="J13" s="20" t="s">
        <v>567</v>
      </c>
      <c r="K13" s="18" t="n">
        <v>0.27939402</v>
      </c>
      <c r="L13" s="20" t="n">
        <v>0.19485157</v>
      </c>
      <c r="M13" s="18" t="n">
        <v>0</v>
      </c>
      <c r="N13" s="20" t="n">
        <v>0</v>
      </c>
      <c r="O13" s="18" t="n">
        <v>0</v>
      </c>
      <c r="P13" s="20" t="n">
        <v>0</v>
      </c>
      <c r="Q13" s="18" t="n">
        <v>1.26603389</v>
      </c>
      <c r="R13" s="20" t="n">
        <v>0.56294657</v>
      </c>
    </row>
    <row r="14" spans="1:18">
      <c r="A14" s="15" t="s">
        <v>574</v>
      </c>
      <c r="B14" s="17" t="n">
        <v>2799</v>
      </c>
      <c r="C14" s="18">
        <f>(2505.0/B14*100)</f>
        <v/>
      </c>
      <c r="D14" s="19" t="n">
        <v>294</v>
      </c>
      <c r="E14" s="18" t="n">
        <v>16.50572272</v>
      </c>
      <c r="F14" s="20" t="n">
        <v>2.09046947</v>
      </c>
      <c r="G14" s="18" t="n">
        <v>83.49427728000001</v>
      </c>
      <c r="H14" s="20" t="n">
        <v>2.09046947</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(2689.0/B15*100)</f>
        <v/>
      </c>
      <c r="D15" s="19" t="n">
        <v>330</v>
      </c>
      <c r="E15" s="18" t="n">
        <v>14.96659718</v>
      </c>
      <c r="F15" s="20" t="n">
        <v>2.13228091</v>
      </c>
      <c r="G15" s="18" t="n">
        <v>83.29592918</v>
      </c>
      <c r="H15" s="20" t="n">
        <v>2.29343989</v>
      </c>
      <c r="I15" s="18" t="s">
        <v>567</v>
      </c>
      <c r="J15" s="20" t="s">
        <v>567</v>
      </c>
      <c r="K15" s="18" t="n">
        <v>0.53754516</v>
      </c>
      <c r="L15" s="20" t="n">
        <v>0.38160064</v>
      </c>
      <c r="M15" s="18" t="n">
        <v>0</v>
      </c>
      <c r="N15" s="20" t="n">
        <v>0</v>
      </c>
      <c r="O15" s="18" t="n">
        <v>0</v>
      </c>
      <c r="P15" s="20" t="n">
        <v>0</v>
      </c>
      <c r="Q15" s="18" t="n">
        <v>1.19992848</v>
      </c>
      <c r="R15" s="20" t="n">
        <v>0.63268095</v>
      </c>
    </row>
    <row r="16" spans="1:18">
      <c r="A16" s="15" t="s">
        <v>576</v>
      </c>
      <c r="B16" s="17" t="n">
        <v>2997</v>
      </c>
      <c r="C16" s="18">
        <f>(2678.0/B16*100)</f>
        <v/>
      </c>
      <c r="D16" s="19" t="n">
        <v>319</v>
      </c>
      <c r="E16" s="18" t="n">
        <v>24.71641423</v>
      </c>
      <c r="F16" s="20" t="n">
        <v>2.14340411</v>
      </c>
      <c r="G16" s="18" t="n">
        <v>74.14009818</v>
      </c>
      <c r="H16" s="20" t="n">
        <v>2.12441419</v>
      </c>
      <c r="I16" s="18" t="s">
        <v>567</v>
      </c>
      <c r="J16" s="20" t="s">
        <v>567</v>
      </c>
      <c r="K16" s="18" t="n">
        <v>0.51460672</v>
      </c>
      <c r="L16" s="20" t="n">
        <v>0.36529192</v>
      </c>
      <c r="M16" s="18" t="n">
        <v>0</v>
      </c>
      <c r="N16" s="20" t="n">
        <v>0</v>
      </c>
      <c r="O16" s="18" t="n">
        <v>0</v>
      </c>
      <c r="P16" s="20" t="n">
        <v>0</v>
      </c>
      <c r="Q16" s="18" t="n">
        <v>0.62888087</v>
      </c>
      <c r="R16" s="20" t="n">
        <v>0.44878638</v>
      </c>
    </row>
    <row r="17" spans="1:18">
      <c r="A17" s="15" t="s">
        <v>577</v>
      </c>
      <c r="B17" s="17" t="n">
        <v>3307</v>
      </c>
      <c r="C17" s="18">
        <f>(2874.0/B17*100)</f>
        <v/>
      </c>
      <c r="D17" s="19" t="n">
        <v>433</v>
      </c>
      <c r="E17" s="18" t="n">
        <v>22.64935891</v>
      </c>
      <c r="F17" s="20" t="n">
        <v>2.28048695</v>
      </c>
      <c r="G17" s="18" t="n">
        <v>75.3127028</v>
      </c>
      <c r="H17" s="20" t="n">
        <v>2.32026759</v>
      </c>
      <c r="I17" s="18" t="s">
        <v>567</v>
      </c>
      <c r="J17" s="20" t="s">
        <v>567</v>
      </c>
      <c r="K17" s="18" t="n">
        <v>0.5217416</v>
      </c>
      <c r="L17" s="20" t="n">
        <v>0.43980225</v>
      </c>
      <c r="M17" s="18" t="n">
        <v>0</v>
      </c>
      <c r="N17" s="20" t="n">
        <v>0</v>
      </c>
      <c r="O17" s="18" t="n">
        <v>0</v>
      </c>
      <c r="P17" s="20" t="n">
        <v>0</v>
      </c>
      <c r="Q17" s="18" t="n">
        <v>1.51619669</v>
      </c>
      <c r="R17" s="20" t="n">
        <v>0.63772552</v>
      </c>
    </row>
    <row r="18" spans="1:18">
      <c r="A18" s="15" t="s">
        <v>578</v>
      </c>
      <c r="B18" s="17" t="n">
        <v>2826</v>
      </c>
      <c r="C18" s="18">
        <f>(2505.0/B18*100)</f>
        <v/>
      </c>
      <c r="D18" s="19" t="n">
        <v>321</v>
      </c>
      <c r="E18" s="18" t="n">
        <v>54.64061183</v>
      </c>
      <c r="F18" s="20" t="n">
        <v>2.58260309</v>
      </c>
      <c r="G18" s="18" t="n">
        <v>44.12378921</v>
      </c>
      <c r="H18" s="20" t="n">
        <v>2.69310271</v>
      </c>
      <c r="I18" s="18" t="s">
        <v>567</v>
      </c>
      <c r="J18" s="20" t="s">
        <v>567</v>
      </c>
      <c r="K18" s="18" t="n">
        <v>0</v>
      </c>
      <c r="L18" s="20" t="n">
        <v>0</v>
      </c>
      <c r="M18" s="18" t="n">
        <v>0</v>
      </c>
      <c r="N18" s="20" t="n">
        <v>0</v>
      </c>
      <c r="O18" s="18" t="n">
        <v>0</v>
      </c>
      <c r="P18" s="20" t="n">
        <v>0</v>
      </c>
      <c r="Q18" s="18" t="n">
        <v>1.23559895</v>
      </c>
      <c r="R18" s="20" t="n">
        <v>0.64508004</v>
      </c>
    </row>
    <row r="19" spans="1:18">
      <c r="A19" s="15" t="s">
        <v>579</v>
      </c>
      <c r="B19" s="17" t="n">
        <v>2808</v>
      </c>
      <c r="C19" s="18">
        <f>(2479.0/B19*100)</f>
        <v/>
      </c>
      <c r="D19" s="19" t="n">
        <v>329</v>
      </c>
      <c r="E19" s="18" t="n">
        <v>44.84336225</v>
      </c>
      <c r="F19" s="20" t="n">
        <v>2.5352363</v>
      </c>
      <c r="G19" s="18" t="n">
        <v>54.54986193</v>
      </c>
      <c r="H19" s="20" t="n">
        <v>2.64949698</v>
      </c>
      <c r="I19" s="18" t="s">
        <v>567</v>
      </c>
      <c r="J19" s="20" t="s">
        <v>567</v>
      </c>
      <c r="K19" s="18" t="n">
        <v>0.35175047</v>
      </c>
      <c r="L19" s="20" t="n">
        <v>0.37374207</v>
      </c>
      <c r="M19" s="18" t="n">
        <v>0</v>
      </c>
      <c r="N19" s="20" t="n">
        <v>0</v>
      </c>
      <c r="O19" s="18" t="n">
        <v>0</v>
      </c>
      <c r="P19" s="20" t="n">
        <v>0</v>
      </c>
      <c r="Q19" s="18" t="n">
        <v>0.25502535</v>
      </c>
      <c r="R19" s="20" t="n">
        <v>0.18179441</v>
      </c>
    </row>
    <row r="20" spans="1:18">
      <c r="A20" s="15" t="s">
        <v>580</v>
      </c>
      <c r="B20" s="17" t="n">
        <v>1630</v>
      </c>
      <c r="C20" s="18">
        <f>(1444.0/B20*100)</f>
        <v/>
      </c>
      <c r="D20" s="19" t="n">
        <v>186</v>
      </c>
      <c r="E20" s="18" t="n">
        <v>35.46400327</v>
      </c>
      <c r="F20" s="20" t="n">
        <v>3.83480671</v>
      </c>
      <c r="G20" s="18" t="n">
        <v>63.45663639</v>
      </c>
      <c r="H20" s="20" t="n">
        <v>3.84834993</v>
      </c>
      <c r="I20" s="18" t="s">
        <v>567</v>
      </c>
      <c r="J20" s="20" t="s">
        <v>567</v>
      </c>
      <c r="K20" s="18" t="n">
        <v>0</v>
      </c>
      <c r="L20" s="20" t="n">
        <v>0</v>
      </c>
      <c r="M20" s="18" t="n">
        <v>0</v>
      </c>
      <c r="N20" s="20" t="n">
        <v>0</v>
      </c>
      <c r="O20" s="18" t="n">
        <v>0</v>
      </c>
      <c r="P20" s="20" t="n">
        <v>0</v>
      </c>
      <c r="Q20" s="18" t="n">
        <v>1.07936034</v>
      </c>
      <c r="R20" s="20" t="n">
        <v>0.92878288</v>
      </c>
    </row>
    <row r="21" spans="1:18">
      <c r="A21" s="15" t="s">
        <v>581</v>
      </c>
      <c r="B21" s="17" t="n">
        <v>2908</v>
      </c>
      <c r="C21" s="18">
        <f>(2597.0/B21*100)</f>
        <v/>
      </c>
      <c r="D21" s="19" t="n">
        <v>311</v>
      </c>
      <c r="E21" s="18" t="n">
        <v>18.90836984</v>
      </c>
      <c r="F21" s="20" t="n">
        <v>2.0258643</v>
      </c>
      <c r="G21" s="18" t="n">
        <v>81.09163015999999</v>
      </c>
      <c r="H21" s="20" t="n">
        <v>2.0258643</v>
      </c>
      <c r="I21" s="18" t="s">
        <v>567</v>
      </c>
      <c r="J21" s="20" t="s">
        <v>567</v>
      </c>
      <c r="K21" s="18" t="n">
        <v>0</v>
      </c>
      <c r="L21" s="20" t="n">
        <v>0</v>
      </c>
      <c r="M21" s="18" t="n">
        <v>0</v>
      </c>
      <c r="N21" s="20" t="n">
        <v>0</v>
      </c>
      <c r="O21" s="18" t="n">
        <v>0</v>
      </c>
      <c r="P21" s="20" t="n">
        <v>0</v>
      </c>
      <c r="Q21" s="18" t="n">
        <v>0</v>
      </c>
      <c r="R21" s="20" t="n">
        <v>0</v>
      </c>
    </row>
    <row r="22" spans="1:18">
      <c r="A22" s="15" t="s">
        <v>582</v>
      </c>
      <c r="B22" s="17" t="n">
        <v>2931</v>
      </c>
      <c r="C22" s="18">
        <f>(2600.0/B22*100)</f>
        <v/>
      </c>
      <c r="D22" s="19" t="n">
        <v>331</v>
      </c>
      <c r="E22" s="18" t="n">
        <v>44.60505562</v>
      </c>
      <c r="F22" s="20" t="n">
        <v>3.0317139</v>
      </c>
      <c r="G22" s="18" t="n">
        <v>52.41914885</v>
      </c>
      <c r="H22" s="20" t="n">
        <v>2.99107009</v>
      </c>
      <c r="I22" s="18" t="s">
        <v>567</v>
      </c>
      <c r="J22" s="20" t="s">
        <v>567</v>
      </c>
      <c r="K22" s="18" t="n">
        <v>0.97167129</v>
      </c>
      <c r="L22" s="20" t="n">
        <v>0.47996016</v>
      </c>
      <c r="M22" s="18" t="n">
        <v>0</v>
      </c>
      <c r="N22" s="20" t="n">
        <v>0</v>
      </c>
      <c r="O22" s="18" t="n">
        <v>0</v>
      </c>
      <c r="P22" s="20" t="n">
        <v>0</v>
      </c>
      <c r="Q22" s="18" t="n">
        <v>2.00412424</v>
      </c>
      <c r="R22" s="20" t="n">
        <v>0.82737413</v>
      </c>
    </row>
    <row r="23" spans="1:18">
      <c r="A23" s="15" t="s">
        <v>583</v>
      </c>
      <c r="B23" s="17" t="n">
        <v>5791</v>
      </c>
      <c r="C23" s="18">
        <f>(5142.0/B23*100)</f>
        <v/>
      </c>
      <c r="D23" s="19" t="n">
        <v>649</v>
      </c>
      <c r="E23" s="18" t="n">
        <v>20.47683104</v>
      </c>
      <c r="F23" s="20" t="n">
        <v>2.06923506</v>
      </c>
      <c r="G23" s="18" t="n">
        <v>77.57829147</v>
      </c>
      <c r="H23" s="20" t="n">
        <v>1.99267998</v>
      </c>
      <c r="I23" s="18" t="s">
        <v>567</v>
      </c>
      <c r="J23" s="20" t="s">
        <v>567</v>
      </c>
      <c r="K23" s="18" t="n">
        <v>0.9609734</v>
      </c>
      <c r="L23" s="20" t="n">
        <v>0.41476923</v>
      </c>
      <c r="M23" s="18" t="n">
        <v>0</v>
      </c>
      <c r="N23" s="20" t="n">
        <v>0</v>
      </c>
      <c r="O23" s="18" t="n">
        <v>0</v>
      </c>
      <c r="P23" s="20" t="n">
        <v>0</v>
      </c>
      <c r="Q23" s="18" t="n">
        <v>0.98390409</v>
      </c>
      <c r="R23" s="20" t="n">
        <v>0.5119960099999999</v>
      </c>
    </row>
    <row r="24" spans="1:18">
      <c r="A24" s="15" t="s">
        <v>584</v>
      </c>
      <c r="B24" s="17" t="n">
        <v>3338</v>
      </c>
      <c r="C24" s="18">
        <f>(2969.0/B24*100)</f>
        <v/>
      </c>
      <c r="D24" s="19" t="n">
        <v>369</v>
      </c>
      <c r="E24" s="18" t="n">
        <v>26.65336632</v>
      </c>
      <c r="F24" s="20" t="n">
        <v>2.43297249</v>
      </c>
      <c r="G24" s="18" t="n">
        <v>72.6092898</v>
      </c>
      <c r="H24" s="20" t="n">
        <v>2.44464281</v>
      </c>
      <c r="I24" s="18" t="s">
        <v>567</v>
      </c>
      <c r="J24" s="20" t="s">
        <v>567</v>
      </c>
      <c r="K24" s="18" t="n">
        <v>0</v>
      </c>
      <c r="L24" s="20" t="n">
        <v>0</v>
      </c>
      <c r="M24" s="18" t="n">
        <v>0</v>
      </c>
      <c r="N24" s="20" t="n">
        <v>0</v>
      </c>
      <c r="O24" s="18" t="n">
        <v>0</v>
      </c>
      <c r="P24" s="20" t="n">
        <v>0</v>
      </c>
      <c r="Q24" s="18" t="n">
        <v>0.73734388</v>
      </c>
      <c r="R24" s="20" t="n">
        <v>0.37958976</v>
      </c>
    </row>
    <row r="25" spans="1:18">
      <c r="A25" s="15" t="s">
        <v>585</v>
      </c>
      <c r="B25" s="17" t="n">
        <v>2912</v>
      </c>
      <c r="C25" s="18">
        <f>(2589.0/B25*100)</f>
        <v/>
      </c>
      <c r="D25" s="19" t="n">
        <v>323</v>
      </c>
      <c r="E25" s="18" t="n">
        <v>27.40656124</v>
      </c>
      <c r="F25" s="20" t="n">
        <v>2.58076736</v>
      </c>
      <c r="G25" s="18" t="n">
        <v>71.99246079</v>
      </c>
      <c r="H25" s="20" t="n">
        <v>2.6144464</v>
      </c>
      <c r="I25" s="18" t="s">
        <v>567</v>
      </c>
      <c r="J25" s="20" t="s">
        <v>567</v>
      </c>
      <c r="K25" s="18" t="n">
        <v>0</v>
      </c>
      <c r="L25" s="20" t="n">
        <v>0</v>
      </c>
      <c r="M25" s="18" t="n">
        <v>0</v>
      </c>
      <c r="N25" s="20" t="n">
        <v>0</v>
      </c>
      <c r="O25" s="18" t="n">
        <v>0</v>
      </c>
      <c r="P25" s="20" t="n">
        <v>0</v>
      </c>
      <c r="Q25" s="18" t="n">
        <v>0.60097797</v>
      </c>
      <c r="R25" s="20" t="n">
        <v>0.42515442</v>
      </c>
    </row>
    <row r="26" spans="1:18">
      <c r="A26" s="15" t="s">
        <v>586</v>
      </c>
      <c r="B26" s="17" t="n">
        <v>2450</v>
      </c>
      <c r="C26" s="18">
        <f>(2207.0/B26*100)</f>
        <v/>
      </c>
      <c r="D26" s="19" t="n">
        <v>243</v>
      </c>
      <c r="E26" s="18" t="n">
        <v>45.90959893</v>
      </c>
      <c r="F26" s="20" t="n">
        <v>2.8056715</v>
      </c>
      <c r="G26" s="18" t="n">
        <v>52.7156814</v>
      </c>
      <c r="H26" s="20" t="n">
        <v>2.94688474</v>
      </c>
      <c r="I26" s="18" t="s">
        <v>567</v>
      </c>
      <c r="J26" s="20" t="s">
        <v>567</v>
      </c>
      <c r="K26" s="18" t="n">
        <v>0.35175939</v>
      </c>
      <c r="L26" s="20" t="n">
        <v>0.35153101</v>
      </c>
      <c r="M26" s="18" t="n">
        <v>0</v>
      </c>
      <c r="N26" s="20" t="n">
        <v>0</v>
      </c>
      <c r="O26" s="18" t="n">
        <v>0</v>
      </c>
      <c r="P26" s="20" t="n">
        <v>0</v>
      </c>
      <c r="Q26" s="18" t="n">
        <v>1.02296028</v>
      </c>
      <c r="R26" s="20" t="n">
        <v>0.59354163</v>
      </c>
    </row>
    <row r="27" spans="1:18">
      <c r="A27" s="15" t="s">
        <v>587</v>
      </c>
      <c r="B27" s="17" t="n">
        <v>2616</v>
      </c>
      <c r="C27" s="18">
        <f>(2356.0/B27*100)</f>
        <v/>
      </c>
      <c r="D27" s="19" t="n">
        <v>260</v>
      </c>
      <c r="E27" s="18" t="n">
        <v>18.68363102</v>
      </c>
      <c r="F27" s="20" t="n">
        <v>2.38071653</v>
      </c>
      <c r="G27" s="18" t="n">
        <v>80.55136044</v>
      </c>
      <c r="H27" s="20" t="n">
        <v>2.39081425</v>
      </c>
      <c r="I27" s="18" t="s">
        <v>567</v>
      </c>
      <c r="J27" s="20" t="s">
        <v>567</v>
      </c>
      <c r="K27" s="18" t="n">
        <v>0.38408112</v>
      </c>
      <c r="L27" s="20" t="n">
        <v>0.38706912</v>
      </c>
      <c r="M27" s="18" t="n">
        <v>0</v>
      </c>
      <c r="N27" s="20" t="n">
        <v>0</v>
      </c>
      <c r="O27" s="18" t="n">
        <v>0</v>
      </c>
      <c r="P27" s="20" t="n">
        <v>0</v>
      </c>
      <c r="Q27" s="18" t="n">
        <v>0.38092743</v>
      </c>
      <c r="R27" s="20" t="n">
        <v>0.38069878</v>
      </c>
    </row>
    <row r="28" spans="1:18">
      <c r="A28" s="15" t="s">
        <v>588</v>
      </c>
      <c r="B28" s="17" t="n">
        <v>3765</v>
      </c>
      <c r="C28" s="18">
        <f>(3347.0/B28*100)</f>
        <v/>
      </c>
      <c r="D28" s="19" t="n">
        <v>418</v>
      </c>
      <c r="E28" s="18" t="n">
        <v>48.17499723</v>
      </c>
      <c r="F28" s="20" t="n">
        <v>2.62527936</v>
      </c>
      <c r="G28" s="18" t="n">
        <v>50.83778961</v>
      </c>
      <c r="H28" s="20" t="n">
        <v>2.58792509</v>
      </c>
      <c r="I28" s="18" t="s">
        <v>567</v>
      </c>
      <c r="J28" s="20" t="s">
        <v>567</v>
      </c>
      <c r="K28" s="18" t="n">
        <v>0.3303783</v>
      </c>
      <c r="L28" s="20" t="n">
        <v>0.37467558</v>
      </c>
      <c r="M28" s="18" t="n">
        <v>0</v>
      </c>
      <c r="N28" s="20" t="n">
        <v>0</v>
      </c>
      <c r="O28" s="18" t="n">
        <v>0</v>
      </c>
      <c r="P28" s="20" t="n">
        <v>0</v>
      </c>
      <c r="Q28" s="18" t="n">
        <v>0.65683486</v>
      </c>
      <c r="R28" s="20" t="n">
        <v>0.48683708</v>
      </c>
    </row>
    <row r="29" spans="1:18">
      <c r="A29" s="15" t="s">
        <v>589</v>
      </c>
      <c r="B29" s="17" t="n">
        <v>2685</v>
      </c>
      <c r="C29" s="18">
        <f>(2297.0/B29*100)</f>
        <v/>
      </c>
      <c r="D29" s="19" t="n">
        <v>388</v>
      </c>
      <c r="E29" s="18" t="n">
        <v>19.94410261</v>
      </c>
      <c r="F29" s="20" t="n">
        <v>2.53022886</v>
      </c>
      <c r="G29" s="18" t="n">
        <v>79.39147061</v>
      </c>
      <c r="H29" s="20" t="n">
        <v>2.59337852</v>
      </c>
      <c r="I29" s="18" t="s">
        <v>567</v>
      </c>
      <c r="J29" s="20" t="s">
        <v>567</v>
      </c>
      <c r="K29" s="18" t="n">
        <v>0.47778682</v>
      </c>
      <c r="L29" s="20" t="n">
        <v>0.31362372</v>
      </c>
      <c r="M29" s="18" t="n">
        <v>0</v>
      </c>
      <c r="N29" s="20" t="n">
        <v>0</v>
      </c>
      <c r="O29" s="18" t="n">
        <v>0</v>
      </c>
      <c r="P29" s="20" t="n">
        <v>0</v>
      </c>
      <c r="Q29" s="18" t="n">
        <v>0.18663997</v>
      </c>
      <c r="R29" s="20" t="n">
        <v>0.20515255</v>
      </c>
    </row>
    <row r="30" spans="1:18">
      <c r="A30" s="15" t="s">
        <v>590</v>
      </c>
      <c r="B30" s="17" t="n">
        <v>2263</v>
      </c>
      <c r="C30" s="18">
        <f>(2017.0/B30*100)</f>
        <v/>
      </c>
      <c r="D30" s="19" t="n">
        <v>246</v>
      </c>
      <c r="E30" s="18" t="n">
        <v>28.19459811</v>
      </c>
      <c r="F30" s="20" t="n">
        <v>2.52426026</v>
      </c>
      <c r="G30" s="18" t="n">
        <v>69.61731259</v>
      </c>
      <c r="H30" s="20" t="n">
        <v>2.53393299</v>
      </c>
      <c r="I30" s="18" t="s">
        <v>567</v>
      </c>
      <c r="J30" s="20" t="s">
        <v>567</v>
      </c>
      <c r="K30" s="18" t="n">
        <v>0.92715076</v>
      </c>
      <c r="L30" s="20" t="n">
        <v>0.62857706</v>
      </c>
      <c r="M30" s="18" t="n">
        <v>0</v>
      </c>
      <c r="N30" s="20" t="n">
        <v>0</v>
      </c>
      <c r="O30" s="18" t="n">
        <v>0</v>
      </c>
      <c r="P30" s="20" t="n">
        <v>0</v>
      </c>
      <c r="Q30" s="18" t="n">
        <v>1.26093855</v>
      </c>
      <c r="R30" s="20" t="n">
        <v>0.8653926199999999</v>
      </c>
    </row>
    <row r="31" spans="1:18">
      <c r="A31" s="15" t="s">
        <v>591</v>
      </c>
      <c r="B31" s="17" t="n">
        <v>2750</v>
      </c>
      <c r="C31" s="18">
        <f>(2439.0/B31*100)</f>
        <v/>
      </c>
      <c r="D31" s="19" t="n">
        <v>311</v>
      </c>
      <c r="E31" s="18" t="n">
        <v>22.67623976</v>
      </c>
      <c r="F31" s="20" t="n">
        <v>3.07492404</v>
      </c>
      <c r="G31" s="18" t="n">
        <v>75.09872932</v>
      </c>
      <c r="H31" s="20" t="n">
        <v>3.1182228</v>
      </c>
      <c r="I31" s="18" t="s">
        <v>567</v>
      </c>
      <c r="J31" s="20" t="s">
        <v>567</v>
      </c>
      <c r="K31" s="18" t="n">
        <v>0.62342436</v>
      </c>
      <c r="L31" s="20" t="n">
        <v>0.41354868</v>
      </c>
      <c r="M31" s="18" t="n">
        <v>0</v>
      </c>
      <c r="N31" s="20" t="n">
        <v>0</v>
      </c>
      <c r="O31" s="18" t="n">
        <v>0</v>
      </c>
      <c r="P31" s="20" t="n">
        <v>0</v>
      </c>
      <c r="Q31" s="18" t="n">
        <v>1.60160656</v>
      </c>
      <c r="R31" s="20" t="n">
        <v>0.66602859</v>
      </c>
    </row>
    <row r="32" spans="1:18">
      <c r="A32" s="15" t="s">
        <v>592</v>
      </c>
      <c r="B32" s="17" t="n">
        <v>2269</v>
      </c>
      <c r="C32" s="18">
        <f>(2020.0/B32*100)</f>
        <v/>
      </c>
      <c r="D32" s="19" t="n">
        <v>249</v>
      </c>
      <c r="E32" s="18" t="n">
        <v>17.67183997</v>
      </c>
      <c r="F32" s="20" t="n">
        <v>2.69685353</v>
      </c>
      <c r="G32" s="18" t="n">
        <v>80.98089417</v>
      </c>
      <c r="H32" s="20" t="n">
        <v>2.76262281</v>
      </c>
      <c r="I32" s="18" t="s">
        <v>567</v>
      </c>
      <c r="J32" s="20" t="s">
        <v>567</v>
      </c>
      <c r="K32" s="18" t="n">
        <v>0.48745243</v>
      </c>
      <c r="L32" s="20" t="n">
        <v>0.50628118</v>
      </c>
      <c r="M32" s="18" t="n">
        <v>0</v>
      </c>
      <c r="N32" s="20" t="n">
        <v>0</v>
      </c>
      <c r="O32" s="18" t="n">
        <v>0</v>
      </c>
      <c r="P32" s="20" t="n">
        <v>0</v>
      </c>
      <c r="Q32" s="18" t="n">
        <v>0.85981343</v>
      </c>
      <c r="R32" s="20" t="n">
        <v>0.62945669</v>
      </c>
    </row>
    <row r="33" spans="1:18">
      <c r="A33" s="15" t="s">
        <v>593</v>
      </c>
      <c r="B33" s="17" t="n">
        <v>3674</v>
      </c>
      <c r="C33" s="18">
        <f>(3287.0/B33*100)</f>
        <v/>
      </c>
      <c r="D33" s="19" t="n">
        <v>387</v>
      </c>
      <c r="E33" s="18" t="n">
        <v>13.77376242</v>
      </c>
      <c r="F33" s="20" t="n">
        <v>1.6820703</v>
      </c>
      <c r="G33" s="18" t="n">
        <v>85.51487976</v>
      </c>
      <c r="H33" s="20" t="n">
        <v>1.66304978</v>
      </c>
      <c r="I33" s="18" t="s">
        <v>567</v>
      </c>
      <c r="J33" s="20" t="s">
        <v>567</v>
      </c>
      <c r="K33" s="18" t="n">
        <v>0.02314182</v>
      </c>
      <c r="L33" s="20" t="n">
        <v>0.02320335</v>
      </c>
      <c r="M33" s="18" t="n">
        <v>0</v>
      </c>
      <c r="N33" s="20" t="n">
        <v>0</v>
      </c>
      <c r="O33" s="18" t="n">
        <v>0</v>
      </c>
      <c r="P33" s="20" t="n">
        <v>0</v>
      </c>
      <c r="Q33" s="18" t="n">
        <v>0.688216</v>
      </c>
      <c r="R33" s="20" t="n">
        <v>0.66602256</v>
      </c>
    </row>
    <row r="34" spans="1:18">
      <c r="A34" s="15" t="s">
        <v>594</v>
      </c>
      <c r="B34" s="17" t="n">
        <v>3315</v>
      </c>
      <c r="C34" s="18">
        <f>(2859.0/B34*100)</f>
        <v/>
      </c>
      <c r="D34" s="19" t="n">
        <v>456</v>
      </c>
      <c r="E34" s="18" t="n">
        <v>37.90223883</v>
      </c>
      <c r="F34" s="20" t="n">
        <v>2.42640588</v>
      </c>
      <c r="G34" s="18" t="n">
        <v>61.2364349</v>
      </c>
      <c r="H34" s="20" t="n">
        <v>2.53998262</v>
      </c>
      <c r="I34" s="18" t="s">
        <v>567</v>
      </c>
      <c r="J34" s="20" t="s">
        <v>567</v>
      </c>
      <c r="K34" s="18" t="n">
        <v>0.17084065</v>
      </c>
      <c r="L34" s="20" t="n">
        <v>0.17003714</v>
      </c>
      <c r="M34" s="18" t="n">
        <v>0</v>
      </c>
      <c r="N34" s="20" t="n">
        <v>0</v>
      </c>
      <c r="O34" s="18" t="n">
        <v>0</v>
      </c>
      <c r="P34" s="20" t="n">
        <v>0</v>
      </c>
      <c r="Q34" s="18" t="n">
        <v>0.69048562</v>
      </c>
      <c r="R34" s="20" t="n">
        <v>0.49046405</v>
      </c>
    </row>
    <row r="35" spans="1:18">
      <c r="A35" s="15" t="s">
        <v>595</v>
      </c>
      <c r="B35" s="17" t="n">
        <v>3505</v>
      </c>
      <c r="C35" s="18">
        <f>(3014.0/B35*100)</f>
        <v/>
      </c>
      <c r="D35" s="19" t="n">
        <v>491</v>
      </c>
      <c r="E35" s="18" t="n">
        <v>26.49102444</v>
      </c>
      <c r="F35" s="20" t="n">
        <v>2.55685056</v>
      </c>
      <c r="G35" s="18" t="n">
        <v>72.63939977</v>
      </c>
      <c r="H35" s="20" t="n">
        <v>2.51218701</v>
      </c>
      <c r="I35" s="18" t="s">
        <v>567</v>
      </c>
      <c r="J35" s="20" t="s">
        <v>567</v>
      </c>
      <c r="K35" s="18" t="n">
        <v>0</v>
      </c>
      <c r="L35" s="20" t="n">
        <v>0</v>
      </c>
      <c r="M35" s="18" t="n">
        <v>0</v>
      </c>
      <c r="N35" s="20" t="n">
        <v>0</v>
      </c>
      <c r="O35" s="18" t="n">
        <v>0</v>
      </c>
      <c r="P35" s="20" t="n">
        <v>0</v>
      </c>
      <c r="Q35" s="18" t="n">
        <v>0.8695758</v>
      </c>
      <c r="R35" s="20" t="n">
        <v>0.38291145</v>
      </c>
    </row>
    <row r="36" spans="1:18">
      <c r="A36" s="15" t="s">
        <v>596</v>
      </c>
      <c r="B36" s="17" t="n">
        <v>3332</v>
      </c>
      <c r="C36" s="18">
        <f>(2979.0/B36*100)</f>
        <v/>
      </c>
      <c r="D36" s="19" t="n">
        <v>353</v>
      </c>
      <c r="E36" s="18" t="n">
        <v>21.1961345</v>
      </c>
      <c r="F36" s="20" t="n">
        <v>2.02297197</v>
      </c>
      <c r="G36" s="18" t="n">
        <v>78.38347204</v>
      </c>
      <c r="H36" s="20" t="n">
        <v>2.05977932</v>
      </c>
      <c r="I36" s="18" t="s">
        <v>567</v>
      </c>
      <c r="J36" s="20" t="s">
        <v>567</v>
      </c>
      <c r="K36" s="18" t="n">
        <v>0.16126846</v>
      </c>
      <c r="L36" s="20" t="n">
        <v>0.14787155</v>
      </c>
      <c r="M36" s="18" t="n">
        <v>0</v>
      </c>
      <c r="N36" s="20" t="n">
        <v>0</v>
      </c>
      <c r="O36" s="18" t="n">
        <v>0</v>
      </c>
      <c r="P36" s="20" t="n">
        <v>0</v>
      </c>
      <c r="Q36" s="18" t="n">
        <v>0.25912499</v>
      </c>
      <c r="R36" s="20" t="n">
        <v>0.2624365</v>
      </c>
    </row>
    <row r="37" spans="1:18">
      <c r="A37" s="15" t="s">
        <v>597</v>
      </c>
      <c r="B37" s="17" t="n">
        <v>2727</v>
      </c>
      <c r="C37" s="18">
        <f>(2425.0/B37*100)</f>
        <v/>
      </c>
      <c r="D37" s="19" t="n">
        <v>302</v>
      </c>
      <c r="E37" s="18" t="n">
        <v>21.45053873</v>
      </c>
      <c r="F37" s="20" t="n">
        <v>2.9764568</v>
      </c>
      <c r="G37" s="18" t="n">
        <v>75.23045685</v>
      </c>
      <c r="H37" s="20" t="n">
        <v>3.10596525</v>
      </c>
      <c r="I37" s="18" t="s">
        <v>567</v>
      </c>
      <c r="J37" s="20" t="s">
        <v>567</v>
      </c>
      <c r="K37" s="18" t="n">
        <v>1.60685055</v>
      </c>
      <c r="L37" s="20" t="n">
        <v>0.7715727999999999</v>
      </c>
      <c r="M37" s="18" t="n">
        <v>0</v>
      </c>
      <c r="N37" s="20" t="n">
        <v>0</v>
      </c>
      <c r="O37" s="18" t="n">
        <v>0</v>
      </c>
      <c r="P37" s="20" t="n">
        <v>0</v>
      </c>
      <c r="Q37" s="18" t="n">
        <v>1.71215387</v>
      </c>
      <c r="R37" s="20" t="n">
        <v>0.7492029</v>
      </c>
    </row>
    <row r="38" spans="1:18">
      <c r="A38" s="15" t="s">
        <v>598</v>
      </c>
      <c r="B38" s="17" t="n">
        <v>3053</v>
      </c>
      <c r="C38" s="18">
        <f>(2720.0/B38*100)</f>
        <v/>
      </c>
      <c r="D38" s="19" t="n">
        <v>333</v>
      </c>
      <c r="E38" s="18" t="n">
        <v>22.0522594</v>
      </c>
      <c r="F38" s="20" t="n">
        <v>2.27328142</v>
      </c>
      <c r="G38" s="18" t="n">
        <v>76.77577655</v>
      </c>
      <c r="H38" s="20" t="n">
        <v>2.28999906</v>
      </c>
      <c r="I38" s="18" t="s">
        <v>567</v>
      </c>
      <c r="J38" s="20" t="s">
        <v>567</v>
      </c>
      <c r="K38" s="18" t="n">
        <v>0.25384447</v>
      </c>
      <c r="L38" s="20" t="n">
        <v>0.2549003</v>
      </c>
      <c r="M38" s="18" t="n">
        <v>0</v>
      </c>
      <c r="N38" s="20" t="n">
        <v>0</v>
      </c>
      <c r="O38" s="18" t="n">
        <v>0</v>
      </c>
      <c r="P38" s="20" t="n">
        <v>0</v>
      </c>
      <c r="Q38" s="18" t="n">
        <v>0.91811958</v>
      </c>
      <c r="R38" s="20" t="n">
        <v>0.54049315</v>
      </c>
    </row>
    <row r="39" spans="1:18">
      <c r="A39" s="15" t="s">
        <v>599</v>
      </c>
      <c r="B39" s="17" t="n">
        <v>2957</v>
      </c>
      <c r="C39" s="18">
        <f>(2633.0/B39*100)</f>
        <v/>
      </c>
      <c r="D39" s="19" t="n">
        <v>324</v>
      </c>
      <c r="E39" s="18" t="n">
        <v>22.76549224</v>
      </c>
      <c r="F39" s="20" t="n">
        <v>2.07397466</v>
      </c>
      <c r="G39" s="18" t="n">
        <v>76.13599687</v>
      </c>
      <c r="H39" s="20" t="n">
        <v>2.10449042</v>
      </c>
      <c r="I39" s="18" t="s">
        <v>567</v>
      </c>
      <c r="J39" s="20" t="s">
        <v>567</v>
      </c>
      <c r="K39" s="18" t="n">
        <v>1.09851088</v>
      </c>
      <c r="L39" s="20" t="n">
        <v>0.6252323</v>
      </c>
      <c r="M39" s="18" t="n">
        <v>0</v>
      </c>
      <c r="N39" s="20" t="n">
        <v>0</v>
      </c>
      <c r="O39" s="18" t="n">
        <v>0</v>
      </c>
      <c r="P39" s="20" t="n">
        <v>0</v>
      </c>
      <c r="Q39" s="18" t="n">
        <v>0</v>
      </c>
      <c r="R39" s="20" t="n">
        <v>0</v>
      </c>
    </row>
    <row r="40" spans="1:18">
      <c r="A40" s="15" t="s">
        <v>600</v>
      </c>
      <c r="B40" s="17" t="n">
        <v>7235</v>
      </c>
      <c r="C40" s="18">
        <f>(6430.0/B40*100)</f>
        <v/>
      </c>
      <c r="D40" s="19" t="n">
        <v>805</v>
      </c>
      <c r="E40" s="18" t="n">
        <v>17.40913696</v>
      </c>
      <c r="F40" s="20" t="n">
        <v>2.03991644</v>
      </c>
      <c r="G40" s="18" t="n">
        <v>80.48018399</v>
      </c>
      <c r="H40" s="20" t="n">
        <v>2.2292877</v>
      </c>
      <c r="I40" s="18" t="s">
        <v>567</v>
      </c>
      <c r="J40" s="20" t="s">
        <v>567</v>
      </c>
      <c r="K40" s="18" t="n">
        <v>0.02483154</v>
      </c>
      <c r="L40" s="20" t="n">
        <v>0.02571724</v>
      </c>
      <c r="M40" s="18" t="n">
        <v>0</v>
      </c>
      <c r="N40" s="20" t="n">
        <v>0</v>
      </c>
      <c r="O40" s="18" t="n">
        <v>0</v>
      </c>
      <c r="P40" s="20" t="n">
        <v>0</v>
      </c>
      <c r="Q40" s="18" t="n">
        <v>2.08584751</v>
      </c>
      <c r="R40" s="20" t="n">
        <v>0.81102467</v>
      </c>
    </row>
    <row r="41" spans="1:18">
      <c r="A41" s="15" t="s">
        <v>601</v>
      </c>
      <c r="B41" s="17" t="n">
        <v>2858</v>
      </c>
      <c r="C41" s="18">
        <f>(2518.0/B41*100)</f>
        <v/>
      </c>
      <c r="D41" s="19" t="n">
        <v>340</v>
      </c>
      <c r="E41" s="18" t="n">
        <v>26.15315431</v>
      </c>
      <c r="F41" s="20" t="n">
        <v>2.79456792</v>
      </c>
      <c r="G41" s="18" t="n">
        <v>73.11987053999999</v>
      </c>
      <c r="H41" s="20" t="n">
        <v>2.7355929</v>
      </c>
      <c r="I41" s="18" t="s">
        <v>567</v>
      </c>
      <c r="J41" s="20" t="s">
        <v>567</v>
      </c>
      <c r="K41" s="18" t="n">
        <v>0.72697514</v>
      </c>
      <c r="L41" s="20" t="n">
        <v>0.5066961</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(9930.0/B46*100)</f>
        <v/>
      </c>
      <c r="D46" s="19" t="n">
        <v>1138</v>
      </c>
      <c r="E46" s="18" t="n">
        <v>38.14843865</v>
      </c>
      <c r="F46" s="20" t="n">
        <v>1.73379708</v>
      </c>
      <c r="G46" s="18" t="n">
        <v>59.37665178</v>
      </c>
      <c r="H46" s="20" t="n">
        <v>1.77295733</v>
      </c>
      <c r="I46" s="18" t="s">
        <v>567</v>
      </c>
      <c r="J46" s="20" t="s">
        <v>567</v>
      </c>
      <c r="K46" s="18" t="n">
        <v>0.43396227</v>
      </c>
      <c r="L46" s="20" t="n">
        <v>0.21159719</v>
      </c>
      <c r="M46" s="18" t="n">
        <v>0</v>
      </c>
      <c r="N46" s="20" t="n">
        <v>0</v>
      </c>
      <c r="O46" s="18" t="n">
        <v>0</v>
      </c>
      <c r="P46" s="20" t="n">
        <v>0</v>
      </c>
      <c r="Q46" s="18" t="n">
        <v>2.0409473</v>
      </c>
      <c r="R46" s="20" t="n">
        <v>0.60196254</v>
      </c>
    </row>
    <row r="47" spans="1:18">
      <c r="A47" s="15" t="s">
        <v>607</v>
      </c>
      <c r="B47" s="17" t="n">
        <v>3105</v>
      </c>
      <c r="C47" s="18">
        <f>(2778.0/B47*100)</f>
        <v/>
      </c>
      <c r="D47" s="19" t="n">
        <v>327</v>
      </c>
      <c r="E47" s="18" t="n">
        <v>28.24133619</v>
      </c>
      <c r="F47" s="20" t="n">
        <v>2.72660234</v>
      </c>
      <c r="G47" s="18" t="n">
        <v>69.92785339</v>
      </c>
      <c r="H47" s="20" t="n">
        <v>2.76990136</v>
      </c>
      <c r="I47" s="18" t="s">
        <v>567</v>
      </c>
      <c r="J47" s="20" t="s">
        <v>567</v>
      </c>
      <c r="K47" s="18" t="n">
        <v>0</v>
      </c>
      <c r="L47" s="20" t="n">
        <v>0</v>
      </c>
      <c r="M47" s="18" t="n">
        <v>0</v>
      </c>
      <c r="N47" s="20" t="n">
        <v>0</v>
      </c>
      <c r="O47" s="18" t="n">
        <v>0</v>
      </c>
      <c r="P47" s="20" t="n">
        <v>0</v>
      </c>
      <c r="Q47" s="18" t="n">
        <v>1.83081042</v>
      </c>
      <c r="R47" s="20" t="n">
        <v>0.84126104</v>
      </c>
    </row>
    <row r="48" spans="1:18">
      <c r="A48" s="15" t="s">
        <v>608</v>
      </c>
      <c r="B48" s="17" t="n">
        <v>5159</v>
      </c>
      <c r="C48" s="18">
        <f>(4576.0/B48*100)</f>
        <v/>
      </c>
      <c r="D48" s="19" t="n">
        <v>583</v>
      </c>
      <c r="E48" s="18" t="n">
        <v>50.45789829</v>
      </c>
      <c r="F48" s="20" t="n">
        <v>2.93836833</v>
      </c>
      <c r="G48" s="18" t="n">
        <v>49.10498191</v>
      </c>
      <c r="H48" s="20" t="n">
        <v>2.98269402</v>
      </c>
      <c r="I48" s="18" t="s">
        <v>567</v>
      </c>
      <c r="J48" s="20" t="s">
        <v>567</v>
      </c>
      <c r="K48" s="18" t="n">
        <v>0.43383739</v>
      </c>
      <c r="L48" s="20" t="n">
        <v>0.26026401</v>
      </c>
      <c r="M48" s="18" t="n">
        <v>0</v>
      </c>
      <c r="N48" s="20" t="n">
        <v>0</v>
      </c>
      <c r="O48" s="18" t="n">
        <v>0</v>
      </c>
      <c r="P48" s="20" t="n">
        <v>0</v>
      </c>
      <c r="Q48" s="18" t="n">
        <v>0.00328241</v>
      </c>
      <c r="R48" s="20" t="n">
        <v>0.00328688</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(5008.0/B50*100)</f>
        <v/>
      </c>
      <c r="D50" s="19" t="n">
        <v>629</v>
      </c>
      <c r="E50" s="18" t="n">
        <v>45.74721905</v>
      </c>
      <c r="F50" s="20" t="n">
        <v>2.38184621</v>
      </c>
      <c r="G50" s="18" t="n">
        <v>51.46409384</v>
      </c>
      <c r="H50" s="20" t="n">
        <v>2.44346907</v>
      </c>
      <c r="I50" s="18" t="s">
        <v>567</v>
      </c>
      <c r="J50" s="20" t="s">
        <v>567</v>
      </c>
      <c r="K50" s="18" t="n">
        <v>1.61405027</v>
      </c>
      <c r="L50" s="20" t="n">
        <v>0.85414554</v>
      </c>
      <c r="M50" s="18" t="n">
        <v>0</v>
      </c>
      <c r="N50" s="20" t="n">
        <v>0</v>
      </c>
      <c r="O50" s="18" t="n">
        <v>0</v>
      </c>
      <c r="P50" s="20" t="n">
        <v>0</v>
      </c>
      <c r="Q50" s="18" t="n">
        <v>1.17463684</v>
      </c>
      <c r="R50" s="20" t="n">
        <v>0.5519606500000001</v>
      </c>
    </row>
    <row r="51" spans="1:18">
      <c r="A51" s="15" t="s">
        <v>611</v>
      </c>
      <c r="B51" s="17" t="n">
        <v>3372</v>
      </c>
      <c r="C51" s="18">
        <f>(2673.0/B51*100)</f>
        <v/>
      </c>
      <c r="D51" s="19" t="n">
        <v>699</v>
      </c>
      <c r="E51" s="18" t="n">
        <v>44.80236826</v>
      </c>
      <c r="F51" s="20" t="n">
        <v>2.07733012</v>
      </c>
      <c r="G51" s="18" t="n">
        <v>53.21439823</v>
      </c>
      <c r="H51" s="20" t="n">
        <v>2.10285186</v>
      </c>
      <c r="I51" s="18" t="s">
        <v>567</v>
      </c>
      <c r="J51" s="20" t="s">
        <v>567</v>
      </c>
      <c r="K51" s="18" t="n">
        <v>0.38838679</v>
      </c>
      <c r="L51" s="20" t="n">
        <v>0.2537451</v>
      </c>
      <c r="M51" s="18" t="n">
        <v>0</v>
      </c>
      <c r="N51" s="20" t="n">
        <v>0</v>
      </c>
      <c r="O51" s="18" t="n">
        <v>0</v>
      </c>
      <c r="P51" s="20" t="n">
        <v>0</v>
      </c>
      <c r="Q51" s="18" t="n">
        <v>1.59484672</v>
      </c>
      <c r="R51" s="20" t="n">
        <v>0.49460256</v>
      </c>
    </row>
    <row r="52" spans="1:18">
      <c r="A52" s="15" t="s">
        <v>612</v>
      </c>
      <c r="B52" s="17" t="n">
        <v>2796</v>
      </c>
      <c r="C52" s="18">
        <f>(2443.0/B52*100)</f>
        <v/>
      </c>
      <c r="D52" s="19" t="n">
        <v>353</v>
      </c>
      <c r="E52" s="18" t="n">
        <v>29.77169139</v>
      </c>
      <c r="F52" s="20" t="n">
        <v>2.42626095</v>
      </c>
      <c r="G52" s="18" t="n">
        <v>69.29151095</v>
      </c>
      <c r="H52" s="20" t="n">
        <v>2.35291861</v>
      </c>
      <c r="I52" s="18" t="s">
        <v>567</v>
      </c>
      <c r="J52" s="20" t="s">
        <v>567</v>
      </c>
      <c r="K52" s="18" t="n">
        <v>0</v>
      </c>
      <c r="L52" s="20" t="n">
        <v>0</v>
      </c>
      <c r="M52" s="18" t="n">
        <v>0</v>
      </c>
      <c r="N52" s="20" t="n">
        <v>0</v>
      </c>
      <c r="O52" s="18" t="n">
        <v>0</v>
      </c>
      <c r="P52" s="20" t="n">
        <v>0</v>
      </c>
      <c r="Q52" s="18" t="n">
        <v>0.93679766</v>
      </c>
      <c r="R52" s="20" t="n">
        <v>0.53030011</v>
      </c>
    </row>
    <row r="53" spans="1:18">
      <c r="A53" s="15" t="s">
        <v>613</v>
      </c>
      <c r="B53" s="17" t="n">
        <v>2811</v>
      </c>
      <c r="C53" s="18">
        <f>(2516.0/B53*100)</f>
        <v/>
      </c>
      <c r="D53" s="19" t="n">
        <v>295</v>
      </c>
      <c r="E53" s="18" t="n">
        <v>39.97394695</v>
      </c>
      <c r="F53" s="20" t="n">
        <v>2.89320965</v>
      </c>
      <c r="G53" s="18" t="n">
        <v>56.62470307</v>
      </c>
      <c r="H53" s="20" t="n">
        <v>2.9834942</v>
      </c>
      <c r="I53" s="18" t="s">
        <v>567</v>
      </c>
      <c r="J53" s="20" t="s">
        <v>567</v>
      </c>
      <c r="K53" s="18" t="n">
        <v>0.72419595</v>
      </c>
      <c r="L53" s="20" t="n">
        <v>0.41372246</v>
      </c>
      <c r="M53" s="18" t="n">
        <v>0</v>
      </c>
      <c r="N53" s="20" t="n">
        <v>0</v>
      </c>
      <c r="O53" s="18" t="n">
        <v>0</v>
      </c>
      <c r="P53" s="20" t="n">
        <v>0</v>
      </c>
      <c r="Q53" s="18" t="n">
        <v>2.67715403</v>
      </c>
      <c r="R53" s="20" t="n">
        <v>0.97833473</v>
      </c>
    </row>
    <row r="54" spans="1:18">
      <c r="A54" s="15" t="s">
        <v>614</v>
      </c>
      <c r="B54" s="17" t="n">
        <v>2266</v>
      </c>
      <c r="C54" s="18">
        <f>(2008.0/B54*100)</f>
        <v/>
      </c>
      <c r="D54" s="19" t="n">
        <v>258</v>
      </c>
      <c r="E54" s="18" t="n">
        <v>51.32993228</v>
      </c>
      <c r="F54" s="20" t="n">
        <v>3.82040448</v>
      </c>
      <c r="G54" s="18" t="n">
        <v>36.53794022</v>
      </c>
      <c r="H54" s="20" t="n">
        <v>3.53159115</v>
      </c>
      <c r="I54" s="18" t="s">
        <v>567</v>
      </c>
      <c r="J54" s="20" t="s">
        <v>567</v>
      </c>
      <c r="K54" s="18" t="n">
        <v>7.46852847</v>
      </c>
      <c r="L54" s="20" t="n">
        <v>2.28247298</v>
      </c>
      <c r="M54" s="18" t="n">
        <v>0</v>
      </c>
      <c r="N54" s="20" t="n">
        <v>0</v>
      </c>
      <c r="O54" s="18" t="n">
        <v>0</v>
      </c>
      <c r="P54" s="20" t="n">
        <v>0</v>
      </c>
      <c r="Q54" s="18" t="n">
        <v>4.66359904</v>
      </c>
      <c r="R54" s="20" t="n">
        <v>1.32290014</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(2372.0/B56*100)</f>
        <v/>
      </c>
      <c r="D56" s="19" t="n">
        <v>312</v>
      </c>
      <c r="E56" s="18" t="n">
        <v>24.33602566</v>
      </c>
      <c r="F56" s="20" t="n">
        <v>2.75614135</v>
      </c>
      <c r="G56" s="18" t="n">
        <v>73.34748965999999</v>
      </c>
      <c r="H56" s="20" t="n">
        <v>2.75434684</v>
      </c>
      <c r="I56" s="18" t="s">
        <v>567</v>
      </c>
      <c r="J56" s="20" t="s">
        <v>567</v>
      </c>
      <c r="K56" s="18" t="n">
        <v>0.26860909</v>
      </c>
      <c r="L56" s="20" t="n">
        <v>0.2749778</v>
      </c>
      <c r="M56" s="18" t="n">
        <v>0</v>
      </c>
      <c r="N56" s="20" t="n">
        <v>0</v>
      </c>
      <c r="O56" s="18" t="n">
        <v>0</v>
      </c>
      <c r="P56" s="20" t="n">
        <v>0</v>
      </c>
      <c r="Q56" s="18" t="n">
        <v>2.04787559</v>
      </c>
      <c r="R56" s="20" t="n">
        <v>0.59622389</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(2904.0/B61*100)</f>
        <v/>
      </c>
      <c r="D61" s="19" t="n">
        <v>420</v>
      </c>
      <c r="E61" s="18" t="n">
        <v>45.47305043</v>
      </c>
      <c r="F61" s="20" t="n">
        <v>2.97972757</v>
      </c>
      <c r="G61" s="18" t="n">
        <v>54.26950411</v>
      </c>
      <c r="H61" s="20" t="n">
        <v>3.01714957</v>
      </c>
      <c r="I61" s="18" t="s">
        <v>567</v>
      </c>
      <c r="J61" s="20" t="s">
        <v>567</v>
      </c>
      <c r="K61" s="18" t="n">
        <v>0.05756394</v>
      </c>
      <c r="L61" s="20" t="n">
        <v>0.05749659</v>
      </c>
      <c r="M61" s="18" t="n">
        <v>0</v>
      </c>
      <c r="N61" s="20" t="n">
        <v>0</v>
      </c>
      <c r="O61" s="18" t="n">
        <v>0</v>
      </c>
      <c r="P61" s="20" t="n">
        <v>0</v>
      </c>
      <c r="Q61" s="18" t="n">
        <v>0.19988151</v>
      </c>
      <c r="R61" s="20" t="n">
        <v>0.15056022</v>
      </c>
    </row>
    <row r="62" spans="1:18">
      <c r="A62" s="15" t="s">
        <v>622</v>
      </c>
      <c r="B62" s="17" t="n">
        <v>2246</v>
      </c>
      <c r="C62" s="18">
        <f>(1991.0/B62*100)</f>
        <v/>
      </c>
      <c r="D62" s="19" t="n">
        <v>255</v>
      </c>
      <c r="E62" s="18" t="n">
        <v>34.1316105</v>
      </c>
      <c r="F62" s="20" t="n">
        <v>2.74029629</v>
      </c>
      <c r="G62" s="18" t="n">
        <v>65.86838950000001</v>
      </c>
      <c r="H62" s="20" t="n">
        <v>2.74029629</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(2554.0/B66*100)</f>
        <v/>
      </c>
      <c r="D66" s="19" t="n">
        <v>340</v>
      </c>
      <c r="E66" s="18" t="n">
        <v>36.39332522</v>
      </c>
      <c r="F66" s="20" t="n">
        <v>2.5695294</v>
      </c>
      <c r="G66" s="18" t="n">
        <v>60.36015374</v>
      </c>
      <c r="H66" s="20" t="n">
        <v>2.6403833</v>
      </c>
      <c r="I66" s="18" t="s">
        <v>567</v>
      </c>
      <c r="J66" s="20" t="s">
        <v>567</v>
      </c>
      <c r="K66" s="18" t="n">
        <v>0.56424197</v>
      </c>
      <c r="L66" s="20" t="n">
        <v>0.39484105</v>
      </c>
      <c r="M66" s="18" t="n">
        <v>0</v>
      </c>
      <c r="N66" s="20" t="n">
        <v>0</v>
      </c>
      <c r="O66" s="18" t="n">
        <v>0</v>
      </c>
      <c r="P66" s="20" t="n">
        <v>0</v>
      </c>
      <c r="Q66" s="18" t="n">
        <v>2.68227908</v>
      </c>
      <c r="R66" s="20" t="n">
        <v>0.8780762600000001</v>
      </c>
    </row>
    <row r="67" spans="1:18">
      <c r="A67" s="15" t="s">
        <v>627</v>
      </c>
      <c r="B67" s="17" t="n">
        <v>3511</v>
      </c>
      <c r="C67" s="18">
        <f>(3142.0/B67*100)</f>
        <v/>
      </c>
      <c r="D67" s="19" t="n">
        <v>369</v>
      </c>
      <c r="E67" s="18" t="n">
        <v>46.93164709</v>
      </c>
      <c r="F67" s="20" t="n">
        <v>2.70210234</v>
      </c>
      <c r="G67" s="18" t="n">
        <v>52.04341165</v>
      </c>
      <c r="H67" s="20" t="n">
        <v>2.71186643</v>
      </c>
      <c r="I67" s="18" t="s">
        <v>567</v>
      </c>
      <c r="J67" s="20" t="s">
        <v>567</v>
      </c>
      <c r="K67" s="18" t="n">
        <v>0</v>
      </c>
      <c r="L67" s="20" t="n">
        <v>0</v>
      </c>
      <c r="M67" s="18" t="n">
        <v>0</v>
      </c>
      <c r="N67" s="20" t="n">
        <v>0</v>
      </c>
      <c r="O67" s="18" t="n">
        <v>0</v>
      </c>
      <c r="P67" s="20" t="n">
        <v>0</v>
      </c>
      <c r="Q67" s="18" t="n">
        <v>1.02494126</v>
      </c>
      <c r="R67" s="20" t="n">
        <v>0.50996883</v>
      </c>
    </row>
    <row r="68" spans="1:18">
      <c r="A68" s="15" t="s">
        <v>628</v>
      </c>
      <c r="B68" s="17" t="n">
        <v>6049</v>
      </c>
      <c r="C68" s="18">
        <f>(5385.0/B68*100)</f>
        <v/>
      </c>
      <c r="D68" s="19" t="n">
        <v>664</v>
      </c>
      <c r="E68" s="18" t="n">
        <v>41.19299798</v>
      </c>
      <c r="F68" s="20" t="n">
        <v>2.04029693</v>
      </c>
      <c r="G68" s="18" t="n">
        <v>55.96458465</v>
      </c>
      <c r="H68" s="20" t="n">
        <v>2.05709501</v>
      </c>
      <c r="I68" s="18" t="s">
        <v>567</v>
      </c>
      <c r="J68" s="20" t="s">
        <v>567</v>
      </c>
      <c r="K68" s="18" t="n">
        <v>1.07078753</v>
      </c>
      <c r="L68" s="20" t="n">
        <v>0.40751488</v>
      </c>
      <c r="M68" s="18" t="n">
        <v>0</v>
      </c>
      <c r="N68" s="20" t="n">
        <v>0</v>
      </c>
      <c r="O68" s="18" t="n">
        <v>0</v>
      </c>
      <c r="P68" s="20" t="n">
        <v>0</v>
      </c>
      <c r="Q68" s="18" t="n">
        <v>1.77162984</v>
      </c>
      <c r="R68" s="20" t="n">
        <v>0.42094915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(2612.0/B70*100)</f>
        <v/>
      </c>
      <c r="D70" s="19" t="n">
        <v>317</v>
      </c>
      <c r="E70" s="18" t="n">
        <v>28.28540627</v>
      </c>
      <c r="F70" s="20" t="n">
        <v>2.76071211</v>
      </c>
      <c r="G70" s="18" t="n">
        <v>71.19393004</v>
      </c>
      <c r="H70" s="20" t="n">
        <v>2.81595576</v>
      </c>
      <c r="I70" s="18" t="s">
        <v>567</v>
      </c>
      <c r="J70" s="20" t="s">
        <v>567</v>
      </c>
      <c r="K70" s="18" t="n">
        <v>0</v>
      </c>
      <c r="L70" s="20" t="n">
        <v>0</v>
      </c>
      <c r="M70" s="18" t="n">
        <v>0</v>
      </c>
      <c r="N70" s="20" t="n">
        <v>0</v>
      </c>
      <c r="O70" s="18" t="n">
        <v>0</v>
      </c>
      <c r="P70" s="20" t="n">
        <v>0</v>
      </c>
      <c r="Q70" s="18" t="n">
        <v>0.52066369</v>
      </c>
      <c r="R70" s="20" t="n">
        <v>0.387816</v>
      </c>
    </row>
    <row r="71" spans="1:18">
      <c r="A71" s="15" t="s">
        <v>631</v>
      </c>
      <c r="B71" s="17" t="n">
        <v>3142</v>
      </c>
      <c r="C71" s="18">
        <f>(2783.0/B71*100)</f>
        <v/>
      </c>
      <c r="D71" s="19" t="n">
        <v>359</v>
      </c>
      <c r="E71" s="18" t="n">
        <v>8.22518938</v>
      </c>
      <c r="F71" s="20" t="n">
        <v>1.3810395</v>
      </c>
      <c r="G71" s="18" t="n">
        <v>91.51593864</v>
      </c>
      <c r="H71" s="20" t="n">
        <v>1.42690887</v>
      </c>
      <c r="I71" s="18" t="s">
        <v>567</v>
      </c>
      <c r="J71" s="20" t="s">
        <v>567</v>
      </c>
      <c r="K71" s="18" t="n">
        <v>0</v>
      </c>
      <c r="L71" s="20" t="n">
        <v>0</v>
      </c>
      <c r="M71" s="18" t="n">
        <v>0</v>
      </c>
      <c r="N71" s="20" t="n">
        <v>0</v>
      </c>
      <c r="O71" s="18" t="n">
        <v>0</v>
      </c>
      <c r="P71" s="20" t="n">
        <v>0</v>
      </c>
      <c r="Q71" s="18" t="n">
        <v>0.25887198</v>
      </c>
      <c r="R71" s="20" t="n">
        <v>0.25818823</v>
      </c>
    </row>
    <row r="72" spans="1:18">
      <c r="A72" s="15" t="s">
        <v>632</v>
      </c>
      <c r="B72" s="17" t="n">
        <v>3889</v>
      </c>
      <c r="C72" s="18">
        <f>(3433.0/B72*100)</f>
        <v/>
      </c>
      <c r="D72" s="19" t="n">
        <v>456</v>
      </c>
      <c r="E72" s="18" t="n">
        <v>42.54070551</v>
      </c>
      <c r="F72" s="20" t="n">
        <v>2.55399828</v>
      </c>
      <c r="G72" s="18" t="n">
        <v>56.48088327</v>
      </c>
      <c r="H72" s="20" t="n">
        <v>2.51246655</v>
      </c>
      <c r="I72" s="18" t="s">
        <v>567</v>
      </c>
      <c r="J72" s="20" t="s">
        <v>567</v>
      </c>
      <c r="K72" s="18" t="n">
        <v>0.46512762</v>
      </c>
      <c r="L72" s="20" t="n">
        <v>0.35056184</v>
      </c>
      <c r="M72" s="18" t="n">
        <v>0</v>
      </c>
      <c r="N72" s="20" t="n">
        <v>0</v>
      </c>
      <c r="O72" s="18" t="n">
        <v>0</v>
      </c>
      <c r="P72" s="20" t="n">
        <v>0</v>
      </c>
      <c r="Q72" s="18" t="n">
        <v>0.51328359</v>
      </c>
      <c r="R72" s="20" t="n">
        <v>0.28231804</v>
      </c>
    </row>
    <row r="73" spans="1:18">
      <c r="A73" s="15" t="s">
        <v>633</v>
      </c>
      <c r="B73" s="17" t="n">
        <v>3597</v>
      </c>
      <c r="C73" s="18">
        <f>(3195.0/B73*100)</f>
        <v/>
      </c>
      <c r="D73" s="19" t="n">
        <v>402</v>
      </c>
      <c r="E73" s="18" t="n">
        <v>43.34050548</v>
      </c>
      <c r="F73" s="20" t="n">
        <v>2.42800968</v>
      </c>
      <c r="G73" s="18" t="n">
        <v>55.65061202</v>
      </c>
      <c r="H73" s="20" t="n">
        <v>2.4297256</v>
      </c>
      <c r="I73" s="18" t="s">
        <v>567</v>
      </c>
      <c r="J73" s="20" t="s">
        <v>567</v>
      </c>
      <c r="K73" s="18" t="n">
        <v>0.09253585</v>
      </c>
      <c r="L73" s="20" t="n">
        <v>0.09700872000000001</v>
      </c>
      <c r="M73" s="18" t="n">
        <v>0</v>
      </c>
      <c r="N73" s="20" t="n">
        <v>0</v>
      </c>
      <c r="O73" s="18" t="n">
        <v>0</v>
      </c>
      <c r="P73" s="20" t="n">
        <v>0</v>
      </c>
      <c r="Q73" s="18" t="n">
        <v>0.91634665</v>
      </c>
      <c r="R73" s="20" t="n">
        <v>0.59853892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(2162.0/B75*100)</f>
        <v/>
      </c>
      <c r="D75" s="19" t="n">
        <v>244</v>
      </c>
      <c r="E75" s="18" t="n">
        <v>30.95180479</v>
      </c>
      <c r="F75" s="20" t="n">
        <v>3.07882653</v>
      </c>
      <c r="G75" s="18" t="n">
        <v>64.47096335000001</v>
      </c>
      <c r="H75" s="20" t="n">
        <v>3.11849579</v>
      </c>
      <c r="I75" s="18" t="s">
        <v>567</v>
      </c>
      <c r="J75" s="20" t="s">
        <v>567</v>
      </c>
      <c r="K75" s="18" t="n">
        <v>1.07075063</v>
      </c>
      <c r="L75" s="20" t="n">
        <v>0.60957184</v>
      </c>
      <c r="M75" s="18" t="n">
        <v>0</v>
      </c>
      <c r="N75" s="20" t="n">
        <v>0</v>
      </c>
      <c r="O75" s="18" t="n">
        <v>0</v>
      </c>
      <c r="P75" s="20" t="n">
        <v>0</v>
      </c>
      <c r="Q75" s="18" t="n">
        <v>3.50648123</v>
      </c>
      <c r="R75" s="20" t="n">
        <v>0.98234912</v>
      </c>
    </row>
    <row r="76" spans="1:18">
      <c r="A76" s="15" t="s">
        <v>636</v>
      </c>
      <c r="B76" s="17" t="n">
        <v>7052</v>
      </c>
      <c r="C76" s="18">
        <f>(6267.0/B76*100)</f>
        <v/>
      </c>
      <c r="D76" s="19" t="n">
        <v>785</v>
      </c>
      <c r="E76" s="18" t="n">
        <v>42.68661902</v>
      </c>
      <c r="F76" s="20" t="n">
        <v>2.24680583</v>
      </c>
      <c r="G76" s="18" t="n">
        <v>55.48578436</v>
      </c>
      <c r="H76" s="20" t="n">
        <v>2.44929655</v>
      </c>
      <c r="I76" s="18" t="s">
        <v>567</v>
      </c>
      <c r="J76" s="20" t="s">
        <v>567</v>
      </c>
      <c r="K76" s="18" t="n">
        <v>0.62256847</v>
      </c>
      <c r="L76" s="20" t="n">
        <v>0.39464788</v>
      </c>
      <c r="M76" s="18" t="n">
        <v>0</v>
      </c>
      <c r="N76" s="20" t="n">
        <v>0</v>
      </c>
      <c r="O76" s="18" t="n">
        <v>0</v>
      </c>
      <c r="P76" s="20" t="n">
        <v>0</v>
      </c>
      <c r="Q76" s="18" t="n">
        <v>1.20502815</v>
      </c>
      <c r="R76" s="20" t="n">
        <v>0.44170579</v>
      </c>
    </row>
    <row r="77" spans="1:18">
      <c r="A77" s="15" t="s">
        <v>637</v>
      </c>
      <c r="B77" s="17" t="n">
        <v>2908</v>
      </c>
      <c r="C77" s="18">
        <f>(2575.0/B77*100)</f>
        <v/>
      </c>
      <c r="D77" s="19" t="n">
        <v>333</v>
      </c>
      <c r="E77" s="18" t="n">
        <v>37.5051616</v>
      </c>
      <c r="F77" s="20" t="n">
        <v>2.833342</v>
      </c>
      <c r="G77" s="18" t="n">
        <v>61.75674652</v>
      </c>
      <c r="H77" s="20" t="n">
        <v>2.86959278</v>
      </c>
      <c r="I77" s="18" t="s">
        <v>567</v>
      </c>
      <c r="J77" s="20" t="s">
        <v>567</v>
      </c>
      <c r="K77" s="18" t="n">
        <v>0.26257907</v>
      </c>
      <c r="L77" s="20" t="n">
        <v>0.27906242</v>
      </c>
      <c r="M77" s="18" t="n">
        <v>0</v>
      </c>
      <c r="N77" s="20" t="n">
        <v>0</v>
      </c>
      <c r="O77" s="18" t="n">
        <v>0</v>
      </c>
      <c r="P77" s="20" t="n">
        <v>0</v>
      </c>
      <c r="Q77" s="18" t="n">
        <v>0.47551281</v>
      </c>
      <c r="R77" s="20" t="n">
        <v>0.48454515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(3677.0/B81*100)</f>
        <v/>
      </c>
      <c r="D81" s="19" t="n">
        <v>486</v>
      </c>
      <c r="E81" s="18" t="n">
        <v>34.87245973</v>
      </c>
      <c r="F81" s="20" t="n">
        <v>2.52215742</v>
      </c>
      <c r="G81" s="18" t="n">
        <v>64.81001614</v>
      </c>
      <c r="H81" s="20" t="n">
        <v>2.58335464</v>
      </c>
      <c r="I81" s="18" t="s">
        <v>567</v>
      </c>
      <c r="J81" s="20" t="s">
        <v>567</v>
      </c>
      <c r="K81" s="18" t="n">
        <v>0</v>
      </c>
      <c r="L81" s="20" t="n">
        <v>0</v>
      </c>
      <c r="M81" s="18" t="n">
        <v>0</v>
      </c>
      <c r="N81" s="20" t="n">
        <v>0</v>
      </c>
      <c r="O81" s="18" t="n">
        <v>0</v>
      </c>
      <c r="P81" s="20" t="n">
        <v>0</v>
      </c>
      <c r="Q81" s="18" t="n">
        <v>0.31752413</v>
      </c>
      <c r="R81" s="20" t="n">
        <v>0.3122374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(6526.0/B7*100)</f>
        <v/>
      </c>
      <c r="D7" s="19" t="n">
        <v>841</v>
      </c>
      <c r="E7" s="18" t="n">
        <v>39.63413231</v>
      </c>
      <c r="F7" s="20" t="n">
        <v>2.026594</v>
      </c>
      <c r="G7" s="18" t="n">
        <v>59.18304119</v>
      </c>
      <c r="H7" s="20" t="n">
        <v>2.10957386</v>
      </c>
      <c r="I7" s="18" t="s">
        <v>567</v>
      </c>
      <c r="J7" s="20" t="s">
        <v>567</v>
      </c>
      <c r="K7" s="18" t="n">
        <v>0.04312389</v>
      </c>
      <c r="L7" s="20" t="n">
        <v>0.03051837</v>
      </c>
      <c r="M7" s="18" t="n">
        <v>0</v>
      </c>
      <c r="N7" s="20" t="n">
        <v>0</v>
      </c>
      <c r="O7" s="18" t="n">
        <v>0</v>
      </c>
      <c r="P7" s="20" t="n">
        <v>0</v>
      </c>
      <c r="Q7" s="18" t="n">
        <v>1.13970262</v>
      </c>
      <c r="R7" s="20" t="n">
        <v>0.45054349</v>
      </c>
    </row>
    <row r="8" spans="1:18">
      <c r="A8" s="15" t="s">
        <v>568</v>
      </c>
      <c r="B8" s="17" t="n">
        <v>3564</v>
      </c>
      <c r="C8" s="18">
        <f>(3132.0/B8*100)</f>
        <v/>
      </c>
      <c r="D8" s="19" t="n">
        <v>432</v>
      </c>
      <c r="E8" s="18" t="n">
        <v>26.0113552</v>
      </c>
      <c r="F8" s="20" t="n">
        <v>2.28925179</v>
      </c>
      <c r="G8" s="18" t="n">
        <v>73.39339468</v>
      </c>
      <c r="H8" s="20" t="n">
        <v>2.35551802</v>
      </c>
      <c r="I8" s="18" t="s">
        <v>567</v>
      </c>
      <c r="J8" s="20" t="s">
        <v>567</v>
      </c>
      <c r="K8" s="18" t="n">
        <v>0.19565471</v>
      </c>
      <c r="L8" s="20" t="n">
        <v>0.19871879</v>
      </c>
      <c r="M8" s="18" t="n">
        <v>0</v>
      </c>
      <c r="N8" s="20" t="n">
        <v>0</v>
      </c>
      <c r="O8" s="18" t="n">
        <v>0</v>
      </c>
      <c r="P8" s="20" t="n">
        <v>0</v>
      </c>
      <c r="Q8" s="18" t="n">
        <v>0.39959542</v>
      </c>
      <c r="R8" s="20" t="n">
        <v>0.28171172</v>
      </c>
    </row>
    <row r="9" spans="1:18">
      <c r="A9" s="15" t="s">
        <v>569</v>
      </c>
      <c r="B9" s="17" t="n">
        <v>4899</v>
      </c>
      <c r="C9" s="18">
        <f>(4208.0/B9*100)</f>
        <v/>
      </c>
      <c r="D9" s="19" t="n">
        <v>691</v>
      </c>
      <c r="E9" s="18" t="n">
        <v>37.56822214</v>
      </c>
      <c r="F9" s="20" t="n">
        <v>2.077836</v>
      </c>
      <c r="G9" s="18" t="n">
        <v>59.15945247</v>
      </c>
      <c r="H9" s="20" t="n">
        <v>2.26055734</v>
      </c>
      <c r="I9" s="18" t="s">
        <v>567</v>
      </c>
      <c r="J9" s="20" t="s">
        <v>567</v>
      </c>
      <c r="K9" s="18" t="n">
        <v>0.72531728</v>
      </c>
      <c r="L9" s="20" t="n">
        <v>0.45760786</v>
      </c>
      <c r="M9" s="18" t="n">
        <v>0</v>
      </c>
      <c r="N9" s="20" t="n">
        <v>0</v>
      </c>
      <c r="O9" s="18" t="n">
        <v>0</v>
      </c>
      <c r="P9" s="20" t="n">
        <v>0</v>
      </c>
      <c r="Q9" s="18" t="n">
        <v>2.54700811</v>
      </c>
      <c r="R9" s="20" t="n">
        <v>0.68385597</v>
      </c>
    </row>
    <row r="10" spans="1:18">
      <c r="A10" s="15" t="s">
        <v>570</v>
      </c>
      <c r="B10" s="17" t="n">
        <v>10036</v>
      </c>
      <c r="C10" s="18">
        <f>(8965.0/B10*100)</f>
        <v/>
      </c>
      <c r="D10" s="19" t="n">
        <v>1071</v>
      </c>
      <c r="E10" s="18" t="n">
        <v>37.08011829</v>
      </c>
      <c r="F10" s="20" t="n">
        <v>2.0347754</v>
      </c>
      <c r="G10" s="18" t="n">
        <v>61.75696886</v>
      </c>
      <c r="H10" s="20" t="n">
        <v>2.06798539</v>
      </c>
      <c r="I10" s="18" t="s">
        <v>567</v>
      </c>
      <c r="J10" s="20" t="s">
        <v>567</v>
      </c>
      <c r="K10" s="18" t="n">
        <v>0.04111974</v>
      </c>
      <c r="L10" s="20" t="n">
        <v>0.02853301</v>
      </c>
      <c r="M10" s="18" t="n">
        <v>0</v>
      </c>
      <c r="N10" s="20" t="n">
        <v>0</v>
      </c>
      <c r="O10" s="18" t="n">
        <v>0</v>
      </c>
      <c r="P10" s="20" t="n">
        <v>0</v>
      </c>
      <c r="Q10" s="18" t="n">
        <v>1.1217931</v>
      </c>
      <c r="R10" s="20" t="n">
        <v>0.46397895</v>
      </c>
    </row>
    <row r="11" spans="1:18">
      <c r="A11" s="15" t="s">
        <v>571</v>
      </c>
      <c r="B11" s="17" t="n">
        <v>3553</v>
      </c>
      <c r="C11" s="18">
        <f>(3164.0/B11*100)</f>
        <v/>
      </c>
      <c r="D11" s="19" t="n">
        <v>389</v>
      </c>
      <c r="E11" s="18" t="n">
        <v>41.57914728</v>
      </c>
      <c r="F11" s="20" t="n">
        <v>2.98896084</v>
      </c>
      <c r="G11" s="18" t="n">
        <v>55.39747376</v>
      </c>
      <c r="H11" s="20" t="n">
        <v>3.08394371</v>
      </c>
      <c r="I11" s="18" t="s">
        <v>567</v>
      </c>
      <c r="J11" s="20" t="s">
        <v>567</v>
      </c>
      <c r="K11" s="18" t="n">
        <v>1.20798126</v>
      </c>
      <c r="L11" s="20" t="n">
        <v>0.84299994</v>
      </c>
      <c r="M11" s="18" t="n">
        <v>0</v>
      </c>
      <c r="N11" s="20" t="n">
        <v>0</v>
      </c>
      <c r="O11" s="18" t="n">
        <v>0</v>
      </c>
      <c r="P11" s="20" t="n">
        <v>0</v>
      </c>
      <c r="Q11" s="18" t="n">
        <v>1.81539769</v>
      </c>
      <c r="R11" s="20" t="n">
        <v>0.85069079</v>
      </c>
    </row>
    <row r="12" spans="1:18">
      <c r="A12" s="15" t="s">
        <v>572</v>
      </c>
      <c r="B12" s="17" t="n">
        <v>3472</v>
      </c>
      <c r="C12" s="18">
        <f>(3046.0/B12*100)</f>
        <v/>
      </c>
      <c r="D12" s="19" t="n">
        <v>426</v>
      </c>
      <c r="E12" s="18" t="n">
        <v>27.51080578</v>
      </c>
      <c r="F12" s="20" t="n">
        <v>2.93218543</v>
      </c>
      <c r="G12" s="18" t="n">
        <v>70.78963063</v>
      </c>
      <c r="H12" s="20" t="n">
        <v>3.10192545</v>
      </c>
      <c r="I12" s="18" t="s">
        <v>567</v>
      </c>
      <c r="J12" s="20" t="s">
        <v>567</v>
      </c>
      <c r="K12" s="18" t="n">
        <v>0.41258912</v>
      </c>
      <c r="L12" s="20" t="n">
        <v>0.45600191</v>
      </c>
      <c r="M12" s="18" t="n">
        <v>0</v>
      </c>
      <c r="N12" s="20" t="n">
        <v>0</v>
      </c>
      <c r="O12" s="18" t="n">
        <v>0</v>
      </c>
      <c r="P12" s="20" t="n">
        <v>0</v>
      </c>
      <c r="Q12" s="18" t="n">
        <v>1.28697447</v>
      </c>
      <c r="R12" s="20" t="n">
        <v>0.73441437</v>
      </c>
    </row>
    <row r="13" spans="1:18">
      <c r="A13" s="15" t="s">
        <v>573</v>
      </c>
      <c r="B13" s="17" t="n">
        <v>3559</v>
      </c>
      <c r="C13" s="18">
        <f>(2967.0/B13*100)</f>
        <v/>
      </c>
      <c r="D13" s="19" t="n">
        <v>592</v>
      </c>
      <c r="E13" s="18" t="n">
        <v>44.78081432</v>
      </c>
      <c r="F13" s="20" t="n">
        <v>2.4725527</v>
      </c>
      <c r="G13" s="18" t="n">
        <v>53.42701229</v>
      </c>
      <c r="H13" s="20" t="n">
        <v>2.54402497</v>
      </c>
      <c r="I13" s="18" t="s">
        <v>567</v>
      </c>
      <c r="J13" s="20" t="s">
        <v>567</v>
      </c>
      <c r="K13" s="18" t="n">
        <v>0.48455933</v>
      </c>
      <c r="L13" s="20" t="n">
        <v>0.2843274</v>
      </c>
      <c r="M13" s="18" t="n">
        <v>0</v>
      </c>
      <c r="N13" s="20" t="n">
        <v>0</v>
      </c>
      <c r="O13" s="18" t="n">
        <v>0</v>
      </c>
      <c r="P13" s="20" t="n">
        <v>0</v>
      </c>
      <c r="Q13" s="18" t="n">
        <v>1.30761406</v>
      </c>
      <c r="R13" s="20" t="n">
        <v>0.5788599800000001</v>
      </c>
    </row>
    <row r="14" spans="1:18">
      <c r="A14" s="15" t="s">
        <v>574</v>
      </c>
      <c r="B14" s="17" t="n">
        <v>2799</v>
      </c>
      <c r="C14" s="18">
        <f>(2505.0/B14*100)</f>
        <v/>
      </c>
      <c r="D14" s="19" t="n">
        <v>294</v>
      </c>
      <c r="E14" s="18" t="n">
        <v>17.9252242</v>
      </c>
      <c r="F14" s="20" t="n">
        <v>2.52330009</v>
      </c>
      <c r="G14" s="18" t="n">
        <v>81.79774114</v>
      </c>
      <c r="H14" s="20" t="n">
        <v>2.51472297</v>
      </c>
      <c r="I14" s="18" t="s">
        <v>567</v>
      </c>
      <c r="J14" s="20" t="s">
        <v>567</v>
      </c>
      <c r="K14" s="18" t="n">
        <v>0</v>
      </c>
      <c r="L14" s="20" t="n">
        <v>0</v>
      </c>
      <c r="M14" s="18" t="n">
        <v>0</v>
      </c>
      <c r="N14" s="20" t="n">
        <v>0</v>
      </c>
      <c r="O14" s="18" t="n">
        <v>0</v>
      </c>
      <c r="P14" s="20" t="n">
        <v>0</v>
      </c>
      <c r="Q14" s="18" t="n">
        <v>0.27703465</v>
      </c>
      <c r="R14" s="20" t="n">
        <v>0.22540686</v>
      </c>
    </row>
    <row r="15" spans="1:18">
      <c r="A15" s="15" t="s">
        <v>575</v>
      </c>
      <c r="B15" s="17" t="n">
        <v>3019</v>
      </c>
      <c r="C15" s="18">
        <f>(2689.0/B15*100)</f>
        <v/>
      </c>
      <c r="D15" s="19" t="n">
        <v>330</v>
      </c>
      <c r="E15" s="18" t="n">
        <v>22.75959452</v>
      </c>
      <c r="F15" s="20" t="n">
        <v>3.09214273</v>
      </c>
      <c r="G15" s="18" t="n">
        <v>75.51503242</v>
      </c>
      <c r="H15" s="20" t="n">
        <v>3.20603272</v>
      </c>
      <c r="I15" s="18" t="s">
        <v>567</v>
      </c>
      <c r="J15" s="20" t="s">
        <v>567</v>
      </c>
      <c r="K15" s="18" t="n">
        <v>0.53754516</v>
      </c>
      <c r="L15" s="20" t="n">
        <v>0.38160064</v>
      </c>
      <c r="M15" s="18" t="n">
        <v>0</v>
      </c>
      <c r="N15" s="20" t="n">
        <v>0</v>
      </c>
      <c r="O15" s="18" t="n">
        <v>0</v>
      </c>
      <c r="P15" s="20" t="n">
        <v>0</v>
      </c>
      <c r="Q15" s="18" t="n">
        <v>1.1878279</v>
      </c>
      <c r="R15" s="20" t="n">
        <v>0.62689287</v>
      </c>
    </row>
    <row r="16" spans="1:18">
      <c r="A16" s="15" t="s">
        <v>576</v>
      </c>
      <c r="B16" s="17" t="n">
        <v>2997</v>
      </c>
      <c r="C16" s="18">
        <f>(2678.0/B16*100)</f>
        <v/>
      </c>
      <c r="D16" s="19" t="n">
        <v>319</v>
      </c>
      <c r="E16" s="18" t="n">
        <v>36.95929451</v>
      </c>
      <c r="F16" s="20" t="n">
        <v>2.91038065</v>
      </c>
      <c r="G16" s="18" t="n">
        <v>59.49615291</v>
      </c>
      <c r="H16" s="20" t="n">
        <v>2.85395997</v>
      </c>
      <c r="I16" s="18" t="s">
        <v>567</v>
      </c>
      <c r="J16" s="20" t="s">
        <v>567</v>
      </c>
      <c r="K16" s="18" t="n">
        <v>0.91394636</v>
      </c>
      <c r="L16" s="20" t="n">
        <v>0.48586426</v>
      </c>
      <c r="M16" s="18" t="n">
        <v>0</v>
      </c>
      <c r="N16" s="20" t="n">
        <v>0</v>
      </c>
      <c r="O16" s="18" t="n">
        <v>0</v>
      </c>
      <c r="P16" s="20" t="n">
        <v>0</v>
      </c>
      <c r="Q16" s="18" t="n">
        <v>2.63060622</v>
      </c>
      <c r="R16" s="20" t="n">
        <v>0.99050785</v>
      </c>
    </row>
    <row r="17" spans="1:18">
      <c r="A17" s="15" t="s">
        <v>577</v>
      </c>
      <c r="B17" s="17" t="n">
        <v>3307</v>
      </c>
      <c r="C17" s="18">
        <f>(2874.0/B17*100)</f>
        <v/>
      </c>
      <c r="D17" s="19" t="n">
        <v>433</v>
      </c>
      <c r="E17" s="18" t="n">
        <v>32.26600315</v>
      </c>
      <c r="F17" s="20" t="n">
        <v>2.48024441</v>
      </c>
      <c r="G17" s="18" t="n">
        <v>64.87172615999999</v>
      </c>
      <c r="H17" s="20" t="n">
        <v>2.60465988</v>
      </c>
      <c r="I17" s="18" t="s">
        <v>567</v>
      </c>
      <c r="J17" s="20" t="s">
        <v>567</v>
      </c>
      <c r="K17" s="18" t="n">
        <v>0.77323379</v>
      </c>
      <c r="L17" s="20" t="n">
        <v>0.50187448</v>
      </c>
      <c r="M17" s="18" t="n">
        <v>0</v>
      </c>
      <c r="N17" s="20" t="n">
        <v>0</v>
      </c>
      <c r="O17" s="18" t="n">
        <v>0</v>
      </c>
      <c r="P17" s="20" t="n">
        <v>0</v>
      </c>
      <c r="Q17" s="18" t="n">
        <v>2.08903689</v>
      </c>
      <c r="R17" s="20" t="n">
        <v>0.70512138</v>
      </c>
    </row>
    <row r="18" spans="1:18">
      <c r="A18" s="15" t="s">
        <v>578</v>
      </c>
      <c r="B18" s="17" t="n">
        <v>2826</v>
      </c>
      <c r="C18" s="18">
        <f>(2505.0/B18*100)</f>
        <v/>
      </c>
      <c r="D18" s="19" t="n">
        <v>321</v>
      </c>
      <c r="E18" s="18" t="n">
        <v>46.9817482</v>
      </c>
      <c r="F18" s="20" t="n">
        <v>2.94093079</v>
      </c>
      <c r="G18" s="18" t="n">
        <v>51.8609522</v>
      </c>
      <c r="H18" s="20" t="n">
        <v>2.93232248</v>
      </c>
      <c r="I18" s="18" t="s">
        <v>567</v>
      </c>
      <c r="J18" s="20" t="s">
        <v>567</v>
      </c>
      <c r="K18" s="18" t="n">
        <v>0</v>
      </c>
      <c r="L18" s="20" t="n">
        <v>0</v>
      </c>
      <c r="M18" s="18" t="n">
        <v>0</v>
      </c>
      <c r="N18" s="20" t="n">
        <v>0</v>
      </c>
      <c r="O18" s="18" t="n">
        <v>0</v>
      </c>
      <c r="P18" s="20" t="n">
        <v>0</v>
      </c>
      <c r="Q18" s="18" t="n">
        <v>1.15729961</v>
      </c>
      <c r="R18" s="20" t="n">
        <v>0.61742644</v>
      </c>
    </row>
    <row r="19" spans="1:18">
      <c r="A19" s="15" t="s">
        <v>579</v>
      </c>
      <c r="B19" s="17" t="n">
        <v>2808</v>
      </c>
      <c r="C19" s="18">
        <f>(2479.0/B19*100)</f>
        <v/>
      </c>
      <c r="D19" s="19" t="n">
        <v>329</v>
      </c>
      <c r="E19" s="18" t="n">
        <v>40.06626801</v>
      </c>
      <c r="F19" s="20" t="n">
        <v>3.56000703</v>
      </c>
      <c r="G19" s="18" t="n">
        <v>59.58198152</v>
      </c>
      <c r="H19" s="20" t="n">
        <v>3.63522613</v>
      </c>
      <c r="I19" s="18" t="s">
        <v>567</v>
      </c>
      <c r="J19" s="20" t="s">
        <v>567</v>
      </c>
      <c r="K19" s="18" t="n">
        <v>0.35175047</v>
      </c>
      <c r="L19" s="20" t="n">
        <v>0.37374207</v>
      </c>
      <c r="M19" s="18" t="n">
        <v>0</v>
      </c>
      <c r="N19" s="20" t="n">
        <v>0</v>
      </c>
      <c r="O19" s="18" t="n">
        <v>0</v>
      </c>
      <c r="P19" s="20" t="n">
        <v>0</v>
      </c>
      <c r="Q19" s="18" t="n">
        <v>0</v>
      </c>
      <c r="R19" s="20" t="n">
        <v>0</v>
      </c>
    </row>
    <row r="20" spans="1:18">
      <c r="A20" s="15" t="s">
        <v>580</v>
      </c>
      <c r="B20" s="17" t="n">
        <v>1630</v>
      </c>
      <c r="C20" s="18">
        <f>(1444.0/B20*100)</f>
        <v/>
      </c>
      <c r="D20" s="19" t="n">
        <v>186</v>
      </c>
      <c r="E20" s="18" t="n">
        <v>37.46975448</v>
      </c>
      <c r="F20" s="20" t="n">
        <v>3.77903916</v>
      </c>
      <c r="G20" s="18" t="n">
        <v>62.00866125</v>
      </c>
      <c r="H20" s="20" t="n">
        <v>3.76122257</v>
      </c>
      <c r="I20" s="18" t="s">
        <v>567</v>
      </c>
      <c r="J20" s="20" t="s">
        <v>567</v>
      </c>
      <c r="K20" s="18" t="n">
        <v>0</v>
      </c>
      <c r="L20" s="20" t="n">
        <v>0</v>
      </c>
      <c r="M20" s="18" t="n">
        <v>0</v>
      </c>
      <c r="N20" s="20" t="n">
        <v>0</v>
      </c>
      <c r="O20" s="18" t="n">
        <v>0</v>
      </c>
      <c r="P20" s="20" t="n">
        <v>0</v>
      </c>
      <c r="Q20" s="18" t="n">
        <v>0.52158427</v>
      </c>
      <c r="R20" s="20" t="n">
        <v>0.51901173</v>
      </c>
    </row>
    <row r="21" spans="1:18">
      <c r="A21" s="15" t="s">
        <v>581</v>
      </c>
      <c r="B21" s="17" t="n">
        <v>2908</v>
      </c>
      <c r="C21" s="18">
        <f>(2597.0/B21*100)</f>
        <v/>
      </c>
      <c r="D21" s="19" t="n">
        <v>311</v>
      </c>
      <c r="E21" s="18" t="n">
        <v>53.2267383</v>
      </c>
      <c r="F21" s="20" t="n">
        <v>2.714139</v>
      </c>
      <c r="G21" s="18" t="n">
        <v>45.53094744</v>
      </c>
      <c r="H21" s="20" t="n">
        <v>2.70806042</v>
      </c>
      <c r="I21" s="18" t="s">
        <v>567</v>
      </c>
      <c r="J21" s="20" t="s">
        <v>567</v>
      </c>
      <c r="K21" s="18" t="n">
        <v>0</v>
      </c>
      <c r="L21" s="20" t="n">
        <v>0</v>
      </c>
      <c r="M21" s="18" t="n">
        <v>0</v>
      </c>
      <c r="N21" s="20" t="n">
        <v>0</v>
      </c>
      <c r="O21" s="18" t="n">
        <v>0</v>
      </c>
      <c r="P21" s="20" t="n">
        <v>0</v>
      </c>
      <c r="Q21" s="18" t="n">
        <v>1.24231426</v>
      </c>
      <c r="R21" s="20" t="n">
        <v>0.62891431</v>
      </c>
    </row>
    <row r="22" spans="1:18">
      <c r="A22" s="15" t="s">
        <v>582</v>
      </c>
      <c r="B22" s="17" t="n">
        <v>2931</v>
      </c>
      <c r="C22" s="18">
        <f>(2600.0/B22*100)</f>
        <v/>
      </c>
      <c r="D22" s="19" t="n">
        <v>331</v>
      </c>
      <c r="E22" s="18" t="n">
        <v>36.20694886</v>
      </c>
      <c r="F22" s="20" t="n">
        <v>3.03163216</v>
      </c>
      <c r="G22" s="18" t="n">
        <v>59.03975725</v>
      </c>
      <c r="H22" s="20" t="n">
        <v>3.09959777</v>
      </c>
      <c r="I22" s="18" t="s">
        <v>567</v>
      </c>
      <c r="J22" s="20" t="s">
        <v>567</v>
      </c>
      <c r="K22" s="18" t="n">
        <v>0.97167129</v>
      </c>
      <c r="L22" s="20" t="n">
        <v>0.47996016</v>
      </c>
      <c r="M22" s="18" t="n">
        <v>0</v>
      </c>
      <c r="N22" s="20" t="n">
        <v>0</v>
      </c>
      <c r="O22" s="18" t="n">
        <v>0</v>
      </c>
      <c r="P22" s="20" t="n">
        <v>0</v>
      </c>
      <c r="Q22" s="18" t="n">
        <v>3.7816226</v>
      </c>
      <c r="R22" s="20" t="n">
        <v>0.73429743</v>
      </c>
    </row>
    <row r="23" spans="1:18">
      <c r="A23" s="15" t="s">
        <v>583</v>
      </c>
      <c r="B23" s="17" t="n">
        <v>5791</v>
      </c>
      <c r="C23" s="18">
        <f>(5143.0/B23*100)</f>
        <v/>
      </c>
      <c r="D23" s="19" t="n">
        <v>648</v>
      </c>
      <c r="E23" s="18" t="n">
        <v>24.67142396</v>
      </c>
      <c r="F23" s="20" t="n">
        <v>2.0355784</v>
      </c>
      <c r="G23" s="18" t="n">
        <v>72.64242874999999</v>
      </c>
      <c r="H23" s="20" t="n">
        <v>2.19323754</v>
      </c>
      <c r="I23" s="18" t="s">
        <v>567</v>
      </c>
      <c r="J23" s="20" t="s">
        <v>567</v>
      </c>
      <c r="K23" s="18" t="n">
        <v>0.96308018</v>
      </c>
      <c r="L23" s="20" t="n">
        <v>0.41582486</v>
      </c>
      <c r="M23" s="18" t="n">
        <v>0</v>
      </c>
      <c r="N23" s="20" t="n">
        <v>0</v>
      </c>
      <c r="O23" s="18" t="n">
        <v>0</v>
      </c>
      <c r="P23" s="20" t="n">
        <v>0</v>
      </c>
      <c r="Q23" s="18" t="n">
        <v>1.72306711</v>
      </c>
      <c r="R23" s="20" t="n">
        <v>0.7315543</v>
      </c>
    </row>
    <row r="24" spans="1:18">
      <c r="A24" s="15" t="s">
        <v>584</v>
      </c>
      <c r="B24" s="17" t="n">
        <v>3338</v>
      </c>
      <c r="C24" s="18">
        <f>(2969.0/B24*100)</f>
        <v/>
      </c>
      <c r="D24" s="19" t="n">
        <v>369</v>
      </c>
      <c r="E24" s="18" t="n">
        <v>25.65988468</v>
      </c>
      <c r="F24" s="20" t="n">
        <v>2.3446218</v>
      </c>
      <c r="G24" s="18" t="n">
        <v>73.04856253</v>
      </c>
      <c r="H24" s="20" t="n">
        <v>2.37513156</v>
      </c>
      <c r="I24" s="18" t="s">
        <v>567</v>
      </c>
      <c r="J24" s="20" t="s">
        <v>567</v>
      </c>
      <c r="K24" s="18" t="n">
        <v>0</v>
      </c>
      <c r="L24" s="20" t="n">
        <v>0</v>
      </c>
      <c r="M24" s="18" t="n">
        <v>0</v>
      </c>
      <c r="N24" s="20" t="n">
        <v>0</v>
      </c>
      <c r="O24" s="18" t="n">
        <v>0</v>
      </c>
      <c r="P24" s="20" t="n">
        <v>0</v>
      </c>
      <c r="Q24" s="18" t="n">
        <v>1.29155279</v>
      </c>
      <c r="R24" s="20" t="n">
        <v>0.55668085</v>
      </c>
    </row>
    <row r="25" spans="1:18">
      <c r="A25" s="15" t="s">
        <v>585</v>
      </c>
      <c r="B25" s="17" t="n">
        <v>2912</v>
      </c>
      <c r="C25" s="18">
        <f>(2589.0/B25*100)</f>
        <v/>
      </c>
      <c r="D25" s="19" t="n">
        <v>323</v>
      </c>
      <c r="E25" s="18" t="n">
        <v>40.29936674</v>
      </c>
      <c r="F25" s="20" t="n">
        <v>3.2418297</v>
      </c>
      <c r="G25" s="18" t="n">
        <v>58.78252708</v>
      </c>
      <c r="H25" s="20" t="n">
        <v>3.21480217</v>
      </c>
      <c r="I25" s="18" t="s">
        <v>567</v>
      </c>
      <c r="J25" s="20" t="s">
        <v>567</v>
      </c>
      <c r="K25" s="18" t="n">
        <v>0</v>
      </c>
      <c r="L25" s="20" t="n">
        <v>0</v>
      </c>
      <c r="M25" s="18" t="n">
        <v>0</v>
      </c>
      <c r="N25" s="20" t="n">
        <v>0</v>
      </c>
      <c r="O25" s="18" t="n">
        <v>0</v>
      </c>
      <c r="P25" s="20" t="n">
        <v>0</v>
      </c>
      <c r="Q25" s="18" t="n">
        <v>0.91810619</v>
      </c>
      <c r="R25" s="20" t="n">
        <v>0.53045553</v>
      </c>
    </row>
    <row r="26" spans="1:18">
      <c r="A26" s="15" t="s">
        <v>586</v>
      </c>
      <c r="B26" s="17" t="n">
        <v>2450</v>
      </c>
      <c r="C26" s="18">
        <f>(2207.0/B26*100)</f>
        <v/>
      </c>
      <c r="D26" s="19" t="n">
        <v>243</v>
      </c>
      <c r="E26" s="18" t="n">
        <v>34.21929073</v>
      </c>
      <c r="F26" s="20" t="n">
        <v>3.59138378</v>
      </c>
      <c r="G26" s="18" t="n">
        <v>65.13379217000001</v>
      </c>
      <c r="H26" s="20" t="n">
        <v>3.61456497</v>
      </c>
      <c r="I26" s="18" t="s">
        <v>567</v>
      </c>
      <c r="J26" s="20" t="s">
        <v>567</v>
      </c>
      <c r="K26" s="18" t="n">
        <v>0.35175939</v>
      </c>
      <c r="L26" s="20" t="n">
        <v>0.35153101</v>
      </c>
      <c r="M26" s="18" t="n">
        <v>0</v>
      </c>
      <c r="N26" s="20" t="n">
        <v>0</v>
      </c>
      <c r="O26" s="18" t="n">
        <v>0</v>
      </c>
      <c r="P26" s="20" t="n">
        <v>0</v>
      </c>
      <c r="Q26" s="18" t="n">
        <v>0.29515771</v>
      </c>
      <c r="R26" s="20" t="n">
        <v>0.2802139</v>
      </c>
    </row>
    <row r="27" spans="1:18">
      <c r="A27" s="15" t="s">
        <v>587</v>
      </c>
      <c r="B27" s="17" t="n">
        <v>2616</v>
      </c>
      <c r="C27" s="18">
        <f>(2356.0/B27*100)</f>
        <v/>
      </c>
      <c r="D27" s="19" t="n">
        <v>260</v>
      </c>
      <c r="E27" s="18" t="n">
        <v>32.11947542</v>
      </c>
      <c r="F27" s="20" t="n">
        <v>3.00469695</v>
      </c>
      <c r="G27" s="18" t="n">
        <v>66.36475055</v>
      </c>
      <c r="H27" s="20" t="n">
        <v>3.07786938</v>
      </c>
      <c r="I27" s="18" t="s">
        <v>567</v>
      </c>
      <c r="J27" s="20" t="s">
        <v>567</v>
      </c>
      <c r="K27" s="18" t="n">
        <v>0.38408112</v>
      </c>
      <c r="L27" s="20" t="n">
        <v>0.38706912</v>
      </c>
      <c r="M27" s="18" t="n">
        <v>0</v>
      </c>
      <c r="N27" s="20" t="n">
        <v>0</v>
      </c>
      <c r="O27" s="18" t="n">
        <v>0</v>
      </c>
      <c r="P27" s="20" t="n">
        <v>0</v>
      </c>
      <c r="Q27" s="18" t="n">
        <v>1.13169292</v>
      </c>
      <c r="R27" s="20" t="n">
        <v>0.65036965</v>
      </c>
    </row>
    <row r="28" spans="1:18">
      <c r="A28" s="15" t="s">
        <v>588</v>
      </c>
      <c r="B28" s="17" t="n">
        <v>3765</v>
      </c>
      <c r="C28" s="18">
        <f>(3349.0/B28*100)</f>
        <v/>
      </c>
      <c r="D28" s="19" t="n">
        <v>416</v>
      </c>
      <c r="E28" s="18" t="n">
        <v>54.11231885</v>
      </c>
      <c r="F28" s="20" t="n">
        <v>2.69041004</v>
      </c>
      <c r="G28" s="18" t="n">
        <v>44.49002955</v>
      </c>
      <c r="H28" s="20" t="n">
        <v>2.68562494</v>
      </c>
      <c r="I28" s="18" t="s">
        <v>567</v>
      </c>
      <c r="J28" s="20" t="s">
        <v>567</v>
      </c>
      <c r="K28" s="18" t="n">
        <v>0.33168254</v>
      </c>
      <c r="L28" s="20" t="n">
        <v>0.37610926</v>
      </c>
      <c r="M28" s="18" t="n">
        <v>0</v>
      </c>
      <c r="N28" s="20" t="n">
        <v>0</v>
      </c>
      <c r="O28" s="18" t="n">
        <v>0</v>
      </c>
      <c r="P28" s="20" t="n">
        <v>0</v>
      </c>
      <c r="Q28" s="18" t="n">
        <v>1.06596906</v>
      </c>
      <c r="R28" s="20" t="n">
        <v>0.54821495</v>
      </c>
    </row>
    <row r="29" spans="1:18">
      <c r="A29" s="15" t="s">
        <v>589</v>
      </c>
      <c r="B29" s="17" t="n">
        <v>2685</v>
      </c>
      <c r="C29" s="18">
        <f>(2297.0/B29*100)</f>
        <v/>
      </c>
      <c r="D29" s="19" t="n">
        <v>388</v>
      </c>
      <c r="E29" s="18" t="n">
        <v>42.49031837</v>
      </c>
      <c r="F29" s="20" t="n">
        <v>2.60136109</v>
      </c>
      <c r="G29" s="18" t="n">
        <v>56.30834041</v>
      </c>
      <c r="H29" s="20" t="n">
        <v>2.53498282</v>
      </c>
      <c r="I29" s="18" t="s">
        <v>567</v>
      </c>
      <c r="J29" s="20" t="s">
        <v>567</v>
      </c>
      <c r="K29" s="18" t="n">
        <v>0.47778682</v>
      </c>
      <c r="L29" s="20" t="n">
        <v>0.31362372</v>
      </c>
      <c r="M29" s="18" t="n">
        <v>0</v>
      </c>
      <c r="N29" s="20" t="n">
        <v>0</v>
      </c>
      <c r="O29" s="18" t="n">
        <v>0</v>
      </c>
      <c r="P29" s="20" t="n">
        <v>0</v>
      </c>
      <c r="Q29" s="18" t="n">
        <v>0.72355439</v>
      </c>
      <c r="R29" s="20" t="n">
        <v>0.44683469</v>
      </c>
    </row>
    <row r="30" spans="1:18">
      <c r="A30" s="15" t="s">
        <v>590</v>
      </c>
      <c r="B30" s="17" t="n">
        <v>2263</v>
      </c>
      <c r="C30" s="18">
        <f>(2017.0/B30*100)</f>
        <v/>
      </c>
      <c r="D30" s="19" t="n">
        <v>246</v>
      </c>
      <c r="E30" s="18" t="n">
        <v>40.53963742</v>
      </c>
      <c r="F30" s="20" t="n">
        <v>3.11149257</v>
      </c>
      <c r="G30" s="18" t="n">
        <v>56.30996815</v>
      </c>
      <c r="H30" s="20" t="n">
        <v>3.08039032</v>
      </c>
      <c r="I30" s="18" t="s">
        <v>567</v>
      </c>
      <c r="J30" s="20" t="s">
        <v>567</v>
      </c>
      <c r="K30" s="18" t="n">
        <v>0.92715076</v>
      </c>
      <c r="L30" s="20" t="n">
        <v>0.62857706</v>
      </c>
      <c r="M30" s="18" t="n">
        <v>0</v>
      </c>
      <c r="N30" s="20" t="n">
        <v>0</v>
      </c>
      <c r="O30" s="18" t="n">
        <v>0</v>
      </c>
      <c r="P30" s="20" t="n">
        <v>0</v>
      </c>
      <c r="Q30" s="18" t="n">
        <v>2.22324367</v>
      </c>
      <c r="R30" s="20" t="n">
        <v>1.06092695</v>
      </c>
    </row>
    <row r="31" spans="1:18">
      <c r="A31" s="15" t="s">
        <v>591</v>
      </c>
      <c r="B31" s="17" t="n">
        <v>2750</v>
      </c>
      <c r="C31" s="18">
        <f>(2439.0/B31*100)</f>
        <v/>
      </c>
      <c r="D31" s="19" t="n">
        <v>311</v>
      </c>
      <c r="E31" s="18" t="n">
        <v>41.64713978</v>
      </c>
      <c r="F31" s="20" t="n">
        <v>2.7342373</v>
      </c>
      <c r="G31" s="18" t="n">
        <v>55.81099695</v>
      </c>
      <c r="H31" s="20" t="n">
        <v>2.74483949</v>
      </c>
      <c r="I31" s="18" t="s">
        <v>567</v>
      </c>
      <c r="J31" s="20" t="s">
        <v>567</v>
      </c>
      <c r="K31" s="18" t="n">
        <v>0.62342436</v>
      </c>
      <c r="L31" s="20" t="n">
        <v>0.41354868</v>
      </c>
      <c r="M31" s="18" t="n">
        <v>0</v>
      </c>
      <c r="N31" s="20" t="n">
        <v>0</v>
      </c>
      <c r="O31" s="18" t="n">
        <v>0</v>
      </c>
      <c r="P31" s="20" t="n">
        <v>0</v>
      </c>
      <c r="Q31" s="18" t="n">
        <v>1.91843891</v>
      </c>
      <c r="R31" s="20" t="n">
        <v>0.76184396</v>
      </c>
    </row>
    <row r="32" spans="1:18">
      <c r="A32" s="15" t="s">
        <v>592</v>
      </c>
      <c r="B32" s="17" t="n">
        <v>2269</v>
      </c>
      <c r="C32" s="18">
        <f>(2020.0/B32*100)</f>
        <v/>
      </c>
      <c r="D32" s="19" t="n">
        <v>249</v>
      </c>
      <c r="E32" s="18" t="n">
        <v>28.07708005</v>
      </c>
      <c r="F32" s="20" t="n">
        <v>2.90109563</v>
      </c>
      <c r="G32" s="18" t="n">
        <v>70.596683</v>
      </c>
      <c r="H32" s="20" t="n">
        <v>2.97200775</v>
      </c>
      <c r="I32" s="18" t="s">
        <v>567</v>
      </c>
      <c r="J32" s="20" t="s">
        <v>567</v>
      </c>
      <c r="K32" s="18" t="n">
        <v>0.48745243</v>
      </c>
      <c r="L32" s="20" t="n">
        <v>0.50628118</v>
      </c>
      <c r="M32" s="18" t="n">
        <v>0</v>
      </c>
      <c r="N32" s="20" t="n">
        <v>0</v>
      </c>
      <c r="O32" s="18" t="n">
        <v>0</v>
      </c>
      <c r="P32" s="20" t="n">
        <v>0</v>
      </c>
      <c r="Q32" s="18" t="n">
        <v>0.83878452</v>
      </c>
      <c r="R32" s="20" t="n">
        <v>0.5913524</v>
      </c>
    </row>
    <row r="33" spans="1:18">
      <c r="A33" s="15" t="s">
        <v>593</v>
      </c>
      <c r="B33" s="17" t="n">
        <v>3674</v>
      </c>
      <c r="C33" s="18">
        <f>(3287.0/B33*100)</f>
        <v/>
      </c>
      <c r="D33" s="19" t="n">
        <v>387</v>
      </c>
      <c r="E33" s="18" t="n">
        <v>31.75418561</v>
      </c>
      <c r="F33" s="20" t="n">
        <v>2.92042273</v>
      </c>
      <c r="G33" s="18" t="n">
        <v>66.93629982</v>
      </c>
      <c r="H33" s="20" t="n">
        <v>2.90804899</v>
      </c>
      <c r="I33" s="18" t="s">
        <v>567</v>
      </c>
      <c r="J33" s="20" t="s">
        <v>567</v>
      </c>
      <c r="K33" s="18" t="n">
        <v>0.02314182</v>
      </c>
      <c r="L33" s="20" t="n">
        <v>0.02320335</v>
      </c>
      <c r="M33" s="18" t="n">
        <v>0</v>
      </c>
      <c r="N33" s="20" t="n">
        <v>0</v>
      </c>
      <c r="O33" s="18" t="n">
        <v>0</v>
      </c>
      <c r="P33" s="20" t="n">
        <v>0</v>
      </c>
      <c r="Q33" s="18" t="n">
        <v>1.28637275</v>
      </c>
      <c r="R33" s="20" t="n">
        <v>0.66627899</v>
      </c>
    </row>
    <row r="34" spans="1:18">
      <c r="A34" s="15" t="s">
        <v>594</v>
      </c>
      <c r="B34" s="17" t="n">
        <v>3315</v>
      </c>
      <c r="C34" s="18">
        <f>(2860.0/B34*100)</f>
        <v/>
      </c>
      <c r="D34" s="19" t="n">
        <v>455</v>
      </c>
      <c r="E34" s="18" t="n">
        <v>45.57978733</v>
      </c>
      <c r="F34" s="20" t="n">
        <v>2.70372605</v>
      </c>
      <c r="G34" s="18" t="n">
        <v>53.40436014</v>
      </c>
      <c r="H34" s="20" t="n">
        <v>2.75937641</v>
      </c>
      <c r="I34" s="18" t="s">
        <v>567</v>
      </c>
      <c r="J34" s="20" t="s">
        <v>567</v>
      </c>
      <c r="K34" s="18" t="n">
        <v>0.17141418</v>
      </c>
      <c r="L34" s="20" t="n">
        <v>0.17059343</v>
      </c>
      <c r="M34" s="18" t="n">
        <v>0</v>
      </c>
      <c r="N34" s="20" t="n">
        <v>0</v>
      </c>
      <c r="O34" s="18" t="n">
        <v>0</v>
      </c>
      <c r="P34" s="20" t="n">
        <v>0</v>
      </c>
      <c r="Q34" s="18" t="n">
        <v>0.84443835</v>
      </c>
      <c r="R34" s="20" t="n">
        <v>0.5094480300000001</v>
      </c>
    </row>
    <row r="35" spans="1:18">
      <c r="A35" s="15" t="s">
        <v>595</v>
      </c>
      <c r="B35" s="17" t="n">
        <v>3505</v>
      </c>
      <c r="C35" s="18">
        <f>(3014.0/B35*100)</f>
        <v/>
      </c>
      <c r="D35" s="19" t="n">
        <v>491</v>
      </c>
      <c r="E35" s="18" t="n">
        <v>30.4897152</v>
      </c>
      <c r="F35" s="20" t="n">
        <v>2.14279277</v>
      </c>
      <c r="G35" s="18" t="n">
        <v>67.97903687</v>
      </c>
      <c r="H35" s="20" t="n">
        <v>2.22705756</v>
      </c>
      <c r="I35" s="18" t="s">
        <v>567</v>
      </c>
      <c r="J35" s="20" t="s">
        <v>567</v>
      </c>
      <c r="K35" s="18" t="n">
        <v>0.09924226</v>
      </c>
      <c r="L35" s="20" t="n">
        <v>0.10057195</v>
      </c>
      <c r="M35" s="18" t="n">
        <v>0</v>
      </c>
      <c r="N35" s="20" t="n">
        <v>0</v>
      </c>
      <c r="O35" s="18" t="n">
        <v>0</v>
      </c>
      <c r="P35" s="20" t="n">
        <v>0</v>
      </c>
      <c r="Q35" s="18" t="n">
        <v>1.43200568</v>
      </c>
      <c r="R35" s="20" t="n">
        <v>0.50898119</v>
      </c>
    </row>
    <row r="36" spans="1:18">
      <c r="A36" s="15" t="s">
        <v>596</v>
      </c>
      <c r="B36" s="17" t="n">
        <v>3332</v>
      </c>
      <c r="C36" s="18">
        <f>(2980.0/B36*100)</f>
        <v/>
      </c>
      <c r="D36" s="19" t="n">
        <v>352</v>
      </c>
      <c r="E36" s="18" t="n">
        <v>33.58601948</v>
      </c>
      <c r="F36" s="20" t="n">
        <v>2.34585025</v>
      </c>
      <c r="G36" s="18" t="n">
        <v>65.21968269</v>
      </c>
      <c r="H36" s="20" t="n">
        <v>2.33050573</v>
      </c>
      <c r="I36" s="18" t="s">
        <v>567</v>
      </c>
      <c r="J36" s="20" t="s">
        <v>567</v>
      </c>
      <c r="K36" s="18" t="n">
        <v>0.16171996</v>
      </c>
      <c r="L36" s="20" t="n">
        <v>0.14828312</v>
      </c>
      <c r="M36" s="18" t="n">
        <v>0</v>
      </c>
      <c r="N36" s="20" t="n">
        <v>0</v>
      </c>
      <c r="O36" s="18" t="n">
        <v>0</v>
      </c>
      <c r="P36" s="20" t="n">
        <v>0</v>
      </c>
      <c r="Q36" s="18" t="n">
        <v>1.03257787</v>
      </c>
      <c r="R36" s="20" t="n">
        <v>0.66017006</v>
      </c>
    </row>
    <row r="37" spans="1:18">
      <c r="A37" s="15" t="s">
        <v>597</v>
      </c>
      <c r="B37" s="17" t="n">
        <v>2727</v>
      </c>
      <c r="C37" s="18">
        <f>(2427.0/B37*100)</f>
        <v/>
      </c>
      <c r="D37" s="19" t="n">
        <v>300</v>
      </c>
      <c r="E37" s="18" t="n">
        <v>38.09552646</v>
      </c>
      <c r="F37" s="20" t="n">
        <v>2.33771055</v>
      </c>
      <c r="G37" s="18" t="n">
        <v>57.79841538</v>
      </c>
      <c r="H37" s="20" t="n">
        <v>2.33371269</v>
      </c>
      <c r="I37" s="18" t="s">
        <v>567</v>
      </c>
      <c r="J37" s="20" t="s">
        <v>567</v>
      </c>
      <c r="K37" s="18" t="n">
        <v>1.61822405</v>
      </c>
      <c r="L37" s="20" t="n">
        <v>0.77679015</v>
      </c>
      <c r="M37" s="18" t="n">
        <v>0</v>
      </c>
      <c r="N37" s="20" t="n">
        <v>0</v>
      </c>
      <c r="O37" s="18" t="n">
        <v>0</v>
      </c>
      <c r="P37" s="20" t="n">
        <v>0</v>
      </c>
      <c r="Q37" s="18" t="n">
        <v>2.48783411</v>
      </c>
      <c r="R37" s="20" t="n">
        <v>0.85026648</v>
      </c>
    </row>
    <row r="38" spans="1:18">
      <c r="A38" s="15" t="s">
        <v>598</v>
      </c>
      <c r="B38" s="17" t="n">
        <v>3053</v>
      </c>
      <c r="C38" s="18">
        <f>(2720.0/B38*100)</f>
        <v/>
      </c>
      <c r="D38" s="19" t="n">
        <v>333</v>
      </c>
      <c r="E38" s="18" t="n">
        <v>32.51578659</v>
      </c>
      <c r="F38" s="20" t="n">
        <v>2.60722199</v>
      </c>
      <c r="G38" s="18" t="n">
        <v>66.24184926</v>
      </c>
      <c r="H38" s="20" t="n">
        <v>2.59022534</v>
      </c>
      <c r="I38" s="18" t="s">
        <v>567</v>
      </c>
      <c r="J38" s="20" t="s">
        <v>567</v>
      </c>
      <c r="K38" s="18" t="n">
        <v>0.58366619</v>
      </c>
      <c r="L38" s="20" t="n">
        <v>0.41587476</v>
      </c>
      <c r="M38" s="18" t="n">
        <v>0</v>
      </c>
      <c r="N38" s="20" t="n">
        <v>0</v>
      </c>
      <c r="O38" s="18" t="n">
        <v>0</v>
      </c>
      <c r="P38" s="20" t="n">
        <v>0</v>
      </c>
      <c r="Q38" s="18" t="n">
        <v>0.65869796</v>
      </c>
      <c r="R38" s="20" t="n">
        <v>0.44106446</v>
      </c>
    </row>
    <row r="39" spans="1:18">
      <c r="A39" s="15" t="s">
        <v>599</v>
      </c>
      <c r="B39" s="17" t="n">
        <v>2957</v>
      </c>
      <c r="C39" s="18">
        <f>(2633.0/B39*100)</f>
        <v/>
      </c>
      <c r="D39" s="19" t="n">
        <v>324</v>
      </c>
      <c r="E39" s="18" t="n">
        <v>46.31463019</v>
      </c>
      <c r="F39" s="20" t="n">
        <v>3.45494227</v>
      </c>
      <c r="G39" s="18" t="n">
        <v>52.15127111</v>
      </c>
      <c r="H39" s="20" t="n">
        <v>3.50897989</v>
      </c>
      <c r="I39" s="18" t="s">
        <v>567</v>
      </c>
      <c r="J39" s="20" t="s">
        <v>567</v>
      </c>
      <c r="K39" s="18" t="n">
        <v>1.09851088</v>
      </c>
      <c r="L39" s="20" t="n">
        <v>0.6252323</v>
      </c>
      <c r="M39" s="18" t="n">
        <v>0</v>
      </c>
      <c r="N39" s="20" t="n">
        <v>0</v>
      </c>
      <c r="O39" s="18" t="n">
        <v>0</v>
      </c>
      <c r="P39" s="20" t="n">
        <v>0</v>
      </c>
      <c r="Q39" s="18" t="n">
        <v>0.43558782</v>
      </c>
      <c r="R39" s="20" t="n">
        <v>0.44358466</v>
      </c>
    </row>
    <row r="40" spans="1:18">
      <c r="A40" s="15" t="s">
        <v>600</v>
      </c>
      <c r="B40" s="17" t="n">
        <v>7235</v>
      </c>
      <c r="C40" s="18">
        <f>(6430.0/B40*100)</f>
        <v/>
      </c>
      <c r="D40" s="19" t="n">
        <v>805</v>
      </c>
      <c r="E40" s="18" t="n">
        <v>49.46563956</v>
      </c>
      <c r="F40" s="20" t="n">
        <v>2.82969431</v>
      </c>
      <c r="G40" s="18" t="n">
        <v>49.17081888</v>
      </c>
      <c r="H40" s="20" t="n">
        <v>2.78196452</v>
      </c>
      <c r="I40" s="18" t="s">
        <v>567</v>
      </c>
      <c r="J40" s="20" t="s">
        <v>567</v>
      </c>
      <c r="K40" s="18" t="n">
        <v>0.02483154</v>
      </c>
      <c r="L40" s="20" t="n">
        <v>0.02571724</v>
      </c>
      <c r="M40" s="18" t="n">
        <v>0</v>
      </c>
      <c r="N40" s="20" t="n">
        <v>0</v>
      </c>
      <c r="O40" s="18" t="n">
        <v>0</v>
      </c>
      <c r="P40" s="20" t="n">
        <v>0</v>
      </c>
      <c r="Q40" s="18" t="n">
        <v>1.33871002</v>
      </c>
      <c r="R40" s="20" t="n">
        <v>0.73710566</v>
      </c>
    </row>
    <row r="41" spans="1:18">
      <c r="A41" s="15" t="s">
        <v>601</v>
      </c>
      <c r="B41" s="17" t="n">
        <v>2858</v>
      </c>
      <c r="C41" s="18">
        <f>(2518.0/B41*100)</f>
        <v/>
      </c>
      <c r="D41" s="19" t="n">
        <v>340</v>
      </c>
      <c r="E41" s="18" t="n">
        <v>46.27462719</v>
      </c>
      <c r="F41" s="20" t="n">
        <v>3.16861421</v>
      </c>
      <c r="G41" s="18" t="n">
        <v>52.42768405</v>
      </c>
      <c r="H41" s="20" t="n">
        <v>3.07874566</v>
      </c>
      <c r="I41" s="18" t="s">
        <v>567</v>
      </c>
      <c r="J41" s="20" t="s">
        <v>567</v>
      </c>
      <c r="K41" s="18" t="n">
        <v>0.72697514</v>
      </c>
      <c r="L41" s="20" t="n">
        <v>0.5066961</v>
      </c>
      <c r="M41" s="18" t="n">
        <v>0</v>
      </c>
      <c r="N41" s="20" t="n">
        <v>0</v>
      </c>
      <c r="O41" s="18" t="n">
        <v>0</v>
      </c>
      <c r="P41" s="20" t="n">
        <v>0</v>
      </c>
      <c r="Q41" s="18" t="n">
        <v>0.57071361</v>
      </c>
      <c r="R41" s="20" t="n">
        <v>0.24715999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(9938.0/B46*100)</f>
        <v/>
      </c>
      <c r="D46" s="19" t="n">
        <v>1130</v>
      </c>
      <c r="E46" s="18" t="n">
        <v>49.95294147</v>
      </c>
      <c r="F46" s="20" t="n">
        <v>1.92141489</v>
      </c>
      <c r="G46" s="18" t="n">
        <v>48.09613539</v>
      </c>
      <c r="H46" s="20" t="n">
        <v>1.94893693</v>
      </c>
      <c r="I46" s="18" t="s">
        <v>567</v>
      </c>
      <c r="J46" s="20" t="s">
        <v>567</v>
      </c>
      <c r="K46" s="18" t="n">
        <v>0.43503253</v>
      </c>
      <c r="L46" s="20" t="n">
        <v>0.21211192</v>
      </c>
      <c r="M46" s="18" t="n">
        <v>0</v>
      </c>
      <c r="N46" s="20" t="n">
        <v>0</v>
      </c>
      <c r="O46" s="18" t="n">
        <v>0</v>
      </c>
      <c r="P46" s="20" t="n">
        <v>0</v>
      </c>
      <c r="Q46" s="18" t="n">
        <v>1.5158906</v>
      </c>
      <c r="R46" s="20" t="n">
        <v>0.40808806</v>
      </c>
    </row>
    <row r="47" spans="1:18">
      <c r="A47" s="15" t="s">
        <v>607</v>
      </c>
      <c r="B47" s="17" t="n">
        <v>3105</v>
      </c>
      <c r="C47" s="18">
        <f>(2778.0/B47*100)</f>
        <v/>
      </c>
      <c r="D47" s="19" t="n">
        <v>327</v>
      </c>
      <c r="E47" s="18" t="n">
        <v>51.41202947</v>
      </c>
      <c r="F47" s="20" t="n">
        <v>2.78040625</v>
      </c>
      <c r="G47" s="18" t="n">
        <v>45.94204635</v>
      </c>
      <c r="H47" s="20" t="n">
        <v>2.74236794</v>
      </c>
      <c r="I47" s="18" t="s">
        <v>567</v>
      </c>
      <c r="J47" s="20" t="s">
        <v>567</v>
      </c>
      <c r="K47" s="18" t="n">
        <v>0</v>
      </c>
      <c r="L47" s="20" t="n">
        <v>0</v>
      </c>
      <c r="M47" s="18" t="n">
        <v>0</v>
      </c>
      <c r="N47" s="20" t="n">
        <v>0</v>
      </c>
      <c r="O47" s="18" t="n">
        <v>0</v>
      </c>
      <c r="P47" s="20" t="n">
        <v>0</v>
      </c>
      <c r="Q47" s="18" t="n">
        <v>2.64592418</v>
      </c>
      <c r="R47" s="20" t="n">
        <v>0.87993075</v>
      </c>
    </row>
    <row r="48" spans="1:18">
      <c r="A48" s="15" t="s">
        <v>608</v>
      </c>
      <c r="B48" s="17" t="n">
        <v>5159</v>
      </c>
      <c r="C48" s="18">
        <f>(4576.0/B48*100)</f>
        <v/>
      </c>
      <c r="D48" s="19" t="n">
        <v>583</v>
      </c>
      <c r="E48" s="18" t="n">
        <v>30.52998919</v>
      </c>
      <c r="F48" s="20" t="n">
        <v>2.9144957</v>
      </c>
      <c r="G48" s="18" t="n">
        <v>68.77880121</v>
      </c>
      <c r="H48" s="20" t="n">
        <v>2.9035395</v>
      </c>
      <c r="I48" s="18" t="s">
        <v>567</v>
      </c>
      <c r="J48" s="20" t="s">
        <v>567</v>
      </c>
      <c r="K48" s="18" t="n">
        <v>0.43383739</v>
      </c>
      <c r="L48" s="20" t="n">
        <v>0.26026401</v>
      </c>
      <c r="M48" s="18" t="n">
        <v>0</v>
      </c>
      <c r="N48" s="20" t="n">
        <v>0</v>
      </c>
      <c r="O48" s="18" t="n">
        <v>0</v>
      </c>
      <c r="P48" s="20" t="n">
        <v>0</v>
      </c>
      <c r="Q48" s="18" t="n">
        <v>0.25737221</v>
      </c>
      <c r="R48" s="20" t="n">
        <v>0.2427419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(5008.0/B50*100)</f>
        <v/>
      </c>
      <c r="D50" s="19" t="n">
        <v>629</v>
      </c>
      <c r="E50" s="18" t="n">
        <v>47.21029516</v>
      </c>
      <c r="F50" s="20" t="n">
        <v>2.34372843</v>
      </c>
      <c r="G50" s="18" t="n">
        <v>49.31386815</v>
      </c>
      <c r="H50" s="20" t="n">
        <v>2.24680891</v>
      </c>
      <c r="I50" s="18" t="s">
        <v>567</v>
      </c>
      <c r="J50" s="20" t="s">
        <v>567</v>
      </c>
      <c r="K50" s="18" t="n">
        <v>1.6608059</v>
      </c>
      <c r="L50" s="20" t="n">
        <v>0.85593679</v>
      </c>
      <c r="M50" s="18" t="n">
        <v>0</v>
      </c>
      <c r="N50" s="20" t="n">
        <v>0</v>
      </c>
      <c r="O50" s="18" t="n">
        <v>0</v>
      </c>
      <c r="P50" s="20" t="n">
        <v>0</v>
      </c>
      <c r="Q50" s="18" t="n">
        <v>1.81503078</v>
      </c>
      <c r="R50" s="20" t="n">
        <v>0.72207093</v>
      </c>
    </row>
    <row r="51" spans="1:18">
      <c r="A51" s="15" t="s">
        <v>611</v>
      </c>
      <c r="B51" s="17" t="n">
        <v>3372</v>
      </c>
      <c r="C51" s="18">
        <f>(2676.0/B51*100)</f>
        <v/>
      </c>
      <c r="D51" s="19" t="n">
        <v>696</v>
      </c>
      <c r="E51" s="18" t="n">
        <v>53.05512516</v>
      </c>
      <c r="F51" s="20" t="n">
        <v>1.96851242</v>
      </c>
      <c r="G51" s="18" t="n">
        <v>44.44264079</v>
      </c>
      <c r="H51" s="20" t="n">
        <v>1.98436517</v>
      </c>
      <c r="I51" s="18" t="s">
        <v>567</v>
      </c>
      <c r="J51" s="20" t="s">
        <v>567</v>
      </c>
      <c r="K51" s="18" t="n">
        <v>0.39033526</v>
      </c>
      <c r="L51" s="20" t="n">
        <v>0.25501465</v>
      </c>
      <c r="M51" s="18" t="n">
        <v>0</v>
      </c>
      <c r="N51" s="20" t="n">
        <v>0</v>
      </c>
      <c r="O51" s="18" t="n">
        <v>0</v>
      </c>
      <c r="P51" s="20" t="n">
        <v>0</v>
      </c>
      <c r="Q51" s="18" t="n">
        <v>2.11189879</v>
      </c>
      <c r="R51" s="20" t="n">
        <v>0.57294142</v>
      </c>
    </row>
    <row r="52" spans="1:18">
      <c r="A52" s="15" t="s">
        <v>612</v>
      </c>
      <c r="B52" s="17" t="n">
        <v>2796</v>
      </c>
      <c r="C52" s="18">
        <f>(2444.0/B52*100)</f>
        <v/>
      </c>
      <c r="D52" s="19" t="n">
        <v>352</v>
      </c>
      <c r="E52" s="18" t="n">
        <v>29.37430193</v>
      </c>
      <c r="F52" s="20" t="n">
        <v>2.60075404</v>
      </c>
      <c r="G52" s="18" t="n">
        <v>67.77306133</v>
      </c>
      <c r="H52" s="20" t="n">
        <v>2.80926003</v>
      </c>
      <c r="I52" s="18" t="s">
        <v>567</v>
      </c>
      <c r="J52" s="20" t="s">
        <v>567</v>
      </c>
      <c r="K52" s="18" t="n">
        <v>0</v>
      </c>
      <c r="L52" s="20" t="n">
        <v>0</v>
      </c>
      <c r="M52" s="18" t="n">
        <v>0</v>
      </c>
      <c r="N52" s="20" t="n">
        <v>0</v>
      </c>
      <c r="O52" s="18" t="n">
        <v>0</v>
      </c>
      <c r="P52" s="20" t="n">
        <v>0</v>
      </c>
      <c r="Q52" s="18" t="n">
        <v>2.85263673</v>
      </c>
      <c r="R52" s="20" t="n">
        <v>1.0366277</v>
      </c>
    </row>
    <row r="53" spans="1:18">
      <c r="A53" s="15" t="s">
        <v>613</v>
      </c>
      <c r="B53" s="17" t="n">
        <v>2811</v>
      </c>
      <c r="C53" s="18">
        <f>(2517.0/B53*100)</f>
        <v/>
      </c>
      <c r="D53" s="19" t="n">
        <v>294</v>
      </c>
      <c r="E53" s="18" t="n">
        <v>48.81562971</v>
      </c>
      <c r="F53" s="20" t="n">
        <v>2.95808958</v>
      </c>
      <c r="G53" s="18" t="n">
        <v>47.23232368</v>
      </c>
      <c r="H53" s="20" t="n">
        <v>2.85731448</v>
      </c>
      <c r="I53" s="18" t="s">
        <v>567</v>
      </c>
      <c r="J53" s="20" t="s">
        <v>567</v>
      </c>
      <c r="K53" s="18" t="n">
        <v>0.72763533</v>
      </c>
      <c r="L53" s="20" t="n">
        <v>0.41562388</v>
      </c>
      <c r="M53" s="18" t="n">
        <v>0</v>
      </c>
      <c r="N53" s="20" t="n">
        <v>0</v>
      </c>
      <c r="O53" s="18" t="n">
        <v>0</v>
      </c>
      <c r="P53" s="20" t="n">
        <v>0</v>
      </c>
      <c r="Q53" s="18" t="n">
        <v>3.22441127</v>
      </c>
      <c r="R53" s="20" t="n">
        <v>1.10957875</v>
      </c>
    </row>
    <row r="54" spans="1:18">
      <c r="A54" s="15" t="s">
        <v>614</v>
      </c>
      <c r="B54" s="17" t="n">
        <v>2266</v>
      </c>
      <c r="C54" s="18">
        <f>(2008.0/B54*100)</f>
        <v/>
      </c>
      <c r="D54" s="19" t="n">
        <v>258</v>
      </c>
      <c r="E54" s="18" t="n">
        <v>53.51074454</v>
      </c>
      <c r="F54" s="20" t="n">
        <v>3.78030439</v>
      </c>
      <c r="G54" s="18" t="n">
        <v>32.95960875</v>
      </c>
      <c r="H54" s="20" t="n">
        <v>3.37045763</v>
      </c>
      <c r="I54" s="18" t="s">
        <v>567</v>
      </c>
      <c r="J54" s="20" t="s">
        <v>567</v>
      </c>
      <c r="K54" s="18" t="n">
        <v>8.20043615</v>
      </c>
      <c r="L54" s="20" t="n">
        <v>2.27727677</v>
      </c>
      <c r="M54" s="18" t="n">
        <v>0</v>
      </c>
      <c r="N54" s="20" t="n">
        <v>0</v>
      </c>
      <c r="O54" s="18" t="n">
        <v>0</v>
      </c>
      <c r="P54" s="20" t="n">
        <v>0</v>
      </c>
      <c r="Q54" s="18" t="n">
        <v>5.32921056</v>
      </c>
      <c r="R54" s="20" t="n">
        <v>1.59633108</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(2374.0/B56*100)</f>
        <v/>
      </c>
      <c r="D56" s="19" t="n">
        <v>310</v>
      </c>
      <c r="E56" s="18" t="n">
        <v>25.37849485</v>
      </c>
      <c r="F56" s="20" t="n">
        <v>2.63278278</v>
      </c>
      <c r="G56" s="18" t="n">
        <v>72.29217860999999</v>
      </c>
      <c r="H56" s="20" t="n">
        <v>2.72427927</v>
      </c>
      <c r="I56" s="18" t="s">
        <v>567</v>
      </c>
      <c r="J56" s="20" t="s">
        <v>567</v>
      </c>
      <c r="K56" s="18" t="n">
        <v>0.27009817</v>
      </c>
      <c r="L56" s="20" t="n">
        <v>0.27650309</v>
      </c>
      <c r="M56" s="18" t="n">
        <v>0</v>
      </c>
      <c r="N56" s="20" t="n">
        <v>0</v>
      </c>
      <c r="O56" s="18" t="n">
        <v>0</v>
      </c>
      <c r="P56" s="20" t="n">
        <v>0</v>
      </c>
      <c r="Q56" s="18" t="n">
        <v>2.05922837</v>
      </c>
      <c r="R56" s="20" t="n">
        <v>0.59938882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(2904.0/B61*100)</f>
        <v/>
      </c>
      <c r="D61" s="19" t="n">
        <v>420</v>
      </c>
      <c r="E61" s="18" t="n">
        <v>26.00801575</v>
      </c>
      <c r="F61" s="20" t="n">
        <v>2.48355879</v>
      </c>
      <c r="G61" s="18" t="n">
        <v>73.44043173999999</v>
      </c>
      <c r="H61" s="20" t="n">
        <v>2.50042155</v>
      </c>
      <c r="I61" s="18" t="s">
        <v>567</v>
      </c>
      <c r="J61" s="20" t="s">
        <v>567</v>
      </c>
      <c r="K61" s="18" t="n">
        <v>0.05756394</v>
      </c>
      <c r="L61" s="20" t="n">
        <v>0.05749659</v>
      </c>
      <c r="M61" s="18" t="n">
        <v>0</v>
      </c>
      <c r="N61" s="20" t="n">
        <v>0</v>
      </c>
      <c r="O61" s="18" t="n">
        <v>0</v>
      </c>
      <c r="P61" s="20" t="n">
        <v>0</v>
      </c>
      <c r="Q61" s="18" t="n">
        <v>0.49398857</v>
      </c>
      <c r="R61" s="20" t="n">
        <v>0.33168479</v>
      </c>
    </row>
    <row r="62" spans="1:18">
      <c r="A62" s="15" t="s">
        <v>622</v>
      </c>
      <c r="B62" s="17" t="n">
        <v>2246</v>
      </c>
      <c r="C62" s="18">
        <f>(1991.0/B62*100)</f>
        <v/>
      </c>
      <c r="D62" s="19" t="n">
        <v>255</v>
      </c>
      <c r="E62" s="18" t="n">
        <v>28.35171993</v>
      </c>
      <c r="F62" s="20" t="n">
        <v>3.0111411</v>
      </c>
      <c r="G62" s="18" t="n">
        <v>71.25430347</v>
      </c>
      <c r="H62" s="20" t="n">
        <v>2.9666179</v>
      </c>
      <c r="I62" s="18" t="s">
        <v>567</v>
      </c>
      <c r="J62" s="20" t="s">
        <v>567</v>
      </c>
      <c r="K62" s="18" t="n">
        <v>0</v>
      </c>
      <c r="L62" s="20" t="n">
        <v>0</v>
      </c>
      <c r="M62" s="18" t="n">
        <v>0</v>
      </c>
      <c r="N62" s="20" t="n">
        <v>0</v>
      </c>
      <c r="O62" s="18" t="n">
        <v>0</v>
      </c>
      <c r="P62" s="20" t="n">
        <v>0</v>
      </c>
      <c r="Q62" s="18" t="n">
        <v>0.3939766</v>
      </c>
      <c r="R62" s="20" t="n">
        <v>0.38918193</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(2555.0/B66*100)</f>
        <v/>
      </c>
      <c r="D66" s="19" t="n">
        <v>339</v>
      </c>
      <c r="E66" s="18" t="n">
        <v>49.66925432</v>
      </c>
      <c r="F66" s="20" t="n">
        <v>2.33473666</v>
      </c>
      <c r="G66" s="18" t="n">
        <v>45.41352159</v>
      </c>
      <c r="H66" s="20" t="n">
        <v>2.58025423</v>
      </c>
      <c r="I66" s="18" t="s">
        <v>567</v>
      </c>
      <c r="J66" s="20" t="s">
        <v>567</v>
      </c>
      <c r="K66" s="18" t="n">
        <v>0.56669418</v>
      </c>
      <c r="L66" s="20" t="n">
        <v>0.39646339</v>
      </c>
      <c r="M66" s="18" t="n">
        <v>0</v>
      </c>
      <c r="N66" s="20" t="n">
        <v>0</v>
      </c>
      <c r="O66" s="18" t="n">
        <v>0</v>
      </c>
      <c r="P66" s="20" t="n">
        <v>0</v>
      </c>
      <c r="Q66" s="18" t="n">
        <v>4.35052991</v>
      </c>
      <c r="R66" s="20" t="n">
        <v>1.12346767</v>
      </c>
    </row>
    <row r="67" spans="1:18">
      <c r="A67" s="15" t="s">
        <v>627</v>
      </c>
      <c r="B67" s="17" t="n">
        <v>3511</v>
      </c>
      <c r="C67" s="18">
        <f>(3143.0/B67*100)</f>
        <v/>
      </c>
      <c r="D67" s="19" t="n">
        <v>368</v>
      </c>
      <c r="E67" s="18" t="n">
        <v>60.28942203</v>
      </c>
      <c r="F67" s="20" t="n">
        <v>3.18953079</v>
      </c>
      <c r="G67" s="18" t="n">
        <v>38.13668123</v>
      </c>
      <c r="H67" s="20" t="n">
        <v>3.21359258</v>
      </c>
      <c r="I67" s="18" t="s">
        <v>567</v>
      </c>
      <c r="J67" s="20" t="s">
        <v>567</v>
      </c>
      <c r="K67" s="18" t="n">
        <v>0</v>
      </c>
      <c r="L67" s="20" t="n">
        <v>0</v>
      </c>
      <c r="M67" s="18" t="n">
        <v>0</v>
      </c>
      <c r="N67" s="20" t="n">
        <v>0</v>
      </c>
      <c r="O67" s="18" t="n">
        <v>0</v>
      </c>
      <c r="P67" s="20" t="n">
        <v>0</v>
      </c>
      <c r="Q67" s="18" t="n">
        <v>1.57389674</v>
      </c>
      <c r="R67" s="20" t="n">
        <v>0.63308983</v>
      </c>
    </row>
    <row r="68" spans="1:18">
      <c r="A68" s="15" t="s">
        <v>628</v>
      </c>
      <c r="B68" s="17" t="n">
        <v>6049</v>
      </c>
      <c r="C68" s="18">
        <f>(5385.0/B68*100)</f>
        <v/>
      </c>
      <c r="D68" s="19" t="n">
        <v>664</v>
      </c>
      <c r="E68" s="18" t="n">
        <v>58.4106686</v>
      </c>
      <c r="F68" s="20" t="n">
        <v>1.80206525</v>
      </c>
      <c r="G68" s="18" t="n">
        <v>38.47349679</v>
      </c>
      <c r="H68" s="20" t="n">
        <v>1.74726124</v>
      </c>
      <c r="I68" s="18" t="s">
        <v>567</v>
      </c>
      <c r="J68" s="20" t="s">
        <v>567</v>
      </c>
      <c r="K68" s="18" t="n">
        <v>1.22116032</v>
      </c>
      <c r="L68" s="20" t="n">
        <v>0.43417861</v>
      </c>
      <c r="M68" s="18" t="n">
        <v>0</v>
      </c>
      <c r="N68" s="20" t="n">
        <v>0</v>
      </c>
      <c r="O68" s="18" t="n">
        <v>0</v>
      </c>
      <c r="P68" s="20" t="n">
        <v>0</v>
      </c>
      <c r="Q68" s="18" t="n">
        <v>1.89467428</v>
      </c>
      <c r="R68" s="20" t="n">
        <v>0.483645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(2612.0/B70*100)</f>
        <v/>
      </c>
      <c r="D70" s="19" t="n">
        <v>317</v>
      </c>
      <c r="E70" s="18" t="n">
        <v>27.68006047</v>
      </c>
      <c r="F70" s="20" t="n">
        <v>2.87955817</v>
      </c>
      <c r="G70" s="18" t="n">
        <v>71.9183213</v>
      </c>
      <c r="H70" s="20" t="n">
        <v>2.85040328</v>
      </c>
      <c r="I70" s="18" t="s">
        <v>567</v>
      </c>
      <c r="J70" s="20" t="s">
        <v>567</v>
      </c>
      <c r="K70" s="18" t="n">
        <v>0</v>
      </c>
      <c r="L70" s="20" t="n">
        <v>0</v>
      </c>
      <c r="M70" s="18" t="n">
        <v>0</v>
      </c>
      <c r="N70" s="20" t="n">
        <v>0</v>
      </c>
      <c r="O70" s="18" t="n">
        <v>0</v>
      </c>
      <c r="P70" s="20" t="n">
        <v>0</v>
      </c>
      <c r="Q70" s="18" t="n">
        <v>0.40161823</v>
      </c>
      <c r="R70" s="20" t="n">
        <v>0.27900007</v>
      </c>
    </row>
    <row r="71" spans="1:18">
      <c r="A71" s="15" t="s">
        <v>631</v>
      </c>
      <c r="B71" s="17" t="n">
        <v>3142</v>
      </c>
      <c r="C71" s="18">
        <f>(2784.0/B71*100)</f>
        <v/>
      </c>
      <c r="D71" s="19" t="n">
        <v>358</v>
      </c>
      <c r="E71" s="18" t="n">
        <v>31.0876325</v>
      </c>
      <c r="F71" s="20" t="n">
        <v>2.12522875</v>
      </c>
      <c r="G71" s="18" t="n">
        <v>68.32725709</v>
      </c>
      <c r="H71" s="20" t="n">
        <v>2.15075984</v>
      </c>
      <c r="I71" s="18" t="s">
        <v>567</v>
      </c>
      <c r="J71" s="20" t="s">
        <v>567</v>
      </c>
      <c r="K71" s="18" t="n">
        <v>0</v>
      </c>
      <c r="L71" s="20" t="n">
        <v>0</v>
      </c>
      <c r="M71" s="18" t="n">
        <v>0</v>
      </c>
      <c r="N71" s="20" t="n">
        <v>0</v>
      </c>
      <c r="O71" s="18" t="n">
        <v>0</v>
      </c>
      <c r="P71" s="20" t="n">
        <v>0</v>
      </c>
      <c r="Q71" s="18" t="n">
        <v>0.58511041</v>
      </c>
      <c r="R71" s="20" t="n">
        <v>0.40562378</v>
      </c>
    </row>
    <row r="72" spans="1:18">
      <c r="A72" s="15" t="s">
        <v>632</v>
      </c>
      <c r="B72" s="17" t="n">
        <v>3889</v>
      </c>
      <c r="C72" s="18">
        <f>(3433.0/B72*100)</f>
        <v/>
      </c>
      <c r="D72" s="19" t="n">
        <v>456</v>
      </c>
      <c r="E72" s="18" t="n">
        <v>24.25640983</v>
      </c>
      <c r="F72" s="20" t="n">
        <v>2.20403933</v>
      </c>
      <c r="G72" s="18" t="n">
        <v>75.13802237</v>
      </c>
      <c r="H72" s="20" t="n">
        <v>2.21658609</v>
      </c>
      <c r="I72" s="18" t="s">
        <v>567</v>
      </c>
      <c r="J72" s="20" t="s">
        <v>567</v>
      </c>
      <c r="K72" s="18" t="n">
        <v>0.46512762</v>
      </c>
      <c r="L72" s="20" t="n">
        <v>0.35056184</v>
      </c>
      <c r="M72" s="18" t="n">
        <v>0</v>
      </c>
      <c r="N72" s="20" t="n">
        <v>0</v>
      </c>
      <c r="O72" s="18" t="n">
        <v>0</v>
      </c>
      <c r="P72" s="20" t="n">
        <v>0</v>
      </c>
      <c r="Q72" s="18" t="n">
        <v>0.14044017</v>
      </c>
      <c r="R72" s="20" t="n">
        <v>0.13974679</v>
      </c>
    </row>
    <row r="73" spans="1:18">
      <c r="A73" s="15" t="s">
        <v>633</v>
      </c>
      <c r="B73" s="17" t="n">
        <v>3597</v>
      </c>
      <c r="C73" s="18">
        <f>(3195.0/B73*100)</f>
        <v/>
      </c>
      <c r="D73" s="19" t="n">
        <v>402</v>
      </c>
      <c r="E73" s="18" t="n">
        <v>70.80465555000001</v>
      </c>
      <c r="F73" s="20" t="n">
        <v>2.69121552</v>
      </c>
      <c r="G73" s="18" t="n">
        <v>28.97878898</v>
      </c>
      <c r="H73" s="20" t="n">
        <v>2.69355686</v>
      </c>
      <c r="I73" s="18" t="s">
        <v>567</v>
      </c>
      <c r="J73" s="20" t="s">
        <v>567</v>
      </c>
      <c r="K73" s="18" t="n">
        <v>0.09253585</v>
      </c>
      <c r="L73" s="20" t="n">
        <v>0.09700872000000001</v>
      </c>
      <c r="M73" s="18" t="n">
        <v>0</v>
      </c>
      <c r="N73" s="20" t="n">
        <v>0</v>
      </c>
      <c r="O73" s="18" t="n">
        <v>0</v>
      </c>
      <c r="P73" s="20" t="n">
        <v>0</v>
      </c>
      <c r="Q73" s="18" t="n">
        <v>0.12401962</v>
      </c>
      <c r="R73" s="20" t="n">
        <v>0.10942957</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(2162.0/B75*100)</f>
        <v/>
      </c>
      <c r="D75" s="19" t="n">
        <v>244</v>
      </c>
      <c r="E75" s="18" t="n">
        <v>68.06738615</v>
      </c>
      <c r="F75" s="20" t="n">
        <v>2.95750238</v>
      </c>
      <c r="G75" s="18" t="n">
        <v>28.77521969</v>
      </c>
      <c r="H75" s="20" t="n">
        <v>2.95012685</v>
      </c>
      <c r="I75" s="18" t="s">
        <v>567</v>
      </c>
      <c r="J75" s="20" t="s">
        <v>567</v>
      </c>
      <c r="K75" s="18" t="n">
        <v>1.47711658</v>
      </c>
      <c r="L75" s="20" t="n">
        <v>0.75351708</v>
      </c>
      <c r="M75" s="18" t="n">
        <v>0</v>
      </c>
      <c r="N75" s="20" t="n">
        <v>0</v>
      </c>
      <c r="O75" s="18" t="n">
        <v>0</v>
      </c>
      <c r="P75" s="20" t="n">
        <v>0</v>
      </c>
      <c r="Q75" s="18" t="n">
        <v>1.68027758</v>
      </c>
      <c r="R75" s="20" t="n">
        <v>0.71164393</v>
      </c>
    </row>
    <row r="76" spans="1:18">
      <c r="A76" s="15" t="s">
        <v>636</v>
      </c>
      <c r="B76" s="17" t="n">
        <v>7052</v>
      </c>
      <c r="C76" s="18">
        <f>(6267.0/B76*100)</f>
        <v/>
      </c>
      <c r="D76" s="19" t="n">
        <v>785</v>
      </c>
      <c r="E76" s="18" t="n">
        <v>55.33681658</v>
      </c>
      <c r="F76" s="20" t="n">
        <v>2.1433446</v>
      </c>
      <c r="G76" s="18" t="n">
        <v>42.21945001</v>
      </c>
      <c r="H76" s="20" t="n">
        <v>2.14330289</v>
      </c>
      <c r="I76" s="18" t="s">
        <v>567</v>
      </c>
      <c r="J76" s="20" t="s">
        <v>567</v>
      </c>
      <c r="K76" s="18" t="n">
        <v>0.62256847</v>
      </c>
      <c r="L76" s="20" t="n">
        <v>0.39464788</v>
      </c>
      <c r="M76" s="18" t="n">
        <v>0</v>
      </c>
      <c r="N76" s="20" t="n">
        <v>0</v>
      </c>
      <c r="O76" s="18" t="n">
        <v>0</v>
      </c>
      <c r="P76" s="20" t="n">
        <v>0</v>
      </c>
      <c r="Q76" s="18" t="n">
        <v>1.82116493</v>
      </c>
      <c r="R76" s="20" t="n">
        <v>0.36029423</v>
      </c>
    </row>
    <row r="77" spans="1:18">
      <c r="A77" s="15" t="s">
        <v>637</v>
      </c>
      <c r="B77" s="17" t="n">
        <v>2908</v>
      </c>
      <c r="C77" s="18">
        <f>(2577.0/B77*100)</f>
        <v/>
      </c>
      <c r="D77" s="19" t="n">
        <v>331</v>
      </c>
      <c r="E77" s="18" t="n">
        <v>51.34486719</v>
      </c>
      <c r="F77" s="20" t="n">
        <v>2.96911094</v>
      </c>
      <c r="G77" s="18" t="n">
        <v>45.1734571</v>
      </c>
      <c r="H77" s="20" t="n">
        <v>2.86181607</v>
      </c>
      <c r="I77" s="18" t="s">
        <v>567</v>
      </c>
      <c r="J77" s="20" t="s">
        <v>567</v>
      </c>
      <c r="K77" s="18" t="n">
        <v>0.26440865</v>
      </c>
      <c r="L77" s="20" t="n">
        <v>0.28156737</v>
      </c>
      <c r="M77" s="18" t="n">
        <v>0</v>
      </c>
      <c r="N77" s="20" t="n">
        <v>0</v>
      </c>
      <c r="O77" s="18" t="n">
        <v>0</v>
      </c>
      <c r="P77" s="20" t="n">
        <v>0</v>
      </c>
      <c r="Q77" s="18" t="n">
        <v>3.21726706</v>
      </c>
      <c r="R77" s="20" t="n">
        <v>1.06000263</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(3677.0/B81*100)</f>
        <v/>
      </c>
      <c r="D81" s="19" t="n">
        <v>486</v>
      </c>
      <c r="E81" s="18" t="n">
        <v>62.51625223</v>
      </c>
      <c r="F81" s="20" t="n">
        <v>3.06512595</v>
      </c>
      <c r="G81" s="18" t="n">
        <v>37.16622364</v>
      </c>
      <c r="H81" s="20" t="n">
        <v>3.08618761</v>
      </c>
      <c r="I81" s="18" t="s">
        <v>567</v>
      </c>
      <c r="J81" s="20" t="s">
        <v>567</v>
      </c>
      <c r="K81" s="18" t="n">
        <v>0</v>
      </c>
      <c r="L81" s="20" t="n">
        <v>0</v>
      </c>
      <c r="M81" s="18" t="n">
        <v>0</v>
      </c>
      <c r="N81" s="20" t="n">
        <v>0</v>
      </c>
      <c r="O81" s="18" t="n">
        <v>0</v>
      </c>
      <c r="P81" s="20" t="n">
        <v>0</v>
      </c>
      <c r="Q81" s="18" t="n">
        <v>0.31752413</v>
      </c>
      <c r="R81" s="20" t="n">
        <v>0.3122374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(6527.0/B7*100)</f>
        <v/>
      </c>
      <c r="D7" s="19" t="n">
        <v>840</v>
      </c>
      <c r="E7" s="18" t="n">
        <v>58.18031439</v>
      </c>
      <c r="F7" s="20" t="n">
        <v>2.32003452</v>
      </c>
      <c r="G7" s="18" t="n">
        <v>40.99867523</v>
      </c>
      <c r="H7" s="20" t="n">
        <v>2.30767959</v>
      </c>
      <c r="I7" s="18" t="s">
        <v>567</v>
      </c>
      <c r="J7" s="20" t="s">
        <v>567</v>
      </c>
      <c r="K7" s="18" t="n">
        <v>0.04318777</v>
      </c>
      <c r="L7" s="20" t="n">
        <v>0.03050897</v>
      </c>
      <c r="M7" s="18" t="n">
        <v>0</v>
      </c>
      <c r="N7" s="20" t="n">
        <v>0</v>
      </c>
      <c r="O7" s="18" t="n">
        <v>0</v>
      </c>
      <c r="P7" s="20" t="n">
        <v>0</v>
      </c>
      <c r="Q7" s="18" t="n">
        <v>0.77782261</v>
      </c>
      <c r="R7" s="20" t="n">
        <v>0.32718756</v>
      </c>
    </row>
    <row r="8" spans="1:18">
      <c r="A8" s="15" t="s">
        <v>568</v>
      </c>
      <c r="B8" s="17" t="n">
        <v>3564</v>
      </c>
      <c r="C8" s="18">
        <f>(3139.0/B8*100)</f>
        <v/>
      </c>
      <c r="D8" s="19" t="n">
        <v>425</v>
      </c>
      <c r="E8" s="18" t="n">
        <v>72.02333384000001</v>
      </c>
      <c r="F8" s="20" t="n">
        <v>2.10956085</v>
      </c>
      <c r="G8" s="18" t="n">
        <v>27.23859378</v>
      </c>
      <c r="H8" s="20" t="n">
        <v>2.13360234</v>
      </c>
      <c r="I8" s="18" t="s">
        <v>567</v>
      </c>
      <c r="J8" s="20" t="s">
        <v>567</v>
      </c>
      <c r="K8" s="18" t="n">
        <v>0.20349756</v>
      </c>
      <c r="L8" s="20" t="n">
        <v>0.20668571</v>
      </c>
      <c r="M8" s="18" t="n">
        <v>0</v>
      </c>
      <c r="N8" s="20" t="n">
        <v>0</v>
      </c>
      <c r="O8" s="18" t="n">
        <v>0</v>
      </c>
      <c r="P8" s="20" t="n">
        <v>0</v>
      </c>
      <c r="Q8" s="18" t="n">
        <v>0.5345748299999999</v>
      </c>
      <c r="R8" s="20" t="n">
        <v>0.27466631</v>
      </c>
    </row>
    <row r="9" spans="1:18">
      <c r="A9" s="15" t="s">
        <v>569</v>
      </c>
      <c r="B9" s="17" t="n">
        <v>4899</v>
      </c>
      <c r="C9" s="18">
        <f>(4372.0/B9*100)</f>
        <v/>
      </c>
      <c r="D9" s="19" t="n">
        <v>527</v>
      </c>
      <c r="E9" s="18" t="n">
        <v>59.77442885</v>
      </c>
      <c r="F9" s="20" t="n">
        <v>2.30883531</v>
      </c>
      <c r="G9" s="18" t="n">
        <v>39.84626896</v>
      </c>
      <c r="H9" s="20" t="n">
        <v>2.3212747</v>
      </c>
      <c r="I9" s="18" t="s">
        <v>567</v>
      </c>
      <c r="J9" s="20" t="s">
        <v>567</v>
      </c>
      <c r="K9" s="18" t="n">
        <v>0</v>
      </c>
      <c r="L9" s="20" t="n">
        <v>0</v>
      </c>
      <c r="M9" s="18" t="n">
        <v>0</v>
      </c>
      <c r="N9" s="20" t="n">
        <v>0</v>
      </c>
      <c r="O9" s="18" t="n">
        <v>0</v>
      </c>
      <c r="P9" s="20" t="n">
        <v>0</v>
      </c>
      <c r="Q9" s="18" t="n">
        <v>0.37930219</v>
      </c>
      <c r="R9" s="20" t="n">
        <v>0.31373542</v>
      </c>
    </row>
    <row r="10" spans="1:18">
      <c r="A10" s="15" t="s">
        <v>570</v>
      </c>
      <c r="B10" s="17" t="n">
        <v>10036</v>
      </c>
      <c r="C10" s="18">
        <f>(8966.0/B10*100)</f>
        <v/>
      </c>
      <c r="D10" s="19" t="n">
        <v>1070</v>
      </c>
      <c r="E10" s="18" t="n">
        <v>57.92178293</v>
      </c>
      <c r="F10" s="20" t="n">
        <v>2.158517</v>
      </c>
      <c r="G10" s="18" t="n">
        <v>41.81191823</v>
      </c>
      <c r="H10" s="20" t="n">
        <v>2.15073082</v>
      </c>
      <c r="I10" s="18" t="s">
        <v>567</v>
      </c>
      <c r="J10" s="20" t="s">
        <v>567</v>
      </c>
      <c r="K10" s="18" t="n">
        <v>0.04112882</v>
      </c>
      <c r="L10" s="20" t="n">
        <v>0.02853947</v>
      </c>
      <c r="M10" s="18" t="n">
        <v>0</v>
      </c>
      <c r="N10" s="20" t="n">
        <v>0</v>
      </c>
      <c r="O10" s="18" t="n">
        <v>0</v>
      </c>
      <c r="P10" s="20" t="n">
        <v>0</v>
      </c>
      <c r="Q10" s="18" t="n">
        <v>0.22517002</v>
      </c>
      <c r="R10" s="20" t="n">
        <v>0.16229405</v>
      </c>
    </row>
    <row r="11" spans="1:18">
      <c r="A11" s="15" t="s">
        <v>571</v>
      </c>
      <c r="B11" s="17" t="n">
        <v>3553</v>
      </c>
      <c r="C11" s="18">
        <f>(3167.0/B11*100)</f>
        <v/>
      </c>
      <c r="D11" s="19" t="n">
        <v>386</v>
      </c>
      <c r="E11" s="18" t="n">
        <v>64.07374612</v>
      </c>
      <c r="F11" s="20" t="n">
        <v>2.49326995</v>
      </c>
      <c r="G11" s="18" t="n">
        <v>33.48244626</v>
      </c>
      <c r="H11" s="20" t="n">
        <v>2.34819905</v>
      </c>
      <c r="I11" s="18" t="s">
        <v>567</v>
      </c>
      <c r="J11" s="20" t="s">
        <v>567</v>
      </c>
      <c r="K11" s="18" t="n">
        <v>1.21941287</v>
      </c>
      <c r="L11" s="20" t="n">
        <v>0.85096729</v>
      </c>
      <c r="M11" s="18" t="n">
        <v>0</v>
      </c>
      <c r="N11" s="20" t="n">
        <v>0</v>
      </c>
      <c r="O11" s="18" t="n">
        <v>0</v>
      </c>
      <c r="P11" s="20" t="n">
        <v>0</v>
      </c>
      <c r="Q11" s="18" t="n">
        <v>1.22439474</v>
      </c>
      <c r="R11" s="20" t="n">
        <v>0.64449827</v>
      </c>
    </row>
    <row r="12" spans="1:18">
      <c r="A12" s="15" t="s">
        <v>572</v>
      </c>
      <c r="B12" s="17" t="n">
        <v>3472</v>
      </c>
      <c r="C12" s="18">
        <f>(3090.0/B12*100)</f>
        <v/>
      </c>
      <c r="D12" s="19" t="n">
        <v>382</v>
      </c>
      <c r="E12" s="18" t="n">
        <v>65.37958750999999</v>
      </c>
      <c r="F12" s="20" t="n">
        <v>2.90841402</v>
      </c>
      <c r="G12" s="18" t="n">
        <v>34.38088275</v>
      </c>
      <c r="H12" s="20" t="n">
        <v>2.90629716</v>
      </c>
      <c r="I12" s="18" t="s">
        <v>567</v>
      </c>
      <c r="J12" s="20" t="s">
        <v>567</v>
      </c>
      <c r="K12" s="18" t="n">
        <v>0</v>
      </c>
      <c r="L12" s="20" t="n">
        <v>0</v>
      </c>
      <c r="M12" s="18" t="n">
        <v>0</v>
      </c>
      <c r="N12" s="20" t="n">
        <v>0</v>
      </c>
      <c r="O12" s="18" t="n">
        <v>0</v>
      </c>
      <c r="P12" s="20" t="n">
        <v>0</v>
      </c>
      <c r="Q12" s="18" t="n">
        <v>0.23952974</v>
      </c>
      <c r="R12" s="20" t="n">
        <v>0.18357921</v>
      </c>
    </row>
    <row r="13" spans="1:18">
      <c r="A13" s="15" t="s">
        <v>573</v>
      </c>
      <c r="B13" s="17" t="n">
        <v>3559</v>
      </c>
      <c r="C13" s="18">
        <f>(3158.0/B13*100)</f>
        <v/>
      </c>
      <c r="D13" s="19" t="n">
        <v>401</v>
      </c>
      <c r="E13" s="18" t="n">
        <v>50.80147739</v>
      </c>
      <c r="F13" s="20" t="n">
        <v>2.98978885</v>
      </c>
      <c r="G13" s="18" t="n">
        <v>48.84332563</v>
      </c>
      <c r="H13" s="20" t="n">
        <v>2.97874698</v>
      </c>
      <c r="I13" s="18" t="s">
        <v>567</v>
      </c>
      <c r="J13" s="20" t="s">
        <v>567</v>
      </c>
      <c r="K13" s="18" t="n">
        <v>0.31682349</v>
      </c>
      <c r="L13" s="20" t="n">
        <v>0.28454525</v>
      </c>
      <c r="M13" s="18" t="n">
        <v>0</v>
      </c>
      <c r="N13" s="20" t="n">
        <v>0</v>
      </c>
      <c r="O13" s="18" t="n">
        <v>0</v>
      </c>
      <c r="P13" s="20" t="n">
        <v>0</v>
      </c>
      <c r="Q13" s="18" t="n">
        <v>0.03837349</v>
      </c>
      <c r="R13" s="20" t="n">
        <v>0.03896421</v>
      </c>
    </row>
    <row r="14" spans="1:18">
      <c r="A14" s="15" t="s">
        <v>574</v>
      </c>
      <c r="B14" s="17" t="n">
        <v>2799</v>
      </c>
      <c r="C14" s="18">
        <f>(2505.0/B14*100)</f>
        <v/>
      </c>
      <c r="D14" s="19" t="n">
        <v>294</v>
      </c>
      <c r="E14" s="18" t="n">
        <v>65.14766059999999</v>
      </c>
      <c r="F14" s="20" t="n">
        <v>2.98149965</v>
      </c>
      <c r="G14" s="18" t="n">
        <v>34.8523394</v>
      </c>
      <c r="H14" s="20" t="n">
        <v>2.98149965</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(2709.0/B15*100)</f>
        <v/>
      </c>
      <c r="D15" s="19" t="n">
        <v>310</v>
      </c>
      <c r="E15" s="18" t="n">
        <v>59.28539997</v>
      </c>
      <c r="F15" s="20" t="n">
        <v>2.95312445</v>
      </c>
      <c r="G15" s="18" t="n">
        <v>40.11137006</v>
      </c>
      <c r="H15" s="20" t="n">
        <v>2.88792062</v>
      </c>
      <c r="I15" s="18" t="s">
        <v>567</v>
      </c>
      <c r="J15" s="20" t="s">
        <v>567</v>
      </c>
      <c r="K15" s="18" t="n">
        <v>0.60322996</v>
      </c>
      <c r="L15" s="20" t="n">
        <v>0.42743547</v>
      </c>
      <c r="M15" s="18" t="n">
        <v>0</v>
      </c>
      <c r="N15" s="20" t="n">
        <v>0</v>
      </c>
      <c r="O15" s="18" t="n">
        <v>0</v>
      </c>
      <c r="P15" s="20" t="n">
        <v>0</v>
      </c>
      <c r="Q15" s="18" t="n">
        <v>0</v>
      </c>
      <c r="R15" s="20" t="n">
        <v>0</v>
      </c>
    </row>
    <row r="16" spans="1:18">
      <c r="A16" s="15" t="s">
        <v>576</v>
      </c>
      <c r="B16" s="17" t="n">
        <v>2997</v>
      </c>
      <c r="C16" s="18">
        <f>(2679.0/B16*100)</f>
        <v/>
      </c>
      <c r="D16" s="19" t="n">
        <v>318</v>
      </c>
      <c r="E16" s="18" t="n">
        <v>60.73240491</v>
      </c>
      <c r="F16" s="20" t="n">
        <v>3.0158152</v>
      </c>
      <c r="G16" s="18" t="n">
        <v>38.00721017</v>
      </c>
      <c r="H16" s="20" t="n">
        <v>2.97572431</v>
      </c>
      <c r="I16" s="18" t="s">
        <v>567</v>
      </c>
      <c r="J16" s="20" t="s">
        <v>567</v>
      </c>
      <c r="K16" s="18" t="n">
        <v>0.9169637899999999</v>
      </c>
      <c r="L16" s="20" t="n">
        <v>0.48765211</v>
      </c>
      <c r="M16" s="18" t="n">
        <v>0</v>
      </c>
      <c r="N16" s="20" t="n">
        <v>0</v>
      </c>
      <c r="O16" s="18" t="n">
        <v>0</v>
      </c>
      <c r="P16" s="20" t="n">
        <v>0</v>
      </c>
      <c r="Q16" s="18" t="n">
        <v>0.34342113</v>
      </c>
      <c r="R16" s="20" t="n">
        <v>0.30025269</v>
      </c>
    </row>
    <row r="17" spans="1:18">
      <c r="A17" s="15" t="s">
        <v>577</v>
      </c>
      <c r="B17" s="17" t="n">
        <v>3307</v>
      </c>
      <c r="C17" s="18">
        <f>(2957.0/B17*100)</f>
        <v/>
      </c>
      <c r="D17" s="19" t="n">
        <v>350</v>
      </c>
      <c r="E17" s="18" t="n">
        <v>65.59723212</v>
      </c>
      <c r="F17" s="20" t="n">
        <v>2.59998437</v>
      </c>
      <c r="G17" s="18" t="n">
        <v>33.91538814</v>
      </c>
      <c r="H17" s="20" t="n">
        <v>2.57133392</v>
      </c>
      <c r="I17" s="18" t="s">
        <v>567</v>
      </c>
      <c r="J17" s="20" t="s">
        <v>567</v>
      </c>
      <c r="K17" s="18" t="n">
        <v>0</v>
      </c>
      <c r="L17" s="20" t="n">
        <v>0</v>
      </c>
      <c r="M17" s="18" t="n">
        <v>0</v>
      </c>
      <c r="N17" s="20" t="n">
        <v>0</v>
      </c>
      <c r="O17" s="18" t="n">
        <v>0</v>
      </c>
      <c r="P17" s="20" t="n">
        <v>0</v>
      </c>
      <c r="Q17" s="18" t="n">
        <v>0.48737974</v>
      </c>
      <c r="R17" s="20" t="n">
        <v>0.34565127</v>
      </c>
    </row>
    <row r="18" spans="1:18">
      <c r="A18" s="15" t="s">
        <v>578</v>
      </c>
      <c r="B18" s="17" t="n">
        <v>2826</v>
      </c>
      <c r="C18" s="18">
        <f>(2504.0/B18*100)</f>
        <v/>
      </c>
      <c r="D18" s="19" t="n">
        <v>322</v>
      </c>
      <c r="E18" s="18" t="n">
        <v>82.00260432</v>
      </c>
      <c r="F18" s="20" t="n">
        <v>2.33627811</v>
      </c>
      <c r="G18" s="18" t="n">
        <v>17.99739568</v>
      </c>
      <c r="H18" s="20" t="n">
        <v>2.33627811</v>
      </c>
      <c r="I18" s="18" t="s">
        <v>567</v>
      </c>
      <c r="J18" s="20" t="s">
        <v>567</v>
      </c>
      <c r="K18" s="18" t="n">
        <v>0</v>
      </c>
      <c r="L18" s="20" t="n">
        <v>0</v>
      </c>
      <c r="M18" s="18" t="n">
        <v>0</v>
      </c>
      <c r="N18" s="20" t="n">
        <v>0</v>
      </c>
      <c r="O18" s="18" t="n">
        <v>0</v>
      </c>
      <c r="P18" s="20" t="n">
        <v>0</v>
      </c>
      <c r="Q18" s="18" t="n">
        <v>0</v>
      </c>
      <c r="R18" s="20" t="n">
        <v>0</v>
      </c>
    </row>
    <row r="19" spans="1:18">
      <c r="A19" s="15" t="s">
        <v>579</v>
      </c>
      <c r="B19" s="17" t="n">
        <v>2808</v>
      </c>
      <c r="C19" s="18">
        <f>(2480.0/B19*100)</f>
        <v/>
      </c>
      <c r="D19" s="19" t="n">
        <v>328</v>
      </c>
      <c r="E19" s="18" t="n">
        <v>70.68313802</v>
      </c>
      <c r="F19" s="20" t="n">
        <v>2.47393752</v>
      </c>
      <c r="G19" s="18" t="n">
        <v>28.66918591</v>
      </c>
      <c r="H19" s="20" t="n">
        <v>2.50244328</v>
      </c>
      <c r="I19" s="18" t="s">
        <v>567</v>
      </c>
      <c r="J19" s="20" t="s">
        <v>567</v>
      </c>
      <c r="K19" s="18" t="n">
        <v>0.35239873</v>
      </c>
      <c r="L19" s="20" t="n">
        <v>0.37442582</v>
      </c>
      <c r="M19" s="18" t="n">
        <v>0</v>
      </c>
      <c r="N19" s="20" t="n">
        <v>0</v>
      </c>
      <c r="O19" s="18" t="n">
        <v>0</v>
      </c>
      <c r="P19" s="20" t="n">
        <v>0</v>
      </c>
      <c r="Q19" s="18" t="n">
        <v>0.29527734</v>
      </c>
      <c r="R19" s="20" t="n">
        <v>0.26591171</v>
      </c>
    </row>
    <row r="20" spans="1:18">
      <c r="A20" s="15" t="s">
        <v>580</v>
      </c>
      <c r="B20" s="17" t="n">
        <v>1630</v>
      </c>
      <c r="C20" s="18">
        <f>(1444.0/B20*100)</f>
        <v/>
      </c>
      <c r="D20" s="19" t="n">
        <v>186</v>
      </c>
      <c r="E20" s="18" t="n">
        <v>68.40335159</v>
      </c>
      <c r="F20" s="20" t="n">
        <v>3.29394013</v>
      </c>
      <c r="G20" s="18" t="n">
        <v>31.59664841</v>
      </c>
      <c r="H20" s="20" t="n">
        <v>3.29394013</v>
      </c>
      <c r="I20" s="18" t="s">
        <v>567</v>
      </c>
      <c r="J20" s="20" t="s">
        <v>567</v>
      </c>
      <c r="K20" s="18" t="n">
        <v>0</v>
      </c>
      <c r="L20" s="20" t="n">
        <v>0</v>
      </c>
      <c r="M20" s="18" t="n">
        <v>0</v>
      </c>
      <c r="N20" s="20" t="n">
        <v>0</v>
      </c>
      <c r="O20" s="18" t="n">
        <v>0</v>
      </c>
      <c r="P20" s="20" t="n">
        <v>0</v>
      </c>
      <c r="Q20" s="18" t="n">
        <v>0</v>
      </c>
      <c r="R20" s="20" t="n">
        <v>0</v>
      </c>
    </row>
    <row r="21" spans="1:18">
      <c r="A21" s="15" t="s">
        <v>581</v>
      </c>
      <c r="B21" s="17" t="n">
        <v>2908</v>
      </c>
      <c r="C21" s="18">
        <f>(2597.0/B21*100)</f>
        <v/>
      </c>
      <c r="D21" s="19" t="n">
        <v>311</v>
      </c>
      <c r="E21" s="18" t="n">
        <v>54.83858542</v>
      </c>
      <c r="F21" s="20" t="n">
        <v>2.87810845</v>
      </c>
      <c r="G21" s="18" t="n">
        <v>44.79550701</v>
      </c>
      <c r="H21" s="20" t="n">
        <v>2.91722789</v>
      </c>
      <c r="I21" s="18" t="s">
        <v>567</v>
      </c>
      <c r="J21" s="20" t="s">
        <v>567</v>
      </c>
      <c r="K21" s="18" t="n">
        <v>0</v>
      </c>
      <c r="L21" s="20" t="n">
        <v>0</v>
      </c>
      <c r="M21" s="18" t="n">
        <v>0</v>
      </c>
      <c r="N21" s="20" t="n">
        <v>0</v>
      </c>
      <c r="O21" s="18" t="n">
        <v>0</v>
      </c>
      <c r="P21" s="20" t="n">
        <v>0</v>
      </c>
      <c r="Q21" s="18" t="n">
        <v>0.36590757</v>
      </c>
      <c r="R21" s="20" t="n">
        <v>0.37472278</v>
      </c>
    </row>
    <row r="22" spans="1:18">
      <c r="A22" s="15" t="s">
        <v>582</v>
      </c>
      <c r="B22" s="17" t="n">
        <v>2931</v>
      </c>
      <c r="C22" s="18">
        <f>(2600.0/B22*100)</f>
        <v/>
      </c>
      <c r="D22" s="19" t="n">
        <v>331</v>
      </c>
      <c r="E22" s="18" t="n">
        <v>68.42594498</v>
      </c>
      <c r="F22" s="20" t="n">
        <v>2.93852742</v>
      </c>
      <c r="G22" s="18" t="n">
        <v>29.64321619</v>
      </c>
      <c r="H22" s="20" t="n">
        <v>2.75336667</v>
      </c>
      <c r="I22" s="18" t="s">
        <v>567</v>
      </c>
      <c r="J22" s="20" t="s">
        <v>567</v>
      </c>
      <c r="K22" s="18" t="n">
        <v>0.97167129</v>
      </c>
      <c r="L22" s="20" t="n">
        <v>0.47996016</v>
      </c>
      <c r="M22" s="18" t="n">
        <v>0</v>
      </c>
      <c r="N22" s="20" t="n">
        <v>0</v>
      </c>
      <c r="O22" s="18" t="n">
        <v>0</v>
      </c>
      <c r="P22" s="20" t="n">
        <v>0</v>
      </c>
      <c r="Q22" s="18" t="n">
        <v>0.95916754</v>
      </c>
      <c r="R22" s="20" t="n">
        <v>0.48063846</v>
      </c>
    </row>
    <row r="23" spans="1:18">
      <c r="A23" s="15" t="s">
        <v>583</v>
      </c>
      <c r="B23" s="17" t="n">
        <v>5791</v>
      </c>
      <c r="C23" s="18">
        <f>(5143.0/B23*100)</f>
        <v/>
      </c>
      <c r="D23" s="19" t="n">
        <v>648</v>
      </c>
      <c r="E23" s="18" t="n">
        <v>62.09165217</v>
      </c>
      <c r="F23" s="20" t="n">
        <v>2.79991101</v>
      </c>
      <c r="G23" s="18" t="n">
        <v>36.92864317</v>
      </c>
      <c r="H23" s="20" t="n">
        <v>2.73738862</v>
      </c>
      <c r="I23" s="18" t="s">
        <v>567</v>
      </c>
      <c r="J23" s="20" t="s">
        <v>567</v>
      </c>
      <c r="K23" s="18" t="n">
        <v>0.96308018</v>
      </c>
      <c r="L23" s="20" t="n">
        <v>0.41582486</v>
      </c>
      <c r="M23" s="18" t="n">
        <v>0</v>
      </c>
      <c r="N23" s="20" t="n">
        <v>0</v>
      </c>
      <c r="O23" s="18" t="n">
        <v>0</v>
      </c>
      <c r="P23" s="20" t="n">
        <v>0</v>
      </c>
      <c r="Q23" s="18" t="n">
        <v>0.01662448</v>
      </c>
      <c r="R23" s="20" t="n">
        <v>0.01012948</v>
      </c>
    </row>
    <row r="24" spans="1:18">
      <c r="A24" s="15" t="s">
        <v>584</v>
      </c>
      <c r="B24" s="17" t="n">
        <v>3338</v>
      </c>
      <c r="C24" s="18">
        <f>(2969.0/B24*100)</f>
        <v/>
      </c>
      <c r="D24" s="19" t="n">
        <v>369</v>
      </c>
      <c r="E24" s="18" t="n">
        <v>53.53911796</v>
      </c>
      <c r="F24" s="20" t="n">
        <v>2.59174749</v>
      </c>
      <c r="G24" s="18" t="n">
        <v>46.46088204</v>
      </c>
      <c r="H24" s="20" t="n">
        <v>2.59174749</v>
      </c>
      <c r="I24" s="18" t="s">
        <v>567</v>
      </c>
      <c r="J24" s="20" t="s">
        <v>567</v>
      </c>
      <c r="K24" s="18" t="n">
        <v>0</v>
      </c>
      <c r="L24" s="20" t="n">
        <v>0</v>
      </c>
      <c r="M24" s="18" t="n">
        <v>0</v>
      </c>
      <c r="N24" s="20" t="n">
        <v>0</v>
      </c>
      <c r="O24" s="18" t="n">
        <v>0</v>
      </c>
      <c r="P24" s="20" t="n">
        <v>0</v>
      </c>
      <c r="Q24" s="18" t="n">
        <v>0</v>
      </c>
      <c r="R24" s="20" t="n">
        <v>0</v>
      </c>
    </row>
    <row r="25" spans="1:18">
      <c r="A25" s="15" t="s">
        <v>585</v>
      </c>
      <c r="B25" s="17" t="n">
        <v>2912</v>
      </c>
      <c r="C25" s="18">
        <f>(2589.0/B25*100)</f>
        <v/>
      </c>
      <c r="D25" s="19" t="n">
        <v>323</v>
      </c>
      <c r="E25" s="18" t="n">
        <v>66.29532331999999</v>
      </c>
      <c r="F25" s="20" t="n">
        <v>2.61603569</v>
      </c>
      <c r="G25" s="18" t="n">
        <v>32.93497639</v>
      </c>
      <c r="H25" s="20" t="n">
        <v>2.5267455</v>
      </c>
      <c r="I25" s="18" t="s">
        <v>567</v>
      </c>
      <c r="J25" s="20" t="s">
        <v>567</v>
      </c>
      <c r="K25" s="18" t="n">
        <v>0</v>
      </c>
      <c r="L25" s="20" t="n">
        <v>0</v>
      </c>
      <c r="M25" s="18" t="n">
        <v>0</v>
      </c>
      <c r="N25" s="20" t="n">
        <v>0</v>
      </c>
      <c r="O25" s="18" t="n">
        <v>0</v>
      </c>
      <c r="P25" s="20" t="n">
        <v>0</v>
      </c>
      <c r="Q25" s="18" t="n">
        <v>0.76970029</v>
      </c>
      <c r="R25" s="20" t="n">
        <v>0.45045531</v>
      </c>
    </row>
    <row r="26" spans="1:18">
      <c r="A26" s="15" t="s">
        <v>586</v>
      </c>
      <c r="B26" s="17" t="n">
        <v>2450</v>
      </c>
      <c r="C26" s="18">
        <f>(2208.0/B26*100)</f>
        <v/>
      </c>
      <c r="D26" s="19" t="n">
        <v>242</v>
      </c>
      <c r="E26" s="18" t="n">
        <v>69.55890785</v>
      </c>
      <c r="F26" s="20" t="n">
        <v>2.78902811</v>
      </c>
      <c r="G26" s="18" t="n">
        <v>30.08790029</v>
      </c>
      <c r="H26" s="20" t="n">
        <v>2.67019594</v>
      </c>
      <c r="I26" s="18" t="s">
        <v>567</v>
      </c>
      <c r="J26" s="20" t="s">
        <v>567</v>
      </c>
      <c r="K26" s="18" t="n">
        <v>0.35319186</v>
      </c>
      <c r="L26" s="20" t="n">
        <v>0.35292983</v>
      </c>
      <c r="M26" s="18" t="n">
        <v>0</v>
      </c>
      <c r="N26" s="20" t="n">
        <v>0</v>
      </c>
      <c r="O26" s="18" t="n">
        <v>0</v>
      </c>
      <c r="P26" s="20" t="n">
        <v>0</v>
      </c>
      <c r="Q26" s="18" t="n">
        <v>0</v>
      </c>
      <c r="R26" s="20" t="n">
        <v>0</v>
      </c>
    </row>
    <row r="27" spans="1:18">
      <c r="A27" s="15" t="s">
        <v>587</v>
      </c>
      <c r="B27" s="17" t="n">
        <v>2616</v>
      </c>
      <c r="C27" s="18">
        <f>(2356.0/B27*100)</f>
        <v/>
      </c>
      <c r="D27" s="19" t="n">
        <v>260</v>
      </c>
      <c r="E27" s="18" t="n">
        <v>63.78906127</v>
      </c>
      <c r="F27" s="20" t="n">
        <v>2.77533687</v>
      </c>
      <c r="G27" s="18" t="n">
        <v>35.82685761</v>
      </c>
      <c r="H27" s="20" t="n">
        <v>2.78679832</v>
      </c>
      <c r="I27" s="18" t="s">
        <v>567</v>
      </c>
      <c r="J27" s="20" t="s">
        <v>567</v>
      </c>
      <c r="K27" s="18" t="n">
        <v>0.38408112</v>
      </c>
      <c r="L27" s="20" t="n">
        <v>0.38706912</v>
      </c>
      <c r="M27" s="18" t="n">
        <v>0</v>
      </c>
      <c r="N27" s="20" t="n">
        <v>0</v>
      </c>
      <c r="O27" s="18" t="n">
        <v>0</v>
      </c>
      <c r="P27" s="20" t="n">
        <v>0</v>
      </c>
      <c r="Q27" s="18" t="n">
        <v>0</v>
      </c>
      <c r="R27" s="20" t="n">
        <v>0</v>
      </c>
    </row>
    <row r="28" spans="1:18">
      <c r="A28" s="15" t="s">
        <v>588</v>
      </c>
      <c r="B28" s="17" t="n">
        <v>3765</v>
      </c>
      <c r="C28" s="18">
        <f>(3350.0/B28*100)</f>
        <v/>
      </c>
      <c r="D28" s="19" t="n">
        <v>415</v>
      </c>
      <c r="E28" s="18" t="n">
        <v>72.8900422</v>
      </c>
      <c r="F28" s="20" t="n">
        <v>2.13278395</v>
      </c>
      <c r="G28" s="18" t="n">
        <v>26.36947056</v>
      </c>
      <c r="H28" s="20" t="n">
        <v>2.27892622</v>
      </c>
      <c r="I28" s="18" t="s">
        <v>567</v>
      </c>
      <c r="J28" s="20" t="s">
        <v>567</v>
      </c>
      <c r="K28" s="18" t="n">
        <v>0.33237162</v>
      </c>
      <c r="L28" s="20" t="n">
        <v>0.37686881</v>
      </c>
      <c r="M28" s="18" t="n">
        <v>0</v>
      </c>
      <c r="N28" s="20" t="n">
        <v>0</v>
      </c>
      <c r="O28" s="18" t="n">
        <v>0</v>
      </c>
      <c r="P28" s="20" t="n">
        <v>0</v>
      </c>
      <c r="Q28" s="18" t="n">
        <v>0.40811562</v>
      </c>
      <c r="R28" s="20" t="n">
        <v>0.40696472</v>
      </c>
    </row>
    <row r="29" spans="1:18">
      <c r="A29" s="15" t="s">
        <v>589</v>
      </c>
      <c r="B29" s="17" t="n">
        <v>2685</v>
      </c>
      <c r="C29" s="18">
        <f>(2386.0/B29*100)</f>
        <v/>
      </c>
      <c r="D29" s="19" t="n">
        <v>299</v>
      </c>
      <c r="E29" s="18" t="n">
        <v>48.06864692</v>
      </c>
      <c r="F29" s="20" t="n">
        <v>2.3304152</v>
      </c>
      <c r="G29" s="18" t="n">
        <v>51.93135308</v>
      </c>
      <c r="H29" s="20" t="n">
        <v>2.3304152</v>
      </c>
      <c r="I29" s="18" t="s">
        <v>567</v>
      </c>
      <c r="J29" s="20" t="s">
        <v>567</v>
      </c>
      <c r="K29" s="18" t="n">
        <v>0</v>
      </c>
      <c r="L29" s="20" t="n">
        <v>0</v>
      </c>
      <c r="M29" s="18" t="n">
        <v>0</v>
      </c>
      <c r="N29" s="20" t="n">
        <v>0</v>
      </c>
      <c r="O29" s="18" t="n">
        <v>0</v>
      </c>
      <c r="P29" s="20" t="n">
        <v>0</v>
      </c>
      <c r="Q29" s="18" t="n">
        <v>0</v>
      </c>
      <c r="R29" s="20" t="n">
        <v>0</v>
      </c>
    </row>
    <row r="30" spans="1:18">
      <c r="A30" s="15" t="s">
        <v>590</v>
      </c>
      <c r="B30" s="17" t="n">
        <v>2263</v>
      </c>
      <c r="C30" s="18">
        <f>(2017.0/B30*100)</f>
        <v/>
      </c>
      <c r="D30" s="19" t="n">
        <v>246</v>
      </c>
      <c r="E30" s="18" t="n">
        <v>50.37124197</v>
      </c>
      <c r="F30" s="20" t="n">
        <v>3.27064504</v>
      </c>
      <c r="G30" s="18" t="n">
        <v>47.41923582</v>
      </c>
      <c r="H30" s="20" t="n">
        <v>3.33315103</v>
      </c>
      <c r="I30" s="18" t="s">
        <v>567</v>
      </c>
      <c r="J30" s="20" t="s">
        <v>567</v>
      </c>
      <c r="K30" s="18" t="n">
        <v>0.92715076</v>
      </c>
      <c r="L30" s="20" t="n">
        <v>0.62857706</v>
      </c>
      <c r="M30" s="18" t="n">
        <v>0</v>
      </c>
      <c r="N30" s="20" t="n">
        <v>0</v>
      </c>
      <c r="O30" s="18" t="n">
        <v>0</v>
      </c>
      <c r="P30" s="20" t="n">
        <v>0</v>
      </c>
      <c r="Q30" s="18" t="n">
        <v>1.28237146</v>
      </c>
      <c r="R30" s="20" t="n">
        <v>0.83017657</v>
      </c>
    </row>
    <row r="31" spans="1:18">
      <c r="A31" s="15" t="s">
        <v>591</v>
      </c>
      <c r="B31" s="17" t="n">
        <v>2750</v>
      </c>
      <c r="C31" s="18">
        <f>(2440.0/B31*100)</f>
        <v/>
      </c>
      <c r="D31" s="19" t="n">
        <v>310</v>
      </c>
      <c r="E31" s="18" t="n">
        <v>58.60631077</v>
      </c>
      <c r="F31" s="20" t="n">
        <v>2.99325568</v>
      </c>
      <c r="G31" s="18" t="n">
        <v>39.88507165</v>
      </c>
      <c r="H31" s="20" t="n">
        <v>2.95530616</v>
      </c>
      <c r="I31" s="18" t="s">
        <v>567</v>
      </c>
      <c r="J31" s="20" t="s">
        <v>567</v>
      </c>
      <c r="K31" s="18" t="n">
        <v>0.62516777</v>
      </c>
      <c r="L31" s="20" t="n">
        <v>0.41465866</v>
      </c>
      <c r="M31" s="18" t="n">
        <v>0</v>
      </c>
      <c r="N31" s="20" t="n">
        <v>0</v>
      </c>
      <c r="O31" s="18" t="n">
        <v>0</v>
      </c>
      <c r="P31" s="20" t="n">
        <v>0</v>
      </c>
      <c r="Q31" s="18" t="n">
        <v>0.8834498200000001</v>
      </c>
      <c r="R31" s="20" t="n">
        <v>0.5020702</v>
      </c>
    </row>
    <row r="32" spans="1:18">
      <c r="A32" s="15" t="s">
        <v>592</v>
      </c>
      <c r="B32" s="17" t="n">
        <v>2269</v>
      </c>
      <c r="C32" s="18">
        <f>(2020.0/B32*100)</f>
        <v/>
      </c>
      <c r="D32" s="19" t="n">
        <v>249</v>
      </c>
      <c r="E32" s="18" t="n">
        <v>79.99454412</v>
      </c>
      <c r="F32" s="20" t="n">
        <v>2.63976223</v>
      </c>
      <c r="G32" s="18" t="n">
        <v>19.51800345</v>
      </c>
      <c r="H32" s="20" t="n">
        <v>2.49542711</v>
      </c>
      <c r="I32" s="18" t="s">
        <v>567</v>
      </c>
      <c r="J32" s="20" t="s">
        <v>567</v>
      </c>
      <c r="K32" s="18" t="n">
        <v>0.48745243</v>
      </c>
      <c r="L32" s="20" t="n">
        <v>0.50628118</v>
      </c>
      <c r="M32" s="18" t="n">
        <v>0</v>
      </c>
      <c r="N32" s="20" t="n">
        <v>0</v>
      </c>
      <c r="O32" s="18" t="n">
        <v>0</v>
      </c>
      <c r="P32" s="20" t="n">
        <v>0</v>
      </c>
      <c r="Q32" s="18" t="n">
        <v>0</v>
      </c>
      <c r="R32" s="20" t="n">
        <v>0</v>
      </c>
    </row>
    <row r="33" spans="1:18">
      <c r="A33" s="15" t="s">
        <v>593</v>
      </c>
      <c r="B33" s="17" t="n">
        <v>3674</v>
      </c>
      <c r="C33" s="18">
        <f>(3287.0/B33*100)</f>
        <v/>
      </c>
      <c r="D33" s="19" t="n">
        <v>387</v>
      </c>
      <c r="E33" s="18" t="n">
        <v>52.02177519</v>
      </c>
      <c r="F33" s="20" t="n">
        <v>3.17487067</v>
      </c>
      <c r="G33" s="18" t="n">
        <v>47.38918427</v>
      </c>
      <c r="H33" s="20" t="n">
        <v>3.1504844</v>
      </c>
      <c r="I33" s="18" t="s">
        <v>567</v>
      </c>
      <c r="J33" s="20" t="s">
        <v>567</v>
      </c>
      <c r="K33" s="18" t="n">
        <v>0.02314182</v>
      </c>
      <c r="L33" s="20" t="n">
        <v>0.02320335</v>
      </c>
      <c r="M33" s="18" t="n">
        <v>0</v>
      </c>
      <c r="N33" s="20" t="n">
        <v>0</v>
      </c>
      <c r="O33" s="18" t="n">
        <v>0</v>
      </c>
      <c r="P33" s="20" t="n">
        <v>0</v>
      </c>
      <c r="Q33" s="18" t="n">
        <v>0.56589872</v>
      </c>
      <c r="R33" s="20" t="n">
        <v>0.4280487</v>
      </c>
    </row>
    <row r="34" spans="1:18">
      <c r="A34" s="15" t="s">
        <v>594</v>
      </c>
      <c r="B34" s="17" t="n">
        <v>3315</v>
      </c>
      <c r="C34" s="18">
        <f>(2931.0/B34*100)</f>
        <v/>
      </c>
      <c r="D34" s="19" t="n">
        <v>384</v>
      </c>
      <c r="E34" s="18" t="n">
        <v>72.15827716</v>
      </c>
      <c r="F34" s="20" t="n">
        <v>2.82849867</v>
      </c>
      <c r="G34" s="18" t="n">
        <v>27.2098856</v>
      </c>
      <c r="H34" s="20" t="n">
        <v>2.82924562</v>
      </c>
      <c r="I34" s="18" t="s">
        <v>567</v>
      </c>
      <c r="J34" s="20" t="s">
        <v>567</v>
      </c>
      <c r="K34" s="18" t="n">
        <v>0</v>
      </c>
      <c r="L34" s="20" t="n">
        <v>0</v>
      </c>
      <c r="M34" s="18" t="n">
        <v>0</v>
      </c>
      <c r="N34" s="20" t="n">
        <v>0</v>
      </c>
      <c r="O34" s="18" t="n">
        <v>0</v>
      </c>
      <c r="P34" s="20" t="n">
        <v>0</v>
      </c>
      <c r="Q34" s="18" t="n">
        <v>0.63183724</v>
      </c>
      <c r="R34" s="20" t="n">
        <v>0.37387171</v>
      </c>
    </row>
    <row r="35" spans="1:18">
      <c r="A35" s="15" t="s">
        <v>595</v>
      </c>
      <c r="B35" s="17" t="n">
        <v>3505</v>
      </c>
      <c r="C35" s="18">
        <f>(3117.0/B35*100)</f>
        <v/>
      </c>
      <c r="D35" s="19" t="n">
        <v>388</v>
      </c>
      <c r="E35" s="18" t="n">
        <v>66.57055918</v>
      </c>
      <c r="F35" s="20" t="n">
        <v>2.75151059</v>
      </c>
      <c r="G35" s="18" t="n">
        <v>33.31688493</v>
      </c>
      <c r="H35" s="20" t="n">
        <v>2.74678353</v>
      </c>
      <c r="I35" s="18" t="s">
        <v>567</v>
      </c>
      <c r="J35" s="20" t="s">
        <v>567</v>
      </c>
      <c r="K35" s="18" t="n">
        <v>0.11255588</v>
      </c>
      <c r="L35" s="20" t="n">
        <v>0.11420063</v>
      </c>
      <c r="M35" s="18" t="n">
        <v>0</v>
      </c>
      <c r="N35" s="20" t="n">
        <v>0</v>
      </c>
      <c r="O35" s="18" t="n">
        <v>0</v>
      </c>
      <c r="P35" s="20" t="n">
        <v>0</v>
      </c>
      <c r="Q35" s="18" t="n">
        <v>0</v>
      </c>
      <c r="R35" s="20" t="n">
        <v>0</v>
      </c>
    </row>
    <row r="36" spans="1:18">
      <c r="A36" s="15" t="s">
        <v>596</v>
      </c>
      <c r="B36" s="17" t="n">
        <v>3332</v>
      </c>
      <c r="C36" s="18">
        <f>(2980.0/B36*100)</f>
        <v/>
      </c>
      <c r="D36" s="19" t="n">
        <v>352</v>
      </c>
      <c r="E36" s="18" t="n">
        <v>73.99070349</v>
      </c>
      <c r="F36" s="20" t="n">
        <v>2.9713775</v>
      </c>
      <c r="G36" s="18" t="n">
        <v>25.13682267</v>
      </c>
      <c r="H36" s="20" t="n">
        <v>2.91193851</v>
      </c>
      <c r="I36" s="18" t="s">
        <v>567</v>
      </c>
      <c r="J36" s="20" t="s">
        <v>567</v>
      </c>
      <c r="K36" s="18" t="n">
        <v>0.16171996</v>
      </c>
      <c r="L36" s="20" t="n">
        <v>0.14828312</v>
      </c>
      <c r="M36" s="18" t="n">
        <v>0</v>
      </c>
      <c r="N36" s="20" t="n">
        <v>0</v>
      </c>
      <c r="O36" s="18" t="n">
        <v>0</v>
      </c>
      <c r="P36" s="20" t="n">
        <v>0</v>
      </c>
      <c r="Q36" s="18" t="n">
        <v>0.7107538799999999</v>
      </c>
      <c r="R36" s="20" t="n">
        <v>0.4402107</v>
      </c>
    </row>
    <row r="37" spans="1:18">
      <c r="A37" s="15" t="s">
        <v>597</v>
      </c>
      <c r="B37" s="17" t="n">
        <v>2727</v>
      </c>
      <c r="C37" s="18">
        <f>(2428.0/B37*100)</f>
        <v/>
      </c>
      <c r="D37" s="19" t="n">
        <v>299</v>
      </c>
      <c r="E37" s="18" t="n">
        <v>72.04130074</v>
      </c>
      <c r="F37" s="20" t="n">
        <v>2.92591991</v>
      </c>
      <c r="G37" s="18" t="n">
        <v>26.3361637</v>
      </c>
      <c r="H37" s="20" t="n">
        <v>2.93477783</v>
      </c>
      <c r="I37" s="18" t="s">
        <v>567</v>
      </c>
      <c r="J37" s="20" t="s">
        <v>567</v>
      </c>
      <c r="K37" s="18" t="n">
        <v>1.62253556</v>
      </c>
      <c r="L37" s="20" t="n">
        <v>0.77863297</v>
      </c>
      <c r="M37" s="18" t="n">
        <v>0</v>
      </c>
      <c r="N37" s="20" t="n">
        <v>0</v>
      </c>
      <c r="O37" s="18" t="n">
        <v>0</v>
      </c>
      <c r="P37" s="20" t="n">
        <v>0</v>
      </c>
      <c r="Q37" s="18" t="n">
        <v>0</v>
      </c>
      <c r="R37" s="20" t="n">
        <v>0</v>
      </c>
    </row>
    <row r="38" spans="1:18">
      <c r="A38" s="15" t="s">
        <v>598</v>
      </c>
      <c r="B38" s="17" t="n">
        <v>3053</v>
      </c>
      <c r="C38" s="18">
        <f>(2722.0/B38*100)</f>
        <v/>
      </c>
      <c r="D38" s="19" t="n">
        <v>331</v>
      </c>
      <c r="E38" s="18" t="n">
        <v>64.51395889</v>
      </c>
      <c r="F38" s="20" t="n">
        <v>3.32406537</v>
      </c>
      <c r="G38" s="18" t="n">
        <v>34.61078317</v>
      </c>
      <c r="H38" s="20" t="n">
        <v>3.28840846</v>
      </c>
      <c r="I38" s="18" t="s">
        <v>567</v>
      </c>
      <c r="J38" s="20" t="s">
        <v>567</v>
      </c>
      <c r="K38" s="18" t="n">
        <v>0.58706384</v>
      </c>
      <c r="L38" s="20" t="n">
        <v>0.41839751</v>
      </c>
      <c r="M38" s="18" t="n">
        <v>0</v>
      </c>
      <c r="N38" s="20" t="n">
        <v>0</v>
      </c>
      <c r="O38" s="18" t="n">
        <v>0</v>
      </c>
      <c r="P38" s="20" t="n">
        <v>0</v>
      </c>
      <c r="Q38" s="18" t="n">
        <v>0.28819411</v>
      </c>
      <c r="R38" s="20" t="n">
        <v>0.24805396</v>
      </c>
    </row>
    <row r="39" spans="1:18">
      <c r="A39" s="15" t="s">
        <v>599</v>
      </c>
      <c r="B39" s="17" t="n">
        <v>2957</v>
      </c>
      <c r="C39" s="18">
        <f>(2633.0/B39*100)</f>
        <v/>
      </c>
      <c r="D39" s="19" t="n">
        <v>324</v>
      </c>
      <c r="E39" s="18" t="n">
        <v>72.90098639999999</v>
      </c>
      <c r="F39" s="20" t="n">
        <v>2.75301716</v>
      </c>
      <c r="G39" s="18" t="n">
        <v>25.38888232</v>
      </c>
      <c r="H39" s="20" t="n">
        <v>2.81233732</v>
      </c>
      <c r="I39" s="18" t="s">
        <v>567</v>
      </c>
      <c r="J39" s="20" t="s">
        <v>567</v>
      </c>
      <c r="K39" s="18" t="n">
        <v>1.09851088</v>
      </c>
      <c r="L39" s="20" t="n">
        <v>0.6252323</v>
      </c>
      <c r="M39" s="18" t="n">
        <v>0</v>
      </c>
      <c r="N39" s="20" t="n">
        <v>0</v>
      </c>
      <c r="O39" s="18" t="n">
        <v>0</v>
      </c>
      <c r="P39" s="20" t="n">
        <v>0</v>
      </c>
      <c r="Q39" s="18" t="n">
        <v>0.61162039</v>
      </c>
      <c r="R39" s="20" t="n">
        <v>0.37774932</v>
      </c>
    </row>
    <row r="40" spans="1:18">
      <c r="A40" s="15" t="s">
        <v>600</v>
      </c>
      <c r="B40" s="17" t="n">
        <v>7235</v>
      </c>
      <c r="C40" s="18">
        <f>(6431.0/B40*100)</f>
        <v/>
      </c>
      <c r="D40" s="19" t="n">
        <v>804</v>
      </c>
      <c r="E40" s="18" t="n">
        <v>60.30541015</v>
      </c>
      <c r="F40" s="20" t="n">
        <v>2.34949712</v>
      </c>
      <c r="G40" s="18" t="n">
        <v>39.21795731</v>
      </c>
      <c r="H40" s="20" t="n">
        <v>2.35111377</v>
      </c>
      <c r="I40" s="18" t="s">
        <v>567</v>
      </c>
      <c r="J40" s="20" t="s">
        <v>567</v>
      </c>
      <c r="K40" s="18" t="n">
        <v>0.33909349</v>
      </c>
      <c r="L40" s="20" t="n">
        <v>0.28315509</v>
      </c>
      <c r="M40" s="18" t="n">
        <v>0</v>
      </c>
      <c r="N40" s="20" t="n">
        <v>0</v>
      </c>
      <c r="O40" s="18" t="n">
        <v>0</v>
      </c>
      <c r="P40" s="20" t="n">
        <v>0</v>
      </c>
      <c r="Q40" s="18" t="n">
        <v>0.13753905</v>
      </c>
      <c r="R40" s="20" t="n">
        <v>0.0768689</v>
      </c>
    </row>
    <row r="41" spans="1:18">
      <c r="A41" s="15" t="s">
        <v>601</v>
      </c>
      <c r="B41" s="17" t="n">
        <v>2858</v>
      </c>
      <c r="C41" s="18">
        <f>(2541.0/B41*100)</f>
        <v/>
      </c>
      <c r="D41" s="19" t="n">
        <v>317</v>
      </c>
      <c r="E41" s="18" t="n">
        <v>59.07710148</v>
      </c>
      <c r="F41" s="20" t="n">
        <v>2.86051999</v>
      </c>
      <c r="G41" s="18" t="n">
        <v>39.59392728</v>
      </c>
      <c r="H41" s="20" t="n">
        <v>2.89080826</v>
      </c>
      <c r="I41" s="18" t="s">
        <v>567</v>
      </c>
      <c r="J41" s="20" t="s">
        <v>567</v>
      </c>
      <c r="K41" s="18" t="n">
        <v>0.77926702</v>
      </c>
      <c r="L41" s="20" t="n">
        <v>0.54442598</v>
      </c>
      <c r="M41" s="18" t="n">
        <v>0</v>
      </c>
      <c r="N41" s="20" t="n">
        <v>0</v>
      </c>
      <c r="O41" s="18" t="n">
        <v>0</v>
      </c>
      <c r="P41" s="20" t="n">
        <v>0</v>
      </c>
      <c r="Q41" s="18" t="n">
        <v>0.54970421</v>
      </c>
      <c r="R41" s="20" t="n">
        <v>0.54702495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(9953.0/B46*100)</f>
        <v/>
      </c>
      <c r="D46" s="19" t="n">
        <v>1115</v>
      </c>
      <c r="E46" s="18" t="n">
        <v>76.4015358</v>
      </c>
      <c r="F46" s="20" t="n">
        <v>2.08121165</v>
      </c>
      <c r="G46" s="18" t="n">
        <v>22.78774205</v>
      </c>
      <c r="H46" s="20" t="n">
        <v>2.03814973</v>
      </c>
      <c r="I46" s="18" t="s">
        <v>567</v>
      </c>
      <c r="J46" s="20" t="s">
        <v>567</v>
      </c>
      <c r="K46" s="18" t="n">
        <v>0.56255033</v>
      </c>
      <c r="L46" s="20" t="n">
        <v>0.24165762</v>
      </c>
      <c r="M46" s="18" t="n">
        <v>0</v>
      </c>
      <c r="N46" s="20" t="n">
        <v>0</v>
      </c>
      <c r="O46" s="18" t="n">
        <v>0</v>
      </c>
      <c r="P46" s="20" t="n">
        <v>0</v>
      </c>
      <c r="Q46" s="18" t="n">
        <v>0.24817183</v>
      </c>
      <c r="R46" s="20" t="n">
        <v>0.13795198</v>
      </c>
    </row>
    <row r="47" spans="1:18">
      <c r="A47" s="15" t="s">
        <v>607</v>
      </c>
      <c r="B47" s="17" t="n">
        <v>3105</v>
      </c>
      <c r="C47" s="18">
        <f>(2780.0/B47*100)</f>
        <v/>
      </c>
      <c r="D47" s="19" t="n">
        <v>325</v>
      </c>
      <c r="E47" s="18" t="n">
        <v>81.65621656</v>
      </c>
      <c r="F47" s="20" t="n">
        <v>2.24228407</v>
      </c>
      <c r="G47" s="18" t="n">
        <v>17.73332767</v>
      </c>
      <c r="H47" s="20" t="n">
        <v>2.18784059</v>
      </c>
      <c r="I47" s="18" t="s">
        <v>567</v>
      </c>
      <c r="J47" s="20" t="s">
        <v>567</v>
      </c>
      <c r="K47" s="18" t="n">
        <v>0</v>
      </c>
      <c r="L47" s="20" t="n">
        <v>0</v>
      </c>
      <c r="M47" s="18" t="n">
        <v>0</v>
      </c>
      <c r="N47" s="20" t="n">
        <v>0</v>
      </c>
      <c r="O47" s="18" t="n">
        <v>0</v>
      </c>
      <c r="P47" s="20" t="n">
        <v>0</v>
      </c>
      <c r="Q47" s="18" t="n">
        <v>0.61045577</v>
      </c>
      <c r="R47" s="20" t="n">
        <v>0.39014066</v>
      </c>
    </row>
    <row r="48" spans="1:18">
      <c r="A48" s="15" t="s">
        <v>608</v>
      </c>
      <c r="B48" s="17" t="n">
        <v>5159</v>
      </c>
      <c r="C48" s="18">
        <f>(4575.0/B48*100)</f>
        <v/>
      </c>
      <c r="D48" s="19" t="n">
        <v>584</v>
      </c>
      <c r="E48" s="18" t="n">
        <v>82.0600827</v>
      </c>
      <c r="F48" s="20" t="n">
        <v>1.9872126</v>
      </c>
      <c r="G48" s="18" t="n">
        <v>17.50613924</v>
      </c>
      <c r="H48" s="20" t="n">
        <v>1.98052806</v>
      </c>
      <c r="I48" s="18" t="s">
        <v>567</v>
      </c>
      <c r="J48" s="20" t="s">
        <v>567</v>
      </c>
      <c r="K48" s="18" t="n">
        <v>0.43377806</v>
      </c>
      <c r="L48" s="20" t="n">
        <v>0.26022724</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(5008.0/B50*100)</f>
        <v/>
      </c>
      <c r="D50" s="19" t="n">
        <v>629</v>
      </c>
      <c r="E50" s="18" t="n">
        <v>65.72046853000001</v>
      </c>
      <c r="F50" s="20" t="n">
        <v>2.29615504</v>
      </c>
      <c r="G50" s="18" t="n">
        <v>32.30429445</v>
      </c>
      <c r="H50" s="20" t="n">
        <v>2.14527682</v>
      </c>
      <c r="I50" s="18" t="s">
        <v>567</v>
      </c>
      <c r="J50" s="20" t="s">
        <v>567</v>
      </c>
      <c r="K50" s="18" t="n">
        <v>1.6608059</v>
      </c>
      <c r="L50" s="20" t="n">
        <v>0.85593679</v>
      </c>
      <c r="M50" s="18" t="n">
        <v>0</v>
      </c>
      <c r="N50" s="20" t="n">
        <v>0</v>
      </c>
      <c r="O50" s="18" t="n">
        <v>0</v>
      </c>
      <c r="P50" s="20" t="n">
        <v>0</v>
      </c>
      <c r="Q50" s="18" t="n">
        <v>0.31443112</v>
      </c>
      <c r="R50" s="20" t="n">
        <v>0.25124443</v>
      </c>
    </row>
    <row r="51" spans="1:18">
      <c r="A51" s="15" t="s">
        <v>611</v>
      </c>
      <c r="B51" s="17" t="n">
        <v>3372</v>
      </c>
      <c r="C51" s="18">
        <f>(3039.0/B51*100)</f>
        <v/>
      </c>
      <c r="D51" s="19" t="n">
        <v>333</v>
      </c>
      <c r="E51" s="18" t="n">
        <v>79.86052823</v>
      </c>
      <c r="F51" s="20" t="n">
        <v>2.66483393</v>
      </c>
      <c r="G51" s="18" t="n">
        <v>18.59596549</v>
      </c>
      <c r="H51" s="20" t="n">
        <v>2.59434981</v>
      </c>
      <c r="I51" s="18" t="s">
        <v>567</v>
      </c>
      <c r="J51" s="20" t="s">
        <v>567</v>
      </c>
      <c r="K51" s="18" t="n">
        <v>0.46290603</v>
      </c>
      <c r="L51" s="20" t="n">
        <v>0.41469779</v>
      </c>
      <c r="M51" s="18" t="n">
        <v>0</v>
      </c>
      <c r="N51" s="20" t="n">
        <v>0</v>
      </c>
      <c r="O51" s="18" t="n">
        <v>0</v>
      </c>
      <c r="P51" s="20" t="n">
        <v>0</v>
      </c>
      <c r="Q51" s="18" t="n">
        <v>1.08060025</v>
      </c>
      <c r="R51" s="20" t="n">
        <v>0.50036848</v>
      </c>
    </row>
    <row r="52" spans="1:18">
      <c r="A52" s="15" t="s">
        <v>612</v>
      </c>
      <c r="B52" s="17" t="n">
        <v>2796</v>
      </c>
      <c r="C52" s="18">
        <f>(2443.0/B52*100)</f>
        <v/>
      </c>
      <c r="D52" s="19" t="n">
        <v>353</v>
      </c>
      <c r="E52" s="18" t="n">
        <v>68.25024556</v>
      </c>
      <c r="F52" s="20" t="n">
        <v>2.27029322</v>
      </c>
      <c r="G52" s="18" t="n">
        <v>31.44834092</v>
      </c>
      <c r="H52" s="20" t="n">
        <v>2.22346011</v>
      </c>
      <c r="I52" s="18" t="s">
        <v>567</v>
      </c>
      <c r="J52" s="20" t="s">
        <v>567</v>
      </c>
      <c r="K52" s="18" t="n">
        <v>0</v>
      </c>
      <c r="L52" s="20" t="n">
        <v>0</v>
      </c>
      <c r="M52" s="18" t="n">
        <v>0</v>
      </c>
      <c r="N52" s="20" t="n">
        <v>0</v>
      </c>
      <c r="O52" s="18" t="n">
        <v>0</v>
      </c>
      <c r="P52" s="20" t="n">
        <v>0</v>
      </c>
      <c r="Q52" s="18" t="n">
        <v>0.30141352</v>
      </c>
      <c r="R52" s="20" t="n">
        <v>0.30090738</v>
      </c>
    </row>
    <row r="53" spans="1:18">
      <c r="A53" s="15" t="s">
        <v>613</v>
      </c>
      <c r="B53" s="17" t="n">
        <v>2811</v>
      </c>
      <c r="C53" s="18">
        <f>(2517.0/B53*100)</f>
        <v/>
      </c>
      <c r="D53" s="19" t="n">
        <v>294</v>
      </c>
      <c r="E53" s="18" t="n">
        <v>77.19122369</v>
      </c>
      <c r="F53" s="20" t="n">
        <v>2.71850142</v>
      </c>
      <c r="G53" s="18" t="n">
        <v>20.88302536</v>
      </c>
      <c r="H53" s="20" t="n">
        <v>2.71875094</v>
      </c>
      <c r="I53" s="18" t="s">
        <v>567</v>
      </c>
      <c r="J53" s="20" t="s">
        <v>567</v>
      </c>
      <c r="K53" s="18" t="n">
        <v>0.72763533</v>
      </c>
      <c r="L53" s="20" t="n">
        <v>0.41562388</v>
      </c>
      <c r="M53" s="18" t="n">
        <v>0</v>
      </c>
      <c r="N53" s="20" t="n">
        <v>0</v>
      </c>
      <c r="O53" s="18" t="n">
        <v>0</v>
      </c>
      <c r="P53" s="20" t="n">
        <v>0</v>
      </c>
      <c r="Q53" s="18" t="n">
        <v>1.19811561</v>
      </c>
      <c r="R53" s="20" t="n">
        <v>0.69353569</v>
      </c>
    </row>
    <row r="54" spans="1:18">
      <c r="A54" s="15" t="s">
        <v>614</v>
      </c>
      <c r="B54" s="17" t="n">
        <v>2266</v>
      </c>
      <c r="C54" s="18">
        <f>(2009.0/B54*100)</f>
        <v/>
      </c>
      <c r="D54" s="19" t="n">
        <v>257</v>
      </c>
      <c r="E54" s="18" t="n">
        <v>74.07924181</v>
      </c>
      <c r="F54" s="20" t="n">
        <v>3.31653306</v>
      </c>
      <c r="G54" s="18" t="n">
        <v>14.37962246</v>
      </c>
      <c r="H54" s="20" t="n">
        <v>2.33826094</v>
      </c>
      <c r="I54" s="18" t="s">
        <v>567</v>
      </c>
      <c r="J54" s="20" t="s">
        <v>567</v>
      </c>
      <c r="K54" s="18" t="n">
        <v>8.55267929</v>
      </c>
      <c r="L54" s="20" t="n">
        <v>2.30637577</v>
      </c>
      <c r="M54" s="18" t="n">
        <v>0</v>
      </c>
      <c r="N54" s="20" t="n">
        <v>0</v>
      </c>
      <c r="O54" s="18" t="n">
        <v>0</v>
      </c>
      <c r="P54" s="20" t="n">
        <v>0</v>
      </c>
      <c r="Q54" s="18" t="n">
        <v>2.98845644</v>
      </c>
      <c r="R54" s="20" t="n">
        <v>1.30750948</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(2373.0/B56*100)</f>
        <v/>
      </c>
      <c r="D56" s="19" t="n">
        <v>311</v>
      </c>
      <c r="E56" s="18" t="n">
        <v>68.80026269</v>
      </c>
      <c r="F56" s="20" t="n">
        <v>3.12196042</v>
      </c>
      <c r="G56" s="18" t="n">
        <v>30.51843176</v>
      </c>
      <c r="H56" s="20" t="n">
        <v>3.1195609</v>
      </c>
      <c r="I56" s="18" t="s">
        <v>567</v>
      </c>
      <c r="J56" s="20" t="s">
        <v>567</v>
      </c>
      <c r="K56" s="18" t="n">
        <v>0.26941788</v>
      </c>
      <c r="L56" s="20" t="n">
        <v>0.27579978</v>
      </c>
      <c r="M56" s="18" t="n">
        <v>0</v>
      </c>
      <c r="N56" s="20" t="n">
        <v>0</v>
      </c>
      <c r="O56" s="18" t="n">
        <v>0</v>
      </c>
      <c r="P56" s="20" t="n">
        <v>0</v>
      </c>
      <c r="Q56" s="18" t="n">
        <v>0.41188767</v>
      </c>
      <c r="R56" s="20" t="n">
        <v>0.35051573</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(2904.0/B61*100)</f>
        <v/>
      </c>
      <c r="D61" s="19" t="n">
        <v>420</v>
      </c>
      <c r="E61" s="18" t="n">
        <v>77.57790042000001</v>
      </c>
      <c r="F61" s="20" t="n">
        <v>2.280466</v>
      </c>
      <c r="G61" s="18" t="n">
        <v>22.3069717</v>
      </c>
      <c r="H61" s="20" t="n">
        <v>2.26929044</v>
      </c>
      <c r="I61" s="18" t="s">
        <v>567</v>
      </c>
      <c r="J61" s="20" t="s">
        <v>567</v>
      </c>
      <c r="K61" s="18" t="n">
        <v>0.05756394</v>
      </c>
      <c r="L61" s="20" t="n">
        <v>0.05749659</v>
      </c>
      <c r="M61" s="18" t="n">
        <v>0</v>
      </c>
      <c r="N61" s="20" t="n">
        <v>0</v>
      </c>
      <c r="O61" s="18" t="n">
        <v>0</v>
      </c>
      <c r="P61" s="20" t="n">
        <v>0</v>
      </c>
      <c r="Q61" s="18" t="n">
        <v>0.05756394</v>
      </c>
      <c r="R61" s="20" t="n">
        <v>0.05745232</v>
      </c>
    </row>
    <row r="62" spans="1:18">
      <c r="A62" s="15" t="s">
        <v>622</v>
      </c>
      <c r="B62" s="17" t="n">
        <v>2246</v>
      </c>
      <c r="C62" s="18">
        <f>(1991.0/B62*100)</f>
        <v/>
      </c>
      <c r="D62" s="19" t="n">
        <v>255</v>
      </c>
      <c r="E62" s="18" t="n">
        <v>63.54534109</v>
      </c>
      <c r="F62" s="20" t="n">
        <v>2.62991493</v>
      </c>
      <c r="G62" s="18" t="n">
        <v>36.45465891</v>
      </c>
      <c r="H62" s="20" t="n">
        <v>2.62991493</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(2559.0/B66*100)</f>
        <v/>
      </c>
      <c r="D66" s="19" t="n">
        <v>335</v>
      </c>
      <c r="E66" s="18" t="n">
        <v>73.28451852000001</v>
      </c>
      <c r="F66" s="20" t="n">
        <v>2.16512622</v>
      </c>
      <c r="G66" s="18" t="n">
        <v>24.20146214</v>
      </c>
      <c r="H66" s="20" t="n">
        <v>2.07438054</v>
      </c>
      <c r="I66" s="18" t="s">
        <v>567</v>
      </c>
      <c r="J66" s="20" t="s">
        <v>567</v>
      </c>
      <c r="K66" s="18" t="n">
        <v>0.57342308</v>
      </c>
      <c r="L66" s="20" t="n">
        <v>0.40180036</v>
      </c>
      <c r="M66" s="18" t="n">
        <v>0</v>
      </c>
      <c r="N66" s="20" t="n">
        <v>0</v>
      </c>
      <c r="O66" s="18" t="n">
        <v>0</v>
      </c>
      <c r="P66" s="20" t="n">
        <v>0</v>
      </c>
      <c r="Q66" s="18" t="n">
        <v>1.94059625</v>
      </c>
      <c r="R66" s="20" t="n">
        <v>0.72143335</v>
      </c>
    </row>
    <row r="67" spans="1:18">
      <c r="A67" s="15" t="s">
        <v>627</v>
      </c>
      <c r="B67" s="17" t="n">
        <v>3511</v>
      </c>
      <c r="C67" s="18">
        <f>(3147.0/B67*100)</f>
        <v/>
      </c>
      <c r="D67" s="19" t="n">
        <v>364</v>
      </c>
      <c r="E67" s="18" t="n">
        <v>75.10893234</v>
      </c>
      <c r="F67" s="20" t="n">
        <v>2.27125633</v>
      </c>
      <c r="G67" s="18" t="n">
        <v>24.4110471</v>
      </c>
      <c r="H67" s="20" t="n">
        <v>2.25089908</v>
      </c>
      <c r="I67" s="18" t="s">
        <v>567</v>
      </c>
      <c r="J67" s="20" t="s">
        <v>567</v>
      </c>
      <c r="K67" s="18" t="n">
        <v>0</v>
      </c>
      <c r="L67" s="20" t="n">
        <v>0</v>
      </c>
      <c r="M67" s="18" t="n">
        <v>0</v>
      </c>
      <c r="N67" s="20" t="n">
        <v>0</v>
      </c>
      <c r="O67" s="18" t="n">
        <v>0</v>
      </c>
      <c r="P67" s="20" t="n">
        <v>0</v>
      </c>
      <c r="Q67" s="18" t="n">
        <v>0.48002057</v>
      </c>
      <c r="R67" s="20" t="n">
        <v>0.33946557</v>
      </c>
    </row>
    <row r="68" spans="1:18">
      <c r="A68" s="15" t="s">
        <v>628</v>
      </c>
      <c r="B68" s="17" t="n">
        <v>6049</v>
      </c>
      <c r="C68" s="18">
        <f>(5386.0/B68*100)</f>
        <v/>
      </c>
      <c r="D68" s="19" t="n">
        <v>663</v>
      </c>
      <c r="E68" s="18" t="n">
        <v>75.97463412</v>
      </c>
      <c r="F68" s="20" t="n">
        <v>1.78040958</v>
      </c>
      <c r="G68" s="18" t="n">
        <v>22.04388351</v>
      </c>
      <c r="H68" s="20" t="n">
        <v>1.68839934</v>
      </c>
      <c r="I68" s="18" t="s">
        <v>567</v>
      </c>
      <c r="J68" s="20" t="s">
        <v>567</v>
      </c>
      <c r="K68" s="18" t="n">
        <v>1.22300611</v>
      </c>
      <c r="L68" s="20" t="n">
        <v>0.43474159</v>
      </c>
      <c r="M68" s="18" t="n">
        <v>0</v>
      </c>
      <c r="N68" s="20" t="n">
        <v>0</v>
      </c>
      <c r="O68" s="18" t="n">
        <v>0</v>
      </c>
      <c r="P68" s="20" t="n">
        <v>0</v>
      </c>
      <c r="Q68" s="18" t="n">
        <v>0.75847626</v>
      </c>
      <c r="R68" s="20" t="n">
        <v>0.34044278</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(2613.0/B70*100)</f>
        <v/>
      </c>
      <c r="D70" s="19" t="n">
        <v>316</v>
      </c>
      <c r="E70" s="18" t="n">
        <v>86.75224557999999</v>
      </c>
      <c r="F70" s="20" t="n">
        <v>1.81619358</v>
      </c>
      <c r="G70" s="18" t="n">
        <v>12.85612687</v>
      </c>
      <c r="H70" s="20" t="n">
        <v>1.79562981</v>
      </c>
      <c r="I70" s="18" t="s">
        <v>567</v>
      </c>
      <c r="J70" s="20" t="s">
        <v>567</v>
      </c>
      <c r="K70" s="18" t="n">
        <v>0</v>
      </c>
      <c r="L70" s="20" t="n">
        <v>0</v>
      </c>
      <c r="M70" s="18" t="n">
        <v>0</v>
      </c>
      <c r="N70" s="20" t="n">
        <v>0</v>
      </c>
      <c r="O70" s="18" t="n">
        <v>0</v>
      </c>
      <c r="P70" s="20" t="n">
        <v>0</v>
      </c>
      <c r="Q70" s="18" t="n">
        <v>0.39162755</v>
      </c>
      <c r="R70" s="20" t="n">
        <v>0.27606082</v>
      </c>
    </row>
    <row r="71" spans="1:18">
      <c r="A71" s="15" t="s">
        <v>631</v>
      </c>
      <c r="B71" s="17" t="n">
        <v>3142</v>
      </c>
      <c r="C71" s="18">
        <f>(2784.0/B71*100)</f>
        <v/>
      </c>
      <c r="D71" s="19" t="n">
        <v>358</v>
      </c>
      <c r="E71" s="18" t="n">
        <v>63.13371126</v>
      </c>
      <c r="F71" s="20" t="n">
        <v>2.89416772</v>
      </c>
      <c r="G71" s="18" t="n">
        <v>36.86628874</v>
      </c>
      <c r="H71" s="20" t="n">
        <v>2.89416772</v>
      </c>
      <c r="I71" s="18" t="s">
        <v>567</v>
      </c>
      <c r="J71" s="20" t="s">
        <v>567</v>
      </c>
      <c r="K71" s="18" t="n">
        <v>0</v>
      </c>
      <c r="L71" s="20" t="n">
        <v>0</v>
      </c>
      <c r="M71" s="18" t="n">
        <v>0</v>
      </c>
      <c r="N71" s="20" t="n">
        <v>0</v>
      </c>
      <c r="O71" s="18" t="n">
        <v>0</v>
      </c>
      <c r="P71" s="20" t="n">
        <v>0</v>
      </c>
      <c r="Q71" s="18" t="n">
        <v>0</v>
      </c>
      <c r="R71" s="20" t="n">
        <v>0</v>
      </c>
    </row>
    <row r="72" spans="1:18">
      <c r="A72" s="15" t="s">
        <v>632</v>
      </c>
      <c r="B72" s="17" t="n">
        <v>3889</v>
      </c>
      <c r="C72" s="18">
        <f>(3433.0/B72*100)</f>
        <v/>
      </c>
      <c r="D72" s="19" t="n">
        <v>456</v>
      </c>
      <c r="E72" s="18" t="n">
        <v>76.65847229000001</v>
      </c>
      <c r="F72" s="20" t="n">
        <v>2.40563997</v>
      </c>
      <c r="G72" s="18" t="n">
        <v>22.58340087</v>
      </c>
      <c r="H72" s="20" t="n">
        <v>2.35238246</v>
      </c>
      <c r="I72" s="18" t="s">
        <v>567</v>
      </c>
      <c r="J72" s="20" t="s">
        <v>567</v>
      </c>
      <c r="K72" s="18" t="n">
        <v>0.46512762</v>
      </c>
      <c r="L72" s="20" t="n">
        <v>0.35056184</v>
      </c>
      <c r="M72" s="18" t="n">
        <v>0</v>
      </c>
      <c r="N72" s="20" t="n">
        <v>0</v>
      </c>
      <c r="O72" s="18" t="n">
        <v>0</v>
      </c>
      <c r="P72" s="20" t="n">
        <v>0</v>
      </c>
      <c r="Q72" s="18" t="n">
        <v>0.29299922</v>
      </c>
      <c r="R72" s="20" t="n">
        <v>0.17710015</v>
      </c>
    </row>
    <row r="73" spans="1:18">
      <c r="A73" s="15" t="s">
        <v>633</v>
      </c>
      <c r="B73" s="17" t="n">
        <v>3597</v>
      </c>
      <c r="C73" s="18">
        <f>(3195.0/B73*100)</f>
        <v/>
      </c>
      <c r="D73" s="19" t="n">
        <v>402</v>
      </c>
      <c r="E73" s="18" t="n">
        <v>80.75813619</v>
      </c>
      <c r="F73" s="20" t="n">
        <v>2.24919781</v>
      </c>
      <c r="G73" s="18" t="n">
        <v>19.14932797</v>
      </c>
      <c r="H73" s="20" t="n">
        <v>2.24873754</v>
      </c>
      <c r="I73" s="18" t="s">
        <v>567</v>
      </c>
      <c r="J73" s="20" t="s">
        <v>567</v>
      </c>
      <c r="K73" s="18" t="n">
        <v>0.09253585</v>
      </c>
      <c r="L73" s="20" t="n">
        <v>0.09700872000000001</v>
      </c>
      <c r="M73" s="18" t="n">
        <v>0</v>
      </c>
      <c r="N73" s="20" t="n">
        <v>0</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(2163.0/B75*100)</f>
        <v/>
      </c>
      <c r="D75" s="19" t="n">
        <v>243</v>
      </c>
      <c r="E75" s="18" t="n">
        <v>76.46540435999999</v>
      </c>
      <c r="F75" s="20" t="n">
        <v>2.69689742</v>
      </c>
      <c r="G75" s="18" t="n">
        <v>20.30556562</v>
      </c>
      <c r="H75" s="20" t="n">
        <v>2.63828396</v>
      </c>
      <c r="I75" s="18" t="s">
        <v>567</v>
      </c>
      <c r="J75" s="20" t="s">
        <v>567</v>
      </c>
      <c r="K75" s="18" t="n">
        <v>1.8954822</v>
      </c>
      <c r="L75" s="20" t="n">
        <v>0.89691647</v>
      </c>
      <c r="M75" s="18" t="n">
        <v>0</v>
      </c>
      <c r="N75" s="20" t="n">
        <v>0</v>
      </c>
      <c r="O75" s="18" t="n">
        <v>0</v>
      </c>
      <c r="P75" s="20" t="n">
        <v>0</v>
      </c>
      <c r="Q75" s="18" t="n">
        <v>1.33354782</v>
      </c>
      <c r="R75" s="20" t="n">
        <v>0.66346626</v>
      </c>
    </row>
    <row r="76" spans="1:18">
      <c r="A76" s="15" t="s">
        <v>636</v>
      </c>
      <c r="B76" s="17" t="n">
        <v>7052</v>
      </c>
      <c r="C76" s="18">
        <f>(6267.0/B76*100)</f>
        <v/>
      </c>
      <c r="D76" s="19" t="n">
        <v>785</v>
      </c>
      <c r="E76" s="18" t="n">
        <v>76.72840758</v>
      </c>
      <c r="F76" s="20" t="n">
        <v>1.94337939</v>
      </c>
      <c r="G76" s="18" t="n">
        <v>22.31545231</v>
      </c>
      <c r="H76" s="20" t="n">
        <v>1.93203892</v>
      </c>
      <c r="I76" s="18" t="s">
        <v>567</v>
      </c>
      <c r="J76" s="20" t="s">
        <v>567</v>
      </c>
      <c r="K76" s="18" t="n">
        <v>0.62256847</v>
      </c>
      <c r="L76" s="20" t="n">
        <v>0.39464788</v>
      </c>
      <c r="M76" s="18" t="n">
        <v>0</v>
      </c>
      <c r="N76" s="20" t="n">
        <v>0</v>
      </c>
      <c r="O76" s="18" t="n">
        <v>0</v>
      </c>
      <c r="P76" s="20" t="n">
        <v>0</v>
      </c>
      <c r="Q76" s="18" t="n">
        <v>0.33357164</v>
      </c>
      <c r="R76" s="20" t="n">
        <v>0.19081682</v>
      </c>
    </row>
    <row r="77" spans="1:18">
      <c r="A77" s="15" t="s">
        <v>637</v>
      </c>
      <c r="B77" s="17" t="n">
        <v>2908</v>
      </c>
      <c r="C77" s="18">
        <f>(2578.0/B77*100)</f>
        <v/>
      </c>
      <c r="D77" s="19" t="n">
        <v>330</v>
      </c>
      <c r="E77" s="18" t="n">
        <v>74.33049171</v>
      </c>
      <c r="F77" s="20" t="n">
        <v>2.51181371</v>
      </c>
      <c r="G77" s="18" t="n">
        <v>23.97233712</v>
      </c>
      <c r="H77" s="20" t="n">
        <v>2.63469175</v>
      </c>
      <c r="I77" s="18" t="s">
        <v>567</v>
      </c>
      <c r="J77" s="20" t="s">
        <v>567</v>
      </c>
      <c r="K77" s="18" t="n">
        <v>0.53665865</v>
      </c>
      <c r="L77" s="20" t="n">
        <v>0.3905718</v>
      </c>
      <c r="M77" s="18" t="n">
        <v>0</v>
      </c>
      <c r="N77" s="20" t="n">
        <v>0</v>
      </c>
      <c r="O77" s="18" t="n">
        <v>0</v>
      </c>
      <c r="P77" s="20" t="n">
        <v>0</v>
      </c>
      <c r="Q77" s="18" t="n">
        <v>1.16051251</v>
      </c>
      <c r="R77" s="20" t="n">
        <v>0.61060547</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(3677.0/B81*100)</f>
        <v/>
      </c>
      <c r="D81" s="19" t="n">
        <v>486</v>
      </c>
      <c r="E81" s="18" t="n">
        <v>69.67282311</v>
      </c>
      <c r="F81" s="20" t="n">
        <v>2.68060906</v>
      </c>
      <c r="G81" s="18" t="n">
        <v>30.06475361</v>
      </c>
      <c r="H81" s="20" t="n">
        <v>2.67770205</v>
      </c>
      <c r="I81" s="18" t="s">
        <v>567</v>
      </c>
      <c r="J81" s="20" t="s">
        <v>567</v>
      </c>
      <c r="K81" s="18" t="n">
        <v>0</v>
      </c>
      <c r="L81" s="20" t="n">
        <v>0</v>
      </c>
      <c r="M81" s="18" t="n">
        <v>0</v>
      </c>
      <c r="N81" s="20" t="n">
        <v>0</v>
      </c>
      <c r="O81" s="18" t="n">
        <v>0</v>
      </c>
      <c r="P81" s="20" t="n">
        <v>0</v>
      </c>
      <c r="Q81" s="18" t="n">
        <v>0.26242328</v>
      </c>
      <c r="R81" s="20" t="n">
        <v>0.26020026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(6527.0/B7*100)</f>
        <v/>
      </c>
      <c r="D7" s="19" t="n">
        <v>840</v>
      </c>
      <c r="E7" s="18" t="n">
        <v>50.05100184</v>
      </c>
      <c r="F7" s="20" t="n">
        <v>1.88638837</v>
      </c>
      <c r="G7" s="18" t="n">
        <v>48.94989939</v>
      </c>
      <c r="H7" s="20" t="n">
        <v>1.84663324</v>
      </c>
      <c r="I7" s="18" t="s">
        <v>567</v>
      </c>
      <c r="J7" s="20" t="s">
        <v>567</v>
      </c>
      <c r="K7" s="18" t="n">
        <v>0.04318777</v>
      </c>
      <c r="L7" s="20" t="n">
        <v>0.03050897</v>
      </c>
      <c r="M7" s="18" t="n">
        <v>0</v>
      </c>
      <c r="N7" s="20" t="n">
        <v>0</v>
      </c>
      <c r="O7" s="18" t="n">
        <v>0</v>
      </c>
      <c r="P7" s="20" t="n">
        <v>0</v>
      </c>
      <c r="Q7" s="18" t="n">
        <v>0.95591101</v>
      </c>
      <c r="R7" s="20" t="n">
        <v>0.40400925</v>
      </c>
    </row>
    <row r="8" spans="1:18">
      <c r="A8" s="15" t="s">
        <v>568</v>
      </c>
      <c r="B8" s="17" t="n">
        <v>3564</v>
      </c>
      <c r="C8" s="18">
        <f>(3139.0/B8*100)</f>
        <v/>
      </c>
      <c r="D8" s="19" t="n">
        <v>425</v>
      </c>
      <c r="E8" s="18" t="n">
        <v>64.46783026</v>
      </c>
      <c r="F8" s="20" t="n">
        <v>2.10749606</v>
      </c>
      <c r="G8" s="18" t="n">
        <v>34.47018944</v>
      </c>
      <c r="H8" s="20" t="n">
        <v>2.09579042</v>
      </c>
      <c r="I8" s="18" t="s">
        <v>567</v>
      </c>
      <c r="J8" s="20" t="s">
        <v>567</v>
      </c>
      <c r="K8" s="18" t="n">
        <v>0.20349756</v>
      </c>
      <c r="L8" s="20" t="n">
        <v>0.20668571</v>
      </c>
      <c r="M8" s="18" t="n">
        <v>0</v>
      </c>
      <c r="N8" s="20" t="n">
        <v>0</v>
      </c>
      <c r="O8" s="18" t="n">
        <v>0</v>
      </c>
      <c r="P8" s="20" t="n">
        <v>0</v>
      </c>
      <c r="Q8" s="18" t="n">
        <v>0.85848275</v>
      </c>
      <c r="R8" s="20" t="n">
        <v>0.43992653</v>
      </c>
    </row>
    <row r="9" spans="1:18">
      <c r="A9" s="15" t="s">
        <v>569</v>
      </c>
      <c r="B9" s="17" t="n">
        <v>4899</v>
      </c>
      <c r="C9" s="18">
        <f>(4373.0/B9*100)</f>
        <v/>
      </c>
      <c r="D9" s="19" t="n">
        <v>526</v>
      </c>
      <c r="E9" s="18" t="n">
        <v>49.4875852</v>
      </c>
      <c r="F9" s="20" t="n">
        <v>2.27866869</v>
      </c>
      <c r="G9" s="18" t="n">
        <v>50.20641659</v>
      </c>
      <c r="H9" s="20" t="n">
        <v>2.29519246</v>
      </c>
      <c r="I9" s="18" t="s">
        <v>567</v>
      </c>
      <c r="J9" s="20" t="s">
        <v>567</v>
      </c>
      <c r="K9" s="18" t="n">
        <v>0.30599821</v>
      </c>
      <c r="L9" s="20" t="n">
        <v>0.31868285</v>
      </c>
      <c r="M9" s="18" t="n">
        <v>0</v>
      </c>
      <c r="N9" s="20" t="n">
        <v>0</v>
      </c>
      <c r="O9" s="18" t="n">
        <v>0</v>
      </c>
      <c r="P9" s="20" t="n">
        <v>0</v>
      </c>
      <c r="Q9" s="18" t="n">
        <v>0</v>
      </c>
      <c r="R9" s="20" t="n">
        <v>0</v>
      </c>
    </row>
    <row r="10" spans="1:18">
      <c r="A10" s="15" t="s">
        <v>570</v>
      </c>
      <c r="B10" s="17" t="n">
        <v>10036</v>
      </c>
      <c r="C10" s="18">
        <f>(8967.0/B10*100)</f>
        <v/>
      </c>
      <c r="D10" s="19" t="n">
        <v>1069</v>
      </c>
      <c r="E10" s="18" t="n">
        <v>47.00408248</v>
      </c>
      <c r="F10" s="20" t="n">
        <v>2.09141783</v>
      </c>
      <c r="G10" s="18" t="n">
        <v>52.66169939</v>
      </c>
      <c r="H10" s="20" t="n">
        <v>2.05313945</v>
      </c>
      <c r="I10" s="18" t="s">
        <v>567</v>
      </c>
      <c r="J10" s="20" t="s">
        <v>567</v>
      </c>
      <c r="K10" s="18" t="n">
        <v>0.06217364</v>
      </c>
      <c r="L10" s="20" t="n">
        <v>0.03569393</v>
      </c>
      <c r="M10" s="18" t="n">
        <v>0</v>
      </c>
      <c r="N10" s="20" t="n">
        <v>0</v>
      </c>
      <c r="O10" s="18" t="n">
        <v>0</v>
      </c>
      <c r="P10" s="20" t="n">
        <v>0</v>
      </c>
      <c r="Q10" s="18" t="n">
        <v>0.27204449</v>
      </c>
      <c r="R10" s="20" t="n">
        <v>0.26633989</v>
      </c>
    </row>
    <row r="11" spans="1:18">
      <c r="A11" s="15" t="s">
        <v>571</v>
      </c>
      <c r="B11" s="17" t="n">
        <v>3553</v>
      </c>
      <c r="C11" s="18">
        <f>(3169.0/B11*100)</f>
        <v/>
      </c>
      <c r="D11" s="19" t="n">
        <v>384</v>
      </c>
      <c r="E11" s="18" t="n">
        <v>81.17081103</v>
      </c>
      <c r="F11" s="20" t="n">
        <v>1.92213741</v>
      </c>
      <c r="G11" s="18" t="n">
        <v>16.17724647</v>
      </c>
      <c r="H11" s="20" t="n">
        <v>2.13660369</v>
      </c>
      <c r="I11" s="18" t="s">
        <v>567</v>
      </c>
      <c r="J11" s="20" t="s">
        <v>567</v>
      </c>
      <c r="K11" s="18" t="n">
        <v>1.28491917</v>
      </c>
      <c r="L11" s="20" t="n">
        <v>0.85943596</v>
      </c>
      <c r="M11" s="18" t="n">
        <v>0</v>
      </c>
      <c r="N11" s="20" t="n">
        <v>0</v>
      </c>
      <c r="O11" s="18" t="n">
        <v>0</v>
      </c>
      <c r="P11" s="20" t="n">
        <v>0</v>
      </c>
      <c r="Q11" s="18" t="n">
        <v>1.36702333</v>
      </c>
      <c r="R11" s="20" t="n">
        <v>0.63364232</v>
      </c>
    </row>
    <row r="12" spans="1:18">
      <c r="A12" s="15" t="s">
        <v>572</v>
      </c>
      <c r="B12" s="17" t="n">
        <v>3472</v>
      </c>
      <c r="C12" s="18">
        <f>(3090.0/B12*100)</f>
        <v/>
      </c>
      <c r="D12" s="19" t="n">
        <v>382</v>
      </c>
      <c r="E12" s="18" t="n">
        <v>52.2188944</v>
      </c>
      <c r="F12" s="20" t="n">
        <v>2.99166003</v>
      </c>
      <c r="G12" s="18" t="n">
        <v>47.7811056</v>
      </c>
      <c r="H12" s="20" t="n">
        <v>2.99166003</v>
      </c>
      <c r="I12" s="18" t="s">
        <v>567</v>
      </c>
      <c r="J12" s="20" t="s">
        <v>567</v>
      </c>
      <c r="K12" s="18" t="n">
        <v>0</v>
      </c>
      <c r="L12" s="20" t="n">
        <v>0</v>
      </c>
      <c r="M12" s="18" t="n">
        <v>0</v>
      </c>
      <c r="N12" s="20" t="n">
        <v>0</v>
      </c>
      <c r="O12" s="18" t="n">
        <v>0</v>
      </c>
      <c r="P12" s="20" t="n">
        <v>0</v>
      </c>
      <c r="Q12" s="18" t="n">
        <v>0</v>
      </c>
      <c r="R12" s="20" t="n">
        <v>0</v>
      </c>
    </row>
    <row r="13" spans="1:18">
      <c r="A13" s="15" t="s">
        <v>573</v>
      </c>
      <c r="B13" s="17" t="n">
        <v>3559</v>
      </c>
      <c r="C13" s="18">
        <f>(3158.0/B13*100)</f>
        <v/>
      </c>
      <c r="D13" s="19" t="n">
        <v>401</v>
      </c>
      <c r="E13" s="18" t="n">
        <v>66.72099546</v>
      </c>
      <c r="F13" s="20" t="n">
        <v>2.71137975</v>
      </c>
      <c r="G13" s="18" t="n">
        <v>32.92380756</v>
      </c>
      <c r="H13" s="20" t="n">
        <v>2.66533319</v>
      </c>
      <c r="I13" s="18" t="s">
        <v>567</v>
      </c>
      <c r="J13" s="20" t="s">
        <v>567</v>
      </c>
      <c r="K13" s="18" t="n">
        <v>0.31682349</v>
      </c>
      <c r="L13" s="20" t="n">
        <v>0.28454525</v>
      </c>
      <c r="M13" s="18" t="n">
        <v>0</v>
      </c>
      <c r="N13" s="20" t="n">
        <v>0</v>
      </c>
      <c r="O13" s="18" t="n">
        <v>0</v>
      </c>
      <c r="P13" s="20" t="n">
        <v>0</v>
      </c>
      <c r="Q13" s="18" t="n">
        <v>0.03837349</v>
      </c>
      <c r="R13" s="20" t="n">
        <v>0.03896421</v>
      </c>
    </row>
    <row r="14" spans="1:18">
      <c r="A14" s="15" t="s">
        <v>574</v>
      </c>
      <c r="B14" s="17" t="n">
        <v>2799</v>
      </c>
      <c r="C14" s="18">
        <f>(2505.0/B14*100)</f>
        <v/>
      </c>
      <c r="D14" s="19" t="n">
        <v>294</v>
      </c>
      <c r="E14" s="18" t="n">
        <v>63.74470443</v>
      </c>
      <c r="F14" s="20" t="n">
        <v>3.01946694</v>
      </c>
      <c r="G14" s="18" t="n">
        <v>36.25529557</v>
      </c>
      <c r="H14" s="20" t="n">
        <v>3.01946694</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(2708.0/B15*100)</f>
        <v/>
      </c>
      <c r="D15" s="19" t="n">
        <v>311</v>
      </c>
      <c r="E15" s="18" t="n">
        <v>72.16784765</v>
      </c>
      <c r="F15" s="20" t="n">
        <v>2.26817776</v>
      </c>
      <c r="G15" s="18" t="n">
        <v>26.2875471</v>
      </c>
      <c r="H15" s="20" t="n">
        <v>2.20404721</v>
      </c>
      <c r="I15" s="18" t="s">
        <v>567</v>
      </c>
      <c r="J15" s="20" t="s">
        <v>567</v>
      </c>
      <c r="K15" s="18" t="n">
        <v>0.60152203</v>
      </c>
      <c r="L15" s="20" t="n">
        <v>0.42614783</v>
      </c>
      <c r="M15" s="18" t="n">
        <v>0</v>
      </c>
      <c r="N15" s="20" t="n">
        <v>0</v>
      </c>
      <c r="O15" s="18" t="n">
        <v>0</v>
      </c>
      <c r="P15" s="20" t="n">
        <v>0</v>
      </c>
      <c r="Q15" s="18" t="n">
        <v>0.9430832300000001</v>
      </c>
      <c r="R15" s="20" t="n">
        <v>0.5470305600000001</v>
      </c>
    </row>
    <row r="16" spans="1:18">
      <c r="A16" s="15" t="s">
        <v>576</v>
      </c>
      <c r="B16" s="17" t="n">
        <v>2997</v>
      </c>
      <c r="C16" s="18">
        <f>(2680.0/B16*100)</f>
        <v/>
      </c>
      <c r="D16" s="19" t="n">
        <v>317</v>
      </c>
      <c r="E16" s="18" t="n">
        <v>55.63485232</v>
      </c>
      <c r="F16" s="20" t="n">
        <v>2.90136104</v>
      </c>
      <c r="G16" s="18" t="n">
        <v>40.62867093</v>
      </c>
      <c r="H16" s="20" t="n">
        <v>2.97316569</v>
      </c>
      <c r="I16" s="18" t="s">
        <v>567</v>
      </c>
      <c r="J16" s="20" t="s">
        <v>567</v>
      </c>
      <c r="K16" s="18" t="n">
        <v>1.70586952</v>
      </c>
      <c r="L16" s="20" t="n">
        <v>0.59484872</v>
      </c>
      <c r="M16" s="18" t="n">
        <v>0</v>
      </c>
      <c r="N16" s="20" t="n">
        <v>0</v>
      </c>
      <c r="O16" s="18" t="n">
        <v>0</v>
      </c>
      <c r="P16" s="20" t="n">
        <v>0</v>
      </c>
      <c r="Q16" s="18" t="n">
        <v>2.03060723</v>
      </c>
      <c r="R16" s="20" t="n">
        <v>0.68798649</v>
      </c>
    </row>
    <row r="17" spans="1:18">
      <c r="A17" s="15" t="s">
        <v>577</v>
      </c>
      <c r="B17" s="17" t="n">
        <v>3307</v>
      </c>
      <c r="C17" s="18">
        <f>(2958.0/B17*100)</f>
        <v/>
      </c>
      <c r="D17" s="19" t="n">
        <v>349</v>
      </c>
      <c r="E17" s="18" t="n">
        <v>63.57349699</v>
      </c>
      <c r="F17" s="20" t="n">
        <v>2.48449191</v>
      </c>
      <c r="G17" s="18" t="n">
        <v>36.10204624</v>
      </c>
      <c r="H17" s="20" t="n">
        <v>2.50491266</v>
      </c>
      <c r="I17" s="18" t="s">
        <v>567</v>
      </c>
      <c r="J17" s="20" t="s">
        <v>567</v>
      </c>
      <c r="K17" s="18" t="n">
        <v>0</v>
      </c>
      <c r="L17" s="20" t="n">
        <v>0</v>
      </c>
      <c r="M17" s="18" t="n">
        <v>0</v>
      </c>
      <c r="N17" s="20" t="n">
        <v>0</v>
      </c>
      <c r="O17" s="18" t="n">
        <v>0</v>
      </c>
      <c r="P17" s="20" t="n">
        <v>0</v>
      </c>
      <c r="Q17" s="18" t="n">
        <v>0.32445677</v>
      </c>
      <c r="R17" s="20" t="n">
        <v>0.2369715</v>
      </c>
    </row>
    <row r="18" spans="1:18">
      <c r="A18" s="15" t="s">
        <v>578</v>
      </c>
      <c r="B18" s="17" t="n">
        <v>2826</v>
      </c>
      <c r="C18" s="18">
        <f>(2504.0/B18*100)</f>
        <v/>
      </c>
      <c r="D18" s="19" t="n">
        <v>322</v>
      </c>
      <c r="E18" s="18" t="n">
        <v>83.76000573</v>
      </c>
      <c r="F18" s="20" t="n">
        <v>1.97608022</v>
      </c>
      <c r="G18" s="18" t="n">
        <v>16.00652382</v>
      </c>
      <c r="H18" s="20" t="n">
        <v>1.96778495</v>
      </c>
      <c r="I18" s="18" t="s">
        <v>567</v>
      </c>
      <c r="J18" s="20" t="s">
        <v>567</v>
      </c>
      <c r="K18" s="18" t="n">
        <v>0</v>
      </c>
      <c r="L18" s="20" t="n">
        <v>0</v>
      </c>
      <c r="M18" s="18" t="n">
        <v>0</v>
      </c>
      <c r="N18" s="20" t="n">
        <v>0</v>
      </c>
      <c r="O18" s="18" t="n">
        <v>0</v>
      </c>
      <c r="P18" s="20" t="n">
        <v>0</v>
      </c>
      <c r="Q18" s="18" t="n">
        <v>0.23347045</v>
      </c>
      <c r="R18" s="20" t="n">
        <v>0.23390285</v>
      </c>
    </row>
    <row r="19" spans="1:18">
      <c r="A19" s="15" t="s">
        <v>579</v>
      </c>
      <c r="B19" s="17" t="n">
        <v>2808</v>
      </c>
      <c r="C19" s="18">
        <f>(2480.0/B19*100)</f>
        <v/>
      </c>
      <c r="D19" s="19" t="n">
        <v>328</v>
      </c>
      <c r="E19" s="18" t="n">
        <v>69.98423640999999</v>
      </c>
      <c r="F19" s="20" t="n">
        <v>2.94578732</v>
      </c>
      <c r="G19" s="18" t="n">
        <v>28.98602779</v>
      </c>
      <c r="H19" s="20" t="n">
        <v>2.94498698</v>
      </c>
      <c r="I19" s="18" t="s">
        <v>567</v>
      </c>
      <c r="J19" s="20" t="s">
        <v>567</v>
      </c>
      <c r="K19" s="18" t="n">
        <v>0.35239873</v>
      </c>
      <c r="L19" s="20" t="n">
        <v>0.37442582</v>
      </c>
      <c r="M19" s="18" t="n">
        <v>0</v>
      </c>
      <c r="N19" s="20" t="n">
        <v>0</v>
      </c>
      <c r="O19" s="18" t="n">
        <v>0</v>
      </c>
      <c r="P19" s="20" t="n">
        <v>0</v>
      </c>
      <c r="Q19" s="18" t="n">
        <v>0.67733708</v>
      </c>
      <c r="R19" s="20" t="n">
        <v>0.63969412</v>
      </c>
    </row>
    <row r="20" spans="1:18">
      <c r="A20" s="15" t="s">
        <v>580</v>
      </c>
      <c r="B20" s="17" t="n">
        <v>1630</v>
      </c>
      <c r="C20" s="18">
        <f>(1444.0/B20*100)</f>
        <v/>
      </c>
      <c r="D20" s="19" t="n">
        <v>186</v>
      </c>
      <c r="E20" s="18" t="n">
        <v>65.07611065</v>
      </c>
      <c r="F20" s="20" t="n">
        <v>3.11742184</v>
      </c>
      <c r="G20" s="18" t="n">
        <v>34.92388935</v>
      </c>
      <c r="H20" s="20" t="n">
        <v>3.11742184</v>
      </c>
      <c r="I20" s="18" t="s">
        <v>567</v>
      </c>
      <c r="J20" s="20" t="s">
        <v>567</v>
      </c>
      <c r="K20" s="18" t="n">
        <v>0</v>
      </c>
      <c r="L20" s="20" t="n">
        <v>0</v>
      </c>
      <c r="M20" s="18" t="n">
        <v>0</v>
      </c>
      <c r="N20" s="20" t="n">
        <v>0</v>
      </c>
      <c r="O20" s="18" t="n">
        <v>0</v>
      </c>
      <c r="P20" s="20" t="n">
        <v>0</v>
      </c>
      <c r="Q20" s="18" t="n">
        <v>0</v>
      </c>
      <c r="R20" s="20" t="n">
        <v>0</v>
      </c>
    </row>
    <row r="21" spans="1:18">
      <c r="A21" s="15" t="s">
        <v>581</v>
      </c>
      <c r="B21" s="17" t="n">
        <v>2908</v>
      </c>
      <c r="C21" s="18">
        <f>(2597.0/B21*100)</f>
        <v/>
      </c>
      <c r="D21" s="19" t="n">
        <v>311</v>
      </c>
      <c r="E21" s="18" t="n">
        <v>58.06011312</v>
      </c>
      <c r="F21" s="20" t="n">
        <v>2.6886458</v>
      </c>
      <c r="G21" s="18" t="n">
        <v>41.6402172</v>
      </c>
      <c r="H21" s="20" t="n">
        <v>2.68046294</v>
      </c>
      <c r="I21" s="18" t="s">
        <v>567</v>
      </c>
      <c r="J21" s="20" t="s">
        <v>567</v>
      </c>
      <c r="K21" s="18" t="n">
        <v>0</v>
      </c>
      <c r="L21" s="20" t="n">
        <v>0</v>
      </c>
      <c r="M21" s="18" t="n">
        <v>0</v>
      </c>
      <c r="N21" s="20" t="n">
        <v>0</v>
      </c>
      <c r="O21" s="18" t="n">
        <v>0</v>
      </c>
      <c r="P21" s="20" t="n">
        <v>0</v>
      </c>
      <c r="Q21" s="18" t="n">
        <v>0.29966968</v>
      </c>
      <c r="R21" s="20" t="n">
        <v>0.29869273</v>
      </c>
    </row>
    <row r="22" spans="1:18">
      <c r="A22" s="15" t="s">
        <v>582</v>
      </c>
      <c r="B22" s="17" t="n">
        <v>2931</v>
      </c>
      <c r="C22" s="18">
        <f>(2602.0/B22*100)</f>
        <v/>
      </c>
      <c r="D22" s="19" t="n">
        <v>329</v>
      </c>
      <c r="E22" s="18" t="n">
        <v>57.1968459</v>
      </c>
      <c r="F22" s="20" t="n">
        <v>3.22454761</v>
      </c>
      <c r="G22" s="18" t="n">
        <v>40.38409567</v>
      </c>
      <c r="H22" s="20" t="n">
        <v>3.21588031</v>
      </c>
      <c r="I22" s="18" t="s">
        <v>567</v>
      </c>
      <c r="J22" s="20" t="s">
        <v>567</v>
      </c>
      <c r="K22" s="18" t="n">
        <v>0.97941084</v>
      </c>
      <c r="L22" s="20" t="n">
        <v>0.48410498</v>
      </c>
      <c r="M22" s="18" t="n">
        <v>0</v>
      </c>
      <c r="N22" s="20" t="n">
        <v>0</v>
      </c>
      <c r="O22" s="18" t="n">
        <v>0</v>
      </c>
      <c r="P22" s="20" t="n">
        <v>0</v>
      </c>
      <c r="Q22" s="18" t="n">
        <v>1.4396476</v>
      </c>
      <c r="R22" s="20" t="n">
        <v>0.69718541</v>
      </c>
    </row>
    <row r="23" spans="1:18">
      <c r="A23" s="15" t="s">
        <v>583</v>
      </c>
      <c r="B23" s="17" t="n">
        <v>5791</v>
      </c>
      <c r="C23" s="18">
        <f>(5143.0/B23*100)</f>
        <v/>
      </c>
      <c r="D23" s="19" t="n">
        <v>648</v>
      </c>
      <c r="E23" s="18" t="n">
        <v>62.53032128</v>
      </c>
      <c r="F23" s="20" t="n">
        <v>2.52576025</v>
      </c>
      <c r="G23" s="18" t="n">
        <v>36.25052795</v>
      </c>
      <c r="H23" s="20" t="n">
        <v>2.56275628</v>
      </c>
      <c r="I23" s="18" t="s">
        <v>567</v>
      </c>
      <c r="J23" s="20" t="s">
        <v>567</v>
      </c>
      <c r="K23" s="18" t="n">
        <v>0.96308018</v>
      </c>
      <c r="L23" s="20" t="n">
        <v>0.41582486</v>
      </c>
      <c r="M23" s="18" t="n">
        <v>0</v>
      </c>
      <c r="N23" s="20" t="n">
        <v>0</v>
      </c>
      <c r="O23" s="18" t="n">
        <v>0</v>
      </c>
      <c r="P23" s="20" t="n">
        <v>0</v>
      </c>
      <c r="Q23" s="18" t="n">
        <v>0.2560706</v>
      </c>
      <c r="R23" s="20" t="n">
        <v>0.17803428</v>
      </c>
    </row>
    <row r="24" spans="1:18">
      <c r="A24" s="15" t="s">
        <v>584</v>
      </c>
      <c r="B24" s="17" t="n">
        <v>3338</v>
      </c>
      <c r="C24" s="18">
        <f>(2969.0/B24*100)</f>
        <v/>
      </c>
      <c r="D24" s="19" t="n">
        <v>369</v>
      </c>
      <c r="E24" s="18" t="n">
        <v>46.90370157</v>
      </c>
      <c r="F24" s="20" t="n">
        <v>2.77042445</v>
      </c>
      <c r="G24" s="18" t="n">
        <v>52.8562748</v>
      </c>
      <c r="H24" s="20" t="n">
        <v>2.74022327</v>
      </c>
      <c r="I24" s="18" t="s">
        <v>567</v>
      </c>
      <c r="J24" s="20" t="s">
        <v>567</v>
      </c>
      <c r="K24" s="18" t="n">
        <v>0</v>
      </c>
      <c r="L24" s="20" t="n">
        <v>0</v>
      </c>
      <c r="M24" s="18" t="n">
        <v>0</v>
      </c>
      <c r="N24" s="20" t="n">
        <v>0</v>
      </c>
      <c r="O24" s="18" t="n">
        <v>0</v>
      </c>
      <c r="P24" s="20" t="n">
        <v>0</v>
      </c>
      <c r="Q24" s="18" t="n">
        <v>0.24002363</v>
      </c>
      <c r="R24" s="20" t="n">
        <v>0.23730032</v>
      </c>
    </row>
    <row r="25" spans="1:18">
      <c r="A25" s="15" t="s">
        <v>585</v>
      </c>
      <c r="B25" s="17" t="n">
        <v>2912</v>
      </c>
      <c r="C25" s="18">
        <f>(2589.0/B25*100)</f>
        <v/>
      </c>
      <c r="D25" s="19" t="n">
        <v>323</v>
      </c>
      <c r="E25" s="18" t="n">
        <v>60.65958104</v>
      </c>
      <c r="F25" s="20" t="n">
        <v>2.53799693</v>
      </c>
      <c r="G25" s="18" t="n">
        <v>39.04222484</v>
      </c>
      <c r="H25" s="20" t="n">
        <v>2.54281691</v>
      </c>
      <c r="I25" s="18" t="s">
        <v>567</v>
      </c>
      <c r="J25" s="20" t="s">
        <v>567</v>
      </c>
      <c r="K25" s="18" t="n">
        <v>0</v>
      </c>
      <c r="L25" s="20" t="n">
        <v>0</v>
      </c>
      <c r="M25" s="18" t="n">
        <v>0</v>
      </c>
      <c r="N25" s="20" t="n">
        <v>0</v>
      </c>
      <c r="O25" s="18" t="n">
        <v>0</v>
      </c>
      <c r="P25" s="20" t="n">
        <v>0</v>
      </c>
      <c r="Q25" s="18" t="n">
        <v>0.29819411</v>
      </c>
      <c r="R25" s="20" t="n">
        <v>0.29745309</v>
      </c>
    </row>
    <row r="26" spans="1:18">
      <c r="A26" s="15" t="s">
        <v>586</v>
      </c>
      <c r="B26" s="17" t="n">
        <v>2450</v>
      </c>
      <c r="C26" s="18">
        <f>(2208.0/B26*100)</f>
        <v/>
      </c>
      <c r="D26" s="19" t="n">
        <v>242</v>
      </c>
      <c r="E26" s="18" t="n">
        <v>61.72242644</v>
      </c>
      <c r="F26" s="20" t="n">
        <v>3.72084914</v>
      </c>
      <c r="G26" s="18" t="n">
        <v>37.9243817</v>
      </c>
      <c r="H26" s="20" t="n">
        <v>3.76454469</v>
      </c>
      <c r="I26" s="18" t="s">
        <v>567</v>
      </c>
      <c r="J26" s="20" t="s">
        <v>567</v>
      </c>
      <c r="K26" s="18" t="n">
        <v>0.35319186</v>
      </c>
      <c r="L26" s="20" t="n">
        <v>0.35292983</v>
      </c>
      <c r="M26" s="18" t="n">
        <v>0</v>
      </c>
      <c r="N26" s="20" t="n">
        <v>0</v>
      </c>
      <c r="O26" s="18" t="n">
        <v>0</v>
      </c>
      <c r="P26" s="20" t="n">
        <v>0</v>
      </c>
      <c r="Q26" s="18" t="n">
        <v>0</v>
      </c>
      <c r="R26" s="20" t="n">
        <v>0</v>
      </c>
    </row>
    <row r="27" spans="1:18">
      <c r="A27" s="15" t="s">
        <v>587</v>
      </c>
      <c r="B27" s="17" t="n">
        <v>2616</v>
      </c>
      <c r="C27" s="18">
        <f>(2356.0/B27*100)</f>
        <v/>
      </c>
      <c r="D27" s="19" t="n">
        <v>260</v>
      </c>
      <c r="E27" s="18" t="n">
        <v>71.15810451</v>
      </c>
      <c r="F27" s="20" t="n">
        <v>2.73598614</v>
      </c>
      <c r="G27" s="18" t="n">
        <v>27.65876583</v>
      </c>
      <c r="H27" s="20" t="n">
        <v>2.74334858</v>
      </c>
      <c r="I27" s="18" t="s">
        <v>567</v>
      </c>
      <c r="J27" s="20" t="s">
        <v>567</v>
      </c>
      <c r="K27" s="18" t="n">
        <v>0.75164396</v>
      </c>
      <c r="L27" s="20" t="n">
        <v>0.53132918</v>
      </c>
      <c r="M27" s="18" t="n">
        <v>0</v>
      </c>
      <c r="N27" s="20" t="n">
        <v>0</v>
      </c>
      <c r="O27" s="18" t="n">
        <v>0</v>
      </c>
      <c r="P27" s="20" t="n">
        <v>0</v>
      </c>
      <c r="Q27" s="18" t="n">
        <v>0.4314857</v>
      </c>
      <c r="R27" s="20" t="n">
        <v>0.43058644</v>
      </c>
    </row>
    <row r="28" spans="1:18">
      <c r="A28" s="15" t="s">
        <v>588</v>
      </c>
      <c r="B28" s="17" t="n">
        <v>3765</v>
      </c>
      <c r="C28" s="18">
        <f>(3353.0/B28*100)</f>
        <v/>
      </c>
      <c r="D28" s="19" t="n">
        <v>412</v>
      </c>
      <c r="E28" s="18" t="n">
        <v>84.1903046</v>
      </c>
      <c r="F28" s="20" t="n">
        <v>2.22544584</v>
      </c>
      <c r="G28" s="18" t="n">
        <v>14.8179983</v>
      </c>
      <c r="H28" s="20" t="n">
        <v>2.1929942</v>
      </c>
      <c r="I28" s="18" t="s">
        <v>567</v>
      </c>
      <c r="J28" s="20" t="s">
        <v>567</v>
      </c>
      <c r="K28" s="18" t="n">
        <v>0.33576791</v>
      </c>
      <c r="L28" s="20" t="n">
        <v>0.38061334</v>
      </c>
      <c r="M28" s="18" t="n">
        <v>0</v>
      </c>
      <c r="N28" s="20" t="n">
        <v>0</v>
      </c>
      <c r="O28" s="18" t="n">
        <v>0</v>
      </c>
      <c r="P28" s="20" t="n">
        <v>0</v>
      </c>
      <c r="Q28" s="18" t="n">
        <v>0.6559292</v>
      </c>
      <c r="R28" s="20" t="n">
        <v>0.49014506</v>
      </c>
    </row>
    <row r="29" spans="1:18">
      <c r="A29" s="15" t="s">
        <v>589</v>
      </c>
      <c r="B29" s="17" t="n">
        <v>2685</v>
      </c>
      <c r="C29" s="18">
        <f>(2386.0/B29*100)</f>
        <v/>
      </c>
      <c r="D29" s="19" t="n">
        <v>299</v>
      </c>
      <c r="E29" s="18" t="n">
        <v>54.29855745</v>
      </c>
      <c r="F29" s="20" t="n">
        <v>3.02663787</v>
      </c>
      <c r="G29" s="18" t="n">
        <v>45.70144255</v>
      </c>
      <c r="H29" s="20" t="n">
        <v>3.02663787</v>
      </c>
      <c r="I29" s="18" t="s">
        <v>567</v>
      </c>
      <c r="J29" s="20" t="s">
        <v>567</v>
      </c>
      <c r="K29" s="18" t="n">
        <v>0</v>
      </c>
      <c r="L29" s="20" t="n">
        <v>0</v>
      </c>
      <c r="M29" s="18" t="n">
        <v>0</v>
      </c>
      <c r="N29" s="20" t="n">
        <v>0</v>
      </c>
      <c r="O29" s="18" t="n">
        <v>0</v>
      </c>
      <c r="P29" s="20" t="n">
        <v>0</v>
      </c>
      <c r="Q29" s="18" t="n">
        <v>0</v>
      </c>
      <c r="R29" s="20" t="n">
        <v>0</v>
      </c>
    </row>
    <row r="30" spans="1:18">
      <c r="A30" s="15" t="s">
        <v>590</v>
      </c>
      <c r="B30" s="17" t="n">
        <v>2263</v>
      </c>
      <c r="C30" s="18">
        <f>(2017.0/B30*100)</f>
        <v/>
      </c>
      <c r="D30" s="19" t="n">
        <v>246</v>
      </c>
      <c r="E30" s="18" t="n">
        <v>53.01057851</v>
      </c>
      <c r="F30" s="20" t="n">
        <v>2.61282956</v>
      </c>
      <c r="G30" s="18" t="n">
        <v>44.75509018</v>
      </c>
      <c r="H30" s="20" t="n">
        <v>2.88029614</v>
      </c>
      <c r="I30" s="18" t="s">
        <v>567</v>
      </c>
      <c r="J30" s="20" t="s">
        <v>567</v>
      </c>
      <c r="K30" s="18" t="n">
        <v>0.92715076</v>
      </c>
      <c r="L30" s="20" t="n">
        <v>0.62857706</v>
      </c>
      <c r="M30" s="18" t="n">
        <v>0</v>
      </c>
      <c r="N30" s="20" t="n">
        <v>0</v>
      </c>
      <c r="O30" s="18" t="n">
        <v>0</v>
      </c>
      <c r="P30" s="20" t="n">
        <v>0</v>
      </c>
      <c r="Q30" s="18" t="n">
        <v>1.30718056</v>
      </c>
      <c r="R30" s="20" t="n">
        <v>0.86946026</v>
      </c>
    </row>
    <row r="31" spans="1:18">
      <c r="A31" s="15" t="s">
        <v>591</v>
      </c>
      <c r="B31" s="17" t="n">
        <v>2750</v>
      </c>
      <c r="C31" s="18">
        <f>(2440.0/B31*100)</f>
        <v/>
      </c>
      <c r="D31" s="19" t="n">
        <v>310</v>
      </c>
      <c r="E31" s="18" t="n">
        <v>73.18698630999999</v>
      </c>
      <c r="F31" s="20" t="n">
        <v>2.56499843</v>
      </c>
      <c r="G31" s="18" t="n">
        <v>24.04575925</v>
      </c>
      <c r="H31" s="20" t="n">
        <v>2.60961016</v>
      </c>
      <c r="I31" s="18" t="s">
        <v>567</v>
      </c>
      <c r="J31" s="20" t="s">
        <v>567</v>
      </c>
      <c r="K31" s="18" t="n">
        <v>0.62516777</v>
      </c>
      <c r="L31" s="20" t="n">
        <v>0.41465866</v>
      </c>
      <c r="M31" s="18" t="n">
        <v>0</v>
      </c>
      <c r="N31" s="20" t="n">
        <v>0</v>
      </c>
      <c r="O31" s="18" t="n">
        <v>0</v>
      </c>
      <c r="P31" s="20" t="n">
        <v>0</v>
      </c>
      <c r="Q31" s="18" t="n">
        <v>2.14208668</v>
      </c>
      <c r="R31" s="20" t="n">
        <v>0.78585729</v>
      </c>
    </row>
    <row r="32" spans="1:18">
      <c r="A32" s="15" t="s">
        <v>592</v>
      </c>
      <c r="B32" s="17" t="n">
        <v>2269</v>
      </c>
      <c r="C32" s="18">
        <f>(2020.0/B32*100)</f>
        <v/>
      </c>
      <c r="D32" s="19" t="n">
        <v>249</v>
      </c>
      <c r="E32" s="18" t="n">
        <v>57.62378019</v>
      </c>
      <c r="F32" s="20" t="n">
        <v>3.09767102</v>
      </c>
      <c r="G32" s="18" t="n">
        <v>41.88876738</v>
      </c>
      <c r="H32" s="20" t="n">
        <v>3.14670632</v>
      </c>
      <c r="I32" s="18" t="s">
        <v>567</v>
      </c>
      <c r="J32" s="20" t="s">
        <v>567</v>
      </c>
      <c r="K32" s="18" t="n">
        <v>0.48745243</v>
      </c>
      <c r="L32" s="20" t="n">
        <v>0.50628118</v>
      </c>
      <c r="M32" s="18" t="n">
        <v>0</v>
      </c>
      <c r="N32" s="20" t="n">
        <v>0</v>
      </c>
      <c r="O32" s="18" t="n">
        <v>0</v>
      </c>
      <c r="P32" s="20" t="n">
        <v>0</v>
      </c>
      <c r="Q32" s="18" t="n">
        <v>0</v>
      </c>
      <c r="R32" s="20" t="n">
        <v>0</v>
      </c>
    </row>
    <row r="33" spans="1:18">
      <c r="A33" s="15" t="s">
        <v>593</v>
      </c>
      <c r="B33" s="17" t="n">
        <v>3674</v>
      </c>
      <c r="C33" s="18">
        <f>(3288.0/B33*100)</f>
        <v/>
      </c>
      <c r="D33" s="19" t="n">
        <v>386</v>
      </c>
      <c r="E33" s="18" t="n">
        <v>48.50611121</v>
      </c>
      <c r="F33" s="20" t="n">
        <v>2.47990048</v>
      </c>
      <c r="G33" s="18" t="n">
        <v>50.80720091</v>
      </c>
      <c r="H33" s="20" t="n">
        <v>2.49786736</v>
      </c>
      <c r="I33" s="18" t="s">
        <v>567</v>
      </c>
      <c r="J33" s="20" t="s">
        <v>567</v>
      </c>
      <c r="K33" s="18" t="n">
        <v>0.02321362</v>
      </c>
      <c r="L33" s="20" t="n">
        <v>0.02327464</v>
      </c>
      <c r="M33" s="18" t="n">
        <v>0</v>
      </c>
      <c r="N33" s="20" t="n">
        <v>0</v>
      </c>
      <c r="O33" s="18" t="n">
        <v>0</v>
      </c>
      <c r="P33" s="20" t="n">
        <v>0</v>
      </c>
      <c r="Q33" s="18" t="n">
        <v>0.66347427</v>
      </c>
      <c r="R33" s="20" t="n">
        <v>0.5323002100000001</v>
      </c>
    </row>
    <row r="34" spans="1:18">
      <c r="A34" s="15" t="s">
        <v>594</v>
      </c>
      <c r="B34" s="17" t="n">
        <v>3315</v>
      </c>
      <c r="C34" s="18">
        <f>(2931.0/B34*100)</f>
        <v/>
      </c>
      <c r="D34" s="19" t="n">
        <v>384</v>
      </c>
      <c r="E34" s="18" t="n">
        <v>59.65234433</v>
      </c>
      <c r="F34" s="20" t="n">
        <v>2.5233605</v>
      </c>
      <c r="G34" s="18" t="n">
        <v>39.93580714</v>
      </c>
      <c r="H34" s="20" t="n">
        <v>2.49545149</v>
      </c>
      <c r="I34" s="18" t="s">
        <v>567</v>
      </c>
      <c r="J34" s="20" t="s">
        <v>567</v>
      </c>
      <c r="K34" s="18" t="n">
        <v>0</v>
      </c>
      <c r="L34" s="20" t="n">
        <v>0</v>
      </c>
      <c r="M34" s="18" t="n">
        <v>0</v>
      </c>
      <c r="N34" s="20" t="n">
        <v>0</v>
      </c>
      <c r="O34" s="18" t="n">
        <v>0</v>
      </c>
      <c r="P34" s="20" t="n">
        <v>0</v>
      </c>
      <c r="Q34" s="18" t="n">
        <v>0.41184853</v>
      </c>
      <c r="R34" s="20" t="n">
        <v>0.28758977</v>
      </c>
    </row>
    <row r="35" spans="1:18">
      <c r="A35" s="15" t="s">
        <v>595</v>
      </c>
      <c r="B35" s="17" t="n">
        <v>3505</v>
      </c>
      <c r="C35" s="18">
        <f>(3117.0/B35*100)</f>
        <v/>
      </c>
      <c r="D35" s="19" t="n">
        <v>388</v>
      </c>
      <c r="E35" s="18" t="n">
        <v>58.13115987</v>
      </c>
      <c r="F35" s="20" t="n">
        <v>3.03655064</v>
      </c>
      <c r="G35" s="18" t="n">
        <v>41.36219274</v>
      </c>
      <c r="H35" s="20" t="n">
        <v>3.05038315</v>
      </c>
      <c r="I35" s="18" t="s">
        <v>567</v>
      </c>
      <c r="J35" s="20" t="s">
        <v>567</v>
      </c>
      <c r="K35" s="18" t="n">
        <v>0.26727346</v>
      </c>
      <c r="L35" s="20" t="n">
        <v>0.18762345</v>
      </c>
      <c r="M35" s="18" t="n">
        <v>0</v>
      </c>
      <c r="N35" s="20" t="n">
        <v>0</v>
      </c>
      <c r="O35" s="18" t="n">
        <v>0</v>
      </c>
      <c r="P35" s="20" t="n">
        <v>0</v>
      </c>
      <c r="Q35" s="18" t="n">
        <v>0.23937394</v>
      </c>
      <c r="R35" s="20" t="n">
        <v>0.24042588</v>
      </c>
    </row>
    <row r="36" spans="1:18">
      <c r="A36" s="15" t="s">
        <v>596</v>
      </c>
      <c r="B36" s="17" t="n">
        <v>3332</v>
      </c>
      <c r="C36" s="18">
        <f>(2980.0/B36*100)</f>
        <v/>
      </c>
      <c r="D36" s="19" t="n">
        <v>352</v>
      </c>
      <c r="E36" s="18" t="n">
        <v>69.81358123</v>
      </c>
      <c r="F36" s="20" t="n">
        <v>2.77698435</v>
      </c>
      <c r="G36" s="18" t="n">
        <v>29.40590523</v>
      </c>
      <c r="H36" s="20" t="n">
        <v>2.73439979</v>
      </c>
      <c r="I36" s="18" t="s">
        <v>567</v>
      </c>
      <c r="J36" s="20" t="s">
        <v>567</v>
      </c>
      <c r="K36" s="18" t="n">
        <v>0.16171996</v>
      </c>
      <c r="L36" s="20" t="n">
        <v>0.14828312</v>
      </c>
      <c r="M36" s="18" t="n">
        <v>0</v>
      </c>
      <c r="N36" s="20" t="n">
        <v>0</v>
      </c>
      <c r="O36" s="18" t="n">
        <v>0</v>
      </c>
      <c r="P36" s="20" t="n">
        <v>0</v>
      </c>
      <c r="Q36" s="18" t="n">
        <v>0.61879358</v>
      </c>
      <c r="R36" s="20" t="n">
        <v>0.37362752</v>
      </c>
    </row>
    <row r="37" spans="1:18">
      <c r="A37" s="15" t="s">
        <v>597</v>
      </c>
      <c r="B37" s="17" t="n">
        <v>2727</v>
      </c>
      <c r="C37" s="18">
        <f>(2429.0/B37*100)</f>
        <v/>
      </c>
      <c r="D37" s="19" t="n">
        <v>298</v>
      </c>
      <c r="E37" s="18" t="n">
        <v>63.61752062</v>
      </c>
      <c r="F37" s="20" t="n">
        <v>2.62551749</v>
      </c>
      <c r="G37" s="18" t="n">
        <v>33.2520348</v>
      </c>
      <c r="H37" s="20" t="n">
        <v>2.52390958</v>
      </c>
      <c r="I37" s="18" t="s">
        <v>567</v>
      </c>
      <c r="J37" s="20" t="s">
        <v>567</v>
      </c>
      <c r="K37" s="18" t="n">
        <v>2.21896382</v>
      </c>
      <c r="L37" s="20" t="n">
        <v>0.86725253</v>
      </c>
      <c r="M37" s="18" t="n">
        <v>0</v>
      </c>
      <c r="N37" s="20" t="n">
        <v>0</v>
      </c>
      <c r="O37" s="18" t="n">
        <v>0</v>
      </c>
      <c r="P37" s="20" t="n">
        <v>0</v>
      </c>
      <c r="Q37" s="18" t="n">
        <v>0.91148076</v>
      </c>
      <c r="R37" s="20" t="n">
        <v>0.5206526500000001</v>
      </c>
    </row>
    <row r="38" spans="1:18">
      <c r="A38" s="15" t="s">
        <v>598</v>
      </c>
      <c r="B38" s="17" t="n">
        <v>3053</v>
      </c>
      <c r="C38" s="18">
        <f>(2722.0/B38*100)</f>
        <v/>
      </c>
      <c r="D38" s="19" t="n">
        <v>331</v>
      </c>
      <c r="E38" s="18" t="n">
        <v>62.97917279</v>
      </c>
      <c r="F38" s="20" t="n">
        <v>2.77281254</v>
      </c>
      <c r="G38" s="18" t="n">
        <v>35.91009284</v>
      </c>
      <c r="H38" s="20" t="n">
        <v>2.66673612</v>
      </c>
      <c r="I38" s="18" t="s">
        <v>567</v>
      </c>
      <c r="J38" s="20" t="s">
        <v>567</v>
      </c>
      <c r="K38" s="18" t="n">
        <v>0.58706384</v>
      </c>
      <c r="L38" s="20" t="n">
        <v>0.41839751</v>
      </c>
      <c r="M38" s="18" t="n">
        <v>0</v>
      </c>
      <c r="N38" s="20" t="n">
        <v>0</v>
      </c>
      <c r="O38" s="18" t="n">
        <v>0</v>
      </c>
      <c r="P38" s="20" t="n">
        <v>0</v>
      </c>
      <c r="Q38" s="18" t="n">
        <v>0.52367053</v>
      </c>
      <c r="R38" s="20" t="n">
        <v>0.34382361</v>
      </c>
    </row>
    <row r="39" spans="1:18">
      <c r="A39" s="15" t="s">
        <v>599</v>
      </c>
      <c r="B39" s="17" t="n">
        <v>2957</v>
      </c>
      <c r="C39" s="18">
        <f>(2633.0/B39*100)</f>
        <v/>
      </c>
      <c r="D39" s="19" t="n">
        <v>324</v>
      </c>
      <c r="E39" s="18" t="n">
        <v>70.07950079</v>
      </c>
      <c r="F39" s="20" t="n">
        <v>2.96514241</v>
      </c>
      <c r="G39" s="18" t="n">
        <v>28.21036794</v>
      </c>
      <c r="H39" s="20" t="n">
        <v>2.87221958</v>
      </c>
      <c r="I39" s="18" t="s">
        <v>567</v>
      </c>
      <c r="J39" s="20" t="s">
        <v>567</v>
      </c>
      <c r="K39" s="18" t="n">
        <v>1.09851088</v>
      </c>
      <c r="L39" s="20" t="n">
        <v>0.6252323</v>
      </c>
      <c r="M39" s="18" t="n">
        <v>0</v>
      </c>
      <c r="N39" s="20" t="n">
        <v>0</v>
      </c>
      <c r="O39" s="18" t="n">
        <v>0</v>
      </c>
      <c r="P39" s="20" t="n">
        <v>0</v>
      </c>
      <c r="Q39" s="18" t="n">
        <v>0.61162039</v>
      </c>
      <c r="R39" s="20" t="n">
        <v>0.37774932</v>
      </c>
    </row>
    <row r="40" spans="1:18">
      <c r="A40" s="15" t="s">
        <v>600</v>
      </c>
      <c r="B40" s="17" t="n">
        <v>7235</v>
      </c>
      <c r="C40" s="18">
        <f>(6431.0/B40*100)</f>
        <v/>
      </c>
      <c r="D40" s="19" t="n">
        <v>804</v>
      </c>
      <c r="E40" s="18" t="n">
        <v>54.52210793</v>
      </c>
      <c r="F40" s="20" t="n">
        <v>2.7297682</v>
      </c>
      <c r="G40" s="18" t="n">
        <v>44.71099906</v>
      </c>
      <c r="H40" s="20" t="n">
        <v>2.74366562</v>
      </c>
      <c r="I40" s="18" t="s">
        <v>567</v>
      </c>
      <c r="J40" s="20" t="s">
        <v>567</v>
      </c>
      <c r="K40" s="18" t="n">
        <v>0.33909349</v>
      </c>
      <c r="L40" s="20" t="n">
        <v>0.28315509</v>
      </c>
      <c r="M40" s="18" t="n">
        <v>0</v>
      </c>
      <c r="N40" s="20" t="n">
        <v>0</v>
      </c>
      <c r="O40" s="18" t="n">
        <v>0</v>
      </c>
      <c r="P40" s="20" t="n">
        <v>0</v>
      </c>
      <c r="Q40" s="18" t="n">
        <v>0.42779952</v>
      </c>
      <c r="R40" s="20" t="n">
        <v>0.31659879</v>
      </c>
    </row>
    <row r="41" spans="1:18">
      <c r="A41" s="15" t="s">
        <v>601</v>
      </c>
      <c r="B41" s="17" t="n">
        <v>2858</v>
      </c>
      <c r="C41" s="18">
        <f>(2541.0/B41*100)</f>
        <v/>
      </c>
      <c r="D41" s="19" t="n">
        <v>317</v>
      </c>
      <c r="E41" s="18" t="n">
        <v>52.11367697</v>
      </c>
      <c r="F41" s="20" t="n">
        <v>2.77907574</v>
      </c>
      <c r="G41" s="18" t="n">
        <v>47.10705601</v>
      </c>
      <c r="H41" s="20" t="n">
        <v>2.78480748</v>
      </c>
      <c r="I41" s="18" t="s">
        <v>567</v>
      </c>
      <c r="J41" s="20" t="s">
        <v>567</v>
      </c>
      <c r="K41" s="18" t="n">
        <v>0.77926702</v>
      </c>
      <c r="L41" s="20" t="n">
        <v>0.54442598</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(9968.0/B46*100)</f>
        <v/>
      </c>
      <c r="D46" s="19" t="n">
        <v>1100</v>
      </c>
      <c r="E46" s="18" t="n">
        <v>80.21168179999999</v>
      </c>
      <c r="F46" s="20" t="n">
        <v>1.57024926</v>
      </c>
      <c r="G46" s="18" t="n">
        <v>18.43478675</v>
      </c>
      <c r="H46" s="20" t="n">
        <v>1.50344884</v>
      </c>
      <c r="I46" s="18" t="s">
        <v>567</v>
      </c>
      <c r="J46" s="20" t="s">
        <v>567</v>
      </c>
      <c r="K46" s="18" t="n">
        <v>0.56851125</v>
      </c>
      <c r="L46" s="20" t="n">
        <v>0.24457643</v>
      </c>
      <c r="M46" s="18" t="n">
        <v>0</v>
      </c>
      <c r="N46" s="20" t="n">
        <v>0</v>
      </c>
      <c r="O46" s="18" t="n">
        <v>0</v>
      </c>
      <c r="P46" s="20" t="n">
        <v>0</v>
      </c>
      <c r="Q46" s="18" t="n">
        <v>0.7850201999999999</v>
      </c>
      <c r="R46" s="20" t="n">
        <v>0.33577537</v>
      </c>
    </row>
    <row r="47" spans="1:18">
      <c r="A47" s="15" t="s">
        <v>607</v>
      </c>
      <c r="B47" s="17" t="n">
        <v>3105</v>
      </c>
      <c r="C47" s="18">
        <f>(2781.0/B47*100)</f>
        <v/>
      </c>
      <c r="D47" s="19" t="n">
        <v>324</v>
      </c>
      <c r="E47" s="18" t="n">
        <v>74.17640134</v>
      </c>
      <c r="F47" s="20" t="n">
        <v>2.9427167</v>
      </c>
      <c r="G47" s="18" t="n">
        <v>25.55607735</v>
      </c>
      <c r="H47" s="20" t="n">
        <v>2.96049547</v>
      </c>
      <c r="I47" s="18" t="s">
        <v>567</v>
      </c>
      <c r="J47" s="20" t="s">
        <v>567</v>
      </c>
      <c r="K47" s="18" t="n">
        <v>0</v>
      </c>
      <c r="L47" s="20" t="n">
        <v>0</v>
      </c>
      <c r="M47" s="18" t="n">
        <v>0</v>
      </c>
      <c r="N47" s="20" t="n">
        <v>0</v>
      </c>
      <c r="O47" s="18" t="n">
        <v>0</v>
      </c>
      <c r="P47" s="20" t="n">
        <v>0</v>
      </c>
      <c r="Q47" s="18" t="n">
        <v>0.26752131</v>
      </c>
      <c r="R47" s="20" t="n">
        <v>0.26901646</v>
      </c>
    </row>
    <row r="48" spans="1:18">
      <c r="A48" s="15" t="s">
        <v>608</v>
      </c>
      <c r="B48" s="17" t="n">
        <v>5159</v>
      </c>
      <c r="C48" s="18">
        <f>(4575.0/B48*100)</f>
        <v/>
      </c>
      <c r="D48" s="19" t="n">
        <v>584</v>
      </c>
      <c r="E48" s="18" t="n">
        <v>61.51749332</v>
      </c>
      <c r="F48" s="20" t="n">
        <v>2.51368609</v>
      </c>
      <c r="G48" s="18" t="n">
        <v>37.72910212</v>
      </c>
      <c r="H48" s="20" t="n">
        <v>2.57292725</v>
      </c>
      <c r="I48" s="18" t="s">
        <v>567</v>
      </c>
      <c r="J48" s="20" t="s">
        <v>567</v>
      </c>
      <c r="K48" s="18" t="n">
        <v>0.43377806</v>
      </c>
      <c r="L48" s="20" t="n">
        <v>0.26022724</v>
      </c>
      <c r="M48" s="18" t="n">
        <v>0</v>
      </c>
      <c r="N48" s="20" t="n">
        <v>0</v>
      </c>
      <c r="O48" s="18" t="n">
        <v>0</v>
      </c>
      <c r="P48" s="20" t="n">
        <v>0</v>
      </c>
      <c r="Q48" s="18" t="n">
        <v>0.31962651</v>
      </c>
      <c r="R48" s="20" t="n">
        <v>0.43568669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(5010.0/B50*100)</f>
        <v/>
      </c>
      <c r="D50" s="19" t="n">
        <v>627</v>
      </c>
      <c r="E50" s="18" t="n">
        <v>77.81007964</v>
      </c>
      <c r="F50" s="20" t="n">
        <v>2.26410738</v>
      </c>
      <c r="G50" s="18" t="n">
        <v>18.98048635</v>
      </c>
      <c r="H50" s="20" t="n">
        <v>2.10503137</v>
      </c>
      <c r="I50" s="18" t="s">
        <v>567</v>
      </c>
      <c r="J50" s="20" t="s">
        <v>567</v>
      </c>
      <c r="K50" s="18" t="n">
        <v>2.67490693</v>
      </c>
      <c r="L50" s="20" t="n">
        <v>1.08581786</v>
      </c>
      <c r="M50" s="18" t="n">
        <v>0</v>
      </c>
      <c r="N50" s="20" t="n">
        <v>0</v>
      </c>
      <c r="O50" s="18" t="n">
        <v>0</v>
      </c>
      <c r="P50" s="20" t="n">
        <v>0</v>
      </c>
      <c r="Q50" s="18" t="n">
        <v>0.53452708</v>
      </c>
      <c r="R50" s="20" t="n">
        <v>0.3252701</v>
      </c>
    </row>
    <row r="51" spans="1:18">
      <c r="A51" s="15" t="s">
        <v>611</v>
      </c>
      <c r="B51" s="17" t="n">
        <v>3372</v>
      </c>
      <c r="C51" s="18">
        <f>(3042.0/B51*100)</f>
        <v/>
      </c>
      <c r="D51" s="19" t="n">
        <v>330</v>
      </c>
      <c r="E51" s="18" t="n">
        <v>82.72685920000001</v>
      </c>
      <c r="F51" s="20" t="n">
        <v>2.22049737</v>
      </c>
      <c r="G51" s="18" t="n">
        <v>15.05834849</v>
      </c>
      <c r="H51" s="20" t="n">
        <v>2.0680461</v>
      </c>
      <c r="I51" s="18" t="s">
        <v>567</v>
      </c>
      <c r="J51" s="20" t="s">
        <v>567</v>
      </c>
      <c r="K51" s="18" t="n">
        <v>0.46787969</v>
      </c>
      <c r="L51" s="20" t="n">
        <v>0.41906752</v>
      </c>
      <c r="M51" s="18" t="n">
        <v>0</v>
      </c>
      <c r="N51" s="20" t="n">
        <v>0</v>
      </c>
      <c r="O51" s="18" t="n">
        <v>0</v>
      </c>
      <c r="P51" s="20" t="n">
        <v>0</v>
      </c>
      <c r="Q51" s="18" t="n">
        <v>1.74691263</v>
      </c>
      <c r="R51" s="20" t="n">
        <v>0.7476018800000001</v>
      </c>
    </row>
    <row r="52" spans="1:18">
      <c r="A52" s="15" t="s">
        <v>612</v>
      </c>
      <c r="B52" s="17" t="n">
        <v>2796</v>
      </c>
      <c r="C52" s="18">
        <f>(2443.0/B52*100)</f>
        <v/>
      </c>
      <c r="D52" s="19" t="n">
        <v>353</v>
      </c>
      <c r="E52" s="18" t="n">
        <v>61.67530034</v>
      </c>
      <c r="F52" s="20" t="n">
        <v>2.85417389</v>
      </c>
      <c r="G52" s="18" t="n">
        <v>37.80400204</v>
      </c>
      <c r="H52" s="20" t="n">
        <v>2.83212252</v>
      </c>
      <c r="I52" s="18" t="s">
        <v>567</v>
      </c>
      <c r="J52" s="20" t="s">
        <v>567</v>
      </c>
      <c r="K52" s="18" t="n">
        <v>0</v>
      </c>
      <c r="L52" s="20" t="n">
        <v>0</v>
      </c>
      <c r="M52" s="18" t="n">
        <v>0</v>
      </c>
      <c r="N52" s="20" t="n">
        <v>0</v>
      </c>
      <c r="O52" s="18" t="n">
        <v>0</v>
      </c>
      <c r="P52" s="20" t="n">
        <v>0</v>
      </c>
      <c r="Q52" s="18" t="n">
        <v>0.52069763</v>
      </c>
      <c r="R52" s="20" t="n">
        <v>0.36926638</v>
      </c>
    </row>
    <row r="53" spans="1:18">
      <c r="A53" s="15" t="s">
        <v>613</v>
      </c>
      <c r="B53" s="17" t="n">
        <v>2811</v>
      </c>
      <c r="C53" s="18">
        <f>(2517.0/B53*100)</f>
        <v/>
      </c>
      <c r="D53" s="19" t="n">
        <v>294</v>
      </c>
      <c r="E53" s="18" t="n">
        <v>75.21042586999999</v>
      </c>
      <c r="F53" s="20" t="n">
        <v>2.67090751</v>
      </c>
      <c r="G53" s="18" t="n">
        <v>23.05109843</v>
      </c>
      <c r="H53" s="20" t="n">
        <v>2.54736444</v>
      </c>
      <c r="I53" s="18" t="s">
        <v>567</v>
      </c>
      <c r="J53" s="20" t="s">
        <v>567</v>
      </c>
      <c r="K53" s="18" t="n">
        <v>0.72763533</v>
      </c>
      <c r="L53" s="20" t="n">
        <v>0.41562388</v>
      </c>
      <c r="M53" s="18" t="n">
        <v>0</v>
      </c>
      <c r="N53" s="20" t="n">
        <v>0</v>
      </c>
      <c r="O53" s="18" t="n">
        <v>0</v>
      </c>
      <c r="P53" s="20" t="n">
        <v>0</v>
      </c>
      <c r="Q53" s="18" t="n">
        <v>1.01084037</v>
      </c>
      <c r="R53" s="20" t="n">
        <v>0.5895978200000001</v>
      </c>
    </row>
    <row r="54" spans="1:18">
      <c r="A54" s="15" t="s">
        <v>614</v>
      </c>
      <c r="B54" s="17" t="n">
        <v>2266</v>
      </c>
      <c r="C54" s="18">
        <f>(2009.0/B54*100)</f>
        <v/>
      </c>
      <c r="D54" s="19" t="n">
        <v>257</v>
      </c>
      <c r="E54" s="18" t="n">
        <v>81.54101104</v>
      </c>
      <c r="F54" s="20" t="n">
        <v>2.64635215</v>
      </c>
      <c r="G54" s="18" t="n">
        <v>7.48525109</v>
      </c>
      <c r="H54" s="20" t="n">
        <v>1.4523429</v>
      </c>
      <c r="I54" s="18" t="s">
        <v>567</v>
      </c>
      <c r="J54" s="20" t="s">
        <v>567</v>
      </c>
      <c r="K54" s="18" t="n">
        <v>8.897856730000001</v>
      </c>
      <c r="L54" s="20" t="n">
        <v>2.09575783</v>
      </c>
      <c r="M54" s="18" t="n">
        <v>0</v>
      </c>
      <c r="N54" s="20" t="n">
        <v>0</v>
      </c>
      <c r="O54" s="18" t="n">
        <v>0</v>
      </c>
      <c r="P54" s="20" t="n">
        <v>0</v>
      </c>
      <c r="Q54" s="18" t="n">
        <v>2.07588114</v>
      </c>
      <c r="R54" s="20" t="n">
        <v>0.84334247</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(2373.0/B56*100)</f>
        <v/>
      </c>
      <c r="D56" s="19" t="n">
        <v>311</v>
      </c>
      <c r="E56" s="18" t="n">
        <v>62.90704978</v>
      </c>
      <c r="F56" s="20" t="n">
        <v>2.78710547</v>
      </c>
      <c r="G56" s="18" t="n">
        <v>36.37762722</v>
      </c>
      <c r="H56" s="20" t="n">
        <v>2.76779099</v>
      </c>
      <c r="I56" s="18" t="s">
        <v>567</v>
      </c>
      <c r="J56" s="20" t="s">
        <v>567</v>
      </c>
      <c r="K56" s="18" t="n">
        <v>0.26941788</v>
      </c>
      <c r="L56" s="20" t="n">
        <v>0.27579978</v>
      </c>
      <c r="M56" s="18" t="n">
        <v>0</v>
      </c>
      <c r="N56" s="20" t="n">
        <v>0</v>
      </c>
      <c r="O56" s="18" t="n">
        <v>0</v>
      </c>
      <c r="P56" s="20" t="n">
        <v>0</v>
      </c>
      <c r="Q56" s="18" t="n">
        <v>0.44590512</v>
      </c>
      <c r="R56" s="20" t="n">
        <v>0.35181854</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(2904.0/B61*100)</f>
        <v/>
      </c>
      <c r="D61" s="19" t="n">
        <v>420</v>
      </c>
      <c r="E61" s="18" t="n">
        <v>76.44376234000001</v>
      </c>
      <c r="F61" s="20" t="n">
        <v>2.09592639</v>
      </c>
      <c r="G61" s="18" t="n">
        <v>23.31883583</v>
      </c>
      <c r="H61" s="20" t="n">
        <v>2.07384392</v>
      </c>
      <c r="I61" s="18" t="s">
        <v>567</v>
      </c>
      <c r="J61" s="20" t="s">
        <v>567</v>
      </c>
      <c r="K61" s="18" t="n">
        <v>0.05756394</v>
      </c>
      <c r="L61" s="20" t="n">
        <v>0.05749659</v>
      </c>
      <c r="M61" s="18" t="n">
        <v>0</v>
      </c>
      <c r="N61" s="20" t="n">
        <v>0</v>
      </c>
      <c r="O61" s="18" t="n">
        <v>0</v>
      </c>
      <c r="P61" s="20" t="n">
        <v>0</v>
      </c>
      <c r="Q61" s="18" t="n">
        <v>0.17983788</v>
      </c>
      <c r="R61" s="20" t="n">
        <v>0.1831398</v>
      </c>
    </row>
    <row r="62" spans="1:18">
      <c r="A62" s="15" t="s">
        <v>622</v>
      </c>
      <c r="B62" s="17" t="n">
        <v>2246</v>
      </c>
      <c r="C62" s="18">
        <f>(1992.0/B62*100)</f>
        <v/>
      </c>
      <c r="D62" s="19" t="n">
        <v>254</v>
      </c>
      <c r="E62" s="18" t="n">
        <v>59.09413189</v>
      </c>
      <c r="F62" s="20" t="n">
        <v>3.43093189</v>
      </c>
      <c r="G62" s="18" t="n">
        <v>40.90586811</v>
      </c>
      <c r="H62" s="20" t="n">
        <v>3.43093189</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(2557.0/B66*100)</f>
        <v/>
      </c>
      <c r="D66" s="19" t="n">
        <v>337</v>
      </c>
      <c r="E66" s="18" t="n">
        <v>69.40134388</v>
      </c>
      <c r="F66" s="20" t="n">
        <v>2.67685419</v>
      </c>
      <c r="G66" s="18" t="n">
        <v>27.39730697</v>
      </c>
      <c r="H66" s="20" t="n">
        <v>2.59483813</v>
      </c>
      <c r="I66" s="18" t="s">
        <v>567</v>
      </c>
      <c r="J66" s="20" t="s">
        <v>567</v>
      </c>
      <c r="K66" s="18" t="n">
        <v>0.84181888</v>
      </c>
      <c r="L66" s="20" t="n">
        <v>0.47403651</v>
      </c>
      <c r="M66" s="18" t="n">
        <v>0</v>
      </c>
      <c r="N66" s="20" t="n">
        <v>0</v>
      </c>
      <c r="O66" s="18" t="n">
        <v>0</v>
      </c>
      <c r="P66" s="20" t="n">
        <v>0</v>
      </c>
      <c r="Q66" s="18" t="n">
        <v>2.35953027</v>
      </c>
      <c r="R66" s="20" t="n">
        <v>0.8218550100000001</v>
      </c>
    </row>
    <row r="67" spans="1:18">
      <c r="A67" s="15" t="s">
        <v>627</v>
      </c>
      <c r="B67" s="17" t="n">
        <v>3511</v>
      </c>
      <c r="C67" s="18">
        <f>(3149.0/B67*100)</f>
        <v/>
      </c>
      <c r="D67" s="19" t="n">
        <v>362</v>
      </c>
      <c r="E67" s="18" t="n">
        <v>84.72388883000001</v>
      </c>
      <c r="F67" s="20" t="n">
        <v>1.66389763</v>
      </c>
      <c r="G67" s="18" t="n">
        <v>15.00873998</v>
      </c>
      <c r="H67" s="20" t="n">
        <v>1.66410144</v>
      </c>
      <c r="I67" s="18" t="s">
        <v>567</v>
      </c>
      <c r="J67" s="20" t="s">
        <v>567</v>
      </c>
      <c r="K67" s="18" t="n">
        <v>0</v>
      </c>
      <c r="L67" s="20" t="n">
        <v>0</v>
      </c>
      <c r="M67" s="18" t="n">
        <v>0</v>
      </c>
      <c r="N67" s="20" t="n">
        <v>0</v>
      </c>
      <c r="O67" s="18" t="n">
        <v>0</v>
      </c>
      <c r="P67" s="20" t="n">
        <v>0</v>
      </c>
      <c r="Q67" s="18" t="n">
        <v>0.26737119</v>
      </c>
      <c r="R67" s="20" t="n">
        <v>0.26585781</v>
      </c>
    </row>
    <row r="68" spans="1:18">
      <c r="A68" s="15" t="s">
        <v>628</v>
      </c>
      <c r="B68" s="17" t="n">
        <v>6049</v>
      </c>
      <c r="C68" s="18">
        <f>(5386.0/B68*100)</f>
        <v/>
      </c>
      <c r="D68" s="19" t="n">
        <v>663</v>
      </c>
      <c r="E68" s="18" t="n">
        <v>83.54943857000001</v>
      </c>
      <c r="F68" s="20" t="n">
        <v>1.509724</v>
      </c>
      <c r="G68" s="18" t="n">
        <v>14.34146877</v>
      </c>
      <c r="H68" s="20" t="n">
        <v>1.4133828</v>
      </c>
      <c r="I68" s="18" t="s">
        <v>567</v>
      </c>
      <c r="J68" s="20" t="s">
        <v>567</v>
      </c>
      <c r="K68" s="18" t="n">
        <v>1.36922908</v>
      </c>
      <c r="L68" s="20" t="n">
        <v>0.45976207</v>
      </c>
      <c r="M68" s="18" t="n">
        <v>0</v>
      </c>
      <c r="N68" s="20" t="n">
        <v>0</v>
      </c>
      <c r="O68" s="18" t="n">
        <v>0</v>
      </c>
      <c r="P68" s="20" t="n">
        <v>0</v>
      </c>
      <c r="Q68" s="18" t="n">
        <v>0.73986359</v>
      </c>
      <c r="R68" s="20" t="n">
        <v>0.24400538</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(2614.0/B70*100)</f>
        <v/>
      </c>
      <c r="D70" s="19" t="n">
        <v>315</v>
      </c>
      <c r="E70" s="18" t="n">
        <v>63.70047774</v>
      </c>
      <c r="F70" s="20" t="n">
        <v>3.16834262</v>
      </c>
      <c r="G70" s="18" t="n">
        <v>34.95545845</v>
      </c>
      <c r="H70" s="20" t="n">
        <v>2.95621012</v>
      </c>
      <c r="I70" s="18" t="s">
        <v>567</v>
      </c>
      <c r="J70" s="20" t="s">
        <v>567</v>
      </c>
      <c r="K70" s="18" t="n">
        <v>0.32303152</v>
      </c>
      <c r="L70" s="20" t="n">
        <v>0.23169406</v>
      </c>
      <c r="M70" s="18" t="n">
        <v>0</v>
      </c>
      <c r="N70" s="20" t="n">
        <v>0</v>
      </c>
      <c r="O70" s="18" t="n">
        <v>0</v>
      </c>
      <c r="P70" s="20" t="n">
        <v>0</v>
      </c>
      <c r="Q70" s="18" t="n">
        <v>1.02103229</v>
      </c>
      <c r="R70" s="20" t="n">
        <v>0.8119696199999999</v>
      </c>
    </row>
    <row r="71" spans="1:18">
      <c r="A71" s="15" t="s">
        <v>631</v>
      </c>
      <c r="B71" s="17" t="n">
        <v>3142</v>
      </c>
      <c r="C71" s="18">
        <f>(2784.0/B71*100)</f>
        <v/>
      </c>
      <c r="D71" s="19" t="n">
        <v>358</v>
      </c>
      <c r="E71" s="18" t="n">
        <v>43.70664281</v>
      </c>
      <c r="F71" s="20" t="n">
        <v>2.82316799</v>
      </c>
      <c r="G71" s="18" t="n">
        <v>56.29335719</v>
      </c>
      <c r="H71" s="20" t="n">
        <v>2.82316799</v>
      </c>
      <c r="I71" s="18" t="s">
        <v>567</v>
      </c>
      <c r="J71" s="20" t="s">
        <v>567</v>
      </c>
      <c r="K71" s="18" t="n">
        <v>0</v>
      </c>
      <c r="L71" s="20" t="n">
        <v>0</v>
      </c>
      <c r="M71" s="18" t="n">
        <v>0</v>
      </c>
      <c r="N71" s="20" t="n">
        <v>0</v>
      </c>
      <c r="O71" s="18" t="n">
        <v>0</v>
      </c>
      <c r="P71" s="20" t="n">
        <v>0</v>
      </c>
      <c r="Q71" s="18" t="n">
        <v>0</v>
      </c>
      <c r="R71" s="20" t="n">
        <v>0</v>
      </c>
    </row>
    <row r="72" spans="1:18">
      <c r="A72" s="15" t="s">
        <v>632</v>
      </c>
      <c r="B72" s="17" t="n">
        <v>3889</v>
      </c>
      <c r="C72" s="18">
        <f>(3433.0/B72*100)</f>
        <v/>
      </c>
      <c r="D72" s="19" t="n">
        <v>456</v>
      </c>
      <c r="E72" s="18" t="n">
        <v>61.83202086</v>
      </c>
      <c r="F72" s="20" t="n">
        <v>2.38629002</v>
      </c>
      <c r="G72" s="18" t="n">
        <v>37.4098523</v>
      </c>
      <c r="H72" s="20" t="n">
        <v>2.34171285</v>
      </c>
      <c r="I72" s="18" t="s">
        <v>567</v>
      </c>
      <c r="J72" s="20" t="s">
        <v>567</v>
      </c>
      <c r="K72" s="18" t="n">
        <v>0.46512762</v>
      </c>
      <c r="L72" s="20" t="n">
        <v>0.35056184</v>
      </c>
      <c r="M72" s="18" t="n">
        <v>0</v>
      </c>
      <c r="N72" s="20" t="n">
        <v>0</v>
      </c>
      <c r="O72" s="18" t="n">
        <v>0</v>
      </c>
      <c r="P72" s="20" t="n">
        <v>0</v>
      </c>
      <c r="Q72" s="18" t="n">
        <v>0.29299922</v>
      </c>
      <c r="R72" s="20" t="n">
        <v>0.17710015</v>
      </c>
    </row>
    <row r="73" spans="1:18">
      <c r="A73" s="15" t="s">
        <v>633</v>
      </c>
      <c r="B73" s="17" t="n">
        <v>3597</v>
      </c>
      <c r="C73" s="18">
        <f>(3195.0/B73*100)</f>
        <v/>
      </c>
      <c r="D73" s="19" t="n">
        <v>402</v>
      </c>
      <c r="E73" s="18" t="n">
        <v>71.06080964</v>
      </c>
      <c r="F73" s="20" t="n">
        <v>3.09841084</v>
      </c>
      <c r="G73" s="18" t="n">
        <v>28.23479945</v>
      </c>
      <c r="H73" s="20" t="n">
        <v>3.13976823</v>
      </c>
      <c r="I73" s="18" t="s">
        <v>567</v>
      </c>
      <c r="J73" s="20" t="s">
        <v>567</v>
      </c>
      <c r="K73" s="18" t="n">
        <v>0.09253585</v>
      </c>
      <c r="L73" s="20" t="n">
        <v>0.09700872000000001</v>
      </c>
      <c r="M73" s="18" t="n">
        <v>0</v>
      </c>
      <c r="N73" s="20" t="n">
        <v>0</v>
      </c>
      <c r="O73" s="18" t="n">
        <v>0</v>
      </c>
      <c r="P73" s="20" t="n">
        <v>0</v>
      </c>
      <c r="Q73" s="18" t="n">
        <v>0.61185506</v>
      </c>
      <c r="R73" s="20" t="n">
        <v>0.45854798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(2163.0/B75*100)</f>
        <v/>
      </c>
      <c r="D75" s="19" t="n">
        <v>243</v>
      </c>
      <c r="E75" s="18" t="n">
        <v>78.85761807999999</v>
      </c>
      <c r="F75" s="20" t="n">
        <v>2.87258102</v>
      </c>
      <c r="G75" s="18" t="n">
        <v>17.29378236</v>
      </c>
      <c r="H75" s="20" t="n">
        <v>2.67710575</v>
      </c>
      <c r="I75" s="18" t="s">
        <v>567</v>
      </c>
      <c r="J75" s="20" t="s">
        <v>567</v>
      </c>
      <c r="K75" s="18" t="n">
        <v>2.24615326</v>
      </c>
      <c r="L75" s="20" t="n">
        <v>0.92528928</v>
      </c>
      <c r="M75" s="18" t="n">
        <v>0</v>
      </c>
      <c r="N75" s="20" t="n">
        <v>0</v>
      </c>
      <c r="O75" s="18" t="n">
        <v>0</v>
      </c>
      <c r="P75" s="20" t="n">
        <v>0</v>
      </c>
      <c r="Q75" s="18" t="n">
        <v>1.6024463</v>
      </c>
      <c r="R75" s="20" t="n">
        <v>0.72091008</v>
      </c>
    </row>
    <row r="76" spans="1:18">
      <c r="A76" s="15" t="s">
        <v>636</v>
      </c>
      <c r="B76" s="17" t="n">
        <v>7052</v>
      </c>
      <c r="C76" s="18">
        <f>(6267.0/B76*100)</f>
        <v/>
      </c>
      <c r="D76" s="19" t="n">
        <v>785</v>
      </c>
      <c r="E76" s="18" t="n">
        <v>81.53342397</v>
      </c>
      <c r="F76" s="20" t="n">
        <v>1.73110418</v>
      </c>
      <c r="G76" s="18" t="n">
        <v>17.02820149</v>
      </c>
      <c r="H76" s="20" t="n">
        <v>1.67599175</v>
      </c>
      <c r="I76" s="18" t="s">
        <v>567</v>
      </c>
      <c r="J76" s="20" t="s">
        <v>567</v>
      </c>
      <c r="K76" s="18" t="n">
        <v>0.80494111</v>
      </c>
      <c r="L76" s="20" t="n">
        <v>0.43295546</v>
      </c>
      <c r="M76" s="18" t="n">
        <v>0</v>
      </c>
      <c r="N76" s="20" t="n">
        <v>0</v>
      </c>
      <c r="O76" s="18" t="n">
        <v>0</v>
      </c>
      <c r="P76" s="20" t="n">
        <v>0</v>
      </c>
      <c r="Q76" s="18" t="n">
        <v>0.63343342</v>
      </c>
      <c r="R76" s="20" t="n">
        <v>0.23361493</v>
      </c>
    </row>
    <row r="77" spans="1:18">
      <c r="A77" s="15" t="s">
        <v>637</v>
      </c>
      <c r="B77" s="17" t="n">
        <v>2908</v>
      </c>
      <c r="C77" s="18">
        <f>(2580.0/B77*100)</f>
        <v/>
      </c>
      <c r="D77" s="19" t="n">
        <v>328</v>
      </c>
      <c r="E77" s="18" t="n">
        <v>76.75635586</v>
      </c>
      <c r="F77" s="20" t="n">
        <v>2.38262342</v>
      </c>
      <c r="G77" s="18" t="n">
        <v>21.29538064</v>
      </c>
      <c r="H77" s="20" t="n">
        <v>2.16720795</v>
      </c>
      <c r="I77" s="18" t="s">
        <v>567</v>
      </c>
      <c r="J77" s="20" t="s">
        <v>567</v>
      </c>
      <c r="K77" s="18" t="n">
        <v>1.04323677</v>
      </c>
      <c r="L77" s="20" t="n">
        <v>0.53020582</v>
      </c>
      <c r="M77" s="18" t="n">
        <v>0</v>
      </c>
      <c r="N77" s="20" t="n">
        <v>0</v>
      </c>
      <c r="O77" s="18" t="n">
        <v>0</v>
      </c>
      <c r="P77" s="20" t="n">
        <v>0</v>
      </c>
      <c r="Q77" s="18" t="n">
        <v>0.90502672</v>
      </c>
      <c r="R77" s="20" t="n">
        <v>0.5691405899999999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(3677.0/B81*100)</f>
        <v/>
      </c>
      <c r="D81" s="19" t="n">
        <v>486</v>
      </c>
      <c r="E81" s="18" t="n">
        <v>84.91486394</v>
      </c>
      <c r="F81" s="20" t="n">
        <v>2.456935</v>
      </c>
      <c r="G81" s="18" t="n">
        <v>15.08513606</v>
      </c>
      <c r="H81" s="20" t="n">
        <v>2.456935</v>
      </c>
      <c r="I81" s="18" t="s">
        <v>567</v>
      </c>
      <c r="J81" s="20" t="s">
        <v>567</v>
      </c>
      <c r="K81" s="18" t="n">
        <v>0</v>
      </c>
      <c r="L81" s="20" t="n">
        <v>0</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(6529.0/B7*100)</f>
        <v/>
      </c>
      <c r="D7" s="19" t="n">
        <v>838</v>
      </c>
      <c r="E7" s="18" t="n">
        <v>30.94422619</v>
      </c>
      <c r="F7" s="20" t="n">
        <v>1.80665408</v>
      </c>
      <c r="G7" s="18" t="n">
        <v>68.40849796000001</v>
      </c>
      <c r="H7" s="20" t="n">
        <v>1.81618764</v>
      </c>
      <c r="I7" s="18" t="s">
        <v>567</v>
      </c>
      <c r="J7" s="20" t="s">
        <v>567</v>
      </c>
      <c r="K7" s="18" t="n">
        <v>0.04323103</v>
      </c>
      <c r="L7" s="20" t="n">
        <v>0.03053937</v>
      </c>
      <c r="M7" s="18" t="n">
        <v>0</v>
      </c>
      <c r="N7" s="20" t="n">
        <v>0</v>
      </c>
      <c r="O7" s="18" t="n">
        <v>0</v>
      </c>
      <c r="P7" s="20" t="n">
        <v>0</v>
      </c>
      <c r="Q7" s="18" t="n">
        <v>0.60404483</v>
      </c>
      <c r="R7" s="20" t="n">
        <v>0.24258545</v>
      </c>
    </row>
    <row r="8" spans="1:18">
      <c r="A8" s="15" t="s">
        <v>568</v>
      </c>
      <c r="B8" s="17" t="n">
        <v>3564</v>
      </c>
      <c r="C8" s="18">
        <f>(3139.0/B8*100)</f>
        <v/>
      </c>
      <c r="D8" s="19" t="n">
        <v>425</v>
      </c>
      <c r="E8" s="18" t="n">
        <v>36.22216316</v>
      </c>
      <c r="F8" s="20" t="n">
        <v>2.14743592</v>
      </c>
      <c r="G8" s="18" t="n">
        <v>62.67781405</v>
      </c>
      <c r="H8" s="20" t="n">
        <v>2.17004558</v>
      </c>
      <c r="I8" s="18" t="s">
        <v>567</v>
      </c>
      <c r="J8" s="20" t="s">
        <v>567</v>
      </c>
      <c r="K8" s="18" t="n">
        <v>0.20349756</v>
      </c>
      <c r="L8" s="20" t="n">
        <v>0.20668571</v>
      </c>
      <c r="M8" s="18" t="n">
        <v>0</v>
      </c>
      <c r="N8" s="20" t="n">
        <v>0</v>
      </c>
      <c r="O8" s="18" t="n">
        <v>0</v>
      </c>
      <c r="P8" s="20" t="n">
        <v>0</v>
      </c>
      <c r="Q8" s="18" t="n">
        <v>0.89652523</v>
      </c>
      <c r="R8" s="20" t="n">
        <v>0.4680793</v>
      </c>
    </row>
    <row r="9" spans="1:18">
      <c r="A9" s="15" t="s">
        <v>569</v>
      </c>
      <c r="B9" s="17" t="n">
        <v>4899</v>
      </c>
      <c r="C9" s="18">
        <f>(4373.0/B9*100)</f>
        <v/>
      </c>
      <c r="D9" s="19" t="n">
        <v>526</v>
      </c>
      <c r="E9" s="18" t="n">
        <v>32.04315386</v>
      </c>
      <c r="F9" s="20" t="n">
        <v>1.93216554</v>
      </c>
      <c r="G9" s="18" t="n">
        <v>67.42829872</v>
      </c>
      <c r="H9" s="20" t="n">
        <v>1.89990855</v>
      </c>
      <c r="I9" s="18" t="s">
        <v>567</v>
      </c>
      <c r="J9" s="20" t="s">
        <v>567</v>
      </c>
      <c r="K9" s="18" t="n">
        <v>0.30599821</v>
      </c>
      <c r="L9" s="20" t="n">
        <v>0.31868285</v>
      </c>
      <c r="M9" s="18" t="n">
        <v>0</v>
      </c>
      <c r="N9" s="20" t="n">
        <v>0</v>
      </c>
      <c r="O9" s="18" t="n">
        <v>0</v>
      </c>
      <c r="P9" s="20" t="n">
        <v>0</v>
      </c>
      <c r="Q9" s="18" t="n">
        <v>0.22254921</v>
      </c>
      <c r="R9" s="20" t="n">
        <v>0.1880126</v>
      </c>
    </row>
    <row r="10" spans="1:18">
      <c r="A10" s="15" t="s">
        <v>570</v>
      </c>
      <c r="B10" s="17" t="n">
        <v>10036</v>
      </c>
      <c r="C10" s="18">
        <f>(8968.0/B10*100)</f>
        <v/>
      </c>
      <c r="D10" s="19" t="n">
        <v>1068</v>
      </c>
      <c r="E10" s="18" t="n">
        <v>26.20105759</v>
      </c>
      <c r="F10" s="20" t="n">
        <v>1.77263393</v>
      </c>
      <c r="G10" s="18" t="n">
        <v>73.22725629999999</v>
      </c>
      <c r="H10" s="20" t="n">
        <v>1.75502788</v>
      </c>
      <c r="I10" s="18" t="s">
        <v>567</v>
      </c>
      <c r="J10" s="20" t="s">
        <v>567</v>
      </c>
      <c r="K10" s="18" t="n">
        <v>0.23070225</v>
      </c>
      <c r="L10" s="20" t="n">
        <v>0.16187656</v>
      </c>
      <c r="M10" s="18" t="n">
        <v>0</v>
      </c>
      <c r="N10" s="20" t="n">
        <v>0</v>
      </c>
      <c r="O10" s="18" t="n">
        <v>0</v>
      </c>
      <c r="P10" s="20" t="n">
        <v>0</v>
      </c>
      <c r="Q10" s="18" t="n">
        <v>0.34098386</v>
      </c>
      <c r="R10" s="20" t="n">
        <v>0.30906416</v>
      </c>
    </row>
    <row r="11" spans="1:18">
      <c r="A11" s="15" t="s">
        <v>571</v>
      </c>
      <c r="B11" s="17" t="n">
        <v>3553</v>
      </c>
      <c r="C11" s="18">
        <f>(3171.0/B11*100)</f>
        <v/>
      </c>
      <c r="D11" s="19" t="n">
        <v>382</v>
      </c>
      <c r="E11" s="18" t="n">
        <v>34.67592474</v>
      </c>
      <c r="F11" s="20" t="n">
        <v>3.08328691</v>
      </c>
      <c r="G11" s="18" t="n">
        <v>61.41518708</v>
      </c>
      <c r="H11" s="20" t="n">
        <v>2.86052091</v>
      </c>
      <c r="I11" s="18" t="s">
        <v>567</v>
      </c>
      <c r="J11" s="20" t="s">
        <v>567</v>
      </c>
      <c r="K11" s="18" t="n">
        <v>1.64529554</v>
      </c>
      <c r="L11" s="20" t="n">
        <v>0.93431635</v>
      </c>
      <c r="M11" s="18" t="n">
        <v>0</v>
      </c>
      <c r="N11" s="20" t="n">
        <v>0</v>
      </c>
      <c r="O11" s="18" t="n">
        <v>0</v>
      </c>
      <c r="P11" s="20" t="n">
        <v>0</v>
      </c>
      <c r="Q11" s="18" t="n">
        <v>2.26359264</v>
      </c>
      <c r="R11" s="20" t="n">
        <v>0.86501138</v>
      </c>
    </row>
    <row r="12" spans="1:18">
      <c r="A12" s="15" t="s">
        <v>572</v>
      </c>
      <c r="B12" s="17" t="n">
        <v>3472</v>
      </c>
      <c r="C12" s="18">
        <f>(3090.0/B12*100)</f>
        <v/>
      </c>
      <c r="D12" s="19" t="n">
        <v>382</v>
      </c>
      <c r="E12" s="18" t="n">
        <v>36.78589709</v>
      </c>
      <c r="F12" s="20" t="n">
        <v>2.80750414</v>
      </c>
      <c r="G12" s="18" t="n">
        <v>63.21410291</v>
      </c>
      <c r="H12" s="20" t="n">
        <v>2.80750414</v>
      </c>
      <c r="I12" s="18" t="s">
        <v>567</v>
      </c>
      <c r="J12" s="20" t="s">
        <v>567</v>
      </c>
      <c r="K12" s="18" t="n">
        <v>0</v>
      </c>
      <c r="L12" s="20" t="n">
        <v>0</v>
      </c>
      <c r="M12" s="18" t="n">
        <v>0</v>
      </c>
      <c r="N12" s="20" t="n">
        <v>0</v>
      </c>
      <c r="O12" s="18" t="n">
        <v>0</v>
      </c>
      <c r="P12" s="20" t="n">
        <v>0</v>
      </c>
      <c r="Q12" s="18" t="n">
        <v>0</v>
      </c>
      <c r="R12" s="20" t="n">
        <v>0</v>
      </c>
    </row>
    <row r="13" spans="1:18">
      <c r="A13" s="15" t="s">
        <v>573</v>
      </c>
      <c r="B13" s="17" t="n">
        <v>3559</v>
      </c>
      <c r="C13" s="18">
        <f>(3158.0/B13*100)</f>
        <v/>
      </c>
      <c r="D13" s="19" t="n">
        <v>401</v>
      </c>
      <c r="E13" s="18" t="n">
        <v>30.34138628</v>
      </c>
      <c r="F13" s="20" t="n">
        <v>2.90796709</v>
      </c>
      <c r="G13" s="18" t="n">
        <v>68.77067160999999</v>
      </c>
      <c r="H13" s="20" t="n">
        <v>2.86496873</v>
      </c>
      <c r="I13" s="18" t="s">
        <v>567</v>
      </c>
      <c r="J13" s="20" t="s">
        <v>567</v>
      </c>
      <c r="K13" s="18" t="n">
        <v>0.31682349</v>
      </c>
      <c r="L13" s="20" t="n">
        <v>0.28454525</v>
      </c>
      <c r="M13" s="18" t="n">
        <v>0</v>
      </c>
      <c r="N13" s="20" t="n">
        <v>0</v>
      </c>
      <c r="O13" s="18" t="n">
        <v>0</v>
      </c>
      <c r="P13" s="20" t="n">
        <v>0</v>
      </c>
      <c r="Q13" s="18" t="n">
        <v>0.57111862</v>
      </c>
      <c r="R13" s="20" t="n">
        <v>0.44137251</v>
      </c>
    </row>
    <row r="14" spans="1:18">
      <c r="A14" s="15" t="s">
        <v>574</v>
      </c>
      <c r="B14" s="17" t="n">
        <v>2799</v>
      </c>
      <c r="C14" s="18">
        <f>(2505.0/B14*100)</f>
        <v/>
      </c>
      <c r="D14" s="19" t="n">
        <v>294</v>
      </c>
      <c r="E14" s="18" t="n">
        <v>27.47055713</v>
      </c>
      <c r="F14" s="20" t="n">
        <v>2.47768498</v>
      </c>
      <c r="G14" s="18" t="n">
        <v>72.52944287</v>
      </c>
      <c r="H14" s="20" t="n">
        <v>2.47768498</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(2708.0/B15*100)</f>
        <v/>
      </c>
      <c r="D15" s="19" t="n">
        <v>311</v>
      </c>
      <c r="E15" s="18" t="n">
        <v>31.93345603</v>
      </c>
      <c r="F15" s="20" t="n">
        <v>2.76555323</v>
      </c>
      <c r="G15" s="18" t="n">
        <v>66.19867924</v>
      </c>
      <c r="H15" s="20" t="n">
        <v>2.75853973</v>
      </c>
      <c r="I15" s="18" t="s">
        <v>567</v>
      </c>
      <c r="J15" s="20" t="s">
        <v>567</v>
      </c>
      <c r="K15" s="18" t="n">
        <v>0.60152203</v>
      </c>
      <c r="L15" s="20" t="n">
        <v>0.42614783</v>
      </c>
      <c r="M15" s="18" t="n">
        <v>0</v>
      </c>
      <c r="N15" s="20" t="n">
        <v>0</v>
      </c>
      <c r="O15" s="18" t="n">
        <v>0</v>
      </c>
      <c r="P15" s="20" t="n">
        <v>0</v>
      </c>
      <c r="Q15" s="18" t="n">
        <v>1.26634271</v>
      </c>
      <c r="R15" s="20" t="n">
        <v>0.64142055</v>
      </c>
    </row>
    <row r="16" spans="1:18">
      <c r="A16" s="15" t="s">
        <v>576</v>
      </c>
      <c r="B16" s="17" t="n">
        <v>2997</v>
      </c>
      <c r="C16" s="18">
        <f>(2680.0/B16*100)</f>
        <v/>
      </c>
      <c r="D16" s="19" t="n">
        <v>317</v>
      </c>
      <c r="E16" s="18" t="n">
        <v>39.25336592</v>
      </c>
      <c r="F16" s="20" t="n">
        <v>2.88230692</v>
      </c>
      <c r="G16" s="18" t="n">
        <v>57.51556844</v>
      </c>
      <c r="H16" s="20" t="n">
        <v>2.65263669</v>
      </c>
      <c r="I16" s="18" t="s">
        <v>567</v>
      </c>
      <c r="J16" s="20" t="s">
        <v>567</v>
      </c>
      <c r="K16" s="18" t="n">
        <v>2.12056642</v>
      </c>
      <c r="L16" s="20" t="n">
        <v>0.68272059</v>
      </c>
      <c r="M16" s="18" t="n">
        <v>0</v>
      </c>
      <c r="N16" s="20" t="n">
        <v>0</v>
      </c>
      <c r="O16" s="18" t="n">
        <v>0</v>
      </c>
      <c r="P16" s="20" t="n">
        <v>0</v>
      </c>
      <c r="Q16" s="18" t="n">
        <v>1.11049922</v>
      </c>
      <c r="R16" s="20" t="n">
        <v>0.5604798600000001</v>
      </c>
    </row>
    <row r="17" spans="1:18">
      <c r="A17" s="15" t="s">
        <v>577</v>
      </c>
      <c r="B17" s="17" t="n">
        <v>3307</v>
      </c>
      <c r="C17" s="18">
        <f>(2958.0/B17*100)</f>
        <v/>
      </c>
      <c r="D17" s="19" t="n">
        <v>349</v>
      </c>
      <c r="E17" s="18" t="n">
        <v>35.57669481</v>
      </c>
      <c r="F17" s="20" t="n">
        <v>2.73827406</v>
      </c>
      <c r="G17" s="18" t="n">
        <v>64.09884841</v>
      </c>
      <c r="H17" s="20" t="n">
        <v>2.74679181</v>
      </c>
      <c r="I17" s="18" t="s">
        <v>567</v>
      </c>
      <c r="J17" s="20" t="s">
        <v>567</v>
      </c>
      <c r="K17" s="18" t="n">
        <v>0</v>
      </c>
      <c r="L17" s="20" t="n">
        <v>0</v>
      </c>
      <c r="M17" s="18" t="n">
        <v>0</v>
      </c>
      <c r="N17" s="20" t="n">
        <v>0</v>
      </c>
      <c r="O17" s="18" t="n">
        <v>0</v>
      </c>
      <c r="P17" s="20" t="n">
        <v>0</v>
      </c>
      <c r="Q17" s="18" t="n">
        <v>0.32445677</v>
      </c>
      <c r="R17" s="20" t="n">
        <v>0.2369715</v>
      </c>
    </row>
    <row r="18" spans="1:18">
      <c r="A18" s="15" t="s">
        <v>578</v>
      </c>
      <c r="B18" s="17" t="n">
        <v>2826</v>
      </c>
      <c r="C18" s="18">
        <f>(2505.0/B18*100)</f>
        <v/>
      </c>
      <c r="D18" s="19" t="n">
        <v>321</v>
      </c>
      <c r="E18" s="18" t="n">
        <v>66.41105987</v>
      </c>
      <c r="F18" s="20" t="n">
        <v>2.88658473</v>
      </c>
      <c r="G18" s="18" t="n">
        <v>33.06355285</v>
      </c>
      <c r="H18" s="20" t="n">
        <v>2.8939358</v>
      </c>
      <c r="I18" s="18" t="s">
        <v>567</v>
      </c>
      <c r="J18" s="20" t="s">
        <v>567</v>
      </c>
      <c r="K18" s="18" t="n">
        <v>0.28142959</v>
      </c>
      <c r="L18" s="20" t="n">
        <v>0.28334588</v>
      </c>
      <c r="M18" s="18" t="n">
        <v>0</v>
      </c>
      <c r="N18" s="20" t="n">
        <v>0</v>
      </c>
      <c r="O18" s="18" t="n">
        <v>0</v>
      </c>
      <c r="P18" s="20" t="n">
        <v>0</v>
      </c>
      <c r="Q18" s="18" t="n">
        <v>0.2439577</v>
      </c>
      <c r="R18" s="20" t="n">
        <v>0.24617864</v>
      </c>
    </row>
    <row r="19" spans="1:18">
      <c r="A19" s="15" t="s">
        <v>579</v>
      </c>
      <c r="B19" s="17" t="n">
        <v>2808</v>
      </c>
      <c r="C19" s="18">
        <f>(2482.0/B19*100)</f>
        <v/>
      </c>
      <c r="D19" s="19" t="n">
        <v>326</v>
      </c>
      <c r="E19" s="18" t="n">
        <v>46.12572734</v>
      </c>
      <c r="F19" s="20" t="n">
        <v>2.92166296</v>
      </c>
      <c r="G19" s="18" t="n">
        <v>52.7796288</v>
      </c>
      <c r="H19" s="20" t="n">
        <v>2.94285671</v>
      </c>
      <c r="I19" s="18" t="s">
        <v>567</v>
      </c>
      <c r="J19" s="20" t="s">
        <v>567</v>
      </c>
      <c r="K19" s="18" t="n">
        <v>0.35428306</v>
      </c>
      <c r="L19" s="20" t="n">
        <v>0.37640184</v>
      </c>
      <c r="M19" s="18" t="n">
        <v>0</v>
      </c>
      <c r="N19" s="20" t="n">
        <v>0</v>
      </c>
      <c r="O19" s="18" t="n">
        <v>0</v>
      </c>
      <c r="P19" s="20" t="n">
        <v>0</v>
      </c>
      <c r="Q19" s="18" t="n">
        <v>0.7403608</v>
      </c>
      <c r="R19" s="20" t="n">
        <v>0.55260191</v>
      </c>
    </row>
    <row r="20" spans="1:18">
      <c r="A20" s="15" t="s">
        <v>580</v>
      </c>
      <c r="B20" s="17" t="n">
        <v>1630</v>
      </c>
      <c r="C20" s="18">
        <f>(1444.0/B20*100)</f>
        <v/>
      </c>
      <c r="D20" s="19" t="n">
        <v>186</v>
      </c>
      <c r="E20" s="18" t="n">
        <v>41.32637802</v>
      </c>
      <c r="F20" s="20" t="n">
        <v>3.50982495</v>
      </c>
      <c r="G20" s="18" t="n">
        <v>58.67362198</v>
      </c>
      <c r="H20" s="20" t="n">
        <v>3.50982495</v>
      </c>
      <c r="I20" s="18" t="s">
        <v>567</v>
      </c>
      <c r="J20" s="20" t="s">
        <v>567</v>
      </c>
      <c r="K20" s="18" t="n">
        <v>0</v>
      </c>
      <c r="L20" s="20" t="n">
        <v>0</v>
      </c>
      <c r="M20" s="18" t="n">
        <v>0</v>
      </c>
      <c r="N20" s="20" t="n">
        <v>0</v>
      </c>
      <c r="O20" s="18" t="n">
        <v>0</v>
      </c>
      <c r="P20" s="20" t="n">
        <v>0</v>
      </c>
      <c r="Q20" s="18" t="n">
        <v>0</v>
      </c>
      <c r="R20" s="20" t="n">
        <v>0</v>
      </c>
    </row>
    <row r="21" spans="1:18">
      <c r="A21" s="15" t="s">
        <v>581</v>
      </c>
      <c r="B21" s="17" t="n">
        <v>2908</v>
      </c>
      <c r="C21" s="18">
        <f>(2598.0/B21*100)</f>
        <v/>
      </c>
      <c r="D21" s="19" t="n">
        <v>310</v>
      </c>
      <c r="E21" s="18" t="n">
        <v>31.36112196</v>
      </c>
      <c r="F21" s="20" t="n">
        <v>2.97980518</v>
      </c>
      <c r="G21" s="18" t="n">
        <v>68.33839628</v>
      </c>
      <c r="H21" s="20" t="n">
        <v>2.99767517</v>
      </c>
      <c r="I21" s="18" t="s">
        <v>567</v>
      </c>
      <c r="J21" s="20" t="s">
        <v>567</v>
      </c>
      <c r="K21" s="18" t="n">
        <v>0</v>
      </c>
      <c r="L21" s="20" t="n">
        <v>0</v>
      </c>
      <c r="M21" s="18" t="n">
        <v>0</v>
      </c>
      <c r="N21" s="20" t="n">
        <v>0</v>
      </c>
      <c r="O21" s="18" t="n">
        <v>0</v>
      </c>
      <c r="P21" s="20" t="n">
        <v>0</v>
      </c>
      <c r="Q21" s="18" t="n">
        <v>0.30048176</v>
      </c>
      <c r="R21" s="20" t="n">
        <v>0.2995133</v>
      </c>
    </row>
    <row r="22" spans="1:18">
      <c r="A22" s="15" t="s">
        <v>582</v>
      </c>
      <c r="B22" s="17" t="n">
        <v>2931</v>
      </c>
      <c r="C22" s="18">
        <f>(2603.0/B22*100)</f>
        <v/>
      </c>
      <c r="D22" s="19" t="n">
        <v>328</v>
      </c>
      <c r="E22" s="18" t="n">
        <v>47.19859619</v>
      </c>
      <c r="F22" s="20" t="n">
        <v>2.58378159</v>
      </c>
      <c r="G22" s="18" t="n">
        <v>50.6796636</v>
      </c>
      <c r="H22" s="20" t="n">
        <v>2.62615556</v>
      </c>
      <c r="I22" s="18" t="s">
        <v>567</v>
      </c>
      <c r="J22" s="20" t="s">
        <v>567</v>
      </c>
      <c r="K22" s="18" t="n">
        <v>1.30318027</v>
      </c>
      <c r="L22" s="20" t="n">
        <v>0.56224105</v>
      </c>
      <c r="M22" s="18" t="n">
        <v>0</v>
      </c>
      <c r="N22" s="20" t="n">
        <v>0</v>
      </c>
      <c r="O22" s="18" t="n">
        <v>0</v>
      </c>
      <c r="P22" s="20" t="n">
        <v>0</v>
      </c>
      <c r="Q22" s="18" t="n">
        <v>0.81855995</v>
      </c>
      <c r="R22" s="20" t="n">
        <v>0.41548704</v>
      </c>
    </row>
    <row r="23" spans="1:18">
      <c r="A23" s="15" t="s">
        <v>583</v>
      </c>
      <c r="B23" s="17" t="n">
        <v>5791</v>
      </c>
      <c r="C23" s="18">
        <f>(5143.0/B23*100)</f>
        <v/>
      </c>
      <c r="D23" s="19" t="n">
        <v>648</v>
      </c>
      <c r="E23" s="18" t="n">
        <v>39.74408798</v>
      </c>
      <c r="F23" s="20" t="n">
        <v>2.51114447</v>
      </c>
      <c r="G23" s="18" t="n">
        <v>57.96380945</v>
      </c>
      <c r="H23" s="20" t="n">
        <v>2.54386408</v>
      </c>
      <c r="I23" s="18" t="s">
        <v>567</v>
      </c>
      <c r="J23" s="20" t="s">
        <v>567</v>
      </c>
      <c r="K23" s="18" t="n">
        <v>1.24086752</v>
      </c>
      <c r="L23" s="20" t="n">
        <v>0.48689053</v>
      </c>
      <c r="M23" s="18" t="n">
        <v>0</v>
      </c>
      <c r="N23" s="20" t="n">
        <v>0</v>
      </c>
      <c r="O23" s="18" t="n">
        <v>0</v>
      </c>
      <c r="P23" s="20" t="n">
        <v>0</v>
      </c>
      <c r="Q23" s="18" t="n">
        <v>1.05123505</v>
      </c>
      <c r="R23" s="20" t="n">
        <v>0.56603959</v>
      </c>
    </row>
    <row r="24" spans="1:18">
      <c r="A24" s="15" t="s">
        <v>584</v>
      </c>
      <c r="B24" s="17" t="n">
        <v>3338</v>
      </c>
      <c r="C24" s="18">
        <f>(2969.0/B24*100)</f>
        <v/>
      </c>
      <c r="D24" s="19" t="n">
        <v>369</v>
      </c>
      <c r="E24" s="18" t="n">
        <v>29.76565782</v>
      </c>
      <c r="F24" s="20" t="n">
        <v>2.53471097</v>
      </c>
      <c r="G24" s="18" t="n">
        <v>70.23434218</v>
      </c>
      <c r="H24" s="20" t="n">
        <v>2.53471097</v>
      </c>
      <c r="I24" s="18" t="s">
        <v>567</v>
      </c>
      <c r="J24" s="20" t="s">
        <v>567</v>
      </c>
      <c r="K24" s="18" t="n">
        <v>0</v>
      </c>
      <c r="L24" s="20" t="n">
        <v>0</v>
      </c>
      <c r="M24" s="18" t="n">
        <v>0</v>
      </c>
      <c r="N24" s="20" t="n">
        <v>0</v>
      </c>
      <c r="O24" s="18" t="n">
        <v>0</v>
      </c>
      <c r="P24" s="20" t="n">
        <v>0</v>
      </c>
      <c r="Q24" s="18" t="n">
        <v>0</v>
      </c>
      <c r="R24" s="20" t="n">
        <v>0</v>
      </c>
    </row>
    <row r="25" spans="1:18">
      <c r="A25" s="15" t="s">
        <v>585</v>
      </c>
      <c r="B25" s="17" t="n">
        <v>2912</v>
      </c>
      <c r="C25" s="18">
        <f>(2589.0/B25*100)</f>
        <v/>
      </c>
      <c r="D25" s="19" t="n">
        <v>323</v>
      </c>
      <c r="E25" s="18" t="n">
        <v>39.54384918</v>
      </c>
      <c r="F25" s="20" t="n">
        <v>3.12485343</v>
      </c>
      <c r="G25" s="18" t="n">
        <v>60.45615082</v>
      </c>
      <c r="H25" s="20" t="n">
        <v>3.12485343</v>
      </c>
      <c r="I25" s="18" t="s">
        <v>567</v>
      </c>
      <c r="J25" s="20" t="s">
        <v>567</v>
      </c>
      <c r="K25" s="18" t="n">
        <v>0</v>
      </c>
      <c r="L25" s="20" t="n">
        <v>0</v>
      </c>
      <c r="M25" s="18" t="n">
        <v>0</v>
      </c>
      <c r="N25" s="20" t="n">
        <v>0</v>
      </c>
      <c r="O25" s="18" t="n">
        <v>0</v>
      </c>
      <c r="P25" s="20" t="n">
        <v>0</v>
      </c>
      <c r="Q25" s="18" t="n">
        <v>0</v>
      </c>
      <c r="R25" s="20" t="n">
        <v>0</v>
      </c>
    </row>
    <row r="26" spans="1:18">
      <c r="A26" s="15" t="s">
        <v>586</v>
      </c>
      <c r="B26" s="17" t="n">
        <v>2450</v>
      </c>
      <c r="C26" s="18">
        <f>(2208.0/B26*100)</f>
        <v/>
      </c>
      <c r="D26" s="19" t="n">
        <v>242</v>
      </c>
      <c r="E26" s="18" t="n">
        <v>38.31383518</v>
      </c>
      <c r="F26" s="20" t="n">
        <v>3.22712211</v>
      </c>
      <c r="G26" s="18" t="n">
        <v>61.33297297</v>
      </c>
      <c r="H26" s="20" t="n">
        <v>3.2158391</v>
      </c>
      <c r="I26" s="18" t="s">
        <v>567</v>
      </c>
      <c r="J26" s="20" t="s">
        <v>567</v>
      </c>
      <c r="K26" s="18" t="n">
        <v>0.35319186</v>
      </c>
      <c r="L26" s="20" t="n">
        <v>0.35292983</v>
      </c>
      <c r="M26" s="18" t="n">
        <v>0</v>
      </c>
      <c r="N26" s="20" t="n">
        <v>0</v>
      </c>
      <c r="O26" s="18" t="n">
        <v>0</v>
      </c>
      <c r="P26" s="20" t="n">
        <v>0</v>
      </c>
      <c r="Q26" s="18" t="n">
        <v>0</v>
      </c>
      <c r="R26" s="20" t="n">
        <v>0</v>
      </c>
    </row>
    <row r="27" spans="1:18">
      <c r="A27" s="15" t="s">
        <v>587</v>
      </c>
      <c r="B27" s="17" t="n">
        <v>2616</v>
      </c>
      <c r="C27" s="18">
        <f>(2356.0/B27*100)</f>
        <v/>
      </c>
      <c r="D27" s="19" t="n">
        <v>260</v>
      </c>
      <c r="E27" s="18" t="n">
        <v>36.17521162</v>
      </c>
      <c r="F27" s="20" t="n">
        <v>3.09606522</v>
      </c>
      <c r="G27" s="18" t="n">
        <v>63.07314442</v>
      </c>
      <c r="H27" s="20" t="n">
        <v>3.17895476</v>
      </c>
      <c r="I27" s="18" t="s">
        <v>567</v>
      </c>
      <c r="J27" s="20" t="s">
        <v>567</v>
      </c>
      <c r="K27" s="18" t="n">
        <v>0.75164396</v>
      </c>
      <c r="L27" s="20" t="n">
        <v>0.53132918</v>
      </c>
      <c r="M27" s="18" t="n">
        <v>0</v>
      </c>
      <c r="N27" s="20" t="n">
        <v>0</v>
      </c>
      <c r="O27" s="18" t="n">
        <v>0</v>
      </c>
      <c r="P27" s="20" t="n">
        <v>0</v>
      </c>
      <c r="Q27" s="18" t="n">
        <v>0</v>
      </c>
      <c r="R27" s="20" t="n">
        <v>0</v>
      </c>
    </row>
    <row r="28" spans="1:18">
      <c r="A28" s="15" t="s">
        <v>588</v>
      </c>
      <c r="B28" s="17" t="n">
        <v>3765</v>
      </c>
      <c r="C28" s="18">
        <f>(3356.0/B28*100)</f>
        <v/>
      </c>
      <c r="D28" s="19" t="n">
        <v>409</v>
      </c>
      <c r="E28" s="18" t="n">
        <v>52.2370989</v>
      </c>
      <c r="F28" s="20" t="n">
        <v>2.80961585</v>
      </c>
      <c r="G28" s="18" t="n">
        <v>47.42470425</v>
      </c>
      <c r="H28" s="20" t="n">
        <v>2.73541528</v>
      </c>
      <c r="I28" s="18" t="s">
        <v>567</v>
      </c>
      <c r="J28" s="20" t="s">
        <v>567</v>
      </c>
      <c r="K28" s="18" t="n">
        <v>0.33819685</v>
      </c>
      <c r="L28" s="20" t="n">
        <v>0.38335024</v>
      </c>
      <c r="M28" s="18" t="n">
        <v>0</v>
      </c>
      <c r="N28" s="20" t="n">
        <v>0</v>
      </c>
      <c r="O28" s="18" t="n">
        <v>0</v>
      </c>
      <c r="P28" s="20" t="n">
        <v>0</v>
      </c>
      <c r="Q28" s="18" t="n">
        <v>0</v>
      </c>
      <c r="R28" s="20" t="n">
        <v>0</v>
      </c>
    </row>
    <row r="29" spans="1:18">
      <c r="A29" s="15" t="s">
        <v>589</v>
      </c>
      <c r="B29" s="17" t="n">
        <v>2685</v>
      </c>
      <c r="C29" s="18">
        <f>(2386.0/B29*100)</f>
        <v/>
      </c>
      <c r="D29" s="19" t="n">
        <v>299</v>
      </c>
      <c r="E29" s="18" t="n">
        <v>29.48168241</v>
      </c>
      <c r="F29" s="20" t="n">
        <v>3.13796309</v>
      </c>
      <c r="G29" s="18" t="n">
        <v>70.51831759</v>
      </c>
      <c r="H29" s="20" t="n">
        <v>3.13796309</v>
      </c>
      <c r="I29" s="18" t="s">
        <v>567</v>
      </c>
      <c r="J29" s="20" t="s">
        <v>567</v>
      </c>
      <c r="K29" s="18" t="n">
        <v>0</v>
      </c>
      <c r="L29" s="20" t="n">
        <v>0</v>
      </c>
      <c r="M29" s="18" t="n">
        <v>0</v>
      </c>
      <c r="N29" s="20" t="n">
        <v>0</v>
      </c>
      <c r="O29" s="18" t="n">
        <v>0</v>
      </c>
      <c r="P29" s="20" t="n">
        <v>0</v>
      </c>
      <c r="Q29" s="18" t="n">
        <v>0</v>
      </c>
      <c r="R29" s="20" t="n">
        <v>0</v>
      </c>
    </row>
    <row r="30" spans="1:18">
      <c r="A30" s="15" t="s">
        <v>590</v>
      </c>
      <c r="B30" s="17" t="n">
        <v>2263</v>
      </c>
      <c r="C30" s="18">
        <f>(2017.0/B30*100)</f>
        <v/>
      </c>
      <c r="D30" s="19" t="n">
        <v>246</v>
      </c>
      <c r="E30" s="18" t="n">
        <v>33.55976277</v>
      </c>
      <c r="F30" s="20" t="n">
        <v>2.44005518</v>
      </c>
      <c r="G30" s="18" t="n">
        <v>64.11621495</v>
      </c>
      <c r="H30" s="20" t="n">
        <v>2.60849826</v>
      </c>
      <c r="I30" s="18" t="s">
        <v>567</v>
      </c>
      <c r="J30" s="20" t="s">
        <v>567</v>
      </c>
      <c r="K30" s="18" t="n">
        <v>0.92715076</v>
      </c>
      <c r="L30" s="20" t="n">
        <v>0.62857706</v>
      </c>
      <c r="M30" s="18" t="n">
        <v>0</v>
      </c>
      <c r="N30" s="20" t="n">
        <v>0</v>
      </c>
      <c r="O30" s="18" t="n">
        <v>0</v>
      </c>
      <c r="P30" s="20" t="n">
        <v>0</v>
      </c>
      <c r="Q30" s="18" t="n">
        <v>1.39687153</v>
      </c>
      <c r="R30" s="20" t="n">
        <v>0.90050259</v>
      </c>
    </row>
    <row r="31" spans="1:18">
      <c r="A31" s="15" t="s">
        <v>591</v>
      </c>
      <c r="B31" s="17" t="n">
        <v>2750</v>
      </c>
      <c r="C31" s="18">
        <f>(2440.0/B31*100)</f>
        <v/>
      </c>
      <c r="D31" s="19" t="n">
        <v>310</v>
      </c>
      <c r="E31" s="18" t="n">
        <v>32.11325027</v>
      </c>
      <c r="F31" s="20" t="n">
        <v>2.80797259</v>
      </c>
      <c r="G31" s="18" t="n">
        <v>66.40969056</v>
      </c>
      <c r="H31" s="20" t="n">
        <v>2.8156136</v>
      </c>
      <c r="I31" s="18" t="s">
        <v>567</v>
      </c>
      <c r="J31" s="20" t="s">
        <v>567</v>
      </c>
      <c r="K31" s="18" t="n">
        <v>0.62516777</v>
      </c>
      <c r="L31" s="20" t="n">
        <v>0.41465866</v>
      </c>
      <c r="M31" s="18" t="n">
        <v>0</v>
      </c>
      <c r="N31" s="20" t="n">
        <v>0</v>
      </c>
      <c r="O31" s="18" t="n">
        <v>0</v>
      </c>
      <c r="P31" s="20" t="n">
        <v>0</v>
      </c>
      <c r="Q31" s="18" t="n">
        <v>0.8518914</v>
      </c>
      <c r="R31" s="20" t="n">
        <v>0.4822331</v>
      </c>
    </row>
    <row r="32" spans="1:18">
      <c r="A32" s="15" t="s">
        <v>592</v>
      </c>
      <c r="B32" s="17" t="n">
        <v>2269</v>
      </c>
      <c r="C32" s="18">
        <f>(2020.0/B32*100)</f>
        <v/>
      </c>
      <c r="D32" s="19" t="n">
        <v>249</v>
      </c>
      <c r="E32" s="18" t="n">
        <v>31.10002853</v>
      </c>
      <c r="F32" s="20" t="n">
        <v>2.57592899</v>
      </c>
      <c r="G32" s="18" t="n">
        <v>68.41251904000001</v>
      </c>
      <c r="H32" s="20" t="n">
        <v>2.60941</v>
      </c>
      <c r="I32" s="18" t="s">
        <v>567</v>
      </c>
      <c r="J32" s="20" t="s">
        <v>567</v>
      </c>
      <c r="K32" s="18" t="n">
        <v>0.48745243</v>
      </c>
      <c r="L32" s="20" t="n">
        <v>0.50628118</v>
      </c>
      <c r="M32" s="18" t="n">
        <v>0</v>
      </c>
      <c r="N32" s="20" t="n">
        <v>0</v>
      </c>
      <c r="O32" s="18" t="n">
        <v>0</v>
      </c>
      <c r="P32" s="20" t="n">
        <v>0</v>
      </c>
      <c r="Q32" s="18" t="n">
        <v>0</v>
      </c>
      <c r="R32" s="20" t="n">
        <v>0</v>
      </c>
    </row>
    <row r="33" spans="1:18">
      <c r="A33" s="15" t="s">
        <v>593</v>
      </c>
      <c r="B33" s="17" t="n">
        <v>3674</v>
      </c>
      <c r="C33" s="18">
        <f>(3290.0/B33*100)</f>
        <v/>
      </c>
      <c r="D33" s="19" t="n">
        <v>384</v>
      </c>
      <c r="E33" s="18" t="n">
        <v>42.28259514</v>
      </c>
      <c r="F33" s="20" t="n">
        <v>2.77762928</v>
      </c>
      <c r="G33" s="18" t="n">
        <v>57.69406637</v>
      </c>
      <c r="H33" s="20" t="n">
        <v>2.78330142</v>
      </c>
      <c r="I33" s="18" t="s">
        <v>567</v>
      </c>
      <c r="J33" s="20" t="s">
        <v>567</v>
      </c>
      <c r="K33" s="18" t="n">
        <v>0.02333849</v>
      </c>
      <c r="L33" s="20" t="n">
        <v>0.02339954</v>
      </c>
      <c r="M33" s="18" t="n">
        <v>0</v>
      </c>
      <c r="N33" s="20" t="n">
        <v>0</v>
      </c>
      <c r="O33" s="18" t="n">
        <v>0</v>
      </c>
      <c r="P33" s="20" t="n">
        <v>0</v>
      </c>
      <c r="Q33" s="18" t="n">
        <v>0</v>
      </c>
      <c r="R33" s="20" t="n">
        <v>0</v>
      </c>
    </row>
    <row r="34" spans="1:18">
      <c r="A34" s="15" t="s">
        <v>594</v>
      </c>
      <c r="B34" s="17" t="n">
        <v>3315</v>
      </c>
      <c r="C34" s="18">
        <f>(2931.0/B34*100)</f>
        <v/>
      </c>
      <c r="D34" s="19" t="n">
        <v>384</v>
      </c>
      <c r="E34" s="18" t="n">
        <v>42.20401292</v>
      </c>
      <c r="F34" s="20" t="n">
        <v>2.72258135</v>
      </c>
      <c r="G34" s="18" t="n">
        <v>57.30127104</v>
      </c>
      <c r="H34" s="20" t="n">
        <v>2.74270673</v>
      </c>
      <c r="I34" s="18" t="s">
        <v>567</v>
      </c>
      <c r="J34" s="20" t="s">
        <v>567</v>
      </c>
      <c r="K34" s="18" t="n">
        <v>0</v>
      </c>
      <c r="L34" s="20" t="n">
        <v>0</v>
      </c>
      <c r="M34" s="18" t="n">
        <v>0</v>
      </c>
      <c r="N34" s="20" t="n">
        <v>0</v>
      </c>
      <c r="O34" s="18" t="n">
        <v>0</v>
      </c>
      <c r="P34" s="20" t="n">
        <v>0</v>
      </c>
      <c r="Q34" s="18" t="n">
        <v>0.49471604</v>
      </c>
      <c r="R34" s="20" t="n">
        <v>0.24632934</v>
      </c>
    </row>
    <row r="35" spans="1:18">
      <c r="A35" s="15" t="s">
        <v>595</v>
      </c>
      <c r="B35" s="17" t="n">
        <v>3505</v>
      </c>
      <c r="C35" s="18">
        <f>(3117.0/B35*100)</f>
        <v/>
      </c>
      <c r="D35" s="19" t="n">
        <v>388</v>
      </c>
      <c r="E35" s="18" t="n">
        <v>33.84051581</v>
      </c>
      <c r="F35" s="20" t="n">
        <v>2.60077362</v>
      </c>
      <c r="G35" s="18" t="n">
        <v>65.66657177</v>
      </c>
      <c r="H35" s="20" t="n">
        <v>2.59802573</v>
      </c>
      <c r="I35" s="18" t="s">
        <v>567</v>
      </c>
      <c r="J35" s="20" t="s">
        <v>567</v>
      </c>
      <c r="K35" s="18" t="n">
        <v>0.26727346</v>
      </c>
      <c r="L35" s="20" t="n">
        <v>0.18762345</v>
      </c>
      <c r="M35" s="18" t="n">
        <v>0</v>
      </c>
      <c r="N35" s="20" t="n">
        <v>0</v>
      </c>
      <c r="O35" s="18" t="n">
        <v>0</v>
      </c>
      <c r="P35" s="20" t="n">
        <v>0</v>
      </c>
      <c r="Q35" s="18" t="n">
        <v>0.22563896</v>
      </c>
      <c r="R35" s="20" t="n">
        <v>0.15277092</v>
      </c>
    </row>
    <row r="36" spans="1:18">
      <c r="A36" s="15" t="s">
        <v>596</v>
      </c>
      <c r="B36" s="17" t="n">
        <v>3332</v>
      </c>
      <c r="C36" s="18">
        <f>(2980.0/B36*100)</f>
        <v/>
      </c>
      <c r="D36" s="19" t="n">
        <v>352</v>
      </c>
      <c r="E36" s="18" t="n">
        <v>36.33345092</v>
      </c>
      <c r="F36" s="20" t="n">
        <v>2.88626829</v>
      </c>
      <c r="G36" s="18" t="n">
        <v>63.05462789</v>
      </c>
      <c r="H36" s="20" t="n">
        <v>2.83591075</v>
      </c>
      <c r="I36" s="18" t="s">
        <v>567</v>
      </c>
      <c r="J36" s="20" t="s">
        <v>567</v>
      </c>
      <c r="K36" s="18" t="n">
        <v>0.16171996</v>
      </c>
      <c r="L36" s="20" t="n">
        <v>0.14828312</v>
      </c>
      <c r="M36" s="18" t="n">
        <v>0</v>
      </c>
      <c r="N36" s="20" t="n">
        <v>0</v>
      </c>
      <c r="O36" s="18" t="n">
        <v>0</v>
      </c>
      <c r="P36" s="20" t="n">
        <v>0</v>
      </c>
      <c r="Q36" s="18" t="n">
        <v>0.45020122</v>
      </c>
      <c r="R36" s="20" t="n">
        <v>0.30990428</v>
      </c>
    </row>
    <row r="37" spans="1:18">
      <c r="A37" s="15" t="s">
        <v>597</v>
      </c>
      <c r="B37" s="17" t="n">
        <v>2727</v>
      </c>
      <c r="C37" s="18">
        <f>(2429.0/B37*100)</f>
        <v/>
      </c>
      <c r="D37" s="19" t="n">
        <v>298</v>
      </c>
      <c r="E37" s="18" t="n">
        <v>32.06477895</v>
      </c>
      <c r="F37" s="20" t="n">
        <v>2.6922062</v>
      </c>
      <c r="G37" s="18" t="n">
        <v>63.75993833</v>
      </c>
      <c r="H37" s="20" t="n">
        <v>2.79289779</v>
      </c>
      <c r="I37" s="18" t="s">
        <v>567</v>
      </c>
      <c r="J37" s="20" t="s">
        <v>567</v>
      </c>
      <c r="K37" s="18" t="n">
        <v>2.98738413</v>
      </c>
      <c r="L37" s="20" t="n">
        <v>0.99704181</v>
      </c>
      <c r="M37" s="18" t="n">
        <v>0</v>
      </c>
      <c r="N37" s="20" t="n">
        <v>0</v>
      </c>
      <c r="O37" s="18" t="n">
        <v>0</v>
      </c>
      <c r="P37" s="20" t="n">
        <v>0</v>
      </c>
      <c r="Q37" s="18" t="n">
        <v>1.1878986</v>
      </c>
      <c r="R37" s="20" t="n">
        <v>0.59741318</v>
      </c>
    </row>
    <row r="38" spans="1:18">
      <c r="A38" s="15" t="s">
        <v>598</v>
      </c>
      <c r="B38" s="17" t="n">
        <v>3053</v>
      </c>
      <c r="C38" s="18">
        <f>(2722.0/B38*100)</f>
        <v/>
      </c>
      <c r="D38" s="19" t="n">
        <v>331</v>
      </c>
      <c r="E38" s="18" t="n">
        <v>34.4758571</v>
      </c>
      <c r="F38" s="20" t="n">
        <v>2.96988614</v>
      </c>
      <c r="G38" s="18" t="n">
        <v>64.06862338000001</v>
      </c>
      <c r="H38" s="20" t="n">
        <v>2.98305024</v>
      </c>
      <c r="I38" s="18" t="s">
        <v>567</v>
      </c>
      <c r="J38" s="20" t="s">
        <v>567</v>
      </c>
      <c r="K38" s="18" t="n">
        <v>0.58706384</v>
      </c>
      <c r="L38" s="20" t="n">
        <v>0.41839751</v>
      </c>
      <c r="M38" s="18" t="n">
        <v>0</v>
      </c>
      <c r="N38" s="20" t="n">
        <v>0</v>
      </c>
      <c r="O38" s="18" t="n">
        <v>0</v>
      </c>
      <c r="P38" s="20" t="n">
        <v>0</v>
      </c>
      <c r="Q38" s="18" t="n">
        <v>0.86845568</v>
      </c>
      <c r="R38" s="20" t="n">
        <v>0.49628398</v>
      </c>
    </row>
    <row r="39" spans="1:18">
      <c r="A39" s="15" t="s">
        <v>599</v>
      </c>
      <c r="B39" s="17" t="n">
        <v>2957</v>
      </c>
      <c r="C39" s="18">
        <f>(2633.0/B39*100)</f>
        <v/>
      </c>
      <c r="D39" s="19" t="n">
        <v>324</v>
      </c>
      <c r="E39" s="18" t="n">
        <v>49.41069168</v>
      </c>
      <c r="F39" s="20" t="n">
        <v>3.24306282</v>
      </c>
      <c r="G39" s="18" t="n">
        <v>48.87917705</v>
      </c>
      <c r="H39" s="20" t="n">
        <v>3.13055006</v>
      </c>
      <c r="I39" s="18" t="s">
        <v>567</v>
      </c>
      <c r="J39" s="20" t="s">
        <v>567</v>
      </c>
      <c r="K39" s="18" t="n">
        <v>1.09851088</v>
      </c>
      <c r="L39" s="20" t="n">
        <v>0.6252323</v>
      </c>
      <c r="M39" s="18" t="n">
        <v>0</v>
      </c>
      <c r="N39" s="20" t="n">
        <v>0</v>
      </c>
      <c r="O39" s="18" t="n">
        <v>0</v>
      </c>
      <c r="P39" s="20" t="n">
        <v>0</v>
      </c>
      <c r="Q39" s="18" t="n">
        <v>0.61162039</v>
      </c>
      <c r="R39" s="20" t="n">
        <v>0.37774932</v>
      </c>
    </row>
    <row r="40" spans="1:18">
      <c r="A40" s="15" t="s">
        <v>600</v>
      </c>
      <c r="B40" s="17" t="n">
        <v>7235</v>
      </c>
      <c r="C40" s="18">
        <f>(6431.0/B40*100)</f>
        <v/>
      </c>
      <c r="D40" s="19" t="n">
        <v>804</v>
      </c>
      <c r="E40" s="18" t="n">
        <v>32.78595184</v>
      </c>
      <c r="F40" s="20" t="n">
        <v>2.70230518</v>
      </c>
      <c r="G40" s="18" t="n">
        <v>66.75641813</v>
      </c>
      <c r="H40" s="20" t="n">
        <v>2.70524863</v>
      </c>
      <c r="I40" s="18" t="s">
        <v>567</v>
      </c>
      <c r="J40" s="20" t="s">
        <v>567</v>
      </c>
      <c r="K40" s="18" t="n">
        <v>0.33909349</v>
      </c>
      <c r="L40" s="20" t="n">
        <v>0.28315509</v>
      </c>
      <c r="M40" s="18" t="n">
        <v>0</v>
      </c>
      <c r="N40" s="20" t="n">
        <v>0</v>
      </c>
      <c r="O40" s="18" t="n">
        <v>0</v>
      </c>
      <c r="P40" s="20" t="n">
        <v>0</v>
      </c>
      <c r="Q40" s="18" t="n">
        <v>0.11853654</v>
      </c>
      <c r="R40" s="20" t="n">
        <v>0.06816707</v>
      </c>
    </row>
    <row r="41" spans="1:18">
      <c r="A41" s="15" t="s">
        <v>601</v>
      </c>
      <c r="B41" s="17" t="n">
        <v>2858</v>
      </c>
      <c r="C41" s="18">
        <f>(2541.0/B41*100)</f>
        <v/>
      </c>
      <c r="D41" s="19" t="n">
        <v>317</v>
      </c>
      <c r="E41" s="18" t="n">
        <v>31.292429</v>
      </c>
      <c r="F41" s="20" t="n">
        <v>3.65754139</v>
      </c>
      <c r="G41" s="18" t="n">
        <v>67.92830398</v>
      </c>
      <c r="H41" s="20" t="n">
        <v>3.50770798</v>
      </c>
      <c r="I41" s="18" t="s">
        <v>567</v>
      </c>
      <c r="J41" s="20" t="s">
        <v>567</v>
      </c>
      <c r="K41" s="18" t="n">
        <v>0.77926702</v>
      </c>
      <c r="L41" s="20" t="n">
        <v>0.54442598</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(9978.0/B46*100)</f>
        <v/>
      </c>
      <c r="D46" s="19" t="n">
        <v>1090</v>
      </c>
      <c r="E46" s="18" t="n">
        <v>55.65874822</v>
      </c>
      <c r="F46" s="20" t="n">
        <v>2.17097489</v>
      </c>
      <c r="G46" s="18" t="n">
        <v>43.29901422</v>
      </c>
      <c r="H46" s="20" t="n">
        <v>2.14600983</v>
      </c>
      <c r="I46" s="18" t="s">
        <v>567</v>
      </c>
      <c r="J46" s="20" t="s">
        <v>567</v>
      </c>
      <c r="K46" s="18" t="n">
        <v>0.57316394</v>
      </c>
      <c r="L46" s="20" t="n">
        <v>0.24620003</v>
      </c>
      <c r="M46" s="18" t="n">
        <v>0</v>
      </c>
      <c r="N46" s="20" t="n">
        <v>0</v>
      </c>
      <c r="O46" s="18" t="n">
        <v>0</v>
      </c>
      <c r="P46" s="20" t="n">
        <v>0</v>
      </c>
      <c r="Q46" s="18" t="n">
        <v>0.46907362</v>
      </c>
      <c r="R46" s="20" t="n">
        <v>0.25246878</v>
      </c>
    </row>
    <row r="47" spans="1:18">
      <c r="A47" s="15" t="s">
        <v>607</v>
      </c>
      <c r="B47" s="17" t="n">
        <v>3105</v>
      </c>
      <c r="C47" s="18">
        <f>(2781.0/B47*100)</f>
        <v/>
      </c>
      <c r="D47" s="19" t="n">
        <v>324</v>
      </c>
      <c r="E47" s="18" t="n">
        <v>48.19151616</v>
      </c>
      <c r="F47" s="20" t="n">
        <v>3.10468976</v>
      </c>
      <c r="G47" s="18" t="n">
        <v>51.21893608</v>
      </c>
      <c r="H47" s="20" t="n">
        <v>3.09112325</v>
      </c>
      <c r="I47" s="18" t="s">
        <v>567</v>
      </c>
      <c r="J47" s="20" t="s">
        <v>567</v>
      </c>
      <c r="K47" s="18" t="n">
        <v>0</v>
      </c>
      <c r="L47" s="20" t="n">
        <v>0</v>
      </c>
      <c r="M47" s="18" t="n">
        <v>0</v>
      </c>
      <c r="N47" s="20" t="n">
        <v>0</v>
      </c>
      <c r="O47" s="18" t="n">
        <v>0</v>
      </c>
      <c r="P47" s="20" t="n">
        <v>0</v>
      </c>
      <c r="Q47" s="18" t="n">
        <v>0.58954776</v>
      </c>
      <c r="R47" s="20" t="n">
        <v>0.41846008</v>
      </c>
    </row>
    <row r="48" spans="1:18">
      <c r="A48" s="15" t="s">
        <v>608</v>
      </c>
      <c r="B48" s="17" t="n">
        <v>5159</v>
      </c>
      <c r="C48" s="18">
        <f>(4576.0/B48*100)</f>
        <v/>
      </c>
      <c r="D48" s="19" t="n">
        <v>583</v>
      </c>
      <c r="E48" s="18" t="n">
        <v>39.2236861</v>
      </c>
      <c r="F48" s="20" t="n">
        <v>2.2947226</v>
      </c>
      <c r="G48" s="18" t="n">
        <v>59.76315326</v>
      </c>
      <c r="H48" s="20" t="n">
        <v>2.48878667</v>
      </c>
      <c r="I48" s="18" t="s">
        <v>567</v>
      </c>
      <c r="J48" s="20" t="s">
        <v>567</v>
      </c>
      <c r="K48" s="18" t="n">
        <v>0.43514479</v>
      </c>
      <c r="L48" s="20" t="n">
        <v>0.26100664</v>
      </c>
      <c r="M48" s="18" t="n">
        <v>0</v>
      </c>
      <c r="N48" s="20" t="n">
        <v>0</v>
      </c>
      <c r="O48" s="18" t="n">
        <v>0</v>
      </c>
      <c r="P48" s="20" t="n">
        <v>0</v>
      </c>
      <c r="Q48" s="18" t="n">
        <v>0.57801586</v>
      </c>
      <c r="R48" s="20" t="n">
        <v>0.5053748300000001</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(5013.0/B50*100)</f>
        <v/>
      </c>
      <c r="D50" s="19" t="n">
        <v>624</v>
      </c>
      <c r="E50" s="18" t="n">
        <v>57.67683222</v>
      </c>
      <c r="F50" s="20" t="n">
        <v>2.947103</v>
      </c>
      <c r="G50" s="18" t="n">
        <v>39.07084509</v>
      </c>
      <c r="H50" s="20" t="n">
        <v>2.81295193</v>
      </c>
      <c r="I50" s="18" t="s">
        <v>567</v>
      </c>
      <c r="J50" s="20" t="s">
        <v>567</v>
      </c>
      <c r="K50" s="18" t="n">
        <v>2.68600126</v>
      </c>
      <c r="L50" s="20" t="n">
        <v>1.09061655</v>
      </c>
      <c r="M50" s="18" t="n">
        <v>0</v>
      </c>
      <c r="N50" s="20" t="n">
        <v>0</v>
      </c>
      <c r="O50" s="18" t="n">
        <v>0</v>
      </c>
      <c r="P50" s="20" t="n">
        <v>0</v>
      </c>
      <c r="Q50" s="18" t="n">
        <v>0.56632143</v>
      </c>
      <c r="R50" s="20" t="n">
        <v>0.32120215</v>
      </c>
    </row>
    <row r="51" spans="1:18">
      <c r="A51" s="15" t="s">
        <v>611</v>
      </c>
      <c r="B51" s="17" t="n">
        <v>3372</v>
      </c>
      <c r="C51" s="18">
        <f>(3042.0/B51*100)</f>
        <v/>
      </c>
      <c r="D51" s="19" t="n">
        <v>330</v>
      </c>
      <c r="E51" s="18" t="n">
        <v>48.83781522</v>
      </c>
      <c r="F51" s="20" t="n">
        <v>3.36900355</v>
      </c>
      <c r="G51" s="18" t="n">
        <v>49.0271335</v>
      </c>
      <c r="H51" s="20" t="n">
        <v>3.36809371</v>
      </c>
      <c r="I51" s="18" t="s">
        <v>567</v>
      </c>
      <c r="J51" s="20" t="s">
        <v>567</v>
      </c>
      <c r="K51" s="18" t="n">
        <v>0.79636197</v>
      </c>
      <c r="L51" s="20" t="n">
        <v>0.54158894</v>
      </c>
      <c r="M51" s="18" t="n">
        <v>0</v>
      </c>
      <c r="N51" s="20" t="n">
        <v>0</v>
      </c>
      <c r="O51" s="18" t="n">
        <v>0</v>
      </c>
      <c r="P51" s="20" t="n">
        <v>0</v>
      </c>
      <c r="Q51" s="18" t="n">
        <v>1.33868931</v>
      </c>
      <c r="R51" s="20" t="n">
        <v>0.65141749</v>
      </c>
    </row>
    <row r="52" spans="1:18">
      <c r="A52" s="15" t="s">
        <v>612</v>
      </c>
      <c r="B52" s="17" t="n">
        <v>2796</v>
      </c>
      <c r="C52" s="18">
        <f>(2444.0/B52*100)</f>
        <v/>
      </c>
      <c r="D52" s="19" t="n">
        <v>352</v>
      </c>
      <c r="E52" s="18" t="n">
        <v>36.99493852</v>
      </c>
      <c r="F52" s="20" t="n">
        <v>2.50630484</v>
      </c>
      <c r="G52" s="18" t="n">
        <v>62.07098996</v>
      </c>
      <c r="H52" s="20" t="n">
        <v>2.64290579</v>
      </c>
      <c r="I52" s="18" t="s">
        <v>567</v>
      </c>
      <c r="J52" s="20" t="s">
        <v>567</v>
      </c>
      <c r="K52" s="18" t="n">
        <v>0</v>
      </c>
      <c r="L52" s="20" t="n">
        <v>0</v>
      </c>
      <c r="M52" s="18" t="n">
        <v>0</v>
      </c>
      <c r="N52" s="20" t="n">
        <v>0</v>
      </c>
      <c r="O52" s="18" t="n">
        <v>0</v>
      </c>
      <c r="P52" s="20" t="n">
        <v>0</v>
      </c>
      <c r="Q52" s="18" t="n">
        <v>0.93407152</v>
      </c>
      <c r="R52" s="20" t="n">
        <v>0.5441294800000001</v>
      </c>
    </row>
    <row r="53" spans="1:18">
      <c r="A53" s="15" t="s">
        <v>613</v>
      </c>
      <c r="B53" s="17" t="n">
        <v>2811</v>
      </c>
      <c r="C53" s="18">
        <f>(2518.0/B53*100)</f>
        <v/>
      </c>
      <c r="D53" s="19" t="n">
        <v>293</v>
      </c>
      <c r="E53" s="18" t="n">
        <v>57.15744312</v>
      </c>
      <c r="F53" s="20" t="n">
        <v>2.6626594</v>
      </c>
      <c r="G53" s="18" t="n">
        <v>40.83065439</v>
      </c>
      <c r="H53" s="20" t="n">
        <v>2.72990138</v>
      </c>
      <c r="I53" s="18" t="s">
        <v>567</v>
      </c>
      <c r="J53" s="20" t="s">
        <v>567</v>
      </c>
      <c r="K53" s="18" t="n">
        <v>0.73047066</v>
      </c>
      <c r="L53" s="20" t="n">
        <v>0.4170712</v>
      </c>
      <c r="M53" s="18" t="n">
        <v>0</v>
      </c>
      <c r="N53" s="20" t="n">
        <v>0</v>
      </c>
      <c r="O53" s="18" t="n">
        <v>0</v>
      </c>
      <c r="P53" s="20" t="n">
        <v>0</v>
      </c>
      <c r="Q53" s="18" t="n">
        <v>1.28143183</v>
      </c>
      <c r="R53" s="20" t="n">
        <v>0.64695287</v>
      </c>
    </row>
    <row r="54" spans="1:18">
      <c r="A54" s="15" t="s">
        <v>614</v>
      </c>
      <c r="B54" s="17" t="n">
        <v>2266</v>
      </c>
      <c r="C54" s="18">
        <f>(2009.0/B54*100)</f>
        <v/>
      </c>
      <c r="D54" s="19" t="n">
        <v>257</v>
      </c>
      <c r="E54" s="18" t="n">
        <v>63.5801721</v>
      </c>
      <c r="F54" s="20" t="n">
        <v>2.92142008</v>
      </c>
      <c r="G54" s="18" t="n">
        <v>24.73027711</v>
      </c>
      <c r="H54" s="20" t="n">
        <v>2.49697464</v>
      </c>
      <c r="I54" s="18" t="s">
        <v>567</v>
      </c>
      <c r="J54" s="20" t="s">
        <v>567</v>
      </c>
      <c r="K54" s="18" t="n">
        <v>9.26980674</v>
      </c>
      <c r="L54" s="20" t="n">
        <v>2.11596058</v>
      </c>
      <c r="M54" s="18" t="n">
        <v>0</v>
      </c>
      <c r="N54" s="20" t="n">
        <v>0</v>
      </c>
      <c r="O54" s="18" t="n">
        <v>0</v>
      </c>
      <c r="P54" s="20" t="n">
        <v>0</v>
      </c>
      <c r="Q54" s="18" t="n">
        <v>2.41974405</v>
      </c>
      <c r="R54" s="20" t="n">
        <v>0.91842173</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(2373.0/B56*100)</f>
        <v/>
      </c>
      <c r="D56" s="19" t="n">
        <v>311</v>
      </c>
      <c r="E56" s="18" t="n">
        <v>34.03432729</v>
      </c>
      <c r="F56" s="20" t="n">
        <v>2.88765627</v>
      </c>
      <c r="G56" s="18" t="n">
        <v>65.25034970999999</v>
      </c>
      <c r="H56" s="20" t="n">
        <v>2.9349441</v>
      </c>
      <c r="I56" s="18" t="s">
        <v>567</v>
      </c>
      <c r="J56" s="20" t="s">
        <v>567</v>
      </c>
      <c r="K56" s="18" t="n">
        <v>0.26941788</v>
      </c>
      <c r="L56" s="20" t="n">
        <v>0.27579978</v>
      </c>
      <c r="M56" s="18" t="n">
        <v>0</v>
      </c>
      <c r="N56" s="20" t="n">
        <v>0</v>
      </c>
      <c r="O56" s="18" t="n">
        <v>0</v>
      </c>
      <c r="P56" s="20" t="n">
        <v>0</v>
      </c>
      <c r="Q56" s="18" t="n">
        <v>0.44590512</v>
      </c>
      <c r="R56" s="20" t="n">
        <v>0.35181854</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(2904.0/B61*100)</f>
        <v/>
      </c>
      <c r="D61" s="19" t="n">
        <v>420</v>
      </c>
      <c r="E61" s="18" t="n">
        <v>33.44732023</v>
      </c>
      <c r="F61" s="20" t="n">
        <v>2.15951923</v>
      </c>
      <c r="G61" s="18" t="n">
        <v>65.55694762</v>
      </c>
      <c r="H61" s="20" t="n">
        <v>2.22081525</v>
      </c>
      <c r="I61" s="18" t="s">
        <v>567</v>
      </c>
      <c r="J61" s="20" t="s">
        <v>567</v>
      </c>
      <c r="K61" s="18" t="n">
        <v>0.05756394</v>
      </c>
      <c r="L61" s="20" t="n">
        <v>0.05749659</v>
      </c>
      <c r="M61" s="18" t="n">
        <v>0</v>
      </c>
      <c r="N61" s="20" t="n">
        <v>0</v>
      </c>
      <c r="O61" s="18" t="n">
        <v>0</v>
      </c>
      <c r="P61" s="20" t="n">
        <v>0</v>
      </c>
      <c r="Q61" s="18" t="n">
        <v>0.9381682</v>
      </c>
      <c r="R61" s="20" t="n">
        <v>0.8220445</v>
      </c>
    </row>
    <row r="62" spans="1:18">
      <c r="A62" s="15" t="s">
        <v>622</v>
      </c>
      <c r="B62" s="17" t="n">
        <v>2246</v>
      </c>
      <c r="C62" s="18">
        <f>(1992.0/B62*100)</f>
        <v/>
      </c>
      <c r="D62" s="19" t="n">
        <v>254</v>
      </c>
      <c r="E62" s="18" t="n">
        <v>36.24421064</v>
      </c>
      <c r="F62" s="20" t="n">
        <v>2.96030502</v>
      </c>
      <c r="G62" s="18" t="n">
        <v>63.75578936</v>
      </c>
      <c r="H62" s="20" t="n">
        <v>2.96030502</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(2557.0/B66*100)</f>
        <v/>
      </c>
      <c r="D66" s="19" t="n">
        <v>337</v>
      </c>
      <c r="E66" s="18" t="n">
        <v>53.30427495</v>
      </c>
      <c r="F66" s="20" t="n">
        <v>2.89382976</v>
      </c>
      <c r="G66" s="18" t="n">
        <v>44.431248</v>
      </c>
      <c r="H66" s="20" t="n">
        <v>2.903385</v>
      </c>
      <c r="I66" s="18" t="s">
        <v>567</v>
      </c>
      <c r="J66" s="20" t="s">
        <v>567</v>
      </c>
      <c r="K66" s="18" t="n">
        <v>0.84181888</v>
      </c>
      <c r="L66" s="20" t="n">
        <v>0.47403651</v>
      </c>
      <c r="M66" s="18" t="n">
        <v>0</v>
      </c>
      <c r="N66" s="20" t="n">
        <v>0</v>
      </c>
      <c r="O66" s="18" t="n">
        <v>0</v>
      </c>
      <c r="P66" s="20" t="n">
        <v>0</v>
      </c>
      <c r="Q66" s="18" t="n">
        <v>1.42265818</v>
      </c>
      <c r="R66" s="20" t="n">
        <v>0.63282125</v>
      </c>
    </row>
    <row r="67" spans="1:18">
      <c r="A67" s="15" t="s">
        <v>627</v>
      </c>
      <c r="B67" s="17" t="n">
        <v>3511</v>
      </c>
      <c r="C67" s="18">
        <f>(3151.0/B67*100)</f>
        <v/>
      </c>
      <c r="D67" s="19" t="n">
        <v>360</v>
      </c>
      <c r="E67" s="18" t="n">
        <v>53.51075612</v>
      </c>
      <c r="F67" s="20" t="n">
        <v>2.57586033</v>
      </c>
      <c r="G67" s="18" t="n">
        <v>46.23282071</v>
      </c>
      <c r="H67" s="20" t="n">
        <v>2.56246053</v>
      </c>
      <c r="I67" s="18" t="s">
        <v>567</v>
      </c>
      <c r="J67" s="20" t="s">
        <v>567</v>
      </c>
      <c r="K67" s="18" t="n">
        <v>0</v>
      </c>
      <c r="L67" s="20" t="n">
        <v>0</v>
      </c>
      <c r="M67" s="18" t="n">
        <v>0</v>
      </c>
      <c r="N67" s="20" t="n">
        <v>0</v>
      </c>
      <c r="O67" s="18" t="n">
        <v>0</v>
      </c>
      <c r="P67" s="20" t="n">
        <v>0</v>
      </c>
      <c r="Q67" s="18" t="n">
        <v>0.25642316</v>
      </c>
      <c r="R67" s="20" t="n">
        <v>0.25586996</v>
      </c>
    </row>
    <row r="68" spans="1:18">
      <c r="A68" s="15" t="s">
        <v>628</v>
      </c>
      <c r="B68" s="17" t="n">
        <v>6049</v>
      </c>
      <c r="C68" s="18">
        <f>(5386.0/B68*100)</f>
        <v/>
      </c>
      <c r="D68" s="19" t="n">
        <v>663</v>
      </c>
      <c r="E68" s="18" t="n">
        <v>58.62987145</v>
      </c>
      <c r="F68" s="20" t="n">
        <v>2.08957797</v>
      </c>
      <c r="G68" s="18" t="n">
        <v>38.7899957</v>
      </c>
      <c r="H68" s="20" t="n">
        <v>2.07961929</v>
      </c>
      <c r="I68" s="18" t="s">
        <v>567</v>
      </c>
      <c r="J68" s="20" t="s">
        <v>567</v>
      </c>
      <c r="K68" s="18" t="n">
        <v>1.36922908</v>
      </c>
      <c r="L68" s="20" t="n">
        <v>0.45976207</v>
      </c>
      <c r="M68" s="18" t="n">
        <v>0</v>
      </c>
      <c r="N68" s="20" t="n">
        <v>0</v>
      </c>
      <c r="O68" s="18" t="n">
        <v>0</v>
      </c>
      <c r="P68" s="20" t="n">
        <v>0</v>
      </c>
      <c r="Q68" s="18" t="n">
        <v>1.21090377</v>
      </c>
      <c r="R68" s="20" t="n">
        <v>0.36892546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(2614.0/B70*100)</f>
        <v/>
      </c>
      <c r="D70" s="19" t="n">
        <v>315</v>
      </c>
      <c r="E70" s="18" t="n">
        <v>33.62736323</v>
      </c>
      <c r="F70" s="20" t="n">
        <v>2.68886787</v>
      </c>
      <c r="G70" s="18" t="n">
        <v>65.72657373</v>
      </c>
      <c r="H70" s="20" t="n">
        <v>2.75082504</v>
      </c>
      <c r="I70" s="18" t="s">
        <v>567</v>
      </c>
      <c r="J70" s="20" t="s">
        <v>567</v>
      </c>
      <c r="K70" s="18" t="n">
        <v>0.32303152</v>
      </c>
      <c r="L70" s="20" t="n">
        <v>0.23169406</v>
      </c>
      <c r="M70" s="18" t="n">
        <v>0</v>
      </c>
      <c r="N70" s="20" t="n">
        <v>0</v>
      </c>
      <c r="O70" s="18" t="n">
        <v>0</v>
      </c>
      <c r="P70" s="20" t="n">
        <v>0</v>
      </c>
      <c r="Q70" s="18" t="n">
        <v>0.32303152</v>
      </c>
      <c r="R70" s="20" t="n">
        <v>0.23169406</v>
      </c>
    </row>
    <row r="71" spans="1:18">
      <c r="A71" s="15" t="s">
        <v>631</v>
      </c>
      <c r="B71" s="17" t="n">
        <v>3142</v>
      </c>
      <c r="C71" s="18">
        <f>(2784.0/B71*100)</f>
        <v/>
      </c>
      <c r="D71" s="19" t="n">
        <v>358</v>
      </c>
      <c r="E71" s="18" t="n">
        <v>25.71154544</v>
      </c>
      <c r="F71" s="20" t="n">
        <v>2.32893414</v>
      </c>
      <c r="G71" s="18" t="n">
        <v>74.28845456000001</v>
      </c>
      <c r="H71" s="20" t="n">
        <v>2.32893414</v>
      </c>
      <c r="I71" s="18" t="s">
        <v>567</v>
      </c>
      <c r="J71" s="20" t="s">
        <v>567</v>
      </c>
      <c r="K71" s="18" t="n">
        <v>0</v>
      </c>
      <c r="L71" s="20" t="n">
        <v>0</v>
      </c>
      <c r="M71" s="18" t="n">
        <v>0</v>
      </c>
      <c r="N71" s="20" t="n">
        <v>0</v>
      </c>
      <c r="O71" s="18" t="n">
        <v>0</v>
      </c>
      <c r="P71" s="20" t="n">
        <v>0</v>
      </c>
      <c r="Q71" s="18" t="n">
        <v>0</v>
      </c>
      <c r="R71" s="20" t="n">
        <v>0</v>
      </c>
    </row>
    <row r="72" spans="1:18">
      <c r="A72" s="15" t="s">
        <v>632</v>
      </c>
      <c r="B72" s="17" t="n">
        <v>3889</v>
      </c>
      <c r="C72" s="18">
        <f>(3433.0/B72*100)</f>
        <v/>
      </c>
      <c r="D72" s="19" t="n">
        <v>456</v>
      </c>
      <c r="E72" s="18" t="n">
        <v>27.64753396</v>
      </c>
      <c r="F72" s="20" t="n">
        <v>2.23740168</v>
      </c>
      <c r="G72" s="18" t="n">
        <v>71.59433919999999</v>
      </c>
      <c r="H72" s="20" t="n">
        <v>2.21920552</v>
      </c>
      <c r="I72" s="18" t="s">
        <v>567</v>
      </c>
      <c r="J72" s="20" t="s">
        <v>567</v>
      </c>
      <c r="K72" s="18" t="n">
        <v>0.46512762</v>
      </c>
      <c r="L72" s="20" t="n">
        <v>0.35056184</v>
      </c>
      <c r="M72" s="18" t="n">
        <v>0</v>
      </c>
      <c r="N72" s="20" t="n">
        <v>0</v>
      </c>
      <c r="O72" s="18" t="n">
        <v>0</v>
      </c>
      <c r="P72" s="20" t="n">
        <v>0</v>
      </c>
      <c r="Q72" s="18" t="n">
        <v>0.29299922</v>
      </c>
      <c r="R72" s="20" t="n">
        <v>0.17710015</v>
      </c>
    </row>
    <row r="73" spans="1:18">
      <c r="A73" s="15" t="s">
        <v>633</v>
      </c>
      <c r="B73" s="17" t="n">
        <v>3597</v>
      </c>
      <c r="C73" s="18">
        <f>(3196.0/B73*100)</f>
        <v/>
      </c>
      <c r="D73" s="19" t="n">
        <v>401</v>
      </c>
      <c r="E73" s="18" t="n">
        <v>57.65338069</v>
      </c>
      <c r="F73" s="20" t="n">
        <v>3.17615954</v>
      </c>
      <c r="G73" s="18" t="n">
        <v>41.74758331</v>
      </c>
      <c r="H73" s="20" t="n">
        <v>3.17857966</v>
      </c>
      <c r="I73" s="18" t="s">
        <v>567</v>
      </c>
      <c r="J73" s="20" t="s">
        <v>567</v>
      </c>
      <c r="K73" s="18" t="n">
        <v>0.09254546</v>
      </c>
      <c r="L73" s="20" t="n">
        <v>0.09701894</v>
      </c>
      <c r="M73" s="18" t="n">
        <v>0</v>
      </c>
      <c r="N73" s="20" t="n">
        <v>0</v>
      </c>
      <c r="O73" s="18" t="n">
        <v>0</v>
      </c>
      <c r="P73" s="20" t="n">
        <v>0</v>
      </c>
      <c r="Q73" s="18" t="n">
        <v>0.50649054</v>
      </c>
      <c r="R73" s="20" t="n">
        <v>0.4161269</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(2163.0/B75*100)</f>
        <v/>
      </c>
      <c r="D75" s="19" t="n">
        <v>243</v>
      </c>
      <c r="E75" s="18" t="n">
        <v>62.95549647</v>
      </c>
      <c r="F75" s="20" t="n">
        <v>3.51584319</v>
      </c>
      <c r="G75" s="18" t="n">
        <v>33.30008231</v>
      </c>
      <c r="H75" s="20" t="n">
        <v>3.63507485</v>
      </c>
      <c r="I75" s="18" t="s">
        <v>567</v>
      </c>
      <c r="J75" s="20" t="s">
        <v>567</v>
      </c>
      <c r="K75" s="18" t="n">
        <v>2.78430799</v>
      </c>
      <c r="L75" s="20" t="n">
        <v>0.97559337</v>
      </c>
      <c r="M75" s="18" t="n">
        <v>0</v>
      </c>
      <c r="N75" s="20" t="n">
        <v>0</v>
      </c>
      <c r="O75" s="18" t="n">
        <v>0</v>
      </c>
      <c r="P75" s="20" t="n">
        <v>0</v>
      </c>
      <c r="Q75" s="18" t="n">
        <v>0.96011323</v>
      </c>
      <c r="R75" s="20" t="n">
        <v>0.53570166</v>
      </c>
    </row>
    <row r="76" spans="1:18">
      <c r="A76" s="15" t="s">
        <v>636</v>
      </c>
      <c r="B76" s="17" t="n">
        <v>7052</v>
      </c>
      <c r="C76" s="18">
        <f>(6267.0/B76*100)</f>
        <v/>
      </c>
      <c r="D76" s="19" t="n">
        <v>785</v>
      </c>
      <c r="E76" s="18" t="n">
        <v>55.31149779</v>
      </c>
      <c r="F76" s="20" t="n">
        <v>1.91488574</v>
      </c>
      <c r="G76" s="18" t="n">
        <v>43.30580692</v>
      </c>
      <c r="H76" s="20" t="n">
        <v>2.02744238</v>
      </c>
      <c r="I76" s="18" t="s">
        <v>567</v>
      </c>
      <c r="J76" s="20" t="s">
        <v>567</v>
      </c>
      <c r="K76" s="18" t="n">
        <v>0.96155661</v>
      </c>
      <c r="L76" s="20" t="n">
        <v>0.44843536</v>
      </c>
      <c r="M76" s="18" t="n">
        <v>0</v>
      </c>
      <c r="N76" s="20" t="n">
        <v>0</v>
      </c>
      <c r="O76" s="18" t="n">
        <v>0</v>
      </c>
      <c r="P76" s="20" t="n">
        <v>0</v>
      </c>
      <c r="Q76" s="18" t="n">
        <v>0.42113868</v>
      </c>
      <c r="R76" s="20" t="n">
        <v>0.21419859</v>
      </c>
    </row>
    <row r="77" spans="1:18">
      <c r="A77" s="15" t="s">
        <v>637</v>
      </c>
      <c r="B77" s="17" t="n">
        <v>2908</v>
      </c>
      <c r="C77" s="18">
        <f>(2581.0/B77*100)</f>
        <v/>
      </c>
      <c r="D77" s="19" t="n">
        <v>327</v>
      </c>
      <c r="E77" s="18" t="n">
        <v>48.14307339</v>
      </c>
      <c r="F77" s="20" t="n">
        <v>2.57805881</v>
      </c>
      <c r="G77" s="18" t="n">
        <v>49.30249957</v>
      </c>
      <c r="H77" s="20" t="n">
        <v>2.95244817</v>
      </c>
      <c r="I77" s="18" t="s">
        <v>567</v>
      </c>
      <c r="J77" s="20" t="s">
        <v>567</v>
      </c>
      <c r="K77" s="18" t="n">
        <v>1.04662499</v>
      </c>
      <c r="L77" s="20" t="n">
        <v>0.53204269</v>
      </c>
      <c r="M77" s="18" t="n">
        <v>0</v>
      </c>
      <c r="N77" s="20" t="n">
        <v>0</v>
      </c>
      <c r="O77" s="18" t="n">
        <v>0</v>
      </c>
      <c r="P77" s="20" t="n">
        <v>0</v>
      </c>
      <c r="Q77" s="18" t="n">
        <v>1.50780205</v>
      </c>
      <c r="R77" s="20" t="n">
        <v>0.68907763</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(3677.0/B81*100)</f>
        <v/>
      </c>
      <c r="D81" s="19" t="n">
        <v>486</v>
      </c>
      <c r="E81" s="18" t="n">
        <v>63.46982627</v>
      </c>
      <c r="F81" s="20" t="n">
        <v>2.84530604</v>
      </c>
      <c r="G81" s="18" t="n">
        <v>36.53017373</v>
      </c>
      <c r="H81" s="20" t="n">
        <v>2.84530604</v>
      </c>
      <c r="I81" s="18" t="s">
        <v>567</v>
      </c>
      <c r="J81" s="20" t="s">
        <v>567</v>
      </c>
      <c r="K81" s="18" t="n">
        <v>0</v>
      </c>
      <c r="L81" s="20" t="n">
        <v>0</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(6529.0/B7*100)</f>
        <v/>
      </c>
      <c r="D7" s="19" t="n">
        <v>838</v>
      </c>
      <c r="E7" s="18" t="n">
        <v>44.64903539</v>
      </c>
      <c r="F7" s="20" t="n">
        <v>1.96458027</v>
      </c>
      <c r="G7" s="18" t="n">
        <v>43.35569162</v>
      </c>
      <c r="H7" s="20" t="n">
        <v>1.94059972</v>
      </c>
      <c r="I7" s="18" t="s">
        <v>567</v>
      </c>
      <c r="J7" s="20" t="s">
        <v>567</v>
      </c>
      <c r="K7" s="18" t="n">
        <v>0.07896412</v>
      </c>
      <c r="L7" s="20" t="n">
        <v>0.04740953</v>
      </c>
      <c r="M7" s="18" t="n">
        <v>0.05163192</v>
      </c>
      <c r="N7" s="20" t="n">
        <v>0.02914553</v>
      </c>
      <c r="O7" s="18" t="n">
        <v>0</v>
      </c>
      <c r="P7" s="20" t="n">
        <v>0</v>
      </c>
      <c r="Q7" s="18" t="n">
        <v>11.86467695</v>
      </c>
      <c r="R7" s="20" t="n">
        <v>1.35147124</v>
      </c>
    </row>
    <row r="8" spans="1:18">
      <c r="A8" s="15" t="s">
        <v>568</v>
      </c>
      <c r="B8" s="17" t="n">
        <v>3564</v>
      </c>
      <c r="C8" s="18">
        <f>(3139.0/B8*100)</f>
        <v/>
      </c>
      <c r="D8" s="19" t="n">
        <v>425</v>
      </c>
      <c r="E8" s="18" t="n">
        <v>41.55170291</v>
      </c>
      <c r="F8" s="20" t="n">
        <v>2.46697807</v>
      </c>
      <c r="G8" s="18" t="n">
        <v>41.40280169</v>
      </c>
      <c r="H8" s="20" t="n">
        <v>2.78155414</v>
      </c>
      <c r="I8" s="18" t="s">
        <v>567</v>
      </c>
      <c r="J8" s="20" t="s">
        <v>567</v>
      </c>
      <c r="K8" s="18" t="n">
        <v>0.20349756</v>
      </c>
      <c r="L8" s="20" t="n">
        <v>0.20668571</v>
      </c>
      <c r="M8" s="18" t="n">
        <v>0</v>
      </c>
      <c r="N8" s="20" t="n">
        <v>0</v>
      </c>
      <c r="O8" s="18" t="n">
        <v>0</v>
      </c>
      <c r="P8" s="20" t="n">
        <v>0</v>
      </c>
      <c r="Q8" s="18" t="n">
        <v>16.84199785</v>
      </c>
      <c r="R8" s="20" t="n">
        <v>2.14701187</v>
      </c>
    </row>
    <row r="9" spans="1:18">
      <c r="A9" s="15" t="s">
        <v>569</v>
      </c>
      <c r="B9" s="17" t="n">
        <v>4899</v>
      </c>
      <c r="C9" s="18">
        <f>(4373.0/B9*100)</f>
        <v/>
      </c>
      <c r="D9" s="19" t="n">
        <v>526</v>
      </c>
      <c r="E9" s="18" t="n">
        <v>48.64193877</v>
      </c>
      <c r="F9" s="20" t="n">
        <v>2.45207926</v>
      </c>
      <c r="G9" s="18" t="n">
        <v>37.96156438</v>
      </c>
      <c r="H9" s="20" t="n">
        <v>2.50418701</v>
      </c>
      <c r="I9" s="18" t="s">
        <v>567</v>
      </c>
      <c r="J9" s="20" t="s">
        <v>567</v>
      </c>
      <c r="K9" s="18" t="n">
        <v>0.50634763</v>
      </c>
      <c r="L9" s="20" t="n">
        <v>0.37407727</v>
      </c>
      <c r="M9" s="18" t="n">
        <v>0.17747852</v>
      </c>
      <c r="N9" s="20" t="n">
        <v>0.1820651</v>
      </c>
      <c r="O9" s="18" t="n">
        <v>0</v>
      </c>
      <c r="P9" s="20" t="n">
        <v>0</v>
      </c>
      <c r="Q9" s="18" t="n">
        <v>12.71267071</v>
      </c>
      <c r="R9" s="20" t="n">
        <v>1.5717816</v>
      </c>
    </row>
    <row r="10" spans="1:18">
      <c r="A10" s="15" t="s">
        <v>570</v>
      </c>
      <c r="B10" s="17" t="n">
        <v>10036</v>
      </c>
      <c r="C10" s="18">
        <f>(8968.0/B10*100)</f>
        <v/>
      </c>
      <c r="D10" s="19" t="n">
        <v>1068</v>
      </c>
      <c r="E10" s="18" t="n">
        <v>49.05781552</v>
      </c>
      <c r="F10" s="20" t="n">
        <v>1.97176721</v>
      </c>
      <c r="G10" s="18" t="n">
        <v>43.0721035</v>
      </c>
      <c r="H10" s="20" t="n">
        <v>2.00931203</v>
      </c>
      <c r="I10" s="18" t="s">
        <v>567</v>
      </c>
      <c r="J10" s="20" t="s">
        <v>567</v>
      </c>
      <c r="K10" s="18" t="n">
        <v>0.32495059</v>
      </c>
      <c r="L10" s="20" t="n">
        <v>0.16985476</v>
      </c>
      <c r="M10" s="18" t="n">
        <v>0</v>
      </c>
      <c r="N10" s="20" t="n">
        <v>0</v>
      </c>
      <c r="O10" s="18" t="n">
        <v>0</v>
      </c>
      <c r="P10" s="20" t="n">
        <v>0</v>
      </c>
      <c r="Q10" s="18" t="n">
        <v>7.54513039</v>
      </c>
      <c r="R10" s="20" t="n">
        <v>1.29658631</v>
      </c>
    </row>
    <row r="11" spans="1:18">
      <c r="A11" s="15" t="s">
        <v>571</v>
      </c>
      <c r="B11" s="17" t="n">
        <v>3553</v>
      </c>
      <c r="C11" s="18">
        <f>(3172.0/B11*100)</f>
        <v/>
      </c>
      <c r="D11" s="19" t="n">
        <v>381</v>
      </c>
      <c r="E11" s="18" t="n">
        <v>50.40251432</v>
      </c>
      <c r="F11" s="20" t="n">
        <v>3.50268769</v>
      </c>
      <c r="G11" s="18" t="n">
        <v>29.05853777</v>
      </c>
      <c r="H11" s="20" t="n">
        <v>2.74350303</v>
      </c>
      <c r="I11" s="18" t="s">
        <v>567</v>
      </c>
      <c r="J11" s="20" t="s">
        <v>567</v>
      </c>
      <c r="K11" s="18" t="n">
        <v>1.9559708</v>
      </c>
      <c r="L11" s="20" t="n">
        <v>0.98086806</v>
      </c>
      <c r="M11" s="18" t="n">
        <v>0</v>
      </c>
      <c r="N11" s="20" t="n">
        <v>0</v>
      </c>
      <c r="O11" s="18" t="n">
        <v>0</v>
      </c>
      <c r="P11" s="20" t="n">
        <v>0</v>
      </c>
      <c r="Q11" s="18" t="n">
        <v>18.58297711</v>
      </c>
      <c r="R11" s="20" t="n">
        <v>2.77804646</v>
      </c>
    </row>
    <row r="12" spans="1:18">
      <c r="A12" s="15" t="s">
        <v>572</v>
      </c>
      <c r="B12" s="17" t="n">
        <v>3472</v>
      </c>
      <c r="C12" s="18">
        <f>(3091.0/B12*100)</f>
        <v/>
      </c>
      <c r="D12" s="19" t="n">
        <v>381</v>
      </c>
      <c r="E12" s="18" t="n">
        <v>32.92580771</v>
      </c>
      <c r="F12" s="20" t="n">
        <v>2.38567114</v>
      </c>
      <c r="G12" s="18" t="n">
        <v>46.83773066</v>
      </c>
      <c r="H12" s="20" t="n">
        <v>2.66753082</v>
      </c>
      <c r="I12" s="18" t="s">
        <v>567</v>
      </c>
      <c r="J12" s="20" t="s">
        <v>567</v>
      </c>
      <c r="K12" s="18" t="n">
        <v>0</v>
      </c>
      <c r="L12" s="20" t="n">
        <v>0</v>
      </c>
      <c r="M12" s="18" t="n">
        <v>0</v>
      </c>
      <c r="N12" s="20" t="n">
        <v>0</v>
      </c>
      <c r="O12" s="18" t="n">
        <v>0</v>
      </c>
      <c r="P12" s="20" t="n">
        <v>0</v>
      </c>
      <c r="Q12" s="18" t="n">
        <v>20.23646162</v>
      </c>
      <c r="R12" s="20" t="n">
        <v>2.13440041</v>
      </c>
    </row>
    <row r="13" spans="1:18">
      <c r="A13" s="15" t="s">
        <v>573</v>
      </c>
      <c r="B13" s="17" t="n">
        <v>3559</v>
      </c>
      <c r="C13" s="18">
        <f>(3158.0/B13*100)</f>
        <v/>
      </c>
      <c r="D13" s="19" t="n">
        <v>401</v>
      </c>
      <c r="E13" s="18" t="n">
        <v>56.60753061</v>
      </c>
      <c r="F13" s="20" t="n">
        <v>2.71588226</v>
      </c>
      <c r="G13" s="18" t="n">
        <v>30.68747221</v>
      </c>
      <c r="H13" s="20" t="n">
        <v>2.63376838</v>
      </c>
      <c r="I13" s="18" t="s">
        <v>567</v>
      </c>
      <c r="J13" s="20" t="s">
        <v>567</v>
      </c>
      <c r="K13" s="18" t="n">
        <v>0.58529305</v>
      </c>
      <c r="L13" s="20" t="n">
        <v>0.39464256</v>
      </c>
      <c r="M13" s="18" t="n">
        <v>0</v>
      </c>
      <c r="N13" s="20" t="n">
        <v>0</v>
      </c>
      <c r="O13" s="18" t="n">
        <v>0</v>
      </c>
      <c r="P13" s="20" t="n">
        <v>0</v>
      </c>
      <c r="Q13" s="18" t="n">
        <v>12.11970413</v>
      </c>
      <c r="R13" s="20" t="n">
        <v>1.66117771</v>
      </c>
    </row>
    <row r="14" spans="1:18">
      <c r="A14" s="15" t="s">
        <v>574</v>
      </c>
      <c r="B14" s="17" t="n">
        <v>2799</v>
      </c>
      <c r="C14" s="18">
        <f>(2506.0/B14*100)</f>
        <v/>
      </c>
      <c r="D14" s="19" t="n">
        <v>293</v>
      </c>
      <c r="E14" s="18" t="n">
        <v>35.77334641</v>
      </c>
      <c r="F14" s="20" t="n">
        <v>2.94761234</v>
      </c>
      <c r="G14" s="18" t="n">
        <v>55.12003881</v>
      </c>
      <c r="H14" s="20" t="n">
        <v>3.23893003</v>
      </c>
      <c r="I14" s="18" t="s">
        <v>567</v>
      </c>
      <c r="J14" s="20" t="s">
        <v>567</v>
      </c>
      <c r="K14" s="18" t="n">
        <v>0</v>
      </c>
      <c r="L14" s="20" t="n">
        <v>0</v>
      </c>
      <c r="M14" s="18" t="n">
        <v>0</v>
      </c>
      <c r="N14" s="20" t="n">
        <v>0</v>
      </c>
      <c r="O14" s="18" t="n">
        <v>0</v>
      </c>
      <c r="P14" s="20" t="n">
        <v>0</v>
      </c>
      <c r="Q14" s="18" t="n">
        <v>9.10661477</v>
      </c>
      <c r="R14" s="20" t="n">
        <v>1.52070617</v>
      </c>
    </row>
    <row r="15" spans="1:18">
      <c r="A15" s="15" t="s">
        <v>575</v>
      </c>
      <c r="B15" s="17" t="n">
        <v>3019</v>
      </c>
      <c r="C15" s="18">
        <f>(2708.0/B15*100)</f>
        <v/>
      </c>
      <c r="D15" s="19" t="n">
        <v>311</v>
      </c>
      <c r="E15" s="18" t="n">
        <v>41.49018355</v>
      </c>
      <c r="F15" s="20" t="n">
        <v>2.80650997</v>
      </c>
      <c r="G15" s="18" t="n">
        <v>44.93157754</v>
      </c>
      <c r="H15" s="20" t="n">
        <v>3.35439911</v>
      </c>
      <c r="I15" s="18" t="s">
        <v>567</v>
      </c>
      <c r="J15" s="20" t="s">
        <v>567</v>
      </c>
      <c r="K15" s="18" t="n">
        <v>0.60152203</v>
      </c>
      <c r="L15" s="20" t="n">
        <v>0.42614783</v>
      </c>
      <c r="M15" s="18" t="n">
        <v>0</v>
      </c>
      <c r="N15" s="20" t="n">
        <v>0</v>
      </c>
      <c r="O15" s="18" t="n">
        <v>0</v>
      </c>
      <c r="P15" s="20" t="n">
        <v>0</v>
      </c>
      <c r="Q15" s="18" t="n">
        <v>12.97671688</v>
      </c>
      <c r="R15" s="20" t="n">
        <v>1.89710499</v>
      </c>
    </row>
    <row r="16" spans="1:18">
      <c r="A16" s="15" t="s">
        <v>576</v>
      </c>
      <c r="B16" s="17" t="n">
        <v>2997</v>
      </c>
      <c r="C16" s="18">
        <f>(2681.0/B16*100)</f>
        <v/>
      </c>
      <c r="D16" s="19" t="n">
        <v>316</v>
      </c>
      <c r="E16" s="18" t="n">
        <v>44.47243361</v>
      </c>
      <c r="F16" s="20" t="n">
        <v>2.98734497</v>
      </c>
      <c r="G16" s="18" t="n">
        <v>33.60702097</v>
      </c>
      <c r="H16" s="20" t="n">
        <v>2.75093338</v>
      </c>
      <c r="I16" s="18" t="s">
        <v>567</v>
      </c>
      <c r="J16" s="20" t="s">
        <v>567</v>
      </c>
      <c r="K16" s="18" t="n">
        <v>2.78574014</v>
      </c>
      <c r="L16" s="20" t="n">
        <v>0.92842353</v>
      </c>
      <c r="M16" s="18" t="n">
        <v>0.47906914</v>
      </c>
      <c r="N16" s="20" t="n">
        <v>0.38649772</v>
      </c>
      <c r="O16" s="18" t="n">
        <v>0</v>
      </c>
      <c r="P16" s="20" t="n">
        <v>0</v>
      </c>
      <c r="Q16" s="18" t="n">
        <v>18.65573614</v>
      </c>
      <c r="R16" s="20" t="n">
        <v>2.52210352</v>
      </c>
    </row>
    <row r="17" spans="1:18">
      <c r="A17" s="15" t="s">
        <v>577</v>
      </c>
      <c r="B17" s="17" t="n">
        <v>3307</v>
      </c>
      <c r="C17" s="18">
        <f>(2959.0/B17*100)</f>
        <v/>
      </c>
      <c r="D17" s="19" t="n">
        <v>348</v>
      </c>
      <c r="E17" s="18" t="n">
        <v>40.42818858</v>
      </c>
      <c r="F17" s="20" t="n">
        <v>2.92734635</v>
      </c>
      <c r="G17" s="18" t="n">
        <v>40.8033709</v>
      </c>
      <c r="H17" s="20" t="n">
        <v>3.48189408</v>
      </c>
      <c r="I17" s="18" t="s">
        <v>567</v>
      </c>
      <c r="J17" s="20" t="s">
        <v>567</v>
      </c>
      <c r="K17" s="18" t="n">
        <v>0</v>
      </c>
      <c r="L17" s="20" t="n">
        <v>0</v>
      </c>
      <c r="M17" s="18" t="n">
        <v>0</v>
      </c>
      <c r="N17" s="20" t="n">
        <v>0</v>
      </c>
      <c r="O17" s="18" t="n">
        <v>0</v>
      </c>
      <c r="P17" s="20" t="n">
        <v>0</v>
      </c>
      <c r="Q17" s="18" t="n">
        <v>18.76844053</v>
      </c>
      <c r="R17" s="20" t="n">
        <v>2.0045783</v>
      </c>
    </row>
    <row r="18" spans="1:18">
      <c r="A18" s="15" t="s">
        <v>578</v>
      </c>
      <c r="B18" s="17" t="n">
        <v>2826</v>
      </c>
      <c r="C18" s="18">
        <f>(2505.0/B18*100)</f>
        <v/>
      </c>
      <c r="D18" s="19" t="n">
        <v>321</v>
      </c>
      <c r="E18" s="18" t="n">
        <v>51.79163475</v>
      </c>
      <c r="F18" s="20" t="n">
        <v>3.41313875</v>
      </c>
      <c r="G18" s="18" t="n">
        <v>24.58320965</v>
      </c>
      <c r="H18" s="20" t="n">
        <v>2.39224764</v>
      </c>
      <c r="I18" s="18" t="s">
        <v>567</v>
      </c>
      <c r="J18" s="20" t="s">
        <v>567</v>
      </c>
      <c r="K18" s="18" t="n">
        <v>0.59414227</v>
      </c>
      <c r="L18" s="20" t="n">
        <v>0.42678405</v>
      </c>
      <c r="M18" s="18" t="n">
        <v>0</v>
      </c>
      <c r="N18" s="20" t="n">
        <v>0</v>
      </c>
      <c r="O18" s="18" t="n">
        <v>0</v>
      </c>
      <c r="P18" s="20" t="n">
        <v>0</v>
      </c>
      <c r="Q18" s="18" t="n">
        <v>23.03101334</v>
      </c>
      <c r="R18" s="20" t="n">
        <v>2.96004548</v>
      </c>
    </row>
    <row r="19" spans="1:18">
      <c r="A19" s="15" t="s">
        <v>579</v>
      </c>
      <c r="B19" s="17" t="n">
        <v>2808</v>
      </c>
      <c r="C19" s="18">
        <f>(2482.0/B19*100)</f>
        <v/>
      </c>
      <c r="D19" s="19" t="n">
        <v>326</v>
      </c>
      <c r="E19" s="18" t="n">
        <v>39.24020476</v>
      </c>
      <c r="F19" s="20" t="n">
        <v>2.50373755</v>
      </c>
      <c r="G19" s="18" t="n">
        <v>30.46290597</v>
      </c>
      <c r="H19" s="20" t="n">
        <v>2.62789029</v>
      </c>
      <c r="I19" s="18" t="s">
        <v>567</v>
      </c>
      <c r="J19" s="20" t="s">
        <v>567</v>
      </c>
      <c r="K19" s="18" t="n">
        <v>1.03524196</v>
      </c>
      <c r="L19" s="20" t="n">
        <v>0.74750233</v>
      </c>
      <c r="M19" s="18" t="n">
        <v>0</v>
      </c>
      <c r="N19" s="20" t="n">
        <v>0</v>
      </c>
      <c r="O19" s="18" t="n">
        <v>0</v>
      </c>
      <c r="P19" s="20" t="n">
        <v>0</v>
      </c>
      <c r="Q19" s="18" t="n">
        <v>29.2616473</v>
      </c>
      <c r="R19" s="20" t="n">
        <v>2.6230919</v>
      </c>
    </row>
    <row r="20" spans="1:18">
      <c r="A20" s="15" t="s">
        <v>580</v>
      </c>
      <c r="B20" s="17" t="n">
        <v>1630</v>
      </c>
      <c r="C20" s="18">
        <f>(1444.0/B20*100)</f>
        <v/>
      </c>
      <c r="D20" s="19" t="n">
        <v>186</v>
      </c>
      <c r="E20" s="18" t="n">
        <v>56.00962514</v>
      </c>
      <c r="F20" s="20" t="n">
        <v>3.47522423</v>
      </c>
      <c r="G20" s="18" t="n">
        <v>21.216343</v>
      </c>
      <c r="H20" s="20" t="n">
        <v>2.76207534</v>
      </c>
      <c r="I20" s="18" t="s">
        <v>567</v>
      </c>
      <c r="J20" s="20" t="s">
        <v>567</v>
      </c>
      <c r="K20" s="18" t="n">
        <v>1.31915343</v>
      </c>
      <c r="L20" s="20" t="n">
        <v>0.90816349</v>
      </c>
      <c r="M20" s="18" t="n">
        <v>0</v>
      </c>
      <c r="N20" s="20" t="n">
        <v>0</v>
      </c>
      <c r="O20" s="18" t="n">
        <v>0</v>
      </c>
      <c r="P20" s="20" t="n">
        <v>0</v>
      </c>
      <c r="Q20" s="18" t="n">
        <v>21.45487844</v>
      </c>
      <c r="R20" s="20" t="n">
        <v>2.70786009</v>
      </c>
    </row>
    <row r="21" spans="1:18">
      <c r="A21" s="15" t="s">
        <v>581</v>
      </c>
      <c r="B21" s="17" t="n">
        <v>2908</v>
      </c>
      <c r="C21" s="18">
        <f>(2598.0/B21*100)</f>
        <v/>
      </c>
      <c r="D21" s="19" t="n">
        <v>310</v>
      </c>
      <c r="E21" s="18" t="n">
        <v>47.60783287</v>
      </c>
      <c r="F21" s="20" t="n">
        <v>2.72481613</v>
      </c>
      <c r="G21" s="18" t="n">
        <v>40.78467232</v>
      </c>
      <c r="H21" s="20" t="n">
        <v>2.72186056</v>
      </c>
      <c r="I21" s="18" t="s">
        <v>567</v>
      </c>
      <c r="J21" s="20" t="s">
        <v>567</v>
      </c>
      <c r="K21" s="18" t="n">
        <v>0</v>
      </c>
      <c r="L21" s="20" t="n">
        <v>0</v>
      </c>
      <c r="M21" s="18" t="n">
        <v>0</v>
      </c>
      <c r="N21" s="20" t="n">
        <v>0</v>
      </c>
      <c r="O21" s="18" t="n">
        <v>0</v>
      </c>
      <c r="P21" s="20" t="n">
        <v>0</v>
      </c>
      <c r="Q21" s="18" t="n">
        <v>11.60749481</v>
      </c>
      <c r="R21" s="20" t="n">
        <v>1.6839026</v>
      </c>
    </row>
    <row r="22" spans="1:18">
      <c r="A22" s="15" t="s">
        <v>582</v>
      </c>
      <c r="B22" s="17" t="n">
        <v>2931</v>
      </c>
      <c r="C22" s="18">
        <f>(2603.0/B22*100)</f>
        <v/>
      </c>
      <c r="D22" s="19" t="n">
        <v>328</v>
      </c>
      <c r="E22" s="18" t="n">
        <v>46.00934409</v>
      </c>
      <c r="F22" s="20" t="n">
        <v>3.40946103</v>
      </c>
      <c r="G22" s="18" t="n">
        <v>27.51222626</v>
      </c>
      <c r="H22" s="20" t="n">
        <v>2.84586117</v>
      </c>
      <c r="I22" s="18" t="s">
        <v>567</v>
      </c>
      <c r="J22" s="20" t="s">
        <v>567</v>
      </c>
      <c r="K22" s="18" t="n">
        <v>1.53377495</v>
      </c>
      <c r="L22" s="20" t="n">
        <v>0.48585371</v>
      </c>
      <c r="M22" s="18" t="n">
        <v>0</v>
      </c>
      <c r="N22" s="20" t="n">
        <v>0</v>
      </c>
      <c r="O22" s="18" t="n">
        <v>0</v>
      </c>
      <c r="P22" s="20" t="n">
        <v>0</v>
      </c>
      <c r="Q22" s="18" t="n">
        <v>24.9446547</v>
      </c>
      <c r="R22" s="20" t="n">
        <v>2.89965353</v>
      </c>
    </row>
    <row r="23" spans="1:18">
      <c r="A23" s="15" t="s">
        <v>583</v>
      </c>
      <c r="B23" s="17" t="n">
        <v>5791</v>
      </c>
      <c r="C23" s="18">
        <f>(5143.0/B23*100)</f>
        <v/>
      </c>
      <c r="D23" s="19" t="n">
        <v>648</v>
      </c>
      <c r="E23" s="18" t="n">
        <v>33.84384804</v>
      </c>
      <c r="F23" s="20" t="n">
        <v>2.7631695</v>
      </c>
      <c r="G23" s="18" t="n">
        <v>47.33612263</v>
      </c>
      <c r="H23" s="20" t="n">
        <v>2.53219884</v>
      </c>
      <c r="I23" s="18" t="s">
        <v>567</v>
      </c>
      <c r="J23" s="20" t="s">
        <v>567</v>
      </c>
      <c r="K23" s="18" t="n">
        <v>1.24519589</v>
      </c>
      <c r="L23" s="20" t="n">
        <v>0.48417008</v>
      </c>
      <c r="M23" s="18" t="n">
        <v>0.17012182</v>
      </c>
      <c r="N23" s="20" t="n">
        <v>0.18255987</v>
      </c>
      <c r="O23" s="18" t="n">
        <v>0</v>
      </c>
      <c r="P23" s="20" t="n">
        <v>0</v>
      </c>
      <c r="Q23" s="18" t="n">
        <v>17.40471162</v>
      </c>
      <c r="R23" s="20" t="n">
        <v>2.35591434</v>
      </c>
    </row>
    <row r="24" spans="1:18">
      <c r="A24" s="15" t="s">
        <v>584</v>
      </c>
      <c r="B24" s="17" t="n">
        <v>3338</v>
      </c>
      <c r="C24" s="18">
        <f>(2969.0/B24*100)</f>
        <v/>
      </c>
      <c r="D24" s="19" t="n">
        <v>369</v>
      </c>
      <c r="E24" s="18" t="n">
        <v>31.68353717</v>
      </c>
      <c r="F24" s="20" t="n">
        <v>2.92837877</v>
      </c>
      <c r="G24" s="18" t="n">
        <v>52.26131528</v>
      </c>
      <c r="H24" s="20" t="n">
        <v>3.019577</v>
      </c>
      <c r="I24" s="18" t="s">
        <v>567</v>
      </c>
      <c r="J24" s="20" t="s">
        <v>567</v>
      </c>
      <c r="K24" s="18" t="n">
        <v>0.29169975</v>
      </c>
      <c r="L24" s="20" t="n">
        <v>0.28581838</v>
      </c>
      <c r="M24" s="18" t="n">
        <v>0</v>
      </c>
      <c r="N24" s="20" t="n">
        <v>0</v>
      </c>
      <c r="O24" s="18" t="n">
        <v>0</v>
      </c>
      <c r="P24" s="20" t="n">
        <v>0</v>
      </c>
      <c r="Q24" s="18" t="n">
        <v>15.7634478</v>
      </c>
      <c r="R24" s="20" t="n">
        <v>1.85249847</v>
      </c>
    </row>
    <row r="25" spans="1:18">
      <c r="A25" s="15" t="s">
        <v>585</v>
      </c>
      <c r="B25" s="17" t="n">
        <v>2912</v>
      </c>
      <c r="C25" s="18">
        <f>(2589.0/B25*100)</f>
        <v/>
      </c>
      <c r="D25" s="19" t="n">
        <v>323</v>
      </c>
      <c r="E25" s="18" t="n">
        <v>45.15112511</v>
      </c>
      <c r="F25" s="20" t="n">
        <v>2.82412235</v>
      </c>
      <c r="G25" s="18" t="n">
        <v>40.2155469</v>
      </c>
      <c r="H25" s="20" t="n">
        <v>2.92064004</v>
      </c>
      <c r="I25" s="18" t="s">
        <v>567</v>
      </c>
      <c r="J25" s="20" t="s">
        <v>567</v>
      </c>
      <c r="K25" s="18" t="n">
        <v>0.31000973</v>
      </c>
      <c r="L25" s="20" t="n">
        <v>0.30748014</v>
      </c>
      <c r="M25" s="18" t="n">
        <v>0</v>
      </c>
      <c r="N25" s="20" t="n">
        <v>0</v>
      </c>
      <c r="O25" s="18" t="n">
        <v>0</v>
      </c>
      <c r="P25" s="20" t="n">
        <v>0</v>
      </c>
      <c r="Q25" s="18" t="n">
        <v>14.32331826</v>
      </c>
      <c r="R25" s="20" t="n">
        <v>2.01353207</v>
      </c>
    </row>
    <row r="26" spans="1:18">
      <c r="A26" s="15" t="s">
        <v>586</v>
      </c>
      <c r="B26" s="17" t="n">
        <v>2450</v>
      </c>
      <c r="C26" s="18">
        <f>(2208.0/B26*100)</f>
        <v/>
      </c>
      <c r="D26" s="19" t="n">
        <v>242</v>
      </c>
      <c r="E26" s="18" t="n">
        <v>49.79799651</v>
      </c>
      <c r="F26" s="20" t="n">
        <v>3.23753387</v>
      </c>
      <c r="G26" s="18" t="n">
        <v>35.39762739</v>
      </c>
      <c r="H26" s="20" t="n">
        <v>3.41682834</v>
      </c>
      <c r="I26" s="18" t="s">
        <v>567</v>
      </c>
      <c r="J26" s="20" t="s">
        <v>567</v>
      </c>
      <c r="K26" s="18" t="n">
        <v>0.35319186</v>
      </c>
      <c r="L26" s="20" t="n">
        <v>0.35292983</v>
      </c>
      <c r="M26" s="18" t="n">
        <v>0</v>
      </c>
      <c r="N26" s="20" t="n">
        <v>0</v>
      </c>
      <c r="O26" s="18" t="n">
        <v>0</v>
      </c>
      <c r="P26" s="20" t="n">
        <v>0</v>
      </c>
      <c r="Q26" s="18" t="n">
        <v>14.45118424</v>
      </c>
      <c r="R26" s="20" t="n">
        <v>2.48855731</v>
      </c>
    </row>
    <row r="27" spans="1:18">
      <c r="A27" s="15" t="s">
        <v>587</v>
      </c>
      <c r="B27" s="17" t="n">
        <v>2616</v>
      </c>
      <c r="C27" s="18">
        <f>(2358.0/B27*100)</f>
        <v/>
      </c>
      <c r="D27" s="19" t="n">
        <v>258</v>
      </c>
      <c r="E27" s="18" t="n">
        <v>46.7360958</v>
      </c>
      <c r="F27" s="20" t="n">
        <v>2.98965914</v>
      </c>
      <c r="G27" s="18" t="n">
        <v>32.86000436</v>
      </c>
      <c r="H27" s="20" t="n">
        <v>2.99612037</v>
      </c>
      <c r="I27" s="18" t="s">
        <v>567</v>
      </c>
      <c r="J27" s="20" t="s">
        <v>567</v>
      </c>
      <c r="K27" s="18" t="n">
        <v>0.7573071</v>
      </c>
      <c r="L27" s="20" t="n">
        <v>0.53529799</v>
      </c>
      <c r="M27" s="18" t="n">
        <v>0</v>
      </c>
      <c r="N27" s="20" t="n">
        <v>0</v>
      </c>
      <c r="O27" s="18" t="n">
        <v>0</v>
      </c>
      <c r="P27" s="20" t="n">
        <v>0</v>
      </c>
      <c r="Q27" s="18" t="n">
        <v>19.64659274</v>
      </c>
      <c r="R27" s="20" t="n">
        <v>2.45384209</v>
      </c>
    </row>
    <row r="28" spans="1:18">
      <c r="A28" s="15" t="s">
        <v>588</v>
      </c>
      <c r="B28" s="17" t="n">
        <v>3765</v>
      </c>
      <c r="C28" s="18">
        <f>(3360.0/B28*100)</f>
        <v/>
      </c>
      <c r="D28" s="19" t="n">
        <v>405</v>
      </c>
      <c r="E28" s="18" t="n">
        <v>71.41592943000001</v>
      </c>
      <c r="F28" s="20" t="n">
        <v>2.47199551</v>
      </c>
      <c r="G28" s="18" t="n">
        <v>21.60421091</v>
      </c>
      <c r="H28" s="20" t="n">
        <v>2.18071878</v>
      </c>
      <c r="I28" s="18" t="s">
        <v>567</v>
      </c>
      <c r="J28" s="20" t="s">
        <v>567</v>
      </c>
      <c r="K28" s="18" t="n">
        <v>0.76540794</v>
      </c>
      <c r="L28" s="20" t="n">
        <v>0.57012674</v>
      </c>
      <c r="M28" s="18" t="n">
        <v>0</v>
      </c>
      <c r="N28" s="20" t="n">
        <v>0</v>
      </c>
      <c r="O28" s="18" t="n">
        <v>0</v>
      </c>
      <c r="P28" s="20" t="n">
        <v>0</v>
      </c>
      <c r="Q28" s="18" t="n">
        <v>6.21445172</v>
      </c>
      <c r="R28" s="20" t="n">
        <v>1.56647973</v>
      </c>
    </row>
    <row r="29" spans="1:18">
      <c r="A29" s="15" t="s">
        <v>589</v>
      </c>
      <c r="B29" s="17" t="n">
        <v>2685</v>
      </c>
      <c r="C29" s="18">
        <f>(2386.0/B29*100)</f>
        <v/>
      </c>
      <c r="D29" s="19" t="n">
        <v>299</v>
      </c>
      <c r="E29" s="18" t="n">
        <v>56.71928111</v>
      </c>
      <c r="F29" s="20" t="n">
        <v>2.84168231</v>
      </c>
      <c r="G29" s="18" t="n">
        <v>35.72762852</v>
      </c>
      <c r="H29" s="20" t="n">
        <v>2.80064621</v>
      </c>
      <c r="I29" s="18" t="s">
        <v>567</v>
      </c>
      <c r="J29" s="20" t="s">
        <v>567</v>
      </c>
      <c r="K29" s="18" t="n">
        <v>0</v>
      </c>
      <c r="L29" s="20" t="n">
        <v>0</v>
      </c>
      <c r="M29" s="18" t="n">
        <v>0</v>
      </c>
      <c r="N29" s="20" t="n">
        <v>0</v>
      </c>
      <c r="O29" s="18" t="n">
        <v>0</v>
      </c>
      <c r="P29" s="20" t="n">
        <v>0</v>
      </c>
      <c r="Q29" s="18" t="n">
        <v>7.55309037</v>
      </c>
      <c r="R29" s="20" t="n">
        <v>1.31004418</v>
      </c>
    </row>
    <row r="30" spans="1:18">
      <c r="A30" s="15" t="s">
        <v>590</v>
      </c>
      <c r="B30" s="17" t="n">
        <v>2263</v>
      </c>
      <c r="C30" s="18">
        <f>(2018.0/B30*100)</f>
        <v/>
      </c>
      <c r="D30" s="19" t="n">
        <v>245</v>
      </c>
      <c r="E30" s="18" t="n">
        <v>40.92679466</v>
      </c>
      <c r="F30" s="20" t="n">
        <v>3.00604394</v>
      </c>
      <c r="G30" s="18" t="n">
        <v>44.15191145</v>
      </c>
      <c r="H30" s="20" t="n">
        <v>3.28957461</v>
      </c>
      <c r="I30" s="18" t="s">
        <v>567</v>
      </c>
      <c r="J30" s="20" t="s">
        <v>567</v>
      </c>
      <c r="K30" s="18" t="n">
        <v>0.93007801</v>
      </c>
      <c r="L30" s="20" t="n">
        <v>0.63076945</v>
      </c>
      <c r="M30" s="18" t="n">
        <v>0</v>
      </c>
      <c r="N30" s="20" t="n">
        <v>0</v>
      </c>
      <c r="O30" s="18" t="n">
        <v>0</v>
      </c>
      <c r="P30" s="20" t="n">
        <v>0</v>
      </c>
      <c r="Q30" s="18" t="n">
        <v>13.99121587</v>
      </c>
      <c r="R30" s="20" t="n">
        <v>2.58919439</v>
      </c>
    </row>
    <row r="31" spans="1:18">
      <c r="A31" s="15" t="s">
        <v>591</v>
      </c>
      <c r="B31" s="17" t="n">
        <v>2750</v>
      </c>
      <c r="C31" s="18">
        <f>(2442.0/B31*100)</f>
        <v/>
      </c>
      <c r="D31" s="19" t="n">
        <v>308</v>
      </c>
      <c r="E31" s="18" t="n">
        <v>57.18782198</v>
      </c>
      <c r="F31" s="20" t="n">
        <v>3.06287931</v>
      </c>
      <c r="G31" s="18" t="n">
        <v>23.58958859</v>
      </c>
      <c r="H31" s="20" t="n">
        <v>2.17248797</v>
      </c>
      <c r="I31" s="18" t="s">
        <v>567</v>
      </c>
      <c r="J31" s="20" t="s">
        <v>567</v>
      </c>
      <c r="K31" s="18" t="n">
        <v>0.93696069</v>
      </c>
      <c r="L31" s="20" t="n">
        <v>0.51328976</v>
      </c>
      <c r="M31" s="18" t="n">
        <v>0</v>
      </c>
      <c r="N31" s="20" t="n">
        <v>0</v>
      </c>
      <c r="O31" s="18" t="n">
        <v>0</v>
      </c>
      <c r="P31" s="20" t="n">
        <v>0</v>
      </c>
      <c r="Q31" s="18" t="n">
        <v>18.28562875</v>
      </c>
      <c r="R31" s="20" t="n">
        <v>2.26111334</v>
      </c>
    </row>
    <row r="32" spans="1:18">
      <c r="A32" s="15" t="s">
        <v>592</v>
      </c>
      <c r="B32" s="17" t="n">
        <v>2269</v>
      </c>
      <c r="C32" s="18">
        <f>(2020.0/B32*100)</f>
        <v/>
      </c>
      <c r="D32" s="19" t="n">
        <v>249</v>
      </c>
      <c r="E32" s="18" t="n">
        <v>38.51665444</v>
      </c>
      <c r="F32" s="20" t="n">
        <v>3.08795746</v>
      </c>
      <c r="G32" s="18" t="n">
        <v>40.00354427</v>
      </c>
      <c r="H32" s="20" t="n">
        <v>3.39300472</v>
      </c>
      <c r="I32" s="18" t="s">
        <v>567</v>
      </c>
      <c r="J32" s="20" t="s">
        <v>567</v>
      </c>
      <c r="K32" s="18" t="n">
        <v>0.48745243</v>
      </c>
      <c r="L32" s="20" t="n">
        <v>0.50628118</v>
      </c>
      <c r="M32" s="18" t="n">
        <v>0</v>
      </c>
      <c r="N32" s="20" t="n">
        <v>0</v>
      </c>
      <c r="O32" s="18" t="n">
        <v>0</v>
      </c>
      <c r="P32" s="20" t="n">
        <v>0</v>
      </c>
      <c r="Q32" s="18" t="n">
        <v>20.99234886</v>
      </c>
      <c r="R32" s="20" t="n">
        <v>2.66820408</v>
      </c>
    </row>
    <row r="33" spans="1:18">
      <c r="A33" s="15" t="s">
        <v>593</v>
      </c>
      <c r="B33" s="17" t="n">
        <v>3674</v>
      </c>
      <c r="C33" s="18">
        <f>(3292.0/B33*100)</f>
        <v/>
      </c>
      <c r="D33" s="19" t="n">
        <v>382</v>
      </c>
      <c r="E33" s="18" t="n">
        <v>40.3695454</v>
      </c>
      <c r="F33" s="20" t="n">
        <v>2.83708674</v>
      </c>
      <c r="G33" s="18" t="n">
        <v>42.05368772</v>
      </c>
      <c r="H33" s="20" t="n">
        <v>2.27350852</v>
      </c>
      <c r="I33" s="18" t="s">
        <v>567</v>
      </c>
      <c r="J33" s="20" t="s">
        <v>567</v>
      </c>
      <c r="K33" s="18" t="n">
        <v>0.02348133</v>
      </c>
      <c r="L33" s="20" t="n">
        <v>0.0236626</v>
      </c>
      <c r="M33" s="18" t="n">
        <v>0.56197538</v>
      </c>
      <c r="N33" s="20" t="n">
        <v>0.55405902</v>
      </c>
      <c r="O33" s="18" t="n">
        <v>0</v>
      </c>
      <c r="P33" s="20" t="n">
        <v>0</v>
      </c>
      <c r="Q33" s="18" t="n">
        <v>16.99131017</v>
      </c>
      <c r="R33" s="20" t="n">
        <v>2.25121381</v>
      </c>
    </row>
    <row r="34" spans="1:18">
      <c r="A34" s="15" t="s">
        <v>594</v>
      </c>
      <c r="B34" s="17" t="n">
        <v>3315</v>
      </c>
      <c r="C34" s="18">
        <f>(2931.0/B34*100)</f>
        <v/>
      </c>
      <c r="D34" s="19" t="n">
        <v>384</v>
      </c>
      <c r="E34" s="18" t="n">
        <v>41.00208326</v>
      </c>
      <c r="F34" s="20" t="n">
        <v>2.61280944</v>
      </c>
      <c r="G34" s="18" t="n">
        <v>37.65618234</v>
      </c>
      <c r="H34" s="20" t="n">
        <v>2.61868339</v>
      </c>
      <c r="I34" s="18" t="s">
        <v>567</v>
      </c>
      <c r="J34" s="20" t="s">
        <v>567</v>
      </c>
      <c r="K34" s="18" t="n">
        <v>0</v>
      </c>
      <c r="L34" s="20" t="n">
        <v>0</v>
      </c>
      <c r="M34" s="18" t="n">
        <v>0</v>
      </c>
      <c r="N34" s="20" t="n">
        <v>0</v>
      </c>
      <c r="O34" s="18" t="n">
        <v>0</v>
      </c>
      <c r="P34" s="20" t="n">
        <v>0</v>
      </c>
      <c r="Q34" s="18" t="n">
        <v>21.3417344</v>
      </c>
      <c r="R34" s="20" t="n">
        <v>2.11788081</v>
      </c>
    </row>
    <row r="35" spans="1:18">
      <c r="A35" s="15" t="s">
        <v>595</v>
      </c>
      <c r="B35" s="17" t="n">
        <v>3505</v>
      </c>
      <c r="C35" s="18">
        <f>(3117.0/B35*100)</f>
        <v/>
      </c>
      <c r="D35" s="19" t="n">
        <v>388</v>
      </c>
      <c r="E35" s="18" t="n">
        <v>42.71176985</v>
      </c>
      <c r="F35" s="20" t="n">
        <v>3.29218274</v>
      </c>
      <c r="G35" s="18" t="n">
        <v>34.77939817</v>
      </c>
      <c r="H35" s="20" t="n">
        <v>3.00086805</v>
      </c>
      <c r="I35" s="18" t="s">
        <v>567</v>
      </c>
      <c r="J35" s="20" t="s">
        <v>567</v>
      </c>
      <c r="K35" s="18" t="n">
        <v>0.26727346</v>
      </c>
      <c r="L35" s="20" t="n">
        <v>0.18762345</v>
      </c>
      <c r="M35" s="18" t="n">
        <v>0.4562406</v>
      </c>
      <c r="N35" s="20" t="n">
        <v>0.45308306</v>
      </c>
      <c r="O35" s="18" t="n">
        <v>0</v>
      </c>
      <c r="P35" s="20" t="n">
        <v>0</v>
      </c>
      <c r="Q35" s="18" t="n">
        <v>21.78531792</v>
      </c>
      <c r="R35" s="20" t="n">
        <v>2.65480106</v>
      </c>
    </row>
    <row r="36" spans="1:18">
      <c r="A36" s="15" t="s">
        <v>596</v>
      </c>
      <c r="B36" s="17" t="n">
        <v>3332</v>
      </c>
      <c r="C36" s="18">
        <f>(2982.0/B36*100)</f>
        <v/>
      </c>
      <c r="D36" s="19" t="n">
        <v>350</v>
      </c>
      <c r="E36" s="18" t="n">
        <v>42.44433249</v>
      </c>
      <c r="F36" s="20" t="n">
        <v>2.77074404</v>
      </c>
      <c r="G36" s="18" t="n">
        <v>42.93406697</v>
      </c>
      <c r="H36" s="20" t="n">
        <v>2.67248528</v>
      </c>
      <c r="I36" s="18" t="s">
        <v>567</v>
      </c>
      <c r="J36" s="20" t="s">
        <v>567</v>
      </c>
      <c r="K36" s="18" t="n">
        <v>0.16278924</v>
      </c>
      <c r="L36" s="20" t="n">
        <v>0.14929561</v>
      </c>
      <c r="M36" s="18" t="n">
        <v>0</v>
      </c>
      <c r="N36" s="20" t="n">
        <v>0</v>
      </c>
      <c r="O36" s="18" t="n">
        <v>0</v>
      </c>
      <c r="P36" s="20" t="n">
        <v>0</v>
      </c>
      <c r="Q36" s="18" t="n">
        <v>14.45881131</v>
      </c>
      <c r="R36" s="20" t="n">
        <v>1.59857043</v>
      </c>
    </row>
    <row r="37" spans="1:18">
      <c r="A37" s="15" t="s">
        <v>597</v>
      </c>
      <c r="B37" s="17" t="n">
        <v>2727</v>
      </c>
      <c r="C37" s="18">
        <f>(2432.0/B37*100)</f>
        <v/>
      </c>
      <c r="D37" s="19" t="n">
        <v>295</v>
      </c>
      <c r="E37" s="18" t="n">
        <v>45.42978692</v>
      </c>
      <c r="F37" s="20" t="n">
        <v>2.92123349</v>
      </c>
      <c r="G37" s="18" t="n">
        <v>34.9091636</v>
      </c>
      <c r="H37" s="20" t="n">
        <v>2.39629325</v>
      </c>
      <c r="I37" s="18" t="s">
        <v>567</v>
      </c>
      <c r="J37" s="20" t="s">
        <v>567</v>
      </c>
      <c r="K37" s="18" t="n">
        <v>3.02092978</v>
      </c>
      <c r="L37" s="20" t="n">
        <v>1.00715689</v>
      </c>
      <c r="M37" s="18" t="n">
        <v>0</v>
      </c>
      <c r="N37" s="20" t="n">
        <v>0</v>
      </c>
      <c r="O37" s="18" t="n">
        <v>0</v>
      </c>
      <c r="P37" s="20" t="n">
        <v>0</v>
      </c>
      <c r="Q37" s="18" t="n">
        <v>16.64011971</v>
      </c>
      <c r="R37" s="20" t="n">
        <v>2.32758234</v>
      </c>
    </row>
    <row r="38" spans="1:18">
      <c r="A38" s="15" t="s">
        <v>598</v>
      </c>
      <c r="B38" s="17" t="n">
        <v>3053</v>
      </c>
      <c r="C38" s="18">
        <f>(2723.0/B38*100)</f>
        <v/>
      </c>
      <c r="D38" s="19" t="n">
        <v>330</v>
      </c>
      <c r="E38" s="18" t="n">
        <v>40.96095147</v>
      </c>
      <c r="F38" s="20" t="n">
        <v>2.63656937</v>
      </c>
      <c r="G38" s="18" t="n">
        <v>38.75683319</v>
      </c>
      <c r="H38" s="20" t="n">
        <v>2.9766811</v>
      </c>
      <c r="I38" s="18" t="s">
        <v>567</v>
      </c>
      <c r="J38" s="20" t="s">
        <v>567</v>
      </c>
      <c r="K38" s="18" t="n">
        <v>0.58898542</v>
      </c>
      <c r="L38" s="20" t="n">
        <v>0.41982691</v>
      </c>
      <c r="M38" s="18" t="n">
        <v>3.84499129</v>
      </c>
      <c r="N38" s="20" t="n">
        <v>1.43834325</v>
      </c>
      <c r="O38" s="18" t="n">
        <v>0</v>
      </c>
      <c r="P38" s="20" t="n">
        <v>0</v>
      </c>
      <c r="Q38" s="18" t="n">
        <v>15.84823862</v>
      </c>
      <c r="R38" s="20" t="n">
        <v>2.23595608</v>
      </c>
    </row>
    <row r="39" spans="1:18">
      <c r="A39" s="15" t="s">
        <v>599</v>
      </c>
      <c r="B39" s="17" t="n">
        <v>2957</v>
      </c>
      <c r="C39" s="18">
        <f>(2633.0/B39*100)</f>
        <v/>
      </c>
      <c r="D39" s="19" t="n">
        <v>324</v>
      </c>
      <c r="E39" s="18" t="n">
        <v>64.21166873999999</v>
      </c>
      <c r="F39" s="20" t="n">
        <v>3.24403596</v>
      </c>
      <c r="G39" s="18" t="n">
        <v>19.44963896</v>
      </c>
      <c r="H39" s="20" t="n">
        <v>2.71042557</v>
      </c>
      <c r="I39" s="18" t="s">
        <v>567</v>
      </c>
      <c r="J39" s="20" t="s">
        <v>567</v>
      </c>
      <c r="K39" s="18" t="n">
        <v>1.09851088</v>
      </c>
      <c r="L39" s="20" t="n">
        <v>0.6252323</v>
      </c>
      <c r="M39" s="18" t="n">
        <v>0</v>
      </c>
      <c r="N39" s="20" t="n">
        <v>0</v>
      </c>
      <c r="O39" s="18" t="n">
        <v>0</v>
      </c>
      <c r="P39" s="20" t="n">
        <v>0</v>
      </c>
      <c r="Q39" s="18" t="n">
        <v>15.24018143</v>
      </c>
      <c r="R39" s="20" t="n">
        <v>2.06338954</v>
      </c>
    </row>
    <row r="40" spans="1:18">
      <c r="A40" s="15" t="s">
        <v>600</v>
      </c>
      <c r="B40" s="17" t="n">
        <v>7235</v>
      </c>
      <c r="C40" s="18">
        <f>(6430.0/B40*100)</f>
        <v/>
      </c>
      <c r="D40" s="19" t="n">
        <v>805</v>
      </c>
      <c r="E40" s="18" t="n">
        <v>47.78237871</v>
      </c>
      <c r="F40" s="20" t="n">
        <v>3.19269052</v>
      </c>
      <c r="G40" s="18" t="n">
        <v>39.93512966</v>
      </c>
      <c r="H40" s="20" t="n">
        <v>3.28942734</v>
      </c>
      <c r="I40" s="18" t="s">
        <v>567</v>
      </c>
      <c r="J40" s="20" t="s">
        <v>567</v>
      </c>
      <c r="K40" s="18" t="n">
        <v>0.36583797</v>
      </c>
      <c r="L40" s="20" t="n">
        <v>0.28129046</v>
      </c>
      <c r="M40" s="18" t="n">
        <v>0</v>
      </c>
      <c r="N40" s="20" t="n">
        <v>0</v>
      </c>
      <c r="O40" s="18" t="n">
        <v>0</v>
      </c>
      <c r="P40" s="20" t="n">
        <v>0</v>
      </c>
      <c r="Q40" s="18" t="n">
        <v>11.91665366</v>
      </c>
      <c r="R40" s="20" t="n">
        <v>1.79480236</v>
      </c>
    </row>
    <row r="41" spans="1:18">
      <c r="A41" s="15" t="s">
        <v>601</v>
      </c>
      <c r="B41" s="17" t="n">
        <v>2858</v>
      </c>
      <c r="C41" s="18">
        <f>(2541.0/B41*100)</f>
        <v/>
      </c>
      <c r="D41" s="19" t="n">
        <v>317</v>
      </c>
      <c r="E41" s="18" t="n">
        <v>57.90844127</v>
      </c>
      <c r="F41" s="20" t="n">
        <v>2.67162769</v>
      </c>
      <c r="G41" s="18" t="n">
        <v>36.86729187</v>
      </c>
      <c r="H41" s="20" t="n">
        <v>2.82966396</v>
      </c>
      <c r="I41" s="18" t="s">
        <v>567</v>
      </c>
      <c r="J41" s="20" t="s">
        <v>567</v>
      </c>
      <c r="K41" s="18" t="n">
        <v>0.77926702</v>
      </c>
      <c r="L41" s="20" t="n">
        <v>0.54442598</v>
      </c>
      <c r="M41" s="18" t="n">
        <v>0</v>
      </c>
      <c r="N41" s="20" t="n">
        <v>0</v>
      </c>
      <c r="O41" s="18" t="n">
        <v>0</v>
      </c>
      <c r="P41" s="20" t="n">
        <v>0</v>
      </c>
      <c r="Q41" s="18" t="n">
        <v>4.44499983</v>
      </c>
      <c r="R41" s="20" t="n">
        <v>1.39298479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(10000.0/B46*100)</f>
        <v/>
      </c>
      <c r="D46" s="19" t="n">
        <v>1068</v>
      </c>
      <c r="E46" s="18" t="n">
        <v>61.85492885</v>
      </c>
      <c r="F46" s="20" t="n">
        <v>2.12761723</v>
      </c>
      <c r="G46" s="18" t="n">
        <v>16.95874156</v>
      </c>
      <c r="H46" s="20" t="n">
        <v>1.51499187</v>
      </c>
      <c r="I46" s="18" t="s">
        <v>567</v>
      </c>
      <c r="J46" s="20" t="s">
        <v>567</v>
      </c>
      <c r="K46" s="18" t="n">
        <v>0.75246032</v>
      </c>
      <c r="L46" s="20" t="n">
        <v>0.26295828</v>
      </c>
      <c r="M46" s="18" t="n">
        <v>0.21368993</v>
      </c>
      <c r="N46" s="20" t="n">
        <v>0.15831218</v>
      </c>
      <c r="O46" s="18" t="n">
        <v>0</v>
      </c>
      <c r="P46" s="20" t="n">
        <v>0</v>
      </c>
      <c r="Q46" s="18" t="n">
        <v>20.22017934</v>
      </c>
      <c r="R46" s="20" t="n">
        <v>1.84685482</v>
      </c>
    </row>
    <row r="47" spans="1:18">
      <c r="A47" s="15" t="s">
        <v>607</v>
      </c>
      <c r="B47" s="17" t="n">
        <v>3105</v>
      </c>
      <c r="C47" s="18">
        <f>(2782.0/B47*100)</f>
        <v/>
      </c>
      <c r="D47" s="19" t="n">
        <v>323</v>
      </c>
      <c r="E47" s="18" t="n">
        <v>37.12252071</v>
      </c>
      <c r="F47" s="20" t="n">
        <v>2.70826392</v>
      </c>
      <c r="G47" s="18" t="n">
        <v>28.68273427</v>
      </c>
      <c r="H47" s="20" t="n">
        <v>2.8625374</v>
      </c>
      <c r="I47" s="18" t="s">
        <v>567</v>
      </c>
      <c r="J47" s="20" t="s">
        <v>567</v>
      </c>
      <c r="K47" s="18" t="n">
        <v>0.29700225</v>
      </c>
      <c r="L47" s="20" t="n">
        <v>0.22082274</v>
      </c>
      <c r="M47" s="18" t="n">
        <v>0</v>
      </c>
      <c r="N47" s="20" t="n">
        <v>0</v>
      </c>
      <c r="O47" s="18" t="n">
        <v>0</v>
      </c>
      <c r="P47" s="20" t="n">
        <v>0</v>
      </c>
      <c r="Q47" s="18" t="n">
        <v>33.89774278</v>
      </c>
      <c r="R47" s="20" t="n">
        <v>3.54105503</v>
      </c>
    </row>
    <row r="48" spans="1:18">
      <c r="A48" s="15" t="s">
        <v>608</v>
      </c>
      <c r="B48" s="17" t="n">
        <v>5159</v>
      </c>
      <c r="C48" s="18">
        <f>(4576.0/B48*100)</f>
        <v/>
      </c>
      <c r="D48" s="19" t="n">
        <v>583</v>
      </c>
      <c r="E48" s="18" t="n">
        <v>45.70511927</v>
      </c>
      <c r="F48" s="20" t="n">
        <v>3.0187788</v>
      </c>
      <c r="G48" s="18" t="n">
        <v>42.80689882</v>
      </c>
      <c r="H48" s="20" t="n">
        <v>2.7083066</v>
      </c>
      <c r="I48" s="18" t="s">
        <v>567</v>
      </c>
      <c r="J48" s="20" t="s">
        <v>567</v>
      </c>
      <c r="K48" s="18" t="n">
        <v>0.43514479</v>
      </c>
      <c r="L48" s="20" t="n">
        <v>0.26100664</v>
      </c>
      <c r="M48" s="18" t="n">
        <v>0</v>
      </c>
      <c r="N48" s="20" t="n">
        <v>0</v>
      </c>
      <c r="O48" s="18" t="n">
        <v>0</v>
      </c>
      <c r="P48" s="20" t="n">
        <v>0</v>
      </c>
      <c r="Q48" s="18" t="n">
        <v>11.05283713</v>
      </c>
      <c r="R48" s="20" t="n">
        <v>1.75552824</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(5013.0/B50*100)</f>
        <v/>
      </c>
      <c r="D50" s="19" t="n">
        <v>624</v>
      </c>
      <c r="E50" s="18" t="n">
        <v>56.02632929</v>
      </c>
      <c r="F50" s="20" t="n">
        <v>2.69724756</v>
      </c>
      <c r="G50" s="18" t="n">
        <v>31.36595243</v>
      </c>
      <c r="H50" s="20" t="n">
        <v>2.43126841</v>
      </c>
      <c r="I50" s="18" t="s">
        <v>567</v>
      </c>
      <c r="J50" s="20" t="s">
        <v>567</v>
      </c>
      <c r="K50" s="18" t="n">
        <v>2.71717293</v>
      </c>
      <c r="L50" s="20" t="n">
        <v>1.09293714</v>
      </c>
      <c r="M50" s="18" t="n">
        <v>0.40453935</v>
      </c>
      <c r="N50" s="20" t="n">
        <v>0.33021746</v>
      </c>
      <c r="O50" s="18" t="n">
        <v>0</v>
      </c>
      <c r="P50" s="20" t="n">
        <v>0</v>
      </c>
      <c r="Q50" s="18" t="n">
        <v>9.486006</v>
      </c>
      <c r="R50" s="20" t="n">
        <v>1.58215177</v>
      </c>
    </row>
    <row r="51" spans="1:18">
      <c r="A51" s="15" t="s">
        <v>611</v>
      </c>
      <c r="B51" s="17" t="n">
        <v>3372</v>
      </c>
      <c r="C51" s="18">
        <f>(3045.0/B51*100)</f>
        <v/>
      </c>
      <c r="D51" s="19" t="n">
        <v>327</v>
      </c>
      <c r="E51" s="18" t="n">
        <v>80.41421907</v>
      </c>
      <c r="F51" s="20" t="n">
        <v>2.2815754</v>
      </c>
      <c r="G51" s="18" t="n">
        <v>10.43195107</v>
      </c>
      <c r="H51" s="20" t="n">
        <v>1.8146773</v>
      </c>
      <c r="I51" s="18" t="s">
        <v>567</v>
      </c>
      <c r="J51" s="20" t="s">
        <v>567</v>
      </c>
      <c r="K51" s="18" t="n">
        <v>0.80572569</v>
      </c>
      <c r="L51" s="20" t="n">
        <v>0.54770273</v>
      </c>
      <c r="M51" s="18" t="n">
        <v>0</v>
      </c>
      <c r="N51" s="20" t="n">
        <v>0</v>
      </c>
      <c r="O51" s="18" t="n">
        <v>0</v>
      </c>
      <c r="P51" s="20" t="n">
        <v>0</v>
      </c>
      <c r="Q51" s="18" t="n">
        <v>8.34810416</v>
      </c>
      <c r="R51" s="20" t="n">
        <v>1.64869199</v>
      </c>
    </row>
    <row r="52" spans="1:18">
      <c r="A52" s="15" t="s">
        <v>612</v>
      </c>
      <c r="B52" s="17" t="n">
        <v>2796</v>
      </c>
      <c r="C52" s="18">
        <f>(2445.0/B52*100)</f>
        <v/>
      </c>
      <c r="D52" s="19" t="n">
        <v>351</v>
      </c>
      <c r="E52" s="18" t="n">
        <v>43.34642446</v>
      </c>
      <c r="F52" s="20" t="n">
        <v>2.59131543</v>
      </c>
      <c r="G52" s="18" t="n">
        <v>32.93251426</v>
      </c>
      <c r="H52" s="20" t="n">
        <v>2.75343</v>
      </c>
      <c r="I52" s="18" t="s">
        <v>567</v>
      </c>
      <c r="J52" s="20" t="s">
        <v>567</v>
      </c>
      <c r="K52" s="18" t="n">
        <v>0.21683257</v>
      </c>
      <c r="L52" s="20" t="n">
        <v>0.20596778</v>
      </c>
      <c r="M52" s="18" t="n">
        <v>0</v>
      </c>
      <c r="N52" s="20" t="n">
        <v>0</v>
      </c>
      <c r="O52" s="18" t="n">
        <v>0</v>
      </c>
      <c r="P52" s="20" t="n">
        <v>0</v>
      </c>
      <c r="Q52" s="18" t="n">
        <v>23.50422871</v>
      </c>
      <c r="R52" s="20" t="n">
        <v>2.40953687</v>
      </c>
    </row>
    <row r="53" spans="1:18">
      <c r="A53" s="15" t="s">
        <v>613</v>
      </c>
      <c r="B53" s="17" t="n">
        <v>2811</v>
      </c>
      <c r="C53" s="18">
        <f>(2516.0/B53*100)</f>
        <v/>
      </c>
      <c r="D53" s="19" t="n">
        <v>295</v>
      </c>
      <c r="E53" s="18" t="n">
        <v>50.46331152</v>
      </c>
      <c r="F53" s="20" t="n">
        <v>3.19111465</v>
      </c>
      <c r="G53" s="18" t="n">
        <v>23.07318655</v>
      </c>
      <c r="H53" s="20" t="n">
        <v>2.49939448</v>
      </c>
      <c r="I53" s="18" t="s">
        <v>567</v>
      </c>
      <c r="J53" s="20" t="s">
        <v>567</v>
      </c>
      <c r="K53" s="18" t="n">
        <v>1.16199068</v>
      </c>
      <c r="L53" s="20" t="n">
        <v>0.59873021</v>
      </c>
      <c r="M53" s="18" t="n">
        <v>0.44723688</v>
      </c>
      <c r="N53" s="20" t="n">
        <v>0.44716366</v>
      </c>
      <c r="O53" s="18" t="n">
        <v>0</v>
      </c>
      <c r="P53" s="20" t="n">
        <v>0</v>
      </c>
      <c r="Q53" s="18" t="n">
        <v>24.85427437</v>
      </c>
      <c r="R53" s="20" t="n">
        <v>2.62274012</v>
      </c>
    </row>
    <row r="54" spans="1:18">
      <c r="A54" s="15" t="s">
        <v>614</v>
      </c>
      <c r="B54" s="17" t="n">
        <v>2266</v>
      </c>
      <c r="C54" s="18">
        <f>(2009.0/B54*100)</f>
        <v/>
      </c>
      <c r="D54" s="19" t="n">
        <v>257</v>
      </c>
      <c r="E54" s="18" t="n">
        <v>52.02378789</v>
      </c>
      <c r="F54" s="20" t="n">
        <v>3.01933196</v>
      </c>
      <c r="G54" s="18" t="n">
        <v>10.04669824</v>
      </c>
      <c r="H54" s="20" t="n">
        <v>2.11640428</v>
      </c>
      <c r="I54" s="18" t="s">
        <v>567</v>
      </c>
      <c r="J54" s="20" t="s">
        <v>567</v>
      </c>
      <c r="K54" s="18" t="n">
        <v>11.49565812</v>
      </c>
      <c r="L54" s="20" t="n">
        <v>2.37605259</v>
      </c>
      <c r="M54" s="18" t="n">
        <v>0</v>
      </c>
      <c r="N54" s="20" t="n">
        <v>0</v>
      </c>
      <c r="O54" s="18" t="n">
        <v>0</v>
      </c>
      <c r="P54" s="20" t="n">
        <v>0</v>
      </c>
      <c r="Q54" s="18" t="n">
        <v>26.43385575</v>
      </c>
      <c r="R54" s="20" t="n">
        <v>2.92664486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(2373.0/B56*100)</f>
        <v/>
      </c>
      <c r="D56" s="19" t="n">
        <v>311</v>
      </c>
      <c r="E56" s="18" t="n">
        <v>42.91682974</v>
      </c>
      <c r="F56" s="20" t="n">
        <v>2.02342978</v>
      </c>
      <c r="G56" s="18" t="n">
        <v>46.30110983</v>
      </c>
      <c r="H56" s="20" t="n">
        <v>2.55790358</v>
      </c>
      <c r="I56" s="18" t="s">
        <v>567</v>
      </c>
      <c r="J56" s="20" t="s">
        <v>567</v>
      </c>
      <c r="K56" s="18" t="n">
        <v>0.26941788</v>
      </c>
      <c r="L56" s="20" t="n">
        <v>0.27579978</v>
      </c>
      <c r="M56" s="18" t="n">
        <v>0.22273233</v>
      </c>
      <c r="N56" s="20" t="n">
        <v>0.22343571</v>
      </c>
      <c r="O56" s="18" t="n">
        <v>0</v>
      </c>
      <c r="P56" s="20" t="n">
        <v>0</v>
      </c>
      <c r="Q56" s="18" t="n">
        <v>10.28991022</v>
      </c>
      <c r="R56" s="20" t="n">
        <v>1.91284931</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(2904.0/B61*100)</f>
        <v/>
      </c>
      <c r="D61" s="19" t="n">
        <v>420</v>
      </c>
      <c r="E61" s="18" t="n">
        <v>42.82262609</v>
      </c>
      <c r="F61" s="20" t="n">
        <v>2.95035985</v>
      </c>
      <c r="G61" s="18" t="n">
        <v>36.31841467</v>
      </c>
      <c r="H61" s="20" t="n">
        <v>2.76120164</v>
      </c>
      <c r="I61" s="18" t="s">
        <v>567</v>
      </c>
      <c r="J61" s="20" t="s">
        <v>567</v>
      </c>
      <c r="K61" s="18" t="n">
        <v>0.05756394</v>
      </c>
      <c r="L61" s="20" t="n">
        <v>0.05749659</v>
      </c>
      <c r="M61" s="18" t="n">
        <v>0</v>
      </c>
      <c r="N61" s="20" t="n">
        <v>0</v>
      </c>
      <c r="O61" s="18" t="n">
        <v>0</v>
      </c>
      <c r="P61" s="20" t="n">
        <v>0</v>
      </c>
      <c r="Q61" s="18" t="n">
        <v>20.8013953</v>
      </c>
      <c r="R61" s="20" t="n">
        <v>2.30342795</v>
      </c>
    </row>
    <row r="62" spans="1:18">
      <c r="A62" s="15" t="s">
        <v>622</v>
      </c>
      <c r="B62" s="17" t="n">
        <v>2246</v>
      </c>
      <c r="C62" s="18">
        <f>(1992.0/B62*100)</f>
        <v/>
      </c>
      <c r="D62" s="19" t="n">
        <v>254</v>
      </c>
      <c r="E62" s="18" t="n">
        <v>45.29839112</v>
      </c>
      <c r="F62" s="20" t="n">
        <v>2.63461729</v>
      </c>
      <c r="G62" s="18" t="n">
        <v>50.36754247</v>
      </c>
      <c r="H62" s="20" t="n">
        <v>2.68389508</v>
      </c>
      <c r="I62" s="18" t="s">
        <v>567</v>
      </c>
      <c r="J62" s="20" t="s">
        <v>567</v>
      </c>
      <c r="K62" s="18" t="n">
        <v>0</v>
      </c>
      <c r="L62" s="20" t="n">
        <v>0</v>
      </c>
      <c r="M62" s="18" t="n">
        <v>0</v>
      </c>
      <c r="N62" s="20" t="n">
        <v>0</v>
      </c>
      <c r="O62" s="18" t="n">
        <v>0</v>
      </c>
      <c r="P62" s="20" t="n">
        <v>0</v>
      </c>
      <c r="Q62" s="18" t="n">
        <v>4.33406641</v>
      </c>
      <c r="R62" s="20" t="n">
        <v>1.37491523</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(2557.0/B66*100)</f>
        <v/>
      </c>
      <c r="D66" s="19" t="n">
        <v>337</v>
      </c>
      <c r="E66" s="18" t="n">
        <v>36.17326279</v>
      </c>
      <c r="F66" s="20" t="n">
        <v>2.52610395</v>
      </c>
      <c r="G66" s="18" t="n">
        <v>17.5892019</v>
      </c>
      <c r="H66" s="20" t="n">
        <v>2.32158428</v>
      </c>
      <c r="I66" s="18" t="s">
        <v>567</v>
      </c>
      <c r="J66" s="20" t="s">
        <v>567</v>
      </c>
      <c r="K66" s="18" t="n">
        <v>1.67289631</v>
      </c>
      <c r="L66" s="20" t="n">
        <v>0.66640384</v>
      </c>
      <c r="M66" s="18" t="n">
        <v>0.85713856</v>
      </c>
      <c r="N66" s="20" t="n">
        <v>0.49547869</v>
      </c>
      <c r="O66" s="18" t="n">
        <v>0</v>
      </c>
      <c r="P66" s="20" t="n">
        <v>0</v>
      </c>
      <c r="Q66" s="18" t="n">
        <v>43.70750044</v>
      </c>
      <c r="R66" s="20" t="n">
        <v>2.83348519</v>
      </c>
    </row>
    <row r="67" spans="1:18">
      <c r="A67" s="15" t="s">
        <v>627</v>
      </c>
      <c r="B67" s="17" t="n">
        <v>3511</v>
      </c>
      <c r="C67" s="18">
        <f>(3157.0/B67*100)</f>
        <v/>
      </c>
      <c r="D67" s="19" t="n">
        <v>354</v>
      </c>
      <c r="E67" s="18" t="n">
        <v>65.57638244</v>
      </c>
      <c r="F67" s="20" t="n">
        <v>2.5469713</v>
      </c>
      <c r="G67" s="18" t="n">
        <v>21.61599281</v>
      </c>
      <c r="H67" s="20" t="n">
        <v>2.30647629</v>
      </c>
      <c r="I67" s="18" t="s">
        <v>567</v>
      </c>
      <c r="J67" s="20" t="s">
        <v>567</v>
      </c>
      <c r="K67" s="18" t="n">
        <v>0</v>
      </c>
      <c r="L67" s="20" t="n">
        <v>0</v>
      </c>
      <c r="M67" s="18" t="n">
        <v>0</v>
      </c>
      <c r="N67" s="20" t="n">
        <v>0</v>
      </c>
      <c r="O67" s="18" t="n">
        <v>0</v>
      </c>
      <c r="P67" s="20" t="n">
        <v>0</v>
      </c>
      <c r="Q67" s="18" t="n">
        <v>12.80762474</v>
      </c>
      <c r="R67" s="20" t="n">
        <v>1.70025752</v>
      </c>
    </row>
    <row r="68" spans="1:18">
      <c r="A68" s="15" t="s">
        <v>628</v>
      </c>
      <c r="B68" s="17" t="n">
        <v>6049</v>
      </c>
      <c r="C68" s="18">
        <f>(5386.0/B68*100)</f>
        <v/>
      </c>
      <c r="D68" s="19" t="n">
        <v>663</v>
      </c>
      <c r="E68" s="18" t="n">
        <v>53.18171734</v>
      </c>
      <c r="F68" s="20" t="n">
        <v>1.86168021</v>
      </c>
      <c r="G68" s="18" t="n">
        <v>24.47849991</v>
      </c>
      <c r="H68" s="20" t="n">
        <v>1.68662068</v>
      </c>
      <c r="I68" s="18" t="s">
        <v>567</v>
      </c>
      <c r="J68" s="20" t="s">
        <v>567</v>
      </c>
      <c r="K68" s="18" t="n">
        <v>1.6546522</v>
      </c>
      <c r="L68" s="20" t="n">
        <v>0.53422061</v>
      </c>
      <c r="M68" s="18" t="n">
        <v>0</v>
      </c>
      <c r="N68" s="20" t="n">
        <v>0</v>
      </c>
      <c r="O68" s="18" t="n">
        <v>0</v>
      </c>
      <c r="P68" s="20" t="n">
        <v>0</v>
      </c>
      <c r="Q68" s="18" t="n">
        <v>20.68513055</v>
      </c>
      <c r="R68" s="20" t="n">
        <v>1.58551406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(2615.0/B70*100)</f>
        <v/>
      </c>
      <c r="D70" s="19" t="n">
        <v>314</v>
      </c>
      <c r="E70" s="18" t="n">
        <v>46.24686831</v>
      </c>
      <c r="F70" s="20" t="n">
        <v>2.6853773</v>
      </c>
      <c r="G70" s="18" t="n">
        <v>33.24170013</v>
      </c>
      <c r="H70" s="20" t="n">
        <v>3.06745795</v>
      </c>
      <c r="I70" s="18" t="s">
        <v>567</v>
      </c>
      <c r="J70" s="20" t="s">
        <v>567</v>
      </c>
      <c r="K70" s="18" t="n">
        <v>0.32400997</v>
      </c>
      <c r="L70" s="20" t="n">
        <v>0.2324377</v>
      </c>
      <c r="M70" s="18" t="n">
        <v>0.35862125</v>
      </c>
      <c r="N70" s="20" t="n">
        <v>0.50954347</v>
      </c>
      <c r="O70" s="18" t="n">
        <v>0</v>
      </c>
      <c r="P70" s="20" t="n">
        <v>0</v>
      </c>
      <c r="Q70" s="18" t="n">
        <v>19.82880034</v>
      </c>
      <c r="R70" s="20" t="n">
        <v>2.49370785</v>
      </c>
    </row>
    <row r="71" spans="1:18">
      <c r="A71" s="15" t="s">
        <v>631</v>
      </c>
      <c r="B71" s="17" t="n">
        <v>3142</v>
      </c>
      <c r="C71" s="18">
        <f>(2784.0/B71*100)</f>
        <v/>
      </c>
      <c r="D71" s="19" t="n">
        <v>358</v>
      </c>
      <c r="E71" s="18" t="n">
        <v>36.58944436</v>
      </c>
      <c r="F71" s="20" t="n">
        <v>2.54409626</v>
      </c>
      <c r="G71" s="18" t="n">
        <v>57.47857818</v>
      </c>
      <c r="H71" s="20" t="n">
        <v>2.63694125</v>
      </c>
      <c r="I71" s="18" t="s">
        <v>567</v>
      </c>
      <c r="J71" s="20" t="s">
        <v>567</v>
      </c>
      <c r="K71" s="18" t="n">
        <v>0.29267452</v>
      </c>
      <c r="L71" s="20" t="n">
        <v>0.28844868</v>
      </c>
      <c r="M71" s="18" t="n">
        <v>0</v>
      </c>
      <c r="N71" s="20" t="n">
        <v>0</v>
      </c>
      <c r="O71" s="18" t="n">
        <v>0</v>
      </c>
      <c r="P71" s="20" t="n">
        <v>0</v>
      </c>
      <c r="Q71" s="18" t="n">
        <v>5.63930293</v>
      </c>
      <c r="R71" s="20" t="n">
        <v>1.12511531</v>
      </c>
    </row>
    <row r="72" spans="1:18">
      <c r="A72" s="15" t="s">
        <v>632</v>
      </c>
      <c r="B72" s="17" t="n">
        <v>3889</v>
      </c>
      <c r="C72" s="18">
        <f>(3433.0/B72*100)</f>
        <v/>
      </c>
      <c r="D72" s="19" t="n">
        <v>456</v>
      </c>
      <c r="E72" s="18" t="n">
        <v>37.05548311</v>
      </c>
      <c r="F72" s="20" t="n">
        <v>2.67730104</v>
      </c>
      <c r="G72" s="18" t="n">
        <v>53.69316966</v>
      </c>
      <c r="H72" s="20" t="n">
        <v>2.6632411</v>
      </c>
      <c r="I72" s="18" t="s">
        <v>567</v>
      </c>
      <c r="J72" s="20" t="s">
        <v>567</v>
      </c>
      <c r="K72" s="18" t="n">
        <v>0.46512762</v>
      </c>
      <c r="L72" s="20" t="n">
        <v>0.35056184</v>
      </c>
      <c r="M72" s="18" t="n">
        <v>0</v>
      </c>
      <c r="N72" s="20" t="n">
        <v>0</v>
      </c>
      <c r="O72" s="18" t="n">
        <v>0</v>
      </c>
      <c r="P72" s="20" t="n">
        <v>0</v>
      </c>
      <c r="Q72" s="18" t="n">
        <v>8.78621961</v>
      </c>
      <c r="R72" s="20" t="n">
        <v>1.34540032</v>
      </c>
    </row>
    <row r="73" spans="1:18">
      <c r="A73" s="15" t="s">
        <v>633</v>
      </c>
      <c r="B73" s="17" t="n">
        <v>3597</v>
      </c>
      <c r="C73" s="18">
        <f>(3198.0/B73*100)</f>
        <v/>
      </c>
      <c r="D73" s="19" t="n">
        <v>399</v>
      </c>
      <c r="E73" s="18" t="n">
        <v>75.5351866</v>
      </c>
      <c r="F73" s="20" t="n">
        <v>2.55717641</v>
      </c>
      <c r="G73" s="18" t="n">
        <v>19.83347508</v>
      </c>
      <c r="H73" s="20" t="n">
        <v>2.23879493</v>
      </c>
      <c r="I73" s="18" t="s">
        <v>567</v>
      </c>
      <c r="J73" s="20" t="s">
        <v>567</v>
      </c>
      <c r="K73" s="18" t="n">
        <v>0.09289082</v>
      </c>
      <c r="L73" s="20" t="n">
        <v>0.09738829</v>
      </c>
      <c r="M73" s="18" t="n">
        <v>0</v>
      </c>
      <c r="N73" s="20" t="n">
        <v>0</v>
      </c>
      <c r="O73" s="18" t="n">
        <v>0</v>
      </c>
      <c r="P73" s="20" t="n">
        <v>0</v>
      </c>
      <c r="Q73" s="18" t="n">
        <v>4.5384475</v>
      </c>
      <c r="R73" s="20" t="n">
        <v>1.36712108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(2165.0/B75*100)</f>
        <v/>
      </c>
      <c r="D75" s="19" t="n">
        <v>241</v>
      </c>
      <c r="E75" s="18" t="n">
        <v>51.20383526</v>
      </c>
      <c r="F75" s="20" t="n">
        <v>3.74827946</v>
      </c>
      <c r="G75" s="18" t="n">
        <v>11.2334945</v>
      </c>
      <c r="H75" s="20" t="n">
        <v>3.17286305</v>
      </c>
      <c r="I75" s="18" t="s">
        <v>567</v>
      </c>
      <c r="J75" s="20" t="s">
        <v>567</v>
      </c>
      <c r="K75" s="18" t="n">
        <v>3.61076857</v>
      </c>
      <c r="L75" s="20" t="n">
        <v>1.15720023</v>
      </c>
      <c r="M75" s="18" t="n">
        <v>0.97695666</v>
      </c>
      <c r="N75" s="20" t="n">
        <v>0.68792711</v>
      </c>
      <c r="O75" s="18" t="n">
        <v>0</v>
      </c>
      <c r="P75" s="20" t="n">
        <v>0</v>
      </c>
      <c r="Q75" s="18" t="n">
        <v>32.97494502</v>
      </c>
      <c r="R75" s="20" t="n">
        <v>3.35938451</v>
      </c>
    </row>
    <row r="76" spans="1:18">
      <c r="A76" s="15" t="s">
        <v>636</v>
      </c>
      <c r="B76" s="17" t="n">
        <v>7052</v>
      </c>
      <c r="C76" s="18">
        <f>(6267.0/B76*100)</f>
        <v/>
      </c>
      <c r="D76" s="19" t="n">
        <v>785</v>
      </c>
      <c r="E76" s="18" t="n">
        <v>59.47353601</v>
      </c>
      <c r="F76" s="20" t="n">
        <v>2.56939454</v>
      </c>
      <c r="G76" s="18" t="n">
        <v>25.20732952</v>
      </c>
      <c r="H76" s="20" t="n">
        <v>2.62372605</v>
      </c>
      <c r="I76" s="18" t="s">
        <v>567</v>
      </c>
      <c r="J76" s="20" t="s">
        <v>567</v>
      </c>
      <c r="K76" s="18" t="n">
        <v>1.00545119</v>
      </c>
      <c r="L76" s="20" t="n">
        <v>0.44963524</v>
      </c>
      <c r="M76" s="18" t="n">
        <v>0</v>
      </c>
      <c r="N76" s="20" t="n">
        <v>0</v>
      </c>
      <c r="O76" s="18" t="n">
        <v>0</v>
      </c>
      <c r="P76" s="20" t="n">
        <v>0</v>
      </c>
      <c r="Q76" s="18" t="n">
        <v>14.31368327</v>
      </c>
      <c r="R76" s="20" t="n">
        <v>1.57731054</v>
      </c>
    </row>
    <row r="77" spans="1:18">
      <c r="A77" s="15" t="s">
        <v>637</v>
      </c>
      <c r="B77" s="17" t="n">
        <v>2908</v>
      </c>
      <c r="C77" s="18">
        <f>(2583.0/B77*100)</f>
        <v/>
      </c>
      <c r="D77" s="19" t="n">
        <v>325</v>
      </c>
      <c r="E77" s="18" t="n">
        <v>38.99542598</v>
      </c>
      <c r="F77" s="20" t="n">
        <v>2.50619918</v>
      </c>
      <c r="G77" s="18" t="n">
        <v>25.15734649</v>
      </c>
      <c r="H77" s="20" t="n">
        <v>2.48738276</v>
      </c>
      <c r="I77" s="18" t="s">
        <v>567</v>
      </c>
      <c r="J77" s="20" t="s">
        <v>567</v>
      </c>
      <c r="K77" s="18" t="n">
        <v>2.57610701</v>
      </c>
      <c r="L77" s="20" t="n">
        <v>0.90063028</v>
      </c>
      <c r="M77" s="18" t="n">
        <v>0</v>
      </c>
      <c r="N77" s="20" t="n">
        <v>0</v>
      </c>
      <c r="O77" s="18" t="n">
        <v>0</v>
      </c>
      <c r="P77" s="20" t="n">
        <v>0</v>
      </c>
      <c r="Q77" s="18" t="n">
        <v>33.27112052</v>
      </c>
      <c r="R77" s="20" t="n">
        <v>2.73475701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(3678.0/B81*100)</f>
        <v/>
      </c>
      <c r="D81" s="19" t="n">
        <v>485</v>
      </c>
      <c r="E81" s="18" t="n">
        <v>73.03417468000001</v>
      </c>
      <c r="F81" s="20" t="n">
        <v>2.61113321</v>
      </c>
      <c r="G81" s="18" t="n">
        <v>20.89480291</v>
      </c>
      <c r="H81" s="20" t="n">
        <v>2.37925391</v>
      </c>
      <c r="I81" s="18" t="s">
        <v>567</v>
      </c>
      <c r="J81" s="20" t="s">
        <v>567</v>
      </c>
      <c r="K81" s="18" t="n">
        <v>0</v>
      </c>
      <c r="L81" s="20" t="n">
        <v>0</v>
      </c>
      <c r="M81" s="18" t="n">
        <v>0.30050288</v>
      </c>
      <c r="N81" s="20" t="n">
        <v>0.29122679</v>
      </c>
      <c r="O81" s="18" t="n">
        <v>0</v>
      </c>
      <c r="P81" s="20" t="n">
        <v>0</v>
      </c>
      <c r="Q81" s="18" t="n">
        <v>5.77051954</v>
      </c>
      <c r="R81" s="20" t="n">
        <v>1.26184291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(6533.0/B7*100)</f>
        <v/>
      </c>
      <c r="D7" s="19" t="n">
        <v>834</v>
      </c>
      <c r="E7" s="18" t="n">
        <v>26.99956028</v>
      </c>
      <c r="F7" s="20" t="n">
        <v>1.48665473</v>
      </c>
      <c r="G7" s="18" t="n">
        <v>72.09361441</v>
      </c>
      <c r="H7" s="20" t="n">
        <v>1.47474143</v>
      </c>
      <c r="I7" s="18" t="s">
        <v>567</v>
      </c>
      <c r="J7" s="20" t="s">
        <v>567</v>
      </c>
      <c r="K7" s="18" t="n">
        <v>0.09122673000000001</v>
      </c>
      <c r="L7" s="20" t="n">
        <v>0.04909263</v>
      </c>
      <c r="M7" s="18" t="n">
        <v>0</v>
      </c>
      <c r="N7" s="20" t="n">
        <v>0</v>
      </c>
      <c r="O7" s="18" t="n">
        <v>0</v>
      </c>
      <c r="P7" s="20" t="n">
        <v>0</v>
      </c>
      <c r="Q7" s="18" t="n">
        <v>0.81559858</v>
      </c>
      <c r="R7" s="20" t="n">
        <v>0.35526529</v>
      </c>
    </row>
    <row r="8" spans="1:18">
      <c r="A8" s="15" t="s">
        <v>568</v>
      </c>
      <c r="B8" s="17" t="n">
        <v>3564</v>
      </c>
      <c r="C8" s="18">
        <f>(3141.0/B8*100)</f>
        <v/>
      </c>
      <c r="D8" s="19" t="n">
        <v>423</v>
      </c>
      <c r="E8" s="18" t="n">
        <v>27.13723104</v>
      </c>
      <c r="F8" s="20" t="n">
        <v>2.71543018</v>
      </c>
      <c r="G8" s="18" t="n">
        <v>72.28730421</v>
      </c>
      <c r="H8" s="20" t="n">
        <v>2.74331898</v>
      </c>
      <c r="I8" s="18" t="s">
        <v>567</v>
      </c>
      <c r="J8" s="20" t="s">
        <v>567</v>
      </c>
      <c r="K8" s="18" t="n">
        <v>0.20400928</v>
      </c>
      <c r="L8" s="20" t="n">
        <v>0.20720605</v>
      </c>
      <c r="M8" s="18" t="n">
        <v>0</v>
      </c>
      <c r="N8" s="20" t="n">
        <v>0</v>
      </c>
      <c r="O8" s="18" t="n">
        <v>0</v>
      </c>
      <c r="P8" s="20" t="n">
        <v>0</v>
      </c>
      <c r="Q8" s="18" t="n">
        <v>0.37145547</v>
      </c>
      <c r="R8" s="20" t="n">
        <v>0.2717731</v>
      </c>
    </row>
    <row r="9" spans="1:18">
      <c r="A9" s="15" t="s">
        <v>569</v>
      </c>
      <c r="B9" s="17" t="n">
        <v>4899</v>
      </c>
      <c r="C9" s="18">
        <f>(4376.0/B9*100)</f>
        <v/>
      </c>
      <c r="D9" s="19" t="n">
        <v>523</v>
      </c>
      <c r="E9" s="18" t="n">
        <v>23.77380968</v>
      </c>
      <c r="F9" s="20" t="n">
        <v>1.81444475</v>
      </c>
      <c r="G9" s="18" t="n">
        <v>75.31084488</v>
      </c>
      <c r="H9" s="20" t="n">
        <v>1.84743156</v>
      </c>
      <c r="I9" s="18" t="s">
        <v>567</v>
      </c>
      <c r="J9" s="20" t="s">
        <v>567</v>
      </c>
      <c r="K9" s="18" t="n">
        <v>0.51022394</v>
      </c>
      <c r="L9" s="20" t="n">
        <v>0.37688279</v>
      </c>
      <c r="M9" s="18" t="n">
        <v>0</v>
      </c>
      <c r="N9" s="20" t="n">
        <v>0</v>
      </c>
      <c r="O9" s="18" t="n">
        <v>0</v>
      </c>
      <c r="P9" s="20" t="n">
        <v>0</v>
      </c>
      <c r="Q9" s="18" t="n">
        <v>0.40512149</v>
      </c>
      <c r="R9" s="20" t="n">
        <v>0.26466004</v>
      </c>
    </row>
    <row r="10" spans="1:18">
      <c r="A10" s="15" t="s">
        <v>570</v>
      </c>
      <c r="B10" s="17" t="n">
        <v>10036</v>
      </c>
      <c r="C10" s="18">
        <f>(8970.0/B10*100)</f>
        <v/>
      </c>
      <c r="D10" s="19" t="n">
        <v>1066</v>
      </c>
      <c r="E10" s="18" t="n">
        <v>27.42620357</v>
      </c>
      <c r="F10" s="20" t="n">
        <v>1.82850121</v>
      </c>
      <c r="G10" s="18" t="n">
        <v>71.80147964</v>
      </c>
      <c r="H10" s="20" t="n">
        <v>1.86270824</v>
      </c>
      <c r="I10" s="18" t="s">
        <v>567</v>
      </c>
      <c r="J10" s="20" t="s">
        <v>567</v>
      </c>
      <c r="K10" s="18" t="n">
        <v>0.32623341</v>
      </c>
      <c r="L10" s="20" t="n">
        <v>0.1704116</v>
      </c>
      <c r="M10" s="18" t="n">
        <v>0</v>
      </c>
      <c r="N10" s="20" t="n">
        <v>0</v>
      </c>
      <c r="O10" s="18" t="n">
        <v>0</v>
      </c>
      <c r="P10" s="20" t="n">
        <v>0</v>
      </c>
      <c r="Q10" s="18" t="n">
        <v>0.44608339</v>
      </c>
      <c r="R10" s="20" t="n">
        <v>0.22883117</v>
      </c>
    </row>
    <row r="11" spans="1:18">
      <c r="A11" s="15" t="s">
        <v>571</v>
      </c>
      <c r="B11" s="17" t="n">
        <v>3553</v>
      </c>
      <c r="C11" s="18">
        <f>(3174.0/B11*100)</f>
        <v/>
      </c>
      <c r="D11" s="19" t="n">
        <v>379</v>
      </c>
      <c r="E11" s="18" t="n">
        <v>40.76047274</v>
      </c>
      <c r="F11" s="20" t="n">
        <v>2.71014905</v>
      </c>
      <c r="G11" s="18" t="n">
        <v>56.77617509</v>
      </c>
      <c r="H11" s="20" t="n">
        <v>2.70211217</v>
      </c>
      <c r="I11" s="18" t="s">
        <v>567</v>
      </c>
      <c r="J11" s="20" t="s">
        <v>567</v>
      </c>
      <c r="K11" s="18" t="n">
        <v>2.38576167</v>
      </c>
      <c r="L11" s="20" t="n">
        <v>1.03119676</v>
      </c>
      <c r="M11" s="18" t="n">
        <v>0</v>
      </c>
      <c r="N11" s="20" t="n">
        <v>0</v>
      </c>
      <c r="O11" s="18" t="n">
        <v>0</v>
      </c>
      <c r="P11" s="20" t="n">
        <v>0</v>
      </c>
      <c r="Q11" s="18" t="n">
        <v>0.07759049</v>
      </c>
      <c r="R11" s="20" t="n">
        <v>0.07763612</v>
      </c>
    </row>
    <row r="12" spans="1:18">
      <c r="A12" s="15" t="s">
        <v>572</v>
      </c>
      <c r="B12" s="17" t="n">
        <v>3472</v>
      </c>
      <c r="C12" s="18">
        <f>(3092.0/B12*100)</f>
        <v/>
      </c>
      <c r="D12" s="19" t="n">
        <v>380</v>
      </c>
      <c r="E12" s="18" t="n">
        <v>28.38372605</v>
      </c>
      <c r="F12" s="20" t="n">
        <v>2.21217842</v>
      </c>
      <c r="G12" s="18" t="n">
        <v>70.28313396999999</v>
      </c>
      <c r="H12" s="20" t="n">
        <v>2.48058675</v>
      </c>
      <c r="I12" s="18" t="s">
        <v>567</v>
      </c>
      <c r="J12" s="20" t="s">
        <v>567</v>
      </c>
      <c r="K12" s="18" t="n">
        <v>0</v>
      </c>
      <c r="L12" s="20" t="n">
        <v>0</v>
      </c>
      <c r="M12" s="18" t="n">
        <v>0</v>
      </c>
      <c r="N12" s="20" t="n">
        <v>0</v>
      </c>
      <c r="O12" s="18" t="n">
        <v>0</v>
      </c>
      <c r="P12" s="20" t="n">
        <v>0</v>
      </c>
      <c r="Q12" s="18" t="n">
        <v>1.33313998</v>
      </c>
      <c r="R12" s="20" t="n">
        <v>0.72634135</v>
      </c>
    </row>
    <row r="13" spans="1:18">
      <c r="A13" s="15" t="s">
        <v>573</v>
      </c>
      <c r="B13" s="17" t="n">
        <v>3559</v>
      </c>
      <c r="C13" s="18">
        <f>(3158.0/B13*100)</f>
        <v/>
      </c>
      <c r="D13" s="19" t="n">
        <v>401</v>
      </c>
      <c r="E13" s="18" t="n">
        <v>28.45617199</v>
      </c>
      <c r="F13" s="20" t="n">
        <v>2.29067392</v>
      </c>
      <c r="G13" s="18" t="n">
        <v>70.08367370000001</v>
      </c>
      <c r="H13" s="20" t="n">
        <v>2.263139</v>
      </c>
      <c r="I13" s="18" t="s">
        <v>567</v>
      </c>
      <c r="J13" s="20" t="s">
        <v>567</v>
      </c>
      <c r="K13" s="18" t="n">
        <v>0.74312649</v>
      </c>
      <c r="L13" s="20" t="n">
        <v>0.42522518</v>
      </c>
      <c r="M13" s="18" t="n">
        <v>0</v>
      </c>
      <c r="N13" s="20" t="n">
        <v>0</v>
      </c>
      <c r="O13" s="18" t="n">
        <v>0</v>
      </c>
      <c r="P13" s="20" t="n">
        <v>0</v>
      </c>
      <c r="Q13" s="18" t="n">
        <v>0.71702781</v>
      </c>
      <c r="R13" s="20" t="n">
        <v>0.55276581</v>
      </c>
    </row>
    <row r="14" spans="1:18">
      <c r="A14" s="15" t="s">
        <v>574</v>
      </c>
      <c r="B14" s="17" t="n">
        <v>2799</v>
      </c>
      <c r="C14" s="18">
        <f>(2506.0/B14*100)</f>
        <v/>
      </c>
      <c r="D14" s="19" t="n">
        <v>293</v>
      </c>
      <c r="E14" s="18" t="n">
        <v>17.67541473</v>
      </c>
      <c r="F14" s="20" t="n">
        <v>2.3042343</v>
      </c>
      <c r="G14" s="18" t="n">
        <v>81.01437343000001</v>
      </c>
      <c r="H14" s="20" t="n">
        <v>2.32741365</v>
      </c>
      <c r="I14" s="18" t="s">
        <v>567</v>
      </c>
      <c r="J14" s="20" t="s">
        <v>567</v>
      </c>
      <c r="K14" s="18" t="n">
        <v>0.61274464</v>
      </c>
      <c r="L14" s="20" t="n">
        <v>0.43950268</v>
      </c>
      <c r="M14" s="18" t="n">
        <v>0</v>
      </c>
      <c r="N14" s="20" t="n">
        <v>0</v>
      </c>
      <c r="O14" s="18" t="n">
        <v>0</v>
      </c>
      <c r="P14" s="20" t="n">
        <v>0</v>
      </c>
      <c r="Q14" s="18" t="n">
        <v>0.6974672</v>
      </c>
      <c r="R14" s="20" t="n">
        <v>0.5130036100000001</v>
      </c>
    </row>
    <row r="15" spans="1:18">
      <c r="A15" s="15" t="s">
        <v>575</v>
      </c>
      <c r="B15" s="17" t="n">
        <v>3019</v>
      </c>
      <c r="C15" s="18">
        <f>(2708.0/B15*100)</f>
        <v/>
      </c>
      <c r="D15" s="19" t="n">
        <v>311</v>
      </c>
      <c r="E15" s="18" t="n">
        <v>20.81551066</v>
      </c>
      <c r="F15" s="20" t="n">
        <v>2.33539897</v>
      </c>
      <c r="G15" s="18" t="n">
        <v>77.21906858</v>
      </c>
      <c r="H15" s="20" t="n">
        <v>2.43194203</v>
      </c>
      <c r="I15" s="18" t="s">
        <v>567</v>
      </c>
      <c r="J15" s="20" t="s">
        <v>567</v>
      </c>
      <c r="K15" s="18" t="n">
        <v>0.60152203</v>
      </c>
      <c r="L15" s="20" t="n">
        <v>0.42614783</v>
      </c>
      <c r="M15" s="18" t="n">
        <v>0</v>
      </c>
      <c r="N15" s="20" t="n">
        <v>0</v>
      </c>
      <c r="O15" s="18" t="n">
        <v>0</v>
      </c>
      <c r="P15" s="20" t="n">
        <v>0</v>
      </c>
      <c r="Q15" s="18" t="n">
        <v>1.36389873</v>
      </c>
      <c r="R15" s="20" t="n">
        <v>0.7176783799999999</v>
      </c>
    </row>
    <row r="16" spans="1:18">
      <c r="A16" s="15" t="s">
        <v>576</v>
      </c>
      <c r="B16" s="17" t="n">
        <v>2997</v>
      </c>
      <c r="C16" s="18">
        <f>(2683.0/B16*100)</f>
        <v/>
      </c>
      <c r="D16" s="19" t="n">
        <v>314</v>
      </c>
      <c r="E16" s="18" t="n">
        <v>28.0198029</v>
      </c>
      <c r="F16" s="20" t="n">
        <v>2.84945285</v>
      </c>
      <c r="G16" s="18" t="n">
        <v>67.45272779</v>
      </c>
      <c r="H16" s="20" t="n">
        <v>2.74064497</v>
      </c>
      <c r="I16" s="18" t="s">
        <v>567</v>
      </c>
      <c r="J16" s="20" t="s">
        <v>567</v>
      </c>
      <c r="K16" s="18" t="n">
        <v>2.80224702</v>
      </c>
      <c r="L16" s="20" t="n">
        <v>0.93375631</v>
      </c>
      <c r="M16" s="18" t="n">
        <v>0</v>
      </c>
      <c r="N16" s="20" t="n">
        <v>0</v>
      </c>
      <c r="O16" s="18" t="n">
        <v>0</v>
      </c>
      <c r="P16" s="20" t="n">
        <v>0</v>
      </c>
      <c r="Q16" s="18" t="n">
        <v>1.7252223</v>
      </c>
      <c r="R16" s="20" t="n">
        <v>0.83312471</v>
      </c>
    </row>
    <row r="17" spans="1:18">
      <c r="A17" s="15" t="s">
        <v>577</v>
      </c>
      <c r="B17" s="17" t="n">
        <v>3307</v>
      </c>
      <c r="C17" s="18">
        <f>(2959.0/B17*100)</f>
        <v/>
      </c>
      <c r="D17" s="19" t="n">
        <v>348</v>
      </c>
      <c r="E17" s="18" t="n">
        <v>25.03676522</v>
      </c>
      <c r="F17" s="20" t="n">
        <v>2.76951871</v>
      </c>
      <c r="G17" s="18" t="n">
        <v>73.86829482</v>
      </c>
      <c r="H17" s="20" t="n">
        <v>2.80466275</v>
      </c>
      <c r="I17" s="18" t="s">
        <v>567</v>
      </c>
      <c r="J17" s="20" t="s">
        <v>567</v>
      </c>
      <c r="K17" s="18" t="n">
        <v>0</v>
      </c>
      <c r="L17" s="20" t="n">
        <v>0</v>
      </c>
      <c r="M17" s="18" t="n">
        <v>0</v>
      </c>
      <c r="N17" s="20" t="n">
        <v>0</v>
      </c>
      <c r="O17" s="18" t="n">
        <v>0</v>
      </c>
      <c r="P17" s="20" t="n">
        <v>0</v>
      </c>
      <c r="Q17" s="18" t="n">
        <v>1.09493995</v>
      </c>
      <c r="R17" s="20" t="n">
        <v>0.54912514</v>
      </c>
    </row>
    <row r="18" spans="1:18">
      <c r="A18" s="15" t="s">
        <v>578</v>
      </c>
      <c r="B18" s="17" t="n">
        <v>2826</v>
      </c>
      <c r="C18" s="18">
        <f>(2505.0/B18*100)</f>
        <v/>
      </c>
      <c r="D18" s="19" t="n">
        <v>321</v>
      </c>
      <c r="E18" s="18" t="n">
        <v>38.13660016</v>
      </c>
      <c r="F18" s="20" t="n">
        <v>3.10509504</v>
      </c>
      <c r="G18" s="18" t="n">
        <v>59.87100029</v>
      </c>
      <c r="H18" s="20" t="n">
        <v>3.17526914</v>
      </c>
      <c r="I18" s="18" t="s">
        <v>567</v>
      </c>
      <c r="J18" s="20" t="s">
        <v>567</v>
      </c>
      <c r="K18" s="18" t="n">
        <v>0.82821425</v>
      </c>
      <c r="L18" s="20" t="n">
        <v>0.48665791</v>
      </c>
      <c r="M18" s="18" t="n">
        <v>0</v>
      </c>
      <c r="N18" s="20" t="n">
        <v>0</v>
      </c>
      <c r="O18" s="18" t="n">
        <v>0</v>
      </c>
      <c r="P18" s="20" t="n">
        <v>0</v>
      </c>
      <c r="Q18" s="18" t="n">
        <v>1.1641853</v>
      </c>
      <c r="R18" s="20" t="n">
        <v>0.71842589</v>
      </c>
    </row>
    <row r="19" spans="1:18">
      <c r="A19" s="15" t="s">
        <v>579</v>
      </c>
      <c r="B19" s="17" t="n">
        <v>2808</v>
      </c>
      <c r="C19" s="18">
        <f>(2484.0/B19*100)</f>
        <v/>
      </c>
      <c r="D19" s="19" t="n">
        <v>324</v>
      </c>
      <c r="E19" s="18" t="n">
        <v>34.46071243</v>
      </c>
      <c r="F19" s="20" t="n">
        <v>2.97204426</v>
      </c>
      <c r="G19" s="18" t="n">
        <v>62.91427082</v>
      </c>
      <c r="H19" s="20" t="n">
        <v>3.27928555</v>
      </c>
      <c r="I19" s="18" t="s">
        <v>567</v>
      </c>
      <c r="J19" s="20" t="s">
        <v>567</v>
      </c>
      <c r="K19" s="18" t="n">
        <v>1.65676716</v>
      </c>
      <c r="L19" s="20" t="n">
        <v>1.01111859</v>
      </c>
      <c r="M19" s="18" t="n">
        <v>0</v>
      </c>
      <c r="N19" s="20" t="n">
        <v>0</v>
      </c>
      <c r="O19" s="18" t="n">
        <v>0</v>
      </c>
      <c r="P19" s="20" t="n">
        <v>0</v>
      </c>
      <c r="Q19" s="18" t="n">
        <v>0.96824959</v>
      </c>
      <c r="R19" s="20" t="n">
        <v>0.62997767</v>
      </c>
    </row>
    <row r="20" spans="1:18">
      <c r="A20" s="15" t="s">
        <v>580</v>
      </c>
      <c r="B20" s="17" t="n">
        <v>1630</v>
      </c>
      <c r="C20" s="18">
        <f>(1444.0/B20*100)</f>
        <v/>
      </c>
      <c r="D20" s="19" t="n">
        <v>186</v>
      </c>
      <c r="E20" s="18" t="n">
        <v>30.28335177</v>
      </c>
      <c r="F20" s="20" t="n">
        <v>2.84525201</v>
      </c>
      <c r="G20" s="18" t="n">
        <v>68.3974948</v>
      </c>
      <c r="H20" s="20" t="n">
        <v>2.94874543</v>
      </c>
      <c r="I20" s="18" t="s">
        <v>567</v>
      </c>
      <c r="J20" s="20" t="s">
        <v>567</v>
      </c>
      <c r="K20" s="18" t="n">
        <v>1.31915343</v>
      </c>
      <c r="L20" s="20" t="n">
        <v>0.90816349</v>
      </c>
      <c r="M20" s="18" t="n">
        <v>0</v>
      </c>
      <c r="N20" s="20" t="n">
        <v>0</v>
      </c>
      <c r="O20" s="18" t="n">
        <v>0</v>
      </c>
      <c r="P20" s="20" t="n">
        <v>0</v>
      </c>
      <c r="Q20" s="18" t="n">
        <v>0</v>
      </c>
      <c r="R20" s="20" t="n">
        <v>0</v>
      </c>
    </row>
    <row r="21" spans="1:18">
      <c r="A21" s="15" t="s">
        <v>581</v>
      </c>
      <c r="B21" s="17" t="n">
        <v>2908</v>
      </c>
      <c r="C21" s="18">
        <f>(2599.0/B21*100)</f>
        <v/>
      </c>
      <c r="D21" s="19" t="n">
        <v>309</v>
      </c>
      <c r="E21" s="18" t="n">
        <v>33.57141861</v>
      </c>
      <c r="F21" s="20" t="n">
        <v>2.83818844</v>
      </c>
      <c r="G21" s="18" t="n">
        <v>66.20469029</v>
      </c>
      <c r="H21" s="20" t="n">
        <v>2.85340977</v>
      </c>
      <c r="I21" s="18" t="s">
        <v>567</v>
      </c>
      <c r="J21" s="20" t="s">
        <v>567</v>
      </c>
      <c r="K21" s="18" t="n">
        <v>0</v>
      </c>
      <c r="L21" s="20" t="n">
        <v>0</v>
      </c>
      <c r="M21" s="18" t="n">
        <v>0</v>
      </c>
      <c r="N21" s="20" t="n">
        <v>0</v>
      </c>
      <c r="O21" s="18" t="n">
        <v>0</v>
      </c>
      <c r="P21" s="20" t="n">
        <v>0</v>
      </c>
      <c r="Q21" s="18" t="n">
        <v>0.2238911</v>
      </c>
      <c r="R21" s="20" t="n">
        <v>0.29751061</v>
      </c>
    </row>
    <row r="22" spans="1:18">
      <c r="A22" s="15" t="s">
        <v>582</v>
      </c>
      <c r="B22" s="17" t="n">
        <v>2931</v>
      </c>
      <c r="C22" s="18">
        <f>(2605.0/B22*100)</f>
        <v/>
      </c>
      <c r="D22" s="19" t="n">
        <v>326</v>
      </c>
      <c r="E22" s="18" t="n">
        <v>36.68136688</v>
      </c>
      <c r="F22" s="20" t="n">
        <v>3.31656971</v>
      </c>
      <c r="G22" s="18" t="n">
        <v>60.1333671</v>
      </c>
      <c r="H22" s="20" t="n">
        <v>3.36853755</v>
      </c>
      <c r="I22" s="18" t="s">
        <v>567</v>
      </c>
      <c r="J22" s="20" t="s">
        <v>567</v>
      </c>
      <c r="K22" s="18" t="n">
        <v>1.98712058</v>
      </c>
      <c r="L22" s="20" t="n">
        <v>0.64270894</v>
      </c>
      <c r="M22" s="18" t="n">
        <v>0</v>
      </c>
      <c r="N22" s="20" t="n">
        <v>0</v>
      </c>
      <c r="O22" s="18" t="n">
        <v>0</v>
      </c>
      <c r="P22" s="20" t="n">
        <v>0</v>
      </c>
      <c r="Q22" s="18" t="n">
        <v>1.19814543</v>
      </c>
      <c r="R22" s="20" t="n">
        <v>0.53774762</v>
      </c>
    </row>
    <row r="23" spans="1:18">
      <c r="A23" s="15" t="s">
        <v>583</v>
      </c>
      <c r="B23" s="17" t="n">
        <v>5791</v>
      </c>
      <c r="C23" s="18">
        <f>(5144.0/B23*100)</f>
        <v/>
      </c>
      <c r="D23" s="19" t="n">
        <v>647</v>
      </c>
      <c r="E23" s="18" t="n">
        <v>27.30104839</v>
      </c>
      <c r="F23" s="20" t="n">
        <v>2.68419632</v>
      </c>
      <c r="G23" s="18" t="n">
        <v>70.73281115</v>
      </c>
      <c r="H23" s="20" t="n">
        <v>2.8234437</v>
      </c>
      <c r="I23" s="18" t="s">
        <v>567</v>
      </c>
      <c r="J23" s="20" t="s">
        <v>567</v>
      </c>
      <c r="K23" s="18" t="n">
        <v>1.37907102</v>
      </c>
      <c r="L23" s="20" t="n">
        <v>0.49838523</v>
      </c>
      <c r="M23" s="18" t="n">
        <v>0</v>
      </c>
      <c r="N23" s="20" t="n">
        <v>0</v>
      </c>
      <c r="O23" s="18" t="n">
        <v>0</v>
      </c>
      <c r="P23" s="20" t="n">
        <v>0</v>
      </c>
      <c r="Q23" s="18" t="n">
        <v>0.5870694400000001</v>
      </c>
      <c r="R23" s="20" t="n">
        <v>0.43548186</v>
      </c>
    </row>
    <row r="24" spans="1:18">
      <c r="A24" s="15" t="s">
        <v>584</v>
      </c>
      <c r="B24" s="17" t="n">
        <v>3338</v>
      </c>
      <c r="C24" s="18">
        <f>(2969.0/B24*100)</f>
        <v/>
      </c>
      <c r="D24" s="19" t="n">
        <v>369</v>
      </c>
      <c r="E24" s="18" t="n">
        <v>26.91024707</v>
      </c>
      <c r="F24" s="20" t="n">
        <v>2.73106913</v>
      </c>
      <c r="G24" s="18" t="n">
        <v>72.55352075</v>
      </c>
      <c r="H24" s="20" t="n">
        <v>2.69517474</v>
      </c>
      <c r="I24" s="18" t="s">
        <v>567</v>
      </c>
      <c r="J24" s="20" t="s">
        <v>567</v>
      </c>
      <c r="K24" s="18" t="n">
        <v>0.29169975</v>
      </c>
      <c r="L24" s="20" t="n">
        <v>0.28581838</v>
      </c>
      <c r="M24" s="18" t="n">
        <v>0</v>
      </c>
      <c r="N24" s="20" t="n">
        <v>0</v>
      </c>
      <c r="O24" s="18" t="n">
        <v>0</v>
      </c>
      <c r="P24" s="20" t="n">
        <v>0</v>
      </c>
      <c r="Q24" s="18" t="n">
        <v>0.24453243</v>
      </c>
      <c r="R24" s="20" t="n">
        <v>0.24647815</v>
      </c>
    </row>
    <row r="25" spans="1:18">
      <c r="A25" s="15" t="s">
        <v>585</v>
      </c>
      <c r="B25" s="17" t="n">
        <v>2912</v>
      </c>
      <c r="C25" s="18">
        <f>(2589.0/B25*100)</f>
        <v/>
      </c>
      <c r="D25" s="19" t="n">
        <v>323</v>
      </c>
      <c r="E25" s="18" t="n">
        <v>26.65640519</v>
      </c>
      <c r="F25" s="20" t="n">
        <v>2.58741377</v>
      </c>
      <c r="G25" s="18" t="n">
        <v>72.66787530000001</v>
      </c>
      <c r="H25" s="20" t="n">
        <v>2.54886461</v>
      </c>
      <c r="I25" s="18" t="s">
        <v>567</v>
      </c>
      <c r="J25" s="20" t="s">
        <v>567</v>
      </c>
      <c r="K25" s="18" t="n">
        <v>0.31000973</v>
      </c>
      <c r="L25" s="20" t="n">
        <v>0.30748014</v>
      </c>
      <c r="M25" s="18" t="n">
        <v>0</v>
      </c>
      <c r="N25" s="20" t="n">
        <v>0</v>
      </c>
      <c r="O25" s="18" t="n">
        <v>0</v>
      </c>
      <c r="P25" s="20" t="n">
        <v>0</v>
      </c>
      <c r="Q25" s="18" t="n">
        <v>0.36570978</v>
      </c>
      <c r="R25" s="20" t="n">
        <v>0.36612653</v>
      </c>
    </row>
    <row r="26" spans="1:18">
      <c r="A26" s="15" t="s">
        <v>586</v>
      </c>
      <c r="B26" s="17" t="n">
        <v>2450</v>
      </c>
      <c r="C26" s="18">
        <f>(2209.0/B26*100)</f>
        <v/>
      </c>
      <c r="D26" s="19" t="n">
        <v>241</v>
      </c>
      <c r="E26" s="18" t="n">
        <v>29.55201034</v>
      </c>
      <c r="F26" s="20" t="n">
        <v>3.35580395</v>
      </c>
      <c r="G26" s="18" t="n">
        <v>69.77135585000001</v>
      </c>
      <c r="H26" s="20" t="n">
        <v>3.35250131</v>
      </c>
      <c r="I26" s="18" t="s">
        <v>567</v>
      </c>
      <c r="J26" s="20" t="s">
        <v>567</v>
      </c>
      <c r="K26" s="18" t="n">
        <v>0.35444909</v>
      </c>
      <c r="L26" s="20" t="n">
        <v>0.35419879</v>
      </c>
      <c r="M26" s="18" t="n">
        <v>0</v>
      </c>
      <c r="N26" s="20" t="n">
        <v>0</v>
      </c>
      <c r="O26" s="18" t="n">
        <v>0</v>
      </c>
      <c r="P26" s="20" t="n">
        <v>0</v>
      </c>
      <c r="Q26" s="18" t="n">
        <v>0.32218471</v>
      </c>
      <c r="R26" s="20" t="n">
        <v>0.32438196</v>
      </c>
    </row>
    <row r="27" spans="1:18">
      <c r="A27" s="15" t="s">
        <v>587</v>
      </c>
      <c r="B27" s="17" t="n">
        <v>2616</v>
      </c>
      <c r="C27" s="18">
        <f>(2358.0/B27*100)</f>
        <v/>
      </c>
      <c r="D27" s="19" t="n">
        <v>258</v>
      </c>
      <c r="E27" s="18" t="n">
        <v>28.10737959</v>
      </c>
      <c r="F27" s="20" t="n">
        <v>2.69385113</v>
      </c>
      <c r="G27" s="18" t="n">
        <v>70.74717554999999</v>
      </c>
      <c r="H27" s="20" t="n">
        <v>2.68584706</v>
      </c>
      <c r="I27" s="18" t="s">
        <v>567</v>
      </c>
      <c r="J27" s="20" t="s">
        <v>567</v>
      </c>
      <c r="K27" s="18" t="n">
        <v>0.7573071</v>
      </c>
      <c r="L27" s="20" t="n">
        <v>0.53529799</v>
      </c>
      <c r="M27" s="18" t="n">
        <v>0</v>
      </c>
      <c r="N27" s="20" t="n">
        <v>0</v>
      </c>
      <c r="O27" s="18" t="n">
        <v>0</v>
      </c>
      <c r="P27" s="20" t="n">
        <v>0</v>
      </c>
      <c r="Q27" s="18" t="n">
        <v>0.38813776</v>
      </c>
      <c r="R27" s="20" t="n">
        <v>0.39222456</v>
      </c>
    </row>
    <row r="28" spans="1:18">
      <c r="A28" s="15" t="s">
        <v>588</v>
      </c>
      <c r="B28" s="17" t="n">
        <v>3765</v>
      </c>
      <c r="C28" s="18">
        <f>(3365.0/B28*100)</f>
        <v/>
      </c>
      <c r="D28" s="19" t="n">
        <v>400</v>
      </c>
      <c r="E28" s="18" t="n">
        <v>41.42065057</v>
      </c>
      <c r="F28" s="20" t="n">
        <v>2.98348538</v>
      </c>
      <c r="G28" s="18" t="n">
        <v>56.9811985</v>
      </c>
      <c r="H28" s="20" t="n">
        <v>2.92288224</v>
      </c>
      <c r="I28" s="18" t="s">
        <v>567</v>
      </c>
      <c r="J28" s="20" t="s">
        <v>567</v>
      </c>
      <c r="K28" s="18" t="n">
        <v>1.01677117</v>
      </c>
      <c r="L28" s="20" t="n">
        <v>0.63023715</v>
      </c>
      <c r="M28" s="18" t="n">
        <v>0</v>
      </c>
      <c r="N28" s="20" t="n">
        <v>0</v>
      </c>
      <c r="O28" s="18" t="n">
        <v>0</v>
      </c>
      <c r="P28" s="20" t="n">
        <v>0</v>
      </c>
      <c r="Q28" s="18" t="n">
        <v>0.58137977</v>
      </c>
      <c r="R28" s="20" t="n">
        <v>0.44993946</v>
      </c>
    </row>
    <row r="29" spans="1:18">
      <c r="A29" s="15" t="s">
        <v>589</v>
      </c>
      <c r="B29" s="17" t="n">
        <v>2685</v>
      </c>
      <c r="C29" s="18">
        <f>(2386.0/B29*100)</f>
        <v/>
      </c>
      <c r="D29" s="19" t="n">
        <v>299</v>
      </c>
      <c r="E29" s="18" t="n">
        <v>25.17665045</v>
      </c>
      <c r="F29" s="20" t="n">
        <v>2.84805776</v>
      </c>
      <c r="G29" s="18" t="n">
        <v>74.12682473</v>
      </c>
      <c r="H29" s="20" t="n">
        <v>2.73957003</v>
      </c>
      <c r="I29" s="18" t="s">
        <v>567</v>
      </c>
      <c r="J29" s="20" t="s">
        <v>567</v>
      </c>
      <c r="K29" s="18" t="n">
        <v>0</v>
      </c>
      <c r="L29" s="20" t="n">
        <v>0</v>
      </c>
      <c r="M29" s="18" t="n">
        <v>0</v>
      </c>
      <c r="N29" s="20" t="n">
        <v>0</v>
      </c>
      <c r="O29" s="18" t="n">
        <v>0</v>
      </c>
      <c r="P29" s="20" t="n">
        <v>0</v>
      </c>
      <c r="Q29" s="18" t="n">
        <v>0.69652482</v>
      </c>
      <c r="R29" s="20" t="n">
        <v>0.51736342</v>
      </c>
    </row>
    <row r="30" spans="1:18">
      <c r="A30" s="15" t="s">
        <v>590</v>
      </c>
      <c r="B30" s="17" t="n">
        <v>2263</v>
      </c>
      <c r="C30" s="18">
        <f>(2018.0/B30*100)</f>
        <v/>
      </c>
      <c r="D30" s="19" t="n">
        <v>245</v>
      </c>
      <c r="E30" s="18" t="n">
        <v>28.8169797</v>
      </c>
      <c r="F30" s="20" t="n">
        <v>2.53088443</v>
      </c>
      <c r="G30" s="18" t="n">
        <v>69.13527309</v>
      </c>
      <c r="H30" s="20" t="n">
        <v>2.78766543</v>
      </c>
      <c r="I30" s="18" t="s">
        <v>567</v>
      </c>
      <c r="J30" s="20" t="s">
        <v>567</v>
      </c>
      <c r="K30" s="18" t="n">
        <v>1.28998072</v>
      </c>
      <c r="L30" s="20" t="n">
        <v>0.72713374</v>
      </c>
      <c r="M30" s="18" t="n">
        <v>0</v>
      </c>
      <c r="N30" s="20" t="n">
        <v>0</v>
      </c>
      <c r="O30" s="18" t="n">
        <v>0</v>
      </c>
      <c r="P30" s="20" t="n">
        <v>0</v>
      </c>
      <c r="Q30" s="18" t="n">
        <v>0.75776649</v>
      </c>
      <c r="R30" s="20" t="n">
        <v>0.64667889</v>
      </c>
    </row>
    <row r="31" spans="1:18">
      <c r="A31" s="15" t="s">
        <v>591</v>
      </c>
      <c r="B31" s="17" t="n">
        <v>2750</v>
      </c>
      <c r="C31" s="18">
        <f>(2443.0/B31*100)</f>
        <v/>
      </c>
      <c r="D31" s="19" t="n">
        <v>307</v>
      </c>
      <c r="E31" s="18" t="n">
        <v>29.59498246</v>
      </c>
      <c r="F31" s="20" t="n">
        <v>2.28620408</v>
      </c>
      <c r="G31" s="18" t="n">
        <v>69.17547485999999</v>
      </c>
      <c r="H31" s="20" t="n">
        <v>2.30741705</v>
      </c>
      <c r="I31" s="18" t="s">
        <v>567</v>
      </c>
      <c r="J31" s="20" t="s">
        <v>567</v>
      </c>
      <c r="K31" s="18" t="n">
        <v>0.93976474</v>
      </c>
      <c r="L31" s="20" t="n">
        <v>0.51471393</v>
      </c>
      <c r="M31" s="18" t="n">
        <v>0</v>
      </c>
      <c r="N31" s="20" t="n">
        <v>0</v>
      </c>
      <c r="O31" s="18" t="n">
        <v>0</v>
      </c>
      <c r="P31" s="20" t="n">
        <v>0</v>
      </c>
      <c r="Q31" s="18" t="n">
        <v>0.28977794</v>
      </c>
      <c r="R31" s="20" t="n">
        <v>0.29013551</v>
      </c>
    </row>
    <row r="32" spans="1:18">
      <c r="A32" s="15" t="s">
        <v>592</v>
      </c>
      <c r="B32" s="17" t="n">
        <v>2269</v>
      </c>
      <c r="C32" s="18">
        <f>(2020.0/B32*100)</f>
        <v/>
      </c>
      <c r="D32" s="19" t="n">
        <v>249</v>
      </c>
      <c r="E32" s="18" t="n">
        <v>41.55309393</v>
      </c>
      <c r="F32" s="20" t="n">
        <v>3.27888757</v>
      </c>
      <c r="G32" s="18" t="n">
        <v>57.95945365</v>
      </c>
      <c r="H32" s="20" t="n">
        <v>3.26536048</v>
      </c>
      <c r="I32" s="18" t="s">
        <v>567</v>
      </c>
      <c r="J32" s="20" t="s">
        <v>567</v>
      </c>
      <c r="K32" s="18" t="n">
        <v>0.48745243</v>
      </c>
      <c r="L32" s="20" t="n">
        <v>0.50628118</v>
      </c>
      <c r="M32" s="18" t="n">
        <v>0</v>
      </c>
      <c r="N32" s="20" t="n">
        <v>0</v>
      </c>
      <c r="O32" s="18" t="n">
        <v>0</v>
      </c>
      <c r="P32" s="20" t="n">
        <v>0</v>
      </c>
      <c r="Q32" s="18" t="n">
        <v>0</v>
      </c>
      <c r="R32" s="20" t="n">
        <v>0</v>
      </c>
    </row>
    <row r="33" spans="1:18">
      <c r="A33" s="15" t="s">
        <v>593</v>
      </c>
      <c r="B33" s="17" t="n">
        <v>3674</v>
      </c>
      <c r="C33" s="18">
        <f>(3295.0/B33*100)</f>
        <v/>
      </c>
      <c r="D33" s="19" t="n">
        <v>379</v>
      </c>
      <c r="E33" s="18" t="n">
        <v>27.00478894</v>
      </c>
      <c r="F33" s="20" t="n">
        <v>2.54625411</v>
      </c>
      <c r="G33" s="18" t="n">
        <v>72.01253314</v>
      </c>
      <c r="H33" s="20" t="n">
        <v>2.35955152</v>
      </c>
      <c r="I33" s="18" t="s">
        <v>567</v>
      </c>
      <c r="J33" s="20" t="s">
        <v>567</v>
      </c>
      <c r="K33" s="18" t="n">
        <v>0.02381208</v>
      </c>
      <c r="L33" s="20" t="n">
        <v>0.0239872</v>
      </c>
      <c r="M33" s="18" t="n">
        <v>0</v>
      </c>
      <c r="N33" s="20" t="n">
        <v>0</v>
      </c>
      <c r="O33" s="18" t="n">
        <v>0</v>
      </c>
      <c r="P33" s="20" t="n">
        <v>0</v>
      </c>
      <c r="Q33" s="18" t="n">
        <v>0.95886585</v>
      </c>
      <c r="R33" s="20" t="n">
        <v>0.43019054</v>
      </c>
    </row>
    <row r="34" spans="1:18">
      <c r="A34" s="15" t="s">
        <v>594</v>
      </c>
      <c r="B34" s="17" t="n">
        <v>3315</v>
      </c>
      <c r="C34" s="18">
        <f>(2931.0/B34*100)</f>
        <v/>
      </c>
      <c r="D34" s="19" t="n">
        <v>384</v>
      </c>
      <c r="E34" s="18" t="n">
        <v>32.08926484</v>
      </c>
      <c r="F34" s="20" t="n">
        <v>2.17329301</v>
      </c>
      <c r="G34" s="18" t="n">
        <v>67.42485762</v>
      </c>
      <c r="H34" s="20" t="n">
        <v>2.13774745</v>
      </c>
      <c r="I34" s="18" t="s">
        <v>567</v>
      </c>
      <c r="J34" s="20" t="s">
        <v>567</v>
      </c>
      <c r="K34" s="18" t="n">
        <v>0</v>
      </c>
      <c r="L34" s="20" t="n">
        <v>0</v>
      </c>
      <c r="M34" s="18" t="n">
        <v>0</v>
      </c>
      <c r="N34" s="20" t="n">
        <v>0</v>
      </c>
      <c r="O34" s="18" t="n">
        <v>0</v>
      </c>
      <c r="P34" s="20" t="n">
        <v>0</v>
      </c>
      <c r="Q34" s="18" t="n">
        <v>0.48587754</v>
      </c>
      <c r="R34" s="20" t="n">
        <v>0.29899721</v>
      </c>
    </row>
    <row r="35" spans="1:18">
      <c r="A35" s="15" t="s">
        <v>595</v>
      </c>
      <c r="B35" s="17" t="n">
        <v>3505</v>
      </c>
      <c r="C35" s="18">
        <f>(3118.0/B35*100)</f>
        <v/>
      </c>
      <c r="D35" s="19" t="n">
        <v>387</v>
      </c>
      <c r="E35" s="18" t="n">
        <v>29.4975087</v>
      </c>
      <c r="F35" s="20" t="n">
        <v>2.654526</v>
      </c>
      <c r="G35" s="18" t="n">
        <v>69.87620215</v>
      </c>
      <c r="H35" s="20" t="n">
        <v>2.65371586</v>
      </c>
      <c r="I35" s="18" t="s">
        <v>567</v>
      </c>
      <c r="J35" s="20" t="s">
        <v>567</v>
      </c>
      <c r="K35" s="18" t="n">
        <v>0.40147072</v>
      </c>
      <c r="L35" s="20" t="n">
        <v>0.23058691</v>
      </c>
      <c r="M35" s="18" t="n">
        <v>0</v>
      </c>
      <c r="N35" s="20" t="n">
        <v>0</v>
      </c>
      <c r="O35" s="18" t="n">
        <v>0</v>
      </c>
      <c r="P35" s="20" t="n">
        <v>0</v>
      </c>
      <c r="Q35" s="18" t="n">
        <v>0.22481843</v>
      </c>
      <c r="R35" s="20" t="n">
        <v>0.22342685</v>
      </c>
    </row>
    <row r="36" spans="1:18">
      <c r="A36" s="15" t="s">
        <v>596</v>
      </c>
      <c r="B36" s="17" t="n">
        <v>3332</v>
      </c>
      <c r="C36" s="18">
        <f>(2985.0/B36*100)</f>
        <v/>
      </c>
      <c r="D36" s="19" t="n">
        <v>347</v>
      </c>
      <c r="E36" s="18" t="n">
        <v>31.55367224</v>
      </c>
      <c r="F36" s="20" t="n">
        <v>2.47628294</v>
      </c>
      <c r="G36" s="18" t="n">
        <v>67.40713617</v>
      </c>
      <c r="H36" s="20" t="n">
        <v>2.43543546</v>
      </c>
      <c r="I36" s="18" t="s">
        <v>567</v>
      </c>
      <c r="J36" s="20" t="s">
        <v>567</v>
      </c>
      <c r="K36" s="18" t="n">
        <v>0.16440366</v>
      </c>
      <c r="L36" s="20" t="n">
        <v>0.15081322</v>
      </c>
      <c r="M36" s="18" t="n">
        <v>0</v>
      </c>
      <c r="N36" s="20" t="n">
        <v>0</v>
      </c>
      <c r="O36" s="18" t="n">
        <v>0</v>
      </c>
      <c r="P36" s="20" t="n">
        <v>0</v>
      </c>
      <c r="Q36" s="18" t="n">
        <v>0.87478793</v>
      </c>
      <c r="R36" s="20" t="n">
        <v>0.47907432</v>
      </c>
    </row>
    <row r="37" spans="1:18">
      <c r="A37" s="15" t="s">
        <v>597</v>
      </c>
      <c r="B37" s="17" t="n">
        <v>2727</v>
      </c>
      <c r="C37" s="18">
        <f>(2433.0/B37*100)</f>
        <v/>
      </c>
      <c r="D37" s="19" t="n">
        <v>294</v>
      </c>
      <c r="E37" s="18" t="n">
        <v>26.61644718</v>
      </c>
      <c r="F37" s="20" t="n">
        <v>2.93091424</v>
      </c>
      <c r="G37" s="18" t="n">
        <v>68.84228198</v>
      </c>
      <c r="H37" s="20" t="n">
        <v>2.96791522</v>
      </c>
      <c r="I37" s="18" t="s">
        <v>567</v>
      </c>
      <c r="J37" s="20" t="s">
        <v>567</v>
      </c>
      <c r="K37" s="18" t="n">
        <v>3.03172245</v>
      </c>
      <c r="L37" s="20" t="n">
        <v>1.01080826</v>
      </c>
      <c r="M37" s="18" t="n">
        <v>0</v>
      </c>
      <c r="N37" s="20" t="n">
        <v>0</v>
      </c>
      <c r="O37" s="18" t="n">
        <v>0</v>
      </c>
      <c r="P37" s="20" t="n">
        <v>0</v>
      </c>
      <c r="Q37" s="18" t="n">
        <v>1.50954839</v>
      </c>
      <c r="R37" s="20" t="n">
        <v>0.81226016</v>
      </c>
    </row>
    <row r="38" spans="1:18">
      <c r="A38" s="15" t="s">
        <v>598</v>
      </c>
      <c r="B38" s="17" t="n">
        <v>3053</v>
      </c>
      <c r="C38" s="18">
        <f>(2725.0/B38*100)</f>
        <v/>
      </c>
      <c r="D38" s="19" t="n">
        <v>328</v>
      </c>
      <c r="E38" s="18" t="n">
        <v>30.18069056</v>
      </c>
      <c r="F38" s="20" t="n">
        <v>3.38692408</v>
      </c>
      <c r="G38" s="18" t="n">
        <v>68.20423576</v>
      </c>
      <c r="H38" s="20" t="n">
        <v>3.38766689</v>
      </c>
      <c r="I38" s="18" t="s">
        <v>567</v>
      </c>
      <c r="J38" s="20" t="s">
        <v>567</v>
      </c>
      <c r="K38" s="18" t="n">
        <v>0.9315034</v>
      </c>
      <c r="L38" s="20" t="n">
        <v>0.54318008</v>
      </c>
      <c r="M38" s="18" t="n">
        <v>0</v>
      </c>
      <c r="N38" s="20" t="n">
        <v>0</v>
      </c>
      <c r="O38" s="18" t="n">
        <v>0</v>
      </c>
      <c r="P38" s="20" t="n">
        <v>0</v>
      </c>
      <c r="Q38" s="18" t="n">
        <v>0.68357027</v>
      </c>
      <c r="R38" s="20" t="n">
        <v>0.46557166</v>
      </c>
    </row>
    <row r="39" spans="1:18">
      <c r="A39" s="15" t="s">
        <v>599</v>
      </c>
      <c r="B39" s="17" t="n">
        <v>2957</v>
      </c>
      <c r="C39" s="18">
        <f>(2633.0/B39*100)</f>
        <v/>
      </c>
      <c r="D39" s="19" t="n">
        <v>324</v>
      </c>
      <c r="E39" s="18" t="n">
        <v>50.46012388</v>
      </c>
      <c r="F39" s="20" t="n">
        <v>3.10495152</v>
      </c>
      <c r="G39" s="18" t="n">
        <v>47.47312599</v>
      </c>
      <c r="H39" s="20" t="n">
        <v>3.08666802</v>
      </c>
      <c r="I39" s="18" t="s">
        <v>567</v>
      </c>
      <c r="J39" s="20" t="s">
        <v>567</v>
      </c>
      <c r="K39" s="18" t="n">
        <v>1.29846757</v>
      </c>
      <c r="L39" s="20" t="n">
        <v>0.65388423</v>
      </c>
      <c r="M39" s="18" t="n">
        <v>0</v>
      </c>
      <c r="N39" s="20" t="n">
        <v>0</v>
      </c>
      <c r="O39" s="18" t="n">
        <v>0</v>
      </c>
      <c r="P39" s="20" t="n">
        <v>0</v>
      </c>
      <c r="Q39" s="18" t="n">
        <v>0.7682825599999999</v>
      </c>
      <c r="R39" s="20" t="n">
        <v>0.30317629</v>
      </c>
    </row>
    <row r="40" spans="1:18">
      <c r="A40" s="15" t="s">
        <v>600</v>
      </c>
      <c r="B40" s="17" t="n">
        <v>7235</v>
      </c>
      <c r="C40" s="18">
        <f>(6434.0/B40*100)</f>
        <v/>
      </c>
      <c r="D40" s="19" t="n">
        <v>801</v>
      </c>
      <c r="E40" s="18" t="n">
        <v>27.66600875</v>
      </c>
      <c r="F40" s="20" t="n">
        <v>2.54234409</v>
      </c>
      <c r="G40" s="18" t="n">
        <v>71.59706593999999</v>
      </c>
      <c r="H40" s="20" t="n">
        <v>2.55989177</v>
      </c>
      <c r="I40" s="18" t="s">
        <v>567</v>
      </c>
      <c r="J40" s="20" t="s">
        <v>567</v>
      </c>
      <c r="K40" s="18" t="n">
        <v>0.36912443</v>
      </c>
      <c r="L40" s="20" t="n">
        <v>0.28382273</v>
      </c>
      <c r="M40" s="18" t="n">
        <v>0</v>
      </c>
      <c r="N40" s="20" t="n">
        <v>0</v>
      </c>
      <c r="O40" s="18" t="n">
        <v>0</v>
      </c>
      <c r="P40" s="20" t="n">
        <v>0</v>
      </c>
      <c r="Q40" s="18" t="n">
        <v>0.36780088</v>
      </c>
      <c r="R40" s="20" t="n">
        <v>0.31262305</v>
      </c>
    </row>
    <row r="41" spans="1:18">
      <c r="A41" s="15" t="s">
        <v>601</v>
      </c>
      <c r="B41" s="17" t="n">
        <v>2858</v>
      </c>
      <c r="C41" s="18">
        <f>(2541.0/B41*100)</f>
        <v/>
      </c>
      <c r="D41" s="19" t="n">
        <v>317</v>
      </c>
      <c r="E41" s="18" t="n">
        <v>29.38880948</v>
      </c>
      <c r="F41" s="20" t="n">
        <v>2.50140233</v>
      </c>
      <c r="G41" s="18" t="n">
        <v>67.47243716</v>
      </c>
      <c r="H41" s="20" t="n">
        <v>3.03679424</v>
      </c>
      <c r="I41" s="18" t="s">
        <v>567</v>
      </c>
      <c r="J41" s="20" t="s">
        <v>567</v>
      </c>
      <c r="K41" s="18" t="n">
        <v>1.79533687</v>
      </c>
      <c r="L41" s="20" t="n">
        <v>1.13251129</v>
      </c>
      <c r="M41" s="18" t="n">
        <v>0</v>
      </c>
      <c r="N41" s="20" t="n">
        <v>0</v>
      </c>
      <c r="O41" s="18" t="n">
        <v>0</v>
      </c>
      <c r="P41" s="20" t="n">
        <v>0</v>
      </c>
      <c r="Q41" s="18" t="n">
        <v>1.34341648</v>
      </c>
      <c r="R41" s="20" t="n">
        <v>1.16634538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(10026.0/B46*100)</f>
        <v/>
      </c>
      <c r="D46" s="19" t="n">
        <v>1042</v>
      </c>
      <c r="E46" s="18" t="n">
        <v>46.90959291</v>
      </c>
      <c r="F46" s="20" t="n">
        <v>2.21065725</v>
      </c>
      <c r="G46" s="18" t="n">
        <v>51.17183418</v>
      </c>
      <c r="H46" s="20" t="n">
        <v>2.0930906</v>
      </c>
      <c r="I46" s="18" t="s">
        <v>567</v>
      </c>
      <c r="J46" s="20" t="s">
        <v>567</v>
      </c>
      <c r="K46" s="18" t="n">
        <v>0.8142497</v>
      </c>
      <c r="L46" s="20" t="n">
        <v>0.28165879</v>
      </c>
      <c r="M46" s="18" t="n">
        <v>0</v>
      </c>
      <c r="N46" s="20" t="n">
        <v>0</v>
      </c>
      <c r="O46" s="18" t="n">
        <v>0</v>
      </c>
      <c r="P46" s="20" t="n">
        <v>0</v>
      </c>
      <c r="Q46" s="18" t="n">
        <v>1.10432321</v>
      </c>
      <c r="R46" s="20" t="n">
        <v>0.40806912</v>
      </c>
    </row>
    <row r="47" spans="1:18">
      <c r="A47" s="15" t="s">
        <v>607</v>
      </c>
      <c r="B47" s="17" t="n">
        <v>3105</v>
      </c>
      <c r="C47" s="18">
        <f>(2784.0/B47*100)</f>
        <v/>
      </c>
      <c r="D47" s="19" t="n">
        <v>321</v>
      </c>
      <c r="E47" s="18" t="n">
        <v>37.82384773</v>
      </c>
      <c r="F47" s="20" t="n">
        <v>2.65795915</v>
      </c>
      <c r="G47" s="18" t="n">
        <v>60.96590546</v>
      </c>
      <c r="H47" s="20" t="n">
        <v>2.72720373</v>
      </c>
      <c r="I47" s="18" t="s">
        <v>567</v>
      </c>
      <c r="J47" s="20" t="s">
        <v>567</v>
      </c>
      <c r="K47" s="18" t="n">
        <v>0.29895115</v>
      </c>
      <c r="L47" s="20" t="n">
        <v>0.22232608</v>
      </c>
      <c r="M47" s="18" t="n">
        <v>0</v>
      </c>
      <c r="N47" s="20" t="n">
        <v>0</v>
      </c>
      <c r="O47" s="18" t="n">
        <v>0</v>
      </c>
      <c r="P47" s="20" t="n">
        <v>0</v>
      </c>
      <c r="Q47" s="18" t="n">
        <v>0.91129566</v>
      </c>
      <c r="R47" s="20" t="n">
        <v>0.5477409600000001</v>
      </c>
    </row>
    <row r="48" spans="1:18">
      <c r="A48" s="15" t="s">
        <v>608</v>
      </c>
      <c r="B48" s="17" t="n">
        <v>5159</v>
      </c>
      <c r="C48" s="18">
        <f>(4577.0/B48*100)</f>
        <v/>
      </c>
      <c r="D48" s="19" t="n">
        <v>582</v>
      </c>
      <c r="E48" s="18" t="n">
        <v>31.42026891</v>
      </c>
      <c r="F48" s="20" t="n">
        <v>2.20562182</v>
      </c>
      <c r="G48" s="18" t="n">
        <v>67.80288681</v>
      </c>
      <c r="H48" s="20" t="n">
        <v>2.22387218</v>
      </c>
      <c r="I48" s="18" t="s">
        <v>567</v>
      </c>
      <c r="J48" s="20" t="s">
        <v>567</v>
      </c>
      <c r="K48" s="18" t="n">
        <v>0.77354309</v>
      </c>
      <c r="L48" s="20" t="n">
        <v>0.40393357</v>
      </c>
      <c r="M48" s="18" t="n">
        <v>0</v>
      </c>
      <c r="N48" s="20" t="n">
        <v>0</v>
      </c>
      <c r="O48" s="18" t="n">
        <v>0</v>
      </c>
      <c r="P48" s="20" t="n">
        <v>0</v>
      </c>
      <c r="Q48" s="18" t="n">
        <v>0.00330118</v>
      </c>
      <c r="R48" s="20" t="n">
        <v>0.00325574</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(5020.0/B50*100)</f>
        <v/>
      </c>
      <c r="D50" s="19" t="n">
        <v>617</v>
      </c>
      <c r="E50" s="18" t="n">
        <v>35.95110406</v>
      </c>
      <c r="F50" s="20" t="n">
        <v>2.37610284</v>
      </c>
      <c r="G50" s="18" t="n">
        <v>60.18062412</v>
      </c>
      <c r="H50" s="20" t="n">
        <v>2.78770801</v>
      </c>
      <c r="I50" s="18" t="s">
        <v>567</v>
      </c>
      <c r="J50" s="20" t="s">
        <v>567</v>
      </c>
      <c r="K50" s="18" t="n">
        <v>3.50580183</v>
      </c>
      <c r="L50" s="20" t="n">
        <v>1.33336782</v>
      </c>
      <c r="M50" s="18" t="n">
        <v>0</v>
      </c>
      <c r="N50" s="20" t="n">
        <v>0</v>
      </c>
      <c r="O50" s="18" t="n">
        <v>0</v>
      </c>
      <c r="P50" s="20" t="n">
        <v>0</v>
      </c>
      <c r="Q50" s="18" t="n">
        <v>0.36247</v>
      </c>
      <c r="R50" s="20" t="n">
        <v>0.31323911</v>
      </c>
    </row>
    <row r="51" spans="1:18">
      <c r="A51" s="15" t="s">
        <v>611</v>
      </c>
      <c r="B51" s="17" t="n">
        <v>3372</v>
      </c>
      <c r="C51" s="18">
        <f>(3050.0/B51*100)</f>
        <v/>
      </c>
      <c r="D51" s="19" t="n">
        <v>322</v>
      </c>
      <c r="E51" s="18" t="n">
        <v>36.68364768</v>
      </c>
      <c r="F51" s="20" t="n">
        <v>2.98154511</v>
      </c>
      <c r="G51" s="18" t="n">
        <v>61.3699919</v>
      </c>
      <c r="H51" s="20" t="n">
        <v>3.01039172</v>
      </c>
      <c r="I51" s="18" t="s">
        <v>567</v>
      </c>
      <c r="J51" s="20" t="s">
        <v>567</v>
      </c>
      <c r="K51" s="18" t="n">
        <v>1.12731267</v>
      </c>
      <c r="L51" s="20" t="n">
        <v>0.63940941</v>
      </c>
      <c r="M51" s="18" t="n">
        <v>0</v>
      </c>
      <c r="N51" s="20" t="n">
        <v>0</v>
      </c>
      <c r="O51" s="18" t="n">
        <v>0</v>
      </c>
      <c r="P51" s="20" t="n">
        <v>0</v>
      </c>
      <c r="Q51" s="18" t="n">
        <v>0.81904774</v>
      </c>
      <c r="R51" s="20" t="n">
        <v>0.47408153</v>
      </c>
    </row>
    <row r="52" spans="1:18">
      <c r="A52" s="15" t="s">
        <v>612</v>
      </c>
      <c r="B52" s="17" t="n">
        <v>2796</v>
      </c>
      <c r="C52" s="18">
        <f>(2445.0/B52*100)</f>
        <v/>
      </c>
      <c r="D52" s="19" t="n">
        <v>351</v>
      </c>
      <c r="E52" s="18" t="n">
        <v>32.84015209</v>
      </c>
      <c r="F52" s="20" t="n">
        <v>2.77456795</v>
      </c>
      <c r="G52" s="18" t="n">
        <v>65.86060838</v>
      </c>
      <c r="H52" s="20" t="n">
        <v>2.92680084</v>
      </c>
      <c r="I52" s="18" t="s">
        <v>567</v>
      </c>
      <c r="J52" s="20" t="s">
        <v>567</v>
      </c>
      <c r="K52" s="18" t="n">
        <v>0.21683257</v>
      </c>
      <c r="L52" s="20" t="n">
        <v>0.20596778</v>
      </c>
      <c r="M52" s="18" t="n">
        <v>0</v>
      </c>
      <c r="N52" s="20" t="n">
        <v>0</v>
      </c>
      <c r="O52" s="18" t="n">
        <v>0</v>
      </c>
      <c r="P52" s="20" t="n">
        <v>0</v>
      </c>
      <c r="Q52" s="18" t="n">
        <v>1.08240697</v>
      </c>
      <c r="R52" s="20" t="n">
        <v>0.64165292</v>
      </c>
    </row>
    <row r="53" spans="1:18">
      <c r="A53" s="15" t="s">
        <v>613</v>
      </c>
      <c r="B53" s="17" t="n">
        <v>2811</v>
      </c>
      <c r="C53" s="18">
        <f>(2519.0/B53*100)</f>
        <v/>
      </c>
      <c r="D53" s="19" t="n">
        <v>292</v>
      </c>
      <c r="E53" s="18" t="n">
        <v>40.41007617</v>
      </c>
      <c r="F53" s="20" t="n">
        <v>2.9924772</v>
      </c>
      <c r="G53" s="18" t="n">
        <v>57.9088003</v>
      </c>
      <c r="H53" s="20" t="n">
        <v>2.9928256</v>
      </c>
      <c r="I53" s="18" t="s">
        <v>567</v>
      </c>
      <c r="J53" s="20" t="s">
        <v>567</v>
      </c>
      <c r="K53" s="18" t="n">
        <v>1.17339253</v>
      </c>
      <c r="L53" s="20" t="n">
        <v>0.6039495499999999</v>
      </c>
      <c r="M53" s="18" t="n">
        <v>0</v>
      </c>
      <c r="N53" s="20" t="n">
        <v>0</v>
      </c>
      <c r="O53" s="18" t="n">
        <v>0</v>
      </c>
      <c r="P53" s="20" t="n">
        <v>0</v>
      </c>
      <c r="Q53" s="18" t="n">
        <v>0.507731</v>
      </c>
      <c r="R53" s="20" t="n">
        <v>0.36568519</v>
      </c>
    </row>
    <row r="54" spans="1:18">
      <c r="A54" s="15" t="s">
        <v>614</v>
      </c>
      <c r="B54" s="17" t="n">
        <v>2266</v>
      </c>
      <c r="C54" s="18">
        <f>(2010.0/B54*100)</f>
        <v/>
      </c>
      <c r="D54" s="19" t="n">
        <v>256</v>
      </c>
      <c r="E54" s="18" t="n">
        <v>53.23806293</v>
      </c>
      <c r="F54" s="20" t="n">
        <v>3.78416514</v>
      </c>
      <c r="G54" s="18" t="n">
        <v>31.54664116</v>
      </c>
      <c r="H54" s="20" t="n">
        <v>3.36972296</v>
      </c>
      <c r="I54" s="18" t="s">
        <v>567</v>
      </c>
      <c r="J54" s="20" t="s">
        <v>567</v>
      </c>
      <c r="K54" s="18" t="n">
        <v>13.08721854</v>
      </c>
      <c r="L54" s="20" t="n">
        <v>2.53181279</v>
      </c>
      <c r="M54" s="18" t="n">
        <v>0</v>
      </c>
      <c r="N54" s="20" t="n">
        <v>0</v>
      </c>
      <c r="O54" s="18" t="n">
        <v>0</v>
      </c>
      <c r="P54" s="20" t="n">
        <v>0</v>
      </c>
      <c r="Q54" s="18" t="n">
        <v>2.12807738</v>
      </c>
      <c r="R54" s="20" t="n">
        <v>0.98751492</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(2375.0/B56*100)</f>
        <v/>
      </c>
      <c r="D56" s="19" t="n">
        <v>309</v>
      </c>
      <c r="E56" s="18" t="n">
        <v>34.35626535</v>
      </c>
      <c r="F56" s="20" t="n">
        <v>2.43441766</v>
      </c>
      <c r="G56" s="18" t="n">
        <v>64.65350599</v>
      </c>
      <c r="H56" s="20" t="n">
        <v>2.41055232</v>
      </c>
      <c r="I56" s="18" t="s">
        <v>567</v>
      </c>
      <c r="J56" s="20" t="s">
        <v>567</v>
      </c>
      <c r="K56" s="18" t="n">
        <v>0.27085559</v>
      </c>
      <c r="L56" s="20" t="n">
        <v>0.2772824</v>
      </c>
      <c r="M56" s="18" t="n">
        <v>0</v>
      </c>
      <c r="N56" s="20" t="n">
        <v>0</v>
      </c>
      <c r="O56" s="18" t="n">
        <v>0</v>
      </c>
      <c r="P56" s="20" t="n">
        <v>0</v>
      </c>
      <c r="Q56" s="18" t="n">
        <v>0.71937308</v>
      </c>
      <c r="R56" s="20" t="n">
        <v>0.54569414</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(2904.0/B61*100)</f>
        <v/>
      </c>
      <c r="D61" s="19" t="n">
        <v>420</v>
      </c>
      <c r="E61" s="18" t="n">
        <v>36.4245745</v>
      </c>
      <c r="F61" s="20" t="n">
        <v>2.55829471</v>
      </c>
      <c r="G61" s="18" t="n">
        <v>63.33216</v>
      </c>
      <c r="H61" s="20" t="n">
        <v>2.55944713</v>
      </c>
      <c r="I61" s="18" t="s">
        <v>567</v>
      </c>
      <c r="J61" s="20" t="s">
        <v>567</v>
      </c>
      <c r="K61" s="18" t="n">
        <v>0.05756394</v>
      </c>
      <c r="L61" s="20" t="n">
        <v>0.05749659</v>
      </c>
      <c r="M61" s="18" t="n">
        <v>0</v>
      </c>
      <c r="N61" s="20" t="n">
        <v>0</v>
      </c>
      <c r="O61" s="18" t="n">
        <v>0</v>
      </c>
      <c r="P61" s="20" t="n">
        <v>0</v>
      </c>
      <c r="Q61" s="18" t="n">
        <v>0.18570155</v>
      </c>
      <c r="R61" s="20" t="n">
        <v>0.10610779</v>
      </c>
    </row>
    <row r="62" spans="1:18">
      <c r="A62" s="15" t="s">
        <v>622</v>
      </c>
      <c r="B62" s="17" t="n">
        <v>2246</v>
      </c>
      <c r="C62" s="18">
        <f>(1992.0/B62*100)</f>
        <v/>
      </c>
      <c r="D62" s="19" t="n">
        <v>254</v>
      </c>
      <c r="E62" s="18" t="n">
        <v>33.103787</v>
      </c>
      <c r="F62" s="20" t="n">
        <v>3.04682465</v>
      </c>
      <c r="G62" s="18" t="n">
        <v>66.11350413</v>
      </c>
      <c r="H62" s="20" t="n">
        <v>3.14866848</v>
      </c>
      <c r="I62" s="18" t="s">
        <v>567</v>
      </c>
      <c r="J62" s="20" t="s">
        <v>567</v>
      </c>
      <c r="K62" s="18" t="n">
        <v>0.39135443</v>
      </c>
      <c r="L62" s="20" t="n">
        <v>0.39508939</v>
      </c>
      <c r="M62" s="18" t="n">
        <v>0</v>
      </c>
      <c r="N62" s="20" t="n">
        <v>0</v>
      </c>
      <c r="O62" s="18" t="n">
        <v>0</v>
      </c>
      <c r="P62" s="20" t="n">
        <v>0</v>
      </c>
      <c r="Q62" s="18" t="n">
        <v>0.39135443</v>
      </c>
      <c r="R62" s="20" t="n">
        <v>0.39157102</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(2562.0/B66*100)</f>
        <v/>
      </c>
      <c r="D66" s="19" t="n">
        <v>332</v>
      </c>
      <c r="E66" s="18" t="n">
        <v>46.51628462</v>
      </c>
      <c r="F66" s="20" t="n">
        <v>2.7247905</v>
      </c>
      <c r="G66" s="18" t="n">
        <v>49.46057186</v>
      </c>
      <c r="H66" s="20" t="n">
        <v>2.62891429</v>
      </c>
      <c r="I66" s="18" t="s">
        <v>567</v>
      </c>
      <c r="J66" s="20" t="s">
        <v>567</v>
      </c>
      <c r="K66" s="18" t="n">
        <v>1.96262444</v>
      </c>
      <c r="L66" s="20" t="n">
        <v>0.7276214</v>
      </c>
      <c r="M66" s="18" t="n">
        <v>0</v>
      </c>
      <c r="N66" s="20" t="n">
        <v>0</v>
      </c>
      <c r="O66" s="18" t="n">
        <v>0</v>
      </c>
      <c r="P66" s="20" t="n">
        <v>0</v>
      </c>
      <c r="Q66" s="18" t="n">
        <v>2.06051908</v>
      </c>
      <c r="R66" s="20" t="n">
        <v>0.76470954</v>
      </c>
    </row>
    <row r="67" spans="1:18">
      <c r="A67" s="15" t="s">
        <v>627</v>
      </c>
      <c r="B67" s="17" t="n">
        <v>3511</v>
      </c>
      <c r="C67" s="18">
        <f>(3162.0/B67*100)</f>
        <v/>
      </c>
      <c r="D67" s="19" t="n">
        <v>349</v>
      </c>
      <c r="E67" s="18" t="n">
        <v>46.12656808</v>
      </c>
      <c r="F67" s="20" t="n">
        <v>2.84566127</v>
      </c>
      <c r="G67" s="18" t="n">
        <v>52.86523417</v>
      </c>
      <c r="H67" s="20" t="n">
        <v>2.82549082</v>
      </c>
      <c r="I67" s="18" t="s">
        <v>567</v>
      </c>
      <c r="J67" s="20" t="s">
        <v>567</v>
      </c>
      <c r="K67" s="18" t="n">
        <v>0</v>
      </c>
      <c r="L67" s="20" t="n">
        <v>0</v>
      </c>
      <c r="M67" s="18" t="n">
        <v>0</v>
      </c>
      <c r="N67" s="20" t="n">
        <v>0</v>
      </c>
      <c r="O67" s="18" t="n">
        <v>0</v>
      </c>
      <c r="P67" s="20" t="n">
        <v>0</v>
      </c>
      <c r="Q67" s="18" t="n">
        <v>1.00819776</v>
      </c>
      <c r="R67" s="20" t="n">
        <v>0.59894978</v>
      </c>
    </row>
    <row r="68" spans="1:18">
      <c r="A68" s="15" t="s">
        <v>628</v>
      </c>
      <c r="B68" s="17" t="n">
        <v>6049</v>
      </c>
      <c r="C68" s="18">
        <f>(5386.0/B68*100)</f>
        <v/>
      </c>
      <c r="D68" s="19" t="n">
        <v>663</v>
      </c>
      <c r="E68" s="18" t="n">
        <v>49.71965049</v>
      </c>
      <c r="F68" s="20" t="n">
        <v>2.06140108</v>
      </c>
      <c r="G68" s="18" t="n">
        <v>45.45893445</v>
      </c>
      <c r="H68" s="20" t="n">
        <v>2.06608951</v>
      </c>
      <c r="I68" s="18" t="s">
        <v>567</v>
      </c>
      <c r="J68" s="20" t="s">
        <v>567</v>
      </c>
      <c r="K68" s="18" t="n">
        <v>2.21649031</v>
      </c>
      <c r="L68" s="20" t="n">
        <v>0.60022794</v>
      </c>
      <c r="M68" s="18" t="n">
        <v>0</v>
      </c>
      <c r="N68" s="20" t="n">
        <v>0</v>
      </c>
      <c r="O68" s="18" t="n">
        <v>0</v>
      </c>
      <c r="P68" s="20" t="n">
        <v>0</v>
      </c>
      <c r="Q68" s="18" t="n">
        <v>2.60492475</v>
      </c>
      <c r="R68" s="20" t="n">
        <v>0.6396598</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(2616.0/B70*100)</f>
        <v/>
      </c>
      <c r="D70" s="19" t="n">
        <v>313</v>
      </c>
      <c r="E70" s="18" t="n">
        <v>24.7372301</v>
      </c>
      <c r="F70" s="20" t="n">
        <v>2.54619884</v>
      </c>
      <c r="G70" s="18" t="n">
        <v>74.65320354000001</v>
      </c>
      <c r="H70" s="20" t="n">
        <v>2.51644652</v>
      </c>
      <c r="I70" s="18" t="s">
        <v>567</v>
      </c>
      <c r="J70" s="20" t="s">
        <v>567</v>
      </c>
      <c r="K70" s="18" t="n">
        <v>0.32474702</v>
      </c>
      <c r="L70" s="20" t="n">
        <v>0.23298828</v>
      </c>
      <c r="M70" s="18" t="n">
        <v>0</v>
      </c>
      <c r="N70" s="20" t="n">
        <v>0</v>
      </c>
      <c r="O70" s="18" t="n">
        <v>0</v>
      </c>
      <c r="P70" s="20" t="n">
        <v>0</v>
      </c>
      <c r="Q70" s="18" t="n">
        <v>0.28481935</v>
      </c>
      <c r="R70" s="20" t="n">
        <v>0.20042916</v>
      </c>
    </row>
    <row r="71" spans="1:18">
      <c r="A71" s="15" t="s">
        <v>631</v>
      </c>
      <c r="B71" s="17" t="n">
        <v>3142</v>
      </c>
      <c r="C71" s="18">
        <f>(2785.0/B71*100)</f>
        <v/>
      </c>
      <c r="D71" s="19" t="n">
        <v>357</v>
      </c>
      <c r="E71" s="18" t="n">
        <v>21.48484711</v>
      </c>
      <c r="F71" s="20" t="n">
        <v>2.48177426</v>
      </c>
      <c r="G71" s="18" t="n">
        <v>78.22194793</v>
      </c>
      <c r="H71" s="20" t="n">
        <v>2.45022014</v>
      </c>
      <c r="I71" s="18" t="s">
        <v>567</v>
      </c>
      <c r="J71" s="20" t="s">
        <v>567</v>
      </c>
      <c r="K71" s="18" t="n">
        <v>0.29320495</v>
      </c>
      <c r="L71" s="20" t="n">
        <v>0.28896943</v>
      </c>
      <c r="M71" s="18" t="n">
        <v>0</v>
      </c>
      <c r="N71" s="20" t="n">
        <v>0</v>
      </c>
      <c r="O71" s="18" t="n">
        <v>0</v>
      </c>
      <c r="P71" s="20" t="n">
        <v>0</v>
      </c>
      <c r="Q71" s="18" t="n">
        <v>0</v>
      </c>
      <c r="R71" s="20" t="n">
        <v>0</v>
      </c>
    </row>
    <row r="72" spans="1:18">
      <c r="A72" s="15" t="s">
        <v>632</v>
      </c>
      <c r="B72" s="17" t="n">
        <v>3889</v>
      </c>
      <c r="C72" s="18">
        <f>(3433.0/B72*100)</f>
        <v/>
      </c>
      <c r="D72" s="19" t="n">
        <v>456</v>
      </c>
      <c r="E72" s="18" t="n">
        <v>22.05598448</v>
      </c>
      <c r="F72" s="20" t="n">
        <v>2.0814796</v>
      </c>
      <c r="G72" s="18" t="n">
        <v>77.32632885</v>
      </c>
      <c r="H72" s="20" t="n">
        <v>2.14706639</v>
      </c>
      <c r="I72" s="18" t="s">
        <v>567</v>
      </c>
      <c r="J72" s="20" t="s">
        <v>567</v>
      </c>
      <c r="K72" s="18" t="n">
        <v>0.46512762</v>
      </c>
      <c r="L72" s="20" t="n">
        <v>0.35056184</v>
      </c>
      <c r="M72" s="18" t="n">
        <v>0</v>
      </c>
      <c r="N72" s="20" t="n">
        <v>0</v>
      </c>
      <c r="O72" s="18" t="n">
        <v>0</v>
      </c>
      <c r="P72" s="20" t="n">
        <v>0</v>
      </c>
      <c r="Q72" s="18" t="n">
        <v>0.15255904</v>
      </c>
      <c r="R72" s="20" t="n">
        <v>0.10898508</v>
      </c>
    </row>
    <row r="73" spans="1:18">
      <c r="A73" s="15" t="s">
        <v>633</v>
      </c>
      <c r="B73" s="17" t="n">
        <v>3597</v>
      </c>
      <c r="C73" s="18">
        <f>(3200.0/B73*100)</f>
        <v/>
      </c>
      <c r="D73" s="19" t="n">
        <v>397</v>
      </c>
      <c r="E73" s="18" t="n">
        <v>47.42413822</v>
      </c>
      <c r="F73" s="20" t="n">
        <v>2.58681088</v>
      </c>
      <c r="G73" s="18" t="n">
        <v>51.42033896</v>
      </c>
      <c r="H73" s="20" t="n">
        <v>2.63365804</v>
      </c>
      <c r="I73" s="18" t="s">
        <v>567</v>
      </c>
      <c r="J73" s="20" t="s">
        <v>567</v>
      </c>
      <c r="K73" s="18" t="n">
        <v>0.09327644</v>
      </c>
      <c r="L73" s="20" t="n">
        <v>0.09780903000000001</v>
      </c>
      <c r="M73" s="18" t="n">
        <v>0</v>
      </c>
      <c r="N73" s="20" t="n">
        <v>0</v>
      </c>
      <c r="O73" s="18" t="n">
        <v>0</v>
      </c>
      <c r="P73" s="20" t="n">
        <v>0</v>
      </c>
      <c r="Q73" s="18" t="n">
        <v>1.06224639</v>
      </c>
      <c r="R73" s="20" t="n">
        <v>0.6643003200000001</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(2165.0/B75*100)</f>
        <v/>
      </c>
      <c r="D75" s="19" t="n">
        <v>241</v>
      </c>
      <c r="E75" s="18" t="n">
        <v>42.67583739</v>
      </c>
      <c r="F75" s="20" t="n">
        <v>2.96007839</v>
      </c>
      <c r="G75" s="18" t="n">
        <v>50.33998682</v>
      </c>
      <c r="H75" s="20" t="n">
        <v>3.2552371</v>
      </c>
      <c r="I75" s="18" t="s">
        <v>567</v>
      </c>
      <c r="J75" s="20" t="s">
        <v>567</v>
      </c>
      <c r="K75" s="18" t="n">
        <v>4.38246746</v>
      </c>
      <c r="L75" s="20" t="n">
        <v>1.17284717</v>
      </c>
      <c r="M75" s="18" t="n">
        <v>0</v>
      </c>
      <c r="N75" s="20" t="n">
        <v>0</v>
      </c>
      <c r="O75" s="18" t="n">
        <v>0</v>
      </c>
      <c r="P75" s="20" t="n">
        <v>0</v>
      </c>
      <c r="Q75" s="18" t="n">
        <v>2.60170833</v>
      </c>
      <c r="R75" s="20" t="n">
        <v>0.93984663</v>
      </c>
    </row>
    <row r="76" spans="1:18">
      <c r="A76" s="15" t="s">
        <v>636</v>
      </c>
      <c r="B76" s="17" t="n">
        <v>7052</v>
      </c>
      <c r="C76" s="18">
        <f>(6267.0/B76*100)</f>
        <v/>
      </c>
      <c r="D76" s="19" t="n">
        <v>785</v>
      </c>
      <c r="E76" s="18" t="n">
        <v>48.54111101</v>
      </c>
      <c r="F76" s="20" t="n">
        <v>2.26247178</v>
      </c>
      <c r="G76" s="18" t="n">
        <v>47.7422958</v>
      </c>
      <c r="H76" s="20" t="n">
        <v>2.01909977</v>
      </c>
      <c r="I76" s="18" t="s">
        <v>567</v>
      </c>
      <c r="J76" s="20" t="s">
        <v>567</v>
      </c>
      <c r="K76" s="18" t="n">
        <v>1.22835126</v>
      </c>
      <c r="L76" s="20" t="n">
        <v>0.47466374</v>
      </c>
      <c r="M76" s="18" t="n">
        <v>0</v>
      </c>
      <c r="N76" s="20" t="n">
        <v>0</v>
      </c>
      <c r="O76" s="18" t="n">
        <v>0</v>
      </c>
      <c r="P76" s="20" t="n">
        <v>0</v>
      </c>
      <c r="Q76" s="18" t="n">
        <v>2.48824192</v>
      </c>
      <c r="R76" s="20" t="n">
        <v>0.82721987</v>
      </c>
    </row>
    <row r="77" spans="1:18">
      <c r="A77" s="15" t="s">
        <v>637</v>
      </c>
      <c r="B77" s="17" t="n">
        <v>2908</v>
      </c>
      <c r="C77" s="18">
        <f>(2587.0/B77*100)</f>
        <v/>
      </c>
      <c r="D77" s="19" t="n">
        <v>321</v>
      </c>
      <c r="E77" s="18" t="n">
        <v>44.39959319</v>
      </c>
      <c r="F77" s="20" t="n">
        <v>2.90857761</v>
      </c>
      <c r="G77" s="18" t="n">
        <v>52.48027789</v>
      </c>
      <c r="H77" s="20" t="n">
        <v>3.08224344</v>
      </c>
      <c r="I77" s="18" t="s">
        <v>567</v>
      </c>
      <c r="J77" s="20" t="s">
        <v>567</v>
      </c>
      <c r="K77" s="18" t="n">
        <v>3.12012892</v>
      </c>
      <c r="L77" s="20" t="n">
        <v>1.07169633</v>
      </c>
      <c r="M77" s="18" t="n">
        <v>0</v>
      </c>
      <c r="N77" s="20" t="n">
        <v>0</v>
      </c>
      <c r="O77" s="18" t="n">
        <v>0</v>
      </c>
      <c r="P77" s="20" t="n">
        <v>0</v>
      </c>
      <c r="Q77" s="18" t="n">
        <v>0</v>
      </c>
      <c r="R77" s="20" t="n">
        <v>0</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(3679.0/B81*100)</f>
        <v/>
      </c>
      <c r="D81" s="19" t="n">
        <v>484</v>
      </c>
      <c r="E81" s="18" t="n">
        <v>35.88705875</v>
      </c>
      <c r="F81" s="20" t="n">
        <v>3.00333035</v>
      </c>
      <c r="G81" s="18" t="n">
        <v>63.77980265</v>
      </c>
      <c r="H81" s="20" t="n">
        <v>2.97053483</v>
      </c>
      <c r="I81" s="18" t="s">
        <v>567</v>
      </c>
      <c r="J81" s="20" t="s">
        <v>567</v>
      </c>
      <c r="K81" s="18" t="n">
        <v>0</v>
      </c>
      <c r="L81" s="20" t="n">
        <v>0</v>
      </c>
      <c r="M81" s="18" t="n">
        <v>0</v>
      </c>
      <c r="N81" s="20" t="n">
        <v>0</v>
      </c>
      <c r="O81" s="18" t="n">
        <v>0</v>
      </c>
      <c r="P81" s="20" t="n">
        <v>0</v>
      </c>
      <c r="Q81" s="18" t="n">
        <v>0.3331386</v>
      </c>
      <c r="R81" s="20" t="n">
        <v>0.32858734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(6540.0/B7*100)</f>
        <v/>
      </c>
      <c r="D7" s="19" t="n">
        <v>827</v>
      </c>
      <c r="E7" s="18" t="n">
        <v>48.87446873</v>
      </c>
      <c r="F7" s="20" t="n">
        <v>2.14428764</v>
      </c>
      <c r="G7" s="18" t="n">
        <v>37.45546398</v>
      </c>
      <c r="H7" s="20" t="n">
        <v>2.11305477</v>
      </c>
      <c r="I7" s="18" t="s">
        <v>567</v>
      </c>
      <c r="J7" s="20" t="s">
        <v>567</v>
      </c>
      <c r="K7" s="18" t="n">
        <v>1.22130537</v>
      </c>
      <c r="L7" s="20" t="n">
        <v>0.43681134</v>
      </c>
      <c r="M7" s="18" t="n">
        <v>0.032783</v>
      </c>
      <c r="N7" s="20" t="n">
        <v>0.02223563</v>
      </c>
      <c r="O7" s="18" t="n">
        <v>0</v>
      </c>
      <c r="P7" s="20" t="n">
        <v>0</v>
      </c>
      <c r="Q7" s="18" t="n">
        <v>12.41597892</v>
      </c>
      <c r="R7" s="20" t="n">
        <v>1.41664587</v>
      </c>
    </row>
    <row r="8" spans="1:18">
      <c r="A8" s="15" t="s">
        <v>568</v>
      </c>
      <c r="B8" s="17" t="n">
        <v>3564</v>
      </c>
      <c r="C8" s="18">
        <f>(3142.0/B8*100)</f>
        <v/>
      </c>
      <c r="D8" s="19" t="n">
        <v>422</v>
      </c>
      <c r="E8" s="18" t="n">
        <v>55.98502914</v>
      </c>
      <c r="F8" s="20" t="n">
        <v>2.7039761</v>
      </c>
      <c r="G8" s="18" t="n">
        <v>25.67609666</v>
      </c>
      <c r="H8" s="20" t="n">
        <v>2.01912272</v>
      </c>
      <c r="I8" s="18" t="s">
        <v>567</v>
      </c>
      <c r="J8" s="20" t="s">
        <v>567</v>
      </c>
      <c r="K8" s="18" t="n">
        <v>1.17596781</v>
      </c>
      <c r="L8" s="20" t="n">
        <v>0.57628708</v>
      </c>
      <c r="M8" s="18" t="n">
        <v>0</v>
      </c>
      <c r="N8" s="20" t="n">
        <v>0</v>
      </c>
      <c r="O8" s="18" t="n">
        <v>0</v>
      </c>
      <c r="P8" s="20" t="n">
        <v>0</v>
      </c>
      <c r="Q8" s="18" t="n">
        <v>17.16290639</v>
      </c>
      <c r="R8" s="20" t="n">
        <v>2.24795776</v>
      </c>
    </row>
    <row r="9" spans="1:18">
      <c r="A9" s="15" t="s">
        <v>569</v>
      </c>
      <c r="B9" s="17" t="n">
        <v>4899</v>
      </c>
      <c r="C9" s="18">
        <f>(4381.0/B9*100)</f>
        <v/>
      </c>
      <c r="D9" s="19" t="n">
        <v>518</v>
      </c>
      <c r="E9" s="18" t="n">
        <v>56.31907106</v>
      </c>
      <c r="F9" s="20" t="n">
        <v>2.4905711</v>
      </c>
      <c r="G9" s="18" t="n">
        <v>26.95717579</v>
      </c>
      <c r="H9" s="20" t="n">
        <v>2.1295088</v>
      </c>
      <c r="I9" s="18" t="s">
        <v>567</v>
      </c>
      <c r="J9" s="20" t="s">
        <v>567</v>
      </c>
      <c r="K9" s="18" t="n">
        <v>1.09546612</v>
      </c>
      <c r="L9" s="20" t="n">
        <v>0.50981017</v>
      </c>
      <c r="M9" s="18" t="n">
        <v>0.18056834</v>
      </c>
      <c r="N9" s="20" t="n">
        <v>0.18525976</v>
      </c>
      <c r="O9" s="18" t="n">
        <v>0</v>
      </c>
      <c r="P9" s="20" t="n">
        <v>0</v>
      </c>
      <c r="Q9" s="18" t="n">
        <v>15.44771869</v>
      </c>
      <c r="R9" s="20" t="n">
        <v>1.79602977</v>
      </c>
    </row>
    <row r="10" spans="1:18">
      <c r="A10" s="15" t="s">
        <v>570</v>
      </c>
      <c r="B10" s="17" t="n">
        <v>10036</v>
      </c>
      <c r="C10" s="18">
        <f>(8975.0/B10*100)</f>
        <v/>
      </c>
      <c r="D10" s="19" t="n">
        <v>1061</v>
      </c>
      <c r="E10" s="18" t="n">
        <v>50.01547894</v>
      </c>
      <c r="F10" s="20" t="n">
        <v>2.23292803</v>
      </c>
      <c r="G10" s="18" t="n">
        <v>42.89416271</v>
      </c>
      <c r="H10" s="20" t="n">
        <v>2.30820833</v>
      </c>
      <c r="I10" s="18" t="s">
        <v>567</v>
      </c>
      <c r="J10" s="20" t="s">
        <v>567</v>
      </c>
      <c r="K10" s="18" t="n">
        <v>0.5991875</v>
      </c>
      <c r="L10" s="20" t="n">
        <v>0.26809221</v>
      </c>
      <c r="M10" s="18" t="n">
        <v>0</v>
      </c>
      <c r="N10" s="20" t="n">
        <v>0</v>
      </c>
      <c r="O10" s="18" t="n">
        <v>0</v>
      </c>
      <c r="P10" s="20" t="n">
        <v>0</v>
      </c>
      <c r="Q10" s="18" t="n">
        <v>6.49117085</v>
      </c>
      <c r="R10" s="20" t="n">
        <v>1.20227454</v>
      </c>
    </row>
    <row r="11" spans="1:18">
      <c r="A11" s="15" t="s">
        <v>571</v>
      </c>
      <c r="B11" s="17" t="n">
        <v>3553</v>
      </c>
      <c r="C11" s="18">
        <f>(3178.0/B11*100)</f>
        <v/>
      </c>
      <c r="D11" s="19" t="n">
        <v>375</v>
      </c>
      <c r="E11" s="18" t="n">
        <v>51.42753651</v>
      </c>
      <c r="F11" s="20" t="n">
        <v>2.79831278</v>
      </c>
      <c r="G11" s="18" t="n">
        <v>24.76169301</v>
      </c>
      <c r="H11" s="20" t="n">
        <v>2.25095937</v>
      </c>
      <c r="I11" s="18" t="s">
        <v>567</v>
      </c>
      <c r="J11" s="20" t="s">
        <v>567</v>
      </c>
      <c r="K11" s="18" t="n">
        <v>4.27743088</v>
      </c>
      <c r="L11" s="20" t="n">
        <v>1.20889972</v>
      </c>
      <c r="M11" s="18" t="n">
        <v>0</v>
      </c>
      <c r="N11" s="20" t="n">
        <v>0</v>
      </c>
      <c r="O11" s="18" t="n">
        <v>0</v>
      </c>
      <c r="P11" s="20" t="n">
        <v>0</v>
      </c>
      <c r="Q11" s="18" t="n">
        <v>19.53333961</v>
      </c>
      <c r="R11" s="20" t="n">
        <v>2.22016714</v>
      </c>
    </row>
    <row r="12" spans="1:18">
      <c r="A12" s="15" t="s">
        <v>572</v>
      </c>
      <c r="B12" s="17" t="n">
        <v>3472</v>
      </c>
      <c r="C12" s="18">
        <f>(3095.0/B12*100)</f>
        <v/>
      </c>
      <c r="D12" s="19" t="n">
        <v>377</v>
      </c>
      <c r="E12" s="18" t="n">
        <v>55.25273588</v>
      </c>
      <c r="F12" s="20" t="n">
        <v>3.10659824</v>
      </c>
      <c r="G12" s="18" t="n">
        <v>18.33288564</v>
      </c>
      <c r="H12" s="20" t="n">
        <v>2.14768068</v>
      </c>
      <c r="I12" s="18" t="s">
        <v>567</v>
      </c>
      <c r="J12" s="20" t="s">
        <v>567</v>
      </c>
      <c r="K12" s="18" t="n">
        <v>0</v>
      </c>
      <c r="L12" s="20" t="n">
        <v>0</v>
      </c>
      <c r="M12" s="18" t="n">
        <v>0</v>
      </c>
      <c r="N12" s="20" t="n">
        <v>0</v>
      </c>
      <c r="O12" s="18" t="n">
        <v>0</v>
      </c>
      <c r="P12" s="20" t="n">
        <v>0</v>
      </c>
      <c r="Q12" s="18" t="n">
        <v>26.41437848</v>
      </c>
      <c r="R12" s="20" t="n">
        <v>2.80755148</v>
      </c>
    </row>
    <row r="13" spans="1:18">
      <c r="A13" s="15" t="s">
        <v>573</v>
      </c>
      <c r="B13" s="17" t="n">
        <v>3559</v>
      </c>
      <c r="C13" s="18">
        <f>(3159.0/B13*100)</f>
        <v/>
      </c>
      <c r="D13" s="19" t="n">
        <v>400</v>
      </c>
      <c r="E13" s="18" t="n">
        <v>60.40725097</v>
      </c>
      <c r="F13" s="20" t="n">
        <v>2.6771843</v>
      </c>
      <c r="G13" s="18" t="n">
        <v>26.39077825</v>
      </c>
      <c r="H13" s="20" t="n">
        <v>2.50961415</v>
      </c>
      <c r="I13" s="18" t="s">
        <v>567</v>
      </c>
      <c r="J13" s="20" t="s">
        <v>567</v>
      </c>
      <c r="K13" s="18" t="n">
        <v>1.7534094</v>
      </c>
      <c r="L13" s="20" t="n">
        <v>0.77090664</v>
      </c>
      <c r="M13" s="18" t="n">
        <v>0</v>
      </c>
      <c r="N13" s="20" t="n">
        <v>0</v>
      </c>
      <c r="O13" s="18" t="n">
        <v>0</v>
      </c>
      <c r="P13" s="20" t="n">
        <v>0</v>
      </c>
      <c r="Q13" s="18" t="n">
        <v>11.44856138</v>
      </c>
      <c r="R13" s="20" t="n">
        <v>1.53077104</v>
      </c>
    </row>
    <row r="14" spans="1:18">
      <c r="A14" s="15" t="s">
        <v>574</v>
      </c>
      <c r="B14" s="17" t="n">
        <v>2799</v>
      </c>
      <c r="C14" s="18">
        <f>(2506.0/B14*100)</f>
        <v/>
      </c>
      <c r="D14" s="19" t="n">
        <v>293</v>
      </c>
      <c r="E14" s="18" t="n">
        <v>27.67749315</v>
      </c>
      <c r="F14" s="20" t="n">
        <v>3.26082236</v>
      </c>
      <c r="G14" s="18" t="n">
        <v>64.67217632000001</v>
      </c>
      <c r="H14" s="20" t="n">
        <v>3.28842298</v>
      </c>
      <c r="I14" s="18" t="s">
        <v>567</v>
      </c>
      <c r="J14" s="20" t="s">
        <v>567</v>
      </c>
      <c r="K14" s="18" t="n">
        <v>0.61274464</v>
      </c>
      <c r="L14" s="20" t="n">
        <v>0.43950268</v>
      </c>
      <c r="M14" s="18" t="n">
        <v>0</v>
      </c>
      <c r="N14" s="20" t="n">
        <v>0</v>
      </c>
      <c r="O14" s="18" t="n">
        <v>0</v>
      </c>
      <c r="P14" s="20" t="n">
        <v>0</v>
      </c>
      <c r="Q14" s="18" t="n">
        <v>7.03758589</v>
      </c>
      <c r="R14" s="20" t="n">
        <v>1.38438607</v>
      </c>
    </row>
    <row r="15" spans="1:18">
      <c r="A15" s="15" t="s">
        <v>575</v>
      </c>
      <c r="B15" s="17" t="n">
        <v>3019</v>
      </c>
      <c r="C15" s="18">
        <f>(2708.0/B15*100)</f>
        <v/>
      </c>
      <c r="D15" s="19" t="n">
        <v>311</v>
      </c>
      <c r="E15" s="18" t="n">
        <v>57.81990179</v>
      </c>
      <c r="F15" s="20" t="n">
        <v>2.6624209</v>
      </c>
      <c r="G15" s="18" t="n">
        <v>29.62724261</v>
      </c>
      <c r="H15" s="20" t="n">
        <v>2.70254693</v>
      </c>
      <c r="I15" s="18" t="s">
        <v>567</v>
      </c>
      <c r="J15" s="20" t="s">
        <v>567</v>
      </c>
      <c r="K15" s="18" t="n">
        <v>1.22344456</v>
      </c>
      <c r="L15" s="20" t="n">
        <v>0.60071021</v>
      </c>
      <c r="M15" s="18" t="n">
        <v>0</v>
      </c>
      <c r="N15" s="20" t="n">
        <v>0</v>
      </c>
      <c r="O15" s="18" t="n">
        <v>0</v>
      </c>
      <c r="P15" s="20" t="n">
        <v>0</v>
      </c>
      <c r="Q15" s="18" t="n">
        <v>11.32941104</v>
      </c>
      <c r="R15" s="20" t="n">
        <v>1.93541567</v>
      </c>
    </row>
    <row r="16" spans="1:18">
      <c r="A16" s="15" t="s">
        <v>576</v>
      </c>
      <c r="B16" s="17" t="n">
        <v>2997</v>
      </c>
      <c r="C16" s="18">
        <f>(2683.0/B16*100)</f>
        <v/>
      </c>
      <c r="D16" s="19" t="n">
        <v>314</v>
      </c>
      <c r="E16" s="18" t="n">
        <v>48.55085275</v>
      </c>
      <c r="F16" s="20" t="n">
        <v>2.63584723</v>
      </c>
      <c r="G16" s="18" t="n">
        <v>25.28781468</v>
      </c>
      <c r="H16" s="20" t="n">
        <v>2.32072972</v>
      </c>
      <c r="I16" s="18" t="s">
        <v>567</v>
      </c>
      <c r="J16" s="20" t="s">
        <v>567</v>
      </c>
      <c r="K16" s="18" t="n">
        <v>3.43660605</v>
      </c>
      <c r="L16" s="20" t="n">
        <v>1.01735451</v>
      </c>
      <c r="M16" s="18" t="n">
        <v>0.48190786</v>
      </c>
      <c r="N16" s="20" t="n">
        <v>0.38876143</v>
      </c>
      <c r="O16" s="18" t="n">
        <v>0</v>
      </c>
      <c r="P16" s="20" t="n">
        <v>0</v>
      </c>
      <c r="Q16" s="18" t="n">
        <v>22.24281867</v>
      </c>
      <c r="R16" s="20" t="n">
        <v>2.25830166</v>
      </c>
    </row>
    <row r="17" spans="1:18">
      <c r="A17" s="15" t="s">
        <v>577</v>
      </c>
      <c r="B17" s="17" t="n">
        <v>3307</v>
      </c>
      <c r="C17" s="18">
        <f>(2961.0/B17*100)</f>
        <v/>
      </c>
      <c r="D17" s="19" t="n">
        <v>346</v>
      </c>
      <c r="E17" s="18" t="n">
        <v>55.42797882</v>
      </c>
      <c r="F17" s="20" t="n">
        <v>2.41682941</v>
      </c>
      <c r="G17" s="18" t="n">
        <v>23.85698744</v>
      </c>
      <c r="H17" s="20" t="n">
        <v>2.33616826</v>
      </c>
      <c r="I17" s="18" t="s">
        <v>567</v>
      </c>
      <c r="J17" s="20" t="s">
        <v>567</v>
      </c>
      <c r="K17" s="18" t="n">
        <v>0.77490898</v>
      </c>
      <c r="L17" s="20" t="n">
        <v>0.48816849</v>
      </c>
      <c r="M17" s="18" t="n">
        <v>0</v>
      </c>
      <c r="N17" s="20" t="n">
        <v>0</v>
      </c>
      <c r="O17" s="18" t="n">
        <v>0</v>
      </c>
      <c r="P17" s="20" t="n">
        <v>0</v>
      </c>
      <c r="Q17" s="18" t="n">
        <v>19.94012476</v>
      </c>
      <c r="R17" s="20" t="n">
        <v>2.42801548</v>
      </c>
    </row>
    <row r="18" spans="1:18">
      <c r="A18" s="15" t="s">
        <v>578</v>
      </c>
      <c r="B18" s="17" t="n">
        <v>2826</v>
      </c>
      <c r="C18" s="18">
        <f>(2506.0/B18*100)</f>
        <v/>
      </c>
      <c r="D18" s="19" t="n">
        <v>320</v>
      </c>
      <c r="E18" s="18" t="n">
        <v>58.29494091</v>
      </c>
      <c r="F18" s="20" t="n">
        <v>2.83757395</v>
      </c>
      <c r="G18" s="18" t="n">
        <v>27.67170004</v>
      </c>
      <c r="H18" s="20" t="n">
        <v>2.37254882</v>
      </c>
      <c r="I18" s="18" t="s">
        <v>567</v>
      </c>
      <c r="J18" s="20" t="s">
        <v>567</v>
      </c>
      <c r="K18" s="18" t="n">
        <v>1.20551477</v>
      </c>
      <c r="L18" s="20" t="n">
        <v>0.61556783</v>
      </c>
      <c r="M18" s="18" t="n">
        <v>0.28287022</v>
      </c>
      <c r="N18" s="20" t="n">
        <v>0.28537554</v>
      </c>
      <c r="O18" s="18" t="n">
        <v>0</v>
      </c>
      <c r="P18" s="20" t="n">
        <v>0</v>
      </c>
      <c r="Q18" s="18" t="n">
        <v>12.54497406</v>
      </c>
      <c r="R18" s="20" t="n">
        <v>2.24022104</v>
      </c>
    </row>
    <row r="19" spans="1:18">
      <c r="A19" s="15" t="s">
        <v>579</v>
      </c>
      <c r="B19" s="17" t="n">
        <v>2808</v>
      </c>
      <c r="C19" s="18">
        <f>(2484.0/B19*100)</f>
        <v/>
      </c>
      <c r="D19" s="19" t="n">
        <v>324</v>
      </c>
      <c r="E19" s="18" t="n">
        <v>37.31090956</v>
      </c>
      <c r="F19" s="20" t="n">
        <v>3.12345621</v>
      </c>
      <c r="G19" s="18" t="n">
        <v>37.54375534</v>
      </c>
      <c r="H19" s="20" t="n">
        <v>2.86303389</v>
      </c>
      <c r="I19" s="18" t="s">
        <v>567</v>
      </c>
      <c r="J19" s="20" t="s">
        <v>567</v>
      </c>
      <c r="K19" s="18" t="n">
        <v>1.95339309</v>
      </c>
      <c r="L19" s="20" t="n">
        <v>1.05696826</v>
      </c>
      <c r="M19" s="18" t="n">
        <v>0</v>
      </c>
      <c r="N19" s="20" t="n">
        <v>0</v>
      </c>
      <c r="O19" s="18" t="n">
        <v>0</v>
      </c>
      <c r="P19" s="20" t="n">
        <v>0</v>
      </c>
      <c r="Q19" s="18" t="n">
        <v>23.19194201</v>
      </c>
      <c r="R19" s="20" t="n">
        <v>2.49090334</v>
      </c>
    </row>
    <row r="20" spans="1:18">
      <c r="A20" s="15" t="s">
        <v>580</v>
      </c>
      <c r="B20" s="17" t="n">
        <v>1630</v>
      </c>
      <c r="C20" s="18">
        <f>(1444.0/B20*100)</f>
        <v/>
      </c>
      <c r="D20" s="19" t="n">
        <v>186</v>
      </c>
      <c r="E20" s="18" t="n">
        <v>68.75524976</v>
      </c>
      <c r="F20" s="20" t="n">
        <v>3.7340344</v>
      </c>
      <c r="G20" s="18" t="n">
        <v>16.50723607</v>
      </c>
      <c r="H20" s="20" t="n">
        <v>3.29805295</v>
      </c>
      <c r="I20" s="18" t="s">
        <v>567</v>
      </c>
      <c r="J20" s="20" t="s">
        <v>567</v>
      </c>
      <c r="K20" s="18" t="n">
        <v>2.44271505</v>
      </c>
      <c r="L20" s="20" t="n">
        <v>1.18550753</v>
      </c>
      <c r="M20" s="18" t="n">
        <v>0</v>
      </c>
      <c r="N20" s="20" t="n">
        <v>0</v>
      </c>
      <c r="O20" s="18" t="n">
        <v>0</v>
      </c>
      <c r="P20" s="20" t="n">
        <v>0</v>
      </c>
      <c r="Q20" s="18" t="n">
        <v>12.29479912</v>
      </c>
      <c r="R20" s="20" t="n">
        <v>2.29157146</v>
      </c>
    </row>
    <row r="21" spans="1:18">
      <c r="A21" s="15" t="s">
        <v>581</v>
      </c>
      <c r="B21" s="17" t="n">
        <v>2908</v>
      </c>
      <c r="C21" s="18">
        <f>(2599.0/B21*100)</f>
        <v/>
      </c>
      <c r="D21" s="19" t="n">
        <v>309</v>
      </c>
      <c r="E21" s="18" t="n">
        <v>45.84914117</v>
      </c>
      <c r="F21" s="20" t="n">
        <v>2.86640204</v>
      </c>
      <c r="G21" s="18" t="n">
        <v>40.14760745</v>
      </c>
      <c r="H21" s="20" t="n">
        <v>2.91477182</v>
      </c>
      <c r="I21" s="18" t="s">
        <v>567</v>
      </c>
      <c r="J21" s="20" t="s">
        <v>567</v>
      </c>
      <c r="K21" s="18" t="n">
        <v>0.34791464</v>
      </c>
      <c r="L21" s="20" t="n">
        <v>0.43640305</v>
      </c>
      <c r="M21" s="18" t="n">
        <v>0</v>
      </c>
      <c r="N21" s="20" t="n">
        <v>0</v>
      </c>
      <c r="O21" s="18" t="n">
        <v>0</v>
      </c>
      <c r="P21" s="20" t="n">
        <v>0</v>
      </c>
      <c r="Q21" s="18" t="n">
        <v>13.65533674</v>
      </c>
      <c r="R21" s="20" t="n">
        <v>1.79026124</v>
      </c>
    </row>
    <row r="22" spans="1:18">
      <c r="A22" s="15" t="s">
        <v>582</v>
      </c>
      <c r="B22" s="17" t="n">
        <v>2931</v>
      </c>
      <c r="C22" s="18">
        <f>(2607.0/B22*100)</f>
        <v/>
      </c>
      <c r="D22" s="19" t="n">
        <v>324</v>
      </c>
      <c r="E22" s="18" t="n">
        <v>53.94841704</v>
      </c>
      <c r="F22" s="20" t="n">
        <v>3.15045301</v>
      </c>
      <c r="G22" s="18" t="n">
        <v>26.61560743</v>
      </c>
      <c r="H22" s="20" t="n">
        <v>2.71700096</v>
      </c>
      <c r="I22" s="18" t="s">
        <v>567</v>
      </c>
      <c r="J22" s="20" t="s">
        <v>567</v>
      </c>
      <c r="K22" s="18" t="n">
        <v>4.03280325</v>
      </c>
      <c r="L22" s="20" t="n">
        <v>0.98516963</v>
      </c>
      <c r="M22" s="18" t="n">
        <v>0</v>
      </c>
      <c r="N22" s="20" t="n">
        <v>0</v>
      </c>
      <c r="O22" s="18" t="n">
        <v>0</v>
      </c>
      <c r="P22" s="20" t="n">
        <v>0</v>
      </c>
      <c r="Q22" s="18" t="n">
        <v>15.40317227</v>
      </c>
      <c r="R22" s="20" t="n">
        <v>1.9482555</v>
      </c>
    </row>
    <row r="23" spans="1:18">
      <c r="A23" s="15" t="s">
        <v>583</v>
      </c>
      <c r="B23" s="17" t="n">
        <v>5791</v>
      </c>
      <c r="C23" s="18">
        <f>(5147.0/B23*100)</f>
        <v/>
      </c>
      <c r="D23" s="19" t="n">
        <v>644</v>
      </c>
      <c r="E23" s="18" t="n">
        <v>48.91948104</v>
      </c>
      <c r="F23" s="20" t="n">
        <v>2.76611609</v>
      </c>
      <c r="G23" s="18" t="n">
        <v>31.79971936</v>
      </c>
      <c r="H23" s="20" t="n">
        <v>2.17859091</v>
      </c>
      <c r="I23" s="18" t="s">
        <v>567</v>
      </c>
      <c r="J23" s="20" t="s">
        <v>567</v>
      </c>
      <c r="K23" s="18" t="n">
        <v>1.86699673</v>
      </c>
      <c r="L23" s="20" t="n">
        <v>0.6261431200000001</v>
      </c>
      <c r="M23" s="18" t="n">
        <v>0.17097664</v>
      </c>
      <c r="N23" s="20" t="n">
        <v>0.18369336</v>
      </c>
      <c r="O23" s="18" t="n">
        <v>0</v>
      </c>
      <c r="P23" s="20" t="n">
        <v>0</v>
      </c>
      <c r="Q23" s="18" t="n">
        <v>17.24282623</v>
      </c>
      <c r="R23" s="20" t="n">
        <v>2.12971118</v>
      </c>
    </row>
    <row r="24" spans="1:18">
      <c r="A24" s="15" t="s">
        <v>584</v>
      </c>
      <c r="B24" s="17" t="n">
        <v>3338</v>
      </c>
      <c r="C24" s="18">
        <f>(2969.0/B24*100)</f>
        <v/>
      </c>
      <c r="D24" s="19" t="n">
        <v>369</v>
      </c>
      <c r="E24" s="18" t="n">
        <v>34.34508166</v>
      </c>
      <c r="F24" s="20" t="n">
        <v>2.81528382</v>
      </c>
      <c r="G24" s="18" t="n">
        <v>51.58008716</v>
      </c>
      <c r="H24" s="20" t="n">
        <v>2.93610017</v>
      </c>
      <c r="I24" s="18" t="s">
        <v>567</v>
      </c>
      <c r="J24" s="20" t="s">
        <v>567</v>
      </c>
      <c r="K24" s="18" t="n">
        <v>0.29169975</v>
      </c>
      <c r="L24" s="20" t="n">
        <v>0.28581838</v>
      </c>
      <c r="M24" s="18" t="n">
        <v>0</v>
      </c>
      <c r="N24" s="20" t="n">
        <v>0</v>
      </c>
      <c r="O24" s="18" t="n">
        <v>0</v>
      </c>
      <c r="P24" s="20" t="n">
        <v>0</v>
      </c>
      <c r="Q24" s="18" t="n">
        <v>13.78313143</v>
      </c>
      <c r="R24" s="20" t="n">
        <v>1.87061103</v>
      </c>
    </row>
    <row r="25" spans="1:18">
      <c r="A25" s="15" t="s">
        <v>585</v>
      </c>
      <c r="B25" s="17" t="n">
        <v>2912</v>
      </c>
      <c r="C25" s="18">
        <f>(2589.0/B25*100)</f>
        <v/>
      </c>
      <c r="D25" s="19" t="n">
        <v>323</v>
      </c>
      <c r="E25" s="18" t="n">
        <v>46.12175631</v>
      </c>
      <c r="F25" s="20" t="n">
        <v>3.52533165</v>
      </c>
      <c r="G25" s="18" t="n">
        <v>41.17832135</v>
      </c>
      <c r="H25" s="20" t="n">
        <v>3.51091511</v>
      </c>
      <c r="I25" s="18" t="s">
        <v>567</v>
      </c>
      <c r="J25" s="20" t="s">
        <v>567</v>
      </c>
      <c r="K25" s="18" t="n">
        <v>0.31000973</v>
      </c>
      <c r="L25" s="20" t="n">
        <v>0.30748014</v>
      </c>
      <c r="M25" s="18" t="n">
        <v>0</v>
      </c>
      <c r="N25" s="20" t="n">
        <v>0</v>
      </c>
      <c r="O25" s="18" t="n">
        <v>0</v>
      </c>
      <c r="P25" s="20" t="n">
        <v>0</v>
      </c>
      <c r="Q25" s="18" t="n">
        <v>12.38991261</v>
      </c>
      <c r="R25" s="20" t="n">
        <v>1.99700946</v>
      </c>
    </row>
    <row r="26" spans="1:18">
      <c r="A26" s="15" t="s">
        <v>586</v>
      </c>
      <c r="B26" s="17" t="n">
        <v>2450</v>
      </c>
      <c r="C26" s="18">
        <f>(2211.0/B26*100)</f>
        <v/>
      </c>
      <c r="D26" s="19" t="n">
        <v>239</v>
      </c>
      <c r="E26" s="18" t="n">
        <v>58.22388103</v>
      </c>
      <c r="F26" s="20" t="n">
        <v>3.27906245</v>
      </c>
      <c r="G26" s="18" t="n">
        <v>24.81613137</v>
      </c>
      <c r="H26" s="20" t="n">
        <v>2.9548186</v>
      </c>
      <c r="I26" s="18" t="s">
        <v>567</v>
      </c>
      <c r="J26" s="20" t="s">
        <v>567</v>
      </c>
      <c r="K26" s="18" t="n">
        <v>0.35686244</v>
      </c>
      <c r="L26" s="20" t="n">
        <v>0.35658742</v>
      </c>
      <c r="M26" s="18" t="n">
        <v>0</v>
      </c>
      <c r="N26" s="20" t="n">
        <v>0</v>
      </c>
      <c r="O26" s="18" t="n">
        <v>0</v>
      </c>
      <c r="P26" s="20" t="n">
        <v>0</v>
      </c>
      <c r="Q26" s="18" t="n">
        <v>16.60312517</v>
      </c>
      <c r="R26" s="20" t="n">
        <v>2.72119868</v>
      </c>
    </row>
    <row r="27" spans="1:18">
      <c r="A27" s="15" t="s">
        <v>587</v>
      </c>
      <c r="B27" s="17" t="n">
        <v>2616</v>
      </c>
      <c r="C27" s="18">
        <f>(2360.0/B27*100)</f>
        <v/>
      </c>
      <c r="D27" s="19" t="n">
        <v>256</v>
      </c>
      <c r="E27" s="18" t="n">
        <v>50.93073604</v>
      </c>
      <c r="F27" s="20" t="n">
        <v>2.90473373</v>
      </c>
      <c r="G27" s="18" t="n">
        <v>27.39215825</v>
      </c>
      <c r="H27" s="20" t="n">
        <v>2.74316023</v>
      </c>
      <c r="I27" s="18" t="s">
        <v>567</v>
      </c>
      <c r="J27" s="20" t="s">
        <v>567</v>
      </c>
      <c r="K27" s="18" t="n">
        <v>1.56719149</v>
      </c>
      <c r="L27" s="20" t="n">
        <v>0.79423633</v>
      </c>
      <c r="M27" s="18" t="n">
        <v>0</v>
      </c>
      <c r="N27" s="20" t="n">
        <v>0</v>
      </c>
      <c r="O27" s="18" t="n">
        <v>0</v>
      </c>
      <c r="P27" s="20" t="n">
        <v>0</v>
      </c>
      <c r="Q27" s="18" t="n">
        <v>20.10991422</v>
      </c>
      <c r="R27" s="20" t="n">
        <v>2.33842895</v>
      </c>
    </row>
    <row r="28" spans="1:18">
      <c r="A28" s="15" t="s">
        <v>588</v>
      </c>
      <c r="B28" s="17" t="n">
        <v>3765</v>
      </c>
      <c r="C28" s="18">
        <f>(3371.0/B28*100)</f>
        <v/>
      </c>
      <c r="D28" s="19" t="n">
        <v>394</v>
      </c>
      <c r="E28" s="18" t="n">
        <v>62.77215686</v>
      </c>
      <c r="F28" s="20" t="n">
        <v>2.52071605</v>
      </c>
      <c r="G28" s="18" t="n">
        <v>29.65395326</v>
      </c>
      <c r="H28" s="20" t="n">
        <v>2.20018613</v>
      </c>
      <c r="I28" s="18" t="s">
        <v>567</v>
      </c>
      <c r="J28" s="20" t="s">
        <v>567</v>
      </c>
      <c r="K28" s="18" t="n">
        <v>1.46244889</v>
      </c>
      <c r="L28" s="20" t="n">
        <v>0.76885951</v>
      </c>
      <c r="M28" s="18" t="n">
        <v>0</v>
      </c>
      <c r="N28" s="20" t="n">
        <v>0</v>
      </c>
      <c r="O28" s="18" t="n">
        <v>0</v>
      </c>
      <c r="P28" s="20" t="n">
        <v>0</v>
      </c>
      <c r="Q28" s="18" t="n">
        <v>6.11144099</v>
      </c>
      <c r="R28" s="20" t="n">
        <v>1.59515069</v>
      </c>
    </row>
    <row r="29" spans="1:18">
      <c r="A29" s="15" t="s">
        <v>589</v>
      </c>
      <c r="B29" s="17" t="n">
        <v>2685</v>
      </c>
      <c r="C29" s="18">
        <f>(2386.0/B29*100)</f>
        <v/>
      </c>
      <c r="D29" s="19" t="n">
        <v>299</v>
      </c>
      <c r="E29" s="18" t="n">
        <v>61.35513251</v>
      </c>
      <c r="F29" s="20" t="n">
        <v>2.90461631</v>
      </c>
      <c r="G29" s="18" t="n">
        <v>31.42310238</v>
      </c>
      <c r="H29" s="20" t="n">
        <v>2.56466651</v>
      </c>
      <c r="I29" s="18" t="s">
        <v>567</v>
      </c>
      <c r="J29" s="20" t="s">
        <v>567</v>
      </c>
      <c r="K29" s="18" t="n">
        <v>0.30474733</v>
      </c>
      <c r="L29" s="20" t="n">
        <v>0.28490082</v>
      </c>
      <c r="M29" s="18" t="n">
        <v>0</v>
      </c>
      <c r="N29" s="20" t="n">
        <v>0</v>
      </c>
      <c r="O29" s="18" t="n">
        <v>0</v>
      </c>
      <c r="P29" s="20" t="n">
        <v>0</v>
      </c>
      <c r="Q29" s="18" t="n">
        <v>6.91701777</v>
      </c>
      <c r="R29" s="20" t="n">
        <v>1.46483065</v>
      </c>
    </row>
    <row r="30" spans="1:18">
      <c r="A30" s="15" t="s">
        <v>590</v>
      </c>
      <c r="B30" s="17" t="n">
        <v>2263</v>
      </c>
      <c r="C30" s="18">
        <f>(2018.0/B30*100)</f>
        <v/>
      </c>
      <c r="D30" s="19" t="n">
        <v>245</v>
      </c>
      <c r="E30" s="18" t="n">
        <v>49.00588587</v>
      </c>
      <c r="F30" s="20" t="n">
        <v>3.55003548</v>
      </c>
      <c r="G30" s="18" t="n">
        <v>34.15867369</v>
      </c>
      <c r="H30" s="20" t="n">
        <v>3.0257619</v>
      </c>
      <c r="I30" s="18" t="s">
        <v>567</v>
      </c>
      <c r="J30" s="20" t="s">
        <v>567</v>
      </c>
      <c r="K30" s="18" t="n">
        <v>1.75289595</v>
      </c>
      <c r="L30" s="20" t="n">
        <v>0.8391691100000001</v>
      </c>
      <c r="M30" s="18" t="n">
        <v>0.41774808</v>
      </c>
      <c r="N30" s="20" t="n">
        <v>0.40343404</v>
      </c>
      <c r="O30" s="18" t="n">
        <v>0</v>
      </c>
      <c r="P30" s="20" t="n">
        <v>0</v>
      </c>
      <c r="Q30" s="18" t="n">
        <v>14.6647964</v>
      </c>
      <c r="R30" s="20" t="n">
        <v>2.17885807</v>
      </c>
    </row>
    <row r="31" spans="1:18">
      <c r="A31" s="15" t="s">
        <v>591</v>
      </c>
      <c r="B31" s="17" t="n">
        <v>2750</v>
      </c>
      <c r="C31" s="18">
        <f>(2445.0/B31*100)</f>
        <v/>
      </c>
      <c r="D31" s="19" t="n">
        <v>305</v>
      </c>
      <c r="E31" s="18" t="n">
        <v>62.16553675</v>
      </c>
      <c r="F31" s="20" t="n">
        <v>2.81818218</v>
      </c>
      <c r="G31" s="18" t="n">
        <v>18.1130985</v>
      </c>
      <c r="H31" s="20" t="n">
        <v>2.63446693</v>
      </c>
      <c r="I31" s="18" t="s">
        <v>567</v>
      </c>
      <c r="J31" s="20" t="s">
        <v>567</v>
      </c>
      <c r="K31" s="18" t="n">
        <v>1.55810574</v>
      </c>
      <c r="L31" s="20" t="n">
        <v>0.78765885</v>
      </c>
      <c r="M31" s="18" t="n">
        <v>0</v>
      </c>
      <c r="N31" s="20" t="n">
        <v>0</v>
      </c>
      <c r="O31" s="18" t="n">
        <v>0</v>
      </c>
      <c r="P31" s="20" t="n">
        <v>0</v>
      </c>
      <c r="Q31" s="18" t="n">
        <v>18.16325901</v>
      </c>
      <c r="R31" s="20" t="n">
        <v>2.35113173</v>
      </c>
    </row>
    <row r="32" spans="1:18">
      <c r="A32" s="15" t="s">
        <v>592</v>
      </c>
      <c r="B32" s="17" t="n">
        <v>2269</v>
      </c>
      <c r="C32" s="18">
        <f>(2020.0/B32*100)</f>
        <v/>
      </c>
      <c r="D32" s="19" t="n">
        <v>249</v>
      </c>
      <c r="E32" s="18" t="n">
        <v>36.52085725</v>
      </c>
      <c r="F32" s="20" t="n">
        <v>3.06793491</v>
      </c>
      <c r="G32" s="18" t="n">
        <v>40.87760347</v>
      </c>
      <c r="H32" s="20" t="n">
        <v>2.75338639</v>
      </c>
      <c r="I32" s="18" t="s">
        <v>567</v>
      </c>
      <c r="J32" s="20" t="s">
        <v>567</v>
      </c>
      <c r="K32" s="18" t="n">
        <v>0.48745243</v>
      </c>
      <c r="L32" s="20" t="n">
        <v>0.50628118</v>
      </c>
      <c r="M32" s="18" t="n">
        <v>0</v>
      </c>
      <c r="N32" s="20" t="n">
        <v>0</v>
      </c>
      <c r="O32" s="18" t="n">
        <v>0</v>
      </c>
      <c r="P32" s="20" t="n">
        <v>0</v>
      </c>
      <c r="Q32" s="18" t="n">
        <v>22.11408685</v>
      </c>
      <c r="R32" s="20" t="n">
        <v>2.58069348</v>
      </c>
    </row>
    <row r="33" spans="1:18">
      <c r="A33" s="15" t="s">
        <v>593</v>
      </c>
      <c r="B33" s="17" t="n">
        <v>3674</v>
      </c>
      <c r="C33" s="18">
        <f>(3305.0/B33*100)</f>
        <v/>
      </c>
      <c r="D33" s="19" t="n">
        <v>369</v>
      </c>
      <c r="E33" s="18" t="n">
        <v>53.33029836</v>
      </c>
      <c r="F33" s="20" t="n">
        <v>3.4287463</v>
      </c>
      <c r="G33" s="18" t="n">
        <v>29.26365547</v>
      </c>
      <c r="H33" s="20" t="n">
        <v>2.61989274</v>
      </c>
      <c r="I33" s="18" t="s">
        <v>567</v>
      </c>
      <c r="J33" s="20" t="s">
        <v>567</v>
      </c>
      <c r="K33" s="18" t="n">
        <v>1.00107895</v>
      </c>
      <c r="L33" s="20" t="n">
        <v>0.59800528</v>
      </c>
      <c r="M33" s="18" t="n">
        <v>0.58427274</v>
      </c>
      <c r="N33" s="20" t="n">
        <v>0.5754775</v>
      </c>
      <c r="O33" s="18" t="n">
        <v>0</v>
      </c>
      <c r="P33" s="20" t="n">
        <v>0</v>
      </c>
      <c r="Q33" s="18" t="n">
        <v>15.82069448</v>
      </c>
      <c r="R33" s="20" t="n">
        <v>2.35383217</v>
      </c>
    </row>
    <row r="34" spans="1:18">
      <c r="A34" s="15" t="s">
        <v>594</v>
      </c>
      <c r="B34" s="17" t="n">
        <v>3315</v>
      </c>
      <c r="C34" s="18">
        <f>(2931.0/B34*100)</f>
        <v/>
      </c>
      <c r="D34" s="19" t="n">
        <v>384</v>
      </c>
      <c r="E34" s="18" t="n">
        <v>61.4467978</v>
      </c>
      <c r="F34" s="20" t="n">
        <v>2.74092216</v>
      </c>
      <c r="G34" s="18" t="n">
        <v>18.40173918</v>
      </c>
      <c r="H34" s="20" t="n">
        <v>2.2384098</v>
      </c>
      <c r="I34" s="18" t="s">
        <v>567</v>
      </c>
      <c r="J34" s="20" t="s">
        <v>567</v>
      </c>
      <c r="K34" s="18" t="n">
        <v>0.65681055</v>
      </c>
      <c r="L34" s="20" t="n">
        <v>0.34997736</v>
      </c>
      <c r="M34" s="18" t="n">
        <v>0</v>
      </c>
      <c r="N34" s="20" t="n">
        <v>0</v>
      </c>
      <c r="O34" s="18" t="n">
        <v>0</v>
      </c>
      <c r="P34" s="20" t="n">
        <v>0</v>
      </c>
      <c r="Q34" s="18" t="n">
        <v>19.49465247</v>
      </c>
      <c r="R34" s="20" t="n">
        <v>2.31449061</v>
      </c>
    </row>
    <row r="35" spans="1:18">
      <c r="A35" s="15" t="s">
        <v>595</v>
      </c>
      <c r="B35" s="17" t="n">
        <v>3505</v>
      </c>
      <c r="C35" s="18">
        <f>(3118.0/B35*100)</f>
        <v/>
      </c>
      <c r="D35" s="19" t="n">
        <v>387</v>
      </c>
      <c r="E35" s="18" t="n">
        <v>44.72662216</v>
      </c>
      <c r="F35" s="20" t="n">
        <v>2.92204674</v>
      </c>
      <c r="G35" s="18" t="n">
        <v>42.07139274</v>
      </c>
      <c r="H35" s="20" t="n">
        <v>2.83832734</v>
      </c>
      <c r="I35" s="18" t="s">
        <v>567</v>
      </c>
      <c r="J35" s="20" t="s">
        <v>567</v>
      </c>
      <c r="K35" s="18" t="n">
        <v>1.22498991</v>
      </c>
      <c r="L35" s="20" t="n">
        <v>0.53957526</v>
      </c>
      <c r="M35" s="18" t="n">
        <v>0.45939385</v>
      </c>
      <c r="N35" s="20" t="n">
        <v>0.45600692</v>
      </c>
      <c r="O35" s="18" t="n">
        <v>0</v>
      </c>
      <c r="P35" s="20" t="n">
        <v>0</v>
      </c>
      <c r="Q35" s="18" t="n">
        <v>11.51760135</v>
      </c>
      <c r="R35" s="20" t="n">
        <v>1.78670325</v>
      </c>
    </row>
    <row r="36" spans="1:18">
      <c r="A36" s="15" t="s">
        <v>596</v>
      </c>
      <c r="B36" s="17" t="n">
        <v>3332</v>
      </c>
      <c r="C36" s="18">
        <f>(2987.0/B36*100)</f>
        <v/>
      </c>
      <c r="D36" s="19" t="n">
        <v>345</v>
      </c>
      <c r="E36" s="18" t="n">
        <v>52.89757693</v>
      </c>
      <c r="F36" s="20" t="n">
        <v>2.73351808</v>
      </c>
      <c r="G36" s="18" t="n">
        <v>36.44635941</v>
      </c>
      <c r="H36" s="20" t="n">
        <v>2.62790425</v>
      </c>
      <c r="I36" s="18" t="s">
        <v>567</v>
      </c>
      <c r="J36" s="20" t="s">
        <v>567</v>
      </c>
      <c r="K36" s="18" t="n">
        <v>0.5053337</v>
      </c>
      <c r="L36" s="20" t="n">
        <v>0.28846997</v>
      </c>
      <c r="M36" s="18" t="n">
        <v>0</v>
      </c>
      <c r="N36" s="20" t="n">
        <v>0</v>
      </c>
      <c r="O36" s="18" t="n">
        <v>0</v>
      </c>
      <c r="P36" s="20" t="n">
        <v>0</v>
      </c>
      <c r="Q36" s="18" t="n">
        <v>10.15072996</v>
      </c>
      <c r="R36" s="20" t="n">
        <v>1.57675941</v>
      </c>
    </row>
    <row r="37" spans="1:18">
      <c r="A37" s="15" t="s">
        <v>597</v>
      </c>
      <c r="B37" s="17" t="n">
        <v>2727</v>
      </c>
      <c r="C37" s="18">
        <f>(2434.0/B37*100)</f>
        <v/>
      </c>
      <c r="D37" s="19" t="n">
        <v>293</v>
      </c>
      <c r="E37" s="18" t="n">
        <v>45.51137397</v>
      </c>
      <c r="F37" s="20" t="n">
        <v>2.68462996</v>
      </c>
      <c r="G37" s="18" t="n">
        <v>25.07359135</v>
      </c>
      <c r="H37" s="20" t="n">
        <v>2.35257979</v>
      </c>
      <c r="I37" s="18" t="s">
        <v>567</v>
      </c>
      <c r="J37" s="20" t="s">
        <v>567</v>
      </c>
      <c r="K37" s="18" t="n">
        <v>3.3930188</v>
      </c>
      <c r="L37" s="20" t="n">
        <v>1.06204022</v>
      </c>
      <c r="M37" s="18" t="n">
        <v>0</v>
      </c>
      <c r="N37" s="20" t="n">
        <v>0</v>
      </c>
      <c r="O37" s="18" t="n">
        <v>0</v>
      </c>
      <c r="P37" s="20" t="n">
        <v>0</v>
      </c>
      <c r="Q37" s="18" t="n">
        <v>26.02201588</v>
      </c>
      <c r="R37" s="20" t="n">
        <v>3.21760512</v>
      </c>
    </row>
    <row r="38" spans="1:18">
      <c r="A38" s="15" t="s">
        <v>598</v>
      </c>
      <c r="B38" s="17" t="n">
        <v>3053</v>
      </c>
      <c r="C38" s="18">
        <f>(2725.0/B38*100)</f>
        <v/>
      </c>
      <c r="D38" s="19" t="n">
        <v>328</v>
      </c>
      <c r="E38" s="18" t="n">
        <v>48.61142877</v>
      </c>
      <c r="F38" s="20" t="n">
        <v>2.89649394</v>
      </c>
      <c r="G38" s="18" t="n">
        <v>29.95801716</v>
      </c>
      <c r="H38" s="20" t="n">
        <v>2.768867</v>
      </c>
      <c r="I38" s="18" t="s">
        <v>567</v>
      </c>
      <c r="J38" s="20" t="s">
        <v>567</v>
      </c>
      <c r="K38" s="18" t="n">
        <v>1.59198868</v>
      </c>
      <c r="L38" s="20" t="n">
        <v>0.71349367</v>
      </c>
      <c r="M38" s="18" t="n">
        <v>4.41612109</v>
      </c>
      <c r="N38" s="20" t="n">
        <v>1.19640956</v>
      </c>
      <c r="O38" s="18" t="n">
        <v>0</v>
      </c>
      <c r="P38" s="20" t="n">
        <v>0</v>
      </c>
      <c r="Q38" s="18" t="n">
        <v>15.4224443</v>
      </c>
      <c r="R38" s="20" t="n">
        <v>2.79842361</v>
      </c>
    </row>
    <row r="39" spans="1:18">
      <c r="A39" s="15" t="s">
        <v>599</v>
      </c>
      <c r="B39" s="17" t="n">
        <v>2957</v>
      </c>
      <c r="C39" s="18">
        <f>(2633.0/B39*100)</f>
        <v/>
      </c>
      <c r="D39" s="19" t="n">
        <v>324</v>
      </c>
      <c r="E39" s="18" t="n">
        <v>65.72394102</v>
      </c>
      <c r="F39" s="20" t="n">
        <v>3.37236202</v>
      </c>
      <c r="G39" s="18" t="n">
        <v>13.52165374</v>
      </c>
      <c r="H39" s="20" t="n">
        <v>2.3942192</v>
      </c>
      <c r="I39" s="18" t="s">
        <v>567</v>
      </c>
      <c r="J39" s="20" t="s">
        <v>567</v>
      </c>
      <c r="K39" s="18" t="n">
        <v>1.5403339</v>
      </c>
      <c r="L39" s="20" t="n">
        <v>0.69780495</v>
      </c>
      <c r="M39" s="18" t="n">
        <v>0</v>
      </c>
      <c r="N39" s="20" t="n">
        <v>0</v>
      </c>
      <c r="O39" s="18" t="n">
        <v>0</v>
      </c>
      <c r="P39" s="20" t="n">
        <v>0</v>
      </c>
      <c r="Q39" s="18" t="n">
        <v>19.21407134</v>
      </c>
      <c r="R39" s="20" t="n">
        <v>2.18982961</v>
      </c>
    </row>
    <row r="40" spans="1:18">
      <c r="A40" s="15" t="s">
        <v>600</v>
      </c>
      <c r="B40" s="17" t="n">
        <v>7235</v>
      </c>
      <c r="C40" s="18">
        <f>(6433.0/B40*100)</f>
        <v/>
      </c>
      <c r="D40" s="19" t="n">
        <v>802</v>
      </c>
      <c r="E40" s="18" t="n">
        <v>44.18562005</v>
      </c>
      <c r="F40" s="20" t="n">
        <v>2.71873349</v>
      </c>
      <c r="G40" s="18" t="n">
        <v>38.96276623</v>
      </c>
      <c r="H40" s="20" t="n">
        <v>2.8235213</v>
      </c>
      <c r="I40" s="18" t="s">
        <v>567</v>
      </c>
      <c r="J40" s="20" t="s">
        <v>567</v>
      </c>
      <c r="K40" s="18" t="n">
        <v>0.8313434</v>
      </c>
      <c r="L40" s="20" t="n">
        <v>0.38911066</v>
      </c>
      <c r="M40" s="18" t="n">
        <v>0</v>
      </c>
      <c r="N40" s="20" t="n">
        <v>0</v>
      </c>
      <c r="O40" s="18" t="n">
        <v>0</v>
      </c>
      <c r="P40" s="20" t="n">
        <v>0</v>
      </c>
      <c r="Q40" s="18" t="n">
        <v>16.02027031</v>
      </c>
      <c r="R40" s="20" t="n">
        <v>2.11712474</v>
      </c>
    </row>
    <row r="41" spans="1:18">
      <c r="A41" s="15" t="s">
        <v>601</v>
      </c>
      <c r="B41" s="17" t="n">
        <v>2858</v>
      </c>
      <c r="C41" s="18">
        <f>(2544.0/B41*100)</f>
        <v/>
      </c>
      <c r="D41" s="19" t="n">
        <v>314</v>
      </c>
      <c r="E41" s="18" t="n">
        <v>62.26937857</v>
      </c>
      <c r="F41" s="20" t="n">
        <v>3.04871445</v>
      </c>
      <c r="G41" s="18" t="n">
        <v>31.25002212</v>
      </c>
      <c r="H41" s="20" t="n">
        <v>3.10190045</v>
      </c>
      <c r="I41" s="18" t="s">
        <v>567</v>
      </c>
      <c r="J41" s="20" t="s">
        <v>567</v>
      </c>
      <c r="K41" s="18" t="n">
        <v>2.07004529</v>
      </c>
      <c r="L41" s="20" t="n">
        <v>1.15715627</v>
      </c>
      <c r="M41" s="18" t="n">
        <v>0</v>
      </c>
      <c r="N41" s="20" t="n">
        <v>0</v>
      </c>
      <c r="O41" s="18" t="n">
        <v>0</v>
      </c>
      <c r="P41" s="20" t="n">
        <v>0</v>
      </c>
      <c r="Q41" s="18" t="n">
        <v>4.41055402</v>
      </c>
      <c r="R41" s="20" t="n">
        <v>0.98697249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(10066.0/B46*100)</f>
        <v/>
      </c>
      <c r="D46" s="19" t="n">
        <v>1002</v>
      </c>
      <c r="E46" s="18" t="n">
        <v>69.43731343</v>
      </c>
      <c r="F46" s="20" t="n">
        <v>2.27218157</v>
      </c>
      <c r="G46" s="18" t="n">
        <v>9.196453269999999</v>
      </c>
      <c r="H46" s="20" t="n">
        <v>1.20664032</v>
      </c>
      <c r="I46" s="18" t="s">
        <v>567</v>
      </c>
      <c r="J46" s="20" t="s">
        <v>567</v>
      </c>
      <c r="K46" s="18" t="n">
        <v>1.68560802</v>
      </c>
      <c r="L46" s="20" t="n">
        <v>0.43669901</v>
      </c>
      <c r="M46" s="18" t="n">
        <v>0.22791346</v>
      </c>
      <c r="N46" s="20" t="n">
        <v>0.1684425</v>
      </c>
      <c r="O46" s="18" t="n">
        <v>0</v>
      </c>
      <c r="P46" s="20" t="n">
        <v>0</v>
      </c>
      <c r="Q46" s="18" t="n">
        <v>19.45271183</v>
      </c>
      <c r="R46" s="20" t="n">
        <v>1.82118014</v>
      </c>
    </row>
    <row r="47" spans="1:18">
      <c r="A47" s="15" t="s">
        <v>607</v>
      </c>
      <c r="B47" s="17" t="n">
        <v>3105</v>
      </c>
      <c r="C47" s="18">
        <f>(2786.0/B47*100)</f>
        <v/>
      </c>
      <c r="D47" s="19" t="n">
        <v>319</v>
      </c>
      <c r="E47" s="18" t="n">
        <v>44.35600696</v>
      </c>
      <c r="F47" s="20" t="n">
        <v>3.14530606</v>
      </c>
      <c r="G47" s="18" t="n">
        <v>25.89663882</v>
      </c>
      <c r="H47" s="20" t="n">
        <v>2.88452723</v>
      </c>
      <c r="I47" s="18" t="s">
        <v>567</v>
      </c>
      <c r="J47" s="20" t="s">
        <v>567</v>
      </c>
      <c r="K47" s="18" t="n">
        <v>2.0716053</v>
      </c>
      <c r="L47" s="20" t="n">
        <v>0.83620156</v>
      </c>
      <c r="M47" s="18" t="n">
        <v>0</v>
      </c>
      <c r="N47" s="20" t="n">
        <v>0</v>
      </c>
      <c r="O47" s="18" t="n">
        <v>0</v>
      </c>
      <c r="P47" s="20" t="n">
        <v>0</v>
      </c>
      <c r="Q47" s="18" t="n">
        <v>27.67574891</v>
      </c>
      <c r="R47" s="20" t="n">
        <v>2.5272577</v>
      </c>
    </row>
    <row r="48" spans="1:18">
      <c r="A48" s="15" t="s">
        <v>608</v>
      </c>
      <c r="B48" s="17" t="n">
        <v>5159</v>
      </c>
      <c r="C48" s="18">
        <f>(4576.0/B48*100)</f>
        <v/>
      </c>
      <c r="D48" s="19" t="n">
        <v>583</v>
      </c>
      <c r="E48" s="18" t="n">
        <v>32.14944822</v>
      </c>
      <c r="F48" s="20" t="n">
        <v>2.60477034</v>
      </c>
      <c r="G48" s="18" t="n">
        <v>60.14416002</v>
      </c>
      <c r="H48" s="20" t="n">
        <v>2.83121026</v>
      </c>
      <c r="I48" s="18" t="s">
        <v>567</v>
      </c>
      <c r="J48" s="20" t="s">
        <v>567</v>
      </c>
      <c r="K48" s="18" t="n">
        <v>0.7714619700000001</v>
      </c>
      <c r="L48" s="20" t="n">
        <v>0.40284451</v>
      </c>
      <c r="M48" s="18" t="n">
        <v>0</v>
      </c>
      <c r="N48" s="20" t="n">
        <v>0</v>
      </c>
      <c r="O48" s="18" t="n">
        <v>0</v>
      </c>
      <c r="P48" s="20" t="n">
        <v>0</v>
      </c>
      <c r="Q48" s="18" t="n">
        <v>6.93492979</v>
      </c>
      <c r="R48" s="20" t="n">
        <v>1.3852503</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(5023.0/B50*100)</f>
        <v/>
      </c>
      <c r="D50" s="19" t="n">
        <v>614</v>
      </c>
      <c r="E50" s="18" t="n">
        <v>70.18721858000001</v>
      </c>
      <c r="F50" s="20" t="n">
        <v>2.57736674</v>
      </c>
      <c r="G50" s="18" t="n">
        <v>14.87743678</v>
      </c>
      <c r="H50" s="20" t="n">
        <v>1.91431771</v>
      </c>
      <c r="I50" s="18" t="s">
        <v>567</v>
      </c>
      <c r="J50" s="20" t="s">
        <v>567</v>
      </c>
      <c r="K50" s="18" t="n">
        <v>3.54519075</v>
      </c>
      <c r="L50" s="20" t="n">
        <v>1.34433923</v>
      </c>
      <c r="M50" s="18" t="n">
        <v>0.25708917</v>
      </c>
      <c r="N50" s="20" t="n">
        <v>0.26585954</v>
      </c>
      <c r="O50" s="18" t="n">
        <v>0</v>
      </c>
      <c r="P50" s="20" t="n">
        <v>0</v>
      </c>
      <c r="Q50" s="18" t="n">
        <v>11.13306471</v>
      </c>
      <c r="R50" s="20" t="n">
        <v>1.55285237</v>
      </c>
    </row>
    <row r="51" spans="1:18">
      <c r="A51" s="15" t="s">
        <v>611</v>
      </c>
      <c r="B51" s="17" t="n">
        <v>3372</v>
      </c>
      <c r="C51" s="18">
        <f>(3054.0/B51*100)</f>
        <v/>
      </c>
      <c r="D51" s="19" t="n">
        <v>318</v>
      </c>
      <c r="E51" s="18" t="n">
        <v>76.25686051</v>
      </c>
      <c r="F51" s="20" t="n">
        <v>2.64521512</v>
      </c>
      <c r="G51" s="18" t="n">
        <v>13.92520031</v>
      </c>
      <c r="H51" s="20" t="n">
        <v>2.14063076</v>
      </c>
      <c r="I51" s="18" t="s">
        <v>567</v>
      </c>
      <c r="J51" s="20" t="s">
        <v>567</v>
      </c>
      <c r="K51" s="18" t="n">
        <v>2.64724934</v>
      </c>
      <c r="L51" s="20" t="n">
        <v>0.98558735</v>
      </c>
      <c r="M51" s="18" t="n">
        <v>0</v>
      </c>
      <c r="N51" s="20" t="n">
        <v>0</v>
      </c>
      <c r="O51" s="18" t="n">
        <v>0</v>
      </c>
      <c r="P51" s="20" t="n">
        <v>0</v>
      </c>
      <c r="Q51" s="18" t="n">
        <v>7.17068984</v>
      </c>
      <c r="R51" s="20" t="n">
        <v>1.3877439</v>
      </c>
    </row>
    <row r="52" spans="1:18">
      <c r="A52" s="15" t="s">
        <v>612</v>
      </c>
      <c r="B52" s="17" t="n">
        <v>2796</v>
      </c>
      <c r="C52" s="18">
        <f>(2446.0/B52*100)</f>
        <v/>
      </c>
      <c r="D52" s="19" t="n">
        <v>350</v>
      </c>
      <c r="E52" s="18" t="n">
        <v>50.4615998</v>
      </c>
      <c r="F52" s="20" t="n">
        <v>2.54319178</v>
      </c>
      <c r="G52" s="18" t="n">
        <v>18.61530655</v>
      </c>
      <c r="H52" s="20" t="n">
        <v>1.91361933</v>
      </c>
      <c r="I52" s="18" t="s">
        <v>567</v>
      </c>
      <c r="J52" s="20" t="s">
        <v>567</v>
      </c>
      <c r="K52" s="18" t="n">
        <v>1.35786681</v>
      </c>
      <c r="L52" s="20" t="n">
        <v>0.50872657</v>
      </c>
      <c r="M52" s="18" t="n">
        <v>0</v>
      </c>
      <c r="N52" s="20" t="n">
        <v>0</v>
      </c>
      <c r="O52" s="18" t="n">
        <v>0</v>
      </c>
      <c r="P52" s="20" t="n">
        <v>0</v>
      </c>
      <c r="Q52" s="18" t="n">
        <v>29.56522684</v>
      </c>
      <c r="R52" s="20" t="n">
        <v>2.38594856</v>
      </c>
    </row>
    <row r="53" spans="1:18">
      <c r="A53" s="15" t="s">
        <v>613</v>
      </c>
      <c r="B53" s="17" t="n">
        <v>2811</v>
      </c>
      <c r="C53" s="18">
        <f>(2518.0/B53*100)</f>
        <v/>
      </c>
      <c r="D53" s="19" t="n">
        <v>293</v>
      </c>
      <c r="E53" s="18" t="n">
        <v>57.8308623</v>
      </c>
      <c r="F53" s="20" t="n">
        <v>3.11334245</v>
      </c>
      <c r="G53" s="18" t="n">
        <v>19.08751118</v>
      </c>
      <c r="H53" s="20" t="n">
        <v>2.38636847</v>
      </c>
      <c r="I53" s="18" t="s">
        <v>567</v>
      </c>
      <c r="J53" s="20" t="s">
        <v>567</v>
      </c>
      <c r="K53" s="18" t="n">
        <v>2.19008375</v>
      </c>
      <c r="L53" s="20" t="n">
        <v>0.84426522</v>
      </c>
      <c r="M53" s="18" t="n">
        <v>0</v>
      </c>
      <c r="N53" s="20" t="n">
        <v>0</v>
      </c>
      <c r="O53" s="18" t="n">
        <v>0</v>
      </c>
      <c r="P53" s="20" t="n">
        <v>0</v>
      </c>
      <c r="Q53" s="18" t="n">
        <v>20.89154276</v>
      </c>
      <c r="R53" s="20" t="n">
        <v>2.65181342</v>
      </c>
    </row>
    <row r="54" spans="1:18">
      <c r="A54" s="15" t="s">
        <v>614</v>
      </c>
      <c r="B54" s="17" t="n">
        <v>2266</v>
      </c>
      <c r="C54" s="18">
        <f>(2010.0/B54*100)</f>
        <v/>
      </c>
      <c r="D54" s="19" t="n">
        <v>256</v>
      </c>
      <c r="E54" s="18" t="n">
        <v>60.50162561</v>
      </c>
      <c r="F54" s="20" t="n">
        <v>3.00207237</v>
      </c>
      <c r="G54" s="18" t="n">
        <v>4.64169398</v>
      </c>
      <c r="H54" s="20" t="n">
        <v>1.79194499</v>
      </c>
      <c r="I54" s="18" t="s">
        <v>567</v>
      </c>
      <c r="J54" s="20" t="s">
        <v>567</v>
      </c>
      <c r="K54" s="18" t="n">
        <v>17.86183596</v>
      </c>
      <c r="L54" s="20" t="n">
        <v>2.84975823</v>
      </c>
      <c r="M54" s="18" t="n">
        <v>0</v>
      </c>
      <c r="N54" s="20" t="n">
        <v>0</v>
      </c>
      <c r="O54" s="18" t="n">
        <v>0</v>
      </c>
      <c r="P54" s="20" t="n">
        <v>0</v>
      </c>
      <c r="Q54" s="18" t="n">
        <v>16.99484445</v>
      </c>
      <c r="R54" s="20" t="n">
        <v>2.49442663</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(2374.0/B56*100)</f>
        <v/>
      </c>
      <c r="D56" s="19" t="n">
        <v>310</v>
      </c>
      <c r="E56" s="18" t="n">
        <v>49.2734614</v>
      </c>
      <c r="F56" s="20" t="n">
        <v>3.42925176</v>
      </c>
      <c r="G56" s="18" t="n">
        <v>42.48323394</v>
      </c>
      <c r="H56" s="20" t="n">
        <v>3.53832331</v>
      </c>
      <c r="I56" s="18" t="s">
        <v>567</v>
      </c>
      <c r="J56" s="20" t="s">
        <v>567</v>
      </c>
      <c r="K56" s="18" t="n">
        <v>0.27033511</v>
      </c>
      <c r="L56" s="20" t="n">
        <v>0.27673385</v>
      </c>
      <c r="M56" s="18" t="n">
        <v>0</v>
      </c>
      <c r="N56" s="20" t="n">
        <v>0</v>
      </c>
      <c r="O56" s="18" t="n">
        <v>0</v>
      </c>
      <c r="P56" s="20" t="n">
        <v>0</v>
      </c>
      <c r="Q56" s="18" t="n">
        <v>7.97296955</v>
      </c>
      <c r="R56" s="20" t="n">
        <v>1.70525914</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(2904.0/B61*100)</f>
        <v/>
      </c>
      <c r="D61" s="19" t="n">
        <v>420</v>
      </c>
      <c r="E61" s="18" t="n">
        <v>58.87658079</v>
      </c>
      <c r="F61" s="20" t="n">
        <v>2.32709827</v>
      </c>
      <c r="G61" s="18" t="n">
        <v>25.46680633</v>
      </c>
      <c r="H61" s="20" t="n">
        <v>2.34737286</v>
      </c>
      <c r="I61" s="18" t="s">
        <v>567</v>
      </c>
      <c r="J61" s="20" t="s">
        <v>567</v>
      </c>
      <c r="K61" s="18" t="n">
        <v>0.42845236</v>
      </c>
      <c r="L61" s="20" t="n">
        <v>0.32557282</v>
      </c>
      <c r="M61" s="18" t="n">
        <v>0</v>
      </c>
      <c r="N61" s="20" t="n">
        <v>0</v>
      </c>
      <c r="O61" s="18" t="n">
        <v>0</v>
      </c>
      <c r="P61" s="20" t="n">
        <v>0</v>
      </c>
      <c r="Q61" s="18" t="n">
        <v>15.22816053</v>
      </c>
      <c r="R61" s="20" t="n">
        <v>1.90180676</v>
      </c>
    </row>
    <row r="62" spans="1:18">
      <c r="A62" s="15" t="s">
        <v>622</v>
      </c>
      <c r="B62" s="17" t="n">
        <v>2246</v>
      </c>
      <c r="C62" s="18">
        <f>(1996.0/B62*100)</f>
        <v/>
      </c>
      <c r="D62" s="19" t="n">
        <v>250</v>
      </c>
      <c r="E62" s="18" t="n">
        <v>53.23178809</v>
      </c>
      <c r="F62" s="20" t="n">
        <v>3.13421041</v>
      </c>
      <c r="G62" s="18" t="n">
        <v>42.34743502</v>
      </c>
      <c r="H62" s="20" t="n">
        <v>3.17466384</v>
      </c>
      <c r="I62" s="18" t="s">
        <v>567</v>
      </c>
      <c r="J62" s="20" t="s">
        <v>567</v>
      </c>
      <c r="K62" s="18" t="n">
        <v>0.39776221</v>
      </c>
      <c r="L62" s="20" t="n">
        <v>0.40004312</v>
      </c>
      <c r="M62" s="18" t="n">
        <v>0</v>
      </c>
      <c r="N62" s="20" t="n">
        <v>0</v>
      </c>
      <c r="O62" s="18" t="n">
        <v>0</v>
      </c>
      <c r="P62" s="20" t="n">
        <v>0</v>
      </c>
      <c r="Q62" s="18" t="n">
        <v>4.02301468</v>
      </c>
      <c r="R62" s="20" t="n">
        <v>1.21659505</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(2560.0/B66*100)</f>
        <v/>
      </c>
      <c r="D66" s="19" t="n">
        <v>334</v>
      </c>
      <c r="E66" s="18" t="n">
        <v>46.4842678</v>
      </c>
      <c r="F66" s="20" t="n">
        <v>2.86684288</v>
      </c>
      <c r="G66" s="18" t="n">
        <v>14.16805405</v>
      </c>
      <c r="H66" s="20" t="n">
        <v>2.02687008</v>
      </c>
      <c r="I66" s="18" t="s">
        <v>567</v>
      </c>
      <c r="J66" s="20" t="s">
        <v>567</v>
      </c>
      <c r="K66" s="18" t="n">
        <v>3.69624538</v>
      </c>
      <c r="L66" s="20" t="n">
        <v>1.00284419</v>
      </c>
      <c r="M66" s="18" t="n">
        <v>0.59502011</v>
      </c>
      <c r="N66" s="20" t="n">
        <v>0.42506641</v>
      </c>
      <c r="O66" s="18" t="n">
        <v>0</v>
      </c>
      <c r="P66" s="20" t="n">
        <v>0</v>
      </c>
      <c r="Q66" s="18" t="n">
        <v>35.05641266</v>
      </c>
      <c r="R66" s="20" t="n">
        <v>2.65108432</v>
      </c>
    </row>
    <row r="67" spans="1:18">
      <c r="A67" s="15" t="s">
        <v>627</v>
      </c>
      <c r="B67" s="17" t="n">
        <v>3511</v>
      </c>
      <c r="C67" s="18">
        <f>(3173.0/B67*100)</f>
        <v/>
      </c>
      <c r="D67" s="19" t="n">
        <v>338</v>
      </c>
      <c r="E67" s="18" t="n">
        <v>74.49625330000001</v>
      </c>
      <c r="F67" s="20" t="n">
        <v>2.48381315</v>
      </c>
      <c r="G67" s="18" t="n">
        <v>17.10686491</v>
      </c>
      <c r="H67" s="20" t="n">
        <v>2.24067991</v>
      </c>
      <c r="I67" s="18" t="s">
        <v>567</v>
      </c>
      <c r="J67" s="20" t="s">
        <v>567</v>
      </c>
      <c r="K67" s="18" t="n">
        <v>0</v>
      </c>
      <c r="L67" s="20" t="n">
        <v>0</v>
      </c>
      <c r="M67" s="18" t="n">
        <v>0</v>
      </c>
      <c r="N67" s="20" t="n">
        <v>0</v>
      </c>
      <c r="O67" s="18" t="n">
        <v>0</v>
      </c>
      <c r="P67" s="20" t="n">
        <v>0</v>
      </c>
      <c r="Q67" s="18" t="n">
        <v>8.39688179</v>
      </c>
      <c r="R67" s="20" t="n">
        <v>1.62687808</v>
      </c>
    </row>
    <row r="68" spans="1:18">
      <c r="A68" s="15" t="s">
        <v>628</v>
      </c>
      <c r="B68" s="17" t="n">
        <v>6049</v>
      </c>
      <c r="C68" s="18">
        <f>(5387.0/B68*100)</f>
        <v/>
      </c>
      <c r="D68" s="19" t="n">
        <v>662</v>
      </c>
      <c r="E68" s="18" t="n">
        <v>62.61398683</v>
      </c>
      <c r="F68" s="20" t="n">
        <v>2.04585106</v>
      </c>
      <c r="G68" s="18" t="n">
        <v>14.8429817</v>
      </c>
      <c r="H68" s="20" t="n">
        <v>1.50570567</v>
      </c>
      <c r="I68" s="18" t="s">
        <v>567</v>
      </c>
      <c r="J68" s="20" t="s">
        <v>567</v>
      </c>
      <c r="K68" s="18" t="n">
        <v>3.16426822</v>
      </c>
      <c r="L68" s="20" t="n">
        <v>0.71211691</v>
      </c>
      <c r="M68" s="18" t="n">
        <v>0</v>
      </c>
      <c r="N68" s="20" t="n">
        <v>0</v>
      </c>
      <c r="O68" s="18" t="n">
        <v>0</v>
      </c>
      <c r="P68" s="20" t="n">
        <v>0</v>
      </c>
      <c r="Q68" s="18" t="n">
        <v>19.37876325</v>
      </c>
      <c r="R68" s="20" t="n">
        <v>1.57417723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(2615.0/B70*100)</f>
        <v/>
      </c>
      <c r="D70" s="19" t="n">
        <v>314</v>
      </c>
      <c r="E70" s="18" t="n">
        <v>47.94230628</v>
      </c>
      <c r="F70" s="20" t="n">
        <v>2.45929719</v>
      </c>
      <c r="G70" s="18" t="n">
        <v>29.89955502</v>
      </c>
      <c r="H70" s="20" t="n">
        <v>2.71432926</v>
      </c>
      <c r="I70" s="18" t="s">
        <v>567</v>
      </c>
      <c r="J70" s="20" t="s">
        <v>567</v>
      </c>
      <c r="K70" s="18" t="n">
        <v>0.7497565</v>
      </c>
      <c r="L70" s="20" t="n">
        <v>0.39901836</v>
      </c>
      <c r="M70" s="18" t="n">
        <v>0.35862125</v>
      </c>
      <c r="N70" s="20" t="n">
        <v>0.50954347</v>
      </c>
      <c r="O70" s="18" t="n">
        <v>0</v>
      </c>
      <c r="P70" s="20" t="n">
        <v>0</v>
      </c>
      <c r="Q70" s="18" t="n">
        <v>21.04976096</v>
      </c>
      <c r="R70" s="20" t="n">
        <v>2.30517257</v>
      </c>
    </row>
    <row r="71" spans="1:18">
      <c r="A71" s="15" t="s">
        <v>631</v>
      </c>
      <c r="B71" s="17" t="n">
        <v>3142</v>
      </c>
      <c r="C71" s="18">
        <f>(2786.0/B71*100)</f>
        <v/>
      </c>
      <c r="D71" s="19" t="n">
        <v>356</v>
      </c>
      <c r="E71" s="18" t="n">
        <v>44.57641035</v>
      </c>
      <c r="F71" s="20" t="n">
        <v>3.10470825</v>
      </c>
      <c r="G71" s="18" t="n">
        <v>49.07692681</v>
      </c>
      <c r="H71" s="20" t="n">
        <v>2.83610153</v>
      </c>
      <c r="I71" s="18" t="s">
        <v>567</v>
      </c>
      <c r="J71" s="20" t="s">
        <v>567</v>
      </c>
      <c r="K71" s="18" t="n">
        <v>0.29385504</v>
      </c>
      <c r="L71" s="20" t="n">
        <v>0.28960227</v>
      </c>
      <c r="M71" s="18" t="n">
        <v>0</v>
      </c>
      <c r="N71" s="20" t="n">
        <v>0</v>
      </c>
      <c r="O71" s="18" t="n">
        <v>0</v>
      </c>
      <c r="P71" s="20" t="n">
        <v>0</v>
      </c>
      <c r="Q71" s="18" t="n">
        <v>6.05280781</v>
      </c>
      <c r="R71" s="20" t="n">
        <v>1.23377655</v>
      </c>
    </row>
    <row r="72" spans="1:18">
      <c r="A72" s="15" t="s">
        <v>632</v>
      </c>
      <c r="B72" s="17" t="n">
        <v>3889</v>
      </c>
      <c r="C72" s="18">
        <f>(3434.0/B72*100)</f>
        <v/>
      </c>
      <c r="D72" s="19" t="n">
        <v>455</v>
      </c>
      <c r="E72" s="18" t="n">
        <v>37.66926213</v>
      </c>
      <c r="F72" s="20" t="n">
        <v>2.7267057</v>
      </c>
      <c r="G72" s="18" t="n">
        <v>53.96123525</v>
      </c>
      <c r="H72" s="20" t="n">
        <v>2.76522117</v>
      </c>
      <c r="I72" s="18" t="s">
        <v>567</v>
      </c>
      <c r="J72" s="20" t="s">
        <v>567</v>
      </c>
      <c r="K72" s="18" t="n">
        <v>0.88395379</v>
      </c>
      <c r="L72" s="20" t="n">
        <v>0.45813438</v>
      </c>
      <c r="M72" s="18" t="n">
        <v>0</v>
      </c>
      <c r="N72" s="20" t="n">
        <v>0</v>
      </c>
      <c r="O72" s="18" t="n">
        <v>0</v>
      </c>
      <c r="P72" s="20" t="n">
        <v>0</v>
      </c>
      <c r="Q72" s="18" t="n">
        <v>7.48554883</v>
      </c>
      <c r="R72" s="20" t="n">
        <v>1.29962877</v>
      </c>
    </row>
    <row r="73" spans="1:18">
      <c r="A73" s="15" t="s">
        <v>633</v>
      </c>
      <c r="B73" s="17" t="n">
        <v>3597</v>
      </c>
      <c r="C73" s="18">
        <f>(3202.0/B73*100)</f>
        <v/>
      </c>
      <c r="D73" s="19" t="n">
        <v>395</v>
      </c>
      <c r="E73" s="18" t="n">
        <v>96.53735181</v>
      </c>
      <c r="F73" s="20" t="n">
        <v>1.11900365</v>
      </c>
      <c r="G73" s="18" t="n">
        <v>0.6875051599999999</v>
      </c>
      <c r="H73" s="20" t="n">
        <v>0.43341115</v>
      </c>
      <c r="I73" s="18" t="s">
        <v>567</v>
      </c>
      <c r="J73" s="20" t="s">
        <v>567</v>
      </c>
      <c r="K73" s="18" t="n">
        <v>0.24897591</v>
      </c>
      <c r="L73" s="20" t="n">
        <v>0.18551108</v>
      </c>
      <c r="M73" s="18" t="n">
        <v>0</v>
      </c>
      <c r="N73" s="20" t="n">
        <v>0</v>
      </c>
      <c r="O73" s="18" t="n">
        <v>0</v>
      </c>
      <c r="P73" s="20" t="n">
        <v>0</v>
      </c>
      <c r="Q73" s="18" t="n">
        <v>2.52616712</v>
      </c>
      <c r="R73" s="20" t="n">
        <v>0.99309958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(2168.0/B75*100)</f>
        <v/>
      </c>
      <c r="D75" s="19" t="n">
        <v>238</v>
      </c>
      <c r="E75" s="18" t="n">
        <v>55.01550888</v>
      </c>
      <c r="F75" s="20" t="n">
        <v>3.29539316</v>
      </c>
      <c r="G75" s="18" t="n">
        <v>16.29423903</v>
      </c>
      <c r="H75" s="20" t="n">
        <v>2.49889747</v>
      </c>
      <c r="I75" s="18" t="s">
        <v>567</v>
      </c>
      <c r="J75" s="20" t="s">
        <v>567</v>
      </c>
      <c r="K75" s="18" t="n">
        <v>5.76375227</v>
      </c>
      <c r="L75" s="20" t="n">
        <v>1.32889547</v>
      </c>
      <c r="M75" s="18" t="n">
        <v>0.98832978</v>
      </c>
      <c r="N75" s="20" t="n">
        <v>0.69582609</v>
      </c>
      <c r="O75" s="18" t="n">
        <v>0</v>
      </c>
      <c r="P75" s="20" t="n">
        <v>0</v>
      </c>
      <c r="Q75" s="18" t="n">
        <v>21.93817004</v>
      </c>
      <c r="R75" s="20" t="n">
        <v>2.78600127</v>
      </c>
    </row>
    <row r="76" spans="1:18">
      <c r="A76" s="15" t="s">
        <v>636</v>
      </c>
      <c r="B76" s="17" t="n">
        <v>7052</v>
      </c>
      <c r="C76" s="18">
        <f>(6269.0/B76*100)</f>
        <v/>
      </c>
      <c r="D76" s="19" t="n">
        <v>783</v>
      </c>
      <c r="E76" s="18" t="n">
        <v>64.14641899</v>
      </c>
      <c r="F76" s="20" t="n">
        <v>2.05223791</v>
      </c>
      <c r="G76" s="18" t="n">
        <v>21.83805895</v>
      </c>
      <c r="H76" s="20" t="n">
        <v>1.77478044</v>
      </c>
      <c r="I76" s="18" t="s">
        <v>567</v>
      </c>
      <c r="J76" s="20" t="s">
        <v>567</v>
      </c>
      <c r="K76" s="18" t="n">
        <v>1.60610849</v>
      </c>
      <c r="L76" s="20" t="n">
        <v>0.55064091</v>
      </c>
      <c r="M76" s="18" t="n">
        <v>0</v>
      </c>
      <c r="N76" s="20" t="n">
        <v>0</v>
      </c>
      <c r="O76" s="18" t="n">
        <v>0</v>
      </c>
      <c r="P76" s="20" t="n">
        <v>0</v>
      </c>
      <c r="Q76" s="18" t="n">
        <v>12.40941357</v>
      </c>
      <c r="R76" s="20" t="n">
        <v>1.42399718</v>
      </c>
    </row>
    <row r="77" spans="1:18">
      <c r="A77" s="15" t="s">
        <v>637</v>
      </c>
      <c r="B77" s="17" t="n">
        <v>2908</v>
      </c>
      <c r="C77" s="18">
        <f>(2592.0/B77*100)</f>
        <v/>
      </c>
      <c r="D77" s="19" t="n">
        <v>316</v>
      </c>
      <c r="E77" s="18" t="n">
        <v>52.4712325</v>
      </c>
      <c r="F77" s="20" t="n">
        <v>3.06845901</v>
      </c>
      <c r="G77" s="18" t="n">
        <v>18.40430292</v>
      </c>
      <c r="H77" s="20" t="n">
        <v>2.15811034</v>
      </c>
      <c r="I77" s="18" t="s">
        <v>567</v>
      </c>
      <c r="J77" s="20" t="s">
        <v>567</v>
      </c>
      <c r="K77" s="18" t="n">
        <v>4.44789619</v>
      </c>
      <c r="L77" s="20" t="n">
        <v>1.28475685</v>
      </c>
      <c r="M77" s="18" t="n">
        <v>0</v>
      </c>
      <c r="N77" s="20" t="n">
        <v>0</v>
      </c>
      <c r="O77" s="18" t="n">
        <v>0</v>
      </c>
      <c r="P77" s="20" t="n">
        <v>0</v>
      </c>
      <c r="Q77" s="18" t="n">
        <v>24.67656839</v>
      </c>
      <c r="R77" s="20" t="n">
        <v>2.64645332</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(3682.0/B81*100)</f>
        <v/>
      </c>
      <c r="D81" s="19" t="n">
        <v>481</v>
      </c>
      <c r="E81" s="18" t="n">
        <v>61.85927014</v>
      </c>
      <c r="F81" s="20" t="n">
        <v>2.94753075</v>
      </c>
      <c r="G81" s="18" t="n">
        <v>33.71648243</v>
      </c>
      <c r="H81" s="20" t="n">
        <v>2.74692438</v>
      </c>
      <c r="I81" s="18" t="s">
        <v>567</v>
      </c>
      <c r="J81" s="20" t="s">
        <v>567</v>
      </c>
      <c r="K81" s="18" t="n">
        <v>0</v>
      </c>
      <c r="L81" s="20" t="n">
        <v>0</v>
      </c>
      <c r="M81" s="18" t="n">
        <v>0.30356251</v>
      </c>
      <c r="N81" s="20" t="n">
        <v>0.29417251</v>
      </c>
      <c r="O81" s="18" t="n">
        <v>0</v>
      </c>
      <c r="P81" s="20" t="n">
        <v>0</v>
      </c>
      <c r="Q81" s="18" t="n">
        <v>4.12068491</v>
      </c>
      <c r="R81" s="20" t="n">
        <v>1.14801299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(6540.0/B7*100)</f>
        <v/>
      </c>
      <c r="D7" s="19" t="n">
        <v>827</v>
      </c>
      <c r="E7" s="18" t="n">
        <v>47.05296535</v>
      </c>
      <c r="F7" s="20" t="n">
        <v>2.01108112</v>
      </c>
      <c r="G7" s="18" t="n">
        <v>51.30523678</v>
      </c>
      <c r="H7" s="20" t="n">
        <v>1.98054971</v>
      </c>
      <c r="I7" s="18" t="s">
        <v>567</v>
      </c>
      <c r="J7" s="20" t="s">
        <v>567</v>
      </c>
      <c r="K7" s="18" t="n">
        <v>1.64179787</v>
      </c>
      <c r="L7" s="20" t="n">
        <v>0.50639167</v>
      </c>
      <c r="M7" s="18" t="n">
        <v>0</v>
      </c>
      <c r="N7" s="20" t="n">
        <v>0</v>
      </c>
      <c r="O7" s="18" t="n">
        <v>0</v>
      </c>
      <c r="P7" s="20" t="n">
        <v>0</v>
      </c>
      <c r="Q7" s="18" t="n">
        <v>0</v>
      </c>
      <c r="R7" s="20" t="n">
        <v>0</v>
      </c>
    </row>
    <row r="8" spans="1:18">
      <c r="A8" s="15" t="s">
        <v>568</v>
      </c>
      <c r="B8" s="17" t="n">
        <v>3564</v>
      </c>
      <c r="C8" s="18">
        <f>(3142.0/B8*100)</f>
        <v/>
      </c>
      <c r="D8" s="19" t="n">
        <v>422</v>
      </c>
      <c r="E8" s="18" t="n">
        <v>35.71262352</v>
      </c>
      <c r="F8" s="20" t="n">
        <v>2.43048451</v>
      </c>
      <c r="G8" s="18" t="n">
        <v>62.6952527</v>
      </c>
      <c r="H8" s="20" t="n">
        <v>2.53014748</v>
      </c>
      <c r="I8" s="18" t="s">
        <v>567</v>
      </c>
      <c r="J8" s="20" t="s">
        <v>567</v>
      </c>
      <c r="K8" s="18" t="n">
        <v>1.59212378</v>
      </c>
      <c r="L8" s="20" t="n">
        <v>0.69793295</v>
      </c>
      <c r="M8" s="18" t="n">
        <v>0</v>
      </c>
      <c r="N8" s="20" t="n">
        <v>0</v>
      </c>
      <c r="O8" s="18" t="n">
        <v>0</v>
      </c>
      <c r="P8" s="20" t="n">
        <v>0</v>
      </c>
      <c r="Q8" s="18" t="n">
        <v>0</v>
      </c>
      <c r="R8" s="20" t="n">
        <v>0</v>
      </c>
    </row>
    <row r="9" spans="1:18">
      <c r="A9" s="15" t="s">
        <v>569</v>
      </c>
      <c r="B9" s="17" t="n">
        <v>4899</v>
      </c>
      <c r="C9" s="18">
        <f>(4380.0/B9*100)</f>
        <v/>
      </c>
      <c r="D9" s="19" t="n">
        <v>519</v>
      </c>
      <c r="E9" s="18" t="n">
        <v>39.46295559</v>
      </c>
      <c r="F9" s="20" t="n">
        <v>2.53515629</v>
      </c>
      <c r="G9" s="18" t="n">
        <v>58.53010718</v>
      </c>
      <c r="H9" s="20" t="n">
        <v>2.46672606</v>
      </c>
      <c r="I9" s="18" t="s">
        <v>567</v>
      </c>
      <c r="J9" s="20" t="s">
        <v>567</v>
      </c>
      <c r="K9" s="18" t="n">
        <v>2.00693723</v>
      </c>
      <c r="L9" s="20" t="n">
        <v>0.66890196</v>
      </c>
      <c r="M9" s="18" t="n">
        <v>0</v>
      </c>
      <c r="N9" s="20" t="n">
        <v>0</v>
      </c>
      <c r="O9" s="18" t="n">
        <v>0</v>
      </c>
      <c r="P9" s="20" t="n">
        <v>0</v>
      </c>
      <c r="Q9" s="18" t="n">
        <v>0</v>
      </c>
      <c r="R9" s="20" t="n">
        <v>0</v>
      </c>
    </row>
    <row r="10" spans="1:18">
      <c r="A10" s="15" t="s">
        <v>570</v>
      </c>
      <c r="B10" s="17" t="n">
        <v>10036</v>
      </c>
      <c r="C10" s="18">
        <f>(8974.0/B10*100)</f>
        <v/>
      </c>
      <c r="D10" s="19" t="n">
        <v>1062</v>
      </c>
      <c r="E10" s="18" t="n">
        <v>40.81250845</v>
      </c>
      <c r="F10" s="20" t="n">
        <v>2.08996933</v>
      </c>
      <c r="G10" s="18" t="n">
        <v>58.28381228</v>
      </c>
      <c r="H10" s="20" t="n">
        <v>2.06919143</v>
      </c>
      <c r="I10" s="18" t="s">
        <v>567</v>
      </c>
      <c r="J10" s="20" t="s">
        <v>567</v>
      </c>
      <c r="K10" s="18" t="n">
        <v>0.90367927</v>
      </c>
      <c r="L10" s="20" t="n">
        <v>0.41226829</v>
      </c>
      <c r="M10" s="18" t="n">
        <v>0</v>
      </c>
      <c r="N10" s="20" t="n">
        <v>0</v>
      </c>
      <c r="O10" s="18" t="n">
        <v>0</v>
      </c>
      <c r="P10" s="20" t="n">
        <v>0</v>
      </c>
      <c r="Q10" s="18" t="n">
        <v>0</v>
      </c>
      <c r="R10" s="20" t="n">
        <v>0</v>
      </c>
    </row>
    <row r="11" spans="1:18">
      <c r="A11" s="15" t="s">
        <v>571</v>
      </c>
      <c r="B11" s="17" t="n">
        <v>3553</v>
      </c>
      <c r="C11" s="18">
        <f>(3177.0/B11*100)</f>
        <v/>
      </c>
      <c r="D11" s="19" t="n">
        <v>376</v>
      </c>
      <c r="E11" s="18" t="n">
        <v>67.26729732</v>
      </c>
      <c r="F11" s="20" t="n">
        <v>2.39697172</v>
      </c>
      <c r="G11" s="18" t="n">
        <v>28.38304651</v>
      </c>
      <c r="H11" s="20" t="n">
        <v>2.58210878</v>
      </c>
      <c r="I11" s="18" t="s">
        <v>567</v>
      </c>
      <c r="J11" s="20" t="s">
        <v>567</v>
      </c>
      <c r="K11" s="18" t="n">
        <v>4.34965618</v>
      </c>
      <c r="L11" s="20" t="n">
        <v>1.20292118</v>
      </c>
      <c r="M11" s="18" t="n">
        <v>0</v>
      </c>
      <c r="N11" s="20" t="n">
        <v>0</v>
      </c>
      <c r="O11" s="18" t="n">
        <v>0</v>
      </c>
      <c r="P11" s="20" t="n">
        <v>0</v>
      </c>
      <c r="Q11" s="18" t="n">
        <v>0</v>
      </c>
      <c r="R11" s="20" t="n">
        <v>0</v>
      </c>
    </row>
    <row r="12" spans="1:18">
      <c r="A12" s="15" t="s">
        <v>572</v>
      </c>
      <c r="B12" s="17" t="n">
        <v>3472</v>
      </c>
      <c r="C12" s="18">
        <f>(3095.0/B12*100)</f>
        <v/>
      </c>
      <c r="D12" s="19" t="n">
        <v>377</v>
      </c>
      <c r="E12" s="18" t="n">
        <v>43.4000102</v>
      </c>
      <c r="F12" s="20" t="n">
        <v>2.90930607</v>
      </c>
      <c r="G12" s="18" t="n">
        <v>56.5999898</v>
      </c>
      <c r="H12" s="20" t="n">
        <v>2.90930607</v>
      </c>
      <c r="I12" s="18" t="s">
        <v>567</v>
      </c>
      <c r="J12" s="20" t="s">
        <v>567</v>
      </c>
      <c r="K12" s="18" t="n">
        <v>0</v>
      </c>
      <c r="L12" s="20" t="n">
        <v>0</v>
      </c>
      <c r="M12" s="18" t="n">
        <v>0</v>
      </c>
      <c r="N12" s="20" t="n">
        <v>0</v>
      </c>
      <c r="O12" s="18" t="n">
        <v>0</v>
      </c>
      <c r="P12" s="20" t="n">
        <v>0</v>
      </c>
      <c r="Q12" s="18" t="n">
        <v>0</v>
      </c>
      <c r="R12" s="20" t="n">
        <v>0</v>
      </c>
    </row>
    <row r="13" spans="1:18">
      <c r="A13" s="15" t="s">
        <v>573</v>
      </c>
      <c r="B13" s="17" t="n">
        <v>3559</v>
      </c>
      <c r="C13" s="18">
        <f>(3159.0/B13*100)</f>
        <v/>
      </c>
      <c r="D13" s="19" t="n">
        <v>400</v>
      </c>
      <c r="E13" s="18" t="n">
        <v>38.72310063</v>
      </c>
      <c r="F13" s="20" t="n">
        <v>2.85372918</v>
      </c>
      <c r="G13" s="18" t="n">
        <v>59.52348997</v>
      </c>
      <c r="H13" s="20" t="n">
        <v>3.01104913</v>
      </c>
      <c r="I13" s="18" t="s">
        <v>567</v>
      </c>
      <c r="J13" s="20" t="s">
        <v>567</v>
      </c>
      <c r="K13" s="18" t="n">
        <v>1.7534094</v>
      </c>
      <c r="L13" s="20" t="n">
        <v>0.77090664</v>
      </c>
      <c r="M13" s="18" t="n">
        <v>0</v>
      </c>
      <c r="N13" s="20" t="n">
        <v>0</v>
      </c>
      <c r="O13" s="18" t="n">
        <v>0</v>
      </c>
      <c r="P13" s="20" t="n">
        <v>0</v>
      </c>
      <c r="Q13" s="18" t="n">
        <v>0</v>
      </c>
      <c r="R13" s="20" t="n">
        <v>0</v>
      </c>
    </row>
    <row r="14" spans="1:18">
      <c r="A14" s="15" t="s">
        <v>574</v>
      </c>
      <c r="B14" s="17" t="n">
        <v>2799</v>
      </c>
      <c r="C14" s="18">
        <f>(2506.0/B14*100)</f>
        <v/>
      </c>
      <c r="D14" s="19" t="n">
        <v>293</v>
      </c>
      <c r="E14" s="18" t="n">
        <v>33.24376201</v>
      </c>
      <c r="F14" s="20" t="n">
        <v>3.27335951</v>
      </c>
      <c r="G14" s="18" t="n">
        <v>66.14349335</v>
      </c>
      <c r="H14" s="20" t="n">
        <v>3.34534633</v>
      </c>
      <c r="I14" s="18" t="s">
        <v>567</v>
      </c>
      <c r="J14" s="20" t="s">
        <v>567</v>
      </c>
      <c r="K14" s="18" t="n">
        <v>0.61274464</v>
      </c>
      <c r="L14" s="20" t="n">
        <v>0.43950268</v>
      </c>
      <c r="M14" s="18" t="n">
        <v>0</v>
      </c>
      <c r="N14" s="20" t="n">
        <v>0</v>
      </c>
      <c r="O14" s="18" t="n">
        <v>0</v>
      </c>
      <c r="P14" s="20" t="n">
        <v>0</v>
      </c>
      <c r="Q14" s="18" t="n">
        <v>0</v>
      </c>
      <c r="R14" s="20" t="n">
        <v>0</v>
      </c>
    </row>
    <row r="15" spans="1:18">
      <c r="A15" s="15" t="s">
        <v>575</v>
      </c>
      <c r="B15" s="17" t="n">
        <v>3019</v>
      </c>
      <c r="C15" s="18">
        <f>(2708.0/B15*100)</f>
        <v/>
      </c>
      <c r="D15" s="19" t="n">
        <v>311</v>
      </c>
      <c r="E15" s="18" t="n">
        <v>54.5458119</v>
      </c>
      <c r="F15" s="20" t="n">
        <v>3.04129251</v>
      </c>
      <c r="G15" s="18" t="n">
        <v>44.23074353</v>
      </c>
      <c r="H15" s="20" t="n">
        <v>3.11840764</v>
      </c>
      <c r="I15" s="18" t="s">
        <v>567</v>
      </c>
      <c r="J15" s="20" t="s">
        <v>567</v>
      </c>
      <c r="K15" s="18" t="n">
        <v>1.22344456</v>
      </c>
      <c r="L15" s="20" t="n">
        <v>0.60071021</v>
      </c>
      <c r="M15" s="18" t="n">
        <v>0</v>
      </c>
      <c r="N15" s="20" t="n">
        <v>0</v>
      </c>
      <c r="O15" s="18" t="n">
        <v>0</v>
      </c>
      <c r="P15" s="20" t="n">
        <v>0</v>
      </c>
      <c r="Q15" s="18" t="n">
        <v>0</v>
      </c>
      <c r="R15" s="20" t="n">
        <v>0</v>
      </c>
    </row>
    <row r="16" spans="1:18">
      <c r="A16" s="15" t="s">
        <v>576</v>
      </c>
      <c r="B16" s="17" t="n">
        <v>2997</v>
      </c>
      <c r="C16" s="18">
        <f>(2683.0/B16*100)</f>
        <v/>
      </c>
      <c r="D16" s="19" t="n">
        <v>314</v>
      </c>
      <c r="E16" s="18" t="n">
        <v>48.40002038</v>
      </c>
      <c r="F16" s="20" t="n">
        <v>2.77652673</v>
      </c>
      <c r="G16" s="18" t="n">
        <v>46.7241897</v>
      </c>
      <c r="H16" s="20" t="n">
        <v>2.79456408</v>
      </c>
      <c r="I16" s="18" t="s">
        <v>567</v>
      </c>
      <c r="J16" s="20" t="s">
        <v>567</v>
      </c>
      <c r="K16" s="18" t="n">
        <v>4.87578992</v>
      </c>
      <c r="L16" s="20" t="n">
        <v>1.07685382</v>
      </c>
      <c r="M16" s="18" t="n">
        <v>0</v>
      </c>
      <c r="N16" s="20" t="n">
        <v>0</v>
      </c>
      <c r="O16" s="18" t="n">
        <v>0</v>
      </c>
      <c r="P16" s="20" t="n">
        <v>0</v>
      </c>
      <c r="Q16" s="18" t="n">
        <v>0</v>
      </c>
      <c r="R16" s="20" t="n">
        <v>0</v>
      </c>
    </row>
    <row r="17" spans="1:18">
      <c r="A17" s="15" t="s">
        <v>577</v>
      </c>
      <c r="B17" s="17" t="n">
        <v>3307</v>
      </c>
      <c r="C17" s="18">
        <f>(2961.0/B17*100)</f>
        <v/>
      </c>
      <c r="D17" s="19" t="n">
        <v>346</v>
      </c>
      <c r="E17" s="18" t="n">
        <v>40.59364139</v>
      </c>
      <c r="F17" s="20" t="n">
        <v>2.80624058</v>
      </c>
      <c r="G17" s="18" t="n">
        <v>58.63144963</v>
      </c>
      <c r="H17" s="20" t="n">
        <v>2.80716272</v>
      </c>
      <c r="I17" s="18" t="s">
        <v>567</v>
      </c>
      <c r="J17" s="20" t="s">
        <v>567</v>
      </c>
      <c r="K17" s="18" t="n">
        <v>0.77490898</v>
      </c>
      <c r="L17" s="20" t="n">
        <v>0.48816849</v>
      </c>
      <c r="M17" s="18" t="n">
        <v>0</v>
      </c>
      <c r="N17" s="20" t="n">
        <v>0</v>
      </c>
      <c r="O17" s="18" t="n">
        <v>0</v>
      </c>
      <c r="P17" s="20" t="n">
        <v>0</v>
      </c>
      <c r="Q17" s="18" t="n">
        <v>0</v>
      </c>
      <c r="R17" s="20" t="n">
        <v>0</v>
      </c>
    </row>
    <row r="18" spans="1:18">
      <c r="A18" s="15" t="s">
        <v>578</v>
      </c>
      <c r="B18" s="17" t="n">
        <v>2826</v>
      </c>
      <c r="C18" s="18">
        <f>(2506.0/B18*100)</f>
        <v/>
      </c>
      <c r="D18" s="19" t="n">
        <v>320</v>
      </c>
      <c r="E18" s="18" t="n">
        <v>57.93810104</v>
      </c>
      <c r="F18" s="20" t="n">
        <v>2.94951846</v>
      </c>
      <c r="G18" s="18" t="n">
        <v>40.85638419</v>
      </c>
      <c r="H18" s="20" t="n">
        <v>2.94052137</v>
      </c>
      <c r="I18" s="18" t="s">
        <v>567</v>
      </c>
      <c r="J18" s="20" t="s">
        <v>567</v>
      </c>
      <c r="K18" s="18" t="n">
        <v>1.20551477</v>
      </c>
      <c r="L18" s="20" t="n">
        <v>0.61556783</v>
      </c>
      <c r="M18" s="18" t="n">
        <v>0</v>
      </c>
      <c r="N18" s="20" t="n">
        <v>0</v>
      </c>
      <c r="O18" s="18" t="n">
        <v>0</v>
      </c>
      <c r="P18" s="20" t="n">
        <v>0</v>
      </c>
      <c r="Q18" s="18" t="n">
        <v>0</v>
      </c>
      <c r="R18" s="20" t="n">
        <v>0</v>
      </c>
    </row>
    <row r="19" spans="1:18">
      <c r="A19" s="15" t="s">
        <v>579</v>
      </c>
      <c r="B19" s="17" t="n">
        <v>2808</v>
      </c>
      <c r="C19" s="18">
        <f>(2484.0/B19*100)</f>
        <v/>
      </c>
      <c r="D19" s="19" t="n">
        <v>324</v>
      </c>
      <c r="E19" s="18" t="n">
        <v>40.96860155</v>
      </c>
      <c r="F19" s="20" t="n">
        <v>2.92061868</v>
      </c>
      <c r="G19" s="18" t="n">
        <v>57.07800536</v>
      </c>
      <c r="H19" s="20" t="n">
        <v>3.16211555</v>
      </c>
      <c r="I19" s="18" t="s">
        <v>567</v>
      </c>
      <c r="J19" s="20" t="s">
        <v>567</v>
      </c>
      <c r="K19" s="18" t="n">
        <v>1.95339309</v>
      </c>
      <c r="L19" s="20" t="n">
        <v>1.05696826</v>
      </c>
      <c r="M19" s="18" t="n">
        <v>0</v>
      </c>
      <c r="N19" s="20" t="n">
        <v>0</v>
      </c>
      <c r="O19" s="18" t="n">
        <v>0</v>
      </c>
      <c r="P19" s="20" t="n">
        <v>0</v>
      </c>
      <c r="Q19" s="18" t="n">
        <v>0</v>
      </c>
      <c r="R19" s="20" t="n">
        <v>0</v>
      </c>
    </row>
    <row r="20" spans="1:18">
      <c r="A20" s="15" t="s">
        <v>580</v>
      </c>
      <c r="B20" s="17" t="n">
        <v>1630</v>
      </c>
      <c r="C20" s="18">
        <f>(1444.0/B20*100)</f>
        <v/>
      </c>
      <c r="D20" s="19" t="n">
        <v>186</v>
      </c>
      <c r="E20" s="18" t="n">
        <v>45.70727095</v>
      </c>
      <c r="F20" s="20" t="n">
        <v>3.75023506</v>
      </c>
      <c r="G20" s="18" t="n">
        <v>51.15360748</v>
      </c>
      <c r="H20" s="20" t="n">
        <v>3.91131048</v>
      </c>
      <c r="I20" s="18" t="s">
        <v>567</v>
      </c>
      <c r="J20" s="20" t="s">
        <v>567</v>
      </c>
      <c r="K20" s="18" t="n">
        <v>3.13912157</v>
      </c>
      <c r="L20" s="20" t="n">
        <v>1.34986715</v>
      </c>
      <c r="M20" s="18" t="n">
        <v>0</v>
      </c>
      <c r="N20" s="20" t="n">
        <v>0</v>
      </c>
      <c r="O20" s="18" t="n">
        <v>0</v>
      </c>
      <c r="P20" s="20" t="n">
        <v>0</v>
      </c>
      <c r="Q20" s="18" t="n">
        <v>0</v>
      </c>
      <c r="R20" s="20" t="n">
        <v>0</v>
      </c>
    </row>
    <row r="21" spans="1:18">
      <c r="A21" s="15" t="s">
        <v>581</v>
      </c>
      <c r="B21" s="17" t="n">
        <v>2908</v>
      </c>
      <c r="C21" s="18">
        <f>(2599.0/B21*100)</f>
        <v/>
      </c>
      <c r="D21" s="19" t="n">
        <v>309</v>
      </c>
      <c r="E21" s="18" t="n">
        <v>50.83561777</v>
      </c>
      <c r="F21" s="20" t="n">
        <v>3.34628615</v>
      </c>
      <c r="G21" s="18" t="n">
        <v>48.55601501</v>
      </c>
      <c r="H21" s="20" t="n">
        <v>3.38215341</v>
      </c>
      <c r="I21" s="18" t="s">
        <v>567</v>
      </c>
      <c r="J21" s="20" t="s">
        <v>567</v>
      </c>
      <c r="K21" s="18" t="n">
        <v>0.60836722</v>
      </c>
      <c r="L21" s="20" t="n">
        <v>0.50883177</v>
      </c>
      <c r="M21" s="18" t="n">
        <v>0</v>
      </c>
      <c r="N21" s="20" t="n">
        <v>0</v>
      </c>
      <c r="O21" s="18" t="n">
        <v>0</v>
      </c>
      <c r="P21" s="20" t="n">
        <v>0</v>
      </c>
      <c r="Q21" s="18" t="n">
        <v>0</v>
      </c>
      <c r="R21" s="20" t="n">
        <v>0</v>
      </c>
    </row>
    <row r="22" spans="1:18">
      <c r="A22" s="15" t="s">
        <v>582</v>
      </c>
      <c r="B22" s="17" t="n">
        <v>2931</v>
      </c>
      <c r="C22" s="18">
        <f>(2607.0/B22*100)</f>
        <v/>
      </c>
      <c r="D22" s="19" t="n">
        <v>324</v>
      </c>
      <c r="E22" s="18" t="n">
        <v>57.68680621</v>
      </c>
      <c r="F22" s="20" t="n">
        <v>2.23887787</v>
      </c>
      <c r="G22" s="18" t="n">
        <v>37.08129528</v>
      </c>
      <c r="H22" s="20" t="n">
        <v>2.30100038</v>
      </c>
      <c r="I22" s="18" t="s">
        <v>567</v>
      </c>
      <c r="J22" s="20" t="s">
        <v>567</v>
      </c>
      <c r="K22" s="18" t="n">
        <v>5.23189852</v>
      </c>
      <c r="L22" s="20" t="n">
        <v>1.29063701</v>
      </c>
      <c r="M22" s="18" t="n">
        <v>0</v>
      </c>
      <c r="N22" s="20" t="n">
        <v>0</v>
      </c>
      <c r="O22" s="18" t="n">
        <v>0</v>
      </c>
      <c r="P22" s="20" t="n">
        <v>0</v>
      </c>
      <c r="Q22" s="18" t="n">
        <v>0</v>
      </c>
      <c r="R22" s="20" t="n">
        <v>0</v>
      </c>
    </row>
    <row r="23" spans="1:18">
      <c r="A23" s="15" t="s">
        <v>583</v>
      </c>
      <c r="B23" s="17" t="n">
        <v>5791</v>
      </c>
      <c r="C23" s="18">
        <f>(5146.0/B23*100)</f>
        <v/>
      </c>
      <c r="D23" s="19" t="n">
        <v>645</v>
      </c>
      <c r="E23" s="18" t="n">
        <v>44.10455682</v>
      </c>
      <c r="F23" s="20" t="n">
        <v>2.4887756</v>
      </c>
      <c r="G23" s="18" t="n">
        <v>53.52907718</v>
      </c>
      <c r="H23" s="20" t="n">
        <v>2.47461746</v>
      </c>
      <c r="I23" s="18" t="s">
        <v>567</v>
      </c>
      <c r="J23" s="20" t="s">
        <v>567</v>
      </c>
      <c r="K23" s="18" t="n">
        <v>2.366366</v>
      </c>
      <c r="L23" s="20" t="n">
        <v>0.62719157</v>
      </c>
      <c r="M23" s="18" t="n">
        <v>0</v>
      </c>
      <c r="N23" s="20" t="n">
        <v>0</v>
      </c>
      <c r="O23" s="18" t="n">
        <v>0</v>
      </c>
      <c r="P23" s="20" t="n">
        <v>0</v>
      </c>
      <c r="Q23" s="18" t="n">
        <v>0</v>
      </c>
      <c r="R23" s="20" t="n">
        <v>0</v>
      </c>
    </row>
    <row r="24" spans="1:18">
      <c r="A24" s="15" t="s">
        <v>584</v>
      </c>
      <c r="B24" s="17" t="n">
        <v>3338</v>
      </c>
      <c r="C24" s="18">
        <f>(2969.0/B24*100)</f>
        <v/>
      </c>
      <c r="D24" s="19" t="n">
        <v>369</v>
      </c>
      <c r="E24" s="18" t="n">
        <v>30.93628847</v>
      </c>
      <c r="F24" s="20" t="n">
        <v>2.6706145</v>
      </c>
      <c r="G24" s="18" t="n">
        <v>68.77201178</v>
      </c>
      <c r="H24" s="20" t="n">
        <v>2.65393892</v>
      </c>
      <c r="I24" s="18" t="s">
        <v>567</v>
      </c>
      <c r="J24" s="20" t="s">
        <v>567</v>
      </c>
      <c r="K24" s="18" t="n">
        <v>0.29169975</v>
      </c>
      <c r="L24" s="20" t="n">
        <v>0.28581838</v>
      </c>
      <c r="M24" s="18" t="n">
        <v>0</v>
      </c>
      <c r="N24" s="20" t="n">
        <v>0</v>
      </c>
      <c r="O24" s="18" t="n">
        <v>0</v>
      </c>
      <c r="P24" s="20" t="n">
        <v>0</v>
      </c>
      <c r="Q24" s="18" t="n">
        <v>0</v>
      </c>
      <c r="R24" s="20" t="n">
        <v>0</v>
      </c>
    </row>
    <row r="25" spans="1:18">
      <c r="A25" s="15" t="s">
        <v>585</v>
      </c>
      <c r="B25" s="17" t="n">
        <v>2912</v>
      </c>
      <c r="C25" s="18">
        <f>(2589.0/B25*100)</f>
        <v/>
      </c>
      <c r="D25" s="19" t="n">
        <v>323</v>
      </c>
      <c r="E25" s="18" t="n">
        <v>49.48896389</v>
      </c>
      <c r="F25" s="20" t="n">
        <v>2.6911682</v>
      </c>
      <c r="G25" s="18" t="n">
        <v>49.55537015</v>
      </c>
      <c r="H25" s="20" t="n">
        <v>2.74512658</v>
      </c>
      <c r="I25" s="18" t="s">
        <v>567</v>
      </c>
      <c r="J25" s="20" t="s">
        <v>567</v>
      </c>
      <c r="K25" s="18" t="n">
        <v>0.95566595</v>
      </c>
      <c r="L25" s="20" t="n">
        <v>0.65446478</v>
      </c>
      <c r="M25" s="18" t="n">
        <v>0</v>
      </c>
      <c r="N25" s="20" t="n">
        <v>0</v>
      </c>
      <c r="O25" s="18" t="n">
        <v>0</v>
      </c>
      <c r="P25" s="20" t="n">
        <v>0</v>
      </c>
      <c r="Q25" s="18" t="n">
        <v>0</v>
      </c>
      <c r="R25" s="20" t="n">
        <v>0</v>
      </c>
    </row>
    <row r="26" spans="1:18">
      <c r="A26" s="15" t="s">
        <v>586</v>
      </c>
      <c r="B26" s="17" t="n">
        <v>2450</v>
      </c>
      <c r="C26" s="18">
        <f>(2211.0/B26*100)</f>
        <v/>
      </c>
      <c r="D26" s="19" t="n">
        <v>239</v>
      </c>
      <c r="E26" s="18" t="n">
        <v>62.80937708</v>
      </c>
      <c r="F26" s="20" t="n">
        <v>3.31365508</v>
      </c>
      <c r="G26" s="18" t="n">
        <v>36.53324511</v>
      </c>
      <c r="H26" s="20" t="n">
        <v>3.24391371</v>
      </c>
      <c r="I26" s="18" t="s">
        <v>567</v>
      </c>
      <c r="J26" s="20" t="s">
        <v>567</v>
      </c>
      <c r="K26" s="18" t="n">
        <v>0.65737781</v>
      </c>
      <c r="L26" s="20" t="n">
        <v>0.46535745</v>
      </c>
      <c r="M26" s="18" t="n">
        <v>0</v>
      </c>
      <c r="N26" s="20" t="n">
        <v>0</v>
      </c>
      <c r="O26" s="18" t="n">
        <v>0</v>
      </c>
      <c r="P26" s="20" t="n">
        <v>0</v>
      </c>
      <c r="Q26" s="18" t="n">
        <v>0</v>
      </c>
      <c r="R26" s="20" t="n">
        <v>0</v>
      </c>
    </row>
    <row r="27" spans="1:18">
      <c r="A27" s="15" t="s">
        <v>587</v>
      </c>
      <c r="B27" s="17" t="n">
        <v>2616</v>
      </c>
      <c r="C27" s="18">
        <f>(2360.0/B27*100)</f>
        <v/>
      </c>
      <c r="D27" s="19" t="n">
        <v>256</v>
      </c>
      <c r="E27" s="18" t="n">
        <v>43.65720208</v>
      </c>
      <c r="F27" s="20" t="n">
        <v>3.03597858</v>
      </c>
      <c r="G27" s="18" t="n">
        <v>54.40242384</v>
      </c>
      <c r="H27" s="20" t="n">
        <v>3.09822373</v>
      </c>
      <c r="I27" s="18" t="s">
        <v>567</v>
      </c>
      <c r="J27" s="20" t="s">
        <v>567</v>
      </c>
      <c r="K27" s="18" t="n">
        <v>1.94037408</v>
      </c>
      <c r="L27" s="20" t="n">
        <v>0.87543035</v>
      </c>
      <c r="M27" s="18" t="n">
        <v>0</v>
      </c>
      <c r="N27" s="20" t="n">
        <v>0</v>
      </c>
      <c r="O27" s="18" t="n">
        <v>0</v>
      </c>
      <c r="P27" s="20" t="n">
        <v>0</v>
      </c>
      <c r="Q27" s="18" t="n">
        <v>0</v>
      </c>
      <c r="R27" s="20" t="n">
        <v>0</v>
      </c>
    </row>
    <row r="28" spans="1:18">
      <c r="A28" s="15" t="s">
        <v>588</v>
      </c>
      <c r="B28" s="17" t="n">
        <v>3765</v>
      </c>
      <c r="C28" s="18">
        <f>(3372.0/B28*100)</f>
        <v/>
      </c>
      <c r="D28" s="19" t="n">
        <v>393</v>
      </c>
      <c r="E28" s="18" t="n">
        <v>69.30967699999999</v>
      </c>
      <c r="F28" s="20" t="n">
        <v>2.45789001</v>
      </c>
      <c r="G28" s="18" t="n">
        <v>28.22804129</v>
      </c>
      <c r="H28" s="20" t="n">
        <v>2.40941708</v>
      </c>
      <c r="I28" s="18" t="s">
        <v>567</v>
      </c>
      <c r="J28" s="20" t="s">
        <v>567</v>
      </c>
      <c r="K28" s="18" t="n">
        <v>2.46228171</v>
      </c>
      <c r="L28" s="20" t="n">
        <v>0.9201875</v>
      </c>
      <c r="M28" s="18" t="n">
        <v>0</v>
      </c>
      <c r="N28" s="20" t="n">
        <v>0</v>
      </c>
      <c r="O28" s="18" t="n">
        <v>0</v>
      </c>
      <c r="P28" s="20" t="n">
        <v>0</v>
      </c>
      <c r="Q28" s="18" t="n">
        <v>0</v>
      </c>
      <c r="R28" s="20" t="n">
        <v>0</v>
      </c>
    </row>
    <row r="29" spans="1:18">
      <c r="A29" s="15" t="s">
        <v>589</v>
      </c>
      <c r="B29" s="17" t="n">
        <v>2685</v>
      </c>
      <c r="C29" s="18">
        <f>(2386.0/B29*100)</f>
        <v/>
      </c>
      <c r="D29" s="19" t="n">
        <v>299</v>
      </c>
      <c r="E29" s="18" t="n">
        <v>47.83939857</v>
      </c>
      <c r="F29" s="20" t="n">
        <v>2.93605947</v>
      </c>
      <c r="G29" s="18" t="n">
        <v>51.50347615</v>
      </c>
      <c r="H29" s="20" t="n">
        <v>2.93592578</v>
      </c>
      <c r="I29" s="18" t="s">
        <v>567</v>
      </c>
      <c r="J29" s="20" t="s">
        <v>567</v>
      </c>
      <c r="K29" s="18" t="n">
        <v>0.65712528</v>
      </c>
      <c r="L29" s="20" t="n">
        <v>0.46442765</v>
      </c>
      <c r="M29" s="18" t="n">
        <v>0</v>
      </c>
      <c r="N29" s="20" t="n">
        <v>0</v>
      </c>
      <c r="O29" s="18" t="n">
        <v>0</v>
      </c>
      <c r="P29" s="20" t="n">
        <v>0</v>
      </c>
      <c r="Q29" s="18" t="n">
        <v>0</v>
      </c>
      <c r="R29" s="20" t="n">
        <v>0</v>
      </c>
    </row>
    <row r="30" spans="1:18">
      <c r="A30" s="15" t="s">
        <v>590</v>
      </c>
      <c r="B30" s="17" t="n">
        <v>2263</v>
      </c>
      <c r="C30" s="18">
        <f>(2018.0/B30*100)</f>
        <v/>
      </c>
      <c r="D30" s="19" t="n">
        <v>245</v>
      </c>
      <c r="E30" s="18" t="n">
        <v>49.00407494</v>
      </c>
      <c r="F30" s="20" t="n">
        <v>3.1502108</v>
      </c>
      <c r="G30" s="18" t="n">
        <v>48.21715958</v>
      </c>
      <c r="H30" s="20" t="n">
        <v>3.04392781</v>
      </c>
      <c r="I30" s="18" t="s">
        <v>567</v>
      </c>
      <c r="J30" s="20" t="s">
        <v>567</v>
      </c>
      <c r="K30" s="18" t="n">
        <v>2.77876548</v>
      </c>
      <c r="L30" s="20" t="n">
        <v>1.08576165</v>
      </c>
      <c r="M30" s="18" t="n">
        <v>0</v>
      </c>
      <c r="N30" s="20" t="n">
        <v>0</v>
      </c>
      <c r="O30" s="18" t="n">
        <v>0</v>
      </c>
      <c r="P30" s="20" t="n">
        <v>0</v>
      </c>
      <c r="Q30" s="18" t="n">
        <v>0</v>
      </c>
      <c r="R30" s="20" t="n">
        <v>0</v>
      </c>
    </row>
    <row r="31" spans="1:18">
      <c r="A31" s="15" t="s">
        <v>591</v>
      </c>
      <c r="B31" s="17" t="n">
        <v>2750</v>
      </c>
      <c r="C31" s="18">
        <f>(2445.0/B31*100)</f>
        <v/>
      </c>
      <c r="D31" s="19" t="n">
        <v>305</v>
      </c>
      <c r="E31" s="18" t="n">
        <v>56.33755009</v>
      </c>
      <c r="F31" s="20" t="n">
        <v>3.3223578</v>
      </c>
      <c r="G31" s="18" t="n">
        <v>42.10434416</v>
      </c>
      <c r="H31" s="20" t="n">
        <v>3.20104114</v>
      </c>
      <c r="I31" s="18" t="s">
        <v>567</v>
      </c>
      <c r="J31" s="20" t="s">
        <v>567</v>
      </c>
      <c r="K31" s="18" t="n">
        <v>1.55810574</v>
      </c>
      <c r="L31" s="20" t="n">
        <v>0.78765885</v>
      </c>
      <c r="M31" s="18" t="n">
        <v>0</v>
      </c>
      <c r="N31" s="20" t="n">
        <v>0</v>
      </c>
      <c r="O31" s="18" t="n">
        <v>0</v>
      </c>
      <c r="P31" s="20" t="n">
        <v>0</v>
      </c>
      <c r="Q31" s="18" t="n">
        <v>0</v>
      </c>
      <c r="R31" s="20" t="n">
        <v>0</v>
      </c>
    </row>
    <row r="32" spans="1:18">
      <c r="A32" s="15" t="s">
        <v>592</v>
      </c>
      <c r="B32" s="17" t="n">
        <v>2269</v>
      </c>
      <c r="C32" s="18">
        <f>(2020.0/B32*100)</f>
        <v/>
      </c>
      <c r="D32" s="19" t="n">
        <v>249</v>
      </c>
      <c r="E32" s="18" t="n">
        <v>29.39177225</v>
      </c>
      <c r="F32" s="20" t="n">
        <v>3.18497955</v>
      </c>
      <c r="G32" s="18" t="n">
        <v>69.73786815</v>
      </c>
      <c r="H32" s="20" t="n">
        <v>3.27889286</v>
      </c>
      <c r="I32" s="18" t="s">
        <v>567</v>
      </c>
      <c r="J32" s="20" t="s">
        <v>567</v>
      </c>
      <c r="K32" s="18" t="n">
        <v>0.87035961</v>
      </c>
      <c r="L32" s="20" t="n">
        <v>0.6621098</v>
      </c>
      <c r="M32" s="18" t="n">
        <v>0</v>
      </c>
      <c r="N32" s="20" t="n">
        <v>0</v>
      </c>
      <c r="O32" s="18" t="n">
        <v>0</v>
      </c>
      <c r="P32" s="20" t="n">
        <v>0</v>
      </c>
      <c r="Q32" s="18" t="n">
        <v>0</v>
      </c>
      <c r="R32" s="20" t="n">
        <v>0</v>
      </c>
    </row>
    <row r="33" spans="1:18">
      <c r="A33" s="15" t="s">
        <v>593</v>
      </c>
      <c r="B33" s="17" t="n">
        <v>3674</v>
      </c>
      <c r="C33" s="18">
        <f>(3305.0/B33*100)</f>
        <v/>
      </c>
      <c r="D33" s="19" t="n">
        <v>369</v>
      </c>
      <c r="E33" s="18" t="n">
        <v>31.08279519</v>
      </c>
      <c r="F33" s="20" t="n">
        <v>2.82949167</v>
      </c>
      <c r="G33" s="18" t="n">
        <v>67.56110112</v>
      </c>
      <c r="H33" s="20" t="n">
        <v>2.74678709</v>
      </c>
      <c r="I33" s="18" t="s">
        <v>567</v>
      </c>
      <c r="J33" s="20" t="s">
        <v>567</v>
      </c>
      <c r="K33" s="18" t="n">
        <v>1.35610369</v>
      </c>
      <c r="L33" s="20" t="n">
        <v>0.64191311</v>
      </c>
      <c r="M33" s="18" t="n">
        <v>0</v>
      </c>
      <c r="N33" s="20" t="n">
        <v>0</v>
      </c>
      <c r="O33" s="18" t="n">
        <v>0</v>
      </c>
      <c r="P33" s="20" t="n">
        <v>0</v>
      </c>
      <c r="Q33" s="18" t="n">
        <v>0</v>
      </c>
      <c r="R33" s="20" t="n">
        <v>0</v>
      </c>
    </row>
    <row r="34" spans="1:18">
      <c r="A34" s="15" t="s">
        <v>594</v>
      </c>
      <c r="B34" s="17" t="n">
        <v>3315</v>
      </c>
      <c r="C34" s="18">
        <f>(2931.0/B34*100)</f>
        <v/>
      </c>
      <c r="D34" s="19" t="n">
        <v>384</v>
      </c>
      <c r="E34" s="18" t="n">
        <v>55.05002454</v>
      </c>
      <c r="F34" s="20" t="n">
        <v>2.7259302</v>
      </c>
      <c r="G34" s="18" t="n">
        <v>43.81532749</v>
      </c>
      <c r="H34" s="20" t="n">
        <v>2.81779741</v>
      </c>
      <c r="I34" s="18" t="s">
        <v>567</v>
      </c>
      <c r="J34" s="20" t="s">
        <v>567</v>
      </c>
      <c r="K34" s="18" t="n">
        <v>1.13464796</v>
      </c>
      <c r="L34" s="20" t="n">
        <v>0.46780897</v>
      </c>
      <c r="M34" s="18" t="n">
        <v>0</v>
      </c>
      <c r="N34" s="20" t="n">
        <v>0</v>
      </c>
      <c r="O34" s="18" t="n">
        <v>0</v>
      </c>
      <c r="P34" s="20" t="n">
        <v>0</v>
      </c>
      <c r="Q34" s="18" t="n">
        <v>0</v>
      </c>
      <c r="R34" s="20" t="n">
        <v>0</v>
      </c>
    </row>
    <row r="35" spans="1:18">
      <c r="A35" s="15" t="s">
        <v>595</v>
      </c>
      <c r="B35" s="17" t="n">
        <v>3505</v>
      </c>
      <c r="C35" s="18">
        <f>(3118.0/B35*100)</f>
        <v/>
      </c>
      <c r="D35" s="19" t="n">
        <v>387</v>
      </c>
      <c r="E35" s="18" t="n">
        <v>31.48556047</v>
      </c>
      <c r="F35" s="20" t="n">
        <v>3.00824442</v>
      </c>
      <c r="G35" s="18" t="n">
        <v>67.28944962</v>
      </c>
      <c r="H35" s="20" t="n">
        <v>3.09295861</v>
      </c>
      <c r="I35" s="18" t="s">
        <v>567</v>
      </c>
      <c r="J35" s="20" t="s">
        <v>567</v>
      </c>
      <c r="K35" s="18" t="n">
        <v>1.22498991</v>
      </c>
      <c r="L35" s="20" t="n">
        <v>0.53957526</v>
      </c>
      <c r="M35" s="18" t="n">
        <v>0</v>
      </c>
      <c r="N35" s="20" t="n">
        <v>0</v>
      </c>
      <c r="O35" s="18" t="n">
        <v>0</v>
      </c>
      <c r="P35" s="20" t="n">
        <v>0</v>
      </c>
      <c r="Q35" s="18" t="n">
        <v>0</v>
      </c>
      <c r="R35" s="20" t="n">
        <v>0</v>
      </c>
    </row>
    <row r="36" spans="1:18">
      <c r="A36" s="15" t="s">
        <v>596</v>
      </c>
      <c r="B36" s="17" t="n">
        <v>3332</v>
      </c>
      <c r="C36" s="18">
        <f>(2986.0/B36*100)</f>
        <v/>
      </c>
      <c r="D36" s="19" t="n">
        <v>346</v>
      </c>
      <c r="E36" s="18" t="n">
        <v>39.15237573</v>
      </c>
      <c r="F36" s="20" t="n">
        <v>3.19888703</v>
      </c>
      <c r="G36" s="18" t="n">
        <v>59.25540431</v>
      </c>
      <c r="H36" s="20" t="n">
        <v>3.1134969</v>
      </c>
      <c r="I36" s="18" t="s">
        <v>567</v>
      </c>
      <c r="J36" s="20" t="s">
        <v>567</v>
      </c>
      <c r="K36" s="18" t="n">
        <v>1.59221996</v>
      </c>
      <c r="L36" s="20" t="n">
        <v>0.7281368499999999</v>
      </c>
      <c r="M36" s="18" t="n">
        <v>0</v>
      </c>
      <c r="N36" s="20" t="n">
        <v>0</v>
      </c>
      <c r="O36" s="18" t="n">
        <v>0</v>
      </c>
      <c r="P36" s="20" t="n">
        <v>0</v>
      </c>
      <c r="Q36" s="18" t="n">
        <v>0</v>
      </c>
      <c r="R36" s="20" t="n">
        <v>0</v>
      </c>
    </row>
    <row r="37" spans="1:18">
      <c r="A37" s="15" t="s">
        <v>597</v>
      </c>
      <c r="B37" s="17" t="n">
        <v>2727</v>
      </c>
      <c r="C37" s="18">
        <f>(2433.0/B37*100)</f>
        <v/>
      </c>
      <c r="D37" s="19" t="n">
        <v>294</v>
      </c>
      <c r="E37" s="18" t="n">
        <v>54.13853367</v>
      </c>
      <c r="F37" s="20" t="n">
        <v>3.06774737</v>
      </c>
      <c r="G37" s="18" t="n">
        <v>42.16324941</v>
      </c>
      <c r="H37" s="20" t="n">
        <v>3.25393285</v>
      </c>
      <c r="I37" s="18" t="s">
        <v>567</v>
      </c>
      <c r="J37" s="20" t="s">
        <v>567</v>
      </c>
      <c r="K37" s="18" t="n">
        <v>3.69821692</v>
      </c>
      <c r="L37" s="20" t="n">
        <v>1.11001007</v>
      </c>
      <c r="M37" s="18" t="n">
        <v>0</v>
      </c>
      <c r="N37" s="20" t="n">
        <v>0</v>
      </c>
      <c r="O37" s="18" t="n">
        <v>0</v>
      </c>
      <c r="P37" s="20" t="n">
        <v>0</v>
      </c>
      <c r="Q37" s="18" t="n">
        <v>0</v>
      </c>
      <c r="R37" s="20" t="n">
        <v>0</v>
      </c>
    </row>
    <row r="38" spans="1:18">
      <c r="A38" s="15" t="s">
        <v>598</v>
      </c>
      <c r="B38" s="17" t="n">
        <v>3053</v>
      </c>
      <c r="C38" s="18">
        <f>(2725.0/B38*100)</f>
        <v/>
      </c>
      <c r="D38" s="19" t="n">
        <v>328</v>
      </c>
      <c r="E38" s="18" t="n">
        <v>34.89787048</v>
      </c>
      <c r="F38" s="20" t="n">
        <v>2.52970525</v>
      </c>
      <c r="G38" s="18" t="n">
        <v>62.44954313</v>
      </c>
      <c r="H38" s="20" t="n">
        <v>2.68089468</v>
      </c>
      <c r="I38" s="18" t="s">
        <v>567</v>
      </c>
      <c r="J38" s="20" t="s">
        <v>567</v>
      </c>
      <c r="K38" s="18" t="n">
        <v>2.65258639</v>
      </c>
      <c r="L38" s="20" t="n">
        <v>0.91349496</v>
      </c>
      <c r="M38" s="18" t="n">
        <v>0</v>
      </c>
      <c r="N38" s="20" t="n">
        <v>0</v>
      </c>
      <c r="O38" s="18" t="n">
        <v>0</v>
      </c>
      <c r="P38" s="20" t="n">
        <v>0</v>
      </c>
      <c r="Q38" s="18" t="n">
        <v>0</v>
      </c>
      <c r="R38" s="20" t="n">
        <v>0</v>
      </c>
    </row>
    <row r="39" spans="1:18">
      <c r="A39" s="15" t="s">
        <v>599</v>
      </c>
      <c r="B39" s="17" t="n">
        <v>2957</v>
      </c>
      <c r="C39" s="18">
        <f>(2633.0/B39*100)</f>
        <v/>
      </c>
      <c r="D39" s="19" t="n">
        <v>324</v>
      </c>
      <c r="E39" s="18" t="n">
        <v>76.30438091000001</v>
      </c>
      <c r="F39" s="20" t="n">
        <v>2.4278711</v>
      </c>
      <c r="G39" s="18" t="n">
        <v>22.15528519</v>
      </c>
      <c r="H39" s="20" t="n">
        <v>2.4326518</v>
      </c>
      <c r="I39" s="18" t="s">
        <v>567</v>
      </c>
      <c r="J39" s="20" t="s">
        <v>567</v>
      </c>
      <c r="K39" s="18" t="n">
        <v>1.5403339</v>
      </c>
      <c r="L39" s="20" t="n">
        <v>0.69780495</v>
      </c>
      <c r="M39" s="18" t="n">
        <v>0</v>
      </c>
      <c r="N39" s="20" t="n">
        <v>0</v>
      </c>
      <c r="O39" s="18" t="n">
        <v>0</v>
      </c>
      <c r="P39" s="20" t="n">
        <v>0</v>
      </c>
      <c r="Q39" s="18" t="n">
        <v>0</v>
      </c>
      <c r="R39" s="20" t="n">
        <v>0</v>
      </c>
    </row>
    <row r="40" spans="1:18">
      <c r="A40" s="15" t="s">
        <v>600</v>
      </c>
      <c r="B40" s="17" t="n">
        <v>7235</v>
      </c>
      <c r="C40" s="18">
        <f>(6434.0/B40*100)</f>
        <v/>
      </c>
      <c r="D40" s="19" t="n">
        <v>801</v>
      </c>
      <c r="E40" s="18" t="n">
        <v>47.79527092</v>
      </c>
      <c r="F40" s="20" t="n">
        <v>3.04452198</v>
      </c>
      <c r="G40" s="18" t="n">
        <v>51.36888305</v>
      </c>
      <c r="H40" s="20" t="n">
        <v>3.09553587</v>
      </c>
      <c r="I40" s="18" t="s">
        <v>567</v>
      </c>
      <c r="J40" s="20" t="s">
        <v>567</v>
      </c>
      <c r="K40" s="18" t="n">
        <v>0.83584603</v>
      </c>
      <c r="L40" s="20" t="n">
        <v>0.39132057</v>
      </c>
      <c r="M40" s="18" t="n">
        <v>0</v>
      </c>
      <c r="N40" s="20" t="n">
        <v>0</v>
      </c>
      <c r="O40" s="18" t="n">
        <v>0</v>
      </c>
      <c r="P40" s="20" t="n">
        <v>0</v>
      </c>
      <c r="Q40" s="18" t="n">
        <v>0</v>
      </c>
      <c r="R40" s="20" t="n">
        <v>0</v>
      </c>
    </row>
    <row r="41" spans="1:18">
      <c r="A41" s="15" t="s">
        <v>601</v>
      </c>
      <c r="B41" s="17" t="n">
        <v>2858</v>
      </c>
      <c r="C41" s="18">
        <f>(2543.0/B41*100)</f>
        <v/>
      </c>
      <c r="D41" s="19" t="n">
        <v>315</v>
      </c>
      <c r="E41" s="18" t="n">
        <v>43.51416482</v>
      </c>
      <c r="F41" s="20" t="n">
        <v>2.64603222</v>
      </c>
      <c r="G41" s="18" t="n">
        <v>54.42720607</v>
      </c>
      <c r="H41" s="20" t="n">
        <v>3.03321489</v>
      </c>
      <c r="I41" s="18" t="s">
        <v>567</v>
      </c>
      <c r="J41" s="20" t="s">
        <v>567</v>
      </c>
      <c r="K41" s="18" t="n">
        <v>2.05862911</v>
      </c>
      <c r="L41" s="20" t="n">
        <v>1.15289625</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(10065.0/B46*100)</f>
        <v/>
      </c>
      <c r="D46" s="19" t="n">
        <v>1003</v>
      </c>
      <c r="E46" s="18" t="n">
        <v>68.01171811</v>
      </c>
      <c r="F46" s="20" t="n">
        <v>1.99161669</v>
      </c>
      <c r="G46" s="18" t="n">
        <v>29.94398854</v>
      </c>
      <c r="H46" s="20" t="n">
        <v>1.97154119</v>
      </c>
      <c r="I46" s="18" t="s">
        <v>567</v>
      </c>
      <c r="J46" s="20" t="s">
        <v>567</v>
      </c>
      <c r="K46" s="18" t="n">
        <v>2.04429335</v>
      </c>
      <c r="L46" s="20" t="n">
        <v>0.53071868</v>
      </c>
      <c r="M46" s="18" t="n">
        <v>0</v>
      </c>
      <c r="N46" s="20" t="n">
        <v>0</v>
      </c>
      <c r="O46" s="18" t="n">
        <v>0</v>
      </c>
      <c r="P46" s="20" t="n">
        <v>0</v>
      </c>
      <c r="Q46" s="18" t="n">
        <v>0</v>
      </c>
      <c r="R46" s="20" t="n">
        <v>0</v>
      </c>
    </row>
    <row r="47" spans="1:18">
      <c r="A47" s="15" t="s">
        <v>607</v>
      </c>
      <c r="B47" s="17" t="n">
        <v>3105</v>
      </c>
      <c r="C47" s="18">
        <f>(2787.0/B47*100)</f>
        <v/>
      </c>
      <c r="D47" s="19" t="n">
        <v>318</v>
      </c>
      <c r="E47" s="18" t="n">
        <v>50.20643119</v>
      </c>
      <c r="F47" s="20" t="n">
        <v>3.81341714</v>
      </c>
      <c r="G47" s="18" t="n">
        <v>47.38639173</v>
      </c>
      <c r="H47" s="20" t="n">
        <v>3.58250007</v>
      </c>
      <c r="I47" s="18" t="s">
        <v>567</v>
      </c>
      <c r="J47" s="20" t="s">
        <v>567</v>
      </c>
      <c r="K47" s="18" t="n">
        <v>2.40717708</v>
      </c>
      <c r="L47" s="20" t="n">
        <v>0.79004444</v>
      </c>
      <c r="M47" s="18" t="n">
        <v>0</v>
      </c>
      <c r="N47" s="20" t="n">
        <v>0</v>
      </c>
      <c r="O47" s="18" t="n">
        <v>0</v>
      </c>
      <c r="P47" s="20" t="n">
        <v>0</v>
      </c>
      <c r="Q47" s="18" t="n">
        <v>0</v>
      </c>
      <c r="R47" s="20" t="n">
        <v>0</v>
      </c>
    </row>
    <row r="48" spans="1:18">
      <c r="A48" s="15" t="s">
        <v>608</v>
      </c>
      <c r="B48" s="17" t="n">
        <v>5159</v>
      </c>
      <c r="C48" s="18">
        <f>(4577.0/B48*100)</f>
        <v/>
      </c>
      <c r="D48" s="19" t="n">
        <v>582</v>
      </c>
      <c r="E48" s="18" t="n">
        <v>56.71391941</v>
      </c>
      <c r="F48" s="20" t="n">
        <v>2.7300265</v>
      </c>
      <c r="G48" s="18" t="n">
        <v>42.51253749</v>
      </c>
      <c r="H48" s="20" t="n">
        <v>2.70884375</v>
      </c>
      <c r="I48" s="18" t="s">
        <v>567</v>
      </c>
      <c r="J48" s="20" t="s">
        <v>567</v>
      </c>
      <c r="K48" s="18" t="n">
        <v>0.77354309</v>
      </c>
      <c r="L48" s="20" t="n">
        <v>0.40393357</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(5024.0/B50*100)</f>
        <v/>
      </c>
      <c r="D50" s="19" t="n">
        <v>613</v>
      </c>
      <c r="E50" s="18" t="n">
        <v>70.85926439000001</v>
      </c>
      <c r="F50" s="20" t="n">
        <v>2.48215885</v>
      </c>
      <c r="G50" s="18" t="n">
        <v>25.00907959</v>
      </c>
      <c r="H50" s="20" t="n">
        <v>2.3276439</v>
      </c>
      <c r="I50" s="18" t="s">
        <v>567</v>
      </c>
      <c r="J50" s="20" t="s">
        <v>567</v>
      </c>
      <c r="K50" s="18" t="n">
        <v>4.13165602</v>
      </c>
      <c r="L50" s="20" t="n">
        <v>1.39222876</v>
      </c>
      <c r="M50" s="18" t="n">
        <v>0</v>
      </c>
      <c r="N50" s="20" t="n">
        <v>0</v>
      </c>
      <c r="O50" s="18" t="n">
        <v>0</v>
      </c>
      <c r="P50" s="20" t="n">
        <v>0</v>
      </c>
      <c r="Q50" s="18" t="n">
        <v>0</v>
      </c>
      <c r="R50" s="20" t="n">
        <v>0</v>
      </c>
    </row>
    <row r="51" spans="1:18">
      <c r="A51" s="15" t="s">
        <v>611</v>
      </c>
      <c r="B51" s="17" t="n">
        <v>3372</v>
      </c>
      <c r="C51" s="18">
        <f>(3053.0/B51*100)</f>
        <v/>
      </c>
      <c r="D51" s="19" t="n">
        <v>319</v>
      </c>
      <c r="E51" s="18" t="n">
        <v>56.09813382</v>
      </c>
      <c r="F51" s="20" t="n">
        <v>3.05794905</v>
      </c>
      <c r="G51" s="18" t="n">
        <v>40.9127132</v>
      </c>
      <c r="H51" s="20" t="n">
        <v>3.04849102</v>
      </c>
      <c r="I51" s="18" t="s">
        <v>567</v>
      </c>
      <c r="J51" s="20" t="s">
        <v>567</v>
      </c>
      <c r="K51" s="18" t="n">
        <v>2.98915298</v>
      </c>
      <c r="L51" s="20" t="n">
        <v>0.92535636</v>
      </c>
      <c r="M51" s="18" t="n">
        <v>0</v>
      </c>
      <c r="N51" s="20" t="n">
        <v>0</v>
      </c>
      <c r="O51" s="18" t="n">
        <v>0</v>
      </c>
      <c r="P51" s="20" t="n">
        <v>0</v>
      </c>
      <c r="Q51" s="18" t="n">
        <v>0</v>
      </c>
      <c r="R51" s="20" t="n">
        <v>0</v>
      </c>
    </row>
    <row r="52" spans="1:18">
      <c r="A52" s="15" t="s">
        <v>612</v>
      </c>
      <c r="B52" s="17" t="n">
        <v>2796</v>
      </c>
      <c r="C52" s="18">
        <f>(2446.0/B52*100)</f>
        <v/>
      </c>
      <c r="D52" s="19" t="n">
        <v>350</v>
      </c>
      <c r="E52" s="18" t="n">
        <v>34.97998341</v>
      </c>
      <c r="F52" s="20" t="n">
        <v>2.77723979</v>
      </c>
      <c r="G52" s="18" t="n">
        <v>63.66214978</v>
      </c>
      <c r="H52" s="20" t="n">
        <v>2.79417414</v>
      </c>
      <c r="I52" s="18" t="s">
        <v>567</v>
      </c>
      <c r="J52" s="20" t="s">
        <v>567</v>
      </c>
      <c r="K52" s="18" t="n">
        <v>1.35786681</v>
      </c>
      <c r="L52" s="20" t="n">
        <v>0.50872657</v>
      </c>
      <c r="M52" s="18" t="n">
        <v>0</v>
      </c>
      <c r="N52" s="20" t="n">
        <v>0</v>
      </c>
      <c r="O52" s="18" t="n">
        <v>0</v>
      </c>
      <c r="P52" s="20" t="n">
        <v>0</v>
      </c>
      <c r="Q52" s="18" t="n">
        <v>0</v>
      </c>
      <c r="R52" s="20" t="n">
        <v>0</v>
      </c>
    </row>
    <row r="53" spans="1:18">
      <c r="A53" s="15" t="s">
        <v>613</v>
      </c>
      <c r="B53" s="17" t="n">
        <v>2811</v>
      </c>
      <c r="C53" s="18">
        <f>(2519.0/B53*100)</f>
        <v/>
      </c>
      <c r="D53" s="19" t="n">
        <v>292</v>
      </c>
      <c r="E53" s="18" t="n">
        <v>67.24021507</v>
      </c>
      <c r="F53" s="20" t="n">
        <v>2.74225025</v>
      </c>
      <c r="G53" s="18" t="n">
        <v>30.5631088</v>
      </c>
      <c r="H53" s="20" t="n">
        <v>2.76665557</v>
      </c>
      <c r="I53" s="18" t="s">
        <v>567</v>
      </c>
      <c r="J53" s="20" t="s">
        <v>567</v>
      </c>
      <c r="K53" s="18" t="n">
        <v>2.19667612</v>
      </c>
      <c r="L53" s="20" t="n">
        <v>0.8467860699999999</v>
      </c>
      <c r="M53" s="18" t="n">
        <v>0</v>
      </c>
      <c r="N53" s="20" t="n">
        <v>0</v>
      </c>
      <c r="O53" s="18" t="n">
        <v>0</v>
      </c>
      <c r="P53" s="20" t="n">
        <v>0</v>
      </c>
      <c r="Q53" s="18" t="n">
        <v>0</v>
      </c>
      <c r="R53" s="20" t="n">
        <v>0</v>
      </c>
    </row>
    <row r="54" spans="1:18">
      <c r="A54" s="15" t="s">
        <v>614</v>
      </c>
      <c r="B54" s="17" t="n">
        <v>2266</v>
      </c>
      <c r="C54" s="18">
        <f>(2010.0/B54*100)</f>
        <v/>
      </c>
      <c r="D54" s="19" t="n">
        <v>256</v>
      </c>
      <c r="E54" s="18" t="n">
        <v>60.39135498</v>
      </c>
      <c r="F54" s="20" t="n">
        <v>3.19843236</v>
      </c>
      <c r="G54" s="18" t="n">
        <v>19.74196237</v>
      </c>
      <c r="H54" s="20" t="n">
        <v>2.96439148</v>
      </c>
      <c r="I54" s="18" t="s">
        <v>567</v>
      </c>
      <c r="J54" s="20" t="s">
        <v>567</v>
      </c>
      <c r="K54" s="18" t="n">
        <v>19.86668264</v>
      </c>
      <c r="L54" s="20" t="n">
        <v>2.78580418</v>
      </c>
      <c r="M54" s="18" t="n">
        <v>0</v>
      </c>
      <c r="N54" s="20" t="n">
        <v>0</v>
      </c>
      <c r="O54" s="18" t="n">
        <v>0</v>
      </c>
      <c r="P54" s="20" t="n">
        <v>0</v>
      </c>
      <c r="Q54" s="18" t="n">
        <v>0</v>
      </c>
      <c r="R54" s="20" t="n">
        <v>0</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(2374.0/B56*100)</f>
        <v/>
      </c>
      <c r="D56" s="19" t="n">
        <v>310</v>
      </c>
      <c r="E56" s="18" t="n">
        <v>45.71555335</v>
      </c>
      <c r="F56" s="20" t="n">
        <v>3.0756823</v>
      </c>
      <c r="G56" s="18" t="n">
        <v>53.6008216</v>
      </c>
      <c r="H56" s="20" t="n">
        <v>3.06571767</v>
      </c>
      <c r="I56" s="18" t="s">
        <v>567</v>
      </c>
      <c r="J56" s="20" t="s">
        <v>567</v>
      </c>
      <c r="K56" s="18" t="n">
        <v>0.68362505</v>
      </c>
      <c r="L56" s="20" t="n">
        <v>0.44862832</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(2904.0/B61*100)</f>
        <v/>
      </c>
      <c r="D61" s="19" t="n">
        <v>420</v>
      </c>
      <c r="E61" s="18" t="n">
        <v>55.13086928</v>
      </c>
      <c r="F61" s="20" t="n">
        <v>2.65618096</v>
      </c>
      <c r="G61" s="18" t="n">
        <v>44.34806462</v>
      </c>
      <c r="H61" s="20" t="n">
        <v>2.62359699</v>
      </c>
      <c r="I61" s="18" t="s">
        <v>567</v>
      </c>
      <c r="J61" s="20" t="s">
        <v>567</v>
      </c>
      <c r="K61" s="18" t="n">
        <v>0.5210661</v>
      </c>
      <c r="L61" s="20" t="n">
        <v>0.337815</v>
      </c>
      <c r="M61" s="18" t="n">
        <v>0</v>
      </c>
      <c r="N61" s="20" t="n">
        <v>0</v>
      </c>
      <c r="O61" s="18" t="n">
        <v>0</v>
      </c>
      <c r="P61" s="20" t="n">
        <v>0</v>
      </c>
      <c r="Q61" s="18" t="n">
        <v>0</v>
      </c>
      <c r="R61" s="20" t="n">
        <v>0</v>
      </c>
    </row>
    <row r="62" spans="1:18">
      <c r="A62" s="15" t="s">
        <v>622</v>
      </c>
      <c r="B62" s="17" t="n">
        <v>2246</v>
      </c>
      <c r="C62" s="18">
        <f>(1996.0/B62*100)</f>
        <v/>
      </c>
      <c r="D62" s="19" t="n">
        <v>250</v>
      </c>
      <c r="E62" s="18" t="n">
        <v>51.59491308</v>
      </c>
      <c r="F62" s="20" t="n">
        <v>3.01880908</v>
      </c>
      <c r="G62" s="18" t="n">
        <v>48.00732471</v>
      </c>
      <c r="H62" s="20" t="n">
        <v>3.04796518</v>
      </c>
      <c r="I62" s="18" t="s">
        <v>567</v>
      </c>
      <c r="J62" s="20" t="s">
        <v>567</v>
      </c>
      <c r="K62" s="18" t="n">
        <v>0.39776221</v>
      </c>
      <c r="L62" s="20" t="n">
        <v>0.40004312</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(2562.0/B66*100)</f>
        <v/>
      </c>
      <c r="D66" s="19" t="n">
        <v>332</v>
      </c>
      <c r="E66" s="18" t="n">
        <v>49.17234854</v>
      </c>
      <c r="F66" s="20" t="n">
        <v>2.92367355</v>
      </c>
      <c r="G66" s="18" t="n">
        <v>46.51251139</v>
      </c>
      <c r="H66" s="20" t="n">
        <v>2.90446916</v>
      </c>
      <c r="I66" s="18" t="s">
        <v>567</v>
      </c>
      <c r="J66" s="20" t="s">
        <v>567</v>
      </c>
      <c r="K66" s="18" t="n">
        <v>4.31514008</v>
      </c>
      <c r="L66" s="20" t="n">
        <v>1.08130459</v>
      </c>
      <c r="M66" s="18" t="n">
        <v>0</v>
      </c>
      <c r="N66" s="20" t="n">
        <v>0</v>
      </c>
      <c r="O66" s="18" t="n">
        <v>0</v>
      </c>
      <c r="P66" s="20" t="n">
        <v>0</v>
      </c>
      <c r="Q66" s="18" t="n">
        <v>0</v>
      </c>
      <c r="R66" s="20" t="n">
        <v>0</v>
      </c>
    </row>
    <row r="67" spans="1:18">
      <c r="A67" s="15" t="s">
        <v>627</v>
      </c>
      <c r="B67" s="17" t="n">
        <v>3511</v>
      </c>
      <c r="C67" s="18">
        <f>(3171.0/B67*100)</f>
        <v/>
      </c>
      <c r="D67" s="19" t="n">
        <v>340</v>
      </c>
      <c r="E67" s="18" t="n">
        <v>72.30385681</v>
      </c>
      <c r="F67" s="20" t="n">
        <v>2.99484528</v>
      </c>
      <c r="G67" s="18" t="n">
        <v>27.15277136</v>
      </c>
      <c r="H67" s="20" t="n">
        <v>2.98715338</v>
      </c>
      <c r="I67" s="18" t="s">
        <v>567</v>
      </c>
      <c r="J67" s="20" t="s">
        <v>567</v>
      </c>
      <c r="K67" s="18" t="n">
        <v>0.5433718199999999</v>
      </c>
      <c r="L67" s="20" t="n">
        <v>0.37984755</v>
      </c>
      <c r="M67" s="18" t="n">
        <v>0</v>
      </c>
      <c r="N67" s="20" t="n">
        <v>0</v>
      </c>
      <c r="O67" s="18" t="n">
        <v>0</v>
      </c>
      <c r="P67" s="20" t="n">
        <v>0</v>
      </c>
      <c r="Q67" s="18" t="n">
        <v>0</v>
      </c>
      <c r="R67" s="20" t="n">
        <v>0</v>
      </c>
    </row>
    <row r="68" spans="1:18">
      <c r="A68" s="15" t="s">
        <v>628</v>
      </c>
      <c r="B68" s="17" t="n">
        <v>6049</v>
      </c>
      <c r="C68" s="18">
        <f>(5386.0/B68*100)</f>
        <v/>
      </c>
      <c r="D68" s="19" t="n">
        <v>663</v>
      </c>
      <c r="E68" s="18" t="n">
        <v>66.57745875000001</v>
      </c>
      <c r="F68" s="20" t="n">
        <v>1.85950327</v>
      </c>
      <c r="G68" s="18" t="n">
        <v>29.8220547</v>
      </c>
      <c r="H68" s="20" t="n">
        <v>1.79865427</v>
      </c>
      <c r="I68" s="18" t="s">
        <v>567</v>
      </c>
      <c r="J68" s="20" t="s">
        <v>567</v>
      </c>
      <c r="K68" s="18" t="n">
        <v>3.60048655</v>
      </c>
      <c r="L68" s="20" t="n">
        <v>0.78245253</v>
      </c>
      <c r="M68" s="18" t="n">
        <v>0</v>
      </c>
      <c r="N68" s="20" t="n">
        <v>0</v>
      </c>
      <c r="O68" s="18" t="n">
        <v>0</v>
      </c>
      <c r="P68" s="20" t="n">
        <v>0</v>
      </c>
      <c r="Q68" s="18" t="n">
        <v>0</v>
      </c>
      <c r="R68" s="20" t="n">
        <v>0</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(2615.0/B70*100)</f>
        <v/>
      </c>
      <c r="D70" s="19" t="n">
        <v>314</v>
      </c>
      <c r="E70" s="18" t="n">
        <v>40.79429959</v>
      </c>
      <c r="F70" s="20" t="n">
        <v>3.13458801</v>
      </c>
      <c r="G70" s="18" t="n">
        <v>58.45594392</v>
      </c>
      <c r="H70" s="20" t="n">
        <v>3.14240296</v>
      </c>
      <c r="I70" s="18" t="s">
        <v>567</v>
      </c>
      <c r="J70" s="20" t="s">
        <v>567</v>
      </c>
      <c r="K70" s="18" t="n">
        <v>0.7497565</v>
      </c>
      <c r="L70" s="20" t="n">
        <v>0.39901836</v>
      </c>
      <c r="M70" s="18" t="n">
        <v>0</v>
      </c>
      <c r="N70" s="20" t="n">
        <v>0</v>
      </c>
      <c r="O70" s="18" t="n">
        <v>0</v>
      </c>
      <c r="P70" s="20" t="n">
        <v>0</v>
      </c>
      <c r="Q70" s="18" t="n">
        <v>0</v>
      </c>
      <c r="R70" s="20" t="n">
        <v>0</v>
      </c>
    </row>
    <row r="71" spans="1:18">
      <c r="A71" s="15" t="s">
        <v>631</v>
      </c>
      <c r="B71" s="17" t="n">
        <v>3142</v>
      </c>
      <c r="C71" s="18">
        <f>(2785.0/B71*100)</f>
        <v/>
      </c>
      <c r="D71" s="19" t="n">
        <v>357</v>
      </c>
      <c r="E71" s="18" t="n">
        <v>33.09018168</v>
      </c>
      <c r="F71" s="20" t="n">
        <v>2.58510799</v>
      </c>
      <c r="G71" s="18" t="n">
        <v>66.32340841</v>
      </c>
      <c r="H71" s="20" t="n">
        <v>2.61478388</v>
      </c>
      <c r="I71" s="18" t="s">
        <v>567</v>
      </c>
      <c r="J71" s="20" t="s">
        <v>567</v>
      </c>
      <c r="K71" s="18" t="n">
        <v>0.58640991</v>
      </c>
      <c r="L71" s="20" t="n">
        <v>0.40626547</v>
      </c>
      <c r="M71" s="18" t="n">
        <v>0</v>
      </c>
      <c r="N71" s="20" t="n">
        <v>0</v>
      </c>
      <c r="O71" s="18" t="n">
        <v>0</v>
      </c>
      <c r="P71" s="20" t="n">
        <v>0</v>
      </c>
      <c r="Q71" s="18" t="n">
        <v>0</v>
      </c>
      <c r="R71" s="20" t="n">
        <v>0</v>
      </c>
    </row>
    <row r="72" spans="1:18">
      <c r="A72" s="15" t="s">
        <v>632</v>
      </c>
      <c r="B72" s="17" t="n">
        <v>3889</v>
      </c>
      <c r="C72" s="18">
        <f>(3433.0/B72*100)</f>
        <v/>
      </c>
      <c r="D72" s="19" t="n">
        <v>456</v>
      </c>
      <c r="E72" s="18" t="n">
        <v>21.62854813</v>
      </c>
      <c r="F72" s="20" t="n">
        <v>2.10211656</v>
      </c>
      <c r="G72" s="18" t="n">
        <v>77.49014221</v>
      </c>
      <c r="H72" s="20" t="n">
        <v>2.09214055</v>
      </c>
      <c r="I72" s="18" t="s">
        <v>567</v>
      </c>
      <c r="J72" s="20" t="s">
        <v>567</v>
      </c>
      <c r="K72" s="18" t="n">
        <v>0.88130966</v>
      </c>
      <c r="L72" s="20" t="n">
        <v>0.4567746</v>
      </c>
      <c r="M72" s="18" t="n">
        <v>0</v>
      </c>
      <c r="N72" s="20" t="n">
        <v>0</v>
      </c>
      <c r="O72" s="18" t="n">
        <v>0</v>
      </c>
      <c r="P72" s="20" t="n">
        <v>0</v>
      </c>
      <c r="Q72" s="18" t="n">
        <v>0</v>
      </c>
      <c r="R72" s="20" t="n">
        <v>0</v>
      </c>
    </row>
    <row r="73" spans="1:18">
      <c r="A73" s="15" t="s">
        <v>633</v>
      </c>
      <c r="B73" s="17" t="n">
        <v>3597</v>
      </c>
      <c r="C73" s="18">
        <f>(3202.0/B73*100)</f>
        <v/>
      </c>
      <c r="D73" s="19" t="n">
        <v>395</v>
      </c>
      <c r="E73" s="18" t="n">
        <v>61.43547283</v>
      </c>
      <c r="F73" s="20" t="n">
        <v>3.28412596</v>
      </c>
      <c r="G73" s="18" t="n">
        <v>37.90429225</v>
      </c>
      <c r="H73" s="20" t="n">
        <v>3.22237753</v>
      </c>
      <c r="I73" s="18" t="s">
        <v>567</v>
      </c>
      <c r="J73" s="20" t="s">
        <v>567</v>
      </c>
      <c r="K73" s="18" t="n">
        <v>0.6602349199999999</v>
      </c>
      <c r="L73" s="20" t="n">
        <v>0.43811142</v>
      </c>
      <c r="M73" s="18" t="n">
        <v>0</v>
      </c>
      <c r="N73" s="20" t="n">
        <v>0</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(2167.0/B75*100)</f>
        <v/>
      </c>
      <c r="D75" s="19" t="n">
        <v>239</v>
      </c>
      <c r="E75" s="18" t="n">
        <v>56.2369844</v>
      </c>
      <c r="F75" s="20" t="n">
        <v>3.41776219</v>
      </c>
      <c r="G75" s="18" t="n">
        <v>37.66556076</v>
      </c>
      <c r="H75" s="20" t="n">
        <v>3.33225913</v>
      </c>
      <c r="I75" s="18" t="s">
        <v>567</v>
      </c>
      <c r="J75" s="20" t="s">
        <v>567</v>
      </c>
      <c r="K75" s="18" t="n">
        <v>6.09745484</v>
      </c>
      <c r="L75" s="20" t="n">
        <v>1.38018885</v>
      </c>
      <c r="M75" s="18" t="n">
        <v>0</v>
      </c>
      <c r="N75" s="20" t="n">
        <v>0</v>
      </c>
      <c r="O75" s="18" t="n">
        <v>0</v>
      </c>
      <c r="P75" s="20" t="n">
        <v>0</v>
      </c>
      <c r="Q75" s="18" t="n">
        <v>0</v>
      </c>
      <c r="R75" s="20" t="n">
        <v>0</v>
      </c>
    </row>
    <row r="76" spans="1:18">
      <c r="A76" s="15" t="s">
        <v>636</v>
      </c>
      <c r="B76" s="17" t="n">
        <v>7052</v>
      </c>
      <c r="C76" s="18">
        <f>(6269.0/B76*100)</f>
        <v/>
      </c>
      <c r="D76" s="19" t="n">
        <v>783</v>
      </c>
      <c r="E76" s="18" t="n">
        <v>61.38482503</v>
      </c>
      <c r="F76" s="20" t="n">
        <v>2.09064034</v>
      </c>
      <c r="G76" s="18" t="n">
        <v>36.0938321</v>
      </c>
      <c r="H76" s="20" t="n">
        <v>1.99944505</v>
      </c>
      <c r="I76" s="18" t="s">
        <v>567</v>
      </c>
      <c r="J76" s="20" t="s">
        <v>567</v>
      </c>
      <c r="K76" s="18" t="n">
        <v>2.52134287</v>
      </c>
      <c r="L76" s="20" t="n">
        <v>0.67093375</v>
      </c>
      <c r="M76" s="18" t="n">
        <v>0</v>
      </c>
      <c r="N76" s="20" t="n">
        <v>0</v>
      </c>
      <c r="O76" s="18" t="n">
        <v>0</v>
      </c>
      <c r="P76" s="20" t="n">
        <v>0</v>
      </c>
      <c r="Q76" s="18" t="n">
        <v>0</v>
      </c>
      <c r="R76" s="20" t="n">
        <v>0</v>
      </c>
    </row>
    <row r="77" spans="1:18">
      <c r="A77" s="15" t="s">
        <v>637</v>
      </c>
      <c r="B77" s="17" t="n">
        <v>2908</v>
      </c>
      <c r="C77" s="18">
        <f>(2592.0/B77*100)</f>
        <v/>
      </c>
      <c r="D77" s="19" t="n">
        <v>316</v>
      </c>
      <c r="E77" s="18" t="n">
        <v>64.03623105</v>
      </c>
      <c r="F77" s="20" t="n">
        <v>3.02328615</v>
      </c>
      <c r="G77" s="18" t="n">
        <v>31.11239468</v>
      </c>
      <c r="H77" s="20" t="n">
        <v>3.05072661</v>
      </c>
      <c r="I77" s="18" t="s">
        <v>567</v>
      </c>
      <c r="J77" s="20" t="s">
        <v>567</v>
      </c>
      <c r="K77" s="18" t="n">
        <v>4.85137427</v>
      </c>
      <c r="L77" s="20" t="n">
        <v>1.35243265</v>
      </c>
      <c r="M77" s="18" t="n">
        <v>0</v>
      </c>
      <c r="N77" s="20" t="n">
        <v>0</v>
      </c>
      <c r="O77" s="18" t="n">
        <v>0</v>
      </c>
      <c r="P77" s="20" t="n">
        <v>0</v>
      </c>
      <c r="Q77" s="18" t="n">
        <v>0</v>
      </c>
      <c r="R77" s="20" t="n">
        <v>0</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(3683.0/B81*100)</f>
        <v/>
      </c>
      <c r="D81" s="19" t="n">
        <v>480</v>
      </c>
      <c r="E81" s="18" t="n">
        <v>66.49853917999999</v>
      </c>
      <c r="F81" s="20" t="n">
        <v>2.55106032</v>
      </c>
      <c r="G81" s="18" t="n">
        <v>33.155796</v>
      </c>
      <c r="H81" s="20" t="n">
        <v>2.56747368</v>
      </c>
      <c r="I81" s="18" t="s">
        <v>567</v>
      </c>
      <c r="J81" s="20" t="s">
        <v>567</v>
      </c>
      <c r="K81" s="18" t="n">
        <v>0.34566483</v>
      </c>
      <c r="L81" s="20" t="n">
        <v>0.34059978</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(6561.0/B7*100)</f>
        <v/>
      </c>
      <c r="D7" s="19" t="n">
        <v>806</v>
      </c>
      <c r="E7" s="18" t="n">
        <v>30.03832672</v>
      </c>
      <c r="F7" s="20" t="n">
        <v>2.02991079</v>
      </c>
      <c r="G7" s="18" t="n">
        <v>68.69327869</v>
      </c>
      <c r="H7" s="20" t="n">
        <v>2.00898605</v>
      </c>
      <c r="I7" s="18" t="s">
        <v>567</v>
      </c>
      <c r="J7" s="20" t="s">
        <v>567</v>
      </c>
      <c r="K7" s="18" t="n">
        <v>0.1587961</v>
      </c>
      <c r="L7" s="20" t="n">
        <v>0.17491043</v>
      </c>
      <c r="M7" s="18" t="n">
        <v>0</v>
      </c>
      <c r="N7" s="20" t="n">
        <v>0</v>
      </c>
      <c r="O7" s="18" t="n">
        <v>0</v>
      </c>
      <c r="P7" s="20" t="n">
        <v>0</v>
      </c>
      <c r="Q7" s="18" t="n">
        <v>1.10959849</v>
      </c>
      <c r="R7" s="20" t="n">
        <v>0.41694651</v>
      </c>
    </row>
    <row r="8" spans="1:18">
      <c r="A8" s="15" t="s">
        <v>568</v>
      </c>
      <c r="B8" s="17" t="n">
        <v>3564</v>
      </c>
      <c r="C8" s="18">
        <f>(3169.0/B8*100)</f>
        <v/>
      </c>
      <c r="D8" s="19" t="n">
        <v>395</v>
      </c>
      <c r="E8" s="18" t="n">
        <v>27.648695</v>
      </c>
      <c r="F8" s="20" t="n">
        <v>2.67569559</v>
      </c>
      <c r="G8" s="18" t="n">
        <v>71.94857751000001</v>
      </c>
      <c r="H8" s="20" t="n">
        <v>2.67310625</v>
      </c>
      <c r="I8" s="18" t="s">
        <v>567</v>
      </c>
      <c r="J8" s="20" t="s">
        <v>567</v>
      </c>
      <c r="K8" s="18" t="n">
        <v>0</v>
      </c>
      <c r="L8" s="20" t="n">
        <v>0</v>
      </c>
      <c r="M8" s="18" t="n">
        <v>0</v>
      </c>
      <c r="N8" s="20" t="n">
        <v>0</v>
      </c>
      <c r="O8" s="18" t="n">
        <v>0</v>
      </c>
      <c r="P8" s="20" t="n">
        <v>0</v>
      </c>
      <c r="Q8" s="18" t="n">
        <v>0.40272749</v>
      </c>
      <c r="R8" s="20" t="n">
        <v>0.31697752</v>
      </c>
    </row>
    <row r="9" spans="1:18">
      <c r="A9" s="15" t="s">
        <v>569</v>
      </c>
      <c r="B9" s="17" t="n">
        <v>4899</v>
      </c>
      <c r="C9" s="18">
        <f>(4393.0/B9*100)</f>
        <v/>
      </c>
      <c r="D9" s="19" t="n">
        <v>506</v>
      </c>
      <c r="E9" s="18" t="n">
        <v>35.87044706</v>
      </c>
      <c r="F9" s="20" t="n">
        <v>2.06297703</v>
      </c>
      <c r="G9" s="18" t="n">
        <v>63.32143581</v>
      </c>
      <c r="H9" s="20" t="n">
        <v>2.16662068</v>
      </c>
      <c r="I9" s="18" t="s">
        <v>567</v>
      </c>
      <c r="J9" s="20" t="s">
        <v>567</v>
      </c>
      <c r="K9" s="18" t="n">
        <v>0.1724801</v>
      </c>
      <c r="L9" s="20" t="n">
        <v>0.25243726</v>
      </c>
      <c r="M9" s="18" t="n">
        <v>0</v>
      </c>
      <c r="N9" s="20" t="n">
        <v>0</v>
      </c>
      <c r="O9" s="18" t="n">
        <v>0</v>
      </c>
      <c r="P9" s="20" t="n">
        <v>0</v>
      </c>
      <c r="Q9" s="18" t="n">
        <v>0.63563702</v>
      </c>
      <c r="R9" s="20" t="n">
        <v>0.3554355</v>
      </c>
    </row>
    <row r="10" spans="1:18">
      <c r="A10" s="15" t="s">
        <v>570</v>
      </c>
      <c r="B10" s="17" t="n">
        <v>10036</v>
      </c>
      <c r="C10" s="18">
        <f>(8902.0/B10*100)</f>
        <v/>
      </c>
      <c r="D10" s="19" t="n">
        <v>1134</v>
      </c>
      <c r="E10" s="18" t="n">
        <v>30.02062673</v>
      </c>
      <c r="F10" s="20" t="n">
        <v>1.85615777</v>
      </c>
      <c r="G10" s="18" t="n">
        <v>69.45947853</v>
      </c>
      <c r="H10" s="20" t="n">
        <v>1.80017223</v>
      </c>
      <c r="I10" s="18" t="s">
        <v>567</v>
      </c>
      <c r="J10" s="20" t="s">
        <v>567</v>
      </c>
      <c r="K10" s="18" t="n">
        <v>0</v>
      </c>
      <c r="L10" s="20" t="n">
        <v>0</v>
      </c>
      <c r="M10" s="18" t="n">
        <v>0</v>
      </c>
      <c r="N10" s="20" t="n">
        <v>0</v>
      </c>
      <c r="O10" s="18" t="n">
        <v>0</v>
      </c>
      <c r="P10" s="20" t="n">
        <v>0</v>
      </c>
      <c r="Q10" s="18" t="n">
        <v>0.51989474</v>
      </c>
      <c r="R10" s="20" t="n">
        <v>0.32431542</v>
      </c>
    </row>
    <row r="11" spans="1:18">
      <c r="A11" s="15" t="s">
        <v>571</v>
      </c>
      <c r="B11" s="17" t="n">
        <v>3553</v>
      </c>
      <c r="C11" s="18">
        <f>(3164.0/B11*100)</f>
        <v/>
      </c>
      <c r="D11" s="19" t="n">
        <v>389</v>
      </c>
      <c r="E11" s="18" t="n">
        <v>42.54486601</v>
      </c>
      <c r="F11" s="20" t="n">
        <v>2.9672155</v>
      </c>
      <c r="G11" s="18" t="n">
        <v>52.73261435</v>
      </c>
      <c r="H11" s="20" t="n">
        <v>3.32468745</v>
      </c>
      <c r="I11" s="18" t="s">
        <v>567</v>
      </c>
      <c r="J11" s="20" t="s">
        <v>567</v>
      </c>
      <c r="K11" s="18" t="n">
        <v>0.8043823</v>
      </c>
      <c r="L11" s="20" t="n">
        <v>0.51981059</v>
      </c>
      <c r="M11" s="18" t="n">
        <v>0</v>
      </c>
      <c r="N11" s="20" t="n">
        <v>0</v>
      </c>
      <c r="O11" s="18" t="n">
        <v>0</v>
      </c>
      <c r="P11" s="20" t="n">
        <v>0</v>
      </c>
      <c r="Q11" s="18" t="n">
        <v>3.91813734</v>
      </c>
      <c r="R11" s="20" t="n">
        <v>1.20337905</v>
      </c>
    </row>
    <row r="12" spans="1:18">
      <c r="A12" s="15" t="s">
        <v>572</v>
      </c>
      <c r="B12" s="17" t="n">
        <v>3472</v>
      </c>
      <c r="C12" s="18">
        <f>(3083.0/B12*100)</f>
        <v/>
      </c>
      <c r="D12" s="19" t="n">
        <v>389</v>
      </c>
      <c r="E12" s="18" t="n">
        <v>26.76414764</v>
      </c>
      <c r="F12" s="20" t="n">
        <v>2.67634742</v>
      </c>
      <c r="G12" s="18" t="n">
        <v>72.86993502</v>
      </c>
      <c r="H12" s="20" t="n">
        <v>2.69145841</v>
      </c>
      <c r="I12" s="18" t="s">
        <v>567</v>
      </c>
      <c r="J12" s="20" t="s">
        <v>567</v>
      </c>
      <c r="K12" s="18" t="n">
        <v>0</v>
      </c>
      <c r="L12" s="20" t="n">
        <v>0</v>
      </c>
      <c r="M12" s="18" t="n">
        <v>0</v>
      </c>
      <c r="N12" s="20" t="n">
        <v>0</v>
      </c>
      <c r="O12" s="18" t="n">
        <v>0</v>
      </c>
      <c r="P12" s="20" t="n">
        <v>0</v>
      </c>
      <c r="Q12" s="18" t="n">
        <v>0.36591734</v>
      </c>
      <c r="R12" s="20" t="n">
        <v>0.37362765</v>
      </c>
    </row>
    <row r="13" spans="1:18">
      <c r="A13" s="15" t="s">
        <v>573</v>
      </c>
      <c r="B13" s="17" t="n">
        <v>3559</v>
      </c>
      <c r="C13" s="18">
        <f>(3204.0/B13*100)</f>
        <v/>
      </c>
      <c r="D13" s="19" t="n">
        <v>355</v>
      </c>
      <c r="E13" s="18" t="n">
        <v>26.25138241</v>
      </c>
      <c r="F13" s="20" t="n">
        <v>2.76753542</v>
      </c>
      <c r="G13" s="18" t="n">
        <v>73.15469247</v>
      </c>
      <c r="H13" s="20" t="n">
        <v>2.86933864</v>
      </c>
      <c r="I13" s="18" t="s">
        <v>567</v>
      </c>
      <c r="J13" s="20" t="s">
        <v>567</v>
      </c>
      <c r="K13" s="18" t="n">
        <v>0.34234111</v>
      </c>
      <c r="L13" s="20" t="n">
        <v>0.35924639</v>
      </c>
      <c r="M13" s="18" t="n">
        <v>0</v>
      </c>
      <c r="N13" s="20" t="n">
        <v>0</v>
      </c>
      <c r="O13" s="18" t="n">
        <v>0</v>
      </c>
      <c r="P13" s="20" t="n">
        <v>0</v>
      </c>
      <c r="Q13" s="18" t="n">
        <v>0.25158401</v>
      </c>
      <c r="R13" s="20" t="n">
        <v>0.19548839</v>
      </c>
    </row>
    <row r="14" spans="1:18">
      <c r="A14" s="15" t="s">
        <v>574</v>
      </c>
      <c r="B14" s="17" t="n">
        <v>2799</v>
      </c>
      <c r="C14" s="18">
        <f>(2469.0/B14*100)</f>
        <v/>
      </c>
      <c r="D14" s="19" t="n">
        <v>330</v>
      </c>
      <c r="E14" s="18" t="n">
        <v>30.12250011</v>
      </c>
      <c r="F14" s="20" t="n">
        <v>2.41749917</v>
      </c>
      <c r="G14" s="18" t="n">
        <v>68.92781429</v>
      </c>
      <c r="H14" s="20" t="n">
        <v>2.5200702</v>
      </c>
      <c r="I14" s="18" t="s">
        <v>567</v>
      </c>
      <c r="J14" s="20" t="s">
        <v>567</v>
      </c>
      <c r="K14" s="18" t="n">
        <v>0</v>
      </c>
      <c r="L14" s="20" t="n">
        <v>0</v>
      </c>
      <c r="M14" s="18" t="n">
        <v>0</v>
      </c>
      <c r="N14" s="20" t="n">
        <v>0</v>
      </c>
      <c r="O14" s="18" t="n">
        <v>0</v>
      </c>
      <c r="P14" s="20" t="n">
        <v>0</v>
      </c>
      <c r="Q14" s="18" t="n">
        <v>0.94968561</v>
      </c>
      <c r="R14" s="20" t="n">
        <v>0.7423935699999999</v>
      </c>
    </row>
    <row r="15" spans="1:18">
      <c r="A15" s="15" t="s">
        <v>575</v>
      </c>
      <c r="B15" s="17" t="n">
        <v>3019</v>
      </c>
      <c r="C15" s="18">
        <f>(2699.0/B15*100)</f>
        <v/>
      </c>
      <c r="D15" s="19" t="n">
        <v>320</v>
      </c>
      <c r="E15" s="18" t="n">
        <v>27.54857396</v>
      </c>
      <c r="F15" s="20" t="n">
        <v>2.55631392</v>
      </c>
      <c r="G15" s="18" t="n">
        <v>71.38194547000001</v>
      </c>
      <c r="H15" s="20" t="n">
        <v>2.5736054</v>
      </c>
      <c r="I15" s="18" t="s">
        <v>567</v>
      </c>
      <c r="J15" s="20" t="s">
        <v>567</v>
      </c>
      <c r="K15" s="18" t="n">
        <v>0.13083052</v>
      </c>
      <c r="L15" s="20" t="n">
        <v>0.13056289</v>
      </c>
      <c r="M15" s="18" t="n">
        <v>0</v>
      </c>
      <c r="N15" s="20" t="n">
        <v>0</v>
      </c>
      <c r="O15" s="18" t="n">
        <v>0</v>
      </c>
      <c r="P15" s="20" t="n">
        <v>0</v>
      </c>
      <c r="Q15" s="18" t="n">
        <v>0.93865006</v>
      </c>
      <c r="R15" s="20" t="n">
        <v>0.54221011</v>
      </c>
    </row>
    <row r="16" spans="1:18">
      <c r="A16" s="15" t="s">
        <v>576</v>
      </c>
      <c r="B16" s="17" t="n">
        <v>2997</v>
      </c>
      <c r="C16" s="18">
        <f>(2641.0/B16*100)</f>
        <v/>
      </c>
      <c r="D16" s="19" t="n">
        <v>356</v>
      </c>
      <c r="E16" s="18" t="n">
        <v>30.59106822</v>
      </c>
      <c r="F16" s="20" t="n">
        <v>2.51340045</v>
      </c>
      <c r="G16" s="18" t="n">
        <v>67.60011977000001</v>
      </c>
      <c r="H16" s="20" t="n">
        <v>2.74099256</v>
      </c>
      <c r="I16" s="18" t="s">
        <v>567</v>
      </c>
      <c r="J16" s="20" t="s">
        <v>567</v>
      </c>
      <c r="K16" s="18" t="n">
        <v>0.28285767</v>
      </c>
      <c r="L16" s="20" t="n">
        <v>0.30409831</v>
      </c>
      <c r="M16" s="18" t="n">
        <v>0</v>
      </c>
      <c r="N16" s="20" t="n">
        <v>0</v>
      </c>
      <c r="O16" s="18" t="n">
        <v>0</v>
      </c>
      <c r="P16" s="20" t="n">
        <v>0</v>
      </c>
      <c r="Q16" s="18" t="n">
        <v>1.52595434</v>
      </c>
      <c r="R16" s="20" t="n">
        <v>0.79776937</v>
      </c>
    </row>
    <row r="17" spans="1:18">
      <c r="A17" s="15" t="s">
        <v>577</v>
      </c>
      <c r="B17" s="17" t="n">
        <v>3307</v>
      </c>
      <c r="C17" s="18">
        <f>(2974.0/B17*100)</f>
        <v/>
      </c>
      <c r="D17" s="19" t="n">
        <v>333</v>
      </c>
      <c r="E17" s="18" t="n">
        <v>28.86050371</v>
      </c>
      <c r="F17" s="20" t="n">
        <v>2.54849977</v>
      </c>
      <c r="G17" s="18" t="n">
        <v>70.66810268</v>
      </c>
      <c r="H17" s="20" t="n">
        <v>2.53942874</v>
      </c>
      <c r="I17" s="18" t="s">
        <v>567</v>
      </c>
      <c r="J17" s="20" t="s">
        <v>567</v>
      </c>
      <c r="K17" s="18" t="n">
        <v>0.47139361</v>
      </c>
      <c r="L17" s="20" t="n">
        <v>0.3850154</v>
      </c>
      <c r="M17" s="18" t="n">
        <v>0</v>
      </c>
      <c r="N17" s="20" t="n">
        <v>0</v>
      </c>
      <c r="O17" s="18" t="n">
        <v>0</v>
      </c>
      <c r="P17" s="20" t="n">
        <v>0</v>
      </c>
      <c r="Q17" s="18" t="n">
        <v>0</v>
      </c>
      <c r="R17" s="20" t="n">
        <v>0</v>
      </c>
    </row>
    <row r="18" spans="1:18">
      <c r="A18" s="15" t="s">
        <v>578</v>
      </c>
      <c r="B18" s="17" t="n">
        <v>2826</v>
      </c>
      <c r="C18" s="18">
        <f>(2499.0/B18*100)</f>
        <v/>
      </c>
      <c r="D18" s="19" t="n">
        <v>327</v>
      </c>
      <c r="E18" s="18" t="n">
        <v>45.49878565</v>
      </c>
      <c r="F18" s="20" t="n">
        <v>2.81941333</v>
      </c>
      <c r="G18" s="18" t="n">
        <v>53.90060746</v>
      </c>
      <c r="H18" s="20" t="n">
        <v>2.75510625</v>
      </c>
      <c r="I18" s="18" t="s">
        <v>567</v>
      </c>
      <c r="J18" s="20" t="s">
        <v>567</v>
      </c>
      <c r="K18" s="18" t="n">
        <v>0.25026061</v>
      </c>
      <c r="L18" s="20" t="n">
        <v>0.25182988</v>
      </c>
      <c r="M18" s="18" t="n">
        <v>0</v>
      </c>
      <c r="N18" s="20" t="n">
        <v>0</v>
      </c>
      <c r="O18" s="18" t="n">
        <v>0</v>
      </c>
      <c r="P18" s="20" t="n">
        <v>0</v>
      </c>
      <c r="Q18" s="18" t="n">
        <v>0.35034628</v>
      </c>
      <c r="R18" s="20" t="n">
        <v>0.35018796</v>
      </c>
    </row>
    <row r="19" spans="1:18">
      <c r="A19" s="15" t="s">
        <v>579</v>
      </c>
      <c r="B19" s="17" t="n">
        <v>2808</v>
      </c>
      <c r="C19" s="18">
        <f>(2506.0/B19*100)</f>
        <v/>
      </c>
      <c r="D19" s="19" t="n">
        <v>302</v>
      </c>
      <c r="E19" s="18" t="n">
        <v>32.35217457</v>
      </c>
      <c r="F19" s="20" t="n">
        <v>3.24554469</v>
      </c>
      <c r="G19" s="18" t="n">
        <v>66.67222461999999</v>
      </c>
      <c r="H19" s="20" t="n">
        <v>3.34707068</v>
      </c>
      <c r="I19" s="18" t="s">
        <v>567</v>
      </c>
      <c r="J19" s="20" t="s">
        <v>567</v>
      </c>
      <c r="K19" s="18" t="n">
        <v>0</v>
      </c>
      <c r="L19" s="20" t="n">
        <v>0</v>
      </c>
      <c r="M19" s="18" t="n">
        <v>0</v>
      </c>
      <c r="N19" s="20" t="n">
        <v>0</v>
      </c>
      <c r="O19" s="18" t="n">
        <v>0</v>
      </c>
      <c r="P19" s="20" t="n">
        <v>0</v>
      </c>
      <c r="Q19" s="18" t="n">
        <v>0.97560081</v>
      </c>
      <c r="R19" s="20" t="n">
        <v>0.51040492</v>
      </c>
    </row>
    <row r="20" spans="1:18">
      <c r="A20" s="15" t="s">
        <v>580</v>
      </c>
      <c r="B20" s="17" t="n">
        <v>1630</v>
      </c>
      <c r="C20" s="18">
        <f>(1450.0/B20*100)</f>
        <v/>
      </c>
      <c r="D20" s="19" t="n">
        <v>180</v>
      </c>
      <c r="E20" s="18" t="n">
        <v>39.18331639</v>
      </c>
      <c r="F20" s="20" t="n">
        <v>3.46059561</v>
      </c>
      <c r="G20" s="18" t="n">
        <v>57.35993783</v>
      </c>
      <c r="H20" s="20" t="n">
        <v>3.62930989</v>
      </c>
      <c r="I20" s="18" t="s">
        <v>567</v>
      </c>
      <c r="J20" s="20" t="s">
        <v>567</v>
      </c>
      <c r="K20" s="18" t="n">
        <v>1.1115796</v>
      </c>
      <c r="L20" s="20" t="n">
        <v>0.7876132</v>
      </c>
      <c r="M20" s="18" t="n">
        <v>0</v>
      </c>
      <c r="N20" s="20" t="n">
        <v>0</v>
      </c>
      <c r="O20" s="18" t="n">
        <v>0</v>
      </c>
      <c r="P20" s="20" t="n">
        <v>0</v>
      </c>
      <c r="Q20" s="18" t="n">
        <v>2.34516618</v>
      </c>
      <c r="R20" s="20" t="n">
        <v>1.14667653</v>
      </c>
    </row>
    <row r="21" spans="1:18">
      <c r="A21" s="15" t="s">
        <v>581</v>
      </c>
      <c r="B21" s="17" t="n">
        <v>2908</v>
      </c>
      <c r="C21" s="18">
        <f>(2569.0/B21*100)</f>
        <v/>
      </c>
      <c r="D21" s="19" t="n">
        <v>339</v>
      </c>
      <c r="E21" s="18" t="n">
        <v>32.05906296</v>
      </c>
      <c r="F21" s="20" t="n">
        <v>2.17683757</v>
      </c>
      <c r="G21" s="18" t="n">
        <v>67.34778521</v>
      </c>
      <c r="H21" s="20" t="n">
        <v>2.20737457</v>
      </c>
      <c r="I21" s="18" t="s">
        <v>567</v>
      </c>
      <c r="J21" s="20" t="s">
        <v>567</v>
      </c>
      <c r="K21" s="18" t="n">
        <v>0</v>
      </c>
      <c r="L21" s="20" t="n">
        <v>0</v>
      </c>
      <c r="M21" s="18" t="n">
        <v>0</v>
      </c>
      <c r="N21" s="20" t="n">
        <v>0</v>
      </c>
      <c r="O21" s="18" t="n">
        <v>0</v>
      </c>
      <c r="P21" s="20" t="n">
        <v>0</v>
      </c>
      <c r="Q21" s="18" t="n">
        <v>0.59315183</v>
      </c>
      <c r="R21" s="20" t="n">
        <v>0.48011636</v>
      </c>
    </row>
    <row r="22" spans="1:18">
      <c r="A22" s="15" t="s">
        <v>582</v>
      </c>
      <c r="B22" s="17" t="n">
        <v>2931</v>
      </c>
      <c r="C22" s="18">
        <f>(2609.0/B22*100)</f>
        <v/>
      </c>
      <c r="D22" s="19" t="n">
        <v>322</v>
      </c>
      <c r="E22" s="18" t="n">
        <v>38.59677284</v>
      </c>
      <c r="F22" s="20" t="n">
        <v>2.6698886</v>
      </c>
      <c r="G22" s="18" t="n">
        <v>60.62100369</v>
      </c>
      <c r="H22" s="20" t="n">
        <v>2.69312078</v>
      </c>
      <c r="I22" s="18" t="s">
        <v>567</v>
      </c>
      <c r="J22" s="20" t="s">
        <v>567</v>
      </c>
      <c r="K22" s="18" t="n">
        <v>0.54951775</v>
      </c>
      <c r="L22" s="20" t="n">
        <v>0.53441574</v>
      </c>
      <c r="M22" s="18" t="n">
        <v>0</v>
      </c>
      <c r="N22" s="20" t="n">
        <v>0</v>
      </c>
      <c r="O22" s="18" t="n">
        <v>0</v>
      </c>
      <c r="P22" s="20" t="n">
        <v>0</v>
      </c>
      <c r="Q22" s="18" t="n">
        <v>0.23270572</v>
      </c>
      <c r="R22" s="20" t="n">
        <v>0.22927567</v>
      </c>
    </row>
    <row r="23" spans="1:18">
      <c r="A23" s="15" t="s">
        <v>583</v>
      </c>
      <c r="B23" s="17" t="n">
        <v>5791</v>
      </c>
      <c r="C23" s="18">
        <f>(5192.0/B23*100)</f>
        <v/>
      </c>
      <c r="D23" s="19" t="n">
        <v>599</v>
      </c>
      <c r="E23" s="18" t="n">
        <v>39.30237306</v>
      </c>
      <c r="F23" s="20" t="n">
        <v>3.16647546</v>
      </c>
      <c r="G23" s="18" t="n">
        <v>60.69251621</v>
      </c>
      <c r="H23" s="20" t="n">
        <v>3.16620874</v>
      </c>
      <c r="I23" s="18" t="s">
        <v>567</v>
      </c>
      <c r="J23" s="20" t="s">
        <v>567</v>
      </c>
      <c r="K23" s="18" t="n">
        <v>0</v>
      </c>
      <c r="L23" s="20" t="n">
        <v>0</v>
      </c>
      <c r="M23" s="18" t="n">
        <v>0</v>
      </c>
      <c r="N23" s="20" t="n">
        <v>0</v>
      </c>
      <c r="O23" s="18" t="n">
        <v>0</v>
      </c>
      <c r="P23" s="20" t="n">
        <v>0</v>
      </c>
      <c r="Q23" s="18" t="n">
        <v>0.00511073</v>
      </c>
      <c r="R23" s="20" t="n">
        <v>0.00487848</v>
      </c>
    </row>
    <row r="24" spans="1:18">
      <c r="A24" s="15" t="s">
        <v>584</v>
      </c>
      <c r="B24" s="17" t="n">
        <v>3338</v>
      </c>
      <c r="C24" s="18">
        <f>(2955.0/B24*100)</f>
        <v/>
      </c>
      <c r="D24" s="19" t="n">
        <v>383</v>
      </c>
      <c r="E24" s="18" t="n">
        <v>21.95117213</v>
      </c>
      <c r="F24" s="20" t="n">
        <v>2.08477614</v>
      </c>
      <c r="G24" s="18" t="n">
        <v>77.80259816</v>
      </c>
      <c r="H24" s="20" t="n">
        <v>2.07354458</v>
      </c>
      <c r="I24" s="18" t="s">
        <v>567</v>
      </c>
      <c r="J24" s="20" t="s">
        <v>567</v>
      </c>
      <c r="K24" s="18" t="n">
        <v>0</v>
      </c>
      <c r="L24" s="20" t="n">
        <v>0</v>
      </c>
      <c r="M24" s="18" t="n">
        <v>0</v>
      </c>
      <c r="N24" s="20" t="n">
        <v>0</v>
      </c>
      <c r="O24" s="18" t="n">
        <v>0</v>
      </c>
      <c r="P24" s="20" t="n">
        <v>0</v>
      </c>
      <c r="Q24" s="18" t="n">
        <v>0.24622971</v>
      </c>
      <c r="R24" s="20" t="n">
        <v>0.2469484</v>
      </c>
    </row>
    <row r="25" spans="1:18">
      <c r="A25" s="15" t="s">
        <v>585</v>
      </c>
      <c r="B25" s="17" t="n">
        <v>2912</v>
      </c>
      <c r="C25" s="18">
        <f>(2602.0/B25*100)</f>
        <v/>
      </c>
      <c r="D25" s="19" t="n">
        <v>310</v>
      </c>
      <c r="E25" s="18" t="n">
        <v>43.31125138</v>
      </c>
      <c r="F25" s="20" t="n">
        <v>2.56671641</v>
      </c>
      <c r="G25" s="18" t="n">
        <v>54.91420937</v>
      </c>
      <c r="H25" s="20" t="n">
        <v>2.49549226</v>
      </c>
      <c r="I25" s="18" t="s">
        <v>567</v>
      </c>
      <c r="J25" s="20" t="s">
        <v>567</v>
      </c>
      <c r="K25" s="18" t="n">
        <v>0</v>
      </c>
      <c r="L25" s="20" t="n">
        <v>0</v>
      </c>
      <c r="M25" s="18" t="n">
        <v>0</v>
      </c>
      <c r="N25" s="20" t="n">
        <v>0</v>
      </c>
      <c r="O25" s="18" t="n">
        <v>0</v>
      </c>
      <c r="P25" s="20" t="n">
        <v>0</v>
      </c>
      <c r="Q25" s="18" t="n">
        <v>1.77453925</v>
      </c>
      <c r="R25" s="20" t="n">
        <v>0.74799252</v>
      </c>
    </row>
    <row r="26" spans="1:18">
      <c r="A26" s="15" t="s">
        <v>586</v>
      </c>
      <c r="B26" s="17" t="n">
        <v>2450</v>
      </c>
      <c r="C26" s="18">
        <f>(2165.0/B26*100)</f>
        <v/>
      </c>
      <c r="D26" s="19" t="n">
        <v>285</v>
      </c>
      <c r="E26" s="18" t="n">
        <v>34.32071437</v>
      </c>
      <c r="F26" s="20" t="n">
        <v>2.47375287</v>
      </c>
      <c r="G26" s="18" t="n">
        <v>64.93779696</v>
      </c>
      <c r="H26" s="20" t="n">
        <v>2.47010623</v>
      </c>
      <c r="I26" s="18" t="s">
        <v>567</v>
      </c>
      <c r="J26" s="20" t="s">
        <v>567</v>
      </c>
      <c r="K26" s="18" t="n">
        <v>0</v>
      </c>
      <c r="L26" s="20" t="n">
        <v>0</v>
      </c>
      <c r="M26" s="18" t="n">
        <v>0</v>
      </c>
      <c r="N26" s="20" t="n">
        <v>0</v>
      </c>
      <c r="O26" s="18" t="n">
        <v>0</v>
      </c>
      <c r="P26" s="20" t="n">
        <v>0</v>
      </c>
      <c r="Q26" s="18" t="n">
        <v>0.74148867</v>
      </c>
      <c r="R26" s="20" t="n">
        <v>0.43578779</v>
      </c>
    </row>
    <row r="27" spans="1:18">
      <c r="A27" s="15" t="s">
        <v>587</v>
      </c>
      <c r="B27" s="17" t="n">
        <v>2616</v>
      </c>
      <c r="C27" s="18">
        <f>(2307.0/B27*100)</f>
        <v/>
      </c>
      <c r="D27" s="19" t="n">
        <v>309</v>
      </c>
      <c r="E27" s="18" t="n">
        <v>35.45450608</v>
      </c>
      <c r="F27" s="20" t="n">
        <v>2.68153683</v>
      </c>
      <c r="G27" s="18" t="n">
        <v>63.58384827</v>
      </c>
      <c r="H27" s="20" t="n">
        <v>2.59328859</v>
      </c>
      <c r="I27" s="18" t="s">
        <v>567</v>
      </c>
      <c r="J27" s="20" t="s">
        <v>567</v>
      </c>
      <c r="K27" s="18" t="n">
        <v>0.63897486</v>
      </c>
      <c r="L27" s="20" t="n">
        <v>0.44931018</v>
      </c>
      <c r="M27" s="18" t="n">
        <v>0</v>
      </c>
      <c r="N27" s="20" t="n">
        <v>0</v>
      </c>
      <c r="O27" s="18" t="n">
        <v>0</v>
      </c>
      <c r="P27" s="20" t="n">
        <v>0</v>
      </c>
      <c r="Q27" s="18" t="n">
        <v>0.32267079</v>
      </c>
      <c r="R27" s="20" t="n">
        <v>0.32362333</v>
      </c>
    </row>
    <row r="28" spans="1:18">
      <c r="A28" s="15" t="s">
        <v>588</v>
      </c>
      <c r="B28" s="17" t="n">
        <v>3765</v>
      </c>
      <c r="C28" s="18">
        <f>(3335.0/B28*100)</f>
        <v/>
      </c>
      <c r="D28" s="19" t="n">
        <v>430</v>
      </c>
      <c r="E28" s="18" t="n">
        <v>47.42405046</v>
      </c>
      <c r="F28" s="20" t="n">
        <v>2.59804753</v>
      </c>
      <c r="G28" s="18" t="n">
        <v>51.59764731</v>
      </c>
      <c r="H28" s="20" t="n">
        <v>2.56601689</v>
      </c>
      <c r="I28" s="18" t="s">
        <v>567</v>
      </c>
      <c r="J28" s="20" t="s">
        <v>567</v>
      </c>
      <c r="K28" s="18" t="n">
        <v>0.12253333</v>
      </c>
      <c r="L28" s="20" t="n">
        <v>0.12126845</v>
      </c>
      <c r="M28" s="18" t="n">
        <v>0</v>
      </c>
      <c r="N28" s="20" t="n">
        <v>0</v>
      </c>
      <c r="O28" s="18" t="n">
        <v>0</v>
      </c>
      <c r="P28" s="20" t="n">
        <v>0</v>
      </c>
      <c r="Q28" s="18" t="n">
        <v>0.8557689000000001</v>
      </c>
      <c r="R28" s="20" t="n">
        <v>0.24714822</v>
      </c>
    </row>
    <row r="29" spans="1:18">
      <c r="A29" s="15" t="s">
        <v>589</v>
      </c>
      <c r="B29" s="17" t="n">
        <v>2685</v>
      </c>
      <c r="C29" s="18">
        <f>(2429.0/B29*100)</f>
        <v/>
      </c>
      <c r="D29" s="19" t="n">
        <v>256</v>
      </c>
      <c r="E29" s="18" t="n">
        <v>34.95292366</v>
      </c>
      <c r="F29" s="20" t="n">
        <v>3.14648136</v>
      </c>
      <c r="G29" s="18" t="n">
        <v>64.30666538</v>
      </c>
      <c r="H29" s="20" t="n">
        <v>3.20679117</v>
      </c>
      <c r="I29" s="18" t="s">
        <v>567</v>
      </c>
      <c r="J29" s="20" t="s">
        <v>567</v>
      </c>
      <c r="K29" s="18" t="n">
        <v>0.35316455</v>
      </c>
      <c r="L29" s="20" t="n">
        <v>0.3362382</v>
      </c>
      <c r="M29" s="18" t="n">
        <v>0</v>
      </c>
      <c r="N29" s="20" t="n">
        <v>0</v>
      </c>
      <c r="O29" s="18" t="n">
        <v>0</v>
      </c>
      <c r="P29" s="20" t="n">
        <v>0</v>
      </c>
      <c r="Q29" s="18" t="n">
        <v>0.3872464</v>
      </c>
      <c r="R29" s="20" t="n">
        <v>0.38368077</v>
      </c>
    </row>
    <row r="30" spans="1:18">
      <c r="A30" s="15" t="s">
        <v>590</v>
      </c>
      <c r="B30" s="17" t="n">
        <v>2263</v>
      </c>
      <c r="C30" s="18">
        <f>(1997.0/B30*100)</f>
        <v/>
      </c>
      <c r="D30" s="19" t="n">
        <v>266</v>
      </c>
      <c r="E30" s="18" t="n">
        <v>28.09736863</v>
      </c>
      <c r="F30" s="20" t="n">
        <v>2.61233882</v>
      </c>
      <c r="G30" s="18" t="n">
        <v>70.06088416</v>
      </c>
      <c r="H30" s="20" t="n">
        <v>2.72587396</v>
      </c>
      <c r="I30" s="18" t="s">
        <v>567</v>
      </c>
      <c r="J30" s="20" t="s">
        <v>567</v>
      </c>
      <c r="K30" s="18" t="n">
        <v>0</v>
      </c>
      <c r="L30" s="20" t="n">
        <v>0</v>
      </c>
      <c r="M30" s="18" t="n">
        <v>0</v>
      </c>
      <c r="N30" s="20" t="n">
        <v>0</v>
      </c>
      <c r="O30" s="18" t="n">
        <v>0</v>
      </c>
      <c r="P30" s="20" t="n">
        <v>0</v>
      </c>
      <c r="Q30" s="18" t="n">
        <v>1.8417472</v>
      </c>
      <c r="R30" s="20" t="n">
        <v>0.85200716</v>
      </c>
    </row>
    <row r="31" spans="1:18">
      <c r="A31" s="15" t="s">
        <v>591</v>
      </c>
      <c r="B31" s="17" t="n">
        <v>2750</v>
      </c>
      <c r="C31" s="18">
        <f>(2444.0/B31*100)</f>
        <v/>
      </c>
      <c r="D31" s="19" t="n">
        <v>306</v>
      </c>
      <c r="E31" s="18" t="n">
        <v>32.26951716</v>
      </c>
      <c r="F31" s="20" t="n">
        <v>2.43002026</v>
      </c>
      <c r="G31" s="18" t="n">
        <v>66.8784708</v>
      </c>
      <c r="H31" s="20" t="n">
        <v>2.36931799</v>
      </c>
      <c r="I31" s="18" t="s">
        <v>567</v>
      </c>
      <c r="J31" s="20" t="s">
        <v>567</v>
      </c>
      <c r="K31" s="18" t="n">
        <v>0.2395498</v>
      </c>
      <c r="L31" s="20" t="n">
        <v>0.23334126</v>
      </c>
      <c r="M31" s="18" t="n">
        <v>0</v>
      </c>
      <c r="N31" s="20" t="n">
        <v>0</v>
      </c>
      <c r="O31" s="18" t="n">
        <v>0</v>
      </c>
      <c r="P31" s="20" t="n">
        <v>0</v>
      </c>
      <c r="Q31" s="18" t="n">
        <v>0.61246224</v>
      </c>
      <c r="R31" s="20" t="n">
        <v>0.4389255</v>
      </c>
    </row>
    <row r="32" spans="1:18">
      <c r="A32" s="15" t="s">
        <v>592</v>
      </c>
      <c r="B32" s="17" t="n">
        <v>2269</v>
      </c>
      <c r="C32" s="18">
        <f>(2029.0/B32*100)</f>
        <v/>
      </c>
      <c r="D32" s="19" t="n">
        <v>240</v>
      </c>
      <c r="E32" s="18" t="n">
        <v>34.28615336</v>
      </c>
      <c r="F32" s="20" t="n">
        <v>3.34837842</v>
      </c>
      <c r="G32" s="18" t="n">
        <v>65.71384664</v>
      </c>
      <c r="H32" s="20" t="n">
        <v>3.34837842</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(3259.0/B33*100)</f>
        <v/>
      </c>
      <c r="D33" s="19" t="n">
        <v>415</v>
      </c>
      <c r="E33" s="18" t="n">
        <v>36.08504921</v>
      </c>
      <c r="F33" s="20" t="n">
        <v>3.11778081</v>
      </c>
      <c r="G33" s="18" t="n">
        <v>63.22120672</v>
      </c>
      <c r="H33" s="20" t="n">
        <v>3.09513032</v>
      </c>
      <c r="I33" s="18" t="s">
        <v>567</v>
      </c>
      <c r="J33" s="20" t="s">
        <v>567</v>
      </c>
      <c r="K33" s="18" t="n">
        <v>0.12685149</v>
      </c>
      <c r="L33" s="20" t="n">
        <v>0.11791211</v>
      </c>
      <c r="M33" s="18" t="n">
        <v>0</v>
      </c>
      <c r="N33" s="20" t="n">
        <v>0</v>
      </c>
      <c r="O33" s="18" t="n">
        <v>0</v>
      </c>
      <c r="P33" s="20" t="n">
        <v>0</v>
      </c>
      <c r="Q33" s="18" t="n">
        <v>0.56689258</v>
      </c>
      <c r="R33" s="20" t="n">
        <v>0.26884951</v>
      </c>
    </row>
    <row r="34" spans="1:18">
      <c r="A34" s="15" t="s">
        <v>594</v>
      </c>
      <c r="B34" s="17" t="n">
        <v>3315</v>
      </c>
      <c r="C34" s="18">
        <f>(2985.0/B34*100)</f>
        <v/>
      </c>
      <c r="D34" s="19" t="n">
        <v>330</v>
      </c>
      <c r="E34" s="18" t="n">
        <v>45.51313585</v>
      </c>
      <c r="F34" s="20" t="n">
        <v>2.86471673</v>
      </c>
      <c r="G34" s="18" t="n">
        <v>53.18117605</v>
      </c>
      <c r="H34" s="20" t="n">
        <v>2.88851156</v>
      </c>
      <c r="I34" s="18" t="s">
        <v>567</v>
      </c>
      <c r="J34" s="20" t="s">
        <v>567</v>
      </c>
      <c r="K34" s="18" t="n">
        <v>0</v>
      </c>
      <c r="L34" s="20" t="n">
        <v>0</v>
      </c>
      <c r="M34" s="18" t="n">
        <v>0</v>
      </c>
      <c r="N34" s="20" t="n">
        <v>0</v>
      </c>
      <c r="O34" s="18" t="n">
        <v>0</v>
      </c>
      <c r="P34" s="20" t="n">
        <v>0</v>
      </c>
      <c r="Q34" s="18" t="n">
        <v>1.3056881</v>
      </c>
      <c r="R34" s="20" t="n">
        <v>0.7276072099999999</v>
      </c>
    </row>
    <row r="35" spans="1:18">
      <c r="A35" s="15" t="s">
        <v>595</v>
      </c>
      <c r="B35" s="17" t="n">
        <v>3505</v>
      </c>
      <c r="C35" s="18">
        <f>(3147.0/B35*100)</f>
        <v/>
      </c>
      <c r="D35" s="19" t="n">
        <v>358</v>
      </c>
      <c r="E35" s="18" t="n">
        <v>39.72468828</v>
      </c>
      <c r="F35" s="20" t="n">
        <v>3.22064712</v>
      </c>
      <c r="G35" s="18" t="n">
        <v>60.27531172</v>
      </c>
      <c r="H35" s="20" t="n">
        <v>3.22064712</v>
      </c>
      <c r="I35" s="18" t="s">
        <v>567</v>
      </c>
      <c r="J35" s="20" t="s">
        <v>567</v>
      </c>
      <c r="K35" s="18" t="n">
        <v>0</v>
      </c>
      <c r="L35" s="20" t="n">
        <v>0</v>
      </c>
      <c r="M35" s="18" t="n">
        <v>0</v>
      </c>
      <c r="N35" s="20" t="n">
        <v>0</v>
      </c>
      <c r="O35" s="18" t="n">
        <v>0</v>
      </c>
      <c r="P35" s="20" t="n">
        <v>0</v>
      </c>
      <c r="Q35" s="18" t="n">
        <v>0</v>
      </c>
      <c r="R35" s="20" t="n">
        <v>0</v>
      </c>
    </row>
    <row r="36" spans="1:18">
      <c r="A36" s="15" t="s">
        <v>596</v>
      </c>
      <c r="B36" s="17" t="n">
        <v>3332</v>
      </c>
      <c r="C36" s="18">
        <f>(2934.0/B36*100)</f>
        <v/>
      </c>
      <c r="D36" s="19" t="n">
        <v>398</v>
      </c>
      <c r="E36" s="18" t="n">
        <v>35.1775873</v>
      </c>
      <c r="F36" s="20" t="n">
        <v>2.52882116</v>
      </c>
      <c r="G36" s="18" t="n">
        <v>63.38363645</v>
      </c>
      <c r="H36" s="20" t="n">
        <v>2.49170757</v>
      </c>
      <c r="I36" s="18" t="s">
        <v>567</v>
      </c>
      <c r="J36" s="20" t="s">
        <v>567</v>
      </c>
      <c r="K36" s="18" t="n">
        <v>1.06834598</v>
      </c>
      <c r="L36" s="20" t="n">
        <v>0.5516994</v>
      </c>
      <c r="M36" s="18" t="n">
        <v>0</v>
      </c>
      <c r="N36" s="20" t="n">
        <v>0</v>
      </c>
      <c r="O36" s="18" t="n">
        <v>0</v>
      </c>
      <c r="P36" s="20" t="n">
        <v>0</v>
      </c>
      <c r="Q36" s="18" t="n">
        <v>0.37043027</v>
      </c>
      <c r="R36" s="20" t="n">
        <v>0.25972423</v>
      </c>
    </row>
    <row r="37" spans="1:18">
      <c r="A37" s="15" t="s">
        <v>597</v>
      </c>
      <c r="B37" s="17" t="n">
        <v>2727</v>
      </c>
      <c r="C37" s="18">
        <f>(2429.0/B37*100)</f>
        <v/>
      </c>
      <c r="D37" s="19" t="n">
        <v>298</v>
      </c>
      <c r="E37" s="18" t="n">
        <v>40.52617756</v>
      </c>
      <c r="F37" s="20" t="n">
        <v>3.11355329</v>
      </c>
      <c r="G37" s="18" t="n">
        <v>58.57354016</v>
      </c>
      <c r="H37" s="20" t="n">
        <v>3.07974827</v>
      </c>
      <c r="I37" s="18" t="s">
        <v>567</v>
      </c>
      <c r="J37" s="20" t="s">
        <v>567</v>
      </c>
      <c r="K37" s="18" t="n">
        <v>0</v>
      </c>
      <c r="L37" s="20" t="n">
        <v>0</v>
      </c>
      <c r="M37" s="18" t="n">
        <v>0</v>
      </c>
      <c r="N37" s="20" t="n">
        <v>0</v>
      </c>
      <c r="O37" s="18" t="n">
        <v>0</v>
      </c>
      <c r="P37" s="20" t="n">
        <v>0</v>
      </c>
      <c r="Q37" s="18" t="n">
        <v>0.90028228</v>
      </c>
      <c r="R37" s="20" t="n">
        <v>0.52886007</v>
      </c>
    </row>
    <row r="38" spans="1:18">
      <c r="A38" s="15" t="s">
        <v>598</v>
      </c>
      <c r="B38" s="17" t="n">
        <v>3053</v>
      </c>
      <c r="C38" s="18">
        <f>(2709.0/B38*100)</f>
        <v/>
      </c>
      <c r="D38" s="19" t="n">
        <v>344</v>
      </c>
      <c r="E38" s="18" t="n">
        <v>35.21233811</v>
      </c>
      <c r="F38" s="20" t="n">
        <v>2.6786247</v>
      </c>
      <c r="G38" s="18" t="n">
        <v>64.19637879</v>
      </c>
      <c r="H38" s="20" t="n">
        <v>2.68785302</v>
      </c>
      <c r="I38" s="18" t="s">
        <v>567</v>
      </c>
      <c r="J38" s="20" t="s">
        <v>567</v>
      </c>
      <c r="K38" s="18" t="n">
        <v>0</v>
      </c>
      <c r="L38" s="20" t="n">
        <v>0</v>
      </c>
      <c r="M38" s="18" t="n">
        <v>0</v>
      </c>
      <c r="N38" s="20" t="n">
        <v>0</v>
      </c>
      <c r="O38" s="18" t="n">
        <v>0</v>
      </c>
      <c r="P38" s="20" t="n">
        <v>0</v>
      </c>
      <c r="Q38" s="18" t="n">
        <v>0.5912831</v>
      </c>
      <c r="R38" s="20" t="n">
        <v>0.41897498</v>
      </c>
    </row>
    <row r="39" spans="1:18">
      <c r="A39" s="15" t="s">
        <v>599</v>
      </c>
      <c r="B39" s="17" t="n">
        <v>2957</v>
      </c>
      <c r="C39" s="18">
        <f>(2647.0/B39*100)</f>
        <v/>
      </c>
      <c r="D39" s="19" t="n">
        <v>310</v>
      </c>
      <c r="E39" s="18" t="n">
        <v>59.66832878</v>
      </c>
      <c r="F39" s="20" t="n">
        <v>3.08813869</v>
      </c>
      <c r="G39" s="18" t="n">
        <v>39.40769474</v>
      </c>
      <c r="H39" s="20" t="n">
        <v>3.14063763</v>
      </c>
      <c r="I39" s="18" t="s">
        <v>567</v>
      </c>
      <c r="J39" s="20" t="s">
        <v>567</v>
      </c>
      <c r="K39" s="18" t="n">
        <v>0</v>
      </c>
      <c r="L39" s="20" t="n">
        <v>0</v>
      </c>
      <c r="M39" s="18" t="n">
        <v>0</v>
      </c>
      <c r="N39" s="20" t="n">
        <v>0</v>
      </c>
      <c r="O39" s="18" t="n">
        <v>0</v>
      </c>
      <c r="P39" s="20" t="n">
        <v>0</v>
      </c>
      <c r="Q39" s="18" t="n">
        <v>0.92397647</v>
      </c>
      <c r="R39" s="20" t="n">
        <v>0.55998614</v>
      </c>
    </row>
    <row r="40" spans="1:18">
      <c r="A40" s="15" t="s">
        <v>600</v>
      </c>
      <c r="B40" s="17" t="n">
        <v>7235</v>
      </c>
      <c r="C40" s="18">
        <f>(6426.0/B40*100)</f>
        <v/>
      </c>
      <c r="D40" s="19" t="n">
        <v>809</v>
      </c>
      <c r="E40" s="18" t="n">
        <v>30.95152197</v>
      </c>
      <c r="F40" s="20" t="n">
        <v>2.78016936</v>
      </c>
      <c r="G40" s="18" t="n">
        <v>67.95510147</v>
      </c>
      <c r="H40" s="20" t="n">
        <v>2.7917622</v>
      </c>
      <c r="I40" s="18" t="s">
        <v>567</v>
      </c>
      <c r="J40" s="20" t="s">
        <v>567</v>
      </c>
      <c r="K40" s="18" t="n">
        <v>0</v>
      </c>
      <c r="L40" s="20" t="n">
        <v>0</v>
      </c>
      <c r="M40" s="18" t="n">
        <v>0</v>
      </c>
      <c r="N40" s="20" t="n">
        <v>0</v>
      </c>
      <c r="O40" s="18" t="n">
        <v>0</v>
      </c>
      <c r="P40" s="20" t="n">
        <v>0</v>
      </c>
      <c r="Q40" s="18" t="n">
        <v>1.09337656</v>
      </c>
      <c r="R40" s="20" t="n">
        <v>0.56239668</v>
      </c>
    </row>
    <row r="41" spans="1:18">
      <c r="A41" s="15" t="s">
        <v>601</v>
      </c>
      <c r="B41" s="17" t="n">
        <v>2858</v>
      </c>
      <c r="C41" s="18">
        <f>(2507.0/B41*100)</f>
        <v/>
      </c>
      <c r="D41" s="19" t="n">
        <v>351</v>
      </c>
      <c r="E41" s="18" t="n">
        <v>31.41500577</v>
      </c>
      <c r="F41" s="20" t="n">
        <v>2.71950172</v>
      </c>
      <c r="G41" s="18" t="n">
        <v>66.97374511</v>
      </c>
      <c r="H41" s="20" t="n">
        <v>2.57164774</v>
      </c>
      <c r="I41" s="18" t="s">
        <v>567</v>
      </c>
      <c r="J41" s="20" t="s">
        <v>567</v>
      </c>
      <c r="K41" s="18" t="n">
        <v>0</v>
      </c>
      <c r="L41" s="20" t="n">
        <v>0</v>
      </c>
      <c r="M41" s="18" t="n">
        <v>0</v>
      </c>
      <c r="N41" s="20" t="n">
        <v>0</v>
      </c>
      <c r="O41" s="18" t="n">
        <v>0</v>
      </c>
      <c r="P41" s="20" t="n">
        <v>0</v>
      </c>
      <c r="Q41" s="18" t="n">
        <v>1.61124912</v>
      </c>
      <c r="R41" s="20" t="n">
        <v>0.80987172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(9937.0/B46*100)</f>
        <v/>
      </c>
      <c r="D46" s="19" t="n">
        <v>1131</v>
      </c>
      <c r="E46" s="18" t="n">
        <v>62.13868548</v>
      </c>
      <c r="F46" s="20" t="n">
        <v>2.24544459</v>
      </c>
      <c r="G46" s="18" t="n">
        <v>34.61915347</v>
      </c>
      <c r="H46" s="20" t="n">
        <v>2.05981294</v>
      </c>
      <c r="I46" s="18" t="s">
        <v>567</v>
      </c>
      <c r="J46" s="20" t="s">
        <v>567</v>
      </c>
      <c r="K46" s="18" t="n">
        <v>0.48187227</v>
      </c>
      <c r="L46" s="20" t="n">
        <v>0.26140401</v>
      </c>
      <c r="M46" s="18" t="n">
        <v>0</v>
      </c>
      <c r="N46" s="20" t="n">
        <v>0</v>
      </c>
      <c r="O46" s="18" t="n">
        <v>0</v>
      </c>
      <c r="P46" s="20" t="n">
        <v>0</v>
      </c>
      <c r="Q46" s="18" t="n">
        <v>2.76028877</v>
      </c>
      <c r="R46" s="20" t="n">
        <v>0.66731673</v>
      </c>
    </row>
    <row r="47" spans="1:18">
      <c r="A47" s="15" t="s">
        <v>607</v>
      </c>
      <c r="B47" s="17" t="n">
        <v>3105</v>
      </c>
      <c r="C47" s="18">
        <f>(2755.0/B47*100)</f>
        <v/>
      </c>
      <c r="D47" s="19" t="n">
        <v>350</v>
      </c>
      <c r="E47" s="18" t="n">
        <v>46.37134988</v>
      </c>
      <c r="F47" s="20" t="n">
        <v>2.87029824</v>
      </c>
      <c r="G47" s="18" t="n">
        <v>51.06328533</v>
      </c>
      <c r="H47" s="20" t="n">
        <v>2.80225021</v>
      </c>
      <c r="I47" s="18" t="s">
        <v>567</v>
      </c>
      <c r="J47" s="20" t="s">
        <v>567</v>
      </c>
      <c r="K47" s="18" t="n">
        <v>0.53459526</v>
      </c>
      <c r="L47" s="20" t="n">
        <v>0.40385038</v>
      </c>
      <c r="M47" s="18" t="n">
        <v>0</v>
      </c>
      <c r="N47" s="20" t="n">
        <v>0</v>
      </c>
      <c r="O47" s="18" t="n">
        <v>0</v>
      </c>
      <c r="P47" s="20" t="n">
        <v>0</v>
      </c>
      <c r="Q47" s="18" t="n">
        <v>2.03076953</v>
      </c>
      <c r="R47" s="20" t="n">
        <v>1.02607716</v>
      </c>
    </row>
    <row r="48" spans="1:18">
      <c r="A48" s="15" t="s">
        <v>608</v>
      </c>
      <c r="B48" s="17" t="n">
        <v>5159</v>
      </c>
      <c r="C48" s="18">
        <f>(4592.0/B48*100)</f>
        <v/>
      </c>
      <c r="D48" s="19" t="n">
        <v>567</v>
      </c>
      <c r="E48" s="18" t="n">
        <v>53.75656392</v>
      </c>
      <c r="F48" s="20" t="n">
        <v>2.21804641</v>
      </c>
      <c r="G48" s="18" t="n">
        <v>45.39043871</v>
      </c>
      <c r="H48" s="20" t="n">
        <v>2.18502012</v>
      </c>
      <c r="I48" s="18" t="s">
        <v>567</v>
      </c>
      <c r="J48" s="20" t="s">
        <v>567</v>
      </c>
      <c r="K48" s="18" t="n">
        <v>0</v>
      </c>
      <c r="L48" s="20" t="n">
        <v>0</v>
      </c>
      <c r="M48" s="18" t="n">
        <v>0</v>
      </c>
      <c r="N48" s="20" t="n">
        <v>0</v>
      </c>
      <c r="O48" s="18" t="n">
        <v>0</v>
      </c>
      <c r="P48" s="20" t="n">
        <v>0</v>
      </c>
      <c r="Q48" s="18" t="n">
        <v>0.85299738</v>
      </c>
      <c r="R48" s="20" t="n">
        <v>0.49367837</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(5022.0/B50*100)</f>
        <v/>
      </c>
      <c r="D50" s="19" t="n">
        <v>615</v>
      </c>
      <c r="E50" s="18" t="n">
        <v>41.9529812</v>
      </c>
      <c r="F50" s="20" t="n">
        <v>2.73316697</v>
      </c>
      <c r="G50" s="18" t="n">
        <v>57.06199034</v>
      </c>
      <c r="H50" s="20" t="n">
        <v>2.72671594</v>
      </c>
      <c r="I50" s="18" t="s">
        <v>567</v>
      </c>
      <c r="J50" s="20" t="s">
        <v>567</v>
      </c>
      <c r="K50" s="18" t="n">
        <v>0.28303659</v>
      </c>
      <c r="L50" s="20" t="n">
        <v>0.28337034</v>
      </c>
      <c r="M50" s="18" t="n">
        <v>0</v>
      </c>
      <c r="N50" s="20" t="n">
        <v>0</v>
      </c>
      <c r="O50" s="18" t="n">
        <v>0</v>
      </c>
      <c r="P50" s="20" t="n">
        <v>0</v>
      </c>
      <c r="Q50" s="18" t="n">
        <v>0.70199187</v>
      </c>
      <c r="R50" s="20" t="n">
        <v>0.59884357</v>
      </c>
    </row>
    <row r="51" spans="1:18">
      <c r="A51" s="15" t="s">
        <v>611</v>
      </c>
      <c r="B51" s="17" t="n">
        <v>3372</v>
      </c>
      <c r="C51" s="18">
        <f>(3044.0/B51*100)</f>
        <v/>
      </c>
      <c r="D51" s="19" t="n">
        <v>328</v>
      </c>
      <c r="E51" s="18" t="n">
        <v>40.96497841</v>
      </c>
      <c r="F51" s="20" t="n">
        <v>2.95533967</v>
      </c>
      <c r="G51" s="18" t="n">
        <v>56.8740558</v>
      </c>
      <c r="H51" s="20" t="n">
        <v>3.13591257</v>
      </c>
      <c r="I51" s="18" t="s">
        <v>567</v>
      </c>
      <c r="J51" s="20" t="s">
        <v>567</v>
      </c>
      <c r="K51" s="18" t="n">
        <v>0.61398481</v>
      </c>
      <c r="L51" s="20" t="n">
        <v>0.4344587</v>
      </c>
      <c r="M51" s="18" t="n">
        <v>0</v>
      </c>
      <c r="N51" s="20" t="n">
        <v>0</v>
      </c>
      <c r="O51" s="18" t="n">
        <v>0</v>
      </c>
      <c r="P51" s="20" t="n">
        <v>0</v>
      </c>
      <c r="Q51" s="18" t="n">
        <v>1.54698098</v>
      </c>
      <c r="R51" s="20" t="n">
        <v>0.78337159</v>
      </c>
    </row>
    <row r="52" spans="1:18">
      <c r="A52" s="15" t="s">
        <v>612</v>
      </c>
      <c r="B52" s="17" t="n">
        <v>2796</v>
      </c>
      <c r="C52" s="18">
        <f>(2501.0/B52*100)</f>
        <v/>
      </c>
      <c r="D52" s="19" t="n">
        <v>295</v>
      </c>
      <c r="E52" s="18" t="n">
        <v>50.12631299</v>
      </c>
      <c r="F52" s="20" t="n">
        <v>3.30876958</v>
      </c>
      <c r="G52" s="18" t="n">
        <v>48.9203346</v>
      </c>
      <c r="H52" s="20" t="n">
        <v>3.30051075</v>
      </c>
      <c r="I52" s="18" t="s">
        <v>567</v>
      </c>
      <c r="J52" s="20" t="s">
        <v>567</v>
      </c>
      <c r="K52" s="18" t="n">
        <v>0</v>
      </c>
      <c r="L52" s="20" t="n">
        <v>0</v>
      </c>
      <c r="M52" s="18" t="n">
        <v>0</v>
      </c>
      <c r="N52" s="20" t="n">
        <v>0</v>
      </c>
      <c r="O52" s="18" t="n">
        <v>0</v>
      </c>
      <c r="P52" s="20" t="n">
        <v>0</v>
      </c>
      <c r="Q52" s="18" t="n">
        <v>0.95335241</v>
      </c>
      <c r="R52" s="20" t="n">
        <v>0.56662963</v>
      </c>
    </row>
    <row r="53" spans="1:18">
      <c r="A53" s="15" t="s">
        <v>613</v>
      </c>
      <c r="B53" s="17" t="n">
        <v>2811</v>
      </c>
      <c r="C53" s="18">
        <f>(2488.0/B53*100)</f>
        <v/>
      </c>
      <c r="D53" s="19" t="n">
        <v>323</v>
      </c>
      <c r="E53" s="18" t="n">
        <v>52.574387</v>
      </c>
      <c r="F53" s="20" t="n">
        <v>2.69298022</v>
      </c>
      <c r="G53" s="18" t="n">
        <v>46.72413106</v>
      </c>
      <c r="H53" s="20" t="n">
        <v>2.7026936</v>
      </c>
      <c r="I53" s="18" t="s">
        <v>567</v>
      </c>
      <c r="J53" s="20" t="s">
        <v>567</v>
      </c>
      <c r="K53" s="18" t="n">
        <v>0</v>
      </c>
      <c r="L53" s="20" t="n">
        <v>0</v>
      </c>
      <c r="M53" s="18" t="n">
        <v>0</v>
      </c>
      <c r="N53" s="20" t="n">
        <v>0</v>
      </c>
      <c r="O53" s="18" t="n">
        <v>0</v>
      </c>
      <c r="P53" s="20" t="n">
        <v>0</v>
      </c>
      <c r="Q53" s="18" t="n">
        <v>0.70148194</v>
      </c>
      <c r="R53" s="20" t="n">
        <v>0.49868753</v>
      </c>
    </row>
    <row r="54" spans="1:18">
      <c r="A54" s="15" t="s">
        <v>614</v>
      </c>
      <c r="B54" s="17" t="n">
        <v>2266</v>
      </c>
      <c r="C54" s="18">
        <f>(2024.0/B54*100)</f>
        <v/>
      </c>
      <c r="D54" s="19" t="n">
        <v>242</v>
      </c>
      <c r="E54" s="18" t="n">
        <v>63.30218221</v>
      </c>
      <c r="F54" s="20" t="n">
        <v>3.30315099</v>
      </c>
      <c r="G54" s="18" t="n">
        <v>27.34045552</v>
      </c>
      <c r="H54" s="20" t="n">
        <v>2.64284292</v>
      </c>
      <c r="I54" s="18" t="s">
        <v>567</v>
      </c>
      <c r="J54" s="20" t="s">
        <v>567</v>
      </c>
      <c r="K54" s="18" t="n">
        <v>6.25275885</v>
      </c>
      <c r="L54" s="20" t="n">
        <v>1.78797881</v>
      </c>
      <c r="M54" s="18" t="n">
        <v>0</v>
      </c>
      <c r="N54" s="20" t="n">
        <v>0</v>
      </c>
      <c r="O54" s="18" t="n">
        <v>0</v>
      </c>
      <c r="P54" s="20" t="n">
        <v>0</v>
      </c>
      <c r="Q54" s="18" t="n">
        <v>3.10460342</v>
      </c>
      <c r="R54" s="20" t="n">
        <v>1.25566771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(2401.0/B56*100)</f>
        <v/>
      </c>
      <c r="D56" s="19" t="n">
        <v>283</v>
      </c>
      <c r="E56" s="18" t="n">
        <v>44.90829947</v>
      </c>
      <c r="F56" s="20" t="n">
        <v>2.8864771</v>
      </c>
      <c r="G56" s="18" t="n">
        <v>54.45360858</v>
      </c>
      <c r="H56" s="20" t="n">
        <v>2.83141722</v>
      </c>
      <c r="I56" s="18" t="s">
        <v>567</v>
      </c>
      <c r="J56" s="20" t="s">
        <v>567</v>
      </c>
      <c r="K56" s="18" t="n">
        <v>0</v>
      </c>
      <c r="L56" s="20" t="n">
        <v>0</v>
      </c>
      <c r="M56" s="18" t="n">
        <v>0</v>
      </c>
      <c r="N56" s="20" t="n">
        <v>0</v>
      </c>
      <c r="O56" s="18" t="n">
        <v>0</v>
      </c>
      <c r="P56" s="20" t="n">
        <v>0</v>
      </c>
      <c r="Q56" s="18" t="n">
        <v>0.63809195</v>
      </c>
      <c r="R56" s="20" t="n">
        <v>0.45508099</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(2976.0/B61*100)</f>
        <v/>
      </c>
      <c r="D61" s="19" t="n">
        <v>348</v>
      </c>
      <c r="E61" s="18" t="n">
        <v>53.78687691</v>
      </c>
      <c r="F61" s="20" t="n">
        <v>3.01375987</v>
      </c>
      <c r="G61" s="18" t="n">
        <v>45.87479655</v>
      </c>
      <c r="H61" s="20" t="n">
        <v>3.01352238</v>
      </c>
      <c r="I61" s="18" t="s">
        <v>567</v>
      </c>
      <c r="J61" s="20" t="s">
        <v>567</v>
      </c>
      <c r="K61" s="18" t="n">
        <v>0</v>
      </c>
      <c r="L61" s="20" t="n">
        <v>0</v>
      </c>
      <c r="M61" s="18" t="n">
        <v>0</v>
      </c>
      <c r="N61" s="20" t="n">
        <v>0</v>
      </c>
      <c r="O61" s="18" t="n">
        <v>0</v>
      </c>
      <c r="P61" s="20" t="n">
        <v>0</v>
      </c>
      <c r="Q61" s="18" t="n">
        <v>0.33832654</v>
      </c>
      <c r="R61" s="20" t="n">
        <v>0.31809846</v>
      </c>
    </row>
    <row r="62" spans="1:18">
      <c r="A62" s="15" t="s">
        <v>622</v>
      </c>
      <c r="B62" s="17" t="n">
        <v>2246</v>
      </c>
      <c r="C62" s="18">
        <f>(1990.0/B62*100)</f>
        <v/>
      </c>
      <c r="D62" s="19" t="n">
        <v>256</v>
      </c>
      <c r="E62" s="18" t="n">
        <v>44.15439889</v>
      </c>
      <c r="F62" s="20" t="n">
        <v>2.87149477</v>
      </c>
      <c r="G62" s="18" t="n">
        <v>55.84560111</v>
      </c>
      <c r="H62" s="20" t="n">
        <v>2.87149477</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(2580.0/B66*100)</f>
        <v/>
      </c>
      <c r="D66" s="19" t="n">
        <v>314</v>
      </c>
      <c r="E66" s="18" t="n">
        <v>60.08186127</v>
      </c>
      <c r="F66" s="20" t="n">
        <v>2.84448404</v>
      </c>
      <c r="G66" s="18" t="n">
        <v>34.25042081</v>
      </c>
      <c r="H66" s="20" t="n">
        <v>2.70649713</v>
      </c>
      <c r="I66" s="18" t="s">
        <v>567</v>
      </c>
      <c r="J66" s="20" t="s">
        <v>567</v>
      </c>
      <c r="K66" s="18" t="n">
        <v>0</v>
      </c>
      <c r="L66" s="20" t="n">
        <v>0</v>
      </c>
      <c r="M66" s="18" t="n">
        <v>0</v>
      </c>
      <c r="N66" s="20" t="n">
        <v>0</v>
      </c>
      <c r="O66" s="18" t="n">
        <v>0</v>
      </c>
      <c r="P66" s="20" t="n">
        <v>0</v>
      </c>
      <c r="Q66" s="18" t="n">
        <v>5.66771793</v>
      </c>
      <c r="R66" s="20" t="n">
        <v>1.35517058</v>
      </c>
    </row>
    <row r="67" spans="1:18">
      <c r="A67" s="15" t="s">
        <v>627</v>
      </c>
      <c r="B67" s="17" t="n">
        <v>3511</v>
      </c>
      <c r="C67" s="18">
        <f>(3157.0/B67*100)</f>
        <v/>
      </c>
      <c r="D67" s="19" t="n">
        <v>354</v>
      </c>
      <c r="E67" s="18" t="n">
        <v>48.5043798</v>
      </c>
      <c r="F67" s="20" t="n">
        <v>3.02075117</v>
      </c>
      <c r="G67" s="18" t="n">
        <v>50.77038699</v>
      </c>
      <c r="H67" s="20" t="n">
        <v>2.98414737</v>
      </c>
      <c r="I67" s="18" t="s">
        <v>567</v>
      </c>
      <c r="J67" s="20" t="s">
        <v>567</v>
      </c>
      <c r="K67" s="18" t="n">
        <v>0</v>
      </c>
      <c r="L67" s="20" t="n">
        <v>0</v>
      </c>
      <c r="M67" s="18" t="n">
        <v>0</v>
      </c>
      <c r="N67" s="20" t="n">
        <v>0</v>
      </c>
      <c r="O67" s="18" t="n">
        <v>0</v>
      </c>
      <c r="P67" s="20" t="n">
        <v>0</v>
      </c>
      <c r="Q67" s="18" t="n">
        <v>0.72523321</v>
      </c>
      <c r="R67" s="20" t="n">
        <v>0.42441152</v>
      </c>
    </row>
    <row r="68" spans="1:18">
      <c r="A68" s="15" t="s">
        <v>628</v>
      </c>
      <c r="B68" s="17" t="n">
        <v>6049</v>
      </c>
      <c r="C68" s="18">
        <f>(5393.0/B68*100)</f>
        <v/>
      </c>
      <c r="D68" s="19" t="n">
        <v>656</v>
      </c>
      <c r="E68" s="18" t="n">
        <v>55.73154973</v>
      </c>
      <c r="F68" s="20" t="n">
        <v>1.86247094</v>
      </c>
      <c r="G68" s="18" t="n">
        <v>41.85446202</v>
      </c>
      <c r="H68" s="20" t="n">
        <v>1.87342583</v>
      </c>
      <c r="I68" s="18" t="s">
        <v>567</v>
      </c>
      <c r="J68" s="20" t="s">
        <v>567</v>
      </c>
      <c r="K68" s="18" t="n">
        <v>1.19586403</v>
      </c>
      <c r="L68" s="20" t="n">
        <v>0.41788868</v>
      </c>
      <c r="M68" s="18" t="n">
        <v>0</v>
      </c>
      <c r="N68" s="20" t="n">
        <v>0</v>
      </c>
      <c r="O68" s="18" t="n">
        <v>0</v>
      </c>
      <c r="P68" s="20" t="n">
        <v>0</v>
      </c>
      <c r="Q68" s="18" t="n">
        <v>1.21812423</v>
      </c>
      <c r="R68" s="20" t="n">
        <v>0.47743286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(2611.0/B70*100)</f>
        <v/>
      </c>
      <c r="D70" s="19" t="n">
        <v>318</v>
      </c>
      <c r="E70" s="18" t="n">
        <v>39.42196353</v>
      </c>
      <c r="F70" s="20" t="n">
        <v>2.63519634</v>
      </c>
      <c r="G70" s="18" t="n">
        <v>58.24538072</v>
      </c>
      <c r="H70" s="20" t="n">
        <v>2.60692127</v>
      </c>
      <c r="I70" s="18" t="s">
        <v>567</v>
      </c>
      <c r="J70" s="20" t="s">
        <v>567</v>
      </c>
      <c r="K70" s="18" t="n">
        <v>0</v>
      </c>
      <c r="L70" s="20" t="n">
        <v>0</v>
      </c>
      <c r="M70" s="18" t="n">
        <v>0</v>
      </c>
      <c r="N70" s="20" t="n">
        <v>0</v>
      </c>
      <c r="O70" s="18" t="n">
        <v>0</v>
      </c>
      <c r="P70" s="20" t="n">
        <v>0</v>
      </c>
      <c r="Q70" s="18" t="n">
        <v>2.33265576</v>
      </c>
      <c r="R70" s="20" t="n">
        <v>0.69689885</v>
      </c>
    </row>
    <row r="71" spans="1:18">
      <c r="A71" s="15" t="s">
        <v>631</v>
      </c>
      <c r="B71" s="17" t="n">
        <v>3142</v>
      </c>
      <c r="C71" s="18">
        <f>(2748.0/B71*100)</f>
        <v/>
      </c>
      <c r="D71" s="19" t="n">
        <v>394</v>
      </c>
      <c r="E71" s="18" t="n">
        <v>30.80513705</v>
      </c>
      <c r="F71" s="20" t="n">
        <v>2.48585419</v>
      </c>
      <c r="G71" s="18" t="n">
        <v>68.79115938</v>
      </c>
      <c r="H71" s="20" t="n">
        <v>2.50077675</v>
      </c>
      <c r="I71" s="18" t="s">
        <v>567</v>
      </c>
      <c r="J71" s="20" t="s">
        <v>567</v>
      </c>
      <c r="K71" s="18" t="n">
        <v>0</v>
      </c>
      <c r="L71" s="20" t="n">
        <v>0</v>
      </c>
      <c r="M71" s="18" t="n">
        <v>0</v>
      </c>
      <c r="N71" s="20" t="n">
        <v>0</v>
      </c>
      <c r="O71" s="18" t="n">
        <v>0</v>
      </c>
      <c r="P71" s="20" t="n">
        <v>0</v>
      </c>
      <c r="Q71" s="18" t="n">
        <v>0.40370356</v>
      </c>
      <c r="R71" s="20" t="n">
        <v>0.28084143</v>
      </c>
    </row>
    <row r="72" spans="1:18">
      <c r="A72" s="15" t="s">
        <v>632</v>
      </c>
      <c r="B72" s="17" t="n">
        <v>3889</v>
      </c>
      <c r="C72" s="18">
        <f>(3470.0/B72*100)</f>
        <v/>
      </c>
      <c r="D72" s="19" t="n">
        <v>419</v>
      </c>
      <c r="E72" s="18" t="n">
        <v>44.24378673</v>
      </c>
      <c r="F72" s="20" t="n">
        <v>2.6683994</v>
      </c>
      <c r="G72" s="18" t="n">
        <v>53.98628189</v>
      </c>
      <c r="H72" s="20" t="n">
        <v>2.66622947</v>
      </c>
      <c r="I72" s="18" t="s">
        <v>567</v>
      </c>
      <c r="J72" s="20" t="s">
        <v>567</v>
      </c>
      <c r="K72" s="18" t="n">
        <v>0</v>
      </c>
      <c r="L72" s="20" t="n">
        <v>0</v>
      </c>
      <c r="M72" s="18" t="n">
        <v>0</v>
      </c>
      <c r="N72" s="20" t="n">
        <v>0</v>
      </c>
      <c r="O72" s="18" t="n">
        <v>0</v>
      </c>
      <c r="P72" s="20" t="n">
        <v>0</v>
      </c>
      <c r="Q72" s="18" t="n">
        <v>1.76993137</v>
      </c>
      <c r="R72" s="20" t="n">
        <v>0.68449231</v>
      </c>
    </row>
    <row r="73" spans="1:18">
      <c r="A73" s="15" t="s">
        <v>633</v>
      </c>
      <c r="B73" s="17" t="n">
        <v>3597</v>
      </c>
      <c r="C73" s="18">
        <f>(3209.0/B73*100)</f>
        <v/>
      </c>
      <c r="D73" s="19" t="n">
        <v>388</v>
      </c>
      <c r="E73" s="18" t="n">
        <v>49.81665957</v>
      </c>
      <c r="F73" s="20" t="n">
        <v>3.86048125</v>
      </c>
      <c r="G73" s="18" t="n">
        <v>49.48034656</v>
      </c>
      <c r="H73" s="20" t="n">
        <v>3.83860941</v>
      </c>
      <c r="I73" s="18" t="s">
        <v>567</v>
      </c>
      <c r="J73" s="20" t="s">
        <v>567</v>
      </c>
      <c r="K73" s="18" t="n">
        <v>0</v>
      </c>
      <c r="L73" s="20" t="n">
        <v>0</v>
      </c>
      <c r="M73" s="18" t="n">
        <v>0</v>
      </c>
      <c r="N73" s="20" t="n">
        <v>0</v>
      </c>
      <c r="O73" s="18" t="n">
        <v>0</v>
      </c>
      <c r="P73" s="20" t="n">
        <v>0</v>
      </c>
      <c r="Q73" s="18" t="n">
        <v>0.70299387</v>
      </c>
      <c r="R73" s="20" t="n">
        <v>0.50187629</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(2161.0/B75*100)</f>
        <v/>
      </c>
      <c r="D75" s="19" t="n">
        <v>245</v>
      </c>
      <c r="E75" s="18" t="n">
        <v>45.46705716</v>
      </c>
      <c r="F75" s="20" t="n">
        <v>3.18918544</v>
      </c>
      <c r="G75" s="18" t="n">
        <v>50.4349669</v>
      </c>
      <c r="H75" s="20" t="n">
        <v>3.19193681</v>
      </c>
      <c r="I75" s="18" t="s">
        <v>567</v>
      </c>
      <c r="J75" s="20" t="s">
        <v>567</v>
      </c>
      <c r="K75" s="18" t="n">
        <v>0.77757731</v>
      </c>
      <c r="L75" s="20" t="n">
        <v>0.63274081</v>
      </c>
      <c r="M75" s="18" t="n">
        <v>0</v>
      </c>
      <c r="N75" s="20" t="n">
        <v>0</v>
      </c>
      <c r="O75" s="18" t="n">
        <v>0</v>
      </c>
      <c r="P75" s="20" t="n">
        <v>0</v>
      </c>
      <c r="Q75" s="18" t="n">
        <v>3.32039863</v>
      </c>
      <c r="R75" s="20" t="n">
        <v>1.49628823</v>
      </c>
    </row>
    <row r="76" spans="1:18">
      <c r="A76" s="15" t="s">
        <v>636</v>
      </c>
      <c r="B76" s="17" t="n">
        <v>7052</v>
      </c>
      <c r="C76" s="18">
        <f>(6260.0/B76*100)</f>
        <v/>
      </c>
      <c r="D76" s="19" t="n">
        <v>792</v>
      </c>
      <c r="E76" s="18" t="n">
        <v>55.09573252</v>
      </c>
      <c r="F76" s="20" t="n">
        <v>2.17528446</v>
      </c>
      <c r="G76" s="18" t="n">
        <v>42.88535869</v>
      </c>
      <c r="H76" s="20" t="n">
        <v>2.10053471</v>
      </c>
      <c r="I76" s="18" t="s">
        <v>567</v>
      </c>
      <c r="J76" s="20" t="s">
        <v>567</v>
      </c>
      <c r="K76" s="18" t="n">
        <v>0.45845986</v>
      </c>
      <c r="L76" s="20" t="n">
        <v>0.24475111</v>
      </c>
      <c r="M76" s="18" t="n">
        <v>0</v>
      </c>
      <c r="N76" s="20" t="n">
        <v>0</v>
      </c>
      <c r="O76" s="18" t="n">
        <v>0</v>
      </c>
      <c r="P76" s="20" t="n">
        <v>0</v>
      </c>
      <c r="Q76" s="18" t="n">
        <v>1.56044893</v>
      </c>
      <c r="R76" s="20" t="n">
        <v>0.57480756</v>
      </c>
    </row>
    <row r="77" spans="1:18">
      <c r="A77" s="15" t="s">
        <v>637</v>
      </c>
      <c r="B77" s="17" t="n">
        <v>2908</v>
      </c>
      <c r="C77" s="18">
        <f>(2611.0/B77*100)</f>
        <v/>
      </c>
      <c r="D77" s="19" t="n">
        <v>297</v>
      </c>
      <c r="E77" s="18" t="n">
        <v>42.11842957</v>
      </c>
      <c r="F77" s="20" t="n">
        <v>2.96877523</v>
      </c>
      <c r="G77" s="18" t="n">
        <v>54.97829291</v>
      </c>
      <c r="H77" s="20" t="n">
        <v>3.0441559</v>
      </c>
      <c r="I77" s="18" t="s">
        <v>567</v>
      </c>
      <c r="J77" s="20" t="s">
        <v>567</v>
      </c>
      <c r="K77" s="18" t="n">
        <v>0.33468155</v>
      </c>
      <c r="L77" s="20" t="n">
        <v>0.36624023</v>
      </c>
      <c r="M77" s="18" t="n">
        <v>0</v>
      </c>
      <c r="N77" s="20" t="n">
        <v>0</v>
      </c>
      <c r="O77" s="18" t="n">
        <v>0</v>
      </c>
      <c r="P77" s="20" t="n">
        <v>0</v>
      </c>
      <c r="Q77" s="18" t="n">
        <v>2.56859597</v>
      </c>
      <c r="R77" s="20" t="n">
        <v>1.02453686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(3726.0/B81*100)</f>
        <v/>
      </c>
      <c r="D81" s="19" t="n">
        <v>437</v>
      </c>
      <c r="E81" s="18" t="n">
        <v>48.81555189</v>
      </c>
      <c r="F81" s="20" t="n">
        <v>3.02790388</v>
      </c>
      <c r="G81" s="18" t="n">
        <v>51.18444811</v>
      </c>
      <c r="H81" s="20" t="n">
        <v>3.02790388</v>
      </c>
      <c r="I81" s="18" t="s">
        <v>567</v>
      </c>
      <c r="J81" s="20" t="s">
        <v>567</v>
      </c>
      <c r="K81" s="18" t="n">
        <v>0</v>
      </c>
      <c r="L81" s="20" t="n">
        <v>0</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(6564.0/B7*100)</f>
        <v/>
      </c>
      <c r="D7" s="19" t="n">
        <v>803</v>
      </c>
      <c r="E7" s="18" t="n">
        <v>34.46267512</v>
      </c>
      <c r="F7" s="20" t="n">
        <v>1.77545731</v>
      </c>
      <c r="G7" s="18" t="n">
        <v>55.16852972</v>
      </c>
      <c r="H7" s="20" t="n">
        <v>1.91491774</v>
      </c>
      <c r="I7" s="18" t="s">
        <v>567</v>
      </c>
      <c r="J7" s="20" t="s">
        <v>567</v>
      </c>
      <c r="K7" s="18" t="n">
        <v>0.15951344</v>
      </c>
      <c r="L7" s="20" t="n">
        <v>0.1756909</v>
      </c>
      <c r="M7" s="18" t="n">
        <v>0.01734442</v>
      </c>
      <c r="N7" s="20" t="n">
        <v>0.01765414</v>
      </c>
      <c r="O7" s="18" t="n">
        <v>0</v>
      </c>
      <c r="P7" s="20" t="n">
        <v>0</v>
      </c>
      <c r="Q7" s="18" t="n">
        <v>10.1919373</v>
      </c>
      <c r="R7" s="20" t="n">
        <v>1.43046701</v>
      </c>
    </row>
    <row r="8" spans="1:18">
      <c r="A8" s="15" t="s">
        <v>568</v>
      </c>
      <c r="B8" s="17" t="n">
        <v>3564</v>
      </c>
      <c r="C8" s="18">
        <f>(3170.0/B8*100)</f>
        <v/>
      </c>
      <c r="D8" s="19" t="n">
        <v>394</v>
      </c>
      <c r="E8" s="18" t="n">
        <v>48.68002191</v>
      </c>
      <c r="F8" s="20" t="n">
        <v>2.86376044</v>
      </c>
      <c r="G8" s="18" t="n">
        <v>29.18917251</v>
      </c>
      <c r="H8" s="20" t="n">
        <v>2.44434253</v>
      </c>
      <c r="I8" s="18" t="s">
        <v>567</v>
      </c>
      <c r="J8" s="20" t="s">
        <v>567</v>
      </c>
      <c r="K8" s="18" t="n">
        <v>0</v>
      </c>
      <c r="L8" s="20" t="n">
        <v>0</v>
      </c>
      <c r="M8" s="18" t="n">
        <v>0</v>
      </c>
      <c r="N8" s="20" t="n">
        <v>0</v>
      </c>
      <c r="O8" s="18" t="n">
        <v>0</v>
      </c>
      <c r="P8" s="20" t="n">
        <v>0</v>
      </c>
      <c r="Q8" s="18" t="n">
        <v>22.13080558</v>
      </c>
      <c r="R8" s="20" t="n">
        <v>2.50152443</v>
      </c>
    </row>
    <row r="9" spans="1:18">
      <c r="A9" s="15" t="s">
        <v>569</v>
      </c>
      <c r="B9" s="17" t="n">
        <v>4899</v>
      </c>
      <c r="C9" s="18">
        <f>(4393.0/B9*100)</f>
        <v/>
      </c>
      <c r="D9" s="19" t="n">
        <v>506</v>
      </c>
      <c r="E9" s="18" t="n">
        <v>41.86084096</v>
      </c>
      <c r="F9" s="20" t="n">
        <v>2.38421033</v>
      </c>
      <c r="G9" s="18" t="n">
        <v>37.22928153</v>
      </c>
      <c r="H9" s="20" t="n">
        <v>2.3842819</v>
      </c>
      <c r="I9" s="18" t="s">
        <v>567</v>
      </c>
      <c r="J9" s="20" t="s">
        <v>567</v>
      </c>
      <c r="K9" s="18" t="n">
        <v>0.1724801</v>
      </c>
      <c r="L9" s="20" t="n">
        <v>0.25243726</v>
      </c>
      <c r="M9" s="18" t="n">
        <v>0</v>
      </c>
      <c r="N9" s="20" t="n">
        <v>0</v>
      </c>
      <c r="O9" s="18" t="n">
        <v>0</v>
      </c>
      <c r="P9" s="20" t="n">
        <v>0</v>
      </c>
      <c r="Q9" s="18" t="n">
        <v>20.73739741</v>
      </c>
      <c r="R9" s="20" t="n">
        <v>1.87691991</v>
      </c>
    </row>
    <row r="10" spans="1:18">
      <c r="A10" s="15" t="s">
        <v>570</v>
      </c>
      <c r="B10" s="17" t="n">
        <v>10036</v>
      </c>
      <c r="C10" s="18">
        <f>(8903.0/B10*100)</f>
        <v/>
      </c>
      <c r="D10" s="19" t="n">
        <v>1133</v>
      </c>
      <c r="E10" s="18" t="n">
        <v>42.32806894</v>
      </c>
      <c r="F10" s="20" t="n">
        <v>1.83601474</v>
      </c>
      <c r="G10" s="18" t="n">
        <v>51.51020599</v>
      </c>
      <c r="H10" s="20" t="n">
        <v>2.05449223</v>
      </c>
      <c r="I10" s="18" t="s">
        <v>567</v>
      </c>
      <c r="J10" s="20" t="s">
        <v>567</v>
      </c>
      <c r="K10" s="18" t="n">
        <v>0</v>
      </c>
      <c r="L10" s="20" t="n">
        <v>0</v>
      </c>
      <c r="M10" s="18" t="n">
        <v>0</v>
      </c>
      <c r="N10" s="20" t="n">
        <v>0</v>
      </c>
      <c r="O10" s="18" t="n">
        <v>0</v>
      </c>
      <c r="P10" s="20" t="n">
        <v>0</v>
      </c>
      <c r="Q10" s="18" t="n">
        <v>6.16172508</v>
      </c>
      <c r="R10" s="20" t="n">
        <v>1.05405656</v>
      </c>
    </row>
    <row r="11" spans="1:18">
      <c r="A11" s="15" t="s">
        <v>571</v>
      </c>
      <c r="B11" s="17" t="n">
        <v>3553</v>
      </c>
      <c r="C11" s="18">
        <f>(3164.0/B11*100)</f>
        <v/>
      </c>
      <c r="D11" s="19" t="n">
        <v>389</v>
      </c>
      <c r="E11" s="18" t="n">
        <v>49.37042783</v>
      </c>
      <c r="F11" s="20" t="n">
        <v>3.0456823</v>
      </c>
      <c r="G11" s="18" t="n">
        <v>23.78306596</v>
      </c>
      <c r="H11" s="20" t="n">
        <v>2.54348328</v>
      </c>
      <c r="I11" s="18" t="s">
        <v>567</v>
      </c>
      <c r="J11" s="20" t="s">
        <v>567</v>
      </c>
      <c r="K11" s="18" t="n">
        <v>0.8043823</v>
      </c>
      <c r="L11" s="20" t="n">
        <v>0.51981059</v>
      </c>
      <c r="M11" s="18" t="n">
        <v>0.03615015</v>
      </c>
      <c r="N11" s="20" t="n">
        <v>0.03658238</v>
      </c>
      <c r="O11" s="18" t="n">
        <v>0</v>
      </c>
      <c r="P11" s="20" t="n">
        <v>0</v>
      </c>
      <c r="Q11" s="18" t="n">
        <v>26.00597376</v>
      </c>
      <c r="R11" s="20" t="n">
        <v>2.70624077</v>
      </c>
    </row>
    <row r="12" spans="1:18">
      <c r="A12" s="15" t="s">
        <v>572</v>
      </c>
      <c r="B12" s="17" t="n">
        <v>3472</v>
      </c>
      <c r="C12" s="18">
        <f>(3083.0/B12*100)</f>
        <v/>
      </c>
      <c r="D12" s="19" t="n">
        <v>389</v>
      </c>
      <c r="E12" s="18" t="n">
        <v>44.59779225</v>
      </c>
      <c r="F12" s="20" t="n">
        <v>2.90922684</v>
      </c>
      <c r="G12" s="18" t="n">
        <v>30.14360012</v>
      </c>
      <c r="H12" s="20" t="n">
        <v>3.04063774</v>
      </c>
      <c r="I12" s="18" t="s">
        <v>567</v>
      </c>
      <c r="J12" s="20" t="s">
        <v>567</v>
      </c>
      <c r="K12" s="18" t="n">
        <v>0</v>
      </c>
      <c r="L12" s="20" t="n">
        <v>0</v>
      </c>
      <c r="M12" s="18" t="n">
        <v>0</v>
      </c>
      <c r="N12" s="20" t="n">
        <v>0</v>
      </c>
      <c r="O12" s="18" t="n">
        <v>0</v>
      </c>
      <c r="P12" s="20" t="n">
        <v>0</v>
      </c>
      <c r="Q12" s="18" t="n">
        <v>25.25860762</v>
      </c>
      <c r="R12" s="20" t="n">
        <v>2.28090898</v>
      </c>
    </row>
    <row r="13" spans="1:18">
      <c r="A13" s="15" t="s">
        <v>573</v>
      </c>
      <c r="B13" s="17" t="n">
        <v>3559</v>
      </c>
      <c r="C13" s="18">
        <f>(3204.0/B13*100)</f>
        <v/>
      </c>
      <c r="D13" s="19" t="n">
        <v>355</v>
      </c>
      <c r="E13" s="18" t="n">
        <v>51.9104243</v>
      </c>
      <c r="F13" s="20" t="n">
        <v>2.36737364</v>
      </c>
      <c r="G13" s="18" t="n">
        <v>36.73447987</v>
      </c>
      <c r="H13" s="20" t="n">
        <v>2.87313761</v>
      </c>
      <c r="I13" s="18" t="s">
        <v>567</v>
      </c>
      <c r="J13" s="20" t="s">
        <v>567</v>
      </c>
      <c r="K13" s="18" t="n">
        <v>0.34234111</v>
      </c>
      <c r="L13" s="20" t="n">
        <v>0.35924639</v>
      </c>
      <c r="M13" s="18" t="n">
        <v>0</v>
      </c>
      <c r="N13" s="20" t="n">
        <v>0</v>
      </c>
      <c r="O13" s="18" t="n">
        <v>0</v>
      </c>
      <c r="P13" s="20" t="n">
        <v>0</v>
      </c>
      <c r="Q13" s="18" t="n">
        <v>11.01275472</v>
      </c>
      <c r="R13" s="20" t="n">
        <v>2.28147158</v>
      </c>
    </row>
    <row r="14" spans="1:18">
      <c r="A14" s="15" t="s">
        <v>574</v>
      </c>
      <c r="B14" s="17" t="n">
        <v>2799</v>
      </c>
      <c r="C14" s="18">
        <f>(2469.0/B14*100)</f>
        <v/>
      </c>
      <c r="D14" s="19" t="n">
        <v>330</v>
      </c>
      <c r="E14" s="18" t="n">
        <v>46.52510856</v>
      </c>
      <c r="F14" s="20" t="n">
        <v>3.02805898</v>
      </c>
      <c r="G14" s="18" t="n">
        <v>35.47728196</v>
      </c>
      <c r="H14" s="20" t="n">
        <v>2.73755153</v>
      </c>
      <c r="I14" s="18" t="s">
        <v>567</v>
      </c>
      <c r="J14" s="20" t="s">
        <v>567</v>
      </c>
      <c r="K14" s="18" t="n">
        <v>0</v>
      </c>
      <c r="L14" s="20" t="n">
        <v>0</v>
      </c>
      <c r="M14" s="18" t="n">
        <v>0</v>
      </c>
      <c r="N14" s="20" t="n">
        <v>0</v>
      </c>
      <c r="O14" s="18" t="n">
        <v>0</v>
      </c>
      <c r="P14" s="20" t="n">
        <v>0</v>
      </c>
      <c r="Q14" s="18" t="n">
        <v>17.99760948</v>
      </c>
      <c r="R14" s="20" t="n">
        <v>2.27642113</v>
      </c>
    </row>
    <row r="15" spans="1:18">
      <c r="A15" s="15" t="s">
        <v>575</v>
      </c>
      <c r="B15" s="17" t="n">
        <v>3019</v>
      </c>
      <c r="C15" s="18">
        <f>(2699.0/B15*100)</f>
        <v/>
      </c>
      <c r="D15" s="19" t="n">
        <v>320</v>
      </c>
      <c r="E15" s="18" t="n">
        <v>47.62572736</v>
      </c>
      <c r="F15" s="20" t="n">
        <v>2.73845413</v>
      </c>
      <c r="G15" s="18" t="n">
        <v>40.61972516</v>
      </c>
      <c r="H15" s="20" t="n">
        <v>2.72209709</v>
      </c>
      <c r="I15" s="18" t="s">
        <v>567</v>
      </c>
      <c r="J15" s="20" t="s">
        <v>567</v>
      </c>
      <c r="K15" s="18" t="n">
        <v>0.13083052</v>
      </c>
      <c r="L15" s="20" t="n">
        <v>0.13056289</v>
      </c>
      <c r="M15" s="18" t="n">
        <v>0</v>
      </c>
      <c r="N15" s="20" t="n">
        <v>0</v>
      </c>
      <c r="O15" s="18" t="n">
        <v>0</v>
      </c>
      <c r="P15" s="20" t="n">
        <v>0</v>
      </c>
      <c r="Q15" s="18" t="n">
        <v>11.62371697</v>
      </c>
      <c r="R15" s="20" t="n">
        <v>1.5010859</v>
      </c>
    </row>
    <row r="16" spans="1:18">
      <c r="A16" s="15" t="s">
        <v>576</v>
      </c>
      <c r="B16" s="17" t="n">
        <v>2997</v>
      </c>
      <c r="C16" s="18">
        <f>(2641.0/B16*100)</f>
        <v/>
      </c>
      <c r="D16" s="19" t="n">
        <v>356</v>
      </c>
      <c r="E16" s="18" t="n">
        <v>38.48408826</v>
      </c>
      <c r="F16" s="20" t="n">
        <v>2.49433422</v>
      </c>
      <c r="G16" s="18" t="n">
        <v>39.34950511</v>
      </c>
      <c r="H16" s="20" t="n">
        <v>2.6684409</v>
      </c>
      <c r="I16" s="18" t="s">
        <v>567</v>
      </c>
      <c r="J16" s="20" t="s">
        <v>567</v>
      </c>
      <c r="K16" s="18" t="n">
        <v>0.28285767</v>
      </c>
      <c r="L16" s="20" t="n">
        <v>0.30409831</v>
      </c>
      <c r="M16" s="18" t="n">
        <v>0.46900368</v>
      </c>
      <c r="N16" s="20" t="n">
        <v>0.46381443</v>
      </c>
      <c r="O16" s="18" t="n">
        <v>0</v>
      </c>
      <c r="P16" s="20" t="n">
        <v>0</v>
      </c>
      <c r="Q16" s="18" t="n">
        <v>21.41454528</v>
      </c>
      <c r="R16" s="20" t="n">
        <v>2.33018709</v>
      </c>
    </row>
    <row r="17" spans="1:18">
      <c r="A17" s="15" t="s">
        <v>577</v>
      </c>
      <c r="B17" s="17" t="n">
        <v>3307</v>
      </c>
      <c r="C17" s="18">
        <f>(2974.0/B17*100)</f>
        <v/>
      </c>
      <c r="D17" s="19" t="n">
        <v>333</v>
      </c>
      <c r="E17" s="18" t="n">
        <v>29.51691423</v>
      </c>
      <c r="F17" s="20" t="n">
        <v>2.47262537</v>
      </c>
      <c r="G17" s="18" t="n">
        <v>41.8766451</v>
      </c>
      <c r="H17" s="20" t="n">
        <v>2.84459128</v>
      </c>
      <c r="I17" s="18" t="s">
        <v>567</v>
      </c>
      <c r="J17" s="20" t="s">
        <v>567</v>
      </c>
      <c r="K17" s="18" t="n">
        <v>0.85060339</v>
      </c>
      <c r="L17" s="20" t="n">
        <v>0.42596045</v>
      </c>
      <c r="M17" s="18" t="n">
        <v>0</v>
      </c>
      <c r="N17" s="20" t="n">
        <v>0</v>
      </c>
      <c r="O17" s="18" t="n">
        <v>0</v>
      </c>
      <c r="P17" s="20" t="n">
        <v>0</v>
      </c>
      <c r="Q17" s="18" t="n">
        <v>27.75583729</v>
      </c>
      <c r="R17" s="20" t="n">
        <v>2.39577486</v>
      </c>
    </row>
    <row r="18" spans="1:18">
      <c r="A18" s="15" t="s">
        <v>578</v>
      </c>
      <c r="B18" s="17" t="n">
        <v>2826</v>
      </c>
      <c r="C18" s="18">
        <f>(2499.0/B18*100)</f>
        <v/>
      </c>
      <c r="D18" s="19" t="n">
        <v>327</v>
      </c>
      <c r="E18" s="18" t="n">
        <v>52.93603537</v>
      </c>
      <c r="F18" s="20" t="n">
        <v>2.76448745</v>
      </c>
      <c r="G18" s="18" t="n">
        <v>22.53079899</v>
      </c>
      <c r="H18" s="20" t="n">
        <v>2.1679595</v>
      </c>
      <c r="I18" s="18" t="s">
        <v>567</v>
      </c>
      <c r="J18" s="20" t="s">
        <v>567</v>
      </c>
      <c r="K18" s="18" t="n">
        <v>0.25026061</v>
      </c>
      <c r="L18" s="20" t="n">
        <v>0.25182988</v>
      </c>
      <c r="M18" s="18" t="n">
        <v>0</v>
      </c>
      <c r="N18" s="20" t="n">
        <v>0</v>
      </c>
      <c r="O18" s="18" t="n">
        <v>0</v>
      </c>
      <c r="P18" s="20" t="n">
        <v>0</v>
      </c>
      <c r="Q18" s="18" t="n">
        <v>24.28290503</v>
      </c>
      <c r="R18" s="20" t="n">
        <v>3.19335136</v>
      </c>
    </row>
    <row r="19" spans="1:18">
      <c r="A19" s="15" t="s">
        <v>579</v>
      </c>
      <c r="B19" s="17" t="n">
        <v>2808</v>
      </c>
      <c r="C19" s="18">
        <f>(2506.0/B19*100)</f>
        <v/>
      </c>
      <c r="D19" s="19" t="n">
        <v>302</v>
      </c>
      <c r="E19" s="18" t="n">
        <v>34.12173511</v>
      </c>
      <c r="F19" s="20" t="n">
        <v>2.37216739</v>
      </c>
      <c r="G19" s="18" t="n">
        <v>41.89258229</v>
      </c>
      <c r="H19" s="20" t="n">
        <v>2.77169191</v>
      </c>
      <c r="I19" s="18" t="s">
        <v>567</v>
      </c>
      <c r="J19" s="20" t="s">
        <v>567</v>
      </c>
      <c r="K19" s="18" t="n">
        <v>0</v>
      </c>
      <c r="L19" s="20" t="n">
        <v>0</v>
      </c>
      <c r="M19" s="18" t="n">
        <v>0</v>
      </c>
      <c r="N19" s="20" t="n">
        <v>0</v>
      </c>
      <c r="O19" s="18" t="n">
        <v>0</v>
      </c>
      <c r="P19" s="20" t="n">
        <v>0</v>
      </c>
      <c r="Q19" s="18" t="n">
        <v>23.9856826</v>
      </c>
      <c r="R19" s="20" t="n">
        <v>2.90526914</v>
      </c>
    </row>
    <row r="20" spans="1:18">
      <c r="A20" s="15" t="s">
        <v>580</v>
      </c>
      <c r="B20" s="17" t="n">
        <v>1630</v>
      </c>
      <c r="C20" s="18">
        <f>(1450.0/B20*100)</f>
        <v/>
      </c>
      <c r="D20" s="19" t="n">
        <v>180</v>
      </c>
      <c r="E20" s="18" t="n">
        <v>53.90110079</v>
      </c>
      <c r="F20" s="20" t="n">
        <v>3.0389432</v>
      </c>
      <c r="G20" s="18" t="n">
        <v>24.09990051</v>
      </c>
      <c r="H20" s="20" t="n">
        <v>2.96658243</v>
      </c>
      <c r="I20" s="18" t="s">
        <v>567</v>
      </c>
      <c r="J20" s="20" t="s">
        <v>567</v>
      </c>
      <c r="K20" s="18" t="n">
        <v>1.1115796</v>
      </c>
      <c r="L20" s="20" t="n">
        <v>0.7876132</v>
      </c>
      <c r="M20" s="18" t="n">
        <v>2.51695066</v>
      </c>
      <c r="N20" s="20" t="n">
        <v>0.40939919</v>
      </c>
      <c r="O20" s="18" t="n">
        <v>0</v>
      </c>
      <c r="P20" s="20" t="n">
        <v>0</v>
      </c>
      <c r="Q20" s="18" t="n">
        <v>18.37046845</v>
      </c>
      <c r="R20" s="20" t="n">
        <v>2.60977661</v>
      </c>
    </row>
    <row r="21" spans="1:18">
      <c r="A21" s="15" t="s">
        <v>581</v>
      </c>
      <c r="B21" s="17" t="n">
        <v>2908</v>
      </c>
      <c r="C21" s="18">
        <f>(2568.0/B21*100)</f>
        <v/>
      </c>
      <c r="D21" s="19" t="n">
        <v>340</v>
      </c>
      <c r="E21" s="18" t="n">
        <v>28.03681272</v>
      </c>
      <c r="F21" s="20" t="n">
        <v>2.43500833</v>
      </c>
      <c r="G21" s="18" t="n">
        <v>63.41663315</v>
      </c>
      <c r="H21" s="20" t="n">
        <v>2.63595008</v>
      </c>
      <c r="I21" s="18" t="s">
        <v>567</v>
      </c>
      <c r="J21" s="20" t="s">
        <v>567</v>
      </c>
      <c r="K21" s="18" t="n">
        <v>0</v>
      </c>
      <c r="L21" s="20" t="n">
        <v>0</v>
      </c>
      <c r="M21" s="18" t="n">
        <v>0</v>
      </c>
      <c r="N21" s="20" t="n">
        <v>0</v>
      </c>
      <c r="O21" s="18" t="n">
        <v>0</v>
      </c>
      <c r="P21" s="20" t="n">
        <v>0</v>
      </c>
      <c r="Q21" s="18" t="n">
        <v>8.54655412</v>
      </c>
      <c r="R21" s="20" t="n">
        <v>1.57261305</v>
      </c>
    </row>
    <row r="22" spans="1:18">
      <c r="A22" s="15" t="s">
        <v>582</v>
      </c>
      <c r="B22" s="17" t="n">
        <v>2931</v>
      </c>
      <c r="C22" s="18">
        <f>(2609.0/B22*100)</f>
        <v/>
      </c>
      <c r="D22" s="19" t="n">
        <v>322</v>
      </c>
      <c r="E22" s="18" t="n">
        <v>39.65796796</v>
      </c>
      <c r="F22" s="20" t="n">
        <v>2.78593064</v>
      </c>
      <c r="G22" s="18" t="n">
        <v>40.50468612</v>
      </c>
      <c r="H22" s="20" t="n">
        <v>3.0494172</v>
      </c>
      <c r="I22" s="18" t="s">
        <v>567</v>
      </c>
      <c r="J22" s="20" t="s">
        <v>567</v>
      </c>
      <c r="K22" s="18" t="n">
        <v>0.54951775</v>
      </c>
      <c r="L22" s="20" t="n">
        <v>0.53441574</v>
      </c>
      <c r="M22" s="18" t="n">
        <v>0</v>
      </c>
      <c r="N22" s="20" t="n">
        <v>0</v>
      </c>
      <c r="O22" s="18" t="n">
        <v>0</v>
      </c>
      <c r="P22" s="20" t="n">
        <v>0</v>
      </c>
      <c r="Q22" s="18" t="n">
        <v>19.28782817</v>
      </c>
      <c r="R22" s="20" t="n">
        <v>2.68355366</v>
      </c>
    </row>
    <row r="23" spans="1:18">
      <c r="A23" s="15" t="s">
        <v>583</v>
      </c>
      <c r="B23" s="17" t="n">
        <v>5791</v>
      </c>
      <c r="C23" s="18">
        <f>(5192.0/B23*100)</f>
        <v/>
      </c>
      <c r="D23" s="19" t="n">
        <v>599</v>
      </c>
      <c r="E23" s="18" t="n">
        <v>33.48778187</v>
      </c>
      <c r="F23" s="20" t="n">
        <v>2.83949273</v>
      </c>
      <c r="G23" s="18" t="n">
        <v>32.12525367</v>
      </c>
      <c r="H23" s="20" t="n">
        <v>2.74458074</v>
      </c>
      <c r="I23" s="18" t="s">
        <v>567</v>
      </c>
      <c r="J23" s="20" t="s">
        <v>567</v>
      </c>
      <c r="K23" s="18" t="n">
        <v>0</v>
      </c>
      <c r="L23" s="20" t="n">
        <v>0</v>
      </c>
      <c r="M23" s="18" t="n">
        <v>0</v>
      </c>
      <c r="N23" s="20" t="n">
        <v>0</v>
      </c>
      <c r="O23" s="18" t="n">
        <v>0</v>
      </c>
      <c r="P23" s="20" t="n">
        <v>0</v>
      </c>
      <c r="Q23" s="18" t="n">
        <v>34.38696446</v>
      </c>
      <c r="R23" s="20" t="n">
        <v>3.17251288</v>
      </c>
    </row>
    <row r="24" spans="1:18">
      <c r="A24" s="15" t="s">
        <v>584</v>
      </c>
      <c r="B24" s="17" t="n">
        <v>3338</v>
      </c>
      <c r="C24" s="18">
        <f>(2955.0/B24*100)</f>
        <v/>
      </c>
      <c r="D24" s="19" t="n">
        <v>383</v>
      </c>
      <c r="E24" s="18" t="n">
        <v>45.98882061</v>
      </c>
      <c r="F24" s="20" t="n">
        <v>2.4259506</v>
      </c>
      <c r="G24" s="18" t="n">
        <v>33.70138929</v>
      </c>
      <c r="H24" s="20" t="n">
        <v>2.26205091</v>
      </c>
      <c r="I24" s="18" t="s">
        <v>567</v>
      </c>
      <c r="J24" s="20" t="s">
        <v>567</v>
      </c>
      <c r="K24" s="18" t="n">
        <v>0</v>
      </c>
      <c r="L24" s="20" t="n">
        <v>0</v>
      </c>
      <c r="M24" s="18" t="n">
        <v>0</v>
      </c>
      <c r="N24" s="20" t="n">
        <v>0</v>
      </c>
      <c r="O24" s="18" t="n">
        <v>0</v>
      </c>
      <c r="P24" s="20" t="n">
        <v>0</v>
      </c>
      <c r="Q24" s="18" t="n">
        <v>20.3097901</v>
      </c>
      <c r="R24" s="20" t="n">
        <v>2.10308397</v>
      </c>
    </row>
    <row r="25" spans="1:18">
      <c r="A25" s="15" t="s">
        <v>585</v>
      </c>
      <c r="B25" s="17" t="n">
        <v>2912</v>
      </c>
      <c r="C25" s="18">
        <f>(2603.0/B25*100)</f>
        <v/>
      </c>
      <c r="D25" s="19" t="n">
        <v>309</v>
      </c>
      <c r="E25" s="18" t="n">
        <v>60.06288964</v>
      </c>
      <c r="F25" s="20" t="n">
        <v>2.82089974</v>
      </c>
      <c r="G25" s="18" t="n">
        <v>16.64654113</v>
      </c>
      <c r="H25" s="20" t="n">
        <v>1.69589647</v>
      </c>
      <c r="I25" s="18" t="s">
        <v>567</v>
      </c>
      <c r="J25" s="20" t="s">
        <v>567</v>
      </c>
      <c r="K25" s="18" t="n">
        <v>0</v>
      </c>
      <c r="L25" s="20" t="n">
        <v>0</v>
      </c>
      <c r="M25" s="18" t="n">
        <v>0</v>
      </c>
      <c r="N25" s="20" t="n">
        <v>0</v>
      </c>
      <c r="O25" s="18" t="n">
        <v>0</v>
      </c>
      <c r="P25" s="20" t="n">
        <v>0</v>
      </c>
      <c r="Q25" s="18" t="n">
        <v>23.29056922</v>
      </c>
      <c r="R25" s="20" t="n">
        <v>2.33560935</v>
      </c>
    </row>
    <row r="26" spans="1:18">
      <c r="A26" s="15" t="s">
        <v>586</v>
      </c>
      <c r="B26" s="17" t="n">
        <v>2450</v>
      </c>
      <c r="C26" s="18">
        <f>(2165.0/B26*100)</f>
        <v/>
      </c>
      <c r="D26" s="19" t="n">
        <v>285</v>
      </c>
      <c r="E26" s="18" t="n">
        <v>43.19197799</v>
      </c>
      <c r="F26" s="20" t="n">
        <v>3.14817778</v>
      </c>
      <c r="G26" s="18" t="n">
        <v>36.02942437</v>
      </c>
      <c r="H26" s="20" t="n">
        <v>2.750572</v>
      </c>
      <c r="I26" s="18" t="s">
        <v>567</v>
      </c>
      <c r="J26" s="20" t="s">
        <v>567</v>
      </c>
      <c r="K26" s="18" t="n">
        <v>0</v>
      </c>
      <c r="L26" s="20" t="n">
        <v>0</v>
      </c>
      <c r="M26" s="18" t="n">
        <v>0</v>
      </c>
      <c r="N26" s="20" t="n">
        <v>0</v>
      </c>
      <c r="O26" s="18" t="n">
        <v>0</v>
      </c>
      <c r="P26" s="20" t="n">
        <v>0</v>
      </c>
      <c r="Q26" s="18" t="n">
        <v>20.77859764</v>
      </c>
      <c r="R26" s="20" t="n">
        <v>2.30346567</v>
      </c>
    </row>
    <row r="27" spans="1:18">
      <c r="A27" s="15" t="s">
        <v>587</v>
      </c>
      <c r="B27" s="17" t="n">
        <v>2616</v>
      </c>
      <c r="C27" s="18">
        <f>(2307.0/B27*100)</f>
        <v/>
      </c>
      <c r="D27" s="19" t="n">
        <v>309</v>
      </c>
      <c r="E27" s="18" t="n">
        <v>33.85059445</v>
      </c>
      <c r="F27" s="20" t="n">
        <v>2.54991574</v>
      </c>
      <c r="G27" s="18" t="n">
        <v>43.80660528</v>
      </c>
      <c r="H27" s="20" t="n">
        <v>2.38794868</v>
      </c>
      <c r="I27" s="18" t="s">
        <v>567</v>
      </c>
      <c r="J27" s="20" t="s">
        <v>567</v>
      </c>
      <c r="K27" s="18" t="n">
        <v>0.95803743</v>
      </c>
      <c r="L27" s="20" t="n">
        <v>0.54513242</v>
      </c>
      <c r="M27" s="18" t="n">
        <v>0</v>
      </c>
      <c r="N27" s="20" t="n">
        <v>0</v>
      </c>
      <c r="O27" s="18" t="n">
        <v>0</v>
      </c>
      <c r="P27" s="20" t="n">
        <v>0</v>
      </c>
      <c r="Q27" s="18" t="n">
        <v>21.38476284</v>
      </c>
      <c r="R27" s="20" t="n">
        <v>2.4202525</v>
      </c>
    </row>
    <row r="28" spans="1:18">
      <c r="A28" s="15" t="s">
        <v>588</v>
      </c>
      <c r="B28" s="17" t="n">
        <v>3765</v>
      </c>
      <c r="C28" s="18">
        <f>(3340.0/B28*100)</f>
        <v/>
      </c>
      <c r="D28" s="19" t="n">
        <v>425</v>
      </c>
      <c r="E28" s="18" t="n">
        <v>72.98652479</v>
      </c>
      <c r="F28" s="20" t="n">
        <v>2.32693601</v>
      </c>
      <c r="G28" s="18" t="n">
        <v>16.1383325</v>
      </c>
      <c r="H28" s="20" t="n">
        <v>1.77989537</v>
      </c>
      <c r="I28" s="18" t="s">
        <v>567</v>
      </c>
      <c r="J28" s="20" t="s">
        <v>567</v>
      </c>
      <c r="K28" s="18" t="n">
        <v>0.51487081</v>
      </c>
      <c r="L28" s="20" t="n">
        <v>0.42530871</v>
      </c>
      <c r="M28" s="18" t="n">
        <v>0</v>
      </c>
      <c r="N28" s="20" t="n">
        <v>0</v>
      </c>
      <c r="O28" s="18" t="n">
        <v>0</v>
      </c>
      <c r="P28" s="20" t="n">
        <v>0</v>
      </c>
      <c r="Q28" s="18" t="n">
        <v>10.3602719</v>
      </c>
      <c r="R28" s="20" t="n">
        <v>1.43310508</v>
      </c>
    </row>
    <row r="29" spans="1:18">
      <c r="A29" s="15" t="s">
        <v>589</v>
      </c>
      <c r="B29" s="17" t="n">
        <v>2685</v>
      </c>
      <c r="C29" s="18">
        <f>(2429.0/B29*100)</f>
        <v/>
      </c>
      <c r="D29" s="19" t="n">
        <v>256</v>
      </c>
      <c r="E29" s="18" t="n">
        <v>53.59844399</v>
      </c>
      <c r="F29" s="20" t="n">
        <v>2.9880334</v>
      </c>
      <c r="G29" s="18" t="n">
        <v>37.5022113</v>
      </c>
      <c r="H29" s="20" t="n">
        <v>2.67936519</v>
      </c>
      <c r="I29" s="18" t="s">
        <v>567</v>
      </c>
      <c r="J29" s="20" t="s">
        <v>567</v>
      </c>
      <c r="K29" s="18" t="n">
        <v>0.35316455</v>
      </c>
      <c r="L29" s="20" t="n">
        <v>0.3362382</v>
      </c>
      <c r="M29" s="18" t="n">
        <v>0</v>
      </c>
      <c r="N29" s="20" t="n">
        <v>0</v>
      </c>
      <c r="O29" s="18" t="n">
        <v>0</v>
      </c>
      <c r="P29" s="20" t="n">
        <v>0</v>
      </c>
      <c r="Q29" s="18" t="n">
        <v>8.54618016</v>
      </c>
      <c r="R29" s="20" t="n">
        <v>1.52494024</v>
      </c>
    </row>
    <row r="30" spans="1:18">
      <c r="A30" s="15" t="s">
        <v>590</v>
      </c>
      <c r="B30" s="17" t="n">
        <v>2263</v>
      </c>
      <c r="C30" s="18">
        <f>(1997.0/B30*100)</f>
        <v/>
      </c>
      <c r="D30" s="19" t="n">
        <v>266</v>
      </c>
      <c r="E30" s="18" t="n">
        <v>34.11339478</v>
      </c>
      <c r="F30" s="20" t="n">
        <v>3.43488761</v>
      </c>
      <c r="G30" s="18" t="n">
        <v>48.7716376</v>
      </c>
      <c r="H30" s="20" t="n">
        <v>3.01879505</v>
      </c>
      <c r="I30" s="18" t="s">
        <v>567</v>
      </c>
      <c r="J30" s="20" t="s">
        <v>567</v>
      </c>
      <c r="K30" s="18" t="n">
        <v>0</v>
      </c>
      <c r="L30" s="20" t="n">
        <v>0</v>
      </c>
      <c r="M30" s="18" t="n">
        <v>0</v>
      </c>
      <c r="N30" s="20" t="n">
        <v>0</v>
      </c>
      <c r="O30" s="18" t="n">
        <v>0</v>
      </c>
      <c r="P30" s="20" t="n">
        <v>0</v>
      </c>
      <c r="Q30" s="18" t="n">
        <v>17.11496762</v>
      </c>
      <c r="R30" s="20" t="n">
        <v>2.40897828</v>
      </c>
    </row>
    <row r="31" spans="1:18">
      <c r="A31" s="15" t="s">
        <v>591</v>
      </c>
      <c r="B31" s="17" t="n">
        <v>2750</v>
      </c>
      <c r="C31" s="18">
        <f>(2444.0/B31*100)</f>
        <v/>
      </c>
      <c r="D31" s="19" t="n">
        <v>306</v>
      </c>
      <c r="E31" s="18" t="n">
        <v>42.86437372</v>
      </c>
      <c r="F31" s="20" t="n">
        <v>2.93272716</v>
      </c>
      <c r="G31" s="18" t="n">
        <v>33.61818767</v>
      </c>
      <c r="H31" s="20" t="n">
        <v>2.777077</v>
      </c>
      <c r="I31" s="18" t="s">
        <v>567</v>
      </c>
      <c r="J31" s="20" t="s">
        <v>567</v>
      </c>
      <c r="K31" s="18" t="n">
        <v>0.2395498</v>
      </c>
      <c r="L31" s="20" t="n">
        <v>0.23334126</v>
      </c>
      <c r="M31" s="18" t="n">
        <v>0.6643442000000001</v>
      </c>
      <c r="N31" s="20" t="n">
        <v>0.71247635</v>
      </c>
      <c r="O31" s="18" t="n">
        <v>0</v>
      </c>
      <c r="P31" s="20" t="n">
        <v>0</v>
      </c>
      <c r="Q31" s="18" t="n">
        <v>22.6135446</v>
      </c>
      <c r="R31" s="20" t="n">
        <v>2.7827247</v>
      </c>
    </row>
    <row r="32" spans="1:18">
      <c r="A32" s="15" t="s">
        <v>592</v>
      </c>
      <c r="B32" s="17" t="n">
        <v>2269</v>
      </c>
      <c r="C32" s="18">
        <f>(2029.0/B32*100)</f>
        <v/>
      </c>
      <c r="D32" s="19" t="n">
        <v>240</v>
      </c>
      <c r="E32" s="18" t="n">
        <v>37.09585626</v>
      </c>
      <c r="F32" s="20" t="n">
        <v>3.27161591</v>
      </c>
      <c r="G32" s="18" t="n">
        <v>39.09595245</v>
      </c>
      <c r="H32" s="20" t="n">
        <v>3.23043551</v>
      </c>
      <c r="I32" s="18" t="s">
        <v>567</v>
      </c>
      <c r="J32" s="20" t="s">
        <v>567</v>
      </c>
      <c r="K32" s="18" t="n">
        <v>0</v>
      </c>
      <c r="L32" s="20" t="n">
        <v>0</v>
      </c>
      <c r="M32" s="18" t="n">
        <v>0</v>
      </c>
      <c r="N32" s="20" t="n">
        <v>0</v>
      </c>
      <c r="O32" s="18" t="n">
        <v>0</v>
      </c>
      <c r="P32" s="20" t="n">
        <v>0</v>
      </c>
      <c r="Q32" s="18" t="n">
        <v>23.80819129</v>
      </c>
      <c r="R32" s="20" t="n">
        <v>2.96899462</v>
      </c>
    </row>
    <row r="33" spans="1:18">
      <c r="A33" s="15" t="s">
        <v>593</v>
      </c>
      <c r="B33" s="17" t="n">
        <v>3674</v>
      </c>
      <c r="C33" s="18">
        <f>(3262.0/B33*100)</f>
        <v/>
      </c>
      <c r="D33" s="19" t="n">
        <v>412</v>
      </c>
      <c r="E33" s="18" t="n">
        <v>46.15483829</v>
      </c>
      <c r="F33" s="20" t="n">
        <v>3.08357868</v>
      </c>
      <c r="G33" s="18" t="n">
        <v>29.56772014</v>
      </c>
      <c r="H33" s="20" t="n">
        <v>2.97079626</v>
      </c>
      <c r="I33" s="18" t="s">
        <v>567</v>
      </c>
      <c r="J33" s="20" t="s">
        <v>567</v>
      </c>
      <c r="K33" s="18" t="n">
        <v>0.12733381</v>
      </c>
      <c r="L33" s="20" t="n">
        <v>0.1184963</v>
      </c>
      <c r="M33" s="18" t="n">
        <v>0.54670758</v>
      </c>
      <c r="N33" s="20" t="n">
        <v>0.5451889599999999</v>
      </c>
      <c r="O33" s="18" t="n">
        <v>0</v>
      </c>
      <c r="P33" s="20" t="n">
        <v>0</v>
      </c>
      <c r="Q33" s="18" t="n">
        <v>23.60340018</v>
      </c>
      <c r="R33" s="20" t="n">
        <v>2.47930015</v>
      </c>
    </row>
    <row r="34" spans="1:18">
      <c r="A34" s="15" t="s">
        <v>594</v>
      </c>
      <c r="B34" s="17" t="n">
        <v>3315</v>
      </c>
      <c r="C34" s="18">
        <f>(2986.0/B34*100)</f>
        <v/>
      </c>
      <c r="D34" s="19" t="n">
        <v>329</v>
      </c>
      <c r="E34" s="18" t="n">
        <v>42.3879196</v>
      </c>
      <c r="F34" s="20" t="n">
        <v>3.24343012</v>
      </c>
      <c r="G34" s="18" t="n">
        <v>39.4527243</v>
      </c>
      <c r="H34" s="20" t="n">
        <v>2.74343488</v>
      </c>
      <c r="I34" s="18" t="s">
        <v>567</v>
      </c>
      <c r="J34" s="20" t="s">
        <v>567</v>
      </c>
      <c r="K34" s="18" t="n">
        <v>0</v>
      </c>
      <c r="L34" s="20" t="n">
        <v>0</v>
      </c>
      <c r="M34" s="18" t="n">
        <v>0</v>
      </c>
      <c r="N34" s="20" t="n">
        <v>0</v>
      </c>
      <c r="O34" s="18" t="n">
        <v>0</v>
      </c>
      <c r="P34" s="20" t="n">
        <v>0</v>
      </c>
      <c r="Q34" s="18" t="n">
        <v>18.1593561</v>
      </c>
      <c r="R34" s="20" t="n">
        <v>2.21074446</v>
      </c>
    </row>
    <row r="35" spans="1:18">
      <c r="A35" s="15" t="s">
        <v>595</v>
      </c>
      <c r="B35" s="17" t="n">
        <v>3505</v>
      </c>
      <c r="C35" s="18">
        <f>(3147.0/B35*100)</f>
        <v/>
      </c>
      <c r="D35" s="19" t="n">
        <v>358</v>
      </c>
      <c r="E35" s="18" t="n">
        <v>51.67773948</v>
      </c>
      <c r="F35" s="20" t="n">
        <v>2.85147096</v>
      </c>
      <c r="G35" s="18" t="n">
        <v>35.53278613</v>
      </c>
      <c r="H35" s="20" t="n">
        <v>2.84674765</v>
      </c>
      <c r="I35" s="18" t="s">
        <v>567</v>
      </c>
      <c r="J35" s="20" t="s">
        <v>567</v>
      </c>
      <c r="K35" s="18" t="n">
        <v>0</v>
      </c>
      <c r="L35" s="20" t="n">
        <v>0</v>
      </c>
      <c r="M35" s="18" t="n">
        <v>0</v>
      </c>
      <c r="N35" s="20" t="n">
        <v>0</v>
      </c>
      <c r="O35" s="18" t="n">
        <v>0</v>
      </c>
      <c r="P35" s="20" t="n">
        <v>0</v>
      </c>
      <c r="Q35" s="18" t="n">
        <v>12.78947438</v>
      </c>
      <c r="R35" s="20" t="n">
        <v>2.12365074</v>
      </c>
    </row>
    <row r="36" spans="1:18">
      <c r="A36" s="15" t="s">
        <v>596</v>
      </c>
      <c r="B36" s="17" t="n">
        <v>3332</v>
      </c>
      <c r="C36" s="18">
        <f>(2934.0/B36*100)</f>
        <v/>
      </c>
      <c r="D36" s="19" t="n">
        <v>398</v>
      </c>
      <c r="E36" s="18" t="n">
        <v>37.41204441</v>
      </c>
      <c r="F36" s="20" t="n">
        <v>2.88422362</v>
      </c>
      <c r="G36" s="18" t="n">
        <v>43.06596755</v>
      </c>
      <c r="H36" s="20" t="n">
        <v>2.3787498</v>
      </c>
      <c r="I36" s="18" t="s">
        <v>567</v>
      </c>
      <c r="J36" s="20" t="s">
        <v>567</v>
      </c>
      <c r="K36" s="18" t="n">
        <v>1.06834598</v>
      </c>
      <c r="L36" s="20" t="n">
        <v>0.5516994</v>
      </c>
      <c r="M36" s="18" t="n">
        <v>0</v>
      </c>
      <c r="N36" s="20" t="n">
        <v>0</v>
      </c>
      <c r="O36" s="18" t="n">
        <v>0</v>
      </c>
      <c r="P36" s="20" t="n">
        <v>0</v>
      </c>
      <c r="Q36" s="18" t="n">
        <v>18.45364206</v>
      </c>
      <c r="R36" s="20" t="n">
        <v>2.21816712</v>
      </c>
    </row>
    <row r="37" spans="1:18">
      <c r="A37" s="15" t="s">
        <v>597</v>
      </c>
      <c r="B37" s="17" t="n">
        <v>2727</v>
      </c>
      <c r="C37" s="18">
        <f>(2429.0/B37*100)</f>
        <v/>
      </c>
      <c r="D37" s="19" t="n">
        <v>298</v>
      </c>
      <c r="E37" s="18" t="n">
        <v>35.96497829</v>
      </c>
      <c r="F37" s="20" t="n">
        <v>2.7901245</v>
      </c>
      <c r="G37" s="18" t="n">
        <v>34.81421525</v>
      </c>
      <c r="H37" s="20" t="n">
        <v>3.47829099</v>
      </c>
      <c r="I37" s="18" t="s">
        <v>567</v>
      </c>
      <c r="J37" s="20" t="s">
        <v>567</v>
      </c>
      <c r="K37" s="18" t="n">
        <v>0</v>
      </c>
      <c r="L37" s="20" t="n">
        <v>0</v>
      </c>
      <c r="M37" s="18" t="n">
        <v>0.53774974</v>
      </c>
      <c r="N37" s="20" t="n">
        <v>0.54858668</v>
      </c>
      <c r="O37" s="18" t="n">
        <v>0</v>
      </c>
      <c r="P37" s="20" t="n">
        <v>0</v>
      </c>
      <c r="Q37" s="18" t="n">
        <v>28.68305671</v>
      </c>
      <c r="R37" s="20" t="n">
        <v>3.05890988</v>
      </c>
    </row>
    <row r="38" spans="1:18">
      <c r="A38" s="15" t="s">
        <v>598</v>
      </c>
      <c r="B38" s="17" t="n">
        <v>3053</v>
      </c>
      <c r="C38" s="18">
        <f>(2709.0/B38*100)</f>
        <v/>
      </c>
      <c r="D38" s="19" t="n">
        <v>344</v>
      </c>
      <c r="E38" s="18" t="n">
        <v>43.68757022</v>
      </c>
      <c r="F38" s="20" t="n">
        <v>2.97539051</v>
      </c>
      <c r="G38" s="18" t="n">
        <v>30.2744227</v>
      </c>
      <c r="H38" s="20" t="n">
        <v>2.83699574</v>
      </c>
      <c r="I38" s="18" t="s">
        <v>567</v>
      </c>
      <c r="J38" s="20" t="s">
        <v>567</v>
      </c>
      <c r="K38" s="18" t="n">
        <v>0</v>
      </c>
      <c r="L38" s="20" t="n">
        <v>0</v>
      </c>
      <c r="M38" s="18" t="n">
        <v>3.01735463</v>
      </c>
      <c r="N38" s="20" t="n">
        <v>1.03601274</v>
      </c>
      <c r="O38" s="18" t="n">
        <v>0</v>
      </c>
      <c r="P38" s="20" t="n">
        <v>0</v>
      </c>
      <c r="Q38" s="18" t="n">
        <v>23.02065245</v>
      </c>
      <c r="R38" s="20" t="n">
        <v>2.03225851</v>
      </c>
    </row>
    <row r="39" spans="1:18">
      <c r="A39" s="15" t="s">
        <v>599</v>
      </c>
      <c r="B39" s="17" t="n">
        <v>2957</v>
      </c>
      <c r="C39" s="18">
        <f>(2647.0/B39*100)</f>
        <v/>
      </c>
      <c r="D39" s="19" t="n">
        <v>310</v>
      </c>
      <c r="E39" s="18" t="n">
        <v>69.83781092</v>
      </c>
      <c r="F39" s="20" t="n">
        <v>3.22681434</v>
      </c>
      <c r="G39" s="18" t="n">
        <v>10.07256638</v>
      </c>
      <c r="H39" s="20" t="n">
        <v>2.10366527</v>
      </c>
      <c r="I39" s="18" t="s">
        <v>567</v>
      </c>
      <c r="J39" s="20" t="s">
        <v>567</v>
      </c>
      <c r="K39" s="18" t="n">
        <v>0</v>
      </c>
      <c r="L39" s="20" t="n">
        <v>0</v>
      </c>
      <c r="M39" s="18" t="n">
        <v>0</v>
      </c>
      <c r="N39" s="20" t="n">
        <v>0</v>
      </c>
      <c r="O39" s="18" t="n">
        <v>0</v>
      </c>
      <c r="P39" s="20" t="n">
        <v>0</v>
      </c>
      <c r="Q39" s="18" t="n">
        <v>20.08962269</v>
      </c>
      <c r="R39" s="20" t="n">
        <v>2.5322205</v>
      </c>
    </row>
    <row r="40" spans="1:18">
      <c r="A40" s="15" t="s">
        <v>600</v>
      </c>
      <c r="B40" s="17" t="n">
        <v>7235</v>
      </c>
      <c r="C40" s="18">
        <f>(6426.0/B40*100)</f>
        <v/>
      </c>
      <c r="D40" s="19" t="n">
        <v>809</v>
      </c>
      <c r="E40" s="18" t="n">
        <v>24.3404294</v>
      </c>
      <c r="F40" s="20" t="n">
        <v>2.72423489</v>
      </c>
      <c r="G40" s="18" t="n">
        <v>65.08539379</v>
      </c>
      <c r="H40" s="20" t="n">
        <v>2.89205006</v>
      </c>
      <c r="I40" s="18" t="s">
        <v>567</v>
      </c>
      <c r="J40" s="20" t="s">
        <v>567</v>
      </c>
      <c r="K40" s="18" t="n">
        <v>0</v>
      </c>
      <c r="L40" s="20" t="n">
        <v>0</v>
      </c>
      <c r="M40" s="18" t="n">
        <v>0.20131631</v>
      </c>
      <c r="N40" s="20" t="n">
        <v>0.1925006</v>
      </c>
      <c r="O40" s="18" t="n">
        <v>0</v>
      </c>
      <c r="P40" s="20" t="n">
        <v>0</v>
      </c>
      <c r="Q40" s="18" t="n">
        <v>10.3728605</v>
      </c>
      <c r="R40" s="20" t="n">
        <v>1.66533451</v>
      </c>
    </row>
    <row r="41" spans="1:18">
      <c r="A41" s="15" t="s">
        <v>601</v>
      </c>
      <c r="B41" s="17" t="n">
        <v>2858</v>
      </c>
      <c r="C41" s="18">
        <f>(2507.0/B41*100)</f>
        <v/>
      </c>
      <c r="D41" s="19" t="n">
        <v>351</v>
      </c>
      <c r="E41" s="18" t="n">
        <v>45.45986208</v>
      </c>
      <c r="F41" s="20" t="n">
        <v>2.82966387</v>
      </c>
      <c r="G41" s="18" t="n">
        <v>50.00282949</v>
      </c>
      <c r="H41" s="20" t="n">
        <v>2.93810336</v>
      </c>
      <c r="I41" s="18" t="s">
        <v>567</v>
      </c>
      <c r="J41" s="20" t="s">
        <v>567</v>
      </c>
      <c r="K41" s="18" t="n">
        <v>0</v>
      </c>
      <c r="L41" s="20" t="n">
        <v>0</v>
      </c>
      <c r="M41" s="18" t="n">
        <v>0</v>
      </c>
      <c r="N41" s="20" t="n">
        <v>0</v>
      </c>
      <c r="O41" s="18" t="n">
        <v>0</v>
      </c>
      <c r="P41" s="20" t="n">
        <v>0</v>
      </c>
      <c r="Q41" s="18" t="n">
        <v>4.53730843</v>
      </c>
      <c r="R41" s="20" t="n">
        <v>1.17434529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(9964.0/B46*100)</f>
        <v/>
      </c>
      <c r="D46" s="19" t="n">
        <v>1104</v>
      </c>
      <c r="E46" s="18" t="n">
        <v>46.73179324</v>
      </c>
      <c r="F46" s="20" t="n">
        <v>2.09018391</v>
      </c>
      <c r="G46" s="18" t="n">
        <v>22.25064024</v>
      </c>
      <c r="H46" s="20" t="n">
        <v>1.73799111</v>
      </c>
      <c r="I46" s="18" t="s">
        <v>567</v>
      </c>
      <c r="J46" s="20" t="s">
        <v>567</v>
      </c>
      <c r="K46" s="18" t="n">
        <v>0.48926568</v>
      </c>
      <c r="L46" s="20" t="n">
        <v>0.26602466</v>
      </c>
      <c r="M46" s="18" t="n">
        <v>0.3120058</v>
      </c>
      <c r="N46" s="20" t="n">
        <v>0.24021252</v>
      </c>
      <c r="O46" s="18" t="n">
        <v>0</v>
      </c>
      <c r="P46" s="20" t="n">
        <v>0</v>
      </c>
      <c r="Q46" s="18" t="n">
        <v>30.21629504</v>
      </c>
      <c r="R46" s="20" t="n">
        <v>2.12836942</v>
      </c>
    </row>
    <row r="47" spans="1:18">
      <c r="A47" s="15" t="s">
        <v>607</v>
      </c>
      <c r="B47" s="17" t="n">
        <v>3105</v>
      </c>
      <c r="C47" s="18">
        <f>(2755.0/B47*100)</f>
        <v/>
      </c>
      <c r="D47" s="19" t="n">
        <v>350</v>
      </c>
      <c r="E47" s="18" t="n">
        <v>47.46439768</v>
      </c>
      <c r="F47" s="20" t="n">
        <v>2.84870037</v>
      </c>
      <c r="G47" s="18" t="n">
        <v>22.01375645</v>
      </c>
      <c r="H47" s="20" t="n">
        <v>2.08119066</v>
      </c>
      <c r="I47" s="18" t="s">
        <v>567</v>
      </c>
      <c r="J47" s="20" t="s">
        <v>567</v>
      </c>
      <c r="K47" s="18" t="n">
        <v>0.53459526</v>
      </c>
      <c r="L47" s="20" t="n">
        <v>0.40385038</v>
      </c>
      <c r="M47" s="18" t="n">
        <v>0.26726193</v>
      </c>
      <c r="N47" s="20" t="n">
        <v>0.2671101</v>
      </c>
      <c r="O47" s="18" t="n">
        <v>0</v>
      </c>
      <c r="P47" s="20" t="n">
        <v>0</v>
      </c>
      <c r="Q47" s="18" t="n">
        <v>29.71998868</v>
      </c>
      <c r="R47" s="20" t="n">
        <v>2.95520652</v>
      </c>
    </row>
    <row r="48" spans="1:18">
      <c r="A48" s="15" t="s">
        <v>608</v>
      </c>
      <c r="B48" s="17" t="n">
        <v>5159</v>
      </c>
      <c r="C48" s="18">
        <f>(4592.0/B48*100)</f>
        <v/>
      </c>
      <c r="D48" s="19" t="n">
        <v>567</v>
      </c>
      <c r="E48" s="18" t="n">
        <v>38.16309063</v>
      </c>
      <c r="F48" s="20" t="n">
        <v>3.22368976</v>
      </c>
      <c r="G48" s="18" t="n">
        <v>47.90712104</v>
      </c>
      <c r="H48" s="20" t="n">
        <v>3.15371242</v>
      </c>
      <c r="I48" s="18" t="s">
        <v>567</v>
      </c>
      <c r="J48" s="20" t="s">
        <v>567</v>
      </c>
      <c r="K48" s="18" t="n">
        <v>0</v>
      </c>
      <c r="L48" s="20" t="n">
        <v>0</v>
      </c>
      <c r="M48" s="18" t="n">
        <v>0</v>
      </c>
      <c r="N48" s="20" t="n">
        <v>0</v>
      </c>
      <c r="O48" s="18" t="n">
        <v>0</v>
      </c>
      <c r="P48" s="20" t="n">
        <v>0</v>
      </c>
      <c r="Q48" s="18" t="n">
        <v>13.92978832</v>
      </c>
      <c r="R48" s="20" t="n">
        <v>1.84067795</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(5025.0/B50*100)</f>
        <v/>
      </c>
      <c r="D50" s="19" t="n">
        <v>612</v>
      </c>
      <c r="E50" s="18" t="n">
        <v>71.52595081</v>
      </c>
      <c r="F50" s="20" t="n">
        <v>2.35261014</v>
      </c>
      <c r="G50" s="18" t="n">
        <v>19.69206112</v>
      </c>
      <c r="H50" s="20" t="n">
        <v>2.15570122</v>
      </c>
      <c r="I50" s="18" t="s">
        <v>567</v>
      </c>
      <c r="J50" s="20" t="s">
        <v>567</v>
      </c>
      <c r="K50" s="18" t="n">
        <v>0.28481056</v>
      </c>
      <c r="L50" s="20" t="n">
        <v>0.28564617</v>
      </c>
      <c r="M50" s="18" t="n">
        <v>0</v>
      </c>
      <c r="N50" s="20" t="n">
        <v>0</v>
      </c>
      <c r="O50" s="18" t="n">
        <v>0</v>
      </c>
      <c r="P50" s="20" t="n">
        <v>0</v>
      </c>
      <c r="Q50" s="18" t="n">
        <v>8.497177519999999</v>
      </c>
      <c r="R50" s="20" t="n">
        <v>1.16876554</v>
      </c>
    </row>
    <row r="51" spans="1:18">
      <c r="A51" s="15" t="s">
        <v>611</v>
      </c>
      <c r="B51" s="17" t="n">
        <v>3372</v>
      </c>
      <c r="C51" s="18">
        <f>(3045.0/B51*100)</f>
        <v/>
      </c>
      <c r="D51" s="19" t="n">
        <v>327</v>
      </c>
      <c r="E51" s="18" t="n">
        <v>74.37102002</v>
      </c>
      <c r="F51" s="20" t="n">
        <v>2.58828263</v>
      </c>
      <c r="G51" s="18" t="n">
        <v>8.728767400000001</v>
      </c>
      <c r="H51" s="20" t="n">
        <v>1.82553623</v>
      </c>
      <c r="I51" s="18" t="s">
        <v>567</v>
      </c>
      <c r="J51" s="20" t="s">
        <v>567</v>
      </c>
      <c r="K51" s="18" t="n">
        <v>0.61485631</v>
      </c>
      <c r="L51" s="20" t="n">
        <v>0.43503212</v>
      </c>
      <c r="M51" s="18" t="n">
        <v>0.3204969</v>
      </c>
      <c r="N51" s="20" t="n">
        <v>0.31852847</v>
      </c>
      <c r="O51" s="18" t="n">
        <v>0</v>
      </c>
      <c r="P51" s="20" t="n">
        <v>0</v>
      </c>
      <c r="Q51" s="18" t="n">
        <v>15.96485937</v>
      </c>
      <c r="R51" s="20" t="n">
        <v>2.14667883</v>
      </c>
    </row>
    <row r="52" spans="1:18">
      <c r="A52" s="15" t="s">
        <v>612</v>
      </c>
      <c r="B52" s="17" t="n">
        <v>2796</v>
      </c>
      <c r="C52" s="18">
        <f>(2501.0/B52*100)</f>
        <v/>
      </c>
      <c r="D52" s="19" t="n">
        <v>295</v>
      </c>
      <c r="E52" s="18" t="n">
        <v>52.16581273</v>
      </c>
      <c r="F52" s="20" t="n">
        <v>3.03364173</v>
      </c>
      <c r="G52" s="18" t="n">
        <v>19.77606112</v>
      </c>
      <c r="H52" s="20" t="n">
        <v>2.37583846</v>
      </c>
      <c r="I52" s="18" t="s">
        <v>567</v>
      </c>
      <c r="J52" s="20" t="s">
        <v>567</v>
      </c>
      <c r="K52" s="18" t="n">
        <v>0</v>
      </c>
      <c r="L52" s="20" t="n">
        <v>0</v>
      </c>
      <c r="M52" s="18" t="n">
        <v>0</v>
      </c>
      <c r="N52" s="20" t="n">
        <v>0</v>
      </c>
      <c r="O52" s="18" t="n">
        <v>0</v>
      </c>
      <c r="P52" s="20" t="n">
        <v>0</v>
      </c>
      <c r="Q52" s="18" t="n">
        <v>28.05812615</v>
      </c>
      <c r="R52" s="20" t="n">
        <v>2.46122776</v>
      </c>
    </row>
    <row r="53" spans="1:18">
      <c r="A53" s="15" t="s">
        <v>613</v>
      </c>
      <c r="B53" s="17" t="n">
        <v>2811</v>
      </c>
      <c r="C53" s="18">
        <f>(2486.0/B53*100)</f>
        <v/>
      </c>
      <c r="D53" s="19" t="n">
        <v>325</v>
      </c>
      <c r="E53" s="18" t="n">
        <v>50.71160162</v>
      </c>
      <c r="F53" s="20" t="n">
        <v>2.76606788</v>
      </c>
      <c r="G53" s="18" t="n">
        <v>18.50719054</v>
      </c>
      <c r="H53" s="20" t="n">
        <v>2.10608141</v>
      </c>
      <c r="I53" s="18" t="s">
        <v>567</v>
      </c>
      <c r="J53" s="20" t="s">
        <v>567</v>
      </c>
      <c r="K53" s="18" t="n">
        <v>0</v>
      </c>
      <c r="L53" s="20" t="n">
        <v>0</v>
      </c>
      <c r="M53" s="18" t="n">
        <v>0</v>
      </c>
      <c r="N53" s="20" t="n">
        <v>0</v>
      </c>
      <c r="O53" s="18" t="n">
        <v>0</v>
      </c>
      <c r="P53" s="20" t="n">
        <v>0</v>
      </c>
      <c r="Q53" s="18" t="n">
        <v>30.78120784</v>
      </c>
      <c r="R53" s="20" t="n">
        <v>2.88467274</v>
      </c>
    </row>
    <row r="54" spans="1:18">
      <c r="A54" s="15" t="s">
        <v>614</v>
      </c>
      <c r="B54" s="17" t="n">
        <v>2266</v>
      </c>
      <c r="C54" s="18">
        <f>(2024.0/B54*100)</f>
        <v/>
      </c>
      <c r="D54" s="19" t="n">
        <v>242</v>
      </c>
      <c r="E54" s="18" t="n">
        <v>61.66079504</v>
      </c>
      <c r="F54" s="20" t="n">
        <v>3.10018822</v>
      </c>
      <c r="G54" s="18" t="n">
        <v>4.81403701</v>
      </c>
      <c r="H54" s="20" t="n">
        <v>1.35253542</v>
      </c>
      <c r="I54" s="18" t="s">
        <v>567</v>
      </c>
      <c r="J54" s="20" t="s">
        <v>567</v>
      </c>
      <c r="K54" s="18" t="n">
        <v>7.38540508</v>
      </c>
      <c r="L54" s="20" t="n">
        <v>1.9610063</v>
      </c>
      <c r="M54" s="18" t="n">
        <v>0.37139934</v>
      </c>
      <c r="N54" s="20" t="n">
        <v>0.37166143</v>
      </c>
      <c r="O54" s="18" t="n">
        <v>0</v>
      </c>
      <c r="P54" s="20" t="n">
        <v>0</v>
      </c>
      <c r="Q54" s="18" t="n">
        <v>25.76836353</v>
      </c>
      <c r="R54" s="20" t="n">
        <v>3.06512913</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(2401.0/B56*100)</f>
        <v/>
      </c>
      <c r="D56" s="19" t="n">
        <v>283</v>
      </c>
      <c r="E56" s="18" t="n">
        <v>35.53424921</v>
      </c>
      <c r="F56" s="20" t="n">
        <v>3.18719535</v>
      </c>
      <c r="G56" s="18" t="n">
        <v>55.31303816</v>
      </c>
      <c r="H56" s="20" t="n">
        <v>3.26010501</v>
      </c>
      <c r="I56" s="18" t="s">
        <v>567</v>
      </c>
      <c r="J56" s="20" t="s">
        <v>567</v>
      </c>
      <c r="K56" s="18" t="n">
        <v>0</v>
      </c>
      <c r="L56" s="20" t="n">
        <v>0</v>
      </c>
      <c r="M56" s="18" t="n">
        <v>0</v>
      </c>
      <c r="N56" s="20" t="n">
        <v>0</v>
      </c>
      <c r="O56" s="18" t="n">
        <v>0</v>
      </c>
      <c r="P56" s="20" t="n">
        <v>0</v>
      </c>
      <c r="Q56" s="18" t="n">
        <v>9.15271263</v>
      </c>
      <c r="R56" s="20" t="n">
        <v>1.51067778</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(2976.0/B61*100)</f>
        <v/>
      </c>
      <c r="D61" s="19" t="n">
        <v>348</v>
      </c>
      <c r="E61" s="18" t="n">
        <v>40.45034703</v>
      </c>
      <c r="F61" s="20" t="n">
        <v>3.00647053</v>
      </c>
      <c r="G61" s="18" t="n">
        <v>29.80869013</v>
      </c>
      <c r="H61" s="20" t="n">
        <v>2.93482549</v>
      </c>
      <c r="I61" s="18" t="s">
        <v>567</v>
      </c>
      <c r="J61" s="20" t="s">
        <v>567</v>
      </c>
      <c r="K61" s="18" t="n">
        <v>0</v>
      </c>
      <c r="L61" s="20" t="n">
        <v>0</v>
      </c>
      <c r="M61" s="18" t="n">
        <v>0</v>
      </c>
      <c r="N61" s="20" t="n">
        <v>0</v>
      </c>
      <c r="O61" s="18" t="n">
        <v>0</v>
      </c>
      <c r="P61" s="20" t="n">
        <v>0</v>
      </c>
      <c r="Q61" s="18" t="n">
        <v>29.74096284</v>
      </c>
      <c r="R61" s="20" t="n">
        <v>2.58236249</v>
      </c>
    </row>
    <row r="62" spans="1:18">
      <c r="A62" s="15" t="s">
        <v>622</v>
      </c>
      <c r="B62" s="17" t="n">
        <v>2246</v>
      </c>
      <c r="C62" s="18">
        <f>(1990.0/B62*100)</f>
        <v/>
      </c>
      <c r="D62" s="19" t="n">
        <v>256</v>
      </c>
      <c r="E62" s="18" t="n">
        <v>51.60427933</v>
      </c>
      <c r="F62" s="20" t="n">
        <v>3.69278228</v>
      </c>
      <c r="G62" s="18" t="n">
        <v>40.5514256</v>
      </c>
      <c r="H62" s="20" t="n">
        <v>3.39651469</v>
      </c>
      <c r="I62" s="18" t="s">
        <v>567</v>
      </c>
      <c r="J62" s="20" t="s">
        <v>567</v>
      </c>
      <c r="K62" s="18" t="n">
        <v>0</v>
      </c>
      <c r="L62" s="20" t="n">
        <v>0</v>
      </c>
      <c r="M62" s="18" t="n">
        <v>0</v>
      </c>
      <c r="N62" s="20" t="n">
        <v>0</v>
      </c>
      <c r="O62" s="18" t="n">
        <v>0</v>
      </c>
      <c r="P62" s="20" t="n">
        <v>0</v>
      </c>
      <c r="Q62" s="18" t="n">
        <v>7.84429507</v>
      </c>
      <c r="R62" s="20" t="n">
        <v>1.67278187</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(2581.0/B66*100)</f>
        <v/>
      </c>
      <c r="D66" s="19" t="n">
        <v>313</v>
      </c>
      <c r="E66" s="18" t="n">
        <v>34.25530733</v>
      </c>
      <c r="F66" s="20" t="n">
        <v>3.10129099</v>
      </c>
      <c r="G66" s="18" t="n">
        <v>17.45153377</v>
      </c>
      <c r="H66" s="20" t="n">
        <v>2.40063787</v>
      </c>
      <c r="I66" s="18" t="s">
        <v>567</v>
      </c>
      <c r="J66" s="20" t="s">
        <v>567</v>
      </c>
      <c r="K66" s="18" t="n">
        <v>0</v>
      </c>
      <c r="L66" s="20" t="n">
        <v>0</v>
      </c>
      <c r="M66" s="18" t="n">
        <v>0.98474287</v>
      </c>
      <c r="N66" s="20" t="n">
        <v>0.56465749</v>
      </c>
      <c r="O66" s="18" t="n">
        <v>0</v>
      </c>
      <c r="P66" s="20" t="n">
        <v>0</v>
      </c>
      <c r="Q66" s="18" t="n">
        <v>47.30841604</v>
      </c>
      <c r="R66" s="20" t="n">
        <v>3.21455675</v>
      </c>
    </row>
    <row r="67" spans="1:18">
      <c r="A67" s="15" t="s">
        <v>627</v>
      </c>
      <c r="B67" s="17" t="n">
        <v>3511</v>
      </c>
      <c r="C67" s="18">
        <f>(3159.0/B67*100)</f>
        <v/>
      </c>
      <c r="D67" s="19" t="n">
        <v>352</v>
      </c>
      <c r="E67" s="18" t="n">
        <v>75.00034290000001</v>
      </c>
      <c r="F67" s="20" t="n">
        <v>2.45478944</v>
      </c>
      <c r="G67" s="18" t="n">
        <v>10.38431932</v>
      </c>
      <c r="H67" s="20" t="n">
        <v>1.83308621</v>
      </c>
      <c r="I67" s="18" t="s">
        <v>567</v>
      </c>
      <c r="J67" s="20" t="s">
        <v>567</v>
      </c>
      <c r="K67" s="18" t="n">
        <v>0</v>
      </c>
      <c r="L67" s="20" t="n">
        <v>0</v>
      </c>
      <c r="M67" s="18" t="n">
        <v>0.22024348</v>
      </c>
      <c r="N67" s="20" t="n">
        <v>0.21979536</v>
      </c>
      <c r="O67" s="18" t="n">
        <v>0</v>
      </c>
      <c r="P67" s="20" t="n">
        <v>0</v>
      </c>
      <c r="Q67" s="18" t="n">
        <v>14.3950943</v>
      </c>
      <c r="R67" s="20" t="n">
        <v>1.5336047</v>
      </c>
    </row>
    <row r="68" spans="1:18">
      <c r="A68" s="15" t="s">
        <v>628</v>
      </c>
      <c r="B68" s="17" t="n">
        <v>6049</v>
      </c>
      <c r="C68" s="18">
        <f>(5395.0/B68*100)</f>
        <v/>
      </c>
      <c r="D68" s="19" t="n">
        <v>654</v>
      </c>
      <c r="E68" s="18" t="n">
        <v>58.06841785</v>
      </c>
      <c r="F68" s="20" t="n">
        <v>1.80433683</v>
      </c>
      <c r="G68" s="18" t="n">
        <v>22.26940139</v>
      </c>
      <c r="H68" s="20" t="n">
        <v>1.50080202</v>
      </c>
      <c r="I68" s="18" t="s">
        <v>567</v>
      </c>
      <c r="J68" s="20" t="s">
        <v>567</v>
      </c>
      <c r="K68" s="18" t="n">
        <v>1.19952543</v>
      </c>
      <c r="L68" s="20" t="n">
        <v>0.41917742</v>
      </c>
      <c r="M68" s="18" t="n">
        <v>0</v>
      </c>
      <c r="N68" s="20" t="n">
        <v>0</v>
      </c>
      <c r="O68" s="18" t="n">
        <v>0</v>
      </c>
      <c r="P68" s="20" t="n">
        <v>0</v>
      </c>
      <c r="Q68" s="18" t="n">
        <v>18.46265532</v>
      </c>
      <c r="R68" s="20" t="n">
        <v>1.61013071</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(2611.0/B70*100)</f>
        <v/>
      </c>
      <c r="D70" s="19" t="n">
        <v>318</v>
      </c>
      <c r="E70" s="18" t="n">
        <v>58.36532224</v>
      </c>
      <c r="F70" s="20" t="n">
        <v>2.90197287</v>
      </c>
      <c r="G70" s="18" t="n">
        <v>22.52673809</v>
      </c>
      <c r="H70" s="20" t="n">
        <v>2.72817772</v>
      </c>
      <c r="I70" s="18" t="s">
        <v>567</v>
      </c>
      <c r="J70" s="20" t="s">
        <v>567</v>
      </c>
      <c r="K70" s="18" t="n">
        <v>0</v>
      </c>
      <c r="L70" s="20" t="n">
        <v>0</v>
      </c>
      <c r="M70" s="18" t="n">
        <v>0.34317886</v>
      </c>
      <c r="N70" s="20" t="n">
        <v>0.34246</v>
      </c>
      <c r="O70" s="18" t="n">
        <v>0</v>
      </c>
      <c r="P70" s="20" t="n">
        <v>0</v>
      </c>
      <c r="Q70" s="18" t="n">
        <v>18.76476081</v>
      </c>
      <c r="R70" s="20" t="n">
        <v>2.76347921</v>
      </c>
    </row>
    <row r="71" spans="1:18">
      <c r="A71" s="15" t="s">
        <v>631</v>
      </c>
      <c r="B71" s="17" t="n">
        <v>3142</v>
      </c>
      <c r="C71" s="18">
        <f>(2748.0/B71*100)</f>
        <v/>
      </c>
      <c r="D71" s="19" t="n">
        <v>394</v>
      </c>
      <c r="E71" s="18" t="n">
        <v>26.59915504</v>
      </c>
      <c r="F71" s="20" t="n">
        <v>2.36683145</v>
      </c>
      <c r="G71" s="18" t="n">
        <v>68.09806446</v>
      </c>
      <c r="H71" s="20" t="n">
        <v>2.63733626</v>
      </c>
      <c r="I71" s="18" t="s">
        <v>567</v>
      </c>
      <c r="J71" s="20" t="s">
        <v>567</v>
      </c>
      <c r="K71" s="18" t="n">
        <v>0</v>
      </c>
      <c r="L71" s="20" t="n">
        <v>0</v>
      </c>
      <c r="M71" s="18" t="n">
        <v>0</v>
      </c>
      <c r="N71" s="20" t="n">
        <v>0</v>
      </c>
      <c r="O71" s="18" t="n">
        <v>0</v>
      </c>
      <c r="P71" s="20" t="n">
        <v>0</v>
      </c>
      <c r="Q71" s="18" t="n">
        <v>5.3027805</v>
      </c>
      <c r="R71" s="20" t="n">
        <v>1.186288</v>
      </c>
    </row>
    <row r="72" spans="1:18">
      <c r="A72" s="15" t="s">
        <v>632</v>
      </c>
      <c r="B72" s="17" t="n">
        <v>3889</v>
      </c>
      <c r="C72" s="18">
        <f>(3470.0/B72*100)</f>
        <v/>
      </c>
      <c r="D72" s="19" t="n">
        <v>419</v>
      </c>
      <c r="E72" s="18" t="n">
        <v>33.15922213</v>
      </c>
      <c r="F72" s="20" t="n">
        <v>2.58167562</v>
      </c>
      <c r="G72" s="18" t="n">
        <v>52.32540703</v>
      </c>
      <c r="H72" s="20" t="n">
        <v>2.60220011</v>
      </c>
      <c r="I72" s="18" t="s">
        <v>567</v>
      </c>
      <c r="J72" s="20" t="s">
        <v>567</v>
      </c>
      <c r="K72" s="18" t="n">
        <v>0.19606377</v>
      </c>
      <c r="L72" s="20" t="n">
        <v>0.19668736</v>
      </c>
      <c r="M72" s="18" t="n">
        <v>0</v>
      </c>
      <c r="N72" s="20" t="n">
        <v>0</v>
      </c>
      <c r="O72" s="18" t="n">
        <v>0</v>
      </c>
      <c r="P72" s="20" t="n">
        <v>0</v>
      </c>
      <c r="Q72" s="18" t="n">
        <v>14.31930706</v>
      </c>
      <c r="R72" s="20" t="n">
        <v>2.00103285</v>
      </c>
    </row>
    <row r="73" spans="1:18">
      <c r="A73" s="15" t="s">
        <v>633</v>
      </c>
      <c r="B73" s="17" t="n">
        <v>3597</v>
      </c>
      <c r="C73" s="18">
        <f>(3212.0/B73*100)</f>
        <v/>
      </c>
      <c r="D73" s="19" t="n">
        <v>385</v>
      </c>
      <c r="E73" s="18" t="n">
        <v>84.63468743</v>
      </c>
      <c r="F73" s="20" t="n">
        <v>2.4221116</v>
      </c>
      <c r="G73" s="18" t="n">
        <v>12.05289246</v>
      </c>
      <c r="H73" s="20" t="n">
        <v>2.26404366</v>
      </c>
      <c r="I73" s="18" t="s">
        <v>567</v>
      </c>
      <c r="J73" s="20" t="s">
        <v>567</v>
      </c>
      <c r="K73" s="18" t="n">
        <v>0</v>
      </c>
      <c r="L73" s="20" t="n">
        <v>0</v>
      </c>
      <c r="M73" s="18" t="n">
        <v>0.37240584</v>
      </c>
      <c r="N73" s="20" t="n">
        <v>0.3758531</v>
      </c>
      <c r="O73" s="18" t="n">
        <v>0</v>
      </c>
      <c r="P73" s="20" t="n">
        <v>0</v>
      </c>
      <c r="Q73" s="18" t="n">
        <v>2.94001428</v>
      </c>
      <c r="R73" s="20" t="n">
        <v>1.18561241</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(2165.0/B75*100)</f>
        <v/>
      </c>
      <c r="D75" s="19" t="n">
        <v>241</v>
      </c>
      <c r="E75" s="18" t="n">
        <v>57.75849177</v>
      </c>
      <c r="F75" s="20" t="n">
        <v>3.1120597</v>
      </c>
      <c r="G75" s="18" t="n">
        <v>4.92611439</v>
      </c>
      <c r="H75" s="20" t="n">
        <v>1.30804961</v>
      </c>
      <c r="I75" s="18" t="s">
        <v>567</v>
      </c>
      <c r="J75" s="20" t="s">
        <v>567</v>
      </c>
      <c r="K75" s="18" t="n">
        <v>0.79624124</v>
      </c>
      <c r="L75" s="20" t="n">
        <v>0.64817415</v>
      </c>
      <c r="M75" s="18" t="n">
        <v>0.88090631</v>
      </c>
      <c r="N75" s="20" t="n">
        <v>0.64739386</v>
      </c>
      <c r="O75" s="18" t="n">
        <v>0</v>
      </c>
      <c r="P75" s="20" t="n">
        <v>0</v>
      </c>
      <c r="Q75" s="18" t="n">
        <v>35.63824629</v>
      </c>
      <c r="R75" s="20" t="n">
        <v>3.15490906</v>
      </c>
    </row>
    <row r="76" spans="1:18">
      <c r="A76" s="15" t="s">
        <v>636</v>
      </c>
      <c r="B76" s="17" t="n">
        <v>7052</v>
      </c>
      <c r="C76" s="18">
        <f>(6261.0/B76*100)</f>
        <v/>
      </c>
      <c r="D76" s="19" t="n">
        <v>791</v>
      </c>
      <c r="E76" s="18" t="n">
        <v>61.40954718</v>
      </c>
      <c r="F76" s="20" t="n">
        <v>2.44680151</v>
      </c>
      <c r="G76" s="18" t="n">
        <v>24.76830464</v>
      </c>
      <c r="H76" s="20" t="n">
        <v>2.24889178</v>
      </c>
      <c r="I76" s="18" t="s">
        <v>567</v>
      </c>
      <c r="J76" s="20" t="s">
        <v>567</v>
      </c>
      <c r="K76" s="18" t="n">
        <v>0.45913268</v>
      </c>
      <c r="L76" s="20" t="n">
        <v>0.24512179</v>
      </c>
      <c r="M76" s="18" t="n">
        <v>0.04190414</v>
      </c>
      <c r="N76" s="20" t="n">
        <v>0.04205221</v>
      </c>
      <c r="O76" s="18" t="n">
        <v>0</v>
      </c>
      <c r="P76" s="20" t="n">
        <v>0</v>
      </c>
      <c r="Q76" s="18" t="n">
        <v>13.32111136</v>
      </c>
      <c r="R76" s="20" t="n">
        <v>1.34889551</v>
      </c>
    </row>
    <row r="77" spans="1:18">
      <c r="A77" s="15" t="s">
        <v>637</v>
      </c>
      <c r="B77" s="17" t="n">
        <v>2908</v>
      </c>
      <c r="C77" s="18">
        <f>(2611.0/B77*100)</f>
        <v/>
      </c>
      <c r="D77" s="19" t="n">
        <v>297</v>
      </c>
      <c r="E77" s="18" t="n">
        <v>46.80536848</v>
      </c>
      <c r="F77" s="20" t="n">
        <v>2.59318346</v>
      </c>
      <c r="G77" s="18" t="n">
        <v>24.63880421</v>
      </c>
      <c r="H77" s="20" t="n">
        <v>2.2287167</v>
      </c>
      <c r="I77" s="18" t="s">
        <v>567</v>
      </c>
      <c r="J77" s="20" t="s">
        <v>567</v>
      </c>
      <c r="K77" s="18" t="n">
        <v>0.93846408</v>
      </c>
      <c r="L77" s="20" t="n">
        <v>0.54435692</v>
      </c>
      <c r="M77" s="18" t="n">
        <v>0</v>
      </c>
      <c r="N77" s="20" t="n">
        <v>0</v>
      </c>
      <c r="O77" s="18" t="n">
        <v>0</v>
      </c>
      <c r="P77" s="20" t="n">
        <v>0</v>
      </c>
      <c r="Q77" s="18" t="n">
        <v>27.61736323</v>
      </c>
      <c r="R77" s="20" t="n">
        <v>2.51604384</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(3726.0/B81*100)</f>
        <v/>
      </c>
      <c r="D81" s="19" t="n">
        <v>437</v>
      </c>
      <c r="E81" s="18" t="n">
        <v>87.36560211</v>
      </c>
      <c r="F81" s="20" t="n">
        <v>1.82572735</v>
      </c>
      <c r="G81" s="18" t="n">
        <v>7.17003859</v>
      </c>
      <c r="H81" s="20" t="n">
        <v>1.52523731</v>
      </c>
      <c r="I81" s="18" t="s">
        <v>567</v>
      </c>
      <c r="J81" s="20" t="s">
        <v>567</v>
      </c>
      <c r="K81" s="18" t="n">
        <v>0</v>
      </c>
      <c r="L81" s="20" t="n">
        <v>0</v>
      </c>
      <c r="M81" s="18" t="n">
        <v>0</v>
      </c>
      <c r="N81" s="20" t="n">
        <v>0</v>
      </c>
      <c r="O81" s="18" t="n">
        <v>0</v>
      </c>
      <c r="P81" s="20" t="n">
        <v>0</v>
      </c>
      <c r="Q81" s="18" t="n">
        <v>5.4643593</v>
      </c>
      <c r="R81" s="20" t="n">
        <v>1.21382795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(6563.0/B7*100)</f>
        <v/>
      </c>
      <c r="D7" s="19" t="n">
        <v>804</v>
      </c>
      <c r="E7" s="18" t="n">
        <v>41.6927807</v>
      </c>
      <c r="F7" s="20" t="n">
        <v>2.23499818</v>
      </c>
      <c r="G7" s="18" t="n">
        <v>57.62168268</v>
      </c>
      <c r="H7" s="20" t="n">
        <v>2.28026745</v>
      </c>
      <c r="I7" s="18" t="s">
        <v>567</v>
      </c>
      <c r="J7" s="20" t="s">
        <v>567</v>
      </c>
      <c r="K7" s="18" t="n">
        <v>0.15896645</v>
      </c>
      <c r="L7" s="20" t="n">
        <v>0.17509665</v>
      </c>
      <c r="M7" s="18" t="n">
        <v>0</v>
      </c>
      <c r="N7" s="20" t="n">
        <v>0</v>
      </c>
      <c r="O7" s="18" t="n">
        <v>0</v>
      </c>
      <c r="P7" s="20" t="n">
        <v>0</v>
      </c>
      <c r="Q7" s="18" t="n">
        <v>0.5265701699999999</v>
      </c>
      <c r="R7" s="20" t="n">
        <v>0.23118861</v>
      </c>
    </row>
    <row r="8" spans="1:18">
      <c r="A8" s="15" t="s">
        <v>568</v>
      </c>
      <c r="B8" s="17" t="n">
        <v>3564</v>
      </c>
      <c r="C8" s="18">
        <f>(3169.0/B8*100)</f>
        <v/>
      </c>
      <c r="D8" s="19" t="n">
        <v>395</v>
      </c>
      <c r="E8" s="18" t="n">
        <v>45.22688291</v>
      </c>
      <c r="F8" s="20" t="n">
        <v>2.89614292</v>
      </c>
      <c r="G8" s="18" t="n">
        <v>54.20386393</v>
      </c>
      <c r="H8" s="20" t="n">
        <v>2.98543059</v>
      </c>
      <c r="I8" s="18" t="s">
        <v>567</v>
      </c>
      <c r="J8" s="20" t="s">
        <v>567</v>
      </c>
      <c r="K8" s="18" t="n">
        <v>0</v>
      </c>
      <c r="L8" s="20" t="n">
        <v>0</v>
      </c>
      <c r="M8" s="18" t="n">
        <v>0</v>
      </c>
      <c r="N8" s="20" t="n">
        <v>0</v>
      </c>
      <c r="O8" s="18" t="n">
        <v>0</v>
      </c>
      <c r="P8" s="20" t="n">
        <v>0</v>
      </c>
      <c r="Q8" s="18" t="n">
        <v>0.56925315</v>
      </c>
      <c r="R8" s="20" t="n">
        <v>0.40804257</v>
      </c>
    </row>
    <row r="9" spans="1:18">
      <c r="A9" s="15" t="s">
        <v>569</v>
      </c>
      <c r="B9" s="17" t="n">
        <v>4899</v>
      </c>
      <c r="C9" s="18">
        <f>(4393.0/B9*100)</f>
        <v/>
      </c>
      <c r="D9" s="19" t="n">
        <v>506</v>
      </c>
      <c r="E9" s="18" t="n">
        <v>51.05461072</v>
      </c>
      <c r="F9" s="20" t="n">
        <v>2.61904395</v>
      </c>
      <c r="G9" s="18" t="n">
        <v>48.31477521</v>
      </c>
      <c r="H9" s="20" t="n">
        <v>2.63462412</v>
      </c>
      <c r="I9" s="18" t="s">
        <v>567</v>
      </c>
      <c r="J9" s="20" t="s">
        <v>567</v>
      </c>
      <c r="K9" s="18" t="n">
        <v>0.1724801</v>
      </c>
      <c r="L9" s="20" t="n">
        <v>0.25243726</v>
      </c>
      <c r="M9" s="18" t="n">
        <v>0</v>
      </c>
      <c r="N9" s="20" t="n">
        <v>0</v>
      </c>
      <c r="O9" s="18" t="n">
        <v>0</v>
      </c>
      <c r="P9" s="20" t="n">
        <v>0</v>
      </c>
      <c r="Q9" s="18" t="n">
        <v>0.45813397</v>
      </c>
      <c r="R9" s="20" t="n">
        <v>0.22375979</v>
      </c>
    </row>
    <row r="10" spans="1:18">
      <c r="A10" s="15" t="s">
        <v>570</v>
      </c>
      <c r="B10" s="17" t="n">
        <v>10036</v>
      </c>
      <c r="C10" s="18">
        <f>(8903.0/B10*100)</f>
        <v/>
      </c>
      <c r="D10" s="19" t="n">
        <v>1133</v>
      </c>
      <c r="E10" s="18" t="n">
        <v>35.08365341</v>
      </c>
      <c r="F10" s="20" t="n">
        <v>1.98796053</v>
      </c>
      <c r="G10" s="18" t="n">
        <v>64.44534539</v>
      </c>
      <c r="H10" s="20" t="n">
        <v>2.04068485</v>
      </c>
      <c r="I10" s="18" t="s">
        <v>567</v>
      </c>
      <c r="J10" s="20" t="s">
        <v>567</v>
      </c>
      <c r="K10" s="18" t="n">
        <v>0</v>
      </c>
      <c r="L10" s="20" t="n">
        <v>0</v>
      </c>
      <c r="M10" s="18" t="n">
        <v>0</v>
      </c>
      <c r="N10" s="20" t="n">
        <v>0</v>
      </c>
      <c r="O10" s="18" t="n">
        <v>0</v>
      </c>
      <c r="P10" s="20" t="n">
        <v>0</v>
      </c>
      <c r="Q10" s="18" t="n">
        <v>0.4710012</v>
      </c>
      <c r="R10" s="20" t="n">
        <v>0.32259044</v>
      </c>
    </row>
    <row r="11" spans="1:18">
      <c r="A11" s="15" t="s">
        <v>571</v>
      </c>
      <c r="B11" s="17" t="n">
        <v>3553</v>
      </c>
      <c r="C11" s="18">
        <f>(3164.0/B11*100)</f>
        <v/>
      </c>
      <c r="D11" s="19" t="n">
        <v>389</v>
      </c>
      <c r="E11" s="18" t="n">
        <v>50.35058191</v>
      </c>
      <c r="F11" s="20" t="n">
        <v>3.23481987</v>
      </c>
      <c r="G11" s="18" t="n">
        <v>48.62678793</v>
      </c>
      <c r="H11" s="20" t="n">
        <v>3.28380177</v>
      </c>
      <c r="I11" s="18" t="s">
        <v>567</v>
      </c>
      <c r="J11" s="20" t="s">
        <v>567</v>
      </c>
      <c r="K11" s="18" t="n">
        <v>0.8043823</v>
      </c>
      <c r="L11" s="20" t="n">
        <v>0.51981059</v>
      </c>
      <c r="M11" s="18" t="n">
        <v>0</v>
      </c>
      <c r="N11" s="20" t="n">
        <v>0</v>
      </c>
      <c r="O11" s="18" t="n">
        <v>0</v>
      </c>
      <c r="P11" s="20" t="n">
        <v>0</v>
      </c>
      <c r="Q11" s="18" t="n">
        <v>0.21824786</v>
      </c>
      <c r="R11" s="20" t="n">
        <v>0.2185645</v>
      </c>
    </row>
    <row r="12" spans="1:18">
      <c r="A12" s="15" t="s">
        <v>572</v>
      </c>
      <c r="B12" s="17" t="n">
        <v>3472</v>
      </c>
      <c r="C12" s="18">
        <f>(3083.0/B12*100)</f>
        <v/>
      </c>
      <c r="D12" s="19" t="n">
        <v>389</v>
      </c>
      <c r="E12" s="18" t="n">
        <v>47.94708904</v>
      </c>
      <c r="F12" s="20" t="n">
        <v>2.78752228</v>
      </c>
      <c r="G12" s="18" t="n">
        <v>51.15056113</v>
      </c>
      <c r="H12" s="20" t="n">
        <v>2.78392166</v>
      </c>
      <c r="I12" s="18" t="s">
        <v>567</v>
      </c>
      <c r="J12" s="20" t="s">
        <v>567</v>
      </c>
      <c r="K12" s="18" t="n">
        <v>0</v>
      </c>
      <c r="L12" s="20" t="n">
        <v>0</v>
      </c>
      <c r="M12" s="18" t="n">
        <v>0</v>
      </c>
      <c r="N12" s="20" t="n">
        <v>0</v>
      </c>
      <c r="O12" s="18" t="n">
        <v>0</v>
      </c>
      <c r="P12" s="20" t="n">
        <v>0</v>
      </c>
      <c r="Q12" s="18" t="n">
        <v>0.90234983</v>
      </c>
      <c r="R12" s="20" t="n">
        <v>0.63620013</v>
      </c>
    </row>
    <row r="13" spans="1:18">
      <c r="A13" s="15" t="s">
        <v>573</v>
      </c>
      <c r="B13" s="17" t="n">
        <v>3559</v>
      </c>
      <c r="C13" s="18">
        <f>(3204.0/B13*100)</f>
        <v/>
      </c>
      <c r="D13" s="19" t="n">
        <v>355</v>
      </c>
      <c r="E13" s="18" t="n">
        <v>43.71074739</v>
      </c>
      <c r="F13" s="20" t="n">
        <v>2.96468464</v>
      </c>
      <c r="G13" s="18" t="n">
        <v>55.16519899</v>
      </c>
      <c r="H13" s="20" t="n">
        <v>2.88805939</v>
      </c>
      <c r="I13" s="18" t="s">
        <v>567</v>
      </c>
      <c r="J13" s="20" t="s">
        <v>567</v>
      </c>
      <c r="K13" s="18" t="n">
        <v>0.34234111</v>
      </c>
      <c r="L13" s="20" t="n">
        <v>0.35924639</v>
      </c>
      <c r="M13" s="18" t="n">
        <v>0</v>
      </c>
      <c r="N13" s="20" t="n">
        <v>0</v>
      </c>
      <c r="O13" s="18" t="n">
        <v>0</v>
      </c>
      <c r="P13" s="20" t="n">
        <v>0</v>
      </c>
      <c r="Q13" s="18" t="n">
        <v>0.78171251</v>
      </c>
      <c r="R13" s="20" t="n">
        <v>0.60658256</v>
      </c>
    </row>
    <row r="14" spans="1:18">
      <c r="A14" s="15" t="s">
        <v>574</v>
      </c>
      <c r="B14" s="17" t="n">
        <v>2799</v>
      </c>
      <c r="C14" s="18">
        <f>(2469.0/B14*100)</f>
        <v/>
      </c>
      <c r="D14" s="19" t="n">
        <v>330</v>
      </c>
      <c r="E14" s="18" t="n">
        <v>44.19486967</v>
      </c>
      <c r="F14" s="20" t="n">
        <v>2.98675544</v>
      </c>
      <c r="G14" s="18" t="n">
        <v>55.80513033</v>
      </c>
      <c r="H14" s="20" t="n">
        <v>2.98675544</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(2699.0/B15*100)</f>
        <v/>
      </c>
      <c r="D15" s="19" t="n">
        <v>320</v>
      </c>
      <c r="E15" s="18" t="n">
        <v>37.70488197</v>
      </c>
      <c r="F15" s="20" t="n">
        <v>3.00138784</v>
      </c>
      <c r="G15" s="18" t="n">
        <v>61.58631176</v>
      </c>
      <c r="H15" s="20" t="n">
        <v>3.0230535</v>
      </c>
      <c r="I15" s="18" t="s">
        <v>567</v>
      </c>
      <c r="J15" s="20" t="s">
        <v>567</v>
      </c>
      <c r="K15" s="18" t="n">
        <v>0.13083052</v>
      </c>
      <c r="L15" s="20" t="n">
        <v>0.13056289</v>
      </c>
      <c r="M15" s="18" t="n">
        <v>0</v>
      </c>
      <c r="N15" s="20" t="n">
        <v>0</v>
      </c>
      <c r="O15" s="18" t="n">
        <v>0</v>
      </c>
      <c r="P15" s="20" t="n">
        <v>0</v>
      </c>
      <c r="Q15" s="18" t="n">
        <v>0.57797575</v>
      </c>
      <c r="R15" s="20" t="n">
        <v>0.41175898</v>
      </c>
    </row>
    <row r="16" spans="1:18">
      <c r="A16" s="15" t="s">
        <v>576</v>
      </c>
      <c r="B16" s="17" t="n">
        <v>2997</v>
      </c>
      <c r="C16" s="18">
        <f>(2641.0/B16*100)</f>
        <v/>
      </c>
      <c r="D16" s="19" t="n">
        <v>356</v>
      </c>
      <c r="E16" s="18" t="n">
        <v>53.30596965</v>
      </c>
      <c r="F16" s="20" t="n">
        <v>3.02628019</v>
      </c>
      <c r="G16" s="18" t="n">
        <v>45.13834204</v>
      </c>
      <c r="H16" s="20" t="n">
        <v>2.77470849</v>
      </c>
      <c r="I16" s="18" t="s">
        <v>567</v>
      </c>
      <c r="J16" s="20" t="s">
        <v>567</v>
      </c>
      <c r="K16" s="18" t="n">
        <v>0.28285767</v>
      </c>
      <c r="L16" s="20" t="n">
        <v>0.30409831</v>
      </c>
      <c r="M16" s="18" t="n">
        <v>0</v>
      </c>
      <c r="N16" s="20" t="n">
        <v>0</v>
      </c>
      <c r="O16" s="18" t="n">
        <v>0</v>
      </c>
      <c r="P16" s="20" t="n">
        <v>0</v>
      </c>
      <c r="Q16" s="18" t="n">
        <v>1.27283063</v>
      </c>
      <c r="R16" s="20" t="n">
        <v>0.7588269</v>
      </c>
    </row>
    <row r="17" spans="1:18">
      <c r="A17" s="15" t="s">
        <v>577</v>
      </c>
      <c r="B17" s="17" t="n">
        <v>3307</v>
      </c>
      <c r="C17" s="18">
        <f>(2974.0/B17*100)</f>
        <v/>
      </c>
      <c r="D17" s="19" t="n">
        <v>333</v>
      </c>
      <c r="E17" s="18" t="n">
        <v>46.75081864</v>
      </c>
      <c r="F17" s="20" t="n">
        <v>3.11967446</v>
      </c>
      <c r="G17" s="18" t="n">
        <v>52.39857797</v>
      </c>
      <c r="H17" s="20" t="n">
        <v>3.12201071</v>
      </c>
      <c r="I17" s="18" t="s">
        <v>567</v>
      </c>
      <c r="J17" s="20" t="s">
        <v>567</v>
      </c>
      <c r="K17" s="18" t="n">
        <v>0.85060339</v>
      </c>
      <c r="L17" s="20" t="n">
        <v>0.42596045</v>
      </c>
      <c r="M17" s="18" t="n">
        <v>0</v>
      </c>
      <c r="N17" s="20" t="n">
        <v>0</v>
      </c>
      <c r="O17" s="18" t="n">
        <v>0</v>
      </c>
      <c r="P17" s="20" t="n">
        <v>0</v>
      </c>
      <c r="Q17" s="18" t="n">
        <v>0</v>
      </c>
      <c r="R17" s="20" t="n">
        <v>0</v>
      </c>
    </row>
    <row r="18" spans="1:18">
      <c r="A18" s="15" t="s">
        <v>578</v>
      </c>
      <c r="B18" s="17" t="n">
        <v>2826</v>
      </c>
      <c r="C18" s="18">
        <f>(2499.0/B18*100)</f>
        <v/>
      </c>
      <c r="D18" s="19" t="n">
        <v>327</v>
      </c>
      <c r="E18" s="18" t="n">
        <v>60.29894591</v>
      </c>
      <c r="F18" s="20" t="n">
        <v>3.23314246</v>
      </c>
      <c r="G18" s="18" t="n">
        <v>37.91526071</v>
      </c>
      <c r="H18" s="20" t="n">
        <v>3.30866579</v>
      </c>
      <c r="I18" s="18" t="s">
        <v>567</v>
      </c>
      <c r="J18" s="20" t="s">
        <v>567</v>
      </c>
      <c r="K18" s="18" t="n">
        <v>0.25026061</v>
      </c>
      <c r="L18" s="20" t="n">
        <v>0.25182988</v>
      </c>
      <c r="M18" s="18" t="n">
        <v>0</v>
      </c>
      <c r="N18" s="20" t="n">
        <v>0</v>
      </c>
      <c r="O18" s="18" t="n">
        <v>0</v>
      </c>
      <c r="P18" s="20" t="n">
        <v>0</v>
      </c>
      <c r="Q18" s="18" t="n">
        <v>1.53553277</v>
      </c>
      <c r="R18" s="20" t="n">
        <v>0.89583835</v>
      </c>
    </row>
    <row r="19" spans="1:18">
      <c r="A19" s="15" t="s">
        <v>579</v>
      </c>
      <c r="B19" s="17" t="n">
        <v>2808</v>
      </c>
      <c r="C19" s="18">
        <f>(2506.0/B19*100)</f>
        <v/>
      </c>
      <c r="D19" s="19" t="n">
        <v>302</v>
      </c>
      <c r="E19" s="18" t="n">
        <v>54.72239499</v>
      </c>
      <c r="F19" s="20" t="n">
        <v>2.9556205</v>
      </c>
      <c r="G19" s="18" t="n">
        <v>44.59453373</v>
      </c>
      <c r="H19" s="20" t="n">
        <v>2.88238981</v>
      </c>
      <c r="I19" s="18" t="s">
        <v>567</v>
      </c>
      <c r="J19" s="20" t="s">
        <v>567</v>
      </c>
      <c r="K19" s="18" t="n">
        <v>0</v>
      </c>
      <c r="L19" s="20" t="n">
        <v>0</v>
      </c>
      <c r="M19" s="18" t="n">
        <v>0</v>
      </c>
      <c r="N19" s="20" t="n">
        <v>0</v>
      </c>
      <c r="O19" s="18" t="n">
        <v>0</v>
      </c>
      <c r="P19" s="20" t="n">
        <v>0</v>
      </c>
      <c r="Q19" s="18" t="n">
        <v>0.6830712799999999</v>
      </c>
      <c r="R19" s="20" t="n">
        <v>0.43694402</v>
      </c>
    </row>
    <row r="20" spans="1:18">
      <c r="A20" s="15" t="s">
        <v>580</v>
      </c>
      <c r="B20" s="17" t="n">
        <v>1630</v>
      </c>
      <c r="C20" s="18">
        <f>(1450.0/B20*100)</f>
        <v/>
      </c>
      <c r="D20" s="19" t="n">
        <v>180</v>
      </c>
      <c r="E20" s="18" t="n">
        <v>47.35766434</v>
      </c>
      <c r="F20" s="20" t="n">
        <v>4.40712728</v>
      </c>
      <c r="G20" s="18" t="n">
        <v>50.38914768</v>
      </c>
      <c r="H20" s="20" t="n">
        <v>4.41168631</v>
      </c>
      <c r="I20" s="18" t="s">
        <v>567</v>
      </c>
      <c r="J20" s="20" t="s">
        <v>567</v>
      </c>
      <c r="K20" s="18" t="n">
        <v>1.1115796</v>
      </c>
      <c r="L20" s="20" t="n">
        <v>0.7876132</v>
      </c>
      <c r="M20" s="18" t="n">
        <v>0</v>
      </c>
      <c r="N20" s="20" t="n">
        <v>0</v>
      </c>
      <c r="O20" s="18" t="n">
        <v>0</v>
      </c>
      <c r="P20" s="20" t="n">
        <v>0</v>
      </c>
      <c r="Q20" s="18" t="n">
        <v>1.14160838</v>
      </c>
      <c r="R20" s="20" t="n">
        <v>0.8030208599999999</v>
      </c>
    </row>
    <row r="21" spans="1:18">
      <c r="A21" s="15" t="s">
        <v>581</v>
      </c>
      <c r="B21" s="17" t="n">
        <v>2908</v>
      </c>
      <c r="C21" s="18">
        <f>(2568.0/B21*100)</f>
        <v/>
      </c>
      <c r="D21" s="19" t="n">
        <v>340</v>
      </c>
      <c r="E21" s="18" t="n">
        <v>46.02244607</v>
      </c>
      <c r="F21" s="20" t="n">
        <v>2.28412363</v>
      </c>
      <c r="G21" s="18" t="n">
        <v>53.97755393</v>
      </c>
      <c r="H21" s="20" t="n">
        <v>2.28412363</v>
      </c>
      <c r="I21" s="18" t="s">
        <v>567</v>
      </c>
      <c r="J21" s="20" t="s">
        <v>567</v>
      </c>
      <c r="K21" s="18" t="n">
        <v>0</v>
      </c>
      <c r="L21" s="20" t="n">
        <v>0</v>
      </c>
      <c r="M21" s="18" t="n">
        <v>0</v>
      </c>
      <c r="N21" s="20" t="n">
        <v>0</v>
      </c>
      <c r="O21" s="18" t="n">
        <v>0</v>
      </c>
      <c r="P21" s="20" t="n">
        <v>0</v>
      </c>
      <c r="Q21" s="18" t="n">
        <v>0</v>
      </c>
      <c r="R21" s="20" t="n">
        <v>0</v>
      </c>
    </row>
    <row r="22" spans="1:18">
      <c r="A22" s="15" t="s">
        <v>582</v>
      </c>
      <c r="B22" s="17" t="n">
        <v>2931</v>
      </c>
      <c r="C22" s="18">
        <f>(2609.0/B22*100)</f>
        <v/>
      </c>
      <c r="D22" s="19" t="n">
        <v>322</v>
      </c>
      <c r="E22" s="18" t="n">
        <v>46.30514976</v>
      </c>
      <c r="F22" s="20" t="n">
        <v>3.21945188</v>
      </c>
      <c r="G22" s="18" t="n">
        <v>51.94784472</v>
      </c>
      <c r="H22" s="20" t="n">
        <v>3.44878079</v>
      </c>
      <c r="I22" s="18" t="s">
        <v>567</v>
      </c>
      <c r="J22" s="20" t="s">
        <v>567</v>
      </c>
      <c r="K22" s="18" t="n">
        <v>0.54951775</v>
      </c>
      <c r="L22" s="20" t="n">
        <v>0.53441574</v>
      </c>
      <c r="M22" s="18" t="n">
        <v>0</v>
      </c>
      <c r="N22" s="20" t="n">
        <v>0</v>
      </c>
      <c r="O22" s="18" t="n">
        <v>0</v>
      </c>
      <c r="P22" s="20" t="n">
        <v>0</v>
      </c>
      <c r="Q22" s="18" t="n">
        <v>1.19748777</v>
      </c>
      <c r="R22" s="20" t="n">
        <v>1.27475433</v>
      </c>
    </row>
    <row r="23" spans="1:18">
      <c r="A23" s="15" t="s">
        <v>583</v>
      </c>
      <c r="B23" s="17" t="n">
        <v>5791</v>
      </c>
      <c r="C23" s="18">
        <f>(5192.0/B23*100)</f>
        <v/>
      </c>
      <c r="D23" s="19" t="n">
        <v>599</v>
      </c>
      <c r="E23" s="18" t="n">
        <v>59.73433928</v>
      </c>
      <c r="F23" s="20" t="n">
        <v>3.13560384</v>
      </c>
      <c r="G23" s="18" t="n">
        <v>40.26088622</v>
      </c>
      <c r="H23" s="20" t="n">
        <v>3.13551467</v>
      </c>
      <c r="I23" s="18" t="s">
        <v>567</v>
      </c>
      <c r="J23" s="20" t="s">
        <v>567</v>
      </c>
      <c r="K23" s="18" t="n">
        <v>0</v>
      </c>
      <c r="L23" s="20" t="n">
        <v>0</v>
      </c>
      <c r="M23" s="18" t="n">
        <v>0</v>
      </c>
      <c r="N23" s="20" t="n">
        <v>0</v>
      </c>
      <c r="O23" s="18" t="n">
        <v>0</v>
      </c>
      <c r="P23" s="20" t="n">
        <v>0</v>
      </c>
      <c r="Q23" s="18" t="n">
        <v>0.00477451</v>
      </c>
      <c r="R23" s="20" t="n">
        <v>0.00472913</v>
      </c>
    </row>
    <row r="24" spans="1:18">
      <c r="A24" s="15" t="s">
        <v>584</v>
      </c>
      <c r="B24" s="17" t="n">
        <v>3338</v>
      </c>
      <c r="C24" s="18">
        <f>(2955.0/B24*100)</f>
        <v/>
      </c>
      <c r="D24" s="19" t="n">
        <v>383</v>
      </c>
      <c r="E24" s="18" t="n">
        <v>31.71903552</v>
      </c>
      <c r="F24" s="20" t="n">
        <v>2.66613107</v>
      </c>
      <c r="G24" s="18" t="n">
        <v>68.03473477999999</v>
      </c>
      <c r="H24" s="20" t="n">
        <v>2.65918167</v>
      </c>
      <c r="I24" s="18" t="s">
        <v>567</v>
      </c>
      <c r="J24" s="20" t="s">
        <v>567</v>
      </c>
      <c r="K24" s="18" t="n">
        <v>0</v>
      </c>
      <c r="L24" s="20" t="n">
        <v>0</v>
      </c>
      <c r="M24" s="18" t="n">
        <v>0</v>
      </c>
      <c r="N24" s="20" t="n">
        <v>0</v>
      </c>
      <c r="O24" s="18" t="n">
        <v>0</v>
      </c>
      <c r="P24" s="20" t="n">
        <v>0</v>
      </c>
      <c r="Q24" s="18" t="n">
        <v>0.24622971</v>
      </c>
      <c r="R24" s="20" t="n">
        <v>0.2469484</v>
      </c>
    </row>
    <row r="25" spans="1:18">
      <c r="A25" s="15" t="s">
        <v>585</v>
      </c>
      <c r="B25" s="17" t="n">
        <v>2912</v>
      </c>
      <c r="C25" s="18">
        <f>(2603.0/B25*100)</f>
        <v/>
      </c>
      <c r="D25" s="19" t="n">
        <v>309</v>
      </c>
      <c r="E25" s="18" t="n">
        <v>32.13142698</v>
      </c>
      <c r="F25" s="20" t="n">
        <v>2.59421021</v>
      </c>
      <c r="G25" s="18" t="n">
        <v>67.00259264</v>
      </c>
      <c r="H25" s="20" t="n">
        <v>2.60015388</v>
      </c>
      <c r="I25" s="18" t="s">
        <v>567</v>
      </c>
      <c r="J25" s="20" t="s">
        <v>567</v>
      </c>
      <c r="K25" s="18" t="n">
        <v>0</v>
      </c>
      <c r="L25" s="20" t="n">
        <v>0</v>
      </c>
      <c r="M25" s="18" t="n">
        <v>0</v>
      </c>
      <c r="N25" s="20" t="n">
        <v>0</v>
      </c>
      <c r="O25" s="18" t="n">
        <v>0</v>
      </c>
      <c r="P25" s="20" t="n">
        <v>0</v>
      </c>
      <c r="Q25" s="18" t="n">
        <v>0.8659803700000001</v>
      </c>
      <c r="R25" s="20" t="n">
        <v>0.5229727</v>
      </c>
    </row>
    <row r="26" spans="1:18">
      <c r="A26" s="15" t="s">
        <v>586</v>
      </c>
      <c r="B26" s="17" t="n">
        <v>2450</v>
      </c>
      <c r="C26" s="18">
        <f>(2165.0/B26*100)</f>
        <v/>
      </c>
      <c r="D26" s="19" t="n">
        <v>285</v>
      </c>
      <c r="E26" s="18" t="n">
        <v>45.29721528</v>
      </c>
      <c r="F26" s="20" t="n">
        <v>3.43400611</v>
      </c>
      <c r="G26" s="18" t="n">
        <v>54.70278472</v>
      </c>
      <c r="H26" s="20" t="n">
        <v>3.43400611</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(2307.0/B27*100)</f>
        <v/>
      </c>
      <c r="D27" s="19" t="n">
        <v>309</v>
      </c>
      <c r="E27" s="18" t="n">
        <v>54.98505714</v>
      </c>
      <c r="F27" s="20" t="n">
        <v>2.78697975</v>
      </c>
      <c r="G27" s="18" t="n">
        <v>44.05690542</v>
      </c>
      <c r="H27" s="20" t="n">
        <v>2.74611209</v>
      </c>
      <c r="I27" s="18" t="s">
        <v>567</v>
      </c>
      <c r="J27" s="20" t="s">
        <v>567</v>
      </c>
      <c r="K27" s="18" t="n">
        <v>0.95803743</v>
      </c>
      <c r="L27" s="20" t="n">
        <v>0.54513242</v>
      </c>
      <c r="M27" s="18" t="n">
        <v>0</v>
      </c>
      <c r="N27" s="20" t="n">
        <v>0</v>
      </c>
      <c r="O27" s="18" t="n">
        <v>0</v>
      </c>
      <c r="P27" s="20" t="n">
        <v>0</v>
      </c>
      <c r="Q27" s="18" t="n">
        <v>0</v>
      </c>
      <c r="R27" s="20" t="n">
        <v>0</v>
      </c>
    </row>
    <row r="28" spans="1:18">
      <c r="A28" s="15" t="s">
        <v>588</v>
      </c>
      <c r="B28" s="17" t="n">
        <v>3765</v>
      </c>
      <c r="C28" s="18">
        <f>(3340.0/B28*100)</f>
        <v/>
      </c>
      <c r="D28" s="19" t="n">
        <v>425</v>
      </c>
      <c r="E28" s="18" t="n">
        <v>62.83289207</v>
      </c>
      <c r="F28" s="20" t="n">
        <v>2.20323807</v>
      </c>
      <c r="G28" s="18" t="n">
        <v>36.13781237</v>
      </c>
      <c r="H28" s="20" t="n">
        <v>2.29671172</v>
      </c>
      <c r="I28" s="18" t="s">
        <v>567</v>
      </c>
      <c r="J28" s="20" t="s">
        <v>567</v>
      </c>
      <c r="K28" s="18" t="n">
        <v>0.51487081</v>
      </c>
      <c r="L28" s="20" t="n">
        <v>0.42530871</v>
      </c>
      <c r="M28" s="18" t="n">
        <v>0</v>
      </c>
      <c r="N28" s="20" t="n">
        <v>0</v>
      </c>
      <c r="O28" s="18" t="n">
        <v>0</v>
      </c>
      <c r="P28" s="20" t="n">
        <v>0</v>
      </c>
      <c r="Q28" s="18" t="n">
        <v>0.51442475</v>
      </c>
      <c r="R28" s="20" t="n">
        <v>0.28828384</v>
      </c>
    </row>
    <row r="29" spans="1:18">
      <c r="A29" s="15" t="s">
        <v>589</v>
      </c>
      <c r="B29" s="17" t="n">
        <v>2685</v>
      </c>
      <c r="C29" s="18">
        <f>(2429.0/B29*100)</f>
        <v/>
      </c>
      <c r="D29" s="19" t="n">
        <v>256</v>
      </c>
      <c r="E29" s="18" t="n">
        <v>41.95431843</v>
      </c>
      <c r="F29" s="20" t="n">
        <v>3.35414487</v>
      </c>
      <c r="G29" s="18" t="n">
        <v>57.12438541</v>
      </c>
      <c r="H29" s="20" t="n">
        <v>3.31827574</v>
      </c>
      <c r="I29" s="18" t="s">
        <v>567</v>
      </c>
      <c r="J29" s="20" t="s">
        <v>567</v>
      </c>
      <c r="K29" s="18" t="n">
        <v>0.35316455</v>
      </c>
      <c r="L29" s="20" t="n">
        <v>0.3362382</v>
      </c>
      <c r="M29" s="18" t="n">
        <v>0</v>
      </c>
      <c r="N29" s="20" t="n">
        <v>0</v>
      </c>
      <c r="O29" s="18" t="n">
        <v>0</v>
      </c>
      <c r="P29" s="20" t="n">
        <v>0</v>
      </c>
      <c r="Q29" s="18" t="n">
        <v>0.56813161</v>
      </c>
      <c r="R29" s="20" t="n">
        <v>0.49726442</v>
      </c>
    </row>
    <row r="30" spans="1:18">
      <c r="A30" s="15" t="s">
        <v>590</v>
      </c>
      <c r="B30" s="17" t="n">
        <v>2263</v>
      </c>
      <c r="C30" s="18">
        <f>(1997.0/B30*100)</f>
        <v/>
      </c>
      <c r="D30" s="19" t="n">
        <v>266</v>
      </c>
      <c r="E30" s="18" t="n">
        <v>36.72812666</v>
      </c>
      <c r="F30" s="20" t="n">
        <v>3.1200771</v>
      </c>
      <c r="G30" s="18" t="n">
        <v>61.50214241</v>
      </c>
      <c r="H30" s="20" t="n">
        <v>3.13788501</v>
      </c>
      <c r="I30" s="18" t="s">
        <v>567</v>
      </c>
      <c r="J30" s="20" t="s">
        <v>567</v>
      </c>
      <c r="K30" s="18" t="n">
        <v>0</v>
      </c>
      <c r="L30" s="20" t="n">
        <v>0</v>
      </c>
      <c r="M30" s="18" t="n">
        <v>0</v>
      </c>
      <c r="N30" s="20" t="n">
        <v>0</v>
      </c>
      <c r="O30" s="18" t="n">
        <v>0</v>
      </c>
      <c r="P30" s="20" t="n">
        <v>0</v>
      </c>
      <c r="Q30" s="18" t="n">
        <v>1.76973092</v>
      </c>
      <c r="R30" s="20" t="n">
        <v>0.6560778</v>
      </c>
    </row>
    <row r="31" spans="1:18">
      <c r="A31" s="15" t="s">
        <v>591</v>
      </c>
      <c r="B31" s="17" t="n">
        <v>2750</v>
      </c>
      <c r="C31" s="18">
        <f>(2444.0/B31*100)</f>
        <v/>
      </c>
      <c r="D31" s="19" t="n">
        <v>306</v>
      </c>
      <c r="E31" s="18" t="n">
        <v>50.42288162</v>
      </c>
      <c r="F31" s="20" t="n">
        <v>2.90053658</v>
      </c>
      <c r="G31" s="18" t="n">
        <v>49.33756858</v>
      </c>
      <c r="H31" s="20" t="n">
        <v>2.90267597</v>
      </c>
      <c r="I31" s="18" t="s">
        <v>567</v>
      </c>
      <c r="J31" s="20" t="s">
        <v>567</v>
      </c>
      <c r="K31" s="18" t="n">
        <v>0.2395498</v>
      </c>
      <c r="L31" s="20" t="n">
        <v>0.23334126</v>
      </c>
      <c r="M31" s="18" t="n">
        <v>0</v>
      </c>
      <c r="N31" s="20" t="n">
        <v>0</v>
      </c>
      <c r="O31" s="18" t="n">
        <v>0</v>
      </c>
      <c r="P31" s="20" t="n">
        <v>0</v>
      </c>
      <c r="Q31" s="18" t="n">
        <v>0</v>
      </c>
      <c r="R31" s="20" t="n">
        <v>0</v>
      </c>
    </row>
    <row r="32" spans="1:18">
      <c r="A32" s="15" t="s">
        <v>592</v>
      </c>
      <c r="B32" s="17" t="n">
        <v>2269</v>
      </c>
      <c r="C32" s="18">
        <f>(2029.0/B32*100)</f>
        <v/>
      </c>
      <c r="D32" s="19" t="n">
        <v>240</v>
      </c>
      <c r="E32" s="18" t="n">
        <v>48.16922408</v>
      </c>
      <c r="F32" s="20" t="n">
        <v>2.94796632</v>
      </c>
      <c r="G32" s="18" t="n">
        <v>51.83077592</v>
      </c>
      <c r="H32" s="20" t="n">
        <v>2.94796632</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(3263.0/B33*100)</f>
        <v/>
      </c>
      <c r="D33" s="19" t="n">
        <v>411</v>
      </c>
      <c r="E33" s="18" t="n">
        <v>64.41245395</v>
      </c>
      <c r="F33" s="20" t="n">
        <v>2.84322023</v>
      </c>
      <c r="G33" s="18" t="n">
        <v>35.24020288</v>
      </c>
      <c r="H33" s="20" t="n">
        <v>2.83180961</v>
      </c>
      <c r="I33" s="18" t="s">
        <v>567</v>
      </c>
      <c r="J33" s="20" t="s">
        <v>567</v>
      </c>
      <c r="K33" s="18" t="n">
        <v>0.12738619</v>
      </c>
      <c r="L33" s="20" t="n">
        <v>0.11854616</v>
      </c>
      <c r="M33" s="18" t="n">
        <v>0</v>
      </c>
      <c r="N33" s="20" t="n">
        <v>0</v>
      </c>
      <c r="O33" s="18" t="n">
        <v>0</v>
      </c>
      <c r="P33" s="20" t="n">
        <v>0</v>
      </c>
      <c r="Q33" s="18" t="n">
        <v>0.21995698</v>
      </c>
      <c r="R33" s="20" t="n">
        <v>0.16319023</v>
      </c>
    </row>
    <row r="34" spans="1:18">
      <c r="A34" s="15" t="s">
        <v>594</v>
      </c>
      <c r="B34" s="17" t="n">
        <v>3315</v>
      </c>
      <c r="C34" s="18">
        <f>(2986.0/B34*100)</f>
        <v/>
      </c>
      <c r="D34" s="19" t="n">
        <v>329</v>
      </c>
      <c r="E34" s="18" t="n">
        <v>45.97534636</v>
      </c>
      <c r="F34" s="20" t="n">
        <v>2.71966366</v>
      </c>
      <c r="G34" s="18" t="n">
        <v>53.63893514</v>
      </c>
      <c r="H34" s="20" t="n">
        <v>2.71428208</v>
      </c>
      <c r="I34" s="18" t="s">
        <v>567</v>
      </c>
      <c r="J34" s="20" t="s">
        <v>567</v>
      </c>
      <c r="K34" s="18" t="n">
        <v>0</v>
      </c>
      <c r="L34" s="20" t="n">
        <v>0</v>
      </c>
      <c r="M34" s="18" t="n">
        <v>0</v>
      </c>
      <c r="N34" s="20" t="n">
        <v>0</v>
      </c>
      <c r="O34" s="18" t="n">
        <v>0</v>
      </c>
      <c r="P34" s="20" t="n">
        <v>0</v>
      </c>
      <c r="Q34" s="18" t="n">
        <v>0.3857185</v>
      </c>
      <c r="R34" s="20" t="n">
        <v>0.29794949</v>
      </c>
    </row>
    <row r="35" spans="1:18">
      <c r="A35" s="15" t="s">
        <v>595</v>
      </c>
      <c r="B35" s="17" t="n">
        <v>3505</v>
      </c>
      <c r="C35" s="18">
        <f>(3147.0/B35*100)</f>
        <v/>
      </c>
      <c r="D35" s="19" t="n">
        <v>358</v>
      </c>
      <c r="E35" s="18" t="n">
        <v>42.75354397</v>
      </c>
      <c r="F35" s="20" t="n">
        <v>3.36535409</v>
      </c>
      <c r="G35" s="18" t="n">
        <v>57.24645603</v>
      </c>
      <c r="H35" s="20" t="n">
        <v>3.36535409</v>
      </c>
      <c r="I35" s="18" t="s">
        <v>567</v>
      </c>
      <c r="J35" s="20" t="s">
        <v>567</v>
      </c>
      <c r="K35" s="18" t="n">
        <v>0</v>
      </c>
      <c r="L35" s="20" t="n">
        <v>0</v>
      </c>
      <c r="M35" s="18" t="n">
        <v>0</v>
      </c>
      <c r="N35" s="20" t="n">
        <v>0</v>
      </c>
      <c r="O35" s="18" t="n">
        <v>0</v>
      </c>
      <c r="P35" s="20" t="n">
        <v>0</v>
      </c>
      <c r="Q35" s="18" t="n">
        <v>0</v>
      </c>
      <c r="R35" s="20" t="n">
        <v>0</v>
      </c>
    </row>
    <row r="36" spans="1:18">
      <c r="A36" s="15" t="s">
        <v>596</v>
      </c>
      <c r="B36" s="17" t="n">
        <v>3332</v>
      </c>
      <c r="C36" s="18">
        <f>(2936.0/B36*100)</f>
        <v/>
      </c>
      <c r="D36" s="19" t="n">
        <v>396</v>
      </c>
      <c r="E36" s="18" t="n">
        <v>56.33153123</v>
      </c>
      <c r="F36" s="20" t="n">
        <v>2.54232756</v>
      </c>
      <c r="G36" s="18" t="n">
        <v>41.59344783</v>
      </c>
      <c r="H36" s="20" t="n">
        <v>2.50487998</v>
      </c>
      <c r="I36" s="18" t="s">
        <v>567</v>
      </c>
      <c r="J36" s="20" t="s">
        <v>567</v>
      </c>
      <c r="K36" s="18" t="n">
        <v>1.07372286</v>
      </c>
      <c r="L36" s="20" t="n">
        <v>0.55445861</v>
      </c>
      <c r="M36" s="18" t="n">
        <v>0</v>
      </c>
      <c r="N36" s="20" t="n">
        <v>0</v>
      </c>
      <c r="O36" s="18" t="n">
        <v>0</v>
      </c>
      <c r="P36" s="20" t="n">
        <v>0</v>
      </c>
      <c r="Q36" s="18" t="n">
        <v>1.00129808</v>
      </c>
      <c r="R36" s="20" t="n">
        <v>0.53253756</v>
      </c>
    </row>
    <row r="37" spans="1:18">
      <c r="A37" s="15" t="s">
        <v>597</v>
      </c>
      <c r="B37" s="17" t="n">
        <v>2727</v>
      </c>
      <c r="C37" s="18">
        <f>(2429.0/B37*100)</f>
        <v/>
      </c>
      <c r="D37" s="19" t="n">
        <v>298</v>
      </c>
      <c r="E37" s="18" t="n">
        <v>51.9833514</v>
      </c>
      <c r="F37" s="20" t="n">
        <v>3.20297478</v>
      </c>
      <c r="G37" s="18" t="n">
        <v>47.36834452</v>
      </c>
      <c r="H37" s="20" t="n">
        <v>3.17345236</v>
      </c>
      <c r="I37" s="18" t="s">
        <v>567</v>
      </c>
      <c r="J37" s="20" t="s">
        <v>567</v>
      </c>
      <c r="K37" s="18" t="n">
        <v>0</v>
      </c>
      <c r="L37" s="20" t="n">
        <v>0</v>
      </c>
      <c r="M37" s="18" t="n">
        <v>0</v>
      </c>
      <c r="N37" s="20" t="n">
        <v>0</v>
      </c>
      <c r="O37" s="18" t="n">
        <v>0</v>
      </c>
      <c r="P37" s="20" t="n">
        <v>0</v>
      </c>
      <c r="Q37" s="18" t="n">
        <v>0.6483040799999999</v>
      </c>
      <c r="R37" s="20" t="n">
        <v>0.46282365</v>
      </c>
    </row>
    <row r="38" spans="1:18">
      <c r="A38" s="15" t="s">
        <v>598</v>
      </c>
      <c r="B38" s="17" t="n">
        <v>3053</v>
      </c>
      <c r="C38" s="18">
        <f>(2709.0/B38*100)</f>
        <v/>
      </c>
      <c r="D38" s="19" t="n">
        <v>344</v>
      </c>
      <c r="E38" s="18" t="n">
        <v>55.4630451</v>
      </c>
      <c r="F38" s="20" t="n">
        <v>2.91175511</v>
      </c>
      <c r="G38" s="18" t="n">
        <v>44.01967964</v>
      </c>
      <c r="H38" s="20" t="n">
        <v>2.90980657</v>
      </c>
      <c r="I38" s="18" t="s">
        <v>567</v>
      </c>
      <c r="J38" s="20" t="s">
        <v>567</v>
      </c>
      <c r="K38" s="18" t="n">
        <v>0</v>
      </c>
      <c r="L38" s="20" t="n">
        <v>0</v>
      </c>
      <c r="M38" s="18" t="n">
        <v>0</v>
      </c>
      <c r="N38" s="20" t="n">
        <v>0</v>
      </c>
      <c r="O38" s="18" t="n">
        <v>0</v>
      </c>
      <c r="P38" s="20" t="n">
        <v>0</v>
      </c>
      <c r="Q38" s="18" t="n">
        <v>0.51727526</v>
      </c>
      <c r="R38" s="20" t="n">
        <v>0.36183089</v>
      </c>
    </row>
    <row r="39" spans="1:18">
      <c r="A39" s="15" t="s">
        <v>599</v>
      </c>
      <c r="B39" s="17" t="n">
        <v>2957</v>
      </c>
      <c r="C39" s="18">
        <f>(2647.0/B39*100)</f>
        <v/>
      </c>
      <c r="D39" s="19" t="n">
        <v>310</v>
      </c>
      <c r="E39" s="18" t="n">
        <v>48.16798974</v>
      </c>
      <c r="F39" s="20" t="n">
        <v>3.30987706</v>
      </c>
      <c r="G39" s="18" t="n">
        <v>51.10476656</v>
      </c>
      <c r="H39" s="20" t="n">
        <v>3.19305539</v>
      </c>
      <c r="I39" s="18" t="s">
        <v>567</v>
      </c>
      <c r="J39" s="20" t="s">
        <v>567</v>
      </c>
      <c r="K39" s="18" t="n">
        <v>0</v>
      </c>
      <c r="L39" s="20" t="n">
        <v>0</v>
      </c>
      <c r="M39" s="18" t="n">
        <v>0</v>
      </c>
      <c r="N39" s="20" t="n">
        <v>0</v>
      </c>
      <c r="O39" s="18" t="n">
        <v>0</v>
      </c>
      <c r="P39" s="20" t="n">
        <v>0</v>
      </c>
      <c r="Q39" s="18" t="n">
        <v>0.72724371</v>
      </c>
      <c r="R39" s="20" t="n">
        <v>0.52509921</v>
      </c>
    </row>
    <row r="40" spans="1:18">
      <c r="A40" s="15" t="s">
        <v>600</v>
      </c>
      <c r="B40" s="17" t="n">
        <v>7235</v>
      </c>
      <c r="C40" s="18">
        <f>(6426.0/B40*100)</f>
        <v/>
      </c>
      <c r="D40" s="19" t="n">
        <v>809</v>
      </c>
      <c r="E40" s="18" t="n">
        <v>48.71510611</v>
      </c>
      <c r="F40" s="20" t="n">
        <v>2.9322512</v>
      </c>
      <c r="G40" s="18" t="n">
        <v>50.77216675</v>
      </c>
      <c r="H40" s="20" t="n">
        <v>2.9433837</v>
      </c>
      <c r="I40" s="18" t="s">
        <v>567</v>
      </c>
      <c r="J40" s="20" t="s">
        <v>567</v>
      </c>
      <c r="K40" s="18" t="n">
        <v>0</v>
      </c>
      <c r="L40" s="20" t="n">
        <v>0</v>
      </c>
      <c r="M40" s="18" t="n">
        <v>0</v>
      </c>
      <c r="N40" s="20" t="n">
        <v>0</v>
      </c>
      <c r="O40" s="18" t="n">
        <v>0</v>
      </c>
      <c r="P40" s="20" t="n">
        <v>0</v>
      </c>
      <c r="Q40" s="18" t="n">
        <v>0.51272713</v>
      </c>
      <c r="R40" s="20" t="n">
        <v>0.34582316</v>
      </c>
    </row>
    <row r="41" spans="1:18">
      <c r="A41" s="15" t="s">
        <v>601</v>
      </c>
      <c r="B41" s="17" t="n">
        <v>2858</v>
      </c>
      <c r="C41" s="18">
        <f>(2507.0/B41*100)</f>
        <v/>
      </c>
      <c r="D41" s="19" t="n">
        <v>351</v>
      </c>
      <c r="E41" s="18" t="n">
        <v>40.65114865</v>
      </c>
      <c r="F41" s="20" t="n">
        <v>2.3824612</v>
      </c>
      <c r="G41" s="18" t="n">
        <v>57.73760223</v>
      </c>
      <c r="H41" s="20" t="n">
        <v>2.43905798</v>
      </c>
      <c r="I41" s="18" t="s">
        <v>567</v>
      </c>
      <c r="J41" s="20" t="s">
        <v>567</v>
      </c>
      <c r="K41" s="18" t="n">
        <v>0</v>
      </c>
      <c r="L41" s="20" t="n">
        <v>0</v>
      </c>
      <c r="M41" s="18" t="n">
        <v>0</v>
      </c>
      <c r="N41" s="20" t="n">
        <v>0</v>
      </c>
      <c r="O41" s="18" t="n">
        <v>0</v>
      </c>
      <c r="P41" s="20" t="n">
        <v>0</v>
      </c>
      <c r="Q41" s="18" t="n">
        <v>1.61124912</v>
      </c>
      <c r="R41" s="20" t="n">
        <v>0.80987172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(9964.0/B46*100)</f>
        <v/>
      </c>
      <c r="D46" s="19" t="n">
        <v>1104</v>
      </c>
      <c r="E46" s="18" t="n">
        <v>64.30193964999999</v>
      </c>
      <c r="F46" s="20" t="n">
        <v>1.88907364</v>
      </c>
      <c r="G46" s="18" t="n">
        <v>32.32196968</v>
      </c>
      <c r="H46" s="20" t="n">
        <v>1.84064854</v>
      </c>
      <c r="I46" s="18" t="s">
        <v>567</v>
      </c>
      <c r="J46" s="20" t="s">
        <v>567</v>
      </c>
      <c r="K46" s="18" t="n">
        <v>0.48926568</v>
      </c>
      <c r="L46" s="20" t="n">
        <v>0.26602466</v>
      </c>
      <c r="M46" s="18" t="n">
        <v>0</v>
      </c>
      <c r="N46" s="20" t="n">
        <v>0</v>
      </c>
      <c r="O46" s="18" t="n">
        <v>0</v>
      </c>
      <c r="P46" s="20" t="n">
        <v>0</v>
      </c>
      <c r="Q46" s="18" t="n">
        <v>2.88682499</v>
      </c>
      <c r="R46" s="20" t="n">
        <v>0.69283984</v>
      </c>
    </row>
    <row r="47" spans="1:18">
      <c r="A47" s="15" t="s">
        <v>607</v>
      </c>
      <c r="B47" s="17" t="n">
        <v>3105</v>
      </c>
      <c r="C47" s="18">
        <f>(2755.0/B47*100)</f>
        <v/>
      </c>
      <c r="D47" s="19" t="n">
        <v>350</v>
      </c>
      <c r="E47" s="18" t="n">
        <v>46.86775835</v>
      </c>
      <c r="F47" s="20" t="n">
        <v>2.40020047</v>
      </c>
      <c r="G47" s="18" t="n">
        <v>51.1319562</v>
      </c>
      <c r="H47" s="20" t="n">
        <v>2.58221991</v>
      </c>
      <c r="I47" s="18" t="s">
        <v>567</v>
      </c>
      <c r="J47" s="20" t="s">
        <v>567</v>
      </c>
      <c r="K47" s="18" t="n">
        <v>0.53459526</v>
      </c>
      <c r="L47" s="20" t="n">
        <v>0.40385038</v>
      </c>
      <c r="M47" s="18" t="n">
        <v>0</v>
      </c>
      <c r="N47" s="20" t="n">
        <v>0</v>
      </c>
      <c r="O47" s="18" t="n">
        <v>0</v>
      </c>
      <c r="P47" s="20" t="n">
        <v>0</v>
      </c>
      <c r="Q47" s="18" t="n">
        <v>1.46569019</v>
      </c>
      <c r="R47" s="20" t="n">
        <v>0.64414704</v>
      </c>
    </row>
    <row r="48" spans="1:18">
      <c r="A48" s="15" t="s">
        <v>608</v>
      </c>
      <c r="B48" s="17" t="n">
        <v>5159</v>
      </c>
      <c r="C48" s="18">
        <f>(4592.0/B48*100)</f>
        <v/>
      </c>
      <c r="D48" s="19" t="n">
        <v>567</v>
      </c>
      <c r="E48" s="18" t="n">
        <v>39.42692816</v>
      </c>
      <c r="F48" s="20" t="n">
        <v>2.69626072</v>
      </c>
      <c r="G48" s="18" t="n">
        <v>59.72007446</v>
      </c>
      <c r="H48" s="20" t="n">
        <v>2.67674324</v>
      </c>
      <c r="I48" s="18" t="s">
        <v>567</v>
      </c>
      <c r="J48" s="20" t="s">
        <v>567</v>
      </c>
      <c r="K48" s="18" t="n">
        <v>0</v>
      </c>
      <c r="L48" s="20" t="n">
        <v>0</v>
      </c>
      <c r="M48" s="18" t="n">
        <v>0</v>
      </c>
      <c r="N48" s="20" t="n">
        <v>0</v>
      </c>
      <c r="O48" s="18" t="n">
        <v>0</v>
      </c>
      <c r="P48" s="20" t="n">
        <v>0</v>
      </c>
      <c r="Q48" s="18" t="n">
        <v>0.85299738</v>
      </c>
      <c r="R48" s="20" t="n">
        <v>0.49367406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(5025.0/B50*100)</f>
        <v/>
      </c>
      <c r="D50" s="19" t="n">
        <v>612</v>
      </c>
      <c r="E50" s="18" t="n">
        <v>70.33613372000001</v>
      </c>
      <c r="F50" s="20" t="n">
        <v>2.91901623</v>
      </c>
      <c r="G50" s="18" t="n">
        <v>28.6561966</v>
      </c>
      <c r="H50" s="20" t="n">
        <v>2.7268095</v>
      </c>
      <c r="I50" s="18" t="s">
        <v>567</v>
      </c>
      <c r="J50" s="20" t="s">
        <v>567</v>
      </c>
      <c r="K50" s="18" t="n">
        <v>0.28481056</v>
      </c>
      <c r="L50" s="20" t="n">
        <v>0.28564617</v>
      </c>
      <c r="M50" s="18" t="n">
        <v>0</v>
      </c>
      <c r="N50" s="20" t="n">
        <v>0</v>
      </c>
      <c r="O50" s="18" t="n">
        <v>0</v>
      </c>
      <c r="P50" s="20" t="n">
        <v>0</v>
      </c>
      <c r="Q50" s="18" t="n">
        <v>0.72285912</v>
      </c>
      <c r="R50" s="20" t="n">
        <v>0.60358203</v>
      </c>
    </row>
    <row r="51" spans="1:18">
      <c r="A51" s="15" t="s">
        <v>611</v>
      </c>
      <c r="B51" s="17" t="n">
        <v>3372</v>
      </c>
      <c r="C51" s="18">
        <f>(3045.0/B51*100)</f>
        <v/>
      </c>
      <c r="D51" s="19" t="n">
        <v>327</v>
      </c>
      <c r="E51" s="18" t="n">
        <v>58.49502369</v>
      </c>
      <c r="F51" s="20" t="n">
        <v>2.69472561</v>
      </c>
      <c r="G51" s="18" t="n">
        <v>39.79844604</v>
      </c>
      <c r="H51" s="20" t="n">
        <v>2.69228637</v>
      </c>
      <c r="I51" s="18" t="s">
        <v>567</v>
      </c>
      <c r="J51" s="20" t="s">
        <v>567</v>
      </c>
      <c r="K51" s="18" t="n">
        <v>0.61485631</v>
      </c>
      <c r="L51" s="20" t="n">
        <v>0.43503212</v>
      </c>
      <c r="M51" s="18" t="n">
        <v>0</v>
      </c>
      <c r="N51" s="20" t="n">
        <v>0</v>
      </c>
      <c r="O51" s="18" t="n">
        <v>0</v>
      </c>
      <c r="P51" s="20" t="n">
        <v>0</v>
      </c>
      <c r="Q51" s="18" t="n">
        <v>1.09167396</v>
      </c>
      <c r="R51" s="20" t="n">
        <v>0.56257136</v>
      </c>
    </row>
    <row r="52" spans="1:18">
      <c r="A52" s="15" t="s">
        <v>612</v>
      </c>
      <c r="B52" s="17" t="n">
        <v>2796</v>
      </c>
      <c r="C52" s="18">
        <f>(2501.0/B52*100)</f>
        <v/>
      </c>
      <c r="D52" s="19" t="n">
        <v>295</v>
      </c>
      <c r="E52" s="18" t="n">
        <v>45.2698379</v>
      </c>
      <c r="F52" s="20" t="n">
        <v>2.7311114</v>
      </c>
      <c r="G52" s="18" t="n">
        <v>54.41504832</v>
      </c>
      <c r="H52" s="20" t="n">
        <v>2.80017891</v>
      </c>
      <c r="I52" s="18" t="s">
        <v>567</v>
      </c>
      <c r="J52" s="20" t="s">
        <v>567</v>
      </c>
      <c r="K52" s="18" t="n">
        <v>0</v>
      </c>
      <c r="L52" s="20" t="n">
        <v>0</v>
      </c>
      <c r="M52" s="18" t="n">
        <v>0</v>
      </c>
      <c r="N52" s="20" t="n">
        <v>0</v>
      </c>
      <c r="O52" s="18" t="n">
        <v>0</v>
      </c>
      <c r="P52" s="20" t="n">
        <v>0</v>
      </c>
      <c r="Q52" s="18" t="n">
        <v>0.31511378</v>
      </c>
      <c r="R52" s="20" t="n">
        <v>0.33102981</v>
      </c>
    </row>
    <row r="53" spans="1:18">
      <c r="A53" s="15" t="s">
        <v>613</v>
      </c>
      <c r="B53" s="17" t="n">
        <v>2811</v>
      </c>
      <c r="C53" s="18">
        <f>(2488.0/B53*100)</f>
        <v/>
      </c>
      <c r="D53" s="19" t="n">
        <v>323</v>
      </c>
      <c r="E53" s="18" t="n">
        <v>62.17750016</v>
      </c>
      <c r="F53" s="20" t="n">
        <v>2.94653816</v>
      </c>
      <c r="G53" s="18" t="n">
        <v>36.25434736</v>
      </c>
      <c r="H53" s="20" t="n">
        <v>2.93579626</v>
      </c>
      <c r="I53" s="18" t="s">
        <v>567</v>
      </c>
      <c r="J53" s="20" t="s">
        <v>567</v>
      </c>
      <c r="K53" s="18" t="n">
        <v>0</v>
      </c>
      <c r="L53" s="20" t="n">
        <v>0</v>
      </c>
      <c r="M53" s="18" t="n">
        <v>0</v>
      </c>
      <c r="N53" s="20" t="n">
        <v>0</v>
      </c>
      <c r="O53" s="18" t="n">
        <v>0</v>
      </c>
      <c r="P53" s="20" t="n">
        <v>0</v>
      </c>
      <c r="Q53" s="18" t="n">
        <v>1.56815249</v>
      </c>
      <c r="R53" s="20" t="n">
        <v>0.64218052</v>
      </c>
    </row>
    <row r="54" spans="1:18">
      <c r="A54" s="15" t="s">
        <v>614</v>
      </c>
      <c r="B54" s="17" t="n">
        <v>2266</v>
      </c>
      <c r="C54" s="18">
        <f>(2024.0/B54*100)</f>
        <v/>
      </c>
      <c r="D54" s="19" t="n">
        <v>242</v>
      </c>
      <c r="E54" s="18" t="n">
        <v>58.0595302</v>
      </c>
      <c r="F54" s="20" t="n">
        <v>3.06551722</v>
      </c>
      <c r="G54" s="18" t="n">
        <v>33.08755055</v>
      </c>
      <c r="H54" s="20" t="n">
        <v>2.97487158</v>
      </c>
      <c r="I54" s="18" t="s">
        <v>567</v>
      </c>
      <c r="J54" s="20" t="s">
        <v>567</v>
      </c>
      <c r="K54" s="18" t="n">
        <v>7.75915856</v>
      </c>
      <c r="L54" s="20" t="n">
        <v>1.85136899</v>
      </c>
      <c r="M54" s="18" t="n">
        <v>0</v>
      </c>
      <c r="N54" s="20" t="n">
        <v>0</v>
      </c>
      <c r="O54" s="18" t="n">
        <v>0</v>
      </c>
      <c r="P54" s="20" t="n">
        <v>0</v>
      </c>
      <c r="Q54" s="18" t="n">
        <v>1.09376068</v>
      </c>
      <c r="R54" s="20" t="n">
        <v>0.83999332</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(2401.0/B56*100)</f>
        <v/>
      </c>
      <c r="D56" s="19" t="n">
        <v>283</v>
      </c>
      <c r="E56" s="18" t="n">
        <v>32.73114673</v>
      </c>
      <c r="F56" s="20" t="n">
        <v>2.80814185</v>
      </c>
      <c r="G56" s="18" t="n">
        <v>67.26885326999999</v>
      </c>
      <c r="H56" s="20" t="n">
        <v>2.80814185</v>
      </c>
      <c r="I56" s="18" t="s">
        <v>567</v>
      </c>
      <c r="J56" s="20" t="s">
        <v>567</v>
      </c>
      <c r="K56" s="18" t="n">
        <v>0</v>
      </c>
      <c r="L56" s="20" t="n">
        <v>0</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(2976.0/B61*100)</f>
        <v/>
      </c>
      <c r="D61" s="19" t="n">
        <v>348</v>
      </c>
      <c r="E61" s="18" t="n">
        <v>53.27330626</v>
      </c>
      <c r="F61" s="20" t="n">
        <v>2.87440605</v>
      </c>
      <c r="G61" s="18" t="n">
        <v>46.4420186</v>
      </c>
      <c r="H61" s="20" t="n">
        <v>2.88012942</v>
      </c>
      <c r="I61" s="18" t="s">
        <v>567</v>
      </c>
      <c r="J61" s="20" t="s">
        <v>567</v>
      </c>
      <c r="K61" s="18" t="n">
        <v>0</v>
      </c>
      <c r="L61" s="20" t="n">
        <v>0</v>
      </c>
      <c r="M61" s="18" t="n">
        <v>0</v>
      </c>
      <c r="N61" s="20" t="n">
        <v>0</v>
      </c>
      <c r="O61" s="18" t="n">
        <v>0</v>
      </c>
      <c r="P61" s="20" t="n">
        <v>0</v>
      </c>
      <c r="Q61" s="18" t="n">
        <v>0.28467515</v>
      </c>
      <c r="R61" s="20" t="n">
        <v>0.22705042</v>
      </c>
    </row>
    <row r="62" spans="1:18">
      <c r="A62" s="15" t="s">
        <v>622</v>
      </c>
      <c r="B62" s="17" t="n">
        <v>2246</v>
      </c>
      <c r="C62" s="18">
        <f>(1990.0/B62*100)</f>
        <v/>
      </c>
      <c r="D62" s="19" t="n">
        <v>256</v>
      </c>
      <c r="E62" s="18" t="n">
        <v>41.81096501</v>
      </c>
      <c r="F62" s="20" t="n">
        <v>3.36172696</v>
      </c>
      <c r="G62" s="18" t="n">
        <v>58.18903499</v>
      </c>
      <c r="H62" s="20" t="n">
        <v>3.36172696</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(2581.0/B66*100)</f>
        <v/>
      </c>
      <c r="D66" s="19" t="n">
        <v>313</v>
      </c>
      <c r="E66" s="18" t="n">
        <v>55.27042102</v>
      </c>
      <c r="F66" s="20" t="n">
        <v>2.81333192</v>
      </c>
      <c r="G66" s="18" t="n">
        <v>41.54947442</v>
      </c>
      <c r="H66" s="20" t="n">
        <v>2.68621145</v>
      </c>
      <c r="I66" s="18" t="s">
        <v>567</v>
      </c>
      <c r="J66" s="20" t="s">
        <v>567</v>
      </c>
      <c r="K66" s="18" t="n">
        <v>0</v>
      </c>
      <c r="L66" s="20" t="n">
        <v>0</v>
      </c>
      <c r="M66" s="18" t="n">
        <v>0</v>
      </c>
      <c r="N66" s="20" t="n">
        <v>0</v>
      </c>
      <c r="O66" s="18" t="n">
        <v>0</v>
      </c>
      <c r="P66" s="20" t="n">
        <v>0</v>
      </c>
      <c r="Q66" s="18" t="n">
        <v>3.18010455</v>
      </c>
      <c r="R66" s="20" t="n">
        <v>0.99604704</v>
      </c>
    </row>
    <row r="67" spans="1:18">
      <c r="A67" s="15" t="s">
        <v>627</v>
      </c>
      <c r="B67" s="17" t="n">
        <v>3511</v>
      </c>
      <c r="C67" s="18">
        <f>(3159.0/B67*100)</f>
        <v/>
      </c>
      <c r="D67" s="19" t="n">
        <v>352</v>
      </c>
      <c r="E67" s="18" t="n">
        <v>72.22215715999999</v>
      </c>
      <c r="F67" s="20" t="n">
        <v>2.55020285</v>
      </c>
      <c r="G67" s="18" t="n">
        <v>27.77784284</v>
      </c>
      <c r="H67" s="20" t="n">
        <v>2.55020285</v>
      </c>
      <c r="I67" s="18" t="s">
        <v>567</v>
      </c>
      <c r="J67" s="20" t="s">
        <v>567</v>
      </c>
      <c r="K67" s="18" t="n">
        <v>0</v>
      </c>
      <c r="L67" s="20" t="n">
        <v>0</v>
      </c>
      <c r="M67" s="18" t="n">
        <v>0</v>
      </c>
      <c r="N67" s="20" t="n">
        <v>0</v>
      </c>
      <c r="O67" s="18" t="n">
        <v>0</v>
      </c>
      <c r="P67" s="20" t="n">
        <v>0</v>
      </c>
      <c r="Q67" s="18" t="n">
        <v>0</v>
      </c>
      <c r="R67" s="20" t="n">
        <v>0</v>
      </c>
    </row>
    <row r="68" spans="1:18">
      <c r="A68" s="15" t="s">
        <v>628</v>
      </c>
      <c r="B68" s="17" t="n">
        <v>6049</v>
      </c>
      <c r="C68" s="18">
        <f>(5393.0/B68*100)</f>
        <v/>
      </c>
      <c r="D68" s="19" t="n">
        <v>656</v>
      </c>
      <c r="E68" s="18" t="n">
        <v>56.92692332</v>
      </c>
      <c r="F68" s="20" t="n">
        <v>2.16498142</v>
      </c>
      <c r="G68" s="18" t="n">
        <v>40.37931283</v>
      </c>
      <c r="H68" s="20" t="n">
        <v>2.07321627</v>
      </c>
      <c r="I68" s="18" t="s">
        <v>567</v>
      </c>
      <c r="J68" s="20" t="s">
        <v>567</v>
      </c>
      <c r="K68" s="18" t="n">
        <v>1.35048453</v>
      </c>
      <c r="L68" s="20" t="n">
        <v>0.44181797</v>
      </c>
      <c r="M68" s="18" t="n">
        <v>0</v>
      </c>
      <c r="N68" s="20" t="n">
        <v>0</v>
      </c>
      <c r="O68" s="18" t="n">
        <v>0</v>
      </c>
      <c r="P68" s="20" t="n">
        <v>0</v>
      </c>
      <c r="Q68" s="18" t="n">
        <v>1.34327932</v>
      </c>
      <c r="R68" s="20" t="n">
        <v>0.49032706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(2610.0/B70*100)</f>
        <v/>
      </c>
      <c r="D70" s="19" t="n">
        <v>319</v>
      </c>
      <c r="E70" s="18" t="n">
        <v>44.83931626</v>
      </c>
      <c r="F70" s="20" t="n">
        <v>2.63231262</v>
      </c>
      <c r="G70" s="18" t="n">
        <v>54.08881168</v>
      </c>
      <c r="H70" s="20" t="n">
        <v>2.71854513</v>
      </c>
      <c r="I70" s="18" t="s">
        <v>567</v>
      </c>
      <c r="J70" s="20" t="s">
        <v>567</v>
      </c>
      <c r="K70" s="18" t="n">
        <v>0</v>
      </c>
      <c r="L70" s="20" t="n">
        <v>0</v>
      </c>
      <c r="M70" s="18" t="n">
        <v>0</v>
      </c>
      <c r="N70" s="20" t="n">
        <v>0</v>
      </c>
      <c r="O70" s="18" t="n">
        <v>0</v>
      </c>
      <c r="P70" s="20" t="n">
        <v>0</v>
      </c>
      <c r="Q70" s="18" t="n">
        <v>1.07187206</v>
      </c>
      <c r="R70" s="20" t="n">
        <v>0.68907143</v>
      </c>
    </row>
    <row r="71" spans="1:18">
      <c r="A71" s="15" t="s">
        <v>631</v>
      </c>
      <c r="B71" s="17" t="n">
        <v>3142</v>
      </c>
      <c r="C71" s="18">
        <f>(2748.0/B71*100)</f>
        <v/>
      </c>
      <c r="D71" s="19" t="n">
        <v>394</v>
      </c>
      <c r="E71" s="18" t="n">
        <v>24.43129571</v>
      </c>
      <c r="F71" s="20" t="n">
        <v>2.22755653</v>
      </c>
      <c r="G71" s="18" t="n">
        <v>75.56870429</v>
      </c>
      <c r="H71" s="20" t="n">
        <v>2.22755653</v>
      </c>
      <c r="I71" s="18" t="s">
        <v>567</v>
      </c>
      <c r="J71" s="20" t="s">
        <v>567</v>
      </c>
      <c r="K71" s="18" t="n">
        <v>0</v>
      </c>
      <c r="L71" s="20" t="n">
        <v>0</v>
      </c>
      <c r="M71" s="18" t="n">
        <v>0</v>
      </c>
      <c r="N71" s="20" t="n">
        <v>0</v>
      </c>
      <c r="O71" s="18" t="n">
        <v>0</v>
      </c>
      <c r="P71" s="20" t="n">
        <v>0</v>
      </c>
      <c r="Q71" s="18" t="n">
        <v>0</v>
      </c>
      <c r="R71" s="20" t="n">
        <v>0</v>
      </c>
    </row>
    <row r="72" spans="1:18">
      <c r="A72" s="15" t="s">
        <v>632</v>
      </c>
      <c r="B72" s="17" t="n">
        <v>3889</v>
      </c>
      <c r="C72" s="18">
        <f>(3470.0/B72*100)</f>
        <v/>
      </c>
      <c r="D72" s="19" t="n">
        <v>419</v>
      </c>
      <c r="E72" s="18" t="n">
        <v>16.53091704</v>
      </c>
      <c r="F72" s="20" t="n">
        <v>1.93141042</v>
      </c>
      <c r="G72" s="18" t="n">
        <v>82.91469489000001</v>
      </c>
      <c r="H72" s="20" t="n">
        <v>1.97606248</v>
      </c>
      <c r="I72" s="18" t="s">
        <v>567</v>
      </c>
      <c r="J72" s="20" t="s">
        <v>567</v>
      </c>
      <c r="K72" s="18" t="n">
        <v>0.19606377</v>
      </c>
      <c r="L72" s="20" t="n">
        <v>0.19668736</v>
      </c>
      <c r="M72" s="18" t="n">
        <v>0</v>
      </c>
      <c r="N72" s="20" t="n">
        <v>0</v>
      </c>
      <c r="O72" s="18" t="n">
        <v>0</v>
      </c>
      <c r="P72" s="20" t="n">
        <v>0</v>
      </c>
      <c r="Q72" s="18" t="n">
        <v>0.35832431</v>
      </c>
      <c r="R72" s="20" t="n">
        <v>0.35380249</v>
      </c>
    </row>
    <row r="73" spans="1:18">
      <c r="A73" s="15" t="s">
        <v>633</v>
      </c>
      <c r="B73" s="17" t="n">
        <v>3597</v>
      </c>
      <c r="C73" s="18">
        <f>(3212.0/B73*100)</f>
        <v/>
      </c>
      <c r="D73" s="19" t="n">
        <v>385</v>
      </c>
      <c r="E73" s="18" t="n">
        <v>55.66877258</v>
      </c>
      <c r="F73" s="20" t="n">
        <v>3.26374933</v>
      </c>
      <c r="G73" s="18" t="n">
        <v>43.50672737</v>
      </c>
      <c r="H73" s="20" t="n">
        <v>3.17860314</v>
      </c>
      <c r="I73" s="18" t="s">
        <v>567</v>
      </c>
      <c r="J73" s="20" t="s">
        <v>567</v>
      </c>
      <c r="K73" s="18" t="n">
        <v>0</v>
      </c>
      <c r="L73" s="20" t="n">
        <v>0</v>
      </c>
      <c r="M73" s="18" t="n">
        <v>0</v>
      </c>
      <c r="N73" s="20" t="n">
        <v>0</v>
      </c>
      <c r="O73" s="18" t="n">
        <v>0</v>
      </c>
      <c r="P73" s="20" t="n">
        <v>0</v>
      </c>
      <c r="Q73" s="18" t="n">
        <v>0.82450005</v>
      </c>
      <c r="R73" s="20" t="n">
        <v>0.58890261</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(2163.0/B75*100)</f>
        <v/>
      </c>
      <c r="D75" s="19" t="n">
        <v>243</v>
      </c>
      <c r="E75" s="18" t="n">
        <v>73.00038832</v>
      </c>
      <c r="F75" s="20" t="n">
        <v>3.23867665</v>
      </c>
      <c r="G75" s="18" t="n">
        <v>24.95912398</v>
      </c>
      <c r="H75" s="20" t="n">
        <v>3.16226633</v>
      </c>
      <c r="I75" s="18" t="s">
        <v>567</v>
      </c>
      <c r="J75" s="20" t="s">
        <v>567</v>
      </c>
      <c r="K75" s="18" t="n">
        <v>0.7898666</v>
      </c>
      <c r="L75" s="20" t="n">
        <v>0.64296111</v>
      </c>
      <c r="M75" s="18" t="n">
        <v>0</v>
      </c>
      <c r="N75" s="20" t="n">
        <v>0</v>
      </c>
      <c r="O75" s="18" t="n">
        <v>0</v>
      </c>
      <c r="P75" s="20" t="n">
        <v>0</v>
      </c>
      <c r="Q75" s="18" t="n">
        <v>1.25062109</v>
      </c>
      <c r="R75" s="20" t="n">
        <v>0.65379368</v>
      </c>
    </row>
    <row r="76" spans="1:18">
      <c r="A76" s="15" t="s">
        <v>636</v>
      </c>
      <c r="B76" s="17" t="n">
        <v>7052</v>
      </c>
      <c r="C76" s="18">
        <f>(6261.0/B76*100)</f>
        <v/>
      </c>
      <c r="D76" s="19" t="n">
        <v>791</v>
      </c>
      <c r="E76" s="18" t="n">
        <v>54.37773331</v>
      </c>
      <c r="F76" s="20" t="n">
        <v>2.4270777</v>
      </c>
      <c r="G76" s="18" t="n">
        <v>43.96658074</v>
      </c>
      <c r="H76" s="20" t="n">
        <v>2.43671439</v>
      </c>
      <c r="I76" s="18" t="s">
        <v>567</v>
      </c>
      <c r="J76" s="20" t="s">
        <v>567</v>
      </c>
      <c r="K76" s="18" t="n">
        <v>0.45913268</v>
      </c>
      <c r="L76" s="20" t="n">
        <v>0.24512179</v>
      </c>
      <c r="M76" s="18" t="n">
        <v>0</v>
      </c>
      <c r="N76" s="20" t="n">
        <v>0</v>
      </c>
      <c r="O76" s="18" t="n">
        <v>0</v>
      </c>
      <c r="P76" s="20" t="n">
        <v>0</v>
      </c>
      <c r="Q76" s="18" t="n">
        <v>1.19655327</v>
      </c>
      <c r="R76" s="20" t="n">
        <v>0.53893008</v>
      </c>
    </row>
    <row r="77" spans="1:18">
      <c r="A77" s="15" t="s">
        <v>637</v>
      </c>
      <c r="B77" s="17" t="n">
        <v>2908</v>
      </c>
      <c r="C77" s="18">
        <f>(2611.0/B77*100)</f>
        <v/>
      </c>
      <c r="D77" s="19" t="n">
        <v>297</v>
      </c>
      <c r="E77" s="18" t="n">
        <v>61.81157275</v>
      </c>
      <c r="F77" s="20" t="n">
        <v>2.97855441</v>
      </c>
      <c r="G77" s="18" t="n">
        <v>34.50581051</v>
      </c>
      <c r="H77" s="20" t="n">
        <v>2.84565726</v>
      </c>
      <c r="I77" s="18" t="s">
        <v>567</v>
      </c>
      <c r="J77" s="20" t="s">
        <v>567</v>
      </c>
      <c r="K77" s="18" t="n">
        <v>1.31006907</v>
      </c>
      <c r="L77" s="20" t="n">
        <v>0.6527209899999999</v>
      </c>
      <c r="M77" s="18" t="n">
        <v>0</v>
      </c>
      <c r="N77" s="20" t="n">
        <v>0</v>
      </c>
      <c r="O77" s="18" t="n">
        <v>0</v>
      </c>
      <c r="P77" s="20" t="n">
        <v>0</v>
      </c>
      <c r="Q77" s="18" t="n">
        <v>2.37254767</v>
      </c>
      <c r="R77" s="20" t="n">
        <v>1.03472308</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(3726.0/B81*100)</f>
        <v/>
      </c>
      <c r="D81" s="19" t="n">
        <v>437</v>
      </c>
      <c r="E81" s="18" t="n">
        <v>55.10507159</v>
      </c>
      <c r="F81" s="20" t="n">
        <v>2.72473055</v>
      </c>
      <c r="G81" s="18" t="n">
        <v>44.89492841</v>
      </c>
      <c r="H81" s="20" t="n">
        <v>2.72473055</v>
      </c>
      <c r="I81" s="18" t="s">
        <v>567</v>
      </c>
      <c r="J81" s="20" t="s">
        <v>567</v>
      </c>
      <c r="K81" s="18" t="n">
        <v>0</v>
      </c>
      <c r="L81" s="20" t="n">
        <v>0</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731</v>
      </c>
    </row>
    <row customHeight="1" ht="30" r="4" spans="1:20">
      <c r="A4" s="6" t="n"/>
      <c r="B4" s="7" t="s">
        <v>551</v>
      </c>
      <c r="C4" s="7" t="s">
        <v>552</v>
      </c>
      <c r="D4" s="8" t="s">
        <v>551</v>
      </c>
      <c r="E4" s="9" t="s">
        <v>657</v>
      </c>
      <c r="F4" s="10" t="n"/>
      <c r="G4" s="9" t="s">
        <v>659</v>
      </c>
      <c r="H4" s="10" t="n"/>
      <c r="I4" s="9" t="s">
        <v>660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7367</v>
      </c>
      <c r="C7" s="18">
        <f>(6564.0/B7*100)</f>
        <v/>
      </c>
      <c r="D7" s="19" t="n">
        <v>803</v>
      </c>
      <c r="E7" s="18" t="n">
        <v>48.85554473</v>
      </c>
      <c r="F7" s="20" t="n">
        <v>2.11469669</v>
      </c>
      <c r="G7" s="18" t="n">
        <v>42.83366543</v>
      </c>
      <c r="H7" s="20" t="n">
        <v>2.16759629</v>
      </c>
      <c r="I7" s="18" t="n">
        <v>1.75017024</v>
      </c>
      <c r="J7" s="20" t="n">
        <v>0.47485017</v>
      </c>
      <c r="K7" s="18" t="s">
        <v>567</v>
      </c>
      <c r="L7" s="20" t="s">
        <v>567</v>
      </c>
      <c r="M7" s="18" t="n">
        <v>0.15940596</v>
      </c>
      <c r="N7" s="20" t="n">
        <v>0.1756107</v>
      </c>
      <c r="O7" s="18" t="n">
        <v>0.01733273</v>
      </c>
      <c r="P7" s="20" t="n">
        <v>0.01764528</v>
      </c>
      <c r="Q7" s="18" t="n">
        <v>0</v>
      </c>
      <c r="R7" s="20" t="n">
        <v>0</v>
      </c>
      <c r="S7" s="18" t="n">
        <v>6.38388091</v>
      </c>
      <c r="T7" s="20" t="n">
        <v>1.15160826</v>
      </c>
    </row>
    <row r="8" spans="1:20">
      <c r="A8" s="15" t="s">
        <v>568</v>
      </c>
      <c r="B8" s="17" t="n">
        <v>3564</v>
      </c>
      <c r="C8" s="18">
        <f>(3170.0/B8*100)</f>
        <v/>
      </c>
      <c r="D8" s="19" t="n">
        <v>394</v>
      </c>
      <c r="E8" s="18" t="n">
        <v>34.16003871</v>
      </c>
      <c r="F8" s="20" t="n">
        <v>2.42111288</v>
      </c>
      <c r="G8" s="18" t="n">
        <v>57.215277</v>
      </c>
      <c r="H8" s="20" t="n">
        <v>2.69005871</v>
      </c>
      <c r="I8" s="18" t="n">
        <v>1.6103723</v>
      </c>
      <c r="J8" s="20" t="n">
        <v>0.65994865</v>
      </c>
      <c r="K8" s="18" t="s">
        <v>567</v>
      </c>
      <c r="L8" s="20" t="s">
        <v>567</v>
      </c>
      <c r="M8" s="18" t="n">
        <v>0</v>
      </c>
      <c r="N8" s="20" t="n">
        <v>0</v>
      </c>
      <c r="O8" s="18" t="n">
        <v>0</v>
      </c>
      <c r="P8" s="20" t="n">
        <v>0</v>
      </c>
      <c r="Q8" s="18" t="n">
        <v>0</v>
      </c>
      <c r="R8" s="20" t="n">
        <v>0</v>
      </c>
      <c r="S8" s="18" t="n">
        <v>7.014312</v>
      </c>
      <c r="T8" s="20" t="n">
        <v>1.5156936</v>
      </c>
    </row>
    <row r="9" spans="1:20">
      <c r="A9" s="15" t="s">
        <v>569</v>
      </c>
      <c r="B9" s="17" t="n">
        <v>4899</v>
      </c>
      <c r="C9" s="18">
        <f>(4394.0/B9*100)</f>
        <v/>
      </c>
      <c r="D9" s="19" t="n">
        <v>505</v>
      </c>
      <c r="E9" s="18" t="n">
        <v>48.26930511</v>
      </c>
      <c r="F9" s="20" t="n">
        <v>2.76586096</v>
      </c>
      <c r="G9" s="18" t="n">
        <v>43.22137073</v>
      </c>
      <c r="H9" s="20" t="n">
        <v>2.547891</v>
      </c>
      <c r="I9" s="18" t="n">
        <v>1.98914327</v>
      </c>
      <c r="J9" s="20" t="n">
        <v>0.65702039</v>
      </c>
      <c r="K9" s="18" t="s">
        <v>567</v>
      </c>
      <c r="L9" s="20" t="s">
        <v>567</v>
      </c>
      <c r="M9" s="18" t="n">
        <v>0.29853219</v>
      </c>
      <c r="N9" s="20" t="n">
        <v>0.27838351</v>
      </c>
      <c r="O9" s="18" t="n">
        <v>0</v>
      </c>
      <c r="P9" s="20" t="n">
        <v>0</v>
      </c>
      <c r="Q9" s="18" t="n">
        <v>0</v>
      </c>
      <c r="R9" s="20" t="n">
        <v>0</v>
      </c>
      <c r="S9" s="18" t="n">
        <v>6.2216487</v>
      </c>
      <c r="T9" s="20" t="n">
        <v>1.22695347</v>
      </c>
    </row>
    <row r="10" spans="1:20">
      <c r="A10" s="15" t="s">
        <v>570</v>
      </c>
      <c r="B10" s="17" t="n">
        <v>10036</v>
      </c>
      <c r="C10" s="18">
        <f>(8903.0/B10*100)</f>
        <v/>
      </c>
      <c r="D10" s="19" t="n">
        <v>1133</v>
      </c>
      <c r="E10" s="18" t="n">
        <v>52.72862391</v>
      </c>
      <c r="F10" s="20" t="n">
        <v>2.28580924</v>
      </c>
      <c r="G10" s="18" t="n">
        <v>43.3178017</v>
      </c>
      <c r="H10" s="20" t="n">
        <v>2.33514948</v>
      </c>
      <c r="I10" s="18" t="n">
        <v>1.18376028</v>
      </c>
      <c r="J10" s="20" t="n">
        <v>0.34647736</v>
      </c>
      <c r="K10" s="18" t="s">
        <v>567</v>
      </c>
      <c r="L10" s="20" t="s">
        <v>567</v>
      </c>
      <c r="M10" s="18" t="n">
        <v>0.04029226</v>
      </c>
      <c r="N10" s="20" t="n">
        <v>0.03104949</v>
      </c>
      <c r="O10" s="18" t="n">
        <v>0</v>
      </c>
      <c r="P10" s="20" t="n">
        <v>0</v>
      </c>
      <c r="Q10" s="18" t="n">
        <v>0</v>
      </c>
      <c r="R10" s="20" t="n">
        <v>0</v>
      </c>
      <c r="S10" s="18" t="n">
        <v>2.72952186</v>
      </c>
      <c r="T10" s="20" t="n">
        <v>0.60916435</v>
      </c>
    </row>
    <row r="11" spans="1:20">
      <c r="A11" s="15" t="s">
        <v>571</v>
      </c>
      <c r="B11" s="17" t="n">
        <v>3553</v>
      </c>
      <c r="C11" s="18">
        <f>(3164.0/B11*100)</f>
        <v/>
      </c>
      <c r="D11" s="19" t="n">
        <v>389</v>
      </c>
      <c r="E11" s="18" t="n">
        <v>57.40219765</v>
      </c>
      <c r="F11" s="20" t="n">
        <v>3.05118484</v>
      </c>
      <c r="G11" s="18" t="n">
        <v>12.73042459</v>
      </c>
      <c r="H11" s="20" t="n">
        <v>1.79200483</v>
      </c>
      <c r="I11" s="18" t="n">
        <v>12.48238893</v>
      </c>
      <c r="J11" s="20" t="n">
        <v>1.92253056</v>
      </c>
      <c r="K11" s="18" t="s">
        <v>567</v>
      </c>
      <c r="L11" s="20" t="s">
        <v>567</v>
      </c>
      <c r="M11" s="18" t="n">
        <v>0.8043823</v>
      </c>
      <c r="N11" s="20" t="n">
        <v>0.51981059</v>
      </c>
      <c r="O11" s="18" t="n">
        <v>0.03615015</v>
      </c>
      <c r="P11" s="20" t="n">
        <v>0.03658238</v>
      </c>
      <c r="Q11" s="18" t="n">
        <v>0</v>
      </c>
      <c r="R11" s="20" t="n">
        <v>0</v>
      </c>
      <c r="S11" s="18" t="n">
        <v>16.54445639</v>
      </c>
      <c r="T11" s="20" t="n">
        <v>2.27736601</v>
      </c>
    </row>
    <row r="12" spans="1:20">
      <c r="A12" s="15" t="s">
        <v>572</v>
      </c>
      <c r="B12" s="17" t="n">
        <v>3472</v>
      </c>
      <c r="C12" s="18">
        <f>(3083.0/B12*100)</f>
        <v/>
      </c>
      <c r="D12" s="19" t="n">
        <v>389</v>
      </c>
      <c r="E12" s="18" t="n">
        <v>43.99720709</v>
      </c>
      <c r="F12" s="20" t="n">
        <v>2.88203009</v>
      </c>
      <c r="G12" s="18" t="n">
        <v>44.49184744</v>
      </c>
      <c r="H12" s="20" t="n">
        <v>2.64397648</v>
      </c>
      <c r="I12" s="18" t="n">
        <v>4.28044673</v>
      </c>
      <c r="J12" s="20" t="n">
        <v>1.22857473</v>
      </c>
      <c r="K12" s="18" t="s">
        <v>567</v>
      </c>
      <c r="L12" s="20" t="s">
        <v>567</v>
      </c>
      <c r="M12" s="18" t="n">
        <v>0</v>
      </c>
      <c r="N12" s="20" t="n">
        <v>0</v>
      </c>
      <c r="O12" s="18" t="n">
        <v>0</v>
      </c>
      <c r="P12" s="20" t="n">
        <v>0</v>
      </c>
      <c r="Q12" s="18" t="n">
        <v>0</v>
      </c>
      <c r="R12" s="20" t="n">
        <v>0</v>
      </c>
      <c r="S12" s="18" t="n">
        <v>7.23049874</v>
      </c>
      <c r="T12" s="20" t="n">
        <v>1.43186499</v>
      </c>
    </row>
    <row r="13" spans="1:20">
      <c r="A13" s="15" t="s">
        <v>573</v>
      </c>
      <c r="B13" s="17" t="n">
        <v>3559</v>
      </c>
      <c r="C13" s="18">
        <f>(3204.0/B13*100)</f>
        <v/>
      </c>
      <c r="D13" s="19" t="n">
        <v>355</v>
      </c>
      <c r="E13" s="18" t="n">
        <v>39.18897238</v>
      </c>
      <c r="F13" s="20" t="n">
        <v>2.84430508</v>
      </c>
      <c r="G13" s="18" t="n">
        <v>52.40455753</v>
      </c>
      <c r="H13" s="20" t="n">
        <v>2.38964858</v>
      </c>
      <c r="I13" s="18" t="n">
        <v>3.38464703</v>
      </c>
      <c r="J13" s="20" t="n">
        <v>1.13895058</v>
      </c>
      <c r="K13" s="18" t="s">
        <v>567</v>
      </c>
      <c r="L13" s="20" t="s">
        <v>567</v>
      </c>
      <c r="M13" s="18" t="n">
        <v>0.34234111</v>
      </c>
      <c r="N13" s="20" t="n">
        <v>0.35924639</v>
      </c>
      <c r="O13" s="18" t="n">
        <v>0</v>
      </c>
      <c r="P13" s="20" t="n">
        <v>0</v>
      </c>
      <c r="Q13" s="18" t="n">
        <v>0</v>
      </c>
      <c r="R13" s="20" t="n">
        <v>0</v>
      </c>
      <c r="S13" s="18" t="n">
        <v>4.67948195</v>
      </c>
      <c r="T13" s="20" t="n">
        <v>1.31320512</v>
      </c>
    </row>
    <row r="14" spans="1:20">
      <c r="A14" s="15" t="s">
        <v>574</v>
      </c>
      <c r="B14" s="17" t="n">
        <v>2799</v>
      </c>
      <c r="C14" s="18">
        <f>(2469.0/B14*100)</f>
        <v/>
      </c>
      <c r="D14" s="19" t="n">
        <v>330</v>
      </c>
      <c r="E14" s="18" t="n">
        <v>47.4945984</v>
      </c>
      <c r="F14" s="20" t="n">
        <v>2.83996863</v>
      </c>
      <c r="G14" s="18" t="n">
        <v>43.17084784</v>
      </c>
      <c r="H14" s="20" t="n">
        <v>2.65158372</v>
      </c>
      <c r="I14" s="18" t="n">
        <v>6.85151772</v>
      </c>
      <c r="J14" s="20" t="n">
        <v>1.5053304</v>
      </c>
      <c r="K14" s="18" t="s">
        <v>567</v>
      </c>
      <c r="L14" s="20" t="s">
        <v>567</v>
      </c>
      <c r="M14" s="18" t="n">
        <v>0</v>
      </c>
      <c r="N14" s="20" t="n">
        <v>0</v>
      </c>
      <c r="O14" s="18" t="n">
        <v>0</v>
      </c>
      <c r="P14" s="20" t="n">
        <v>0</v>
      </c>
      <c r="Q14" s="18" t="n">
        <v>0</v>
      </c>
      <c r="R14" s="20" t="n">
        <v>0</v>
      </c>
      <c r="S14" s="18" t="n">
        <v>2.48303605</v>
      </c>
      <c r="T14" s="20" t="n">
        <v>0.79747545</v>
      </c>
    </row>
    <row r="15" spans="1:20">
      <c r="A15" s="15" t="s">
        <v>575</v>
      </c>
      <c r="B15" s="17" t="n">
        <v>3019</v>
      </c>
      <c r="C15" s="18">
        <f>(2700.0/B15*100)</f>
        <v/>
      </c>
      <c r="D15" s="19" t="n">
        <v>319</v>
      </c>
      <c r="E15" s="18" t="n">
        <v>40.28546067</v>
      </c>
      <c r="F15" s="20" t="n">
        <v>2.82933438</v>
      </c>
      <c r="G15" s="18" t="n">
        <v>54.79309277</v>
      </c>
      <c r="H15" s="20" t="n">
        <v>2.92254593</v>
      </c>
      <c r="I15" s="18" t="n">
        <v>1.19789235</v>
      </c>
      <c r="J15" s="20" t="n">
        <v>0.60546008</v>
      </c>
      <c r="K15" s="18" t="s">
        <v>567</v>
      </c>
      <c r="L15" s="20" t="s">
        <v>567</v>
      </c>
      <c r="M15" s="18" t="n">
        <v>0.13123724</v>
      </c>
      <c r="N15" s="20" t="n">
        <v>0.13096372</v>
      </c>
      <c r="O15" s="18" t="n">
        <v>0</v>
      </c>
      <c r="P15" s="20" t="n">
        <v>0</v>
      </c>
      <c r="Q15" s="18" t="n">
        <v>0</v>
      </c>
      <c r="R15" s="20" t="n">
        <v>0</v>
      </c>
      <c r="S15" s="18" t="n">
        <v>3.59231698</v>
      </c>
      <c r="T15" s="20" t="n">
        <v>1.12852813</v>
      </c>
    </row>
    <row r="16" spans="1:20">
      <c r="A16" s="15" t="s">
        <v>576</v>
      </c>
      <c r="B16" s="17" t="n">
        <v>2997</v>
      </c>
      <c r="C16" s="18">
        <f>(2641.0/B16*100)</f>
        <v/>
      </c>
      <c r="D16" s="19" t="n">
        <v>356</v>
      </c>
      <c r="E16" s="18" t="n">
        <v>47.00155264</v>
      </c>
      <c r="F16" s="20" t="n">
        <v>2.46743355</v>
      </c>
      <c r="G16" s="18" t="n">
        <v>39.85780732</v>
      </c>
      <c r="H16" s="20" t="n">
        <v>2.68775256</v>
      </c>
      <c r="I16" s="18" t="n">
        <v>3.30159693</v>
      </c>
      <c r="J16" s="20" t="n">
        <v>0.91868407</v>
      </c>
      <c r="K16" s="18" t="s">
        <v>567</v>
      </c>
      <c r="L16" s="20" t="s">
        <v>567</v>
      </c>
      <c r="M16" s="18" t="n">
        <v>0.28285767</v>
      </c>
      <c r="N16" s="20" t="n">
        <v>0.30409831</v>
      </c>
      <c r="O16" s="18" t="n">
        <v>0</v>
      </c>
      <c r="P16" s="20" t="n">
        <v>0</v>
      </c>
      <c r="Q16" s="18" t="n">
        <v>0</v>
      </c>
      <c r="R16" s="20" t="n">
        <v>0</v>
      </c>
      <c r="S16" s="18" t="n">
        <v>9.55618544</v>
      </c>
      <c r="T16" s="20" t="n">
        <v>1.77038239</v>
      </c>
    </row>
    <row r="17" spans="1:20">
      <c r="A17" s="15" t="s">
        <v>577</v>
      </c>
      <c r="B17" s="17" t="n">
        <v>3307</v>
      </c>
      <c r="C17" s="18">
        <f>(2975.0/B17*100)</f>
        <v/>
      </c>
      <c r="D17" s="19" t="n">
        <v>332</v>
      </c>
      <c r="E17" s="18" t="n">
        <v>34.37467359</v>
      </c>
      <c r="F17" s="20" t="n">
        <v>2.74966412</v>
      </c>
      <c r="G17" s="18" t="n">
        <v>56.60499487</v>
      </c>
      <c r="H17" s="20" t="n">
        <v>2.64857074</v>
      </c>
      <c r="I17" s="18" t="n">
        <v>0.1939568</v>
      </c>
      <c r="J17" s="20" t="n">
        <v>0.19546995</v>
      </c>
      <c r="K17" s="18" t="s">
        <v>567</v>
      </c>
      <c r="L17" s="20" t="s">
        <v>567</v>
      </c>
      <c r="M17" s="18" t="n">
        <v>0.85277534</v>
      </c>
      <c r="N17" s="20" t="n">
        <v>0.42705773</v>
      </c>
      <c r="O17" s="18" t="n">
        <v>0</v>
      </c>
      <c r="P17" s="20" t="n">
        <v>0</v>
      </c>
      <c r="Q17" s="18" t="n">
        <v>0</v>
      </c>
      <c r="R17" s="20" t="n">
        <v>0</v>
      </c>
      <c r="S17" s="18" t="n">
        <v>7.9735994</v>
      </c>
      <c r="T17" s="20" t="n">
        <v>1.95124147</v>
      </c>
    </row>
    <row r="18" spans="1:20">
      <c r="A18" s="15" t="s">
        <v>578</v>
      </c>
      <c r="B18" s="17" t="n">
        <v>2826</v>
      </c>
      <c r="C18" s="18">
        <f>(2500.0/B18*100)</f>
        <v/>
      </c>
      <c r="D18" s="19" t="n">
        <v>326</v>
      </c>
      <c r="E18" s="18" t="n">
        <v>41.40978858</v>
      </c>
      <c r="F18" s="20" t="n">
        <v>2.75122192</v>
      </c>
      <c r="G18" s="18" t="n">
        <v>29.1294152</v>
      </c>
      <c r="H18" s="20" t="n">
        <v>2.44455723</v>
      </c>
      <c r="I18" s="18" t="n">
        <v>14.59278861</v>
      </c>
      <c r="J18" s="20" t="n">
        <v>1.62617916</v>
      </c>
      <c r="K18" s="18" t="s">
        <v>567</v>
      </c>
      <c r="L18" s="20" t="s">
        <v>567</v>
      </c>
      <c r="M18" s="18" t="n">
        <v>0.2509557</v>
      </c>
      <c r="N18" s="20" t="n">
        <v>0.25251122</v>
      </c>
      <c r="O18" s="18" t="n">
        <v>0</v>
      </c>
      <c r="P18" s="20" t="n">
        <v>0</v>
      </c>
      <c r="Q18" s="18" t="n">
        <v>0</v>
      </c>
      <c r="R18" s="20" t="n">
        <v>0</v>
      </c>
      <c r="S18" s="18" t="n">
        <v>14.6170519</v>
      </c>
      <c r="T18" s="20" t="n">
        <v>2.96524356</v>
      </c>
    </row>
    <row r="19" spans="1:20">
      <c r="A19" s="15" t="s">
        <v>579</v>
      </c>
      <c r="B19" s="17" t="n">
        <v>2808</v>
      </c>
      <c r="C19" s="18">
        <f>(2507.0/B19*100)</f>
        <v/>
      </c>
      <c r="D19" s="19" t="n">
        <v>301</v>
      </c>
      <c r="E19" s="18" t="n">
        <v>45.51144939</v>
      </c>
      <c r="F19" s="20" t="n">
        <v>2.71930266</v>
      </c>
      <c r="G19" s="18" t="n">
        <v>35.33909119</v>
      </c>
      <c r="H19" s="20" t="n">
        <v>3.02415775</v>
      </c>
      <c r="I19" s="18" t="n">
        <v>6.23206752</v>
      </c>
      <c r="J19" s="20" t="n">
        <v>1.47343144</v>
      </c>
      <c r="K19" s="18" t="s">
        <v>567</v>
      </c>
      <c r="L19" s="20" t="s">
        <v>567</v>
      </c>
      <c r="M19" s="18" t="n">
        <v>0</v>
      </c>
      <c r="N19" s="20" t="n">
        <v>0</v>
      </c>
      <c r="O19" s="18" t="n">
        <v>0</v>
      </c>
      <c r="P19" s="20" t="n">
        <v>0</v>
      </c>
      <c r="Q19" s="18" t="n">
        <v>0</v>
      </c>
      <c r="R19" s="20" t="n">
        <v>0</v>
      </c>
      <c r="S19" s="18" t="n">
        <v>12.9173919</v>
      </c>
      <c r="T19" s="20" t="n">
        <v>2.0928532</v>
      </c>
    </row>
    <row r="20" spans="1:20">
      <c r="A20" s="15" t="s">
        <v>580</v>
      </c>
      <c r="B20" s="17" t="n">
        <v>1630</v>
      </c>
      <c r="C20" s="18">
        <f>(1450.0/B20*100)</f>
        <v/>
      </c>
      <c r="D20" s="19" t="n">
        <v>180</v>
      </c>
      <c r="E20" s="18" t="n">
        <v>56.27034194</v>
      </c>
      <c r="F20" s="20" t="n">
        <v>3.43958748</v>
      </c>
      <c r="G20" s="18" t="n">
        <v>26.62053753</v>
      </c>
      <c r="H20" s="20" t="n">
        <v>3.60175355</v>
      </c>
      <c r="I20" s="18" t="n">
        <v>2.1849555</v>
      </c>
      <c r="J20" s="20" t="n">
        <v>1.23550078</v>
      </c>
      <c r="K20" s="18" t="s">
        <v>567</v>
      </c>
      <c r="L20" s="20" t="s">
        <v>567</v>
      </c>
      <c r="M20" s="18" t="n">
        <v>1.1115796</v>
      </c>
      <c r="N20" s="20" t="n">
        <v>0.7876132</v>
      </c>
      <c r="O20" s="18" t="n">
        <v>2.51695066</v>
      </c>
      <c r="P20" s="20" t="n">
        <v>0.40939919</v>
      </c>
      <c r="Q20" s="18" t="n">
        <v>0</v>
      </c>
      <c r="R20" s="20" t="n">
        <v>0</v>
      </c>
      <c r="S20" s="18" t="n">
        <v>11.29563479</v>
      </c>
      <c r="T20" s="20" t="n">
        <v>2.05954922</v>
      </c>
    </row>
    <row r="21" spans="1:20">
      <c r="A21" s="15" t="s">
        <v>581</v>
      </c>
      <c r="B21" s="17" t="n">
        <v>2908</v>
      </c>
      <c r="C21" s="18">
        <f>(2568.0/B21*100)</f>
        <v/>
      </c>
      <c r="D21" s="19" t="n">
        <v>340</v>
      </c>
      <c r="E21" s="18" t="n">
        <v>63.20274001</v>
      </c>
      <c r="F21" s="20" t="n">
        <v>2.53315098</v>
      </c>
      <c r="G21" s="18" t="n">
        <v>30.64635342</v>
      </c>
      <c r="H21" s="20" t="n">
        <v>2.61888409</v>
      </c>
      <c r="I21" s="18" t="n">
        <v>2.70807521</v>
      </c>
      <c r="J21" s="20" t="n">
        <v>1.02870712</v>
      </c>
      <c r="K21" s="18" t="s">
        <v>567</v>
      </c>
      <c r="L21" s="20" t="s">
        <v>567</v>
      </c>
      <c r="M21" s="18" t="n">
        <v>0</v>
      </c>
      <c r="N21" s="20" t="n">
        <v>0</v>
      </c>
      <c r="O21" s="18" t="n">
        <v>0</v>
      </c>
      <c r="P21" s="20" t="n">
        <v>0</v>
      </c>
      <c r="Q21" s="18" t="n">
        <v>0</v>
      </c>
      <c r="R21" s="20" t="n">
        <v>0</v>
      </c>
      <c r="S21" s="18" t="n">
        <v>3.44283136</v>
      </c>
      <c r="T21" s="20" t="n">
        <v>0.87650346</v>
      </c>
    </row>
    <row r="22" spans="1:20">
      <c r="A22" s="15" t="s">
        <v>582</v>
      </c>
      <c r="B22" s="17" t="n">
        <v>2931</v>
      </c>
      <c r="C22" s="18">
        <f>(2611.0/B22*100)</f>
        <v/>
      </c>
      <c r="D22" s="19" t="n">
        <v>320</v>
      </c>
      <c r="E22" s="18" t="n">
        <v>45.00146094</v>
      </c>
      <c r="F22" s="20" t="n">
        <v>2.50184594</v>
      </c>
      <c r="G22" s="18" t="n">
        <v>40.99531683</v>
      </c>
      <c r="H22" s="20" t="n">
        <v>2.41634733</v>
      </c>
      <c r="I22" s="18" t="n">
        <v>3.3662139</v>
      </c>
      <c r="J22" s="20" t="n">
        <v>1.22231015</v>
      </c>
      <c r="K22" s="18" t="s">
        <v>567</v>
      </c>
      <c r="L22" s="20" t="s">
        <v>567</v>
      </c>
      <c r="M22" s="18" t="n">
        <v>0.55220396</v>
      </c>
      <c r="N22" s="20" t="n">
        <v>0.53709442</v>
      </c>
      <c r="O22" s="18" t="n">
        <v>0</v>
      </c>
      <c r="P22" s="20" t="n">
        <v>0</v>
      </c>
      <c r="Q22" s="18" t="n">
        <v>0</v>
      </c>
      <c r="R22" s="20" t="n">
        <v>0</v>
      </c>
      <c r="S22" s="18" t="n">
        <v>10.08480438</v>
      </c>
      <c r="T22" s="20" t="n">
        <v>2.05966779</v>
      </c>
    </row>
    <row r="23" spans="1:20">
      <c r="A23" s="15" t="s">
        <v>583</v>
      </c>
      <c r="B23" s="17" t="n">
        <v>5791</v>
      </c>
      <c r="C23" s="18">
        <f>(5192.0/B23*100)</f>
        <v/>
      </c>
      <c r="D23" s="19" t="n">
        <v>599</v>
      </c>
      <c r="E23" s="18" t="n">
        <v>40.81582879</v>
      </c>
      <c r="F23" s="20" t="n">
        <v>2.85346616</v>
      </c>
      <c r="G23" s="18" t="n">
        <v>33.18588494</v>
      </c>
      <c r="H23" s="20" t="n">
        <v>2.47224521</v>
      </c>
      <c r="I23" s="18" t="n">
        <v>10.48552471</v>
      </c>
      <c r="J23" s="20" t="n">
        <v>1.85723424</v>
      </c>
      <c r="K23" s="18" t="s">
        <v>567</v>
      </c>
      <c r="L23" s="20" t="s">
        <v>567</v>
      </c>
      <c r="M23" s="18" t="n">
        <v>0</v>
      </c>
      <c r="N23" s="20" t="n">
        <v>0</v>
      </c>
      <c r="O23" s="18" t="n">
        <v>0</v>
      </c>
      <c r="P23" s="20" t="n">
        <v>0</v>
      </c>
      <c r="Q23" s="18" t="n">
        <v>0</v>
      </c>
      <c r="R23" s="20" t="n">
        <v>0</v>
      </c>
      <c r="S23" s="18" t="n">
        <v>15.51276155</v>
      </c>
      <c r="T23" s="20" t="n">
        <v>2.09548741</v>
      </c>
    </row>
    <row r="24" spans="1:20">
      <c r="A24" s="15" t="s">
        <v>584</v>
      </c>
      <c r="B24" s="17" t="n">
        <v>3338</v>
      </c>
      <c r="C24" s="18">
        <f>(2955.0/B24*100)</f>
        <v/>
      </c>
      <c r="D24" s="19" t="n">
        <v>383</v>
      </c>
      <c r="E24" s="18" t="n">
        <v>48.52147781</v>
      </c>
      <c r="F24" s="20" t="n">
        <v>2.84305698</v>
      </c>
      <c r="G24" s="18" t="n">
        <v>35.31808638</v>
      </c>
      <c r="H24" s="20" t="n">
        <v>2.29144432</v>
      </c>
      <c r="I24" s="18" t="n">
        <v>6.01372776</v>
      </c>
      <c r="J24" s="20" t="n">
        <v>1.28349251</v>
      </c>
      <c r="K24" s="18" t="s">
        <v>567</v>
      </c>
      <c r="L24" s="20" t="s">
        <v>567</v>
      </c>
      <c r="M24" s="18" t="n">
        <v>0</v>
      </c>
      <c r="N24" s="20" t="n">
        <v>0</v>
      </c>
      <c r="O24" s="18" t="n">
        <v>0</v>
      </c>
      <c r="P24" s="20" t="n">
        <v>0</v>
      </c>
      <c r="Q24" s="18" t="n">
        <v>0</v>
      </c>
      <c r="R24" s="20" t="n">
        <v>0</v>
      </c>
      <c r="S24" s="18" t="n">
        <v>10.14670805</v>
      </c>
      <c r="T24" s="20" t="n">
        <v>1.5736569</v>
      </c>
    </row>
    <row r="25" spans="1:20">
      <c r="A25" s="15" t="s">
        <v>585</v>
      </c>
      <c r="B25" s="17" t="n">
        <v>2912</v>
      </c>
      <c r="C25" s="18">
        <f>(2603.0/B25*100)</f>
        <v/>
      </c>
      <c r="D25" s="19" t="n">
        <v>309</v>
      </c>
      <c r="E25" s="18" t="n">
        <v>47.95303129</v>
      </c>
      <c r="F25" s="20" t="n">
        <v>2.65203244</v>
      </c>
      <c r="G25" s="18" t="n">
        <v>29.69619982</v>
      </c>
      <c r="H25" s="20" t="n">
        <v>2.22599781</v>
      </c>
      <c r="I25" s="18" t="n">
        <v>8.49332139</v>
      </c>
      <c r="J25" s="20" t="n">
        <v>1.57803693</v>
      </c>
      <c r="K25" s="18" t="s">
        <v>567</v>
      </c>
      <c r="L25" s="20" t="s">
        <v>567</v>
      </c>
      <c r="M25" s="18" t="n">
        <v>0</v>
      </c>
      <c r="N25" s="20" t="n">
        <v>0</v>
      </c>
      <c r="O25" s="18" t="n">
        <v>0</v>
      </c>
      <c r="P25" s="20" t="n">
        <v>0</v>
      </c>
      <c r="Q25" s="18" t="n">
        <v>0</v>
      </c>
      <c r="R25" s="20" t="n">
        <v>0</v>
      </c>
      <c r="S25" s="18" t="n">
        <v>13.8574475</v>
      </c>
      <c r="T25" s="20" t="n">
        <v>2.10022608</v>
      </c>
    </row>
    <row r="26" spans="1:20">
      <c r="A26" s="15" t="s">
        <v>586</v>
      </c>
      <c r="B26" s="17" t="n">
        <v>2450</v>
      </c>
      <c r="C26" s="18">
        <f>(2165.0/B26*100)</f>
        <v/>
      </c>
      <c r="D26" s="19" t="n">
        <v>285</v>
      </c>
      <c r="E26" s="18" t="n">
        <v>53.13843537</v>
      </c>
      <c r="F26" s="20" t="n">
        <v>3.09308081</v>
      </c>
      <c r="G26" s="18" t="n">
        <v>39.43284907</v>
      </c>
      <c r="H26" s="20" t="n">
        <v>3.13270049</v>
      </c>
      <c r="I26" s="18" t="n">
        <v>2.56803503</v>
      </c>
      <c r="J26" s="20" t="n">
        <v>0.98278786</v>
      </c>
      <c r="K26" s="18" t="s">
        <v>567</v>
      </c>
      <c r="L26" s="20" t="s">
        <v>567</v>
      </c>
      <c r="M26" s="18" t="n">
        <v>0</v>
      </c>
      <c r="N26" s="20" t="n">
        <v>0</v>
      </c>
      <c r="O26" s="18" t="n">
        <v>0</v>
      </c>
      <c r="P26" s="20" t="n">
        <v>0</v>
      </c>
      <c r="Q26" s="18" t="n">
        <v>0</v>
      </c>
      <c r="R26" s="20" t="n">
        <v>0</v>
      </c>
      <c r="S26" s="18" t="n">
        <v>4.86068053</v>
      </c>
      <c r="T26" s="20" t="n">
        <v>1.32590554</v>
      </c>
    </row>
    <row r="27" spans="1:20">
      <c r="A27" s="15" t="s">
        <v>587</v>
      </c>
      <c r="B27" s="17" t="n">
        <v>2616</v>
      </c>
      <c r="C27" s="18">
        <f>(2307.0/B27*100)</f>
        <v/>
      </c>
      <c r="D27" s="19" t="n">
        <v>309</v>
      </c>
      <c r="E27" s="18" t="n">
        <v>44.35513454</v>
      </c>
      <c r="F27" s="20" t="n">
        <v>2.76642765</v>
      </c>
      <c r="G27" s="18" t="n">
        <v>45.00416746</v>
      </c>
      <c r="H27" s="20" t="n">
        <v>2.53250069</v>
      </c>
      <c r="I27" s="18" t="n">
        <v>1.91341489</v>
      </c>
      <c r="J27" s="20" t="n">
        <v>0.87953193</v>
      </c>
      <c r="K27" s="18" t="s">
        <v>567</v>
      </c>
      <c r="L27" s="20" t="s">
        <v>567</v>
      </c>
      <c r="M27" s="18" t="n">
        <v>0.95803743</v>
      </c>
      <c r="N27" s="20" t="n">
        <v>0.54513242</v>
      </c>
      <c r="O27" s="18" t="n">
        <v>0</v>
      </c>
      <c r="P27" s="20" t="n">
        <v>0</v>
      </c>
      <c r="Q27" s="18" t="n">
        <v>0</v>
      </c>
      <c r="R27" s="20" t="n">
        <v>0</v>
      </c>
      <c r="S27" s="18" t="n">
        <v>7.76924568</v>
      </c>
      <c r="T27" s="20" t="n">
        <v>1.52938925</v>
      </c>
    </row>
    <row r="28" spans="1:20">
      <c r="A28" s="15" t="s">
        <v>588</v>
      </c>
      <c r="B28" s="17" t="n">
        <v>3765</v>
      </c>
      <c r="C28" s="18">
        <f>(3342.0/B28*100)</f>
        <v/>
      </c>
      <c r="D28" s="19" t="n">
        <v>423</v>
      </c>
      <c r="E28" s="18" t="n">
        <v>80.04170593000001</v>
      </c>
      <c r="F28" s="20" t="n">
        <v>2.24089544</v>
      </c>
      <c r="G28" s="18" t="n">
        <v>14.10587051</v>
      </c>
      <c r="H28" s="20" t="n">
        <v>2.10334231</v>
      </c>
      <c r="I28" s="18" t="n">
        <v>1.24582576</v>
      </c>
      <c r="J28" s="20" t="n">
        <v>0.51524565</v>
      </c>
      <c r="K28" s="18" t="s">
        <v>567</v>
      </c>
      <c r="L28" s="20" t="s">
        <v>567</v>
      </c>
      <c r="M28" s="18" t="n">
        <v>0.51742107</v>
      </c>
      <c r="N28" s="20" t="n">
        <v>0.42738645</v>
      </c>
      <c r="O28" s="18" t="n">
        <v>0</v>
      </c>
      <c r="P28" s="20" t="n">
        <v>0</v>
      </c>
      <c r="Q28" s="18" t="n">
        <v>0</v>
      </c>
      <c r="R28" s="20" t="n">
        <v>0</v>
      </c>
      <c r="S28" s="18" t="n">
        <v>4.08917672</v>
      </c>
      <c r="T28" s="20" t="n">
        <v>1.05490127</v>
      </c>
    </row>
    <row r="29" spans="1:20">
      <c r="A29" s="15" t="s">
        <v>589</v>
      </c>
      <c r="B29" s="17" t="n">
        <v>2685</v>
      </c>
      <c r="C29" s="18">
        <f>(2429.0/B29*100)</f>
        <v/>
      </c>
      <c r="D29" s="19" t="n">
        <v>256</v>
      </c>
      <c r="E29" s="18" t="n">
        <v>40.10105586</v>
      </c>
      <c r="F29" s="20" t="n">
        <v>3.06444049</v>
      </c>
      <c r="G29" s="18" t="n">
        <v>56.56872598</v>
      </c>
      <c r="H29" s="20" t="n">
        <v>3.18495161</v>
      </c>
      <c r="I29" s="18" t="n">
        <v>1.37902114</v>
      </c>
      <c r="J29" s="20" t="n">
        <v>0.77270209</v>
      </c>
      <c r="K29" s="18" t="s">
        <v>567</v>
      </c>
      <c r="L29" s="20" t="s">
        <v>567</v>
      </c>
      <c r="M29" s="18" t="n">
        <v>0.35316455</v>
      </c>
      <c r="N29" s="20" t="n">
        <v>0.3362382</v>
      </c>
      <c r="O29" s="18" t="n">
        <v>0</v>
      </c>
      <c r="P29" s="20" t="n">
        <v>0</v>
      </c>
      <c r="Q29" s="18" t="n">
        <v>0</v>
      </c>
      <c r="R29" s="20" t="n">
        <v>0</v>
      </c>
      <c r="S29" s="18" t="n">
        <v>1.59803247</v>
      </c>
      <c r="T29" s="20" t="n">
        <v>0.78699313</v>
      </c>
    </row>
    <row r="30" spans="1:20">
      <c r="A30" s="15" t="s">
        <v>590</v>
      </c>
      <c r="B30" s="17" t="n">
        <v>2263</v>
      </c>
      <c r="C30" s="18">
        <f>(1999.0/B30*100)</f>
        <v/>
      </c>
      <c r="D30" s="19" t="n">
        <v>264</v>
      </c>
      <c r="E30" s="18" t="n">
        <v>43.66441062</v>
      </c>
      <c r="F30" s="20" t="n">
        <v>3.15463302</v>
      </c>
      <c r="G30" s="18" t="n">
        <v>43.24791579</v>
      </c>
      <c r="H30" s="20" t="n">
        <v>3.21664699</v>
      </c>
      <c r="I30" s="18" t="n">
        <v>2.30952847</v>
      </c>
      <c r="J30" s="20" t="n">
        <v>0.84181727</v>
      </c>
      <c r="K30" s="18" t="s">
        <v>567</v>
      </c>
      <c r="L30" s="20" t="s">
        <v>567</v>
      </c>
      <c r="M30" s="18" t="n">
        <v>0</v>
      </c>
      <c r="N30" s="20" t="n">
        <v>0</v>
      </c>
      <c r="O30" s="18" t="n">
        <v>0</v>
      </c>
      <c r="P30" s="20" t="n">
        <v>0</v>
      </c>
      <c r="Q30" s="18" t="n">
        <v>0</v>
      </c>
      <c r="R30" s="20" t="n">
        <v>0</v>
      </c>
      <c r="S30" s="18" t="n">
        <v>10.77814512</v>
      </c>
      <c r="T30" s="20" t="n">
        <v>1.67000749</v>
      </c>
    </row>
    <row r="31" spans="1:20">
      <c r="A31" s="15" t="s">
        <v>591</v>
      </c>
      <c r="B31" s="17" t="n">
        <v>2750</v>
      </c>
      <c r="C31" s="18">
        <f>(2445.0/B31*100)</f>
        <v/>
      </c>
      <c r="D31" s="19" t="n">
        <v>305</v>
      </c>
      <c r="E31" s="18" t="n">
        <v>40.41190676</v>
      </c>
      <c r="F31" s="20" t="n">
        <v>2.74248266</v>
      </c>
      <c r="G31" s="18" t="n">
        <v>49.12972775</v>
      </c>
      <c r="H31" s="20" t="n">
        <v>2.53824847</v>
      </c>
      <c r="I31" s="18" t="n">
        <v>0.92111401</v>
      </c>
      <c r="J31" s="20" t="n">
        <v>0.55799275</v>
      </c>
      <c r="K31" s="18" t="s">
        <v>567</v>
      </c>
      <c r="L31" s="20" t="s">
        <v>567</v>
      </c>
      <c r="M31" s="18" t="n">
        <v>0.24047726</v>
      </c>
      <c r="N31" s="20" t="n">
        <v>0.23431284</v>
      </c>
      <c r="O31" s="18" t="n">
        <v>0.66691635</v>
      </c>
      <c r="P31" s="20" t="n">
        <v>0.71522461</v>
      </c>
      <c r="Q31" s="18" t="n">
        <v>0</v>
      </c>
      <c r="R31" s="20" t="n">
        <v>0</v>
      </c>
      <c r="S31" s="18" t="n">
        <v>8.62985787</v>
      </c>
      <c r="T31" s="20" t="n">
        <v>1.66554621</v>
      </c>
    </row>
    <row r="32" spans="1:20">
      <c r="A32" s="15" t="s">
        <v>592</v>
      </c>
      <c r="B32" s="17" t="n">
        <v>2269</v>
      </c>
      <c r="C32" s="18">
        <f>(2029.0/B32*100)</f>
        <v/>
      </c>
      <c r="D32" s="19" t="n">
        <v>240</v>
      </c>
      <c r="E32" s="18" t="n">
        <v>37.87149734</v>
      </c>
      <c r="F32" s="20" t="n">
        <v>3.25112109</v>
      </c>
      <c r="G32" s="18" t="n">
        <v>51.24938168</v>
      </c>
      <c r="H32" s="20" t="n">
        <v>3.1421072</v>
      </c>
      <c r="I32" s="18" t="n">
        <v>2.47301675</v>
      </c>
      <c r="J32" s="20" t="n">
        <v>0.99605929</v>
      </c>
      <c r="K32" s="18" t="s">
        <v>567</v>
      </c>
      <c r="L32" s="20" t="s">
        <v>567</v>
      </c>
      <c r="M32" s="18" t="n">
        <v>0</v>
      </c>
      <c r="N32" s="20" t="n">
        <v>0</v>
      </c>
      <c r="O32" s="18" t="n">
        <v>0</v>
      </c>
      <c r="P32" s="20" t="n">
        <v>0</v>
      </c>
      <c r="Q32" s="18" t="n">
        <v>0</v>
      </c>
      <c r="R32" s="20" t="n">
        <v>0</v>
      </c>
      <c r="S32" s="18" t="n">
        <v>8.40610423</v>
      </c>
      <c r="T32" s="20" t="n">
        <v>1.83571316</v>
      </c>
    </row>
    <row r="33" spans="1:20">
      <c r="A33" s="15" t="s">
        <v>593</v>
      </c>
      <c r="B33" s="17" t="n">
        <v>3674</v>
      </c>
      <c r="C33" s="18">
        <f>(3263.0/B33*100)</f>
        <v/>
      </c>
      <c r="D33" s="19" t="n">
        <v>411</v>
      </c>
      <c r="E33" s="18" t="n">
        <v>59.32529095</v>
      </c>
      <c r="F33" s="20" t="n">
        <v>2.71491196</v>
      </c>
      <c r="G33" s="18" t="n">
        <v>28.18607103</v>
      </c>
      <c r="H33" s="20" t="n">
        <v>2.51245424</v>
      </c>
      <c r="I33" s="18" t="n">
        <v>2.38811114</v>
      </c>
      <c r="J33" s="20" t="n">
        <v>0.76237623</v>
      </c>
      <c r="K33" s="18" t="s">
        <v>567</v>
      </c>
      <c r="L33" s="20" t="s">
        <v>567</v>
      </c>
      <c r="M33" s="18" t="n">
        <v>0.1276171</v>
      </c>
      <c r="N33" s="20" t="n">
        <v>0.11875281</v>
      </c>
      <c r="O33" s="18" t="n">
        <v>0.54792387</v>
      </c>
      <c r="P33" s="20" t="n">
        <v>0.54639945</v>
      </c>
      <c r="Q33" s="18" t="n">
        <v>0</v>
      </c>
      <c r="R33" s="20" t="n">
        <v>0</v>
      </c>
      <c r="S33" s="18" t="n">
        <v>9.42498591</v>
      </c>
      <c r="T33" s="20" t="n">
        <v>1.61102891</v>
      </c>
    </row>
    <row r="34" spans="1:20">
      <c r="A34" s="15" t="s">
        <v>594</v>
      </c>
      <c r="B34" s="17" t="n">
        <v>3315</v>
      </c>
      <c r="C34" s="18">
        <f>(2986.0/B34*100)</f>
        <v/>
      </c>
      <c r="D34" s="19" t="n">
        <v>329</v>
      </c>
      <c r="E34" s="18" t="n">
        <v>51.69110664</v>
      </c>
      <c r="F34" s="20" t="n">
        <v>2.86084285</v>
      </c>
      <c r="G34" s="18" t="n">
        <v>38.52693865</v>
      </c>
      <c r="H34" s="20" t="n">
        <v>2.68280475</v>
      </c>
      <c r="I34" s="18" t="n">
        <v>1.49629713</v>
      </c>
      <c r="J34" s="20" t="n">
        <v>0.78379454</v>
      </c>
      <c r="K34" s="18" t="s">
        <v>567</v>
      </c>
      <c r="L34" s="20" t="s">
        <v>567</v>
      </c>
      <c r="M34" s="18" t="n">
        <v>0</v>
      </c>
      <c r="N34" s="20" t="n">
        <v>0</v>
      </c>
      <c r="O34" s="18" t="n">
        <v>0</v>
      </c>
      <c r="P34" s="20" t="n">
        <v>0</v>
      </c>
      <c r="Q34" s="18" t="n">
        <v>0</v>
      </c>
      <c r="R34" s="20" t="n">
        <v>0</v>
      </c>
      <c r="S34" s="18" t="n">
        <v>8.28565757</v>
      </c>
      <c r="T34" s="20" t="n">
        <v>1.56290016</v>
      </c>
    </row>
    <row r="35" spans="1:20">
      <c r="A35" s="15" t="s">
        <v>595</v>
      </c>
      <c r="B35" s="17" t="n">
        <v>3505</v>
      </c>
      <c r="C35" s="18">
        <f>(3147.0/B35*100)</f>
        <v/>
      </c>
      <c r="D35" s="19" t="n">
        <v>358</v>
      </c>
      <c r="E35" s="18" t="n">
        <v>43.42519194</v>
      </c>
      <c r="F35" s="20" t="n">
        <v>3.43905168</v>
      </c>
      <c r="G35" s="18" t="n">
        <v>48.67468399</v>
      </c>
      <c r="H35" s="20" t="n">
        <v>3.33896217</v>
      </c>
      <c r="I35" s="18" t="n">
        <v>4.90517431</v>
      </c>
      <c r="J35" s="20" t="n">
        <v>1.55947799</v>
      </c>
      <c r="K35" s="18" t="s">
        <v>567</v>
      </c>
      <c r="L35" s="20" t="s">
        <v>567</v>
      </c>
      <c r="M35" s="18" t="n">
        <v>0</v>
      </c>
      <c r="N35" s="20" t="n">
        <v>0</v>
      </c>
      <c r="O35" s="18" t="n">
        <v>0</v>
      </c>
      <c r="P35" s="20" t="n">
        <v>0</v>
      </c>
      <c r="Q35" s="18" t="n">
        <v>0</v>
      </c>
      <c r="R35" s="20" t="n">
        <v>0</v>
      </c>
      <c r="S35" s="18" t="n">
        <v>2.99494976</v>
      </c>
      <c r="T35" s="20" t="n">
        <v>1.20312246</v>
      </c>
    </row>
    <row r="36" spans="1:20">
      <c r="A36" s="15" t="s">
        <v>596</v>
      </c>
      <c r="B36" s="17" t="n">
        <v>3332</v>
      </c>
      <c r="C36" s="18">
        <f>(2938.0/B36*100)</f>
        <v/>
      </c>
      <c r="D36" s="19" t="n">
        <v>394</v>
      </c>
      <c r="E36" s="18" t="n">
        <v>52.55736014</v>
      </c>
      <c r="F36" s="20" t="n">
        <v>2.80172188</v>
      </c>
      <c r="G36" s="18" t="n">
        <v>29.26673403</v>
      </c>
      <c r="H36" s="20" t="n">
        <v>2.29674092</v>
      </c>
      <c r="I36" s="18" t="n">
        <v>8.55801364</v>
      </c>
      <c r="J36" s="20" t="n">
        <v>1.73446971</v>
      </c>
      <c r="K36" s="18" t="s">
        <v>567</v>
      </c>
      <c r="L36" s="20" t="s">
        <v>567</v>
      </c>
      <c r="M36" s="18" t="n">
        <v>1.07893641</v>
      </c>
      <c r="N36" s="20" t="n">
        <v>0.55735655</v>
      </c>
      <c r="O36" s="18" t="n">
        <v>0</v>
      </c>
      <c r="P36" s="20" t="n">
        <v>0</v>
      </c>
      <c r="Q36" s="18" t="n">
        <v>0</v>
      </c>
      <c r="R36" s="20" t="n">
        <v>0</v>
      </c>
      <c r="S36" s="18" t="n">
        <v>8.53895578</v>
      </c>
      <c r="T36" s="20" t="n">
        <v>1.66188801</v>
      </c>
    </row>
    <row r="37" spans="1:20">
      <c r="A37" s="15" t="s">
        <v>597</v>
      </c>
      <c r="B37" s="17" t="n">
        <v>2727</v>
      </c>
      <c r="C37" s="18">
        <f>(2430.0/B37*100)</f>
        <v/>
      </c>
      <c r="D37" s="19" t="n">
        <v>297</v>
      </c>
      <c r="E37" s="18" t="n">
        <v>40.59381273</v>
      </c>
      <c r="F37" s="20" t="n">
        <v>3.19439596</v>
      </c>
      <c r="G37" s="18" t="n">
        <v>45.82965457</v>
      </c>
      <c r="H37" s="20" t="n">
        <v>2.77465874</v>
      </c>
      <c r="I37" s="18" t="n">
        <v>1.63075244</v>
      </c>
      <c r="J37" s="20" t="n">
        <v>0.73395579</v>
      </c>
      <c r="K37" s="18" t="s">
        <v>567</v>
      </c>
      <c r="L37" s="20" t="s">
        <v>567</v>
      </c>
      <c r="M37" s="18" t="n">
        <v>0</v>
      </c>
      <c r="N37" s="20" t="n">
        <v>0</v>
      </c>
      <c r="O37" s="18" t="n">
        <v>0.53919153</v>
      </c>
      <c r="P37" s="20" t="n">
        <v>0.5500463</v>
      </c>
      <c r="Q37" s="18" t="n">
        <v>0</v>
      </c>
      <c r="R37" s="20" t="n">
        <v>0</v>
      </c>
      <c r="S37" s="18" t="n">
        <v>11.40658874</v>
      </c>
      <c r="T37" s="20" t="n">
        <v>1.91086524</v>
      </c>
    </row>
    <row r="38" spans="1:20">
      <c r="A38" s="15" t="s">
        <v>598</v>
      </c>
      <c r="B38" s="17" t="n">
        <v>3053</v>
      </c>
      <c r="C38" s="18">
        <f>(2710.0/B38*100)</f>
        <v/>
      </c>
      <c r="D38" s="19" t="n">
        <v>343</v>
      </c>
      <c r="E38" s="18" t="n">
        <v>36.67588479</v>
      </c>
      <c r="F38" s="20" t="n">
        <v>3.13080122</v>
      </c>
      <c r="G38" s="18" t="n">
        <v>50.84917326</v>
      </c>
      <c r="H38" s="20" t="n">
        <v>3.25409647</v>
      </c>
      <c r="I38" s="18" t="n">
        <v>3.09977178</v>
      </c>
      <c r="J38" s="20" t="n">
        <v>1.48498258</v>
      </c>
      <c r="K38" s="18" t="s">
        <v>567</v>
      </c>
      <c r="L38" s="20" t="s">
        <v>567</v>
      </c>
      <c r="M38" s="18" t="n">
        <v>0</v>
      </c>
      <c r="N38" s="20" t="n">
        <v>0</v>
      </c>
      <c r="O38" s="18" t="n">
        <v>3.31522405</v>
      </c>
      <c r="P38" s="20" t="n">
        <v>1.05887025</v>
      </c>
      <c r="Q38" s="18" t="n">
        <v>0</v>
      </c>
      <c r="R38" s="20" t="n">
        <v>0</v>
      </c>
      <c r="S38" s="18" t="n">
        <v>6.05994612</v>
      </c>
      <c r="T38" s="20" t="n">
        <v>1.52250875</v>
      </c>
    </row>
    <row r="39" spans="1:20">
      <c r="A39" s="15" t="s">
        <v>599</v>
      </c>
      <c r="B39" s="17" t="n">
        <v>2957</v>
      </c>
      <c r="C39" s="18">
        <f>(2647.0/B39*100)</f>
        <v/>
      </c>
      <c r="D39" s="19" t="n">
        <v>310</v>
      </c>
      <c r="E39" s="18" t="n">
        <v>89.77992319000001</v>
      </c>
      <c r="F39" s="20" t="n">
        <v>1.75010747</v>
      </c>
      <c r="G39" s="18" t="n">
        <v>5.01523341</v>
      </c>
      <c r="H39" s="20" t="n">
        <v>1.34214101</v>
      </c>
      <c r="I39" s="18" t="n">
        <v>1.60356421</v>
      </c>
      <c r="J39" s="20" t="n">
        <v>0.75183389</v>
      </c>
      <c r="K39" s="18" t="s">
        <v>567</v>
      </c>
      <c r="L39" s="20" t="s">
        <v>567</v>
      </c>
      <c r="M39" s="18" t="n">
        <v>0</v>
      </c>
      <c r="N39" s="20" t="n">
        <v>0</v>
      </c>
      <c r="O39" s="18" t="n">
        <v>0</v>
      </c>
      <c r="P39" s="20" t="n">
        <v>0</v>
      </c>
      <c r="Q39" s="18" t="n">
        <v>0</v>
      </c>
      <c r="R39" s="20" t="n">
        <v>0</v>
      </c>
      <c r="S39" s="18" t="n">
        <v>3.60127919</v>
      </c>
      <c r="T39" s="20" t="n">
        <v>1.19997102</v>
      </c>
    </row>
    <row r="40" spans="1:20">
      <c r="A40" s="15" t="s">
        <v>600</v>
      </c>
      <c r="B40" s="17" t="n">
        <v>7235</v>
      </c>
      <c r="C40" s="18">
        <f>(6426.0/B40*100)</f>
        <v/>
      </c>
      <c r="D40" s="19" t="n">
        <v>809</v>
      </c>
      <c r="E40" s="18" t="n">
        <v>44.21841001</v>
      </c>
      <c r="F40" s="20" t="n">
        <v>2.76921696</v>
      </c>
      <c r="G40" s="18" t="n">
        <v>46.86554804</v>
      </c>
      <c r="H40" s="20" t="n">
        <v>2.60509692</v>
      </c>
      <c r="I40" s="18" t="n">
        <v>2.21697161</v>
      </c>
      <c r="J40" s="20" t="n">
        <v>0.91792777</v>
      </c>
      <c r="K40" s="18" t="s">
        <v>567</v>
      </c>
      <c r="L40" s="20" t="s">
        <v>567</v>
      </c>
      <c r="M40" s="18" t="n">
        <v>0</v>
      </c>
      <c r="N40" s="20" t="n">
        <v>0</v>
      </c>
      <c r="O40" s="18" t="n">
        <v>0.20131631</v>
      </c>
      <c r="P40" s="20" t="n">
        <v>0.1925006</v>
      </c>
      <c r="Q40" s="18" t="n">
        <v>0</v>
      </c>
      <c r="R40" s="20" t="n">
        <v>0</v>
      </c>
      <c r="S40" s="18" t="n">
        <v>6.49775403</v>
      </c>
      <c r="T40" s="20" t="n">
        <v>1.33465053</v>
      </c>
    </row>
    <row r="41" spans="1:20">
      <c r="A41" s="15" t="s">
        <v>601</v>
      </c>
      <c r="B41" s="17" t="n">
        <v>2858</v>
      </c>
      <c r="C41" s="18">
        <f>(2507.0/B41*100)</f>
        <v/>
      </c>
      <c r="D41" s="19" t="n">
        <v>351</v>
      </c>
      <c r="E41" s="18" t="n">
        <v>55.3438244</v>
      </c>
      <c r="F41" s="20" t="n">
        <v>3.25944637</v>
      </c>
      <c r="G41" s="18" t="n">
        <v>37.62333155</v>
      </c>
      <c r="H41" s="20" t="n">
        <v>2.8483641</v>
      </c>
      <c r="I41" s="18" t="n">
        <v>3.07527815</v>
      </c>
      <c r="J41" s="20" t="n">
        <v>1.23356191</v>
      </c>
      <c r="K41" s="18" t="s">
        <v>567</v>
      </c>
      <c r="L41" s="20" t="s">
        <v>567</v>
      </c>
      <c r="M41" s="18" t="n">
        <v>0</v>
      </c>
      <c r="N41" s="20" t="n">
        <v>0</v>
      </c>
      <c r="O41" s="18" t="n">
        <v>0</v>
      </c>
      <c r="P41" s="20" t="n">
        <v>0</v>
      </c>
      <c r="Q41" s="18" t="n">
        <v>0</v>
      </c>
      <c r="R41" s="20" t="n">
        <v>0</v>
      </c>
      <c r="S41" s="18" t="n">
        <v>3.9575659</v>
      </c>
      <c r="T41" s="20" t="n">
        <v>1.04069934</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11068</v>
      </c>
      <c r="C46" s="18">
        <f>(9992.0/B46*100)</f>
        <v/>
      </c>
      <c r="D46" s="19" t="n">
        <v>1076</v>
      </c>
      <c r="E46" s="18" t="n">
        <v>74.31261331</v>
      </c>
      <c r="F46" s="20" t="n">
        <v>1.71061099</v>
      </c>
      <c r="G46" s="18" t="n">
        <v>12.54673859</v>
      </c>
      <c r="H46" s="20" t="n">
        <v>1.16057258</v>
      </c>
      <c r="I46" s="18" t="n">
        <v>0.55315613</v>
      </c>
      <c r="J46" s="20" t="n">
        <v>0.22316507</v>
      </c>
      <c r="K46" s="18" t="s">
        <v>567</v>
      </c>
      <c r="L46" s="20" t="s">
        <v>567</v>
      </c>
      <c r="M46" s="18" t="n">
        <v>0.53666183</v>
      </c>
      <c r="N46" s="20" t="n">
        <v>0.27448376</v>
      </c>
      <c r="O46" s="18" t="n">
        <v>0.31860208</v>
      </c>
      <c r="P46" s="20" t="n">
        <v>0.24537391</v>
      </c>
      <c r="Q46" s="18" t="n">
        <v>0</v>
      </c>
      <c r="R46" s="20" t="n">
        <v>0</v>
      </c>
      <c r="S46" s="18" t="n">
        <v>11.73222806</v>
      </c>
      <c r="T46" s="20" t="n">
        <v>1.30048098</v>
      </c>
    </row>
    <row r="47" spans="1:20">
      <c r="A47" s="15" t="s">
        <v>607</v>
      </c>
      <c r="B47" s="17" t="n">
        <v>3105</v>
      </c>
      <c r="C47" s="18">
        <f>(2757.0/B47*100)</f>
        <v/>
      </c>
      <c r="D47" s="19" t="n">
        <v>348</v>
      </c>
      <c r="E47" s="18" t="n">
        <v>62.37898072</v>
      </c>
      <c r="F47" s="20" t="n">
        <v>2.48811168</v>
      </c>
      <c r="G47" s="18" t="n">
        <v>19.62654831</v>
      </c>
      <c r="H47" s="20" t="n">
        <v>2.25575367</v>
      </c>
      <c r="I47" s="18" t="n">
        <v>4.23710966</v>
      </c>
      <c r="J47" s="20" t="n">
        <v>1.06094319</v>
      </c>
      <c r="K47" s="18" t="s">
        <v>567</v>
      </c>
      <c r="L47" s="20" t="s">
        <v>567</v>
      </c>
      <c r="M47" s="18" t="n">
        <v>0.53771741</v>
      </c>
      <c r="N47" s="20" t="n">
        <v>0.40601679</v>
      </c>
      <c r="O47" s="18" t="n">
        <v>0.2688228</v>
      </c>
      <c r="P47" s="20" t="n">
        <v>0.268666</v>
      </c>
      <c r="Q47" s="18" t="n">
        <v>0</v>
      </c>
      <c r="R47" s="20" t="n">
        <v>0</v>
      </c>
      <c r="S47" s="18" t="n">
        <v>12.95082111</v>
      </c>
      <c r="T47" s="20" t="n">
        <v>1.72904533</v>
      </c>
    </row>
    <row r="48" spans="1:20">
      <c r="A48" s="15" t="s">
        <v>608</v>
      </c>
      <c r="B48" s="17" t="n">
        <v>5159</v>
      </c>
      <c r="C48" s="18">
        <f>(4592.0/B48*100)</f>
        <v/>
      </c>
      <c r="D48" s="19" t="n">
        <v>567</v>
      </c>
      <c r="E48" s="18" t="n">
        <v>20.31969759</v>
      </c>
      <c r="F48" s="20" t="n">
        <v>2.39375327</v>
      </c>
      <c r="G48" s="18" t="n">
        <v>52.39452363</v>
      </c>
      <c r="H48" s="20" t="n">
        <v>3.11193107</v>
      </c>
      <c r="I48" s="18" t="n">
        <v>20.31373941</v>
      </c>
      <c r="J48" s="20" t="n">
        <v>2.45614194</v>
      </c>
      <c r="K48" s="18" t="s">
        <v>567</v>
      </c>
      <c r="L48" s="20" t="s">
        <v>567</v>
      </c>
      <c r="M48" s="18" t="n">
        <v>0</v>
      </c>
      <c r="N48" s="20" t="n">
        <v>0</v>
      </c>
      <c r="O48" s="18" t="n">
        <v>0</v>
      </c>
      <c r="P48" s="20" t="n">
        <v>0</v>
      </c>
      <c r="Q48" s="18" t="n">
        <v>0</v>
      </c>
      <c r="R48" s="20" t="n">
        <v>0</v>
      </c>
      <c r="S48" s="18" t="n">
        <v>6.97203937</v>
      </c>
      <c r="T48" s="20" t="n">
        <v>1.37237816</v>
      </c>
    </row>
    <row r="49" spans="1:20">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5637</v>
      </c>
      <c r="C50" s="18">
        <f>(5030.0/B50*100)</f>
        <v/>
      </c>
      <c r="D50" s="19" t="n">
        <v>607</v>
      </c>
      <c r="E50" s="18" t="n">
        <v>74.27283068</v>
      </c>
      <c r="F50" s="20" t="n">
        <v>2.94526267</v>
      </c>
      <c r="G50" s="18" t="n">
        <v>16.85111969</v>
      </c>
      <c r="H50" s="20" t="n">
        <v>2.54905044</v>
      </c>
      <c r="I50" s="18" t="n">
        <v>3.78235901</v>
      </c>
      <c r="J50" s="20" t="n">
        <v>1.13934476</v>
      </c>
      <c r="K50" s="18" t="s">
        <v>567</v>
      </c>
      <c r="L50" s="20" t="s">
        <v>567</v>
      </c>
      <c r="M50" s="18" t="n">
        <v>0.28768981</v>
      </c>
      <c r="N50" s="20" t="n">
        <v>0.28855553</v>
      </c>
      <c r="O50" s="18" t="n">
        <v>0</v>
      </c>
      <c r="P50" s="20" t="n">
        <v>0</v>
      </c>
      <c r="Q50" s="18" t="n">
        <v>0</v>
      </c>
      <c r="R50" s="20" t="n">
        <v>0</v>
      </c>
      <c r="S50" s="18" t="n">
        <v>4.80600081</v>
      </c>
      <c r="T50" s="20" t="n">
        <v>1.22364329</v>
      </c>
    </row>
    <row r="51" spans="1:20">
      <c r="A51" s="15" t="s">
        <v>611</v>
      </c>
      <c r="B51" s="17" t="n">
        <v>3372</v>
      </c>
      <c r="C51" s="18">
        <f>(3048.0/B51*100)</f>
        <v/>
      </c>
      <c r="D51" s="19" t="n">
        <v>324</v>
      </c>
      <c r="E51" s="18" t="n">
        <v>74.04219831</v>
      </c>
      <c r="F51" s="20" t="n">
        <v>2.74639329</v>
      </c>
      <c r="G51" s="18" t="n">
        <v>15.5593247</v>
      </c>
      <c r="H51" s="20" t="n">
        <v>2.48258383</v>
      </c>
      <c r="I51" s="18" t="n">
        <v>3.05331544</v>
      </c>
      <c r="J51" s="20" t="n">
        <v>0.97561889</v>
      </c>
      <c r="K51" s="18" t="s">
        <v>567</v>
      </c>
      <c r="L51" s="20" t="s">
        <v>567</v>
      </c>
      <c r="M51" s="18" t="n">
        <v>0.62077153</v>
      </c>
      <c r="N51" s="20" t="n">
        <v>0.4393524</v>
      </c>
      <c r="O51" s="18" t="n">
        <v>0</v>
      </c>
      <c r="P51" s="20" t="n">
        <v>0</v>
      </c>
      <c r="Q51" s="18" t="n">
        <v>0</v>
      </c>
      <c r="R51" s="20" t="n">
        <v>0</v>
      </c>
      <c r="S51" s="18" t="n">
        <v>6.72439002</v>
      </c>
      <c r="T51" s="20" t="n">
        <v>1.38001561</v>
      </c>
    </row>
    <row r="52" spans="1:20">
      <c r="A52" s="15" t="s">
        <v>612</v>
      </c>
      <c r="B52" s="17" t="n">
        <v>2796</v>
      </c>
      <c r="C52" s="18">
        <f>(2501.0/B52*100)</f>
        <v/>
      </c>
      <c r="D52" s="19" t="n">
        <v>295</v>
      </c>
      <c r="E52" s="18" t="n">
        <v>60.85794699</v>
      </c>
      <c r="F52" s="20" t="n">
        <v>3.31898893</v>
      </c>
      <c r="G52" s="18" t="n">
        <v>28.90821713</v>
      </c>
      <c r="H52" s="20" t="n">
        <v>3.10414006</v>
      </c>
      <c r="I52" s="18" t="n">
        <v>0.68768955</v>
      </c>
      <c r="J52" s="20" t="n">
        <v>0.49963779</v>
      </c>
      <c r="K52" s="18" t="s">
        <v>567</v>
      </c>
      <c r="L52" s="20" t="s">
        <v>567</v>
      </c>
      <c r="M52" s="18" t="n">
        <v>0</v>
      </c>
      <c r="N52" s="20" t="n">
        <v>0</v>
      </c>
      <c r="O52" s="18" t="n">
        <v>0</v>
      </c>
      <c r="P52" s="20" t="n">
        <v>0</v>
      </c>
      <c r="Q52" s="18" t="n">
        <v>0</v>
      </c>
      <c r="R52" s="20" t="n">
        <v>0</v>
      </c>
      <c r="S52" s="18" t="n">
        <v>9.546146329999999</v>
      </c>
      <c r="T52" s="20" t="n">
        <v>1.65270864</v>
      </c>
    </row>
    <row r="53" spans="1:20">
      <c r="A53" s="15" t="s">
        <v>613</v>
      </c>
      <c r="B53" s="17" t="n">
        <v>2811</v>
      </c>
      <c r="C53" s="18">
        <f>(2487.0/B53*100)</f>
        <v/>
      </c>
      <c r="D53" s="19" t="n">
        <v>324</v>
      </c>
      <c r="E53" s="18" t="n">
        <v>51.32939905</v>
      </c>
      <c r="F53" s="20" t="n">
        <v>2.84578501</v>
      </c>
      <c r="G53" s="18" t="n">
        <v>26.72152394</v>
      </c>
      <c r="H53" s="20" t="n">
        <v>2.32857691</v>
      </c>
      <c r="I53" s="18" t="n">
        <v>4.40614521</v>
      </c>
      <c r="J53" s="20" t="n">
        <v>1.13505245</v>
      </c>
      <c r="K53" s="18" t="s">
        <v>567</v>
      </c>
      <c r="L53" s="20" t="s">
        <v>567</v>
      </c>
      <c r="M53" s="18" t="n">
        <v>0</v>
      </c>
      <c r="N53" s="20" t="n">
        <v>0</v>
      </c>
      <c r="O53" s="18" t="n">
        <v>0</v>
      </c>
      <c r="P53" s="20" t="n">
        <v>0</v>
      </c>
      <c r="Q53" s="18" t="n">
        <v>0</v>
      </c>
      <c r="R53" s="20" t="n">
        <v>0</v>
      </c>
      <c r="S53" s="18" t="n">
        <v>17.5429318</v>
      </c>
      <c r="T53" s="20" t="n">
        <v>2.05535689</v>
      </c>
    </row>
    <row r="54" spans="1:20">
      <c r="A54" s="15" t="s">
        <v>614</v>
      </c>
      <c r="B54" s="17" t="n">
        <v>2266</v>
      </c>
      <c r="C54" s="18">
        <f>(2024.0/B54*100)</f>
        <v/>
      </c>
      <c r="D54" s="19" t="n">
        <v>242</v>
      </c>
      <c r="E54" s="18" t="n">
        <v>68.59738398</v>
      </c>
      <c r="F54" s="20" t="n">
        <v>3.41141796</v>
      </c>
      <c r="G54" s="18" t="n">
        <v>4.63206103</v>
      </c>
      <c r="H54" s="20" t="n">
        <v>1.65292923</v>
      </c>
      <c r="I54" s="18" t="n">
        <v>0.80602973</v>
      </c>
      <c r="J54" s="20" t="n">
        <v>0.40957234</v>
      </c>
      <c r="K54" s="18" t="s">
        <v>567</v>
      </c>
      <c r="L54" s="20" t="s">
        <v>567</v>
      </c>
      <c r="M54" s="18" t="n">
        <v>8.575600919999999</v>
      </c>
      <c r="N54" s="20" t="n">
        <v>1.97877701</v>
      </c>
      <c r="O54" s="18" t="n">
        <v>0.37139934</v>
      </c>
      <c r="P54" s="20" t="n">
        <v>0.37166143</v>
      </c>
      <c r="Q54" s="18" t="n">
        <v>0</v>
      </c>
      <c r="R54" s="20" t="n">
        <v>0</v>
      </c>
      <c r="S54" s="18" t="n">
        <v>17.01752501</v>
      </c>
      <c r="T54" s="20" t="n">
        <v>2.85774633</v>
      </c>
    </row>
    <row r="55" spans="1:20">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2684</v>
      </c>
      <c r="C56" s="18">
        <f>(2401.0/B56*100)</f>
        <v/>
      </c>
      <c r="D56" s="19" t="n">
        <v>283</v>
      </c>
      <c r="E56" s="18" t="n">
        <v>29.72085563</v>
      </c>
      <c r="F56" s="20" t="n">
        <v>2.69841529</v>
      </c>
      <c r="G56" s="18" t="n">
        <v>39.67418701</v>
      </c>
      <c r="H56" s="20" t="n">
        <v>3.1955255</v>
      </c>
      <c r="I56" s="18" t="n">
        <v>27.02396225</v>
      </c>
      <c r="J56" s="20" t="n">
        <v>3.05912201</v>
      </c>
      <c r="K56" s="18" t="s">
        <v>567</v>
      </c>
      <c r="L56" s="20" t="s">
        <v>567</v>
      </c>
      <c r="M56" s="18" t="n">
        <v>0</v>
      </c>
      <c r="N56" s="20" t="n">
        <v>0</v>
      </c>
      <c r="O56" s="18" t="n">
        <v>0</v>
      </c>
      <c r="P56" s="20" t="n">
        <v>0</v>
      </c>
      <c r="Q56" s="18" t="n">
        <v>0</v>
      </c>
      <c r="R56" s="20" t="n">
        <v>0</v>
      </c>
      <c r="S56" s="18" t="n">
        <v>3.58099511</v>
      </c>
      <c r="T56" s="20" t="n">
        <v>0.93362484</v>
      </c>
    </row>
    <row r="57" spans="1:20">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3324</v>
      </c>
      <c r="C61" s="18">
        <f>(2976.0/B61*100)</f>
        <v/>
      </c>
      <c r="D61" s="19" t="n">
        <v>348</v>
      </c>
      <c r="E61" s="18" t="n">
        <v>45.89949972</v>
      </c>
      <c r="F61" s="20" t="n">
        <v>2.90602551</v>
      </c>
      <c r="G61" s="18" t="n">
        <v>43.41475989</v>
      </c>
      <c r="H61" s="20" t="n">
        <v>2.74992094</v>
      </c>
      <c r="I61" s="18" t="n">
        <v>2.5450624</v>
      </c>
      <c r="J61" s="20" t="n">
        <v>0.92977697</v>
      </c>
      <c r="K61" s="18" t="s">
        <v>567</v>
      </c>
      <c r="L61" s="20" t="s">
        <v>567</v>
      </c>
      <c r="M61" s="18" t="n">
        <v>0</v>
      </c>
      <c r="N61" s="20" t="n">
        <v>0</v>
      </c>
      <c r="O61" s="18" t="n">
        <v>0</v>
      </c>
      <c r="P61" s="20" t="n">
        <v>0</v>
      </c>
      <c r="Q61" s="18" t="n">
        <v>0</v>
      </c>
      <c r="R61" s="20" t="n">
        <v>0</v>
      </c>
      <c r="S61" s="18" t="n">
        <v>8.140677999999999</v>
      </c>
      <c r="T61" s="20" t="n">
        <v>1.43230812</v>
      </c>
    </row>
    <row r="62" spans="1:20">
      <c r="A62" s="15" t="s">
        <v>622</v>
      </c>
      <c r="B62" s="17" t="n">
        <v>2246</v>
      </c>
      <c r="C62" s="18">
        <f>(1990.0/B62*100)</f>
        <v/>
      </c>
      <c r="D62" s="19" t="n">
        <v>256</v>
      </c>
      <c r="E62" s="18" t="n">
        <v>38.27566384</v>
      </c>
      <c r="F62" s="20" t="n">
        <v>3.41375821</v>
      </c>
      <c r="G62" s="18" t="n">
        <v>35.89729804</v>
      </c>
      <c r="H62" s="20" t="n">
        <v>3.12114839</v>
      </c>
      <c r="I62" s="18" t="n">
        <v>23.87775509</v>
      </c>
      <c r="J62" s="20" t="n">
        <v>2.64370028</v>
      </c>
      <c r="K62" s="18" t="s">
        <v>567</v>
      </c>
      <c r="L62" s="20" t="s">
        <v>567</v>
      </c>
      <c r="M62" s="18" t="n">
        <v>0</v>
      </c>
      <c r="N62" s="20" t="n">
        <v>0</v>
      </c>
      <c r="O62" s="18" t="n">
        <v>0</v>
      </c>
      <c r="P62" s="20" t="n">
        <v>0</v>
      </c>
      <c r="Q62" s="18" t="n">
        <v>0</v>
      </c>
      <c r="R62" s="20" t="n">
        <v>0</v>
      </c>
      <c r="S62" s="18" t="n">
        <v>1.94928303</v>
      </c>
      <c r="T62" s="20" t="n">
        <v>0.87992956</v>
      </c>
    </row>
    <row r="63" spans="1:20">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2894</v>
      </c>
      <c r="C66" s="18">
        <f>(2581.0/B66*100)</f>
        <v/>
      </c>
      <c r="D66" s="19" t="n">
        <v>313</v>
      </c>
      <c r="E66" s="18" t="n">
        <v>62.96988765</v>
      </c>
      <c r="F66" s="20" t="n">
        <v>2.64499118</v>
      </c>
      <c r="G66" s="18" t="n">
        <v>13.11858117</v>
      </c>
      <c r="H66" s="20" t="n">
        <v>2.20365577</v>
      </c>
      <c r="I66" s="18" t="n">
        <v>2.33513313</v>
      </c>
      <c r="J66" s="20" t="n">
        <v>0.9209258</v>
      </c>
      <c r="K66" s="18" t="s">
        <v>567</v>
      </c>
      <c r="L66" s="20" t="s">
        <v>567</v>
      </c>
      <c r="M66" s="18" t="n">
        <v>0.32615132</v>
      </c>
      <c r="N66" s="20" t="n">
        <v>0.3252282</v>
      </c>
      <c r="O66" s="18" t="n">
        <v>0.98474287</v>
      </c>
      <c r="P66" s="20" t="n">
        <v>0.56465749</v>
      </c>
      <c r="Q66" s="18" t="n">
        <v>0</v>
      </c>
      <c r="R66" s="20" t="n">
        <v>0</v>
      </c>
      <c r="S66" s="18" t="n">
        <v>20.26550386</v>
      </c>
      <c r="T66" s="20" t="n">
        <v>2.30482207</v>
      </c>
    </row>
    <row r="67" spans="1:20">
      <c r="A67" s="15" t="s">
        <v>627</v>
      </c>
      <c r="B67" s="17" t="n">
        <v>3511</v>
      </c>
      <c r="C67" s="18">
        <f>(3159.0/B67*100)</f>
        <v/>
      </c>
      <c r="D67" s="19" t="n">
        <v>352</v>
      </c>
      <c r="E67" s="18" t="n">
        <v>83.18799401</v>
      </c>
      <c r="F67" s="20" t="n">
        <v>2.20316945</v>
      </c>
      <c r="G67" s="18" t="n">
        <v>12.38349748</v>
      </c>
      <c r="H67" s="20" t="n">
        <v>1.87285934</v>
      </c>
      <c r="I67" s="18" t="n">
        <v>0</v>
      </c>
      <c r="J67" s="20" t="n">
        <v>0</v>
      </c>
      <c r="K67" s="18" t="s">
        <v>567</v>
      </c>
      <c r="L67" s="20" t="s">
        <v>567</v>
      </c>
      <c r="M67" s="18" t="n">
        <v>0</v>
      </c>
      <c r="N67" s="20" t="n">
        <v>0</v>
      </c>
      <c r="O67" s="18" t="n">
        <v>0.22024348</v>
      </c>
      <c r="P67" s="20" t="n">
        <v>0.21979536</v>
      </c>
      <c r="Q67" s="18" t="n">
        <v>0</v>
      </c>
      <c r="R67" s="20" t="n">
        <v>0</v>
      </c>
      <c r="S67" s="18" t="n">
        <v>4.20826504</v>
      </c>
      <c r="T67" s="20" t="n">
        <v>1.06075911</v>
      </c>
    </row>
    <row r="68" spans="1:20">
      <c r="A68" s="15" t="s">
        <v>628</v>
      </c>
      <c r="B68" s="17" t="n">
        <v>6049</v>
      </c>
      <c r="C68" s="18">
        <f>(5394.0/B68*100)</f>
        <v/>
      </c>
      <c r="D68" s="19" t="n">
        <v>655</v>
      </c>
      <c r="E68" s="18" t="n">
        <v>65.11094205000001</v>
      </c>
      <c r="F68" s="20" t="n">
        <v>1.58028781</v>
      </c>
      <c r="G68" s="18" t="n">
        <v>17.93481192</v>
      </c>
      <c r="H68" s="20" t="n">
        <v>1.40683232</v>
      </c>
      <c r="I68" s="18" t="n">
        <v>2.873753</v>
      </c>
      <c r="J68" s="20" t="n">
        <v>0.51715658</v>
      </c>
      <c r="K68" s="18" t="s">
        <v>567</v>
      </c>
      <c r="L68" s="20" t="s">
        <v>567</v>
      </c>
      <c r="M68" s="18" t="n">
        <v>1.5100104</v>
      </c>
      <c r="N68" s="20" t="n">
        <v>0.51674205</v>
      </c>
      <c r="O68" s="18" t="n">
        <v>0.15817458</v>
      </c>
      <c r="P68" s="20" t="n">
        <v>0.15896189</v>
      </c>
      <c r="Q68" s="18" t="n">
        <v>0</v>
      </c>
      <c r="R68" s="20" t="n">
        <v>0</v>
      </c>
      <c r="S68" s="18" t="n">
        <v>12.41230805</v>
      </c>
      <c r="T68" s="20" t="n">
        <v>1.27526818</v>
      </c>
    </row>
    <row r="69" spans="1:20">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2929</v>
      </c>
      <c r="C70" s="18">
        <f>(2614.0/B70*100)</f>
        <v/>
      </c>
      <c r="D70" s="19" t="n">
        <v>315</v>
      </c>
      <c r="E70" s="18" t="n">
        <v>66.36078446</v>
      </c>
      <c r="F70" s="20" t="n">
        <v>2.8543638</v>
      </c>
      <c r="G70" s="18" t="n">
        <v>23.76669633</v>
      </c>
      <c r="H70" s="20" t="n">
        <v>2.67049585</v>
      </c>
      <c r="I70" s="18" t="n">
        <v>3.21295242</v>
      </c>
      <c r="J70" s="20" t="n">
        <v>0.92335152</v>
      </c>
      <c r="K70" s="18" t="s">
        <v>567</v>
      </c>
      <c r="L70" s="20" t="s">
        <v>567</v>
      </c>
      <c r="M70" s="18" t="n">
        <v>0</v>
      </c>
      <c r="N70" s="20" t="n">
        <v>0</v>
      </c>
      <c r="O70" s="18" t="n">
        <v>0.34609129</v>
      </c>
      <c r="P70" s="20" t="n">
        <v>0.34524692</v>
      </c>
      <c r="Q70" s="18" t="n">
        <v>0</v>
      </c>
      <c r="R70" s="20" t="n">
        <v>0</v>
      </c>
      <c r="S70" s="18" t="n">
        <v>6.3134755</v>
      </c>
      <c r="T70" s="20" t="n">
        <v>2.45869004</v>
      </c>
    </row>
    <row r="71" spans="1:20">
      <c r="A71" s="15" t="s">
        <v>631</v>
      </c>
      <c r="B71" s="17" t="n">
        <v>3142</v>
      </c>
      <c r="C71" s="18">
        <f>(2748.0/B71*100)</f>
        <v/>
      </c>
      <c r="D71" s="19" t="n">
        <v>394</v>
      </c>
      <c r="E71" s="18" t="n">
        <v>34.34183659</v>
      </c>
      <c r="F71" s="20" t="n">
        <v>1.89905969</v>
      </c>
      <c r="G71" s="18" t="n">
        <v>59.84357061</v>
      </c>
      <c r="H71" s="20" t="n">
        <v>2.33663355</v>
      </c>
      <c r="I71" s="18" t="n">
        <v>4.5724302</v>
      </c>
      <c r="J71" s="20" t="n">
        <v>1.07823076</v>
      </c>
      <c r="K71" s="18" t="s">
        <v>567</v>
      </c>
      <c r="L71" s="20" t="s">
        <v>567</v>
      </c>
      <c r="M71" s="18" t="n">
        <v>0</v>
      </c>
      <c r="N71" s="20" t="n">
        <v>0</v>
      </c>
      <c r="O71" s="18" t="n">
        <v>0</v>
      </c>
      <c r="P71" s="20" t="n">
        <v>0</v>
      </c>
      <c r="Q71" s="18" t="n">
        <v>0</v>
      </c>
      <c r="R71" s="20" t="n">
        <v>0</v>
      </c>
      <c r="S71" s="18" t="n">
        <v>1.2421626</v>
      </c>
      <c r="T71" s="20" t="n">
        <v>0.49851429</v>
      </c>
    </row>
    <row r="72" spans="1:20">
      <c r="A72" s="15" t="s">
        <v>632</v>
      </c>
      <c r="B72" s="17" t="n">
        <v>3889</v>
      </c>
      <c r="C72" s="18">
        <f>(3470.0/B72*100)</f>
        <v/>
      </c>
      <c r="D72" s="19" t="n">
        <v>419</v>
      </c>
      <c r="E72" s="18" t="n">
        <v>31.16300882</v>
      </c>
      <c r="F72" s="20" t="n">
        <v>2.4931403</v>
      </c>
      <c r="G72" s="18" t="n">
        <v>40.73713918</v>
      </c>
      <c r="H72" s="20" t="n">
        <v>2.43894672</v>
      </c>
      <c r="I72" s="18" t="n">
        <v>22.65572015</v>
      </c>
      <c r="J72" s="20" t="n">
        <v>2.27508113</v>
      </c>
      <c r="K72" s="18" t="s">
        <v>567</v>
      </c>
      <c r="L72" s="20" t="s">
        <v>567</v>
      </c>
      <c r="M72" s="18" t="n">
        <v>0.19606377</v>
      </c>
      <c r="N72" s="20" t="n">
        <v>0.19668736</v>
      </c>
      <c r="O72" s="18" t="n">
        <v>0</v>
      </c>
      <c r="P72" s="20" t="n">
        <v>0</v>
      </c>
      <c r="Q72" s="18" t="n">
        <v>0</v>
      </c>
      <c r="R72" s="20" t="n">
        <v>0</v>
      </c>
      <c r="S72" s="18" t="n">
        <v>5.24806808</v>
      </c>
      <c r="T72" s="20" t="n">
        <v>1.09699234</v>
      </c>
    </row>
    <row r="73" spans="1:20">
      <c r="A73" s="15" t="s">
        <v>633</v>
      </c>
      <c r="B73" s="17" t="n">
        <v>3597</v>
      </c>
      <c r="C73" s="18">
        <f>(3212.0/B73*100)</f>
        <v/>
      </c>
      <c r="D73" s="19" t="n">
        <v>385</v>
      </c>
      <c r="E73" s="18" t="n">
        <v>74.61790113000001</v>
      </c>
      <c r="F73" s="20" t="n">
        <v>2.90591267</v>
      </c>
      <c r="G73" s="18" t="n">
        <v>20.72977459</v>
      </c>
      <c r="H73" s="20" t="n">
        <v>2.88020856</v>
      </c>
      <c r="I73" s="18" t="n">
        <v>1.17405521</v>
      </c>
      <c r="J73" s="20" t="n">
        <v>0.6215294099999999</v>
      </c>
      <c r="K73" s="18" t="s">
        <v>567</v>
      </c>
      <c r="L73" s="20" t="s">
        <v>567</v>
      </c>
      <c r="M73" s="18" t="n">
        <v>0</v>
      </c>
      <c r="N73" s="20" t="n">
        <v>0</v>
      </c>
      <c r="O73" s="18" t="n">
        <v>0.38439121</v>
      </c>
      <c r="P73" s="20" t="n">
        <v>0.37602167</v>
      </c>
      <c r="Q73" s="18" t="n">
        <v>0</v>
      </c>
      <c r="R73" s="20" t="n">
        <v>0</v>
      </c>
      <c r="S73" s="18" t="n">
        <v>3.09387787</v>
      </c>
      <c r="T73" s="20" t="n">
        <v>1.03442654</v>
      </c>
    </row>
    <row r="74" spans="1:20">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2406</v>
      </c>
      <c r="C75" s="18">
        <f>(2163.0/B75*100)</f>
        <v/>
      </c>
      <c r="D75" s="19" t="n">
        <v>243</v>
      </c>
      <c r="E75" s="18" t="n">
        <v>69.78001877</v>
      </c>
      <c r="F75" s="20" t="n">
        <v>2.48630569</v>
      </c>
      <c r="G75" s="18" t="n">
        <v>5.98477112</v>
      </c>
      <c r="H75" s="20" t="n">
        <v>1.503212</v>
      </c>
      <c r="I75" s="18" t="n">
        <v>0.6802947</v>
      </c>
      <c r="J75" s="20" t="n">
        <v>0.47280121</v>
      </c>
      <c r="K75" s="18" t="s">
        <v>567</v>
      </c>
      <c r="L75" s="20" t="s">
        <v>567</v>
      </c>
      <c r="M75" s="18" t="n">
        <v>1.14262759</v>
      </c>
      <c r="N75" s="20" t="n">
        <v>0.73511397</v>
      </c>
      <c r="O75" s="18" t="n">
        <v>0.87385385</v>
      </c>
      <c r="P75" s="20" t="n">
        <v>0.64209731</v>
      </c>
      <c r="Q75" s="18" t="n">
        <v>0</v>
      </c>
      <c r="R75" s="20" t="n">
        <v>0</v>
      </c>
      <c r="S75" s="18" t="n">
        <v>21.53843397</v>
      </c>
      <c r="T75" s="20" t="n">
        <v>2.52015075</v>
      </c>
    </row>
    <row r="76" spans="1:20">
      <c r="A76" s="15" t="s">
        <v>636</v>
      </c>
      <c r="B76" s="17" t="n">
        <v>7052</v>
      </c>
      <c r="C76" s="18">
        <f>(6262.0/B76*100)</f>
        <v/>
      </c>
      <c r="D76" s="19" t="n">
        <v>790</v>
      </c>
      <c r="E76" s="18" t="n">
        <v>64.84928164</v>
      </c>
      <c r="F76" s="20" t="n">
        <v>2.13995077</v>
      </c>
      <c r="G76" s="18" t="n">
        <v>24.28746221</v>
      </c>
      <c r="H76" s="20" t="n">
        <v>1.90572011</v>
      </c>
      <c r="I76" s="18" t="n">
        <v>3.10314878</v>
      </c>
      <c r="J76" s="20" t="n">
        <v>0.62343397</v>
      </c>
      <c r="K76" s="18" t="s">
        <v>567</v>
      </c>
      <c r="L76" s="20" t="s">
        <v>567</v>
      </c>
      <c r="M76" s="18" t="n">
        <v>0.45936866</v>
      </c>
      <c r="N76" s="20" t="n">
        <v>0.24525561</v>
      </c>
      <c r="O76" s="18" t="n">
        <v>0.04192568</v>
      </c>
      <c r="P76" s="20" t="n">
        <v>0.042074</v>
      </c>
      <c r="Q76" s="18" t="n">
        <v>0</v>
      </c>
      <c r="R76" s="20" t="n">
        <v>0</v>
      </c>
      <c r="S76" s="18" t="n">
        <v>7.25881303</v>
      </c>
      <c r="T76" s="20" t="n">
        <v>1.03343375</v>
      </c>
    </row>
    <row r="77" spans="1:20">
      <c r="A77" s="15" t="s">
        <v>637</v>
      </c>
      <c r="B77" s="17" t="n">
        <v>2908</v>
      </c>
      <c r="C77" s="18">
        <f>(2613.0/B77*100)</f>
        <v/>
      </c>
      <c r="D77" s="19" t="n">
        <v>295</v>
      </c>
      <c r="E77" s="18" t="n">
        <v>58.16907979</v>
      </c>
      <c r="F77" s="20" t="n">
        <v>3.33495413</v>
      </c>
      <c r="G77" s="18" t="n">
        <v>23.12650005</v>
      </c>
      <c r="H77" s="20" t="n">
        <v>3.03594162</v>
      </c>
      <c r="I77" s="18" t="n">
        <v>1.95263616</v>
      </c>
      <c r="J77" s="20" t="n">
        <v>0.84059328</v>
      </c>
      <c r="K77" s="18" t="s">
        <v>567</v>
      </c>
      <c r="L77" s="20" t="s">
        <v>567</v>
      </c>
      <c r="M77" s="18" t="n">
        <v>1.69612373</v>
      </c>
      <c r="N77" s="20" t="n">
        <v>0.7462426</v>
      </c>
      <c r="O77" s="18" t="n">
        <v>0</v>
      </c>
      <c r="P77" s="20" t="n">
        <v>0</v>
      </c>
      <c r="Q77" s="18" t="n">
        <v>0</v>
      </c>
      <c r="R77" s="20" t="n">
        <v>0</v>
      </c>
      <c r="S77" s="18" t="n">
        <v>15.05566027</v>
      </c>
      <c r="T77" s="20" t="n">
        <v>2.11616838</v>
      </c>
    </row>
    <row r="78" spans="1:20">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4163</v>
      </c>
      <c r="C81" s="18">
        <f>(3726.0/B81*100)</f>
        <v/>
      </c>
      <c r="D81" s="19" t="n">
        <v>437</v>
      </c>
      <c r="E81" s="18" t="n">
        <v>82.98319026999999</v>
      </c>
      <c r="F81" s="20" t="n">
        <v>2.03009621</v>
      </c>
      <c r="G81" s="18" t="n">
        <v>10.66275364</v>
      </c>
      <c r="H81" s="20" t="n">
        <v>1.66915916</v>
      </c>
      <c r="I81" s="18" t="n">
        <v>3.81112944</v>
      </c>
      <c r="J81" s="20" t="n">
        <v>0.9514385</v>
      </c>
      <c r="K81" s="18" t="s">
        <v>567</v>
      </c>
      <c r="L81" s="20" t="s">
        <v>567</v>
      </c>
      <c r="M81" s="18" t="n">
        <v>0</v>
      </c>
      <c r="N81" s="20" t="n">
        <v>0</v>
      </c>
      <c r="O81" s="18" t="n">
        <v>0</v>
      </c>
      <c r="P81" s="20" t="n">
        <v>0</v>
      </c>
      <c r="Q81" s="18" t="n">
        <v>0</v>
      </c>
      <c r="R81" s="20" t="n">
        <v>0</v>
      </c>
      <c r="S81" s="18" t="n">
        <v>2.54292665</v>
      </c>
      <c r="T81" s="20" t="n">
        <v>0.94867853</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(6569.0/B7*100)</f>
        <v/>
      </c>
      <c r="D7" s="19" t="n">
        <v>798</v>
      </c>
      <c r="E7" s="18" t="n">
        <v>32.27164303</v>
      </c>
      <c r="F7" s="20" t="n">
        <v>1.85658562</v>
      </c>
      <c r="G7" s="18" t="n">
        <v>67.18179514000001</v>
      </c>
      <c r="H7" s="20" t="n">
        <v>1.86161808</v>
      </c>
      <c r="I7" s="18" t="s">
        <v>567</v>
      </c>
      <c r="J7" s="20" t="s">
        <v>567</v>
      </c>
      <c r="K7" s="18" t="n">
        <v>0.19902077</v>
      </c>
      <c r="L7" s="20" t="n">
        <v>0.18084064</v>
      </c>
      <c r="M7" s="18" t="n">
        <v>0</v>
      </c>
      <c r="N7" s="20" t="n">
        <v>0</v>
      </c>
      <c r="O7" s="18" t="n">
        <v>0</v>
      </c>
      <c r="P7" s="20" t="n">
        <v>0</v>
      </c>
      <c r="Q7" s="18" t="n">
        <v>0.34754105</v>
      </c>
      <c r="R7" s="20" t="n">
        <v>0.20524389</v>
      </c>
    </row>
    <row r="8" spans="1:18">
      <c r="A8" s="15" t="s">
        <v>568</v>
      </c>
      <c r="B8" s="17" t="n">
        <v>3564</v>
      </c>
      <c r="C8" s="18">
        <f>(3170.0/B8*100)</f>
        <v/>
      </c>
      <c r="D8" s="19" t="n">
        <v>394</v>
      </c>
      <c r="E8" s="18" t="n">
        <v>17.02495051</v>
      </c>
      <c r="F8" s="20" t="n">
        <v>1.78914807</v>
      </c>
      <c r="G8" s="18" t="n">
        <v>82.97504949</v>
      </c>
      <c r="H8" s="20" t="n">
        <v>1.78914807</v>
      </c>
      <c r="I8" s="18" t="s">
        <v>567</v>
      </c>
      <c r="J8" s="20" t="s">
        <v>567</v>
      </c>
      <c r="K8" s="18" t="n">
        <v>0</v>
      </c>
      <c r="L8" s="20" t="n">
        <v>0</v>
      </c>
      <c r="M8" s="18" t="n">
        <v>0</v>
      </c>
      <c r="N8" s="20" t="n">
        <v>0</v>
      </c>
      <c r="O8" s="18" t="n">
        <v>0</v>
      </c>
      <c r="P8" s="20" t="n">
        <v>0</v>
      </c>
      <c r="Q8" s="18" t="n">
        <v>0</v>
      </c>
      <c r="R8" s="20" t="n">
        <v>0</v>
      </c>
    </row>
    <row r="9" spans="1:18">
      <c r="A9" s="15" t="s">
        <v>569</v>
      </c>
      <c r="B9" s="17" t="n">
        <v>4899</v>
      </c>
      <c r="C9" s="18">
        <f>(4394.0/B9*100)</f>
        <v/>
      </c>
      <c r="D9" s="19" t="n">
        <v>505</v>
      </c>
      <c r="E9" s="18" t="n">
        <v>28.43413424</v>
      </c>
      <c r="F9" s="20" t="n">
        <v>2.46302467</v>
      </c>
      <c r="G9" s="18" t="n">
        <v>70.7845286</v>
      </c>
      <c r="H9" s="20" t="n">
        <v>2.46195229</v>
      </c>
      <c r="I9" s="18" t="s">
        <v>567</v>
      </c>
      <c r="J9" s="20" t="s">
        <v>567</v>
      </c>
      <c r="K9" s="18" t="n">
        <v>0.29853219</v>
      </c>
      <c r="L9" s="20" t="n">
        <v>0.27838351</v>
      </c>
      <c r="M9" s="18" t="n">
        <v>0</v>
      </c>
      <c r="N9" s="20" t="n">
        <v>0</v>
      </c>
      <c r="O9" s="18" t="n">
        <v>0</v>
      </c>
      <c r="P9" s="20" t="n">
        <v>0</v>
      </c>
      <c r="Q9" s="18" t="n">
        <v>0.48280497</v>
      </c>
      <c r="R9" s="20" t="n">
        <v>0.35271327</v>
      </c>
    </row>
    <row r="10" spans="1:18">
      <c r="A10" s="15" t="s">
        <v>570</v>
      </c>
      <c r="B10" s="17" t="n">
        <v>10036</v>
      </c>
      <c r="C10" s="18">
        <f>(8905.0/B10*100)</f>
        <v/>
      </c>
      <c r="D10" s="19" t="n">
        <v>1131</v>
      </c>
      <c r="E10" s="18" t="n">
        <v>25.80434752</v>
      </c>
      <c r="F10" s="20" t="n">
        <v>1.57721743</v>
      </c>
      <c r="G10" s="18" t="n">
        <v>74.13409693</v>
      </c>
      <c r="H10" s="20" t="n">
        <v>1.57295615</v>
      </c>
      <c r="I10" s="18" t="s">
        <v>567</v>
      </c>
      <c r="J10" s="20" t="s">
        <v>567</v>
      </c>
      <c r="K10" s="18" t="n">
        <v>0.04043943</v>
      </c>
      <c r="L10" s="20" t="n">
        <v>0.03116306</v>
      </c>
      <c r="M10" s="18" t="n">
        <v>0</v>
      </c>
      <c r="N10" s="20" t="n">
        <v>0</v>
      </c>
      <c r="O10" s="18" t="n">
        <v>0</v>
      </c>
      <c r="P10" s="20" t="n">
        <v>0</v>
      </c>
      <c r="Q10" s="18" t="n">
        <v>0.02111612</v>
      </c>
      <c r="R10" s="20" t="n">
        <v>0.02116245</v>
      </c>
    </row>
    <row r="11" spans="1:18">
      <c r="A11" s="15" t="s">
        <v>571</v>
      </c>
      <c r="B11" s="17" t="n">
        <v>3553</v>
      </c>
      <c r="C11" s="18">
        <f>(3165.0/B11*100)</f>
        <v/>
      </c>
      <c r="D11" s="19" t="n">
        <v>388</v>
      </c>
      <c r="E11" s="18" t="n">
        <v>45.0462204</v>
      </c>
      <c r="F11" s="20" t="n">
        <v>2.65515027</v>
      </c>
      <c r="G11" s="18" t="n">
        <v>53.55777872</v>
      </c>
      <c r="H11" s="20" t="n">
        <v>2.74964679</v>
      </c>
      <c r="I11" s="18" t="s">
        <v>567</v>
      </c>
      <c r="J11" s="20" t="s">
        <v>567</v>
      </c>
      <c r="K11" s="18" t="n">
        <v>0.80507747</v>
      </c>
      <c r="L11" s="20" t="n">
        <v>0.52025803</v>
      </c>
      <c r="M11" s="18" t="n">
        <v>0</v>
      </c>
      <c r="N11" s="20" t="n">
        <v>0</v>
      </c>
      <c r="O11" s="18" t="n">
        <v>0</v>
      </c>
      <c r="P11" s="20" t="n">
        <v>0</v>
      </c>
      <c r="Q11" s="18" t="n">
        <v>0.59092341</v>
      </c>
      <c r="R11" s="20" t="n">
        <v>0.40710291</v>
      </c>
    </row>
    <row r="12" spans="1:18">
      <c r="A12" s="15" t="s">
        <v>572</v>
      </c>
      <c r="B12" s="17" t="n">
        <v>3472</v>
      </c>
      <c r="C12" s="18">
        <f>(3083.0/B12*100)</f>
        <v/>
      </c>
      <c r="D12" s="19" t="n">
        <v>389</v>
      </c>
      <c r="E12" s="18" t="n">
        <v>20.16268665</v>
      </c>
      <c r="F12" s="20" t="n">
        <v>2.57974379</v>
      </c>
      <c r="G12" s="18" t="n">
        <v>79.59542168999999</v>
      </c>
      <c r="H12" s="20" t="n">
        <v>2.56764118</v>
      </c>
      <c r="I12" s="18" t="s">
        <v>567</v>
      </c>
      <c r="J12" s="20" t="s">
        <v>567</v>
      </c>
      <c r="K12" s="18" t="n">
        <v>0</v>
      </c>
      <c r="L12" s="20" t="n">
        <v>0</v>
      </c>
      <c r="M12" s="18" t="n">
        <v>0</v>
      </c>
      <c r="N12" s="20" t="n">
        <v>0</v>
      </c>
      <c r="O12" s="18" t="n">
        <v>0</v>
      </c>
      <c r="P12" s="20" t="n">
        <v>0</v>
      </c>
      <c r="Q12" s="18" t="n">
        <v>0.24189166</v>
      </c>
      <c r="R12" s="20" t="n">
        <v>0.35123965</v>
      </c>
    </row>
    <row r="13" spans="1:18">
      <c r="A13" s="15" t="s">
        <v>573</v>
      </c>
      <c r="B13" s="17" t="n">
        <v>3559</v>
      </c>
      <c r="C13" s="18">
        <f>(3205.0/B13*100)</f>
        <v/>
      </c>
      <c r="D13" s="19" t="n">
        <v>354</v>
      </c>
      <c r="E13" s="18" t="n">
        <v>23.47727666</v>
      </c>
      <c r="F13" s="20" t="n">
        <v>2.33949413</v>
      </c>
      <c r="G13" s="18" t="n">
        <v>76.18002241000001</v>
      </c>
      <c r="H13" s="20" t="n">
        <v>2.354254</v>
      </c>
      <c r="I13" s="18" t="s">
        <v>567</v>
      </c>
      <c r="J13" s="20" t="s">
        <v>567</v>
      </c>
      <c r="K13" s="18" t="n">
        <v>0.34270092</v>
      </c>
      <c r="L13" s="20" t="n">
        <v>0.359632</v>
      </c>
      <c r="M13" s="18" t="n">
        <v>0</v>
      </c>
      <c r="N13" s="20" t="n">
        <v>0</v>
      </c>
      <c r="O13" s="18" t="n">
        <v>0</v>
      </c>
      <c r="P13" s="20" t="n">
        <v>0</v>
      </c>
      <c r="Q13" s="18" t="n">
        <v>0</v>
      </c>
      <c r="R13" s="20" t="n">
        <v>0</v>
      </c>
    </row>
    <row r="14" spans="1:18">
      <c r="A14" s="15" t="s">
        <v>574</v>
      </c>
      <c r="B14" s="17" t="n">
        <v>2799</v>
      </c>
      <c r="C14" s="18">
        <f>(2469.0/B14*100)</f>
        <v/>
      </c>
      <c r="D14" s="19" t="n">
        <v>330</v>
      </c>
      <c r="E14" s="18" t="n">
        <v>19.72139492</v>
      </c>
      <c r="F14" s="20" t="n">
        <v>3.08326616</v>
      </c>
      <c r="G14" s="18" t="n">
        <v>80.27860508000001</v>
      </c>
      <c r="H14" s="20" t="n">
        <v>3.08326616</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(2700.0/B15*100)</f>
        <v/>
      </c>
      <c r="D15" s="19" t="n">
        <v>319</v>
      </c>
      <c r="E15" s="18" t="n">
        <v>11.42257682</v>
      </c>
      <c r="F15" s="20" t="n">
        <v>1.61764623</v>
      </c>
      <c r="G15" s="18" t="n">
        <v>88.16312821</v>
      </c>
      <c r="H15" s="20" t="n">
        <v>1.64079759</v>
      </c>
      <c r="I15" s="18" t="s">
        <v>567</v>
      </c>
      <c r="J15" s="20" t="s">
        <v>567</v>
      </c>
      <c r="K15" s="18" t="n">
        <v>0.13123724</v>
      </c>
      <c r="L15" s="20" t="n">
        <v>0.13096372</v>
      </c>
      <c r="M15" s="18" t="n">
        <v>0</v>
      </c>
      <c r="N15" s="20" t="n">
        <v>0</v>
      </c>
      <c r="O15" s="18" t="n">
        <v>0</v>
      </c>
      <c r="P15" s="20" t="n">
        <v>0</v>
      </c>
      <c r="Q15" s="18" t="n">
        <v>0.28305772</v>
      </c>
      <c r="R15" s="20" t="n">
        <v>0.28391275</v>
      </c>
    </row>
    <row r="16" spans="1:18">
      <c r="A16" s="15" t="s">
        <v>576</v>
      </c>
      <c r="B16" s="17" t="n">
        <v>2997</v>
      </c>
      <c r="C16" s="18">
        <f>(2641.0/B16*100)</f>
        <v/>
      </c>
      <c r="D16" s="19" t="n">
        <v>356</v>
      </c>
      <c r="E16" s="18" t="n">
        <v>35.95563304</v>
      </c>
      <c r="F16" s="20" t="n">
        <v>2.70192</v>
      </c>
      <c r="G16" s="18" t="n">
        <v>62.53166227</v>
      </c>
      <c r="H16" s="20" t="n">
        <v>2.54778906</v>
      </c>
      <c r="I16" s="18" t="s">
        <v>567</v>
      </c>
      <c r="J16" s="20" t="s">
        <v>567</v>
      </c>
      <c r="K16" s="18" t="n">
        <v>0.28285767</v>
      </c>
      <c r="L16" s="20" t="n">
        <v>0.30409831</v>
      </c>
      <c r="M16" s="18" t="n">
        <v>0</v>
      </c>
      <c r="N16" s="20" t="n">
        <v>0</v>
      </c>
      <c r="O16" s="18" t="n">
        <v>0</v>
      </c>
      <c r="P16" s="20" t="n">
        <v>0</v>
      </c>
      <c r="Q16" s="18" t="n">
        <v>1.22984702</v>
      </c>
      <c r="R16" s="20" t="n">
        <v>0.74248771</v>
      </c>
    </row>
    <row r="17" spans="1:18">
      <c r="A17" s="15" t="s">
        <v>577</v>
      </c>
      <c r="B17" s="17" t="n">
        <v>3307</v>
      </c>
      <c r="C17" s="18">
        <f>(2975.0/B17*100)</f>
        <v/>
      </c>
      <c r="D17" s="19" t="n">
        <v>332</v>
      </c>
      <c r="E17" s="18" t="n">
        <v>27.85583396</v>
      </c>
      <c r="F17" s="20" t="n">
        <v>2.20148983</v>
      </c>
      <c r="G17" s="18" t="n">
        <v>70.73475768</v>
      </c>
      <c r="H17" s="20" t="n">
        <v>2.3065092</v>
      </c>
      <c r="I17" s="18" t="s">
        <v>567</v>
      </c>
      <c r="J17" s="20" t="s">
        <v>567</v>
      </c>
      <c r="K17" s="18" t="n">
        <v>0.85277534</v>
      </c>
      <c r="L17" s="20" t="n">
        <v>0.42705773</v>
      </c>
      <c r="M17" s="18" t="n">
        <v>0</v>
      </c>
      <c r="N17" s="20" t="n">
        <v>0</v>
      </c>
      <c r="O17" s="18" t="n">
        <v>0</v>
      </c>
      <c r="P17" s="20" t="n">
        <v>0</v>
      </c>
      <c r="Q17" s="18" t="n">
        <v>0.55663302</v>
      </c>
      <c r="R17" s="20" t="n">
        <v>0.41020506</v>
      </c>
    </row>
    <row r="18" spans="1:18">
      <c r="A18" s="15" t="s">
        <v>578</v>
      </c>
      <c r="B18" s="17" t="n">
        <v>2826</v>
      </c>
      <c r="C18" s="18">
        <f>(2501.0/B18*100)</f>
        <v/>
      </c>
      <c r="D18" s="19" t="n">
        <v>325</v>
      </c>
      <c r="E18" s="18" t="n">
        <v>33.88436864</v>
      </c>
      <c r="F18" s="20" t="n">
        <v>3.16073267</v>
      </c>
      <c r="G18" s="18" t="n">
        <v>65.86385353999999</v>
      </c>
      <c r="H18" s="20" t="n">
        <v>3.12776713</v>
      </c>
      <c r="I18" s="18" t="s">
        <v>567</v>
      </c>
      <c r="J18" s="20" t="s">
        <v>567</v>
      </c>
      <c r="K18" s="18" t="n">
        <v>0.25177782</v>
      </c>
      <c r="L18" s="20" t="n">
        <v>0.25335728</v>
      </c>
      <c r="M18" s="18" t="n">
        <v>0</v>
      </c>
      <c r="N18" s="20" t="n">
        <v>0</v>
      </c>
      <c r="O18" s="18" t="n">
        <v>0</v>
      </c>
      <c r="P18" s="20" t="n">
        <v>0</v>
      </c>
      <c r="Q18" s="18" t="n">
        <v>0</v>
      </c>
      <c r="R18" s="20" t="n">
        <v>0</v>
      </c>
    </row>
    <row r="19" spans="1:18">
      <c r="A19" s="15" t="s">
        <v>579</v>
      </c>
      <c r="B19" s="17" t="n">
        <v>2808</v>
      </c>
      <c r="C19" s="18">
        <f>(2506.0/B19*100)</f>
        <v/>
      </c>
      <c r="D19" s="19" t="n">
        <v>302</v>
      </c>
      <c r="E19" s="18" t="n">
        <v>14.00395086</v>
      </c>
      <c r="F19" s="20" t="n">
        <v>2.16440334</v>
      </c>
      <c r="G19" s="18" t="n">
        <v>85.99604914</v>
      </c>
      <c r="H19" s="20" t="n">
        <v>2.16440334</v>
      </c>
      <c r="I19" s="18" t="s">
        <v>567</v>
      </c>
      <c r="J19" s="20" t="s">
        <v>567</v>
      </c>
      <c r="K19" s="18" t="n">
        <v>0</v>
      </c>
      <c r="L19" s="20" t="n">
        <v>0</v>
      </c>
      <c r="M19" s="18" t="n">
        <v>0</v>
      </c>
      <c r="N19" s="20" t="n">
        <v>0</v>
      </c>
      <c r="O19" s="18" t="n">
        <v>0</v>
      </c>
      <c r="P19" s="20" t="n">
        <v>0</v>
      </c>
      <c r="Q19" s="18" t="n">
        <v>0</v>
      </c>
      <c r="R19" s="20" t="n">
        <v>0</v>
      </c>
    </row>
    <row r="20" spans="1:18">
      <c r="A20" s="15" t="s">
        <v>580</v>
      </c>
      <c r="B20" s="17" t="n">
        <v>1630</v>
      </c>
      <c r="C20" s="18">
        <f>(1451.0/B20*100)</f>
        <v/>
      </c>
      <c r="D20" s="19" t="n">
        <v>179</v>
      </c>
      <c r="E20" s="18" t="n">
        <v>20.5603473</v>
      </c>
      <c r="F20" s="20" t="n">
        <v>2.93060154</v>
      </c>
      <c r="G20" s="18" t="n">
        <v>77.19816188</v>
      </c>
      <c r="H20" s="20" t="n">
        <v>2.81440386</v>
      </c>
      <c r="I20" s="18" t="s">
        <v>567</v>
      </c>
      <c r="J20" s="20" t="s">
        <v>567</v>
      </c>
      <c r="K20" s="18" t="n">
        <v>1.1177171</v>
      </c>
      <c r="L20" s="20" t="n">
        <v>0.79204812</v>
      </c>
      <c r="M20" s="18" t="n">
        <v>0</v>
      </c>
      <c r="N20" s="20" t="n">
        <v>0</v>
      </c>
      <c r="O20" s="18" t="n">
        <v>0</v>
      </c>
      <c r="P20" s="20" t="n">
        <v>0</v>
      </c>
      <c r="Q20" s="18" t="n">
        <v>1.12377373</v>
      </c>
      <c r="R20" s="20" t="n">
        <v>0.7730528800000001</v>
      </c>
    </row>
    <row r="21" spans="1:18">
      <c r="A21" s="15" t="s">
        <v>581</v>
      </c>
      <c r="B21" s="17" t="n">
        <v>2908</v>
      </c>
      <c r="C21" s="18">
        <f>(2568.0/B21*100)</f>
        <v/>
      </c>
      <c r="D21" s="19" t="n">
        <v>340</v>
      </c>
      <c r="E21" s="18" t="n">
        <v>34.10390475</v>
      </c>
      <c r="F21" s="20" t="n">
        <v>2.39435613</v>
      </c>
      <c r="G21" s="18" t="n">
        <v>65.01127988</v>
      </c>
      <c r="H21" s="20" t="n">
        <v>2.46349429</v>
      </c>
      <c r="I21" s="18" t="s">
        <v>567</v>
      </c>
      <c r="J21" s="20" t="s">
        <v>567</v>
      </c>
      <c r="K21" s="18" t="n">
        <v>0</v>
      </c>
      <c r="L21" s="20" t="n">
        <v>0</v>
      </c>
      <c r="M21" s="18" t="n">
        <v>0</v>
      </c>
      <c r="N21" s="20" t="n">
        <v>0</v>
      </c>
      <c r="O21" s="18" t="n">
        <v>0</v>
      </c>
      <c r="P21" s="20" t="n">
        <v>0</v>
      </c>
      <c r="Q21" s="18" t="n">
        <v>0.8848153600000001</v>
      </c>
      <c r="R21" s="20" t="n">
        <v>0.55594305</v>
      </c>
    </row>
    <row r="22" spans="1:18">
      <c r="A22" s="15" t="s">
        <v>582</v>
      </c>
      <c r="B22" s="17" t="n">
        <v>2931</v>
      </c>
      <c r="C22" s="18">
        <f>(2611.0/B22*100)</f>
        <v/>
      </c>
      <c r="D22" s="19" t="n">
        <v>320</v>
      </c>
      <c r="E22" s="18" t="n">
        <v>22.7236349</v>
      </c>
      <c r="F22" s="20" t="n">
        <v>2.54245358</v>
      </c>
      <c r="G22" s="18" t="n">
        <v>76.45249987</v>
      </c>
      <c r="H22" s="20" t="n">
        <v>2.53181358</v>
      </c>
      <c r="I22" s="18" t="s">
        <v>567</v>
      </c>
      <c r="J22" s="20" t="s">
        <v>567</v>
      </c>
      <c r="K22" s="18" t="n">
        <v>0.55220396</v>
      </c>
      <c r="L22" s="20" t="n">
        <v>0.53709442</v>
      </c>
      <c r="M22" s="18" t="n">
        <v>0</v>
      </c>
      <c r="N22" s="20" t="n">
        <v>0</v>
      </c>
      <c r="O22" s="18" t="n">
        <v>0</v>
      </c>
      <c r="P22" s="20" t="n">
        <v>0</v>
      </c>
      <c r="Q22" s="18" t="n">
        <v>0.27166126</v>
      </c>
      <c r="R22" s="20" t="n">
        <v>0.26365486</v>
      </c>
    </row>
    <row r="23" spans="1:18">
      <c r="A23" s="15" t="s">
        <v>583</v>
      </c>
      <c r="B23" s="17" t="n">
        <v>5791</v>
      </c>
      <c r="C23" s="18">
        <f>(5192.0/B23*100)</f>
        <v/>
      </c>
      <c r="D23" s="19" t="n">
        <v>599</v>
      </c>
      <c r="E23" s="18" t="n">
        <v>21.36178855</v>
      </c>
      <c r="F23" s="20" t="n">
        <v>2.53714798</v>
      </c>
      <c r="G23" s="18" t="n">
        <v>78.21502089000001</v>
      </c>
      <c r="H23" s="20" t="n">
        <v>2.53470365</v>
      </c>
      <c r="I23" s="18" t="s">
        <v>567</v>
      </c>
      <c r="J23" s="20" t="s">
        <v>567</v>
      </c>
      <c r="K23" s="18" t="n">
        <v>0</v>
      </c>
      <c r="L23" s="20" t="n">
        <v>0</v>
      </c>
      <c r="M23" s="18" t="n">
        <v>0</v>
      </c>
      <c r="N23" s="20" t="n">
        <v>0</v>
      </c>
      <c r="O23" s="18" t="n">
        <v>0</v>
      </c>
      <c r="P23" s="20" t="n">
        <v>0</v>
      </c>
      <c r="Q23" s="18" t="n">
        <v>0.42319056</v>
      </c>
      <c r="R23" s="20" t="n">
        <v>0.32704797</v>
      </c>
    </row>
    <row r="24" spans="1:18">
      <c r="A24" s="15" t="s">
        <v>584</v>
      </c>
      <c r="B24" s="17" t="n">
        <v>3338</v>
      </c>
      <c r="C24" s="18">
        <f>(2956.0/B24*100)</f>
        <v/>
      </c>
      <c r="D24" s="19" t="n">
        <v>382</v>
      </c>
      <c r="E24" s="18" t="n">
        <v>19.6723448</v>
      </c>
      <c r="F24" s="20" t="n">
        <v>1.89839502</v>
      </c>
      <c r="G24" s="18" t="n">
        <v>79.78781784</v>
      </c>
      <c r="H24" s="20" t="n">
        <v>1.92621897</v>
      </c>
      <c r="I24" s="18" t="s">
        <v>567</v>
      </c>
      <c r="J24" s="20" t="s">
        <v>567</v>
      </c>
      <c r="K24" s="18" t="n">
        <v>0</v>
      </c>
      <c r="L24" s="20" t="n">
        <v>0</v>
      </c>
      <c r="M24" s="18" t="n">
        <v>0</v>
      </c>
      <c r="N24" s="20" t="n">
        <v>0</v>
      </c>
      <c r="O24" s="18" t="n">
        <v>0</v>
      </c>
      <c r="P24" s="20" t="n">
        <v>0</v>
      </c>
      <c r="Q24" s="18" t="n">
        <v>0.53983735</v>
      </c>
      <c r="R24" s="20" t="n">
        <v>0.39034643</v>
      </c>
    </row>
    <row r="25" spans="1:18">
      <c r="A25" s="15" t="s">
        <v>585</v>
      </c>
      <c r="B25" s="17" t="n">
        <v>2912</v>
      </c>
      <c r="C25" s="18">
        <f>(2603.0/B25*100)</f>
        <v/>
      </c>
      <c r="D25" s="19" t="n">
        <v>309</v>
      </c>
      <c r="E25" s="18" t="n">
        <v>47.46306005</v>
      </c>
      <c r="F25" s="20" t="n">
        <v>2.86607197</v>
      </c>
      <c r="G25" s="18" t="n">
        <v>52.08949969</v>
      </c>
      <c r="H25" s="20" t="n">
        <v>2.90662482</v>
      </c>
      <c r="I25" s="18" t="s">
        <v>567</v>
      </c>
      <c r="J25" s="20" t="s">
        <v>567</v>
      </c>
      <c r="K25" s="18" t="n">
        <v>0</v>
      </c>
      <c r="L25" s="20" t="n">
        <v>0</v>
      </c>
      <c r="M25" s="18" t="n">
        <v>0</v>
      </c>
      <c r="N25" s="20" t="n">
        <v>0</v>
      </c>
      <c r="O25" s="18" t="n">
        <v>0</v>
      </c>
      <c r="P25" s="20" t="n">
        <v>0</v>
      </c>
      <c r="Q25" s="18" t="n">
        <v>0.44744026</v>
      </c>
      <c r="R25" s="20" t="n">
        <v>0.32120351</v>
      </c>
    </row>
    <row r="26" spans="1:18">
      <c r="A26" s="15" t="s">
        <v>586</v>
      </c>
      <c r="B26" s="17" t="n">
        <v>2450</v>
      </c>
      <c r="C26" s="18">
        <f>(2165.0/B26*100)</f>
        <v/>
      </c>
      <c r="D26" s="19" t="n">
        <v>285</v>
      </c>
      <c r="E26" s="18" t="n">
        <v>23.91257205</v>
      </c>
      <c r="F26" s="20" t="n">
        <v>2.60863709</v>
      </c>
      <c r="G26" s="18" t="n">
        <v>76.08742795000001</v>
      </c>
      <c r="H26" s="20" t="n">
        <v>2.60863709</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(2307.0/B27*100)</f>
        <v/>
      </c>
      <c r="D27" s="19" t="n">
        <v>309</v>
      </c>
      <c r="E27" s="18" t="n">
        <v>31.58358338</v>
      </c>
      <c r="F27" s="20" t="n">
        <v>2.39570277</v>
      </c>
      <c r="G27" s="18" t="n">
        <v>67.13570839</v>
      </c>
      <c r="H27" s="20" t="n">
        <v>2.35890694</v>
      </c>
      <c r="I27" s="18" t="s">
        <v>567</v>
      </c>
      <c r="J27" s="20" t="s">
        <v>567</v>
      </c>
      <c r="K27" s="18" t="n">
        <v>0.95803743</v>
      </c>
      <c r="L27" s="20" t="n">
        <v>0.54513242</v>
      </c>
      <c r="M27" s="18" t="n">
        <v>0</v>
      </c>
      <c r="N27" s="20" t="n">
        <v>0</v>
      </c>
      <c r="O27" s="18" t="n">
        <v>0</v>
      </c>
      <c r="P27" s="20" t="n">
        <v>0</v>
      </c>
      <c r="Q27" s="18" t="n">
        <v>0.32267079</v>
      </c>
      <c r="R27" s="20" t="n">
        <v>0.32362333</v>
      </c>
    </row>
    <row r="28" spans="1:18">
      <c r="A28" s="15" t="s">
        <v>588</v>
      </c>
      <c r="B28" s="17" t="n">
        <v>3765</v>
      </c>
      <c r="C28" s="18">
        <f>(3344.0/B28*100)</f>
        <v/>
      </c>
      <c r="D28" s="19" t="n">
        <v>421</v>
      </c>
      <c r="E28" s="18" t="n">
        <v>48.9326393</v>
      </c>
      <c r="F28" s="20" t="n">
        <v>2.96473906</v>
      </c>
      <c r="G28" s="18" t="n">
        <v>49.95710087</v>
      </c>
      <c r="H28" s="20" t="n">
        <v>2.96780178</v>
      </c>
      <c r="I28" s="18" t="s">
        <v>567</v>
      </c>
      <c r="J28" s="20" t="s">
        <v>567</v>
      </c>
      <c r="K28" s="18" t="n">
        <v>0.77954762</v>
      </c>
      <c r="L28" s="20" t="n">
        <v>0.49991598</v>
      </c>
      <c r="M28" s="18" t="n">
        <v>0</v>
      </c>
      <c r="N28" s="20" t="n">
        <v>0</v>
      </c>
      <c r="O28" s="18" t="n">
        <v>0</v>
      </c>
      <c r="P28" s="20" t="n">
        <v>0</v>
      </c>
      <c r="Q28" s="18" t="n">
        <v>0.33071221</v>
      </c>
      <c r="R28" s="20" t="n">
        <v>0.28697049</v>
      </c>
    </row>
    <row r="29" spans="1:18">
      <c r="A29" s="15" t="s">
        <v>589</v>
      </c>
      <c r="B29" s="17" t="n">
        <v>2685</v>
      </c>
      <c r="C29" s="18">
        <f>(2429.0/B29*100)</f>
        <v/>
      </c>
      <c r="D29" s="19" t="n">
        <v>256</v>
      </c>
      <c r="E29" s="18" t="n">
        <v>18.54868991</v>
      </c>
      <c r="F29" s="20" t="n">
        <v>2.57959037</v>
      </c>
      <c r="G29" s="18" t="n">
        <v>81.09814554</v>
      </c>
      <c r="H29" s="20" t="n">
        <v>2.53366726</v>
      </c>
      <c r="I29" s="18" t="s">
        <v>567</v>
      </c>
      <c r="J29" s="20" t="s">
        <v>567</v>
      </c>
      <c r="K29" s="18" t="n">
        <v>0.35316455</v>
      </c>
      <c r="L29" s="20" t="n">
        <v>0.3362382</v>
      </c>
      <c r="M29" s="18" t="n">
        <v>0</v>
      </c>
      <c r="N29" s="20" t="n">
        <v>0</v>
      </c>
      <c r="O29" s="18" t="n">
        <v>0</v>
      </c>
      <c r="P29" s="20" t="n">
        <v>0</v>
      </c>
      <c r="Q29" s="18" t="n">
        <v>0</v>
      </c>
      <c r="R29" s="20" t="n">
        <v>0</v>
      </c>
    </row>
    <row r="30" spans="1:18">
      <c r="A30" s="15" t="s">
        <v>590</v>
      </c>
      <c r="B30" s="17" t="n">
        <v>2263</v>
      </c>
      <c r="C30" s="18">
        <f>(2000.0/B30*100)</f>
        <v/>
      </c>
      <c r="D30" s="19" t="n">
        <v>263</v>
      </c>
      <c r="E30" s="18" t="n">
        <v>33.10380747</v>
      </c>
      <c r="F30" s="20" t="n">
        <v>2.77966678</v>
      </c>
      <c r="G30" s="18" t="n">
        <v>65.90919820000001</v>
      </c>
      <c r="H30" s="20" t="n">
        <v>2.84704146</v>
      </c>
      <c r="I30" s="18" t="s">
        <v>567</v>
      </c>
      <c r="J30" s="20" t="s">
        <v>567</v>
      </c>
      <c r="K30" s="18" t="n">
        <v>0</v>
      </c>
      <c r="L30" s="20" t="n">
        <v>0</v>
      </c>
      <c r="M30" s="18" t="n">
        <v>0</v>
      </c>
      <c r="N30" s="20" t="n">
        <v>0</v>
      </c>
      <c r="O30" s="18" t="n">
        <v>0</v>
      </c>
      <c r="P30" s="20" t="n">
        <v>0</v>
      </c>
      <c r="Q30" s="18" t="n">
        <v>0.98699434</v>
      </c>
      <c r="R30" s="20" t="n">
        <v>0.57747405</v>
      </c>
    </row>
    <row r="31" spans="1:18">
      <c r="A31" s="15" t="s">
        <v>591</v>
      </c>
      <c r="B31" s="17" t="n">
        <v>2750</v>
      </c>
      <c r="C31" s="18">
        <f>(2445.0/B31*100)</f>
        <v/>
      </c>
      <c r="D31" s="19" t="n">
        <v>305</v>
      </c>
      <c r="E31" s="18" t="n">
        <v>22.06726966</v>
      </c>
      <c r="F31" s="20" t="n">
        <v>2.71901256</v>
      </c>
      <c r="G31" s="18" t="n">
        <v>77.69225308</v>
      </c>
      <c r="H31" s="20" t="n">
        <v>2.74570361</v>
      </c>
      <c r="I31" s="18" t="s">
        <v>567</v>
      </c>
      <c r="J31" s="20" t="s">
        <v>567</v>
      </c>
      <c r="K31" s="18" t="n">
        <v>0.24047726</v>
      </c>
      <c r="L31" s="20" t="n">
        <v>0.23431284</v>
      </c>
      <c r="M31" s="18" t="n">
        <v>0</v>
      </c>
      <c r="N31" s="20" t="n">
        <v>0</v>
      </c>
      <c r="O31" s="18" t="n">
        <v>0</v>
      </c>
      <c r="P31" s="20" t="n">
        <v>0</v>
      </c>
      <c r="Q31" s="18" t="n">
        <v>0</v>
      </c>
      <c r="R31" s="20" t="n">
        <v>0</v>
      </c>
    </row>
    <row r="32" spans="1:18">
      <c r="A32" s="15" t="s">
        <v>592</v>
      </c>
      <c r="B32" s="17" t="n">
        <v>2269</v>
      </c>
      <c r="C32" s="18">
        <f>(2029.0/B32*100)</f>
        <v/>
      </c>
      <c r="D32" s="19" t="n">
        <v>240</v>
      </c>
      <c r="E32" s="18" t="n">
        <v>23.06538996</v>
      </c>
      <c r="F32" s="20" t="n">
        <v>2.43757241</v>
      </c>
      <c r="G32" s="18" t="n">
        <v>76.93461004</v>
      </c>
      <c r="H32" s="20" t="n">
        <v>2.43757241</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(3263.0/B33*100)</f>
        <v/>
      </c>
      <c r="D33" s="19" t="n">
        <v>411</v>
      </c>
      <c r="E33" s="18" t="n">
        <v>31.13485427</v>
      </c>
      <c r="F33" s="20" t="n">
        <v>3.06450892</v>
      </c>
      <c r="G33" s="18" t="n">
        <v>68.59085311</v>
      </c>
      <c r="H33" s="20" t="n">
        <v>3.07617845</v>
      </c>
      <c r="I33" s="18" t="s">
        <v>567</v>
      </c>
      <c r="J33" s="20" t="s">
        <v>567</v>
      </c>
      <c r="K33" s="18" t="n">
        <v>0.1276171</v>
      </c>
      <c r="L33" s="20" t="n">
        <v>0.11875281</v>
      </c>
      <c r="M33" s="18" t="n">
        <v>0</v>
      </c>
      <c r="N33" s="20" t="n">
        <v>0</v>
      </c>
      <c r="O33" s="18" t="n">
        <v>0</v>
      </c>
      <c r="P33" s="20" t="n">
        <v>0</v>
      </c>
      <c r="Q33" s="18" t="n">
        <v>0.14667552</v>
      </c>
      <c r="R33" s="20" t="n">
        <v>0.14549213</v>
      </c>
    </row>
    <row r="34" spans="1:18">
      <c r="A34" s="15" t="s">
        <v>594</v>
      </c>
      <c r="B34" s="17" t="n">
        <v>3315</v>
      </c>
      <c r="C34" s="18">
        <f>(2986.0/B34*100)</f>
        <v/>
      </c>
      <c r="D34" s="19" t="n">
        <v>329</v>
      </c>
      <c r="E34" s="18" t="n">
        <v>22.18757453</v>
      </c>
      <c r="F34" s="20" t="n">
        <v>2.58543872</v>
      </c>
      <c r="G34" s="18" t="n">
        <v>77.45052407</v>
      </c>
      <c r="H34" s="20" t="n">
        <v>2.62862341</v>
      </c>
      <c r="I34" s="18" t="s">
        <v>567</v>
      </c>
      <c r="J34" s="20" t="s">
        <v>567</v>
      </c>
      <c r="K34" s="18" t="n">
        <v>0</v>
      </c>
      <c r="L34" s="20" t="n">
        <v>0</v>
      </c>
      <c r="M34" s="18" t="n">
        <v>0</v>
      </c>
      <c r="N34" s="20" t="n">
        <v>0</v>
      </c>
      <c r="O34" s="18" t="n">
        <v>0</v>
      </c>
      <c r="P34" s="20" t="n">
        <v>0</v>
      </c>
      <c r="Q34" s="18" t="n">
        <v>0.3619014</v>
      </c>
      <c r="R34" s="20" t="n">
        <v>0.28684909</v>
      </c>
    </row>
    <row r="35" spans="1:18">
      <c r="A35" s="15" t="s">
        <v>595</v>
      </c>
      <c r="B35" s="17" t="n">
        <v>3505</v>
      </c>
      <c r="C35" s="18">
        <f>(3147.0/B35*100)</f>
        <v/>
      </c>
      <c r="D35" s="19" t="n">
        <v>358</v>
      </c>
      <c r="E35" s="18" t="n">
        <v>13.56062968</v>
      </c>
      <c r="F35" s="20" t="n">
        <v>2.13234527</v>
      </c>
      <c r="G35" s="18" t="n">
        <v>86.43937031999999</v>
      </c>
      <c r="H35" s="20" t="n">
        <v>2.13234527</v>
      </c>
      <c r="I35" s="18" t="s">
        <v>567</v>
      </c>
      <c r="J35" s="20" t="s">
        <v>567</v>
      </c>
      <c r="K35" s="18" t="n">
        <v>0</v>
      </c>
      <c r="L35" s="20" t="n">
        <v>0</v>
      </c>
      <c r="M35" s="18" t="n">
        <v>0</v>
      </c>
      <c r="N35" s="20" t="n">
        <v>0</v>
      </c>
      <c r="O35" s="18" t="n">
        <v>0</v>
      </c>
      <c r="P35" s="20" t="n">
        <v>0</v>
      </c>
      <c r="Q35" s="18" t="n">
        <v>0</v>
      </c>
      <c r="R35" s="20" t="n">
        <v>0</v>
      </c>
    </row>
    <row r="36" spans="1:18">
      <c r="A36" s="15" t="s">
        <v>596</v>
      </c>
      <c r="B36" s="17" t="n">
        <v>3332</v>
      </c>
      <c r="C36" s="18">
        <f>(2939.0/B36*100)</f>
        <v/>
      </c>
      <c r="D36" s="19" t="n">
        <v>393</v>
      </c>
      <c r="E36" s="18" t="n">
        <v>33.93828324</v>
      </c>
      <c r="F36" s="20" t="n">
        <v>2.21954617</v>
      </c>
      <c r="G36" s="18" t="n">
        <v>64.98078257</v>
      </c>
      <c r="H36" s="20" t="n">
        <v>2.25668067</v>
      </c>
      <c r="I36" s="18" t="s">
        <v>567</v>
      </c>
      <c r="J36" s="20" t="s">
        <v>567</v>
      </c>
      <c r="K36" s="18" t="n">
        <v>1.08093419</v>
      </c>
      <c r="L36" s="20" t="n">
        <v>0.5580858400000001</v>
      </c>
      <c r="M36" s="18" t="n">
        <v>0</v>
      </c>
      <c r="N36" s="20" t="n">
        <v>0</v>
      </c>
      <c r="O36" s="18" t="n">
        <v>0</v>
      </c>
      <c r="P36" s="20" t="n">
        <v>0</v>
      </c>
      <c r="Q36" s="18" t="n">
        <v>0</v>
      </c>
      <c r="R36" s="20" t="n">
        <v>0</v>
      </c>
    </row>
    <row r="37" spans="1:18">
      <c r="A37" s="15" t="s">
        <v>597</v>
      </c>
      <c r="B37" s="17" t="n">
        <v>2727</v>
      </c>
      <c r="C37" s="18">
        <f>(2430.0/B37*100)</f>
        <v/>
      </c>
      <c r="D37" s="19" t="n">
        <v>297</v>
      </c>
      <c r="E37" s="18" t="n">
        <v>30.62572439</v>
      </c>
      <c r="F37" s="20" t="n">
        <v>2.80656078</v>
      </c>
      <c r="G37" s="18" t="n">
        <v>68.75341515</v>
      </c>
      <c r="H37" s="20" t="n">
        <v>2.79543721</v>
      </c>
      <c r="I37" s="18" t="s">
        <v>567</v>
      </c>
      <c r="J37" s="20" t="s">
        <v>567</v>
      </c>
      <c r="K37" s="18" t="n">
        <v>0</v>
      </c>
      <c r="L37" s="20" t="n">
        <v>0</v>
      </c>
      <c r="M37" s="18" t="n">
        <v>0</v>
      </c>
      <c r="N37" s="20" t="n">
        <v>0</v>
      </c>
      <c r="O37" s="18" t="n">
        <v>0</v>
      </c>
      <c r="P37" s="20" t="n">
        <v>0</v>
      </c>
      <c r="Q37" s="18" t="n">
        <v>0.6208604599999999</v>
      </c>
      <c r="R37" s="20" t="n">
        <v>0.61062761</v>
      </c>
    </row>
    <row r="38" spans="1:18">
      <c r="A38" s="15" t="s">
        <v>598</v>
      </c>
      <c r="B38" s="17" t="n">
        <v>3053</v>
      </c>
      <c r="C38" s="18">
        <f>(2713.0/B38*100)</f>
        <v/>
      </c>
      <c r="D38" s="19" t="n">
        <v>340</v>
      </c>
      <c r="E38" s="18" t="n">
        <v>27.05565537</v>
      </c>
      <c r="F38" s="20" t="n">
        <v>2.98418712</v>
      </c>
      <c r="G38" s="18" t="n">
        <v>72.88993105999999</v>
      </c>
      <c r="H38" s="20" t="n">
        <v>2.97802195</v>
      </c>
      <c r="I38" s="18" t="s">
        <v>567</v>
      </c>
      <c r="J38" s="20" t="s">
        <v>567</v>
      </c>
      <c r="K38" s="18" t="n">
        <v>0</v>
      </c>
      <c r="L38" s="20" t="n">
        <v>0</v>
      </c>
      <c r="M38" s="18" t="n">
        <v>0</v>
      </c>
      <c r="N38" s="20" t="n">
        <v>0</v>
      </c>
      <c r="O38" s="18" t="n">
        <v>0</v>
      </c>
      <c r="P38" s="20" t="n">
        <v>0</v>
      </c>
      <c r="Q38" s="18" t="n">
        <v>0.05441357</v>
      </c>
      <c r="R38" s="20" t="n">
        <v>0.05592648</v>
      </c>
    </row>
    <row r="39" spans="1:18">
      <c r="A39" s="15" t="s">
        <v>599</v>
      </c>
      <c r="B39" s="17" t="n">
        <v>2957</v>
      </c>
      <c r="C39" s="18">
        <f>(2647.0/B39*100)</f>
        <v/>
      </c>
      <c r="D39" s="19" t="n">
        <v>310</v>
      </c>
      <c r="E39" s="18" t="n">
        <v>44.6423611</v>
      </c>
      <c r="F39" s="20" t="n">
        <v>3.46504446</v>
      </c>
      <c r="G39" s="18" t="n">
        <v>55.3576389</v>
      </c>
      <c r="H39" s="20" t="n">
        <v>3.46504446</v>
      </c>
      <c r="I39" s="18" t="s">
        <v>567</v>
      </c>
      <c r="J39" s="20" t="s">
        <v>567</v>
      </c>
      <c r="K39" s="18" t="n">
        <v>0</v>
      </c>
      <c r="L39" s="20" t="n">
        <v>0</v>
      </c>
      <c r="M39" s="18" t="n">
        <v>0</v>
      </c>
      <c r="N39" s="20" t="n">
        <v>0</v>
      </c>
      <c r="O39" s="18" t="n">
        <v>0</v>
      </c>
      <c r="P39" s="20" t="n">
        <v>0</v>
      </c>
      <c r="Q39" s="18" t="n">
        <v>0</v>
      </c>
      <c r="R39" s="20" t="n">
        <v>0</v>
      </c>
    </row>
    <row r="40" spans="1:18">
      <c r="A40" s="15" t="s">
        <v>600</v>
      </c>
      <c r="B40" s="17" t="n">
        <v>7235</v>
      </c>
      <c r="C40" s="18">
        <f>(6426.0/B40*100)</f>
        <v/>
      </c>
      <c r="D40" s="19" t="n">
        <v>809</v>
      </c>
      <c r="E40" s="18" t="n">
        <v>37.09010316</v>
      </c>
      <c r="F40" s="20" t="n">
        <v>2.61189121</v>
      </c>
      <c r="G40" s="18" t="n">
        <v>62.49387791</v>
      </c>
      <c r="H40" s="20" t="n">
        <v>2.69450567</v>
      </c>
      <c r="I40" s="18" t="s">
        <v>567</v>
      </c>
      <c r="J40" s="20" t="s">
        <v>567</v>
      </c>
      <c r="K40" s="18" t="n">
        <v>0</v>
      </c>
      <c r="L40" s="20" t="n">
        <v>0</v>
      </c>
      <c r="M40" s="18" t="n">
        <v>0</v>
      </c>
      <c r="N40" s="20" t="n">
        <v>0</v>
      </c>
      <c r="O40" s="18" t="n">
        <v>0</v>
      </c>
      <c r="P40" s="20" t="n">
        <v>0</v>
      </c>
      <c r="Q40" s="18" t="n">
        <v>0.41601893</v>
      </c>
      <c r="R40" s="20" t="n">
        <v>0.2359941</v>
      </c>
    </row>
    <row r="41" spans="1:18">
      <c r="A41" s="15" t="s">
        <v>601</v>
      </c>
      <c r="B41" s="17" t="n">
        <v>2858</v>
      </c>
      <c r="C41" s="18">
        <f>(2508.0/B41*100)</f>
        <v/>
      </c>
      <c r="D41" s="19" t="n">
        <v>350</v>
      </c>
      <c r="E41" s="18" t="n">
        <v>35.69918798</v>
      </c>
      <c r="F41" s="20" t="n">
        <v>2.65591904</v>
      </c>
      <c r="G41" s="18" t="n">
        <v>63.62956662</v>
      </c>
      <c r="H41" s="20" t="n">
        <v>2.61719695</v>
      </c>
      <c r="I41" s="18" t="s">
        <v>567</v>
      </c>
      <c r="J41" s="20" t="s">
        <v>567</v>
      </c>
      <c r="K41" s="18" t="n">
        <v>0</v>
      </c>
      <c r="L41" s="20" t="n">
        <v>0</v>
      </c>
      <c r="M41" s="18" t="n">
        <v>0</v>
      </c>
      <c r="N41" s="20" t="n">
        <v>0</v>
      </c>
      <c r="O41" s="18" t="n">
        <v>0</v>
      </c>
      <c r="P41" s="20" t="n">
        <v>0</v>
      </c>
      <c r="Q41" s="18" t="n">
        <v>0.6712454</v>
      </c>
      <c r="R41" s="20" t="n">
        <v>0.46870783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(10012.0/B46*100)</f>
        <v/>
      </c>
      <c r="D46" s="19" t="n">
        <v>1056</v>
      </c>
      <c r="E46" s="18" t="n">
        <v>50.59571781</v>
      </c>
      <c r="F46" s="20" t="n">
        <v>1.92422974</v>
      </c>
      <c r="G46" s="18" t="n">
        <v>48.44659809</v>
      </c>
      <c r="H46" s="20" t="n">
        <v>1.94272065</v>
      </c>
      <c r="I46" s="18" t="s">
        <v>567</v>
      </c>
      <c r="J46" s="20" t="s">
        <v>567</v>
      </c>
      <c r="K46" s="18" t="n">
        <v>0.54624724</v>
      </c>
      <c r="L46" s="20" t="n">
        <v>0.27981671</v>
      </c>
      <c r="M46" s="18" t="n">
        <v>0</v>
      </c>
      <c r="N46" s="20" t="n">
        <v>0</v>
      </c>
      <c r="O46" s="18" t="n">
        <v>0</v>
      </c>
      <c r="P46" s="20" t="n">
        <v>0</v>
      </c>
      <c r="Q46" s="18" t="n">
        <v>0.41143686</v>
      </c>
      <c r="R46" s="20" t="n">
        <v>0.1859485</v>
      </c>
    </row>
    <row r="47" spans="1:18">
      <c r="A47" s="15" t="s">
        <v>607</v>
      </c>
      <c r="B47" s="17" t="n">
        <v>3105</v>
      </c>
      <c r="C47" s="18">
        <f>(2758.0/B47*100)</f>
        <v/>
      </c>
      <c r="D47" s="19" t="n">
        <v>347</v>
      </c>
      <c r="E47" s="18" t="n">
        <v>30.22235642</v>
      </c>
      <c r="F47" s="20" t="n">
        <v>2.75092068</v>
      </c>
      <c r="G47" s="18" t="n">
        <v>68.95298448</v>
      </c>
      <c r="H47" s="20" t="n">
        <v>2.82677337</v>
      </c>
      <c r="I47" s="18" t="s">
        <v>567</v>
      </c>
      <c r="J47" s="20" t="s">
        <v>567</v>
      </c>
      <c r="K47" s="18" t="n">
        <v>0.53927497</v>
      </c>
      <c r="L47" s="20" t="n">
        <v>0.40715567</v>
      </c>
      <c r="M47" s="18" t="n">
        <v>0</v>
      </c>
      <c r="N47" s="20" t="n">
        <v>0</v>
      </c>
      <c r="O47" s="18" t="n">
        <v>0</v>
      </c>
      <c r="P47" s="20" t="n">
        <v>0</v>
      </c>
      <c r="Q47" s="18" t="n">
        <v>0.28538413</v>
      </c>
      <c r="R47" s="20" t="n">
        <v>0.28269769</v>
      </c>
    </row>
    <row r="48" spans="1:18">
      <c r="A48" s="15" t="s">
        <v>608</v>
      </c>
      <c r="B48" s="17" t="n">
        <v>5159</v>
      </c>
      <c r="C48" s="18">
        <f>(4592.0/B48*100)</f>
        <v/>
      </c>
      <c r="D48" s="19" t="n">
        <v>567</v>
      </c>
      <c r="E48" s="18" t="n">
        <v>16.08023389</v>
      </c>
      <c r="F48" s="20" t="n">
        <v>1.84306066</v>
      </c>
      <c r="G48" s="18" t="n">
        <v>83.38396566999999</v>
      </c>
      <c r="H48" s="20" t="n">
        <v>1.82906137</v>
      </c>
      <c r="I48" s="18" t="s">
        <v>567</v>
      </c>
      <c r="J48" s="20" t="s">
        <v>567</v>
      </c>
      <c r="K48" s="18" t="n">
        <v>0</v>
      </c>
      <c r="L48" s="20" t="n">
        <v>0</v>
      </c>
      <c r="M48" s="18" t="n">
        <v>0</v>
      </c>
      <c r="N48" s="20" t="n">
        <v>0</v>
      </c>
      <c r="O48" s="18" t="n">
        <v>0</v>
      </c>
      <c r="P48" s="20" t="n">
        <v>0</v>
      </c>
      <c r="Q48" s="18" t="n">
        <v>0.53580043</v>
      </c>
      <c r="R48" s="20" t="n">
        <v>0.38914629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(5031.0/B50*100)</f>
        <v/>
      </c>
      <c r="D50" s="19" t="n">
        <v>606</v>
      </c>
      <c r="E50" s="18" t="n">
        <v>56.2150888</v>
      </c>
      <c r="F50" s="20" t="n">
        <v>2.50641436</v>
      </c>
      <c r="G50" s="18" t="n">
        <v>42.99187661</v>
      </c>
      <c r="H50" s="20" t="n">
        <v>2.59628532</v>
      </c>
      <c r="I50" s="18" t="s">
        <v>567</v>
      </c>
      <c r="J50" s="20" t="s">
        <v>567</v>
      </c>
      <c r="K50" s="18" t="n">
        <v>0.55014423</v>
      </c>
      <c r="L50" s="20" t="n">
        <v>0.38212401</v>
      </c>
      <c r="M50" s="18" t="n">
        <v>0</v>
      </c>
      <c r="N50" s="20" t="n">
        <v>0</v>
      </c>
      <c r="O50" s="18" t="n">
        <v>0</v>
      </c>
      <c r="P50" s="20" t="n">
        <v>0</v>
      </c>
      <c r="Q50" s="18" t="n">
        <v>0.24289036</v>
      </c>
      <c r="R50" s="20" t="n">
        <v>0.21815926</v>
      </c>
    </row>
    <row r="51" spans="1:18">
      <c r="A51" s="15" t="s">
        <v>611</v>
      </c>
      <c r="B51" s="17" t="n">
        <v>3372</v>
      </c>
      <c r="C51" s="18">
        <f>(3050.0/B51*100)</f>
        <v/>
      </c>
      <c r="D51" s="19" t="n">
        <v>322</v>
      </c>
      <c r="E51" s="18" t="n">
        <v>56.52607812</v>
      </c>
      <c r="F51" s="20" t="n">
        <v>3.34617799</v>
      </c>
      <c r="G51" s="18" t="n">
        <v>42.69905563</v>
      </c>
      <c r="H51" s="20" t="n">
        <v>3.28663495</v>
      </c>
      <c r="I51" s="18" t="s">
        <v>567</v>
      </c>
      <c r="J51" s="20" t="s">
        <v>567</v>
      </c>
      <c r="K51" s="18" t="n">
        <v>0.62423636</v>
      </c>
      <c r="L51" s="20" t="n">
        <v>0.4417459</v>
      </c>
      <c r="M51" s="18" t="n">
        <v>0</v>
      </c>
      <c r="N51" s="20" t="n">
        <v>0</v>
      </c>
      <c r="O51" s="18" t="n">
        <v>0</v>
      </c>
      <c r="P51" s="20" t="n">
        <v>0</v>
      </c>
      <c r="Q51" s="18" t="n">
        <v>0.15062989</v>
      </c>
      <c r="R51" s="20" t="n">
        <v>0.15353108</v>
      </c>
    </row>
    <row r="52" spans="1:18">
      <c r="A52" s="15" t="s">
        <v>612</v>
      </c>
      <c r="B52" s="17" t="n">
        <v>2796</v>
      </c>
      <c r="C52" s="18">
        <f>(2502.0/B52*100)</f>
        <v/>
      </c>
      <c r="D52" s="19" t="n">
        <v>294</v>
      </c>
      <c r="E52" s="18" t="n">
        <v>24.51369587</v>
      </c>
      <c r="F52" s="20" t="n">
        <v>2.75049527</v>
      </c>
      <c r="G52" s="18" t="n">
        <v>74.9054118</v>
      </c>
      <c r="H52" s="20" t="n">
        <v>2.76388758</v>
      </c>
      <c r="I52" s="18" t="s">
        <v>567</v>
      </c>
      <c r="J52" s="20" t="s">
        <v>567</v>
      </c>
      <c r="K52" s="18" t="n">
        <v>0</v>
      </c>
      <c r="L52" s="20" t="n">
        <v>0</v>
      </c>
      <c r="M52" s="18" t="n">
        <v>0</v>
      </c>
      <c r="N52" s="20" t="n">
        <v>0</v>
      </c>
      <c r="O52" s="18" t="n">
        <v>0</v>
      </c>
      <c r="P52" s="20" t="n">
        <v>0</v>
      </c>
      <c r="Q52" s="18" t="n">
        <v>0.58089233</v>
      </c>
      <c r="R52" s="20" t="n">
        <v>0.42148523</v>
      </c>
    </row>
    <row r="53" spans="1:18">
      <c r="A53" s="15" t="s">
        <v>613</v>
      </c>
      <c r="B53" s="17" t="n">
        <v>2811</v>
      </c>
      <c r="C53" s="18">
        <f>(2490.0/B53*100)</f>
        <v/>
      </c>
      <c r="D53" s="19" t="n">
        <v>321</v>
      </c>
      <c r="E53" s="18" t="n">
        <v>40.78430508</v>
      </c>
      <c r="F53" s="20" t="n">
        <v>2.64931882</v>
      </c>
      <c r="G53" s="18" t="n">
        <v>57.48978988</v>
      </c>
      <c r="H53" s="20" t="n">
        <v>2.54676522</v>
      </c>
      <c r="I53" s="18" t="s">
        <v>567</v>
      </c>
      <c r="J53" s="20" t="s">
        <v>567</v>
      </c>
      <c r="K53" s="18" t="n">
        <v>0</v>
      </c>
      <c r="L53" s="20" t="n">
        <v>0</v>
      </c>
      <c r="M53" s="18" t="n">
        <v>0</v>
      </c>
      <c r="N53" s="20" t="n">
        <v>0</v>
      </c>
      <c r="O53" s="18" t="n">
        <v>0</v>
      </c>
      <c r="P53" s="20" t="n">
        <v>0</v>
      </c>
      <c r="Q53" s="18" t="n">
        <v>1.72590504</v>
      </c>
      <c r="R53" s="20" t="n">
        <v>0.73075691</v>
      </c>
    </row>
    <row r="54" spans="1:18">
      <c r="A54" s="15" t="s">
        <v>614</v>
      </c>
      <c r="B54" s="17" t="n">
        <v>2266</v>
      </c>
      <c r="C54" s="18">
        <f>(2024.0/B54*100)</f>
        <v/>
      </c>
      <c r="D54" s="19" t="n">
        <v>242</v>
      </c>
      <c r="E54" s="18" t="n">
        <v>56.99863317</v>
      </c>
      <c r="F54" s="20" t="n">
        <v>3.68617175</v>
      </c>
      <c r="G54" s="18" t="n">
        <v>32.70740677</v>
      </c>
      <c r="H54" s="20" t="n">
        <v>3.19397084</v>
      </c>
      <c r="I54" s="18" t="s">
        <v>567</v>
      </c>
      <c r="J54" s="20" t="s">
        <v>567</v>
      </c>
      <c r="K54" s="18" t="n">
        <v>9.02653756</v>
      </c>
      <c r="L54" s="20" t="n">
        <v>2.00954952</v>
      </c>
      <c r="M54" s="18" t="n">
        <v>0</v>
      </c>
      <c r="N54" s="20" t="n">
        <v>0</v>
      </c>
      <c r="O54" s="18" t="n">
        <v>0</v>
      </c>
      <c r="P54" s="20" t="n">
        <v>0</v>
      </c>
      <c r="Q54" s="18" t="n">
        <v>1.2674225</v>
      </c>
      <c r="R54" s="20" t="n">
        <v>0.89438632</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(2401.0/B56*100)</f>
        <v/>
      </c>
      <c r="D56" s="19" t="n">
        <v>283</v>
      </c>
      <c r="E56" s="18" t="n">
        <v>7.75308507</v>
      </c>
      <c r="F56" s="20" t="n">
        <v>1.69528348</v>
      </c>
      <c r="G56" s="18" t="n">
        <v>92.24691493</v>
      </c>
      <c r="H56" s="20" t="n">
        <v>1.69528348</v>
      </c>
      <c r="I56" s="18" t="s">
        <v>567</v>
      </c>
      <c r="J56" s="20" t="s">
        <v>567</v>
      </c>
      <c r="K56" s="18" t="n">
        <v>0</v>
      </c>
      <c r="L56" s="20" t="n">
        <v>0</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(2978.0/B61*100)</f>
        <v/>
      </c>
      <c r="D61" s="19" t="n">
        <v>346</v>
      </c>
      <c r="E61" s="18" t="n">
        <v>28.5801984</v>
      </c>
      <c r="F61" s="20" t="n">
        <v>2.700023</v>
      </c>
      <c r="G61" s="18" t="n">
        <v>71.31592521</v>
      </c>
      <c r="H61" s="20" t="n">
        <v>2.71438976</v>
      </c>
      <c r="I61" s="18" t="s">
        <v>567</v>
      </c>
      <c r="J61" s="20" t="s">
        <v>567</v>
      </c>
      <c r="K61" s="18" t="n">
        <v>0.10387639</v>
      </c>
      <c r="L61" s="20" t="n">
        <v>0.09931863</v>
      </c>
      <c r="M61" s="18" t="n">
        <v>0</v>
      </c>
      <c r="N61" s="20" t="n">
        <v>0</v>
      </c>
      <c r="O61" s="18" t="n">
        <v>0</v>
      </c>
      <c r="P61" s="20" t="n">
        <v>0</v>
      </c>
      <c r="Q61" s="18" t="n">
        <v>0</v>
      </c>
      <c r="R61" s="20" t="n">
        <v>0</v>
      </c>
    </row>
    <row r="62" spans="1:18">
      <c r="A62" s="15" t="s">
        <v>622</v>
      </c>
      <c r="B62" s="17" t="n">
        <v>2246</v>
      </c>
      <c r="C62" s="18">
        <f>(1990.0/B62*100)</f>
        <v/>
      </c>
      <c r="D62" s="19" t="n">
        <v>256</v>
      </c>
      <c r="E62" s="18" t="n">
        <v>19.93218124</v>
      </c>
      <c r="F62" s="20" t="n">
        <v>2.5234497</v>
      </c>
      <c r="G62" s="18" t="n">
        <v>80.06781875999999</v>
      </c>
      <c r="H62" s="20" t="n">
        <v>2.5234497</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(2582.0/B66*100)</f>
        <v/>
      </c>
      <c r="D66" s="19" t="n">
        <v>312</v>
      </c>
      <c r="E66" s="18" t="n">
        <v>44.17501977</v>
      </c>
      <c r="F66" s="20" t="n">
        <v>2.8913084</v>
      </c>
      <c r="G66" s="18" t="n">
        <v>54.4484101</v>
      </c>
      <c r="H66" s="20" t="n">
        <v>2.98158711</v>
      </c>
      <c r="I66" s="18" t="s">
        <v>567</v>
      </c>
      <c r="J66" s="20" t="s">
        <v>567</v>
      </c>
      <c r="K66" s="18" t="n">
        <v>0.32709295</v>
      </c>
      <c r="L66" s="20" t="n">
        <v>0.32569323</v>
      </c>
      <c r="M66" s="18" t="n">
        <v>0</v>
      </c>
      <c r="N66" s="20" t="n">
        <v>0</v>
      </c>
      <c r="O66" s="18" t="n">
        <v>0</v>
      </c>
      <c r="P66" s="20" t="n">
        <v>0</v>
      </c>
      <c r="Q66" s="18" t="n">
        <v>1.04947718</v>
      </c>
      <c r="R66" s="20" t="n">
        <v>0.61392957</v>
      </c>
    </row>
    <row r="67" spans="1:18">
      <c r="A67" s="15" t="s">
        <v>627</v>
      </c>
      <c r="B67" s="17" t="n">
        <v>3511</v>
      </c>
      <c r="C67" s="18">
        <f>(3162.0/B67*100)</f>
        <v/>
      </c>
      <c r="D67" s="19" t="n">
        <v>349</v>
      </c>
      <c r="E67" s="18" t="n">
        <v>50.63116342</v>
      </c>
      <c r="F67" s="20" t="n">
        <v>2.62226323</v>
      </c>
      <c r="G67" s="18" t="n">
        <v>48.89580602</v>
      </c>
      <c r="H67" s="20" t="n">
        <v>2.58960438</v>
      </c>
      <c r="I67" s="18" t="s">
        <v>567</v>
      </c>
      <c r="J67" s="20" t="s">
        <v>567</v>
      </c>
      <c r="K67" s="18" t="n">
        <v>0</v>
      </c>
      <c r="L67" s="20" t="n">
        <v>0</v>
      </c>
      <c r="M67" s="18" t="n">
        <v>0</v>
      </c>
      <c r="N67" s="20" t="n">
        <v>0</v>
      </c>
      <c r="O67" s="18" t="n">
        <v>0</v>
      </c>
      <c r="P67" s="20" t="n">
        <v>0</v>
      </c>
      <c r="Q67" s="18" t="n">
        <v>0.47303056</v>
      </c>
      <c r="R67" s="20" t="n">
        <v>0.33540766</v>
      </c>
    </row>
    <row r="68" spans="1:18">
      <c r="A68" s="15" t="s">
        <v>628</v>
      </c>
      <c r="B68" s="17" t="n">
        <v>6049</v>
      </c>
      <c r="C68" s="18">
        <f>(5393.0/B68*100)</f>
        <v/>
      </c>
      <c r="D68" s="19" t="n">
        <v>656</v>
      </c>
      <c r="E68" s="18" t="n">
        <v>39.28382005</v>
      </c>
      <c r="F68" s="20" t="n">
        <v>2.05758347</v>
      </c>
      <c r="G68" s="18" t="n">
        <v>58.47731802</v>
      </c>
      <c r="H68" s="20" t="n">
        <v>2.18368966</v>
      </c>
      <c r="I68" s="18" t="s">
        <v>567</v>
      </c>
      <c r="J68" s="20" t="s">
        <v>567</v>
      </c>
      <c r="K68" s="18" t="n">
        <v>1.50765109</v>
      </c>
      <c r="L68" s="20" t="n">
        <v>0.515931</v>
      </c>
      <c r="M68" s="18" t="n">
        <v>0</v>
      </c>
      <c r="N68" s="20" t="n">
        <v>0</v>
      </c>
      <c r="O68" s="18" t="n">
        <v>0</v>
      </c>
      <c r="P68" s="20" t="n">
        <v>0</v>
      </c>
      <c r="Q68" s="18" t="n">
        <v>0.73121084</v>
      </c>
      <c r="R68" s="20" t="n">
        <v>0.30718992</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(2616.0/B70*100)</f>
        <v/>
      </c>
      <c r="D70" s="19" t="n">
        <v>313</v>
      </c>
      <c r="E70" s="18" t="n">
        <v>26.92348389</v>
      </c>
      <c r="F70" s="20" t="n">
        <v>3.97700565</v>
      </c>
      <c r="G70" s="18" t="n">
        <v>72.7845682</v>
      </c>
      <c r="H70" s="20" t="n">
        <v>3.91499349</v>
      </c>
      <c r="I70" s="18" t="s">
        <v>567</v>
      </c>
      <c r="J70" s="20" t="s">
        <v>567</v>
      </c>
      <c r="K70" s="18" t="n">
        <v>0</v>
      </c>
      <c r="L70" s="20" t="n">
        <v>0</v>
      </c>
      <c r="M70" s="18" t="n">
        <v>0</v>
      </c>
      <c r="N70" s="20" t="n">
        <v>0</v>
      </c>
      <c r="O70" s="18" t="n">
        <v>0</v>
      </c>
      <c r="P70" s="20" t="n">
        <v>0</v>
      </c>
      <c r="Q70" s="18" t="n">
        <v>0.29194791</v>
      </c>
      <c r="R70" s="20" t="n">
        <v>0.20168685</v>
      </c>
    </row>
    <row r="71" spans="1:18">
      <c r="A71" s="15" t="s">
        <v>631</v>
      </c>
      <c r="B71" s="17" t="n">
        <v>3142</v>
      </c>
      <c r="C71" s="18">
        <f>(2748.0/B71*100)</f>
        <v/>
      </c>
      <c r="D71" s="19" t="n">
        <v>394</v>
      </c>
      <c r="E71" s="18" t="n">
        <v>27.39293194</v>
      </c>
      <c r="F71" s="20" t="n">
        <v>2.4474877</v>
      </c>
      <c r="G71" s="18" t="n">
        <v>72.28336877</v>
      </c>
      <c r="H71" s="20" t="n">
        <v>2.45469707</v>
      </c>
      <c r="I71" s="18" t="s">
        <v>567</v>
      </c>
      <c r="J71" s="20" t="s">
        <v>567</v>
      </c>
      <c r="K71" s="18" t="n">
        <v>0</v>
      </c>
      <c r="L71" s="20" t="n">
        <v>0</v>
      </c>
      <c r="M71" s="18" t="n">
        <v>0</v>
      </c>
      <c r="N71" s="20" t="n">
        <v>0</v>
      </c>
      <c r="O71" s="18" t="n">
        <v>0</v>
      </c>
      <c r="P71" s="20" t="n">
        <v>0</v>
      </c>
      <c r="Q71" s="18" t="n">
        <v>0.32369929</v>
      </c>
      <c r="R71" s="20" t="n">
        <v>0.32279486</v>
      </c>
    </row>
    <row r="72" spans="1:18">
      <c r="A72" s="15" t="s">
        <v>632</v>
      </c>
      <c r="B72" s="17" t="n">
        <v>3889</v>
      </c>
      <c r="C72" s="18">
        <f>(3470.0/B72*100)</f>
        <v/>
      </c>
      <c r="D72" s="19" t="n">
        <v>419</v>
      </c>
      <c r="E72" s="18" t="n">
        <v>15.7161199</v>
      </c>
      <c r="F72" s="20" t="n">
        <v>1.87340378</v>
      </c>
      <c r="G72" s="18" t="n">
        <v>83.90865417000001</v>
      </c>
      <c r="H72" s="20" t="n">
        <v>1.86006544</v>
      </c>
      <c r="I72" s="18" t="s">
        <v>567</v>
      </c>
      <c r="J72" s="20" t="s">
        <v>567</v>
      </c>
      <c r="K72" s="18" t="n">
        <v>0.19606377</v>
      </c>
      <c r="L72" s="20" t="n">
        <v>0.19668736</v>
      </c>
      <c r="M72" s="18" t="n">
        <v>0</v>
      </c>
      <c r="N72" s="20" t="n">
        <v>0</v>
      </c>
      <c r="O72" s="18" t="n">
        <v>0</v>
      </c>
      <c r="P72" s="20" t="n">
        <v>0</v>
      </c>
      <c r="Q72" s="18" t="n">
        <v>0.17916216</v>
      </c>
      <c r="R72" s="20" t="n">
        <v>0.17690125</v>
      </c>
    </row>
    <row r="73" spans="1:18">
      <c r="A73" s="15" t="s">
        <v>633</v>
      </c>
      <c r="B73" s="17" t="n">
        <v>3597</v>
      </c>
      <c r="C73" s="18">
        <f>(3217.0/B73*100)</f>
        <v/>
      </c>
      <c r="D73" s="19" t="n">
        <v>380</v>
      </c>
      <c r="E73" s="18" t="n">
        <v>58.84360412</v>
      </c>
      <c r="F73" s="20" t="n">
        <v>3.48824594</v>
      </c>
      <c r="G73" s="18" t="n">
        <v>41.15639588</v>
      </c>
      <c r="H73" s="20" t="n">
        <v>3.48824594</v>
      </c>
      <c r="I73" s="18" t="s">
        <v>567</v>
      </c>
      <c r="J73" s="20" t="s">
        <v>567</v>
      </c>
      <c r="K73" s="18" t="n">
        <v>0</v>
      </c>
      <c r="L73" s="20" t="n">
        <v>0</v>
      </c>
      <c r="M73" s="18" t="n">
        <v>0</v>
      </c>
      <c r="N73" s="20" t="n">
        <v>0</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(2164.0/B75*100)</f>
        <v/>
      </c>
      <c r="D75" s="19" t="n">
        <v>242</v>
      </c>
      <c r="E75" s="18" t="n">
        <v>28.21499003</v>
      </c>
      <c r="F75" s="20" t="n">
        <v>3.30638096</v>
      </c>
      <c r="G75" s="18" t="n">
        <v>69.69652666</v>
      </c>
      <c r="H75" s="20" t="n">
        <v>3.27593674</v>
      </c>
      <c r="I75" s="18" t="s">
        <v>567</v>
      </c>
      <c r="J75" s="20" t="s">
        <v>567</v>
      </c>
      <c r="K75" s="18" t="n">
        <v>1.14729946</v>
      </c>
      <c r="L75" s="20" t="n">
        <v>0.73836466</v>
      </c>
      <c r="M75" s="18" t="n">
        <v>0</v>
      </c>
      <c r="N75" s="20" t="n">
        <v>0</v>
      </c>
      <c r="O75" s="18" t="n">
        <v>0</v>
      </c>
      <c r="P75" s="20" t="n">
        <v>0</v>
      </c>
      <c r="Q75" s="18" t="n">
        <v>0.94118385</v>
      </c>
      <c r="R75" s="20" t="n">
        <v>0.69016124</v>
      </c>
    </row>
    <row r="76" spans="1:18">
      <c r="A76" s="15" t="s">
        <v>636</v>
      </c>
      <c r="B76" s="17" t="n">
        <v>7052</v>
      </c>
      <c r="C76" s="18">
        <f>(6261.0/B76*100)</f>
        <v/>
      </c>
      <c r="D76" s="19" t="n">
        <v>791</v>
      </c>
      <c r="E76" s="18" t="n">
        <v>41.12270389</v>
      </c>
      <c r="F76" s="20" t="n">
        <v>2.45008955</v>
      </c>
      <c r="G76" s="18" t="n">
        <v>57.41090681</v>
      </c>
      <c r="H76" s="20" t="n">
        <v>2.52161175</v>
      </c>
      <c r="I76" s="18" t="s">
        <v>567</v>
      </c>
      <c r="J76" s="20" t="s">
        <v>567</v>
      </c>
      <c r="K76" s="18" t="n">
        <v>0.45913268</v>
      </c>
      <c r="L76" s="20" t="n">
        <v>0.24512179</v>
      </c>
      <c r="M76" s="18" t="n">
        <v>0</v>
      </c>
      <c r="N76" s="20" t="n">
        <v>0</v>
      </c>
      <c r="O76" s="18" t="n">
        <v>0</v>
      </c>
      <c r="P76" s="20" t="n">
        <v>0</v>
      </c>
      <c r="Q76" s="18" t="n">
        <v>1.00725661</v>
      </c>
      <c r="R76" s="20" t="n">
        <v>0.39720936</v>
      </c>
    </row>
    <row r="77" spans="1:18">
      <c r="A77" s="15" t="s">
        <v>637</v>
      </c>
      <c r="B77" s="17" t="n">
        <v>2908</v>
      </c>
      <c r="C77" s="18">
        <f>(2614.0/B77*100)</f>
        <v/>
      </c>
      <c r="D77" s="19" t="n">
        <v>294</v>
      </c>
      <c r="E77" s="18" t="n">
        <v>47.88572725</v>
      </c>
      <c r="F77" s="20" t="n">
        <v>2.87216037</v>
      </c>
      <c r="G77" s="18" t="n">
        <v>50.41301829</v>
      </c>
      <c r="H77" s="20" t="n">
        <v>2.81018446</v>
      </c>
      <c r="I77" s="18" t="s">
        <v>567</v>
      </c>
      <c r="J77" s="20" t="s">
        <v>567</v>
      </c>
      <c r="K77" s="18" t="n">
        <v>1.70125446</v>
      </c>
      <c r="L77" s="20" t="n">
        <v>0.74839828</v>
      </c>
      <c r="M77" s="18" t="n">
        <v>0</v>
      </c>
      <c r="N77" s="20" t="n">
        <v>0</v>
      </c>
      <c r="O77" s="18" t="n">
        <v>0</v>
      </c>
      <c r="P77" s="20" t="n">
        <v>0</v>
      </c>
      <c r="Q77" s="18" t="n">
        <v>0</v>
      </c>
      <c r="R77" s="20" t="n">
        <v>0</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(3727.0/B81*100)</f>
        <v/>
      </c>
      <c r="D81" s="19" t="n">
        <v>436</v>
      </c>
      <c r="E81" s="18" t="n">
        <v>46.04999149</v>
      </c>
      <c r="F81" s="20" t="n">
        <v>2.63275757</v>
      </c>
      <c r="G81" s="18" t="n">
        <v>53.95000851</v>
      </c>
      <c r="H81" s="20" t="n">
        <v>2.63275757</v>
      </c>
      <c r="I81" s="18" t="s">
        <v>567</v>
      </c>
      <c r="J81" s="20" t="s">
        <v>567</v>
      </c>
      <c r="K81" s="18" t="n">
        <v>0</v>
      </c>
      <c r="L81" s="20" t="n">
        <v>0</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(6569.0/B7*100)</f>
        <v/>
      </c>
      <c r="D7" s="19" t="n">
        <v>798</v>
      </c>
      <c r="E7" s="18" t="n">
        <v>45.46978724</v>
      </c>
      <c r="F7" s="20" t="n">
        <v>1.80763211</v>
      </c>
      <c r="G7" s="18" t="n">
        <v>52.56143975</v>
      </c>
      <c r="H7" s="20" t="n">
        <v>2.00732779</v>
      </c>
      <c r="I7" s="18" t="s">
        <v>567</v>
      </c>
      <c r="J7" s="20" t="s">
        <v>567</v>
      </c>
      <c r="K7" s="18" t="n">
        <v>0.25695479</v>
      </c>
      <c r="L7" s="20" t="n">
        <v>0.19042926</v>
      </c>
      <c r="M7" s="18" t="n">
        <v>0</v>
      </c>
      <c r="N7" s="20" t="n">
        <v>0</v>
      </c>
      <c r="O7" s="18" t="n">
        <v>0</v>
      </c>
      <c r="P7" s="20" t="n">
        <v>0</v>
      </c>
      <c r="Q7" s="18" t="n">
        <v>1.71181822</v>
      </c>
      <c r="R7" s="20" t="n">
        <v>0.60998797</v>
      </c>
    </row>
    <row r="8" spans="1:18">
      <c r="A8" s="15" t="s">
        <v>568</v>
      </c>
      <c r="B8" s="17" t="n">
        <v>3564</v>
      </c>
      <c r="C8" s="18">
        <f>(3170.0/B8*100)</f>
        <v/>
      </c>
      <c r="D8" s="19" t="n">
        <v>394</v>
      </c>
      <c r="E8" s="18" t="n">
        <v>41.2119734</v>
      </c>
      <c r="F8" s="20" t="n">
        <v>2.59389944</v>
      </c>
      <c r="G8" s="18" t="n">
        <v>58.7880266</v>
      </c>
      <c r="H8" s="20" t="n">
        <v>2.59389944</v>
      </c>
      <c r="I8" s="18" t="s">
        <v>567</v>
      </c>
      <c r="J8" s="20" t="s">
        <v>567</v>
      </c>
      <c r="K8" s="18" t="n">
        <v>0</v>
      </c>
      <c r="L8" s="20" t="n">
        <v>0</v>
      </c>
      <c r="M8" s="18" t="n">
        <v>0</v>
      </c>
      <c r="N8" s="20" t="n">
        <v>0</v>
      </c>
      <c r="O8" s="18" t="n">
        <v>0</v>
      </c>
      <c r="P8" s="20" t="n">
        <v>0</v>
      </c>
      <c r="Q8" s="18" t="n">
        <v>0</v>
      </c>
      <c r="R8" s="20" t="n">
        <v>0</v>
      </c>
    </row>
    <row r="9" spans="1:18">
      <c r="A9" s="15" t="s">
        <v>569</v>
      </c>
      <c r="B9" s="17" t="n">
        <v>4899</v>
      </c>
      <c r="C9" s="18">
        <f>(4394.0/B9*100)</f>
        <v/>
      </c>
      <c r="D9" s="19" t="n">
        <v>505</v>
      </c>
      <c r="E9" s="18" t="n">
        <v>55.67355575</v>
      </c>
      <c r="F9" s="20" t="n">
        <v>2.01587394</v>
      </c>
      <c r="G9" s="18" t="n">
        <v>43.36891997</v>
      </c>
      <c r="H9" s="20" t="n">
        <v>1.99258946</v>
      </c>
      <c r="I9" s="18" t="s">
        <v>567</v>
      </c>
      <c r="J9" s="20" t="s">
        <v>567</v>
      </c>
      <c r="K9" s="18" t="n">
        <v>0.29853219</v>
      </c>
      <c r="L9" s="20" t="n">
        <v>0.27838351</v>
      </c>
      <c r="M9" s="18" t="n">
        <v>0</v>
      </c>
      <c r="N9" s="20" t="n">
        <v>0</v>
      </c>
      <c r="O9" s="18" t="n">
        <v>0</v>
      </c>
      <c r="P9" s="20" t="n">
        <v>0</v>
      </c>
      <c r="Q9" s="18" t="n">
        <v>0.65899209</v>
      </c>
      <c r="R9" s="20" t="n">
        <v>0.19226926</v>
      </c>
    </row>
    <row r="10" spans="1:18">
      <c r="A10" s="15" t="s">
        <v>570</v>
      </c>
      <c r="B10" s="17" t="n">
        <v>10036</v>
      </c>
      <c r="C10" s="18">
        <f>(8905.0/B10*100)</f>
        <v/>
      </c>
      <c r="D10" s="19" t="n">
        <v>1131</v>
      </c>
      <c r="E10" s="18" t="n">
        <v>51.93618752</v>
      </c>
      <c r="F10" s="20" t="n">
        <v>1.67142971</v>
      </c>
      <c r="G10" s="18" t="n">
        <v>47.98344327</v>
      </c>
      <c r="H10" s="20" t="n">
        <v>1.67008643</v>
      </c>
      <c r="I10" s="18" t="s">
        <v>567</v>
      </c>
      <c r="J10" s="20" t="s">
        <v>567</v>
      </c>
      <c r="K10" s="18" t="n">
        <v>0.04043943</v>
      </c>
      <c r="L10" s="20" t="n">
        <v>0.03116306</v>
      </c>
      <c r="M10" s="18" t="n">
        <v>0</v>
      </c>
      <c r="N10" s="20" t="n">
        <v>0</v>
      </c>
      <c r="O10" s="18" t="n">
        <v>0</v>
      </c>
      <c r="P10" s="20" t="n">
        <v>0</v>
      </c>
      <c r="Q10" s="18" t="n">
        <v>0.03992978</v>
      </c>
      <c r="R10" s="20" t="n">
        <v>0.02827837</v>
      </c>
    </row>
    <row r="11" spans="1:18">
      <c r="A11" s="15" t="s">
        <v>571</v>
      </c>
      <c r="B11" s="17" t="n">
        <v>3553</v>
      </c>
      <c r="C11" s="18">
        <f>(3165.0/B11*100)</f>
        <v/>
      </c>
      <c r="D11" s="19" t="n">
        <v>388</v>
      </c>
      <c r="E11" s="18" t="n">
        <v>43.72806967</v>
      </c>
      <c r="F11" s="20" t="n">
        <v>2.77652891</v>
      </c>
      <c r="G11" s="18" t="n">
        <v>54.55668801</v>
      </c>
      <c r="H11" s="20" t="n">
        <v>2.7883675</v>
      </c>
      <c r="I11" s="18" t="s">
        <v>567</v>
      </c>
      <c r="J11" s="20" t="s">
        <v>567</v>
      </c>
      <c r="K11" s="18" t="n">
        <v>1.0907042</v>
      </c>
      <c r="L11" s="20" t="n">
        <v>0.59149204</v>
      </c>
      <c r="M11" s="18" t="n">
        <v>0</v>
      </c>
      <c r="N11" s="20" t="n">
        <v>0</v>
      </c>
      <c r="O11" s="18" t="n">
        <v>0</v>
      </c>
      <c r="P11" s="20" t="n">
        <v>0</v>
      </c>
      <c r="Q11" s="18" t="n">
        <v>0.62453812</v>
      </c>
      <c r="R11" s="20" t="n">
        <v>0.36063486</v>
      </c>
    </row>
    <row r="12" spans="1:18">
      <c r="A12" s="15" t="s">
        <v>572</v>
      </c>
      <c r="B12" s="17" t="n">
        <v>3472</v>
      </c>
      <c r="C12" s="18">
        <f>(3083.0/B12*100)</f>
        <v/>
      </c>
      <c r="D12" s="19" t="n">
        <v>389</v>
      </c>
      <c r="E12" s="18" t="n">
        <v>36.56320994</v>
      </c>
      <c r="F12" s="20" t="n">
        <v>3.10676993</v>
      </c>
      <c r="G12" s="18" t="n">
        <v>63.1948984</v>
      </c>
      <c r="H12" s="20" t="n">
        <v>3.07948695</v>
      </c>
      <c r="I12" s="18" t="s">
        <v>567</v>
      </c>
      <c r="J12" s="20" t="s">
        <v>567</v>
      </c>
      <c r="K12" s="18" t="n">
        <v>0</v>
      </c>
      <c r="L12" s="20" t="n">
        <v>0</v>
      </c>
      <c r="M12" s="18" t="n">
        <v>0</v>
      </c>
      <c r="N12" s="20" t="n">
        <v>0</v>
      </c>
      <c r="O12" s="18" t="n">
        <v>0</v>
      </c>
      <c r="P12" s="20" t="n">
        <v>0</v>
      </c>
      <c r="Q12" s="18" t="n">
        <v>0.24189166</v>
      </c>
      <c r="R12" s="20" t="n">
        <v>0.35123965</v>
      </c>
    </row>
    <row r="13" spans="1:18">
      <c r="A13" s="15" t="s">
        <v>573</v>
      </c>
      <c r="B13" s="17" t="n">
        <v>3559</v>
      </c>
      <c r="C13" s="18">
        <f>(3205.0/B13*100)</f>
        <v/>
      </c>
      <c r="D13" s="19" t="n">
        <v>354</v>
      </c>
      <c r="E13" s="18" t="n">
        <v>46.93111839</v>
      </c>
      <c r="F13" s="20" t="n">
        <v>3.24705785</v>
      </c>
      <c r="G13" s="18" t="n">
        <v>52.72618068</v>
      </c>
      <c r="H13" s="20" t="n">
        <v>3.24720046</v>
      </c>
      <c r="I13" s="18" t="s">
        <v>567</v>
      </c>
      <c r="J13" s="20" t="s">
        <v>567</v>
      </c>
      <c r="K13" s="18" t="n">
        <v>0.34270092</v>
      </c>
      <c r="L13" s="20" t="n">
        <v>0.359632</v>
      </c>
      <c r="M13" s="18" t="n">
        <v>0</v>
      </c>
      <c r="N13" s="20" t="n">
        <v>0</v>
      </c>
      <c r="O13" s="18" t="n">
        <v>0</v>
      </c>
      <c r="P13" s="20" t="n">
        <v>0</v>
      </c>
      <c r="Q13" s="18" t="n">
        <v>0</v>
      </c>
      <c r="R13" s="20" t="n">
        <v>0</v>
      </c>
    </row>
    <row r="14" spans="1:18">
      <c r="A14" s="15" t="s">
        <v>574</v>
      </c>
      <c r="B14" s="17" t="n">
        <v>2799</v>
      </c>
      <c r="C14" s="18">
        <f>(2469.0/B14*100)</f>
        <v/>
      </c>
      <c r="D14" s="19" t="n">
        <v>330</v>
      </c>
      <c r="E14" s="18" t="n">
        <v>47.27193923</v>
      </c>
      <c r="F14" s="20" t="n">
        <v>2.69043496</v>
      </c>
      <c r="G14" s="18" t="n">
        <v>52.72806077</v>
      </c>
      <c r="H14" s="20" t="n">
        <v>2.69043496</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(2700.0/B15*100)</f>
        <v/>
      </c>
      <c r="D15" s="19" t="n">
        <v>319</v>
      </c>
      <c r="E15" s="18" t="n">
        <v>35.17308249</v>
      </c>
      <c r="F15" s="20" t="n">
        <v>3.32764477</v>
      </c>
      <c r="G15" s="18" t="n">
        <v>64.41970168</v>
      </c>
      <c r="H15" s="20" t="n">
        <v>3.37601443</v>
      </c>
      <c r="I15" s="18" t="s">
        <v>567</v>
      </c>
      <c r="J15" s="20" t="s">
        <v>567</v>
      </c>
      <c r="K15" s="18" t="n">
        <v>0.13123724</v>
      </c>
      <c r="L15" s="20" t="n">
        <v>0.13096372</v>
      </c>
      <c r="M15" s="18" t="n">
        <v>0</v>
      </c>
      <c r="N15" s="20" t="n">
        <v>0</v>
      </c>
      <c r="O15" s="18" t="n">
        <v>0</v>
      </c>
      <c r="P15" s="20" t="n">
        <v>0</v>
      </c>
      <c r="Q15" s="18" t="n">
        <v>0.27597858</v>
      </c>
      <c r="R15" s="20" t="n">
        <v>0.28176095</v>
      </c>
    </row>
    <row r="16" spans="1:18">
      <c r="A16" s="15" t="s">
        <v>576</v>
      </c>
      <c r="B16" s="17" t="n">
        <v>2997</v>
      </c>
      <c r="C16" s="18">
        <f>(2642.0/B16*100)</f>
        <v/>
      </c>
      <c r="D16" s="19" t="n">
        <v>355</v>
      </c>
      <c r="E16" s="18" t="n">
        <v>43.97431498</v>
      </c>
      <c r="F16" s="20" t="n">
        <v>2.58182148</v>
      </c>
      <c r="G16" s="18" t="n">
        <v>54.460711</v>
      </c>
      <c r="H16" s="20" t="n">
        <v>2.4552873</v>
      </c>
      <c r="I16" s="18" t="s">
        <v>567</v>
      </c>
      <c r="J16" s="20" t="s">
        <v>567</v>
      </c>
      <c r="K16" s="18" t="n">
        <v>0.28354006</v>
      </c>
      <c r="L16" s="20" t="n">
        <v>0.30482526</v>
      </c>
      <c r="M16" s="18" t="n">
        <v>0</v>
      </c>
      <c r="N16" s="20" t="n">
        <v>0</v>
      </c>
      <c r="O16" s="18" t="n">
        <v>0</v>
      </c>
      <c r="P16" s="20" t="n">
        <v>0</v>
      </c>
      <c r="Q16" s="18" t="n">
        <v>1.28143396</v>
      </c>
      <c r="R16" s="20" t="n">
        <v>0.59211708</v>
      </c>
    </row>
    <row r="17" spans="1:18">
      <c r="A17" s="15" t="s">
        <v>577</v>
      </c>
      <c r="B17" s="17" t="n">
        <v>3307</v>
      </c>
      <c r="C17" s="18">
        <f>(2975.0/B17*100)</f>
        <v/>
      </c>
      <c r="D17" s="19" t="n">
        <v>332</v>
      </c>
      <c r="E17" s="18" t="n">
        <v>49.18668421</v>
      </c>
      <c r="F17" s="20" t="n">
        <v>2.5692648</v>
      </c>
      <c r="G17" s="18" t="n">
        <v>49.68065173</v>
      </c>
      <c r="H17" s="20" t="n">
        <v>2.57181867</v>
      </c>
      <c r="I17" s="18" t="s">
        <v>567</v>
      </c>
      <c r="J17" s="20" t="s">
        <v>567</v>
      </c>
      <c r="K17" s="18" t="n">
        <v>0.85277534</v>
      </c>
      <c r="L17" s="20" t="n">
        <v>0.42705773</v>
      </c>
      <c r="M17" s="18" t="n">
        <v>0</v>
      </c>
      <c r="N17" s="20" t="n">
        <v>0</v>
      </c>
      <c r="O17" s="18" t="n">
        <v>0</v>
      </c>
      <c r="P17" s="20" t="n">
        <v>0</v>
      </c>
      <c r="Q17" s="18" t="n">
        <v>0.27988873</v>
      </c>
      <c r="R17" s="20" t="n">
        <v>0.29994551</v>
      </c>
    </row>
    <row r="18" spans="1:18">
      <c r="A18" s="15" t="s">
        <v>578</v>
      </c>
      <c r="B18" s="17" t="n">
        <v>2826</v>
      </c>
      <c r="C18" s="18">
        <f>(2502.0/B18*100)</f>
        <v/>
      </c>
      <c r="D18" s="19" t="n">
        <v>324</v>
      </c>
      <c r="E18" s="18" t="n">
        <v>46.80629717</v>
      </c>
      <c r="F18" s="20" t="n">
        <v>3.07741867</v>
      </c>
      <c r="G18" s="18" t="n">
        <v>52.01969524</v>
      </c>
      <c r="H18" s="20" t="n">
        <v>3.0233856</v>
      </c>
      <c r="I18" s="18" t="s">
        <v>567</v>
      </c>
      <c r="J18" s="20" t="s">
        <v>567</v>
      </c>
      <c r="K18" s="18" t="n">
        <v>0.25243143</v>
      </c>
      <c r="L18" s="20" t="n">
        <v>0.25403202</v>
      </c>
      <c r="M18" s="18" t="n">
        <v>0</v>
      </c>
      <c r="N18" s="20" t="n">
        <v>0</v>
      </c>
      <c r="O18" s="18" t="n">
        <v>0</v>
      </c>
      <c r="P18" s="20" t="n">
        <v>0</v>
      </c>
      <c r="Q18" s="18" t="n">
        <v>0.92157615</v>
      </c>
      <c r="R18" s="20" t="n">
        <v>0.6913851</v>
      </c>
    </row>
    <row r="19" spans="1:18">
      <c r="A19" s="15" t="s">
        <v>579</v>
      </c>
      <c r="B19" s="17" t="n">
        <v>2808</v>
      </c>
      <c r="C19" s="18">
        <f>(2506.0/B19*100)</f>
        <v/>
      </c>
      <c r="D19" s="19" t="n">
        <v>302</v>
      </c>
      <c r="E19" s="18" t="n">
        <v>41.01073247</v>
      </c>
      <c r="F19" s="20" t="n">
        <v>3.11206061</v>
      </c>
      <c r="G19" s="18" t="n">
        <v>57.84484278</v>
      </c>
      <c r="H19" s="20" t="n">
        <v>3.07119614</v>
      </c>
      <c r="I19" s="18" t="s">
        <v>567</v>
      </c>
      <c r="J19" s="20" t="s">
        <v>567</v>
      </c>
      <c r="K19" s="18" t="n">
        <v>0</v>
      </c>
      <c r="L19" s="20" t="n">
        <v>0</v>
      </c>
      <c r="M19" s="18" t="n">
        <v>0</v>
      </c>
      <c r="N19" s="20" t="n">
        <v>0</v>
      </c>
      <c r="O19" s="18" t="n">
        <v>0</v>
      </c>
      <c r="P19" s="20" t="n">
        <v>0</v>
      </c>
      <c r="Q19" s="18" t="n">
        <v>1.14442475</v>
      </c>
      <c r="R19" s="20" t="n">
        <v>0.51963233</v>
      </c>
    </row>
    <row r="20" spans="1:18">
      <c r="A20" s="15" t="s">
        <v>580</v>
      </c>
      <c r="B20" s="17" t="n">
        <v>1630</v>
      </c>
      <c r="C20" s="18">
        <f>(1450.0/B20*100)</f>
        <v/>
      </c>
      <c r="D20" s="19" t="n">
        <v>180</v>
      </c>
      <c r="E20" s="18" t="n">
        <v>54.94316812</v>
      </c>
      <c r="F20" s="20" t="n">
        <v>3.97713012</v>
      </c>
      <c r="G20" s="18" t="n">
        <v>43.39614199</v>
      </c>
      <c r="H20" s="20" t="n">
        <v>4.00320805</v>
      </c>
      <c r="I20" s="18" t="s">
        <v>567</v>
      </c>
      <c r="J20" s="20" t="s">
        <v>567</v>
      </c>
      <c r="K20" s="18" t="n">
        <v>1.66068989</v>
      </c>
      <c r="L20" s="20" t="n">
        <v>0.96484635</v>
      </c>
      <c r="M20" s="18" t="n">
        <v>0</v>
      </c>
      <c r="N20" s="20" t="n">
        <v>0</v>
      </c>
      <c r="O20" s="18" t="n">
        <v>0</v>
      </c>
      <c r="P20" s="20" t="n">
        <v>0</v>
      </c>
      <c r="Q20" s="18" t="n">
        <v>0</v>
      </c>
      <c r="R20" s="20" t="n">
        <v>0</v>
      </c>
    </row>
    <row r="21" spans="1:18">
      <c r="A21" s="15" t="s">
        <v>581</v>
      </c>
      <c r="B21" s="17" t="n">
        <v>2908</v>
      </c>
      <c r="C21" s="18">
        <f>(2568.0/B21*100)</f>
        <v/>
      </c>
      <c r="D21" s="19" t="n">
        <v>340</v>
      </c>
      <c r="E21" s="18" t="n">
        <v>48.60403355</v>
      </c>
      <c r="F21" s="20" t="n">
        <v>2.71698755</v>
      </c>
      <c r="G21" s="18" t="n">
        <v>50.54360735</v>
      </c>
      <c r="H21" s="20" t="n">
        <v>2.72831462</v>
      </c>
      <c r="I21" s="18" t="s">
        <v>567</v>
      </c>
      <c r="J21" s="20" t="s">
        <v>567</v>
      </c>
      <c r="K21" s="18" t="n">
        <v>0</v>
      </c>
      <c r="L21" s="20" t="n">
        <v>0</v>
      </c>
      <c r="M21" s="18" t="n">
        <v>0</v>
      </c>
      <c r="N21" s="20" t="n">
        <v>0</v>
      </c>
      <c r="O21" s="18" t="n">
        <v>0</v>
      </c>
      <c r="P21" s="20" t="n">
        <v>0</v>
      </c>
      <c r="Q21" s="18" t="n">
        <v>0.8523591</v>
      </c>
      <c r="R21" s="20" t="n">
        <v>0.59591894</v>
      </c>
    </row>
    <row r="22" spans="1:18">
      <c r="A22" s="15" t="s">
        <v>582</v>
      </c>
      <c r="B22" s="17" t="n">
        <v>2931</v>
      </c>
      <c r="C22" s="18">
        <f>(2611.0/B22*100)</f>
        <v/>
      </c>
      <c r="D22" s="19" t="n">
        <v>320</v>
      </c>
      <c r="E22" s="18" t="n">
        <v>58.78300061</v>
      </c>
      <c r="F22" s="20" t="n">
        <v>3.01527145</v>
      </c>
      <c r="G22" s="18" t="n">
        <v>39.70189609</v>
      </c>
      <c r="H22" s="20" t="n">
        <v>2.93336025</v>
      </c>
      <c r="I22" s="18" t="s">
        <v>567</v>
      </c>
      <c r="J22" s="20" t="s">
        <v>567</v>
      </c>
      <c r="K22" s="18" t="n">
        <v>0.55220396</v>
      </c>
      <c r="L22" s="20" t="n">
        <v>0.53709442</v>
      </c>
      <c r="M22" s="18" t="n">
        <v>0</v>
      </c>
      <c r="N22" s="20" t="n">
        <v>0</v>
      </c>
      <c r="O22" s="18" t="n">
        <v>0</v>
      </c>
      <c r="P22" s="20" t="n">
        <v>0</v>
      </c>
      <c r="Q22" s="18" t="n">
        <v>0.96289934</v>
      </c>
      <c r="R22" s="20" t="n">
        <v>0.58764339</v>
      </c>
    </row>
    <row r="23" spans="1:18">
      <c r="A23" s="15" t="s">
        <v>583</v>
      </c>
      <c r="B23" s="17" t="n">
        <v>5791</v>
      </c>
      <c r="C23" s="18">
        <f>(5192.0/B23*100)</f>
        <v/>
      </c>
      <c r="D23" s="19" t="n">
        <v>599</v>
      </c>
      <c r="E23" s="18" t="n">
        <v>48.28650674</v>
      </c>
      <c r="F23" s="20" t="n">
        <v>3.12516313</v>
      </c>
      <c r="G23" s="18" t="n">
        <v>51.71349326</v>
      </c>
      <c r="H23" s="20" t="n">
        <v>3.12516313</v>
      </c>
      <c r="I23" s="18" t="s">
        <v>567</v>
      </c>
      <c r="J23" s="20" t="s">
        <v>567</v>
      </c>
      <c r="K23" s="18" t="n">
        <v>0</v>
      </c>
      <c r="L23" s="20" t="n">
        <v>0</v>
      </c>
      <c r="M23" s="18" t="n">
        <v>0</v>
      </c>
      <c r="N23" s="20" t="n">
        <v>0</v>
      </c>
      <c r="O23" s="18" t="n">
        <v>0</v>
      </c>
      <c r="P23" s="20" t="n">
        <v>0</v>
      </c>
      <c r="Q23" s="18" t="n">
        <v>0</v>
      </c>
      <c r="R23" s="20" t="n">
        <v>0</v>
      </c>
    </row>
    <row r="24" spans="1:18">
      <c r="A24" s="15" t="s">
        <v>584</v>
      </c>
      <c r="B24" s="17" t="n">
        <v>3338</v>
      </c>
      <c r="C24" s="18">
        <f>(2957.0/B24*100)</f>
        <v/>
      </c>
      <c r="D24" s="19" t="n">
        <v>381</v>
      </c>
      <c r="E24" s="18" t="n">
        <v>51.90003297</v>
      </c>
      <c r="F24" s="20" t="n">
        <v>2.60256885</v>
      </c>
      <c r="G24" s="18" t="n">
        <v>48.09996703</v>
      </c>
      <c r="H24" s="20" t="n">
        <v>2.60256885</v>
      </c>
      <c r="I24" s="18" t="s">
        <v>567</v>
      </c>
      <c r="J24" s="20" t="s">
        <v>567</v>
      </c>
      <c r="K24" s="18" t="n">
        <v>0</v>
      </c>
      <c r="L24" s="20" t="n">
        <v>0</v>
      </c>
      <c r="M24" s="18" t="n">
        <v>0</v>
      </c>
      <c r="N24" s="20" t="n">
        <v>0</v>
      </c>
      <c r="O24" s="18" t="n">
        <v>0</v>
      </c>
      <c r="P24" s="20" t="n">
        <v>0</v>
      </c>
      <c r="Q24" s="18" t="n">
        <v>0</v>
      </c>
      <c r="R24" s="20" t="n">
        <v>0</v>
      </c>
    </row>
    <row r="25" spans="1:18">
      <c r="A25" s="15" t="s">
        <v>585</v>
      </c>
      <c r="B25" s="17" t="n">
        <v>2912</v>
      </c>
      <c r="C25" s="18">
        <f>(2603.0/B25*100)</f>
        <v/>
      </c>
      <c r="D25" s="19" t="n">
        <v>309</v>
      </c>
      <c r="E25" s="18" t="n">
        <v>49.07285167</v>
      </c>
      <c r="F25" s="20" t="n">
        <v>3.20232821</v>
      </c>
      <c r="G25" s="18" t="n">
        <v>50.44082163</v>
      </c>
      <c r="H25" s="20" t="n">
        <v>3.19069601</v>
      </c>
      <c r="I25" s="18" t="s">
        <v>567</v>
      </c>
      <c r="J25" s="20" t="s">
        <v>567</v>
      </c>
      <c r="K25" s="18" t="n">
        <v>0.28539126</v>
      </c>
      <c r="L25" s="20" t="n">
        <v>0.28951968</v>
      </c>
      <c r="M25" s="18" t="n">
        <v>0</v>
      </c>
      <c r="N25" s="20" t="n">
        <v>0</v>
      </c>
      <c r="O25" s="18" t="n">
        <v>0</v>
      </c>
      <c r="P25" s="20" t="n">
        <v>0</v>
      </c>
      <c r="Q25" s="18" t="n">
        <v>0.20093545</v>
      </c>
      <c r="R25" s="20" t="n">
        <v>0.20132188</v>
      </c>
    </row>
    <row r="26" spans="1:18">
      <c r="A26" s="15" t="s">
        <v>586</v>
      </c>
      <c r="B26" s="17" t="n">
        <v>2450</v>
      </c>
      <c r="C26" s="18">
        <f>(2166.0/B26*100)</f>
        <v/>
      </c>
      <c r="D26" s="19" t="n">
        <v>284</v>
      </c>
      <c r="E26" s="18" t="n">
        <v>60.73201216</v>
      </c>
      <c r="F26" s="20" t="n">
        <v>3.57298733</v>
      </c>
      <c r="G26" s="18" t="n">
        <v>39.26798784</v>
      </c>
      <c r="H26" s="20" t="n">
        <v>3.57298733</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(2307.0/B27*100)</f>
        <v/>
      </c>
      <c r="D27" s="19" t="n">
        <v>309</v>
      </c>
      <c r="E27" s="18" t="n">
        <v>46.2556682</v>
      </c>
      <c r="F27" s="20" t="n">
        <v>2.82989714</v>
      </c>
      <c r="G27" s="18" t="n">
        <v>52.15575509</v>
      </c>
      <c r="H27" s="20" t="n">
        <v>2.77600644</v>
      </c>
      <c r="I27" s="18" t="s">
        <v>567</v>
      </c>
      <c r="J27" s="20" t="s">
        <v>567</v>
      </c>
      <c r="K27" s="18" t="n">
        <v>0.95803743</v>
      </c>
      <c r="L27" s="20" t="n">
        <v>0.54513242</v>
      </c>
      <c r="M27" s="18" t="n">
        <v>0</v>
      </c>
      <c r="N27" s="20" t="n">
        <v>0</v>
      </c>
      <c r="O27" s="18" t="n">
        <v>0</v>
      </c>
      <c r="P27" s="20" t="n">
        <v>0</v>
      </c>
      <c r="Q27" s="18" t="n">
        <v>0.63053927</v>
      </c>
      <c r="R27" s="20" t="n">
        <v>0.44278405</v>
      </c>
    </row>
    <row r="28" spans="1:18">
      <c r="A28" s="15" t="s">
        <v>588</v>
      </c>
      <c r="B28" s="17" t="n">
        <v>3765</v>
      </c>
      <c r="C28" s="18">
        <f>(3345.0/B28*100)</f>
        <v/>
      </c>
      <c r="D28" s="19" t="n">
        <v>420</v>
      </c>
      <c r="E28" s="18" t="n">
        <v>59.89279702</v>
      </c>
      <c r="F28" s="20" t="n">
        <v>2.7491364</v>
      </c>
      <c r="G28" s="18" t="n">
        <v>38.63780059</v>
      </c>
      <c r="H28" s="20" t="n">
        <v>2.63862459</v>
      </c>
      <c r="I28" s="18" t="s">
        <v>567</v>
      </c>
      <c r="J28" s="20" t="s">
        <v>567</v>
      </c>
      <c r="K28" s="18" t="n">
        <v>0.78120235</v>
      </c>
      <c r="L28" s="20" t="n">
        <v>0.5010040100000001</v>
      </c>
      <c r="M28" s="18" t="n">
        <v>0</v>
      </c>
      <c r="N28" s="20" t="n">
        <v>0</v>
      </c>
      <c r="O28" s="18" t="n">
        <v>0</v>
      </c>
      <c r="P28" s="20" t="n">
        <v>0</v>
      </c>
      <c r="Q28" s="18" t="n">
        <v>0.68820004</v>
      </c>
      <c r="R28" s="20" t="n">
        <v>0.46368825</v>
      </c>
    </row>
    <row r="29" spans="1:18">
      <c r="A29" s="15" t="s">
        <v>589</v>
      </c>
      <c r="B29" s="17" t="n">
        <v>2685</v>
      </c>
      <c r="C29" s="18">
        <f>(2429.0/B29*100)</f>
        <v/>
      </c>
      <c r="D29" s="19" t="n">
        <v>256</v>
      </c>
      <c r="E29" s="18" t="n">
        <v>37.8893013</v>
      </c>
      <c r="F29" s="20" t="n">
        <v>2.65450079</v>
      </c>
      <c r="G29" s="18" t="n">
        <v>61.18940254</v>
      </c>
      <c r="H29" s="20" t="n">
        <v>2.79630889</v>
      </c>
      <c r="I29" s="18" t="s">
        <v>567</v>
      </c>
      <c r="J29" s="20" t="s">
        <v>567</v>
      </c>
      <c r="K29" s="18" t="n">
        <v>0.35316455</v>
      </c>
      <c r="L29" s="20" t="n">
        <v>0.3362382</v>
      </c>
      <c r="M29" s="18" t="n">
        <v>0</v>
      </c>
      <c r="N29" s="20" t="n">
        <v>0</v>
      </c>
      <c r="O29" s="18" t="n">
        <v>0</v>
      </c>
      <c r="P29" s="20" t="n">
        <v>0</v>
      </c>
      <c r="Q29" s="18" t="n">
        <v>0.56813161</v>
      </c>
      <c r="R29" s="20" t="n">
        <v>0.49726442</v>
      </c>
    </row>
    <row r="30" spans="1:18">
      <c r="A30" s="15" t="s">
        <v>590</v>
      </c>
      <c r="B30" s="17" t="n">
        <v>2263</v>
      </c>
      <c r="C30" s="18">
        <f>(1999.0/B30*100)</f>
        <v/>
      </c>
      <c r="D30" s="19" t="n">
        <v>264</v>
      </c>
      <c r="E30" s="18" t="n">
        <v>47.15343694</v>
      </c>
      <c r="F30" s="20" t="n">
        <v>3.19499896</v>
      </c>
      <c r="G30" s="18" t="n">
        <v>50.4790681</v>
      </c>
      <c r="H30" s="20" t="n">
        <v>3.19273403</v>
      </c>
      <c r="I30" s="18" t="s">
        <v>567</v>
      </c>
      <c r="J30" s="20" t="s">
        <v>567</v>
      </c>
      <c r="K30" s="18" t="n">
        <v>0</v>
      </c>
      <c r="L30" s="20" t="n">
        <v>0</v>
      </c>
      <c r="M30" s="18" t="n">
        <v>0</v>
      </c>
      <c r="N30" s="20" t="n">
        <v>0</v>
      </c>
      <c r="O30" s="18" t="n">
        <v>0</v>
      </c>
      <c r="P30" s="20" t="n">
        <v>0</v>
      </c>
      <c r="Q30" s="18" t="n">
        <v>2.36749496</v>
      </c>
      <c r="R30" s="20" t="n">
        <v>0.68689543</v>
      </c>
    </row>
    <row r="31" spans="1:18">
      <c r="A31" s="15" t="s">
        <v>591</v>
      </c>
      <c r="B31" s="17" t="n">
        <v>2750</v>
      </c>
      <c r="C31" s="18">
        <f>(2445.0/B31*100)</f>
        <v/>
      </c>
      <c r="D31" s="19" t="n">
        <v>305</v>
      </c>
      <c r="E31" s="18" t="n">
        <v>40.01969928</v>
      </c>
      <c r="F31" s="20" t="n">
        <v>2.9441142</v>
      </c>
      <c r="G31" s="18" t="n">
        <v>58.17295699</v>
      </c>
      <c r="H31" s="20" t="n">
        <v>3.11049895</v>
      </c>
      <c r="I31" s="18" t="s">
        <v>567</v>
      </c>
      <c r="J31" s="20" t="s">
        <v>567</v>
      </c>
      <c r="K31" s="18" t="n">
        <v>0.58639132</v>
      </c>
      <c r="L31" s="20" t="n">
        <v>0.48435302</v>
      </c>
      <c r="M31" s="18" t="n">
        <v>0</v>
      </c>
      <c r="N31" s="20" t="n">
        <v>0</v>
      </c>
      <c r="O31" s="18" t="n">
        <v>0</v>
      </c>
      <c r="P31" s="20" t="n">
        <v>0</v>
      </c>
      <c r="Q31" s="18" t="n">
        <v>1.22095241</v>
      </c>
      <c r="R31" s="20" t="n">
        <v>0.68582362</v>
      </c>
    </row>
    <row r="32" spans="1:18">
      <c r="A32" s="15" t="s">
        <v>592</v>
      </c>
      <c r="B32" s="17" t="n">
        <v>2269</v>
      </c>
      <c r="C32" s="18">
        <f>(2029.0/B32*100)</f>
        <v/>
      </c>
      <c r="D32" s="19" t="n">
        <v>240</v>
      </c>
      <c r="E32" s="18" t="n">
        <v>44.70081254</v>
      </c>
      <c r="F32" s="20" t="n">
        <v>2.81700902</v>
      </c>
      <c r="G32" s="18" t="n">
        <v>55.29918746</v>
      </c>
      <c r="H32" s="20" t="n">
        <v>2.81700902</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(3264.0/B33*100)</f>
        <v/>
      </c>
      <c r="D33" s="19" t="n">
        <v>410</v>
      </c>
      <c r="E33" s="18" t="n">
        <v>50.05652058</v>
      </c>
      <c r="F33" s="20" t="n">
        <v>3.14536745</v>
      </c>
      <c r="G33" s="18" t="n">
        <v>49.30442605</v>
      </c>
      <c r="H33" s="20" t="n">
        <v>3.15717484</v>
      </c>
      <c r="I33" s="18" t="s">
        <v>567</v>
      </c>
      <c r="J33" s="20" t="s">
        <v>567</v>
      </c>
      <c r="K33" s="18" t="n">
        <v>0.12764251</v>
      </c>
      <c r="L33" s="20" t="n">
        <v>0.11877681</v>
      </c>
      <c r="M33" s="18" t="n">
        <v>0</v>
      </c>
      <c r="N33" s="20" t="n">
        <v>0</v>
      </c>
      <c r="O33" s="18" t="n">
        <v>0</v>
      </c>
      <c r="P33" s="20" t="n">
        <v>0</v>
      </c>
      <c r="Q33" s="18" t="n">
        <v>0.51141087</v>
      </c>
      <c r="R33" s="20" t="n">
        <v>0.32914574</v>
      </c>
    </row>
    <row r="34" spans="1:18">
      <c r="A34" s="15" t="s">
        <v>594</v>
      </c>
      <c r="B34" s="17" t="n">
        <v>3315</v>
      </c>
      <c r="C34" s="18">
        <f>(2986.0/B34*100)</f>
        <v/>
      </c>
      <c r="D34" s="19" t="n">
        <v>329</v>
      </c>
      <c r="E34" s="18" t="n">
        <v>42.31733508</v>
      </c>
      <c r="F34" s="20" t="n">
        <v>2.65822503</v>
      </c>
      <c r="G34" s="18" t="n">
        <v>57.32076352</v>
      </c>
      <c r="H34" s="20" t="n">
        <v>2.70611369</v>
      </c>
      <c r="I34" s="18" t="s">
        <v>567</v>
      </c>
      <c r="J34" s="20" t="s">
        <v>567</v>
      </c>
      <c r="K34" s="18" t="n">
        <v>0</v>
      </c>
      <c r="L34" s="20" t="n">
        <v>0</v>
      </c>
      <c r="M34" s="18" t="n">
        <v>0</v>
      </c>
      <c r="N34" s="20" t="n">
        <v>0</v>
      </c>
      <c r="O34" s="18" t="n">
        <v>0</v>
      </c>
      <c r="P34" s="20" t="n">
        <v>0</v>
      </c>
      <c r="Q34" s="18" t="n">
        <v>0.3619014</v>
      </c>
      <c r="R34" s="20" t="n">
        <v>0.28684909</v>
      </c>
    </row>
    <row r="35" spans="1:18">
      <c r="A35" s="15" t="s">
        <v>595</v>
      </c>
      <c r="B35" s="17" t="n">
        <v>3505</v>
      </c>
      <c r="C35" s="18">
        <f>(3147.0/B35*100)</f>
        <v/>
      </c>
      <c r="D35" s="19" t="n">
        <v>358</v>
      </c>
      <c r="E35" s="18" t="n">
        <v>49.03649651</v>
      </c>
      <c r="F35" s="20" t="n">
        <v>3.44749819</v>
      </c>
      <c r="G35" s="18" t="n">
        <v>50.82655653</v>
      </c>
      <c r="H35" s="20" t="n">
        <v>3.43824521</v>
      </c>
      <c r="I35" s="18" t="s">
        <v>567</v>
      </c>
      <c r="J35" s="20" t="s">
        <v>567</v>
      </c>
      <c r="K35" s="18" t="n">
        <v>0</v>
      </c>
      <c r="L35" s="20" t="n">
        <v>0</v>
      </c>
      <c r="M35" s="18" t="n">
        <v>0</v>
      </c>
      <c r="N35" s="20" t="n">
        <v>0</v>
      </c>
      <c r="O35" s="18" t="n">
        <v>0</v>
      </c>
      <c r="P35" s="20" t="n">
        <v>0</v>
      </c>
      <c r="Q35" s="18" t="n">
        <v>0.13694696</v>
      </c>
      <c r="R35" s="20" t="n">
        <v>0.13958454</v>
      </c>
    </row>
    <row r="36" spans="1:18">
      <c r="A36" s="15" t="s">
        <v>596</v>
      </c>
      <c r="B36" s="17" t="n">
        <v>3332</v>
      </c>
      <c r="C36" s="18">
        <f>(2939.0/B36*100)</f>
        <v/>
      </c>
      <c r="D36" s="19" t="n">
        <v>393</v>
      </c>
      <c r="E36" s="18" t="n">
        <v>46.73833751</v>
      </c>
      <c r="F36" s="20" t="n">
        <v>2.47750871</v>
      </c>
      <c r="G36" s="18" t="n">
        <v>51.94148473</v>
      </c>
      <c r="H36" s="20" t="n">
        <v>2.4419178</v>
      </c>
      <c r="I36" s="18" t="s">
        <v>567</v>
      </c>
      <c r="J36" s="20" t="s">
        <v>567</v>
      </c>
      <c r="K36" s="18" t="n">
        <v>1.08093419</v>
      </c>
      <c r="L36" s="20" t="n">
        <v>0.5580858400000001</v>
      </c>
      <c r="M36" s="18" t="n">
        <v>0</v>
      </c>
      <c r="N36" s="20" t="n">
        <v>0</v>
      </c>
      <c r="O36" s="18" t="n">
        <v>0</v>
      </c>
      <c r="P36" s="20" t="n">
        <v>0</v>
      </c>
      <c r="Q36" s="18" t="n">
        <v>0.23924356</v>
      </c>
      <c r="R36" s="20" t="n">
        <v>0.24148924</v>
      </c>
    </row>
    <row r="37" spans="1:18">
      <c r="A37" s="15" t="s">
        <v>597</v>
      </c>
      <c r="B37" s="17" t="n">
        <v>2727</v>
      </c>
      <c r="C37" s="18">
        <f>(2430.0/B37*100)</f>
        <v/>
      </c>
      <c r="D37" s="19" t="n">
        <v>297</v>
      </c>
      <c r="E37" s="18" t="n">
        <v>52.98632653</v>
      </c>
      <c r="F37" s="20" t="n">
        <v>2.95037765</v>
      </c>
      <c r="G37" s="18" t="n">
        <v>46.0900161</v>
      </c>
      <c r="H37" s="20" t="n">
        <v>2.97694556</v>
      </c>
      <c r="I37" s="18" t="s">
        <v>567</v>
      </c>
      <c r="J37" s="20" t="s">
        <v>567</v>
      </c>
      <c r="K37" s="18" t="n">
        <v>0</v>
      </c>
      <c r="L37" s="20" t="n">
        <v>0</v>
      </c>
      <c r="M37" s="18" t="n">
        <v>0</v>
      </c>
      <c r="N37" s="20" t="n">
        <v>0</v>
      </c>
      <c r="O37" s="18" t="n">
        <v>0</v>
      </c>
      <c r="P37" s="20" t="n">
        <v>0</v>
      </c>
      <c r="Q37" s="18" t="n">
        <v>0.92365737</v>
      </c>
      <c r="R37" s="20" t="n">
        <v>0.5292753100000001</v>
      </c>
    </row>
    <row r="38" spans="1:18">
      <c r="A38" s="15" t="s">
        <v>598</v>
      </c>
      <c r="B38" s="17" t="n">
        <v>3053</v>
      </c>
      <c r="C38" s="18">
        <f>(2713.0/B38*100)</f>
        <v/>
      </c>
      <c r="D38" s="19" t="n">
        <v>340</v>
      </c>
      <c r="E38" s="18" t="n">
        <v>47.51088666</v>
      </c>
      <c r="F38" s="20" t="n">
        <v>3.08976133</v>
      </c>
      <c r="G38" s="18" t="n">
        <v>52.48911334</v>
      </c>
      <c r="H38" s="20" t="n">
        <v>3.08976133</v>
      </c>
      <c r="I38" s="18" t="s">
        <v>567</v>
      </c>
      <c r="J38" s="20" t="s">
        <v>567</v>
      </c>
      <c r="K38" s="18" t="n">
        <v>0</v>
      </c>
      <c r="L38" s="20" t="n">
        <v>0</v>
      </c>
      <c r="M38" s="18" t="n">
        <v>0</v>
      </c>
      <c r="N38" s="20" t="n">
        <v>0</v>
      </c>
      <c r="O38" s="18" t="n">
        <v>0</v>
      </c>
      <c r="P38" s="20" t="n">
        <v>0</v>
      </c>
      <c r="Q38" s="18" t="n">
        <v>0</v>
      </c>
      <c r="R38" s="20" t="n">
        <v>0</v>
      </c>
    </row>
    <row r="39" spans="1:18">
      <c r="A39" s="15" t="s">
        <v>599</v>
      </c>
      <c r="B39" s="17" t="n">
        <v>2957</v>
      </c>
      <c r="C39" s="18">
        <f>(2647.0/B39*100)</f>
        <v/>
      </c>
      <c r="D39" s="19" t="n">
        <v>310</v>
      </c>
      <c r="E39" s="18" t="n">
        <v>69.42228265999999</v>
      </c>
      <c r="F39" s="20" t="n">
        <v>2.9314978</v>
      </c>
      <c r="G39" s="18" t="n">
        <v>30.15682902</v>
      </c>
      <c r="H39" s="20" t="n">
        <v>2.94330783</v>
      </c>
      <c r="I39" s="18" t="s">
        <v>567</v>
      </c>
      <c r="J39" s="20" t="s">
        <v>567</v>
      </c>
      <c r="K39" s="18" t="n">
        <v>0</v>
      </c>
      <c r="L39" s="20" t="n">
        <v>0</v>
      </c>
      <c r="M39" s="18" t="n">
        <v>0</v>
      </c>
      <c r="N39" s="20" t="n">
        <v>0</v>
      </c>
      <c r="O39" s="18" t="n">
        <v>0</v>
      </c>
      <c r="P39" s="20" t="n">
        <v>0</v>
      </c>
      <c r="Q39" s="18" t="n">
        <v>0.42088832</v>
      </c>
      <c r="R39" s="20" t="n">
        <v>0.26594336</v>
      </c>
    </row>
    <row r="40" spans="1:18">
      <c r="A40" s="15" t="s">
        <v>600</v>
      </c>
      <c r="B40" s="17" t="n">
        <v>7235</v>
      </c>
      <c r="C40" s="18">
        <f>(6426.0/B40*100)</f>
        <v/>
      </c>
      <c r="D40" s="19" t="n">
        <v>809</v>
      </c>
      <c r="E40" s="18" t="n">
        <v>47.75598531</v>
      </c>
      <c r="F40" s="20" t="n">
        <v>2.97168145</v>
      </c>
      <c r="G40" s="18" t="n">
        <v>51.62306797</v>
      </c>
      <c r="H40" s="20" t="n">
        <v>2.85994361</v>
      </c>
      <c r="I40" s="18" t="s">
        <v>567</v>
      </c>
      <c r="J40" s="20" t="s">
        <v>567</v>
      </c>
      <c r="K40" s="18" t="n">
        <v>0</v>
      </c>
      <c r="L40" s="20" t="n">
        <v>0</v>
      </c>
      <c r="M40" s="18" t="n">
        <v>0</v>
      </c>
      <c r="N40" s="20" t="n">
        <v>0</v>
      </c>
      <c r="O40" s="18" t="n">
        <v>0</v>
      </c>
      <c r="P40" s="20" t="n">
        <v>0</v>
      </c>
      <c r="Q40" s="18" t="n">
        <v>0.62094672</v>
      </c>
      <c r="R40" s="20" t="n">
        <v>0.47547703</v>
      </c>
    </row>
    <row r="41" spans="1:18">
      <c r="A41" s="15" t="s">
        <v>601</v>
      </c>
      <c r="B41" s="17" t="n">
        <v>2858</v>
      </c>
      <c r="C41" s="18">
        <f>(2508.0/B41*100)</f>
        <v/>
      </c>
      <c r="D41" s="19" t="n">
        <v>350</v>
      </c>
      <c r="E41" s="18" t="n">
        <v>47.36516132</v>
      </c>
      <c r="F41" s="20" t="n">
        <v>2.96925187</v>
      </c>
      <c r="G41" s="18" t="n">
        <v>51.93154142</v>
      </c>
      <c r="H41" s="20" t="n">
        <v>2.85754938</v>
      </c>
      <c r="I41" s="18" t="s">
        <v>567</v>
      </c>
      <c r="J41" s="20" t="s">
        <v>567</v>
      </c>
      <c r="K41" s="18" t="n">
        <v>0.34690012</v>
      </c>
      <c r="L41" s="20" t="n">
        <v>0.3233444</v>
      </c>
      <c r="M41" s="18" t="n">
        <v>0</v>
      </c>
      <c r="N41" s="20" t="n">
        <v>0</v>
      </c>
      <c r="O41" s="18" t="n">
        <v>0</v>
      </c>
      <c r="P41" s="20" t="n">
        <v>0</v>
      </c>
      <c r="Q41" s="18" t="n">
        <v>0.35639715</v>
      </c>
      <c r="R41" s="20" t="n">
        <v>0.37104406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(10017.0/B46*100)</f>
        <v/>
      </c>
      <c r="D46" s="19" t="n">
        <v>1051</v>
      </c>
      <c r="E46" s="18" t="n">
        <v>57.12031573</v>
      </c>
      <c r="F46" s="20" t="n">
        <v>1.95330809</v>
      </c>
      <c r="G46" s="18" t="n">
        <v>41.90503533</v>
      </c>
      <c r="H46" s="20" t="n">
        <v>1.90625637</v>
      </c>
      <c r="I46" s="18" t="s">
        <v>567</v>
      </c>
      <c r="J46" s="20" t="s">
        <v>567</v>
      </c>
      <c r="K46" s="18" t="n">
        <v>0.7304222500000001</v>
      </c>
      <c r="L46" s="20" t="n">
        <v>0.3418353</v>
      </c>
      <c r="M46" s="18" t="n">
        <v>0</v>
      </c>
      <c r="N46" s="20" t="n">
        <v>0</v>
      </c>
      <c r="O46" s="18" t="n">
        <v>0</v>
      </c>
      <c r="P46" s="20" t="n">
        <v>0</v>
      </c>
      <c r="Q46" s="18" t="n">
        <v>0.24422668</v>
      </c>
      <c r="R46" s="20" t="n">
        <v>0.09685277</v>
      </c>
    </row>
    <row r="47" spans="1:18">
      <c r="A47" s="15" t="s">
        <v>607</v>
      </c>
      <c r="B47" s="17" t="n">
        <v>3105</v>
      </c>
      <c r="C47" s="18">
        <f>(2759.0/B47*100)</f>
        <v/>
      </c>
      <c r="D47" s="19" t="n">
        <v>346</v>
      </c>
      <c r="E47" s="18" t="n">
        <v>63.94856269</v>
      </c>
      <c r="F47" s="20" t="n">
        <v>2.83778199</v>
      </c>
      <c r="G47" s="18" t="n">
        <v>35.51076833</v>
      </c>
      <c r="H47" s="20" t="n">
        <v>2.79847029</v>
      </c>
      <c r="I47" s="18" t="s">
        <v>567</v>
      </c>
      <c r="J47" s="20" t="s">
        <v>567</v>
      </c>
      <c r="K47" s="18" t="n">
        <v>0.54066898</v>
      </c>
      <c r="L47" s="20" t="n">
        <v>0.40818361</v>
      </c>
      <c r="M47" s="18" t="n">
        <v>0</v>
      </c>
      <c r="N47" s="20" t="n">
        <v>0</v>
      </c>
      <c r="O47" s="18" t="n">
        <v>0</v>
      </c>
      <c r="P47" s="20" t="n">
        <v>0</v>
      </c>
      <c r="Q47" s="18" t="n">
        <v>0</v>
      </c>
      <c r="R47" s="20" t="n">
        <v>0</v>
      </c>
    </row>
    <row r="48" spans="1:18">
      <c r="A48" s="15" t="s">
        <v>608</v>
      </c>
      <c r="B48" s="17" t="n">
        <v>5159</v>
      </c>
      <c r="C48" s="18">
        <f>(4593.0/B48*100)</f>
        <v/>
      </c>
      <c r="D48" s="19" t="n">
        <v>566</v>
      </c>
      <c r="E48" s="18" t="n">
        <v>31.21985523</v>
      </c>
      <c r="F48" s="20" t="n">
        <v>2.51365349</v>
      </c>
      <c r="G48" s="18" t="n">
        <v>67.99544401999999</v>
      </c>
      <c r="H48" s="20" t="n">
        <v>2.54566414</v>
      </c>
      <c r="I48" s="18" t="s">
        <v>567</v>
      </c>
      <c r="J48" s="20" t="s">
        <v>567</v>
      </c>
      <c r="K48" s="18" t="n">
        <v>0</v>
      </c>
      <c r="L48" s="20" t="n">
        <v>0</v>
      </c>
      <c r="M48" s="18" t="n">
        <v>0</v>
      </c>
      <c r="N48" s="20" t="n">
        <v>0</v>
      </c>
      <c r="O48" s="18" t="n">
        <v>0</v>
      </c>
      <c r="P48" s="20" t="n">
        <v>0</v>
      </c>
      <c r="Q48" s="18" t="n">
        <v>0.7847007499999999</v>
      </c>
      <c r="R48" s="20" t="n">
        <v>0.45693951</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(5031.0/B50*100)</f>
        <v/>
      </c>
      <c r="D50" s="19" t="n">
        <v>606</v>
      </c>
      <c r="E50" s="18" t="n">
        <v>55.08121917</v>
      </c>
      <c r="F50" s="20" t="n">
        <v>3.0615541</v>
      </c>
      <c r="G50" s="18" t="n">
        <v>43.79143905</v>
      </c>
      <c r="H50" s="20" t="n">
        <v>2.97517047</v>
      </c>
      <c r="I50" s="18" t="s">
        <v>567</v>
      </c>
      <c r="J50" s="20" t="s">
        <v>567</v>
      </c>
      <c r="K50" s="18" t="n">
        <v>0.55014423</v>
      </c>
      <c r="L50" s="20" t="n">
        <v>0.38212401</v>
      </c>
      <c r="M50" s="18" t="n">
        <v>0</v>
      </c>
      <c r="N50" s="20" t="n">
        <v>0</v>
      </c>
      <c r="O50" s="18" t="n">
        <v>0</v>
      </c>
      <c r="P50" s="20" t="n">
        <v>0</v>
      </c>
      <c r="Q50" s="18" t="n">
        <v>0.5771975499999999</v>
      </c>
      <c r="R50" s="20" t="n">
        <v>0.47954828</v>
      </c>
    </row>
    <row r="51" spans="1:18">
      <c r="A51" s="15" t="s">
        <v>611</v>
      </c>
      <c r="B51" s="17" t="n">
        <v>3372</v>
      </c>
      <c r="C51" s="18">
        <f>(3051.0/B51*100)</f>
        <v/>
      </c>
      <c r="D51" s="19" t="n">
        <v>321</v>
      </c>
      <c r="E51" s="18" t="n">
        <v>55.31778982</v>
      </c>
      <c r="F51" s="20" t="n">
        <v>2.95150064</v>
      </c>
      <c r="G51" s="18" t="n">
        <v>43.58454468</v>
      </c>
      <c r="H51" s="20" t="n">
        <v>2.87189052</v>
      </c>
      <c r="I51" s="18" t="s">
        <v>567</v>
      </c>
      <c r="J51" s="20" t="s">
        <v>567</v>
      </c>
      <c r="K51" s="18" t="n">
        <v>0.62620019</v>
      </c>
      <c r="L51" s="20" t="n">
        <v>0.44318245</v>
      </c>
      <c r="M51" s="18" t="n">
        <v>0</v>
      </c>
      <c r="N51" s="20" t="n">
        <v>0</v>
      </c>
      <c r="O51" s="18" t="n">
        <v>0</v>
      </c>
      <c r="P51" s="20" t="n">
        <v>0</v>
      </c>
      <c r="Q51" s="18" t="n">
        <v>0.47146531</v>
      </c>
      <c r="R51" s="20" t="n">
        <v>0.33648046</v>
      </c>
    </row>
    <row r="52" spans="1:18">
      <c r="A52" s="15" t="s">
        <v>612</v>
      </c>
      <c r="B52" s="17" t="n">
        <v>2796</v>
      </c>
      <c r="C52" s="18">
        <f>(2502.0/B52*100)</f>
        <v/>
      </c>
      <c r="D52" s="19" t="n">
        <v>294</v>
      </c>
      <c r="E52" s="18" t="n">
        <v>50.84164847</v>
      </c>
      <c r="F52" s="20" t="n">
        <v>2.99406001</v>
      </c>
      <c r="G52" s="18" t="n">
        <v>49.15835153</v>
      </c>
      <c r="H52" s="20" t="n">
        <v>2.99406001</v>
      </c>
      <c r="I52" s="18" t="s">
        <v>567</v>
      </c>
      <c r="J52" s="20" t="s">
        <v>567</v>
      </c>
      <c r="K52" s="18" t="n">
        <v>0</v>
      </c>
      <c r="L52" s="20" t="n">
        <v>0</v>
      </c>
      <c r="M52" s="18" t="n">
        <v>0</v>
      </c>
      <c r="N52" s="20" t="n">
        <v>0</v>
      </c>
      <c r="O52" s="18" t="n">
        <v>0</v>
      </c>
      <c r="P52" s="20" t="n">
        <v>0</v>
      </c>
      <c r="Q52" s="18" t="n">
        <v>0</v>
      </c>
      <c r="R52" s="20" t="n">
        <v>0</v>
      </c>
    </row>
    <row r="53" spans="1:18">
      <c r="A53" s="15" t="s">
        <v>613</v>
      </c>
      <c r="B53" s="17" t="n">
        <v>2811</v>
      </c>
      <c r="C53" s="18">
        <f>(2490.0/B53*100)</f>
        <v/>
      </c>
      <c r="D53" s="19" t="n">
        <v>321</v>
      </c>
      <c r="E53" s="18" t="n">
        <v>58.41851475</v>
      </c>
      <c r="F53" s="20" t="n">
        <v>2.4102022</v>
      </c>
      <c r="G53" s="18" t="n">
        <v>40.22052143</v>
      </c>
      <c r="H53" s="20" t="n">
        <v>2.37515598</v>
      </c>
      <c r="I53" s="18" t="s">
        <v>567</v>
      </c>
      <c r="J53" s="20" t="s">
        <v>567</v>
      </c>
      <c r="K53" s="18" t="n">
        <v>0.45783337</v>
      </c>
      <c r="L53" s="20" t="n">
        <v>0.46325657</v>
      </c>
      <c r="M53" s="18" t="n">
        <v>0</v>
      </c>
      <c r="N53" s="20" t="n">
        <v>0</v>
      </c>
      <c r="O53" s="18" t="n">
        <v>0</v>
      </c>
      <c r="P53" s="20" t="n">
        <v>0</v>
      </c>
      <c r="Q53" s="18" t="n">
        <v>0.90313045</v>
      </c>
      <c r="R53" s="20" t="n">
        <v>0.52659738</v>
      </c>
    </row>
    <row r="54" spans="1:18">
      <c r="A54" s="15" t="s">
        <v>614</v>
      </c>
      <c r="B54" s="17" t="n">
        <v>2266</v>
      </c>
      <c r="C54" s="18">
        <f>(2024.0/B54*100)</f>
        <v/>
      </c>
      <c r="D54" s="19" t="n">
        <v>242</v>
      </c>
      <c r="E54" s="18" t="n">
        <v>63.91499088</v>
      </c>
      <c r="F54" s="20" t="n">
        <v>3.43886441</v>
      </c>
      <c r="G54" s="18" t="n">
        <v>25.47536715</v>
      </c>
      <c r="H54" s="20" t="n">
        <v>2.7834705</v>
      </c>
      <c r="I54" s="18" t="s">
        <v>567</v>
      </c>
      <c r="J54" s="20" t="s">
        <v>567</v>
      </c>
      <c r="K54" s="18" t="n">
        <v>9.02653756</v>
      </c>
      <c r="L54" s="20" t="n">
        <v>2.00954952</v>
      </c>
      <c r="M54" s="18" t="n">
        <v>0</v>
      </c>
      <c r="N54" s="20" t="n">
        <v>0</v>
      </c>
      <c r="O54" s="18" t="n">
        <v>0</v>
      </c>
      <c r="P54" s="20" t="n">
        <v>0</v>
      </c>
      <c r="Q54" s="18" t="n">
        <v>1.58310441</v>
      </c>
      <c r="R54" s="20" t="n">
        <v>0.78438471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(2401.0/B56*100)</f>
        <v/>
      </c>
      <c r="D56" s="19" t="n">
        <v>283</v>
      </c>
      <c r="E56" s="18" t="n">
        <v>29.08271032</v>
      </c>
      <c r="F56" s="20" t="n">
        <v>2.80694448</v>
      </c>
      <c r="G56" s="18" t="n">
        <v>70.30575483</v>
      </c>
      <c r="H56" s="20" t="n">
        <v>2.80797405</v>
      </c>
      <c r="I56" s="18" t="s">
        <v>567</v>
      </c>
      <c r="J56" s="20" t="s">
        <v>567</v>
      </c>
      <c r="K56" s="18" t="n">
        <v>0</v>
      </c>
      <c r="L56" s="20" t="n">
        <v>0</v>
      </c>
      <c r="M56" s="18" t="n">
        <v>0</v>
      </c>
      <c r="N56" s="20" t="n">
        <v>0</v>
      </c>
      <c r="O56" s="18" t="n">
        <v>0</v>
      </c>
      <c r="P56" s="20" t="n">
        <v>0</v>
      </c>
      <c r="Q56" s="18" t="n">
        <v>0.61153485</v>
      </c>
      <c r="R56" s="20" t="n">
        <v>0.60791067</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(2978.0/B61*100)</f>
        <v/>
      </c>
      <c r="D61" s="19" t="n">
        <v>346</v>
      </c>
      <c r="E61" s="18" t="n">
        <v>54.97128111</v>
      </c>
      <c r="F61" s="20" t="n">
        <v>3.00313877</v>
      </c>
      <c r="G61" s="18" t="n">
        <v>44.9248425</v>
      </c>
      <c r="H61" s="20" t="n">
        <v>3.00702296</v>
      </c>
      <c r="I61" s="18" t="s">
        <v>567</v>
      </c>
      <c r="J61" s="20" t="s">
        <v>567</v>
      </c>
      <c r="K61" s="18" t="n">
        <v>0.10387639</v>
      </c>
      <c r="L61" s="20" t="n">
        <v>0.09931863</v>
      </c>
      <c r="M61" s="18" t="n">
        <v>0</v>
      </c>
      <c r="N61" s="20" t="n">
        <v>0</v>
      </c>
      <c r="O61" s="18" t="n">
        <v>0</v>
      </c>
      <c r="P61" s="20" t="n">
        <v>0</v>
      </c>
      <c r="Q61" s="18" t="n">
        <v>0</v>
      </c>
      <c r="R61" s="20" t="n">
        <v>0</v>
      </c>
    </row>
    <row r="62" spans="1:18">
      <c r="A62" s="15" t="s">
        <v>622</v>
      </c>
      <c r="B62" s="17" t="n">
        <v>2246</v>
      </c>
      <c r="C62" s="18">
        <f>(1990.0/B62*100)</f>
        <v/>
      </c>
      <c r="D62" s="19" t="n">
        <v>256</v>
      </c>
      <c r="E62" s="18" t="n">
        <v>45.76624454</v>
      </c>
      <c r="F62" s="20" t="n">
        <v>3.58535502</v>
      </c>
      <c r="G62" s="18" t="n">
        <v>54.23375546</v>
      </c>
      <c r="H62" s="20" t="n">
        <v>3.58535502</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(2581.0/B66*100)</f>
        <v/>
      </c>
      <c r="D66" s="19" t="n">
        <v>313</v>
      </c>
      <c r="E66" s="18" t="n">
        <v>64.34922518</v>
      </c>
      <c r="F66" s="20" t="n">
        <v>2.91131053</v>
      </c>
      <c r="G66" s="18" t="n">
        <v>33.37068107</v>
      </c>
      <c r="H66" s="20" t="n">
        <v>2.93726824</v>
      </c>
      <c r="I66" s="18" t="s">
        <v>567</v>
      </c>
      <c r="J66" s="20" t="s">
        <v>567</v>
      </c>
      <c r="K66" s="18" t="n">
        <v>0.32615132</v>
      </c>
      <c r="L66" s="20" t="n">
        <v>0.3252282</v>
      </c>
      <c r="M66" s="18" t="n">
        <v>0</v>
      </c>
      <c r="N66" s="20" t="n">
        <v>0</v>
      </c>
      <c r="O66" s="18" t="n">
        <v>0</v>
      </c>
      <c r="P66" s="20" t="n">
        <v>0</v>
      </c>
      <c r="Q66" s="18" t="n">
        <v>1.95394243</v>
      </c>
      <c r="R66" s="20" t="n">
        <v>0.63453201</v>
      </c>
    </row>
    <row r="67" spans="1:18">
      <c r="A67" s="15" t="s">
        <v>627</v>
      </c>
      <c r="B67" s="17" t="n">
        <v>3511</v>
      </c>
      <c r="C67" s="18">
        <f>(3164.0/B67*100)</f>
        <v/>
      </c>
      <c r="D67" s="19" t="n">
        <v>347</v>
      </c>
      <c r="E67" s="18" t="n">
        <v>59.23743931</v>
      </c>
      <c r="F67" s="20" t="n">
        <v>2.667973</v>
      </c>
      <c r="G67" s="18" t="n">
        <v>40.20580895</v>
      </c>
      <c r="H67" s="20" t="n">
        <v>2.66697244</v>
      </c>
      <c r="I67" s="18" t="s">
        <v>567</v>
      </c>
      <c r="J67" s="20" t="s">
        <v>567</v>
      </c>
      <c r="K67" s="18" t="n">
        <v>0</v>
      </c>
      <c r="L67" s="20" t="n">
        <v>0</v>
      </c>
      <c r="M67" s="18" t="n">
        <v>0</v>
      </c>
      <c r="N67" s="20" t="n">
        <v>0</v>
      </c>
      <c r="O67" s="18" t="n">
        <v>0</v>
      </c>
      <c r="P67" s="20" t="n">
        <v>0</v>
      </c>
      <c r="Q67" s="18" t="n">
        <v>0.5567517400000001</v>
      </c>
      <c r="R67" s="20" t="n">
        <v>0.40320753</v>
      </c>
    </row>
    <row r="68" spans="1:18">
      <c r="A68" s="15" t="s">
        <v>628</v>
      </c>
      <c r="B68" s="17" t="n">
        <v>6049</v>
      </c>
      <c r="C68" s="18">
        <f>(5393.0/B68*100)</f>
        <v/>
      </c>
      <c r="D68" s="19" t="n">
        <v>656</v>
      </c>
      <c r="E68" s="18" t="n">
        <v>54.37952663</v>
      </c>
      <c r="F68" s="20" t="n">
        <v>2.17006284</v>
      </c>
      <c r="G68" s="18" t="n">
        <v>42.93765325</v>
      </c>
      <c r="H68" s="20" t="n">
        <v>2.08785327</v>
      </c>
      <c r="I68" s="18" t="s">
        <v>567</v>
      </c>
      <c r="J68" s="20" t="s">
        <v>567</v>
      </c>
      <c r="K68" s="18" t="n">
        <v>1.50765109</v>
      </c>
      <c r="L68" s="20" t="n">
        <v>0.515931</v>
      </c>
      <c r="M68" s="18" t="n">
        <v>0</v>
      </c>
      <c r="N68" s="20" t="n">
        <v>0</v>
      </c>
      <c r="O68" s="18" t="n">
        <v>0</v>
      </c>
      <c r="P68" s="20" t="n">
        <v>0</v>
      </c>
      <c r="Q68" s="18" t="n">
        <v>1.17516903</v>
      </c>
      <c r="R68" s="20" t="n">
        <v>0.42048939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(2617.0/B70*100)</f>
        <v/>
      </c>
      <c r="D70" s="19" t="n">
        <v>312</v>
      </c>
      <c r="E70" s="18" t="n">
        <v>55.46932027</v>
      </c>
      <c r="F70" s="20" t="n">
        <v>3.6604772</v>
      </c>
      <c r="G70" s="18" t="n">
        <v>44.53067973</v>
      </c>
      <c r="H70" s="20" t="n">
        <v>3.6604772</v>
      </c>
      <c r="I70" s="18" t="s">
        <v>567</v>
      </c>
      <c r="J70" s="20" t="s">
        <v>567</v>
      </c>
      <c r="K70" s="18" t="n">
        <v>0</v>
      </c>
      <c r="L70" s="20" t="n">
        <v>0</v>
      </c>
      <c r="M70" s="18" t="n">
        <v>0</v>
      </c>
      <c r="N70" s="20" t="n">
        <v>0</v>
      </c>
      <c r="O70" s="18" t="n">
        <v>0</v>
      </c>
      <c r="P70" s="20" t="n">
        <v>0</v>
      </c>
      <c r="Q70" s="18" t="n">
        <v>0</v>
      </c>
      <c r="R70" s="20" t="n">
        <v>0</v>
      </c>
    </row>
    <row r="71" spans="1:18">
      <c r="A71" s="15" t="s">
        <v>631</v>
      </c>
      <c r="B71" s="17" t="n">
        <v>3142</v>
      </c>
      <c r="C71" s="18">
        <f>(2748.0/B71*100)</f>
        <v/>
      </c>
      <c r="D71" s="19" t="n">
        <v>394</v>
      </c>
      <c r="E71" s="18" t="n">
        <v>40.18104863</v>
      </c>
      <c r="F71" s="20" t="n">
        <v>2.51024634</v>
      </c>
      <c r="G71" s="18" t="n">
        <v>58.92364984</v>
      </c>
      <c r="H71" s="20" t="n">
        <v>2.4621352</v>
      </c>
      <c r="I71" s="18" t="s">
        <v>567</v>
      </c>
      <c r="J71" s="20" t="s">
        <v>567</v>
      </c>
      <c r="K71" s="18" t="n">
        <v>0.17017099</v>
      </c>
      <c r="L71" s="20" t="n">
        <v>0.1682055</v>
      </c>
      <c r="M71" s="18" t="n">
        <v>0</v>
      </c>
      <c r="N71" s="20" t="n">
        <v>0</v>
      </c>
      <c r="O71" s="18" t="n">
        <v>0</v>
      </c>
      <c r="P71" s="20" t="n">
        <v>0</v>
      </c>
      <c r="Q71" s="18" t="n">
        <v>0.72513054</v>
      </c>
      <c r="R71" s="20" t="n">
        <v>0.43386823</v>
      </c>
    </row>
    <row r="72" spans="1:18">
      <c r="A72" s="15" t="s">
        <v>632</v>
      </c>
      <c r="B72" s="17" t="n">
        <v>3889</v>
      </c>
      <c r="C72" s="18">
        <f>(3470.0/B72*100)</f>
        <v/>
      </c>
      <c r="D72" s="19" t="n">
        <v>419</v>
      </c>
      <c r="E72" s="18" t="n">
        <v>30.82681665</v>
      </c>
      <c r="F72" s="20" t="n">
        <v>2.38966678</v>
      </c>
      <c r="G72" s="18" t="n">
        <v>68.32902562</v>
      </c>
      <c r="H72" s="20" t="n">
        <v>2.33032013</v>
      </c>
      <c r="I72" s="18" t="s">
        <v>567</v>
      </c>
      <c r="J72" s="20" t="s">
        <v>567</v>
      </c>
      <c r="K72" s="18" t="n">
        <v>0.19606377</v>
      </c>
      <c r="L72" s="20" t="n">
        <v>0.19668736</v>
      </c>
      <c r="M72" s="18" t="n">
        <v>0</v>
      </c>
      <c r="N72" s="20" t="n">
        <v>0</v>
      </c>
      <c r="O72" s="18" t="n">
        <v>0</v>
      </c>
      <c r="P72" s="20" t="n">
        <v>0</v>
      </c>
      <c r="Q72" s="18" t="n">
        <v>0.64809396</v>
      </c>
      <c r="R72" s="20" t="n">
        <v>0.37777311</v>
      </c>
    </row>
    <row r="73" spans="1:18">
      <c r="A73" s="15" t="s">
        <v>633</v>
      </c>
      <c r="B73" s="17" t="n">
        <v>3597</v>
      </c>
      <c r="C73" s="18">
        <f>(3218.0/B73*100)</f>
        <v/>
      </c>
      <c r="D73" s="19" t="n">
        <v>379</v>
      </c>
      <c r="E73" s="18" t="n">
        <v>58.0990287</v>
      </c>
      <c r="F73" s="20" t="n">
        <v>2.88456931</v>
      </c>
      <c r="G73" s="18" t="n">
        <v>41.9009713</v>
      </c>
      <c r="H73" s="20" t="n">
        <v>2.88456931</v>
      </c>
      <c r="I73" s="18" t="s">
        <v>567</v>
      </c>
      <c r="J73" s="20" t="s">
        <v>567</v>
      </c>
      <c r="K73" s="18" t="n">
        <v>0</v>
      </c>
      <c r="L73" s="20" t="n">
        <v>0</v>
      </c>
      <c r="M73" s="18" t="n">
        <v>0</v>
      </c>
      <c r="N73" s="20" t="n">
        <v>0</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(2164.0/B75*100)</f>
        <v/>
      </c>
      <c r="D75" s="19" t="n">
        <v>242</v>
      </c>
      <c r="E75" s="18" t="n">
        <v>65.9209953</v>
      </c>
      <c r="F75" s="20" t="n">
        <v>3.14704175</v>
      </c>
      <c r="G75" s="18" t="n">
        <v>32.1315096</v>
      </c>
      <c r="H75" s="20" t="n">
        <v>3.06685251</v>
      </c>
      <c r="I75" s="18" t="s">
        <v>567</v>
      </c>
      <c r="J75" s="20" t="s">
        <v>567</v>
      </c>
      <c r="K75" s="18" t="n">
        <v>1.56071429</v>
      </c>
      <c r="L75" s="20" t="n">
        <v>0.5590670599999999</v>
      </c>
      <c r="M75" s="18" t="n">
        <v>0</v>
      </c>
      <c r="N75" s="20" t="n">
        <v>0</v>
      </c>
      <c r="O75" s="18" t="n">
        <v>0</v>
      </c>
      <c r="P75" s="20" t="n">
        <v>0</v>
      </c>
      <c r="Q75" s="18" t="n">
        <v>0.38678081</v>
      </c>
      <c r="R75" s="20" t="n">
        <v>0.40424567</v>
      </c>
    </row>
    <row r="76" spans="1:18">
      <c r="A76" s="15" t="s">
        <v>636</v>
      </c>
      <c r="B76" s="17" t="n">
        <v>7052</v>
      </c>
      <c r="C76" s="18">
        <f>(6261.0/B76*100)</f>
        <v/>
      </c>
      <c r="D76" s="19" t="n">
        <v>791</v>
      </c>
      <c r="E76" s="18" t="n">
        <v>59.7678521</v>
      </c>
      <c r="F76" s="20" t="n">
        <v>2.47249864</v>
      </c>
      <c r="G76" s="18" t="n">
        <v>38.67099451</v>
      </c>
      <c r="H76" s="20" t="n">
        <v>2.40839396</v>
      </c>
      <c r="I76" s="18" t="s">
        <v>567</v>
      </c>
      <c r="J76" s="20" t="s">
        <v>567</v>
      </c>
      <c r="K76" s="18" t="n">
        <v>0.58676965</v>
      </c>
      <c r="L76" s="20" t="n">
        <v>0.27865371</v>
      </c>
      <c r="M76" s="18" t="n">
        <v>0</v>
      </c>
      <c r="N76" s="20" t="n">
        <v>0</v>
      </c>
      <c r="O76" s="18" t="n">
        <v>0</v>
      </c>
      <c r="P76" s="20" t="n">
        <v>0</v>
      </c>
      <c r="Q76" s="18" t="n">
        <v>0.97438373</v>
      </c>
      <c r="R76" s="20" t="n">
        <v>0.40415491</v>
      </c>
    </row>
    <row r="77" spans="1:18">
      <c r="A77" s="15" t="s">
        <v>637</v>
      </c>
      <c r="B77" s="17" t="n">
        <v>2908</v>
      </c>
      <c r="C77" s="18">
        <f>(2615.0/B77*100)</f>
        <v/>
      </c>
      <c r="D77" s="19" t="n">
        <v>293</v>
      </c>
      <c r="E77" s="18" t="n">
        <v>62.19743248</v>
      </c>
      <c r="F77" s="20" t="n">
        <v>2.77633125</v>
      </c>
      <c r="G77" s="18" t="n">
        <v>35.73770569</v>
      </c>
      <c r="H77" s="20" t="n">
        <v>2.72253718</v>
      </c>
      <c r="I77" s="18" t="s">
        <v>567</v>
      </c>
      <c r="J77" s="20" t="s">
        <v>567</v>
      </c>
      <c r="K77" s="18" t="n">
        <v>1.71014611</v>
      </c>
      <c r="L77" s="20" t="n">
        <v>0.75178436</v>
      </c>
      <c r="M77" s="18" t="n">
        <v>0</v>
      </c>
      <c r="N77" s="20" t="n">
        <v>0</v>
      </c>
      <c r="O77" s="18" t="n">
        <v>0</v>
      </c>
      <c r="P77" s="20" t="n">
        <v>0</v>
      </c>
      <c r="Q77" s="18" t="n">
        <v>0.35471571</v>
      </c>
      <c r="R77" s="20" t="n">
        <v>0.41269777</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(3726.0/B81*100)</f>
        <v/>
      </c>
      <c r="D81" s="19" t="n">
        <v>437</v>
      </c>
      <c r="E81" s="18" t="n">
        <v>63.98176739</v>
      </c>
      <c r="F81" s="20" t="n">
        <v>2.52702596</v>
      </c>
      <c r="G81" s="18" t="n">
        <v>35.68014209</v>
      </c>
      <c r="H81" s="20" t="n">
        <v>2.45534202</v>
      </c>
      <c r="I81" s="18" t="s">
        <v>567</v>
      </c>
      <c r="J81" s="20" t="s">
        <v>567</v>
      </c>
      <c r="K81" s="18" t="n">
        <v>0</v>
      </c>
      <c r="L81" s="20" t="n">
        <v>0</v>
      </c>
      <c r="M81" s="18" t="n">
        <v>0</v>
      </c>
      <c r="N81" s="20" t="n">
        <v>0</v>
      </c>
      <c r="O81" s="18" t="n">
        <v>0</v>
      </c>
      <c r="P81" s="20" t="n">
        <v>0</v>
      </c>
      <c r="Q81" s="18" t="n">
        <v>0.33809052</v>
      </c>
      <c r="R81" s="20" t="n">
        <v>0.337518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(6570.0/B7*100)</f>
        <v/>
      </c>
      <c r="D7" s="19" t="n">
        <v>797</v>
      </c>
      <c r="E7" s="18" t="n">
        <v>36.66793885</v>
      </c>
      <c r="F7" s="20" t="n">
        <v>2.055826</v>
      </c>
      <c r="G7" s="18" t="n">
        <v>61.81510928</v>
      </c>
      <c r="H7" s="20" t="n">
        <v>1.94821832</v>
      </c>
      <c r="I7" s="18" t="s">
        <v>567</v>
      </c>
      <c r="J7" s="20" t="s">
        <v>567</v>
      </c>
      <c r="K7" s="18" t="n">
        <v>0.2816978</v>
      </c>
      <c r="L7" s="20" t="n">
        <v>0.19307804</v>
      </c>
      <c r="M7" s="18" t="n">
        <v>0</v>
      </c>
      <c r="N7" s="20" t="n">
        <v>0</v>
      </c>
      <c r="O7" s="18" t="n">
        <v>0</v>
      </c>
      <c r="P7" s="20" t="n">
        <v>0</v>
      </c>
      <c r="Q7" s="18" t="n">
        <v>1.23525407</v>
      </c>
      <c r="R7" s="20" t="n">
        <v>0.54569504</v>
      </c>
    </row>
    <row r="8" spans="1:18">
      <c r="A8" s="15" t="s">
        <v>568</v>
      </c>
      <c r="B8" s="17" t="n">
        <v>3564</v>
      </c>
      <c r="C8" s="18">
        <f>(3170.0/B8*100)</f>
        <v/>
      </c>
      <c r="D8" s="19" t="n">
        <v>394</v>
      </c>
      <c r="E8" s="18" t="n">
        <v>36.20581473</v>
      </c>
      <c r="F8" s="20" t="n">
        <v>2.88485157</v>
      </c>
      <c r="G8" s="18" t="n">
        <v>63.50958887</v>
      </c>
      <c r="H8" s="20" t="n">
        <v>2.9224086</v>
      </c>
      <c r="I8" s="18" t="s">
        <v>567</v>
      </c>
      <c r="J8" s="20" t="s">
        <v>567</v>
      </c>
      <c r="K8" s="18" t="n">
        <v>0</v>
      </c>
      <c r="L8" s="20" t="n">
        <v>0</v>
      </c>
      <c r="M8" s="18" t="n">
        <v>0</v>
      </c>
      <c r="N8" s="20" t="n">
        <v>0</v>
      </c>
      <c r="O8" s="18" t="n">
        <v>0</v>
      </c>
      <c r="P8" s="20" t="n">
        <v>0</v>
      </c>
      <c r="Q8" s="18" t="n">
        <v>0.28459641</v>
      </c>
      <c r="R8" s="20" t="n">
        <v>0.20533266</v>
      </c>
    </row>
    <row r="9" spans="1:18">
      <c r="A9" s="15" t="s">
        <v>569</v>
      </c>
      <c r="B9" s="17" t="n">
        <v>4899</v>
      </c>
      <c r="C9" s="18">
        <f>(4398.0/B9*100)</f>
        <v/>
      </c>
      <c r="D9" s="19" t="n">
        <v>501</v>
      </c>
      <c r="E9" s="18" t="n">
        <v>39.12087544</v>
      </c>
      <c r="F9" s="20" t="n">
        <v>1.88577719</v>
      </c>
      <c r="G9" s="18" t="n">
        <v>59.98483768</v>
      </c>
      <c r="H9" s="20" t="n">
        <v>1.88954745</v>
      </c>
      <c r="I9" s="18" t="s">
        <v>567</v>
      </c>
      <c r="J9" s="20" t="s">
        <v>567</v>
      </c>
      <c r="K9" s="18" t="n">
        <v>0.30185597</v>
      </c>
      <c r="L9" s="20" t="n">
        <v>0.28150973</v>
      </c>
      <c r="M9" s="18" t="n">
        <v>0</v>
      </c>
      <c r="N9" s="20" t="n">
        <v>0</v>
      </c>
      <c r="O9" s="18" t="n">
        <v>0</v>
      </c>
      <c r="P9" s="20" t="n">
        <v>0</v>
      </c>
      <c r="Q9" s="18" t="n">
        <v>0.59243091</v>
      </c>
      <c r="R9" s="20" t="n">
        <v>0.37435316</v>
      </c>
    </row>
    <row r="10" spans="1:18">
      <c r="A10" s="15" t="s">
        <v>570</v>
      </c>
      <c r="B10" s="17" t="n">
        <v>10036</v>
      </c>
      <c r="C10" s="18">
        <f>(8905.0/B10*100)</f>
        <v/>
      </c>
      <c r="D10" s="19" t="n">
        <v>1131</v>
      </c>
      <c r="E10" s="18" t="n">
        <v>37.18397601</v>
      </c>
      <c r="F10" s="20" t="n">
        <v>1.88558706</v>
      </c>
      <c r="G10" s="18" t="n">
        <v>62.27894159</v>
      </c>
      <c r="H10" s="20" t="n">
        <v>1.87181893</v>
      </c>
      <c r="I10" s="18" t="s">
        <v>567</v>
      </c>
      <c r="J10" s="20" t="s">
        <v>567</v>
      </c>
      <c r="K10" s="18" t="n">
        <v>0.04043943</v>
      </c>
      <c r="L10" s="20" t="n">
        <v>0.03116306</v>
      </c>
      <c r="M10" s="18" t="n">
        <v>0</v>
      </c>
      <c r="N10" s="20" t="n">
        <v>0</v>
      </c>
      <c r="O10" s="18" t="n">
        <v>0</v>
      </c>
      <c r="P10" s="20" t="n">
        <v>0</v>
      </c>
      <c r="Q10" s="18" t="n">
        <v>0.49664297</v>
      </c>
      <c r="R10" s="20" t="n">
        <v>0.34013914</v>
      </c>
    </row>
    <row r="11" spans="1:18">
      <c r="A11" s="15" t="s">
        <v>571</v>
      </c>
      <c r="B11" s="17" t="n">
        <v>3553</v>
      </c>
      <c r="C11" s="18">
        <f>(3166.0/B11*100)</f>
        <v/>
      </c>
      <c r="D11" s="19" t="n">
        <v>387</v>
      </c>
      <c r="E11" s="18" t="n">
        <v>54.6932017</v>
      </c>
      <c r="F11" s="20" t="n">
        <v>3.21386746</v>
      </c>
      <c r="G11" s="18" t="n">
        <v>42.9913771</v>
      </c>
      <c r="H11" s="20" t="n">
        <v>3.24527829</v>
      </c>
      <c r="I11" s="18" t="s">
        <v>567</v>
      </c>
      <c r="J11" s="20" t="s">
        <v>567</v>
      </c>
      <c r="K11" s="18" t="n">
        <v>1.09214656</v>
      </c>
      <c r="L11" s="20" t="n">
        <v>0.5923125299999999</v>
      </c>
      <c r="M11" s="18" t="n">
        <v>0</v>
      </c>
      <c r="N11" s="20" t="n">
        <v>0</v>
      </c>
      <c r="O11" s="18" t="n">
        <v>0</v>
      </c>
      <c r="P11" s="20" t="n">
        <v>0</v>
      </c>
      <c r="Q11" s="18" t="n">
        <v>1.22327465</v>
      </c>
      <c r="R11" s="20" t="n">
        <v>0.62319656</v>
      </c>
    </row>
    <row r="12" spans="1:18">
      <c r="A12" s="15" t="s">
        <v>572</v>
      </c>
      <c r="B12" s="17" t="n">
        <v>3472</v>
      </c>
      <c r="C12" s="18">
        <f>(3083.0/B12*100)</f>
        <v/>
      </c>
      <c r="D12" s="19" t="n">
        <v>389</v>
      </c>
      <c r="E12" s="18" t="n">
        <v>39.50035512</v>
      </c>
      <c r="F12" s="20" t="n">
        <v>2.43537359</v>
      </c>
      <c r="G12" s="18" t="n">
        <v>60.03802235</v>
      </c>
      <c r="H12" s="20" t="n">
        <v>2.40725927</v>
      </c>
      <c r="I12" s="18" t="s">
        <v>567</v>
      </c>
      <c r="J12" s="20" t="s">
        <v>567</v>
      </c>
      <c r="K12" s="18" t="n">
        <v>0</v>
      </c>
      <c r="L12" s="20" t="n">
        <v>0</v>
      </c>
      <c r="M12" s="18" t="n">
        <v>0</v>
      </c>
      <c r="N12" s="20" t="n">
        <v>0</v>
      </c>
      <c r="O12" s="18" t="n">
        <v>0</v>
      </c>
      <c r="P12" s="20" t="n">
        <v>0</v>
      </c>
      <c r="Q12" s="18" t="n">
        <v>0.46162253</v>
      </c>
      <c r="R12" s="20" t="n">
        <v>0.41176449</v>
      </c>
    </row>
    <row r="13" spans="1:18">
      <c r="A13" s="15" t="s">
        <v>573</v>
      </c>
      <c r="B13" s="17" t="n">
        <v>3559</v>
      </c>
      <c r="C13" s="18">
        <f>(3205.0/B13*100)</f>
        <v/>
      </c>
      <c r="D13" s="19" t="n">
        <v>354</v>
      </c>
      <c r="E13" s="18" t="n">
        <v>39.44534677</v>
      </c>
      <c r="F13" s="20" t="n">
        <v>2.8958458</v>
      </c>
      <c r="G13" s="18" t="n">
        <v>60.03806379</v>
      </c>
      <c r="H13" s="20" t="n">
        <v>2.94199805</v>
      </c>
      <c r="I13" s="18" t="s">
        <v>567</v>
      </c>
      <c r="J13" s="20" t="s">
        <v>567</v>
      </c>
      <c r="K13" s="18" t="n">
        <v>0.34270092</v>
      </c>
      <c r="L13" s="20" t="n">
        <v>0.359632</v>
      </c>
      <c r="M13" s="18" t="n">
        <v>0</v>
      </c>
      <c r="N13" s="20" t="n">
        <v>0</v>
      </c>
      <c r="O13" s="18" t="n">
        <v>0</v>
      </c>
      <c r="P13" s="20" t="n">
        <v>0</v>
      </c>
      <c r="Q13" s="18" t="n">
        <v>0.17388852</v>
      </c>
      <c r="R13" s="20" t="n">
        <v>0.17185032</v>
      </c>
    </row>
    <row r="14" spans="1:18">
      <c r="A14" s="15" t="s">
        <v>574</v>
      </c>
      <c r="B14" s="17" t="n">
        <v>2799</v>
      </c>
      <c r="C14" s="18">
        <f>(2469.0/B14*100)</f>
        <v/>
      </c>
      <c r="D14" s="19" t="n">
        <v>330</v>
      </c>
      <c r="E14" s="18" t="n">
        <v>38.21950318</v>
      </c>
      <c r="F14" s="20" t="n">
        <v>2.82615047</v>
      </c>
      <c r="G14" s="18" t="n">
        <v>61.48214445</v>
      </c>
      <c r="H14" s="20" t="n">
        <v>2.81807063</v>
      </c>
      <c r="I14" s="18" t="s">
        <v>567</v>
      </c>
      <c r="J14" s="20" t="s">
        <v>567</v>
      </c>
      <c r="K14" s="18" t="n">
        <v>0</v>
      </c>
      <c r="L14" s="20" t="n">
        <v>0</v>
      </c>
      <c r="M14" s="18" t="n">
        <v>0</v>
      </c>
      <c r="N14" s="20" t="n">
        <v>0</v>
      </c>
      <c r="O14" s="18" t="n">
        <v>0</v>
      </c>
      <c r="P14" s="20" t="n">
        <v>0</v>
      </c>
      <c r="Q14" s="18" t="n">
        <v>0.29835238</v>
      </c>
      <c r="R14" s="20" t="n">
        <v>0.29777077</v>
      </c>
    </row>
    <row r="15" spans="1:18">
      <c r="A15" s="15" t="s">
        <v>575</v>
      </c>
      <c r="B15" s="17" t="n">
        <v>3019</v>
      </c>
      <c r="C15" s="18">
        <f>(2700.0/B15*100)</f>
        <v/>
      </c>
      <c r="D15" s="19" t="n">
        <v>319</v>
      </c>
      <c r="E15" s="18" t="n">
        <v>25.23773052</v>
      </c>
      <c r="F15" s="20" t="n">
        <v>2.54599349</v>
      </c>
      <c r="G15" s="18" t="n">
        <v>74.63103223</v>
      </c>
      <c r="H15" s="20" t="n">
        <v>2.53013575</v>
      </c>
      <c r="I15" s="18" t="s">
        <v>567</v>
      </c>
      <c r="J15" s="20" t="s">
        <v>567</v>
      </c>
      <c r="K15" s="18" t="n">
        <v>0.13123724</v>
      </c>
      <c r="L15" s="20" t="n">
        <v>0.13096372</v>
      </c>
      <c r="M15" s="18" t="n">
        <v>0</v>
      </c>
      <c r="N15" s="20" t="n">
        <v>0</v>
      </c>
      <c r="O15" s="18" t="n">
        <v>0</v>
      </c>
      <c r="P15" s="20" t="n">
        <v>0</v>
      </c>
      <c r="Q15" s="18" t="n">
        <v>0</v>
      </c>
      <c r="R15" s="20" t="n">
        <v>0</v>
      </c>
    </row>
    <row r="16" spans="1:18">
      <c r="A16" s="15" t="s">
        <v>576</v>
      </c>
      <c r="B16" s="17" t="n">
        <v>2997</v>
      </c>
      <c r="C16" s="18">
        <f>(2643.0/B16*100)</f>
        <v/>
      </c>
      <c r="D16" s="19" t="n">
        <v>354</v>
      </c>
      <c r="E16" s="18" t="n">
        <v>39.64688079</v>
      </c>
      <c r="F16" s="20" t="n">
        <v>2.81534617</v>
      </c>
      <c r="G16" s="18" t="n">
        <v>58.37800108</v>
      </c>
      <c r="H16" s="20" t="n">
        <v>2.69876426</v>
      </c>
      <c r="I16" s="18" t="s">
        <v>567</v>
      </c>
      <c r="J16" s="20" t="s">
        <v>567</v>
      </c>
      <c r="K16" s="18" t="n">
        <v>0.28439455</v>
      </c>
      <c r="L16" s="20" t="n">
        <v>0.30575155</v>
      </c>
      <c r="M16" s="18" t="n">
        <v>0</v>
      </c>
      <c r="N16" s="20" t="n">
        <v>0</v>
      </c>
      <c r="O16" s="18" t="n">
        <v>0</v>
      </c>
      <c r="P16" s="20" t="n">
        <v>0</v>
      </c>
      <c r="Q16" s="18" t="n">
        <v>1.69072358</v>
      </c>
      <c r="R16" s="20" t="n">
        <v>0.7446858</v>
      </c>
    </row>
    <row r="17" spans="1:18">
      <c r="A17" s="15" t="s">
        <v>577</v>
      </c>
      <c r="B17" s="17" t="n">
        <v>3307</v>
      </c>
      <c r="C17" s="18">
        <f>(2975.0/B17*100)</f>
        <v/>
      </c>
      <c r="D17" s="19" t="n">
        <v>332</v>
      </c>
      <c r="E17" s="18" t="n">
        <v>34.74274181</v>
      </c>
      <c r="F17" s="20" t="n">
        <v>2.57958639</v>
      </c>
      <c r="G17" s="18" t="n">
        <v>63.5238515</v>
      </c>
      <c r="H17" s="20" t="n">
        <v>2.61805229</v>
      </c>
      <c r="I17" s="18" t="s">
        <v>567</v>
      </c>
      <c r="J17" s="20" t="s">
        <v>567</v>
      </c>
      <c r="K17" s="18" t="n">
        <v>1.21026999</v>
      </c>
      <c r="L17" s="20" t="n">
        <v>0.55473191</v>
      </c>
      <c r="M17" s="18" t="n">
        <v>0</v>
      </c>
      <c r="N17" s="20" t="n">
        <v>0</v>
      </c>
      <c r="O17" s="18" t="n">
        <v>0</v>
      </c>
      <c r="P17" s="20" t="n">
        <v>0</v>
      </c>
      <c r="Q17" s="18" t="n">
        <v>0.5231367099999999</v>
      </c>
      <c r="R17" s="20" t="n">
        <v>0.38730437</v>
      </c>
    </row>
    <row r="18" spans="1:18">
      <c r="A18" s="15" t="s">
        <v>578</v>
      </c>
      <c r="B18" s="17" t="n">
        <v>2826</v>
      </c>
      <c r="C18" s="18">
        <f>(2502.0/B18*100)</f>
        <v/>
      </c>
      <c r="D18" s="19" t="n">
        <v>324</v>
      </c>
      <c r="E18" s="18" t="n">
        <v>53.12574162</v>
      </c>
      <c r="F18" s="20" t="n">
        <v>3.04751985</v>
      </c>
      <c r="G18" s="18" t="n">
        <v>44.82056922</v>
      </c>
      <c r="H18" s="20" t="n">
        <v>2.93720039</v>
      </c>
      <c r="I18" s="18" t="s">
        <v>567</v>
      </c>
      <c r="J18" s="20" t="s">
        <v>567</v>
      </c>
      <c r="K18" s="18" t="n">
        <v>1.1530603</v>
      </c>
      <c r="L18" s="20" t="n">
        <v>0.92398741</v>
      </c>
      <c r="M18" s="18" t="n">
        <v>0</v>
      </c>
      <c r="N18" s="20" t="n">
        <v>0</v>
      </c>
      <c r="O18" s="18" t="n">
        <v>0</v>
      </c>
      <c r="P18" s="20" t="n">
        <v>0</v>
      </c>
      <c r="Q18" s="18" t="n">
        <v>0.90062886</v>
      </c>
      <c r="R18" s="20" t="n">
        <v>0.89498696</v>
      </c>
    </row>
    <row r="19" spans="1:18">
      <c r="A19" s="15" t="s">
        <v>579</v>
      </c>
      <c r="B19" s="17" t="n">
        <v>2808</v>
      </c>
      <c r="C19" s="18">
        <f>(2506.0/B19*100)</f>
        <v/>
      </c>
      <c r="D19" s="19" t="n">
        <v>302</v>
      </c>
      <c r="E19" s="18" t="n">
        <v>40.33460573</v>
      </c>
      <c r="F19" s="20" t="n">
        <v>2.55794266</v>
      </c>
      <c r="G19" s="18" t="n">
        <v>59.07414745</v>
      </c>
      <c r="H19" s="20" t="n">
        <v>2.62383965</v>
      </c>
      <c r="I19" s="18" t="s">
        <v>567</v>
      </c>
      <c r="J19" s="20" t="s">
        <v>567</v>
      </c>
      <c r="K19" s="18" t="n">
        <v>0</v>
      </c>
      <c r="L19" s="20" t="n">
        <v>0</v>
      </c>
      <c r="M19" s="18" t="n">
        <v>0</v>
      </c>
      <c r="N19" s="20" t="n">
        <v>0</v>
      </c>
      <c r="O19" s="18" t="n">
        <v>0</v>
      </c>
      <c r="P19" s="20" t="n">
        <v>0</v>
      </c>
      <c r="Q19" s="18" t="n">
        <v>0.59124682</v>
      </c>
      <c r="R19" s="20" t="n">
        <v>0.34262218</v>
      </c>
    </row>
    <row r="20" spans="1:18">
      <c r="A20" s="15" t="s">
        <v>580</v>
      </c>
      <c r="B20" s="17" t="n">
        <v>1630</v>
      </c>
      <c r="C20" s="18">
        <f>(1450.0/B20*100)</f>
        <v/>
      </c>
      <c r="D20" s="19" t="n">
        <v>180</v>
      </c>
      <c r="E20" s="18" t="n">
        <v>41.61613916</v>
      </c>
      <c r="F20" s="20" t="n">
        <v>3.73651117</v>
      </c>
      <c r="G20" s="18" t="n">
        <v>56.19078143</v>
      </c>
      <c r="H20" s="20" t="n">
        <v>3.72710788</v>
      </c>
      <c r="I20" s="18" t="s">
        <v>567</v>
      </c>
      <c r="J20" s="20" t="s">
        <v>567</v>
      </c>
      <c r="K20" s="18" t="n">
        <v>1.66068989</v>
      </c>
      <c r="L20" s="20" t="n">
        <v>0.96484635</v>
      </c>
      <c r="M20" s="18" t="n">
        <v>0</v>
      </c>
      <c r="N20" s="20" t="n">
        <v>0</v>
      </c>
      <c r="O20" s="18" t="n">
        <v>0</v>
      </c>
      <c r="P20" s="20" t="n">
        <v>0</v>
      </c>
      <c r="Q20" s="18" t="n">
        <v>0.53238951</v>
      </c>
      <c r="R20" s="20" t="n">
        <v>0.53608613</v>
      </c>
    </row>
    <row r="21" spans="1:18">
      <c r="A21" s="15" t="s">
        <v>581</v>
      </c>
      <c r="B21" s="17" t="n">
        <v>2908</v>
      </c>
      <c r="C21" s="18">
        <f>(2568.0/B21*100)</f>
        <v/>
      </c>
      <c r="D21" s="19" t="n">
        <v>340</v>
      </c>
      <c r="E21" s="18" t="n">
        <v>51.38585754</v>
      </c>
      <c r="F21" s="20" t="n">
        <v>2.82130996</v>
      </c>
      <c r="G21" s="18" t="n">
        <v>47.76178335</v>
      </c>
      <c r="H21" s="20" t="n">
        <v>2.92530018</v>
      </c>
      <c r="I21" s="18" t="s">
        <v>567</v>
      </c>
      <c r="J21" s="20" t="s">
        <v>567</v>
      </c>
      <c r="K21" s="18" t="n">
        <v>0</v>
      </c>
      <c r="L21" s="20" t="n">
        <v>0</v>
      </c>
      <c r="M21" s="18" t="n">
        <v>0</v>
      </c>
      <c r="N21" s="20" t="n">
        <v>0</v>
      </c>
      <c r="O21" s="18" t="n">
        <v>0</v>
      </c>
      <c r="P21" s="20" t="n">
        <v>0</v>
      </c>
      <c r="Q21" s="18" t="n">
        <v>0.8523591</v>
      </c>
      <c r="R21" s="20" t="n">
        <v>0.59591894</v>
      </c>
    </row>
    <row r="22" spans="1:18">
      <c r="A22" s="15" t="s">
        <v>582</v>
      </c>
      <c r="B22" s="17" t="n">
        <v>2931</v>
      </c>
      <c r="C22" s="18">
        <f>(2611.0/B22*100)</f>
        <v/>
      </c>
      <c r="D22" s="19" t="n">
        <v>320</v>
      </c>
      <c r="E22" s="18" t="n">
        <v>47.83485762</v>
      </c>
      <c r="F22" s="20" t="n">
        <v>3.46877318</v>
      </c>
      <c r="G22" s="18" t="n">
        <v>51.02835505</v>
      </c>
      <c r="H22" s="20" t="n">
        <v>3.43898013</v>
      </c>
      <c r="I22" s="18" t="s">
        <v>567</v>
      </c>
      <c r="J22" s="20" t="s">
        <v>567</v>
      </c>
      <c r="K22" s="18" t="n">
        <v>0.55220396</v>
      </c>
      <c r="L22" s="20" t="n">
        <v>0.53709442</v>
      </c>
      <c r="M22" s="18" t="n">
        <v>0</v>
      </c>
      <c r="N22" s="20" t="n">
        <v>0</v>
      </c>
      <c r="O22" s="18" t="n">
        <v>0</v>
      </c>
      <c r="P22" s="20" t="n">
        <v>0</v>
      </c>
      <c r="Q22" s="18" t="n">
        <v>0.58458336</v>
      </c>
      <c r="R22" s="20" t="n">
        <v>0.40514776</v>
      </c>
    </row>
    <row r="23" spans="1:18">
      <c r="A23" s="15" t="s">
        <v>583</v>
      </c>
      <c r="B23" s="17" t="n">
        <v>5791</v>
      </c>
      <c r="C23" s="18">
        <f>(5194.0/B23*100)</f>
        <v/>
      </c>
      <c r="D23" s="19" t="n">
        <v>597</v>
      </c>
      <c r="E23" s="18" t="n">
        <v>41.0218317</v>
      </c>
      <c r="F23" s="20" t="n">
        <v>3.10807343</v>
      </c>
      <c r="G23" s="18" t="n">
        <v>57.52558396</v>
      </c>
      <c r="H23" s="20" t="n">
        <v>3.16053943</v>
      </c>
      <c r="I23" s="18" t="s">
        <v>567</v>
      </c>
      <c r="J23" s="20" t="s">
        <v>567</v>
      </c>
      <c r="K23" s="18" t="n">
        <v>0</v>
      </c>
      <c r="L23" s="20" t="n">
        <v>0</v>
      </c>
      <c r="M23" s="18" t="n">
        <v>0</v>
      </c>
      <c r="N23" s="20" t="n">
        <v>0</v>
      </c>
      <c r="O23" s="18" t="n">
        <v>0</v>
      </c>
      <c r="P23" s="20" t="n">
        <v>0</v>
      </c>
      <c r="Q23" s="18" t="n">
        <v>1.45258434</v>
      </c>
      <c r="R23" s="20" t="n">
        <v>0.71151966</v>
      </c>
    </row>
    <row r="24" spans="1:18">
      <c r="A24" s="15" t="s">
        <v>584</v>
      </c>
      <c r="B24" s="17" t="n">
        <v>3338</v>
      </c>
      <c r="C24" s="18">
        <f>(2957.0/B24*100)</f>
        <v/>
      </c>
      <c r="D24" s="19" t="n">
        <v>381</v>
      </c>
      <c r="E24" s="18" t="n">
        <v>36.98154252</v>
      </c>
      <c r="F24" s="20" t="n">
        <v>2.11413729</v>
      </c>
      <c r="G24" s="18" t="n">
        <v>63.01845748</v>
      </c>
      <c r="H24" s="20" t="n">
        <v>2.11413729</v>
      </c>
      <c r="I24" s="18" t="s">
        <v>567</v>
      </c>
      <c r="J24" s="20" t="s">
        <v>567</v>
      </c>
      <c r="K24" s="18" t="n">
        <v>0</v>
      </c>
      <c r="L24" s="20" t="n">
        <v>0</v>
      </c>
      <c r="M24" s="18" t="n">
        <v>0</v>
      </c>
      <c r="N24" s="20" t="n">
        <v>0</v>
      </c>
      <c r="O24" s="18" t="n">
        <v>0</v>
      </c>
      <c r="P24" s="20" t="n">
        <v>0</v>
      </c>
      <c r="Q24" s="18" t="n">
        <v>0</v>
      </c>
      <c r="R24" s="20" t="n">
        <v>0</v>
      </c>
    </row>
    <row r="25" spans="1:18">
      <c r="A25" s="15" t="s">
        <v>585</v>
      </c>
      <c r="B25" s="17" t="n">
        <v>2912</v>
      </c>
      <c r="C25" s="18">
        <f>(2603.0/B25*100)</f>
        <v/>
      </c>
      <c r="D25" s="19" t="n">
        <v>309</v>
      </c>
      <c r="E25" s="18" t="n">
        <v>37.72326651</v>
      </c>
      <c r="F25" s="20" t="n">
        <v>2.53823848</v>
      </c>
      <c r="G25" s="18" t="n">
        <v>61.79040678</v>
      </c>
      <c r="H25" s="20" t="n">
        <v>2.53678293</v>
      </c>
      <c r="I25" s="18" t="s">
        <v>567</v>
      </c>
      <c r="J25" s="20" t="s">
        <v>567</v>
      </c>
      <c r="K25" s="18" t="n">
        <v>0.28539126</v>
      </c>
      <c r="L25" s="20" t="n">
        <v>0.28951968</v>
      </c>
      <c r="M25" s="18" t="n">
        <v>0</v>
      </c>
      <c r="N25" s="20" t="n">
        <v>0</v>
      </c>
      <c r="O25" s="18" t="n">
        <v>0</v>
      </c>
      <c r="P25" s="20" t="n">
        <v>0</v>
      </c>
      <c r="Q25" s="18" t="n">
        <v>0.20093545</v>
      </c>
      <c r="R25" s="20" t="n">
        <v>0.20132188</v>
      </c>
    </row>
    <row r="26" spans="1:18">
      <c r="A26" s="15" t="s">
        <v>586</v>
      </c>
      <c r="B26" s="17" t="n">
        <v>2450</v>
      </c>
      <c r="C26" s="18">
        <f>(2166.0/B26*100)</f>
        <v/>
      </c>
      <c r="D26" s="19" t="n">
        <v>284</v>
      </c>
      <c r="E26" s="18" t="n">
        <v>39.88037484</v>
      </c>
      <c r="F26" s="20" t="n">
        <v>2.6394904</v>
      </c>
      <c r="G26" s="18" t="n">
        <v>60.11962516</v>
      </c>
      <c r="H26" s="20" t="n">
        <v>2.6394904</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(2307.0/B27*100)</f>
        <v/>
      </c>
      <c r="D27" s="19" t="n">
        <v>309</v>
      </c>
      <c r="E27" s="18" t="n">
        <v>44.44452107</v>
      </c>
      <c r="F27" s="20" t="n">
        <v>2.66317256</v>
      </c>
      <c r="G27" s="18" t="n">
        <v>53.62482649</v>
      </c>
      <c r="H27" s="20" t="n">
        <v>2.6646127</v>
      </c>
      <c r="I27" s="18" t="s">
        <v>567</v>
      </c>
      <c r="J27" s="20" t="s">
        <v>567</v>
      </c>
      <c r="K27" s="18" t="n">
        <v>0.95803743</v>
      </c>
      <c r="L27" s="20" t="n">
        <v>0.54513242</v>
      </c>
      <c r="M27" s="18" t="n">
        <v>0</v>
      </c>
      <c r="N27" s="20" t="n">
        <v>0</v>
      </c>
      <c r="O27" s="18" t="n">
        <v>0</v>
      </c>
      <c r="P27" s="20" t="n">
        <v>0</v>
      </c>
      <c r="Q27" s="18" t="n">
        <v>0.9726150099999999</v>
      </c>
      <c r="R27" s="20" t="n">
        <v>0.55488395</v>
      </c>
    </row>
    <row r="28" spans="1:18">
      <c r="A28" s="15" t="s">
        <v>588</v>
      </c>
      <c r="B28" s="17" t="n">
        <v>3765</v>
      </c>
      <c r="C28" s="18">
        <f>(3347.0/B28*100)</f>
        <v/>
      </c>
      <c r="D28" s="19" t="n">
        <v>418</v>
      </c>
      <c r="E28" s="18" t="n">
        <v>79.84376184</v>
      </c>
      <c r="F28" s="20" t="n">
        <v>1.95001935</v>
      </c>
      <c r="G28" s="18" t="n">
        <v>18.1124936</v>
      </c>
      <c r="H28" s="20" t="n">
        <v>1.88480269</v>
      </c>
      <c r="I28" s="18" t="s">
        <v>567</v>
      </c>
      <c r="J28" s="20" t="s">
        <v>567</v>
      </c>
      <c r="K28" s="18" t="n">
        <v>0.78471636</v>
      </c>
      <c r="L28" s="20" t="n">
        <v>0.5031413300000001</v>
      </c>
      <c r="M28" s="18" t="n">
        <v>0</v>
      </c>
      <c r="N28" s="20" t="n">
        <v>0</v>
      </c>
      <c r="O28" s="18" t="n">
        <v>0</v>
      </c>
      <c r="P28" s="20" t="n">
        <v>0</v>
      </c>
      <c r="Q28" s="18" t="n">
        <v>1.25902821</v>
      </c>
      <c r="R28" s="20" t="n">
        <v>0.65057286</v>
      </c>
    </row>
    <row r="29" spans="1:18">
      <c r="A29" s="15" t="s">
        <v>589</v>
      </c>
      <c r="B29" s="17" t="n">
        <v>2685</v>
      </c>
      <c r="C29" s="18">
        <f>(2429.0/B29*100)</f>
        <v/>
      </c>
      <c r="D29" s="19" t="n">
        <v>256</v>
      </c>
      <c r="E29" s="18" t="n">
        <v>34.57245888</v>
      </c>
      <c r="F29" s="20" t="n">
        <v>3.65076375</v>
      </c>
      <c r="G29" s="18" t="n">
        <v>64.35736436000001</v>
      </c>
      <c r="H29" s="20" t="n">
        <v>3.67042808</v>
      </c>
      <c r="I29" s="18" t="s">
        <v>567</v>
      </c>
      <c r="J29" s="20" t="s">
        <v>567</v>
      </c>
      <c r="K29" s="18" t="n">
        <v>0.35316455</v>
      </c>
      <c r="L29" s="20" t="n">
        <v>0.3362382</v>
      </c>
      <c r="M29" s="18" t="n">
        <v>0</v>
      </c>
      <c r="N29" s="20" t="n">
        <v>0</v>
      </c>
      <c r="O29" s="18" t="n">
        <v>0</v>
      </c>
      <c r="P29" s="20" t="n">
        <v>0</v>
      </c>
      <c r="Q29" s="18" t="n">
        <v>0.71701221</v>
      </c>
      <c r="R29" s="20" t="n">
        <v>0.49057945</v>
      </c>
    </row>
    <row r="30" spans="1:18">
      <c r="A30" s="15" t="s">
        <v>590</v>
      </c>
      <c r="B30" s="17" t="n">
        <v>2263</v>
      </c>
      <c r="C30" s="18">
        <f>(1999.0/B30*100)</f>
        <v/>
      </c>
      <c r="D30" s="19" t="n">
        <v>264</v>
      </c>
      <c r="E30" s="18" t="n">
        <v>42.49790721</v>
      </c>
      <c r="F30" s="20" t="n">
        <v>3.2823303</v>
      </c>
      <c r="G30" s="18" t="n">
        <v>55.62252172</v>
      </c>
      <c r="H30" s="20" t="n">
        <v>3.15448638</v>
      </c>
      <c r="I30" s="18" t="s">
        <v>567</v>
      </c>
      <c r="J30" s="20" t="s">
        <v>567</v>
      </c>
      <c r="K30" s="18" t="n">
        <v>0</v>
      </c>
      <c r="L30" s="20" t="n">
        <v>0</v>
      </c>
      <c r="M30" s="18" t="n">
        <v>0</v>
      </c>
      <c r="N30" s="20" t="n">
        <v>0</v>
      </c>
      <c r="O30" s="18" t="n">
        <v>0</v>
      </c>
      <c r="P30" s="20" t="n">
        <v>0</v>
      </c>
      <c r="Q30" s="18" t="n">
        <v>1.87957107</v>
      </c>
      <c r="R30" s="20" t="n">
        <v>0.69974433</v>
      </c>
    </row>
    <row r="31" spans="1:18">
      <c r="A31" s="15" t="s">
        <v>591</v>
      </c>
      <c r="B31" s="17" t="n">
        <v>2750</v>
      </c>
      <c r="C31" s="18">
        <f>(2445.0/B31*100)</f>
        <v/>
      </c>
      <c r="D31" s="19" t="n">
        <v>305</v>
      </c>
      <c r="E31" s="18" t="n">
        <v>36.1440768</v>
      </c>
      <c r="F31" s="20" t="n">
        <v>2.56186254</v>
      </c>
      <c r="G31" s="18" t="n">
        <v>62.6772388</v>
      </c>
      <c r="H31" s="20" t="n">
        <v>2.64510169</v>
      </c>
      <c r="I31" s="18" t="s">
        <v>567</v>
      </c>
      <c r="J31" s="20" t="s">
        <v>567</v>
      </c>
      <c r="K31" s="18" t="n">
        <v>0.84664272</v>
      </c>
      <c r="L31" s="20" t="n">
        <v>0.55492681</v>
      </c>
      <c r="M31" s="18" t="n">
        <v>0</v>
      </c>
      <c r="N31" s="20" t="n">
        <v>0</v>
      </c>
      <c r="O31" s="18" t="n">
        <v>0</v>
      </c>
      <c r="P31" s="20" t="n">
        <v>0</v>
      </c>
      <c r="Q31" s="18" t="n">
        <v>0.33204168</v>
      </c>
      <c r="R31" s="20" t="n">
        <v>0.38954286</v>
      </c>
    </row>
    <row r="32" spans="1:18">
      <c r="A32" s="15" t="s">
        <v>592</v>
      </c>
      <c r="B32" s="17" t="n">
        <v>2269</v>
      </c>
      <c r="C32" s="18">
        <f>(2029.0/B32*100)</f>
        <v/>
      </c>
      <c r="D32" s="19" t="n">
        <v>240</v>
      </c>
      <c r="E32" s="18" t="n">
        <v>40.43623723</v>
      </c>
      <c r="F32" s="20" t="n">
        <v>3.03317373</v>
      </c>
      <c r="G32" s="18" t="n">
        <v>59.17148046</v>
      </c>
      <c r="H32" s="20" t="n">
        <v>3.06363349</v>
      </c>
      <c r="I32" s="18" t="s">
        <v>567</v>
      </c>
      <c r="J32" s="20" t="s">
        <v>567</v>
      </c>
      <c r="K32" s="18" t="n">
        <v>0</v>
      </c>
      <c r="L32" s="20" t="n">
        <v>0</v>
      </c>
      <c r="M32" s="18" t="n">
        <v>0</v>
      </c>
      <c r="N32" s="20" t="n">
        <v>0</v>
      </c>
      <c r="O32" s="18" t="n">
        <v>0</v>
      </c>
      <c r="P32" s="20" t="n">
        <v>0</v>
      </c>
      <c r="Q32" s="18" t="n">
        <v>0.3922823</v>
      </c>
      <c r="R32" s="20" t="n">
        <v>0.3936798</v>
      </c>
    </row>
    <row r="33" spans="1:18">
      <c r="A33" s="15" t="s">
        <v>593</v>
      </c>
      <c r="B33" s="17" t="n">
        <v>3674</v>
      </c>
      <c r="C33" s="18">
        <f>(3264.0/B33*100)</f>
        <v/>
      </c>
      <c r="D33" s="19" t="n">
        <v>410</v>
      </c>
      <c r="E33" s="18" t="n">
        <v>62.92817178</v>
      </c>
      <c r="F33" s="20" t="n">
        <v>2.87221798</v>
      </c>
      <c r="G33" s="18" t="n">
        <v>36.46718052</v>
      </c>
      <c r="H33" s="20" t="n">
        <v>2.92950514</v>
      </c>
      <c r="I33" s="18" t="s">
        <v>567</v>
      </c>
      <c r="J33" s="20" t="s">
        <v>567</v>
      </c>
      <c r="K33" s="18" t="n">
        <v>0.12764251</v>
      </c>
      <c r="L33" s="20" t="n">
        <v>0.11877681</v>
      </c>
      <c r="M33" s="18" t="n">
        <v>0</v>
      </c>
      <c r="N33" s="20" t="n">
        <v>0</v>
      </c>
      <c r="O33" s="18" t="n">
        <v>0</v>
      </c>
      <c r="P33" s="20" t="n">
        <v>0</v>
      </c>
      <c r="Q33" s="18" t="n">
        <v>0.47700519</v>
      </c>
      <c r="R33" s="20" t="n">
        <v>0.3095414</v>
      </c>
    </row>
    <row r="34" spans="1:18">
      <c r="A34" s="15" t="s">
        <v>594</v>
      </c>
      <c r="B34" s="17" t="n">
        <v>3315</v>
      </c>
      <c r="C34" s="18">
        <f>(2986.0/B34*100)</f>
        <v/>
      </c>
      <c r="D34" s="19" t="n">
        <v>329</v>
      </c>
      <c r="E34" s="18" t="n">
        <v>56.81149963</v>
      </c>
      <c r="F34" s="20" t="n">
        <v>2.76562787</v>
      </c>
      <c r="G34" s="18" t="n">
        <v>42.56538376</v>
      </c>
      <c r="H34" s="20" t="n">
        <v>2.73381795</v>
      </c>
      <c r="I34" s="18" t="s">
        <v>567</v>
      </c>
      <c r="J34" s="20" t="s">
        <v>567</v>
      </c>
      <c r="K34" s="18" t="n">
        <v>0</v>
      </c>
      <c r="L34" s="20" t="n">
        <v>0</v>
      </c>
      <c r="M34" s="18" t="n">
        <v>0</v>
      </c>
      <c r="N34" s="20" t="n">
        <v>0</v>
      </c>
      <c r="O34" s="18" t="n">
        <v>0</v>
      </c>
      <c r="P34" s="20" t="n">
        <v>0</v>
      </c>
      <c r="Q34" s="18" t="n">
        <v>0.62311661</v>
      </c>
      <c r="R34" s="20" t="n">
        <v>0.39259564</v>
      </c>
    </row>
    <row r="35" spans="1:18">
      <c r="A35" s="15" t="s">
        <v>595</v>
      </c>
      <c r="B35" s="17" t="n">
        <v>3505</v>
      </c>
      <c r="C35" s="18">
        <f>(3147.0/B35*100)</f>
        <v/>
      </c>
      <c r="D35" s="19" t="n">
        <v>358</v>
      </c>
      <c r="E35" s="18" t="n">
        <v>38.39334046</v>
      </c>
      <c r="F35" s="20" t="n">
        <v>3.30053165</v>
      </c>
      <c r="G35" s="18" t="n">
        <v>61.46749781</v>
      </c>
      <c r="H35" s="20" t="n">
        <v>3.28972472</v>
      </c>
      <c r="I35" s="18" t="s">
        <v>567</v>
      </c>
      <c r="J35" s="20" t="s">
        <v>567</v>
      </c>
      <c r="K35" s="18" t="n">
        <v>0</v>
      </c>
      <c r="L35" s="20" t="n">
        <v>0</v>
      </c>
      <c r="M35" s="18" t="n">
        <v>0</v>
      </c>
      <c r="N35" s="20" t="n">
        <v>0</v>
      </c>
      <c r="O35" s="18" t="n">
        <v>0</v>
      </c>
      <c r="P35" s="20" t="n">
        <v>0</v>
      </c>
      <c r="Q35" s="18" t="n">
        <v>0.13916173</v>
      </c>
      <c r="R35" s="20" t="n">
        <v>0.13235639</v>
      </c>
    </row>
    <row r="36" spans="1:18">
      <c r="A36" s="15" t="s">
        <v>596</v>
      </c>
      <c r="B36" s="17" t="n">
        <v>3332</v>
      </c>
      <c r="C36" s="18">
        <f>(2939.0/B36*100)</f>
        <v/>
      </c>
      <c r="D36" s="19" t="n">
        <v>393</v>
      </c>
      <c r="E36" s="18" t="n">
        <v>54.09597786</v>
      </c>
      <c r="F36" s="20" t="n">
        <v>2.77812615</v>
      </c>
      <c r="G36" s="18" t="n">
        <v>44.13754142</v>
      </c>
      <c r="H36" s="20" t="n">
        <v>2.87373691</v>
      </c>
      <c r="I36" s="18" t="s">
        <v>567</v>
      </c>
      <c r="J36" s="20" t="s">
        <v>567</v>
      </c>
      <c r="K36" s="18" t="n">
        <v>1.22603179</v>
      </c>
      <c r="L36" s="20" t="n">
        <v>0.57326244</v>
      </c>
      <c r="M36" s="18" t="n">
        <v>0</v>
      </c>
      <c r="N36" s="20" t="n">
        <v>0</v>
      </c>
      <c r="O36" s="18" t="n">
        <v>0</v>
      </c>
      <c r="P36" s="20" t="n">
        <v>0</v>
      </c>
      <c r="Q36" s="18" t="n">
        <v>0.54044893</v>
      </c>
      <c r="R36" s="20" t="n">
        <v>0.36705908</v>
      </c>
    </row>
    <row r="37" spans="1:18">
      <c r="A37" s="15" t="s">
        <v>597</v>
      </c>
      <c r="B37" s="17" t="n">
        <v>2727</v>
      </c>
      <c r="C37" s="18">
        <f>(2430.0/B37*100)</f>
        <v/>
      </c>
      <c r="D37" s="19" t="n">
        <v>297</v>
      </c>
      <c r="E37" s="18" t="n">
        <v>37.77350953</v>
      </c>
      <c r="F37" s="20" t="n">
        <v>3.13238344</v>
      </c>
      <c r="G37" s="18" t="n">
        <v>60.34081847</v>
      </c>
      <c r="H37" s="20" t="n">
        <v>3.1093306</v>
      </c>
      <c r="I37" s="18" t="s">
        <v>567</v>
      </c>
      <c r="J37" s="20" t="s">
        <v>567</v>
      </c>
      <c r="K37" s="18" t="n">
        <v>0</v>
      </c>
      <c r="L37" s="20" t="n">
        <v>0</v>
      </c>
      <c r="M37" s="18" t="n">
        <v>0</v>
      </c>
      <c r="N37" s="20" t="n">
        <v>0</v>
      </c>
      <c r="O37" s="18" t="n">
        <v>0</v>
      </c>
      <c r="P37" s="20" t="n">
        <v>0</v>
      </c>
      <c r="Q37" s="18" t="n">
        <v>1.88567199</v>
      </c>
      <c r="R37" s="20" t="n">
        <v>0.96232672</v>
      </c>
    </row>
    <row r="38" spans="1:18">
      <c r="A38" s="15" t="s">
        <v>598</v>
      </c>
      <c r="B38" s="17" t="n">
        <v>3053</v>
      </c>
      <c r="C38" s="18">
        <f>(2713.0/B38*100)</f>
        <v/>
      </c>
      <c r="D38" s="19" t="n">
        <v>340</v>
      </c>
      <c r="E38" s="18" t="n">
        <v>43.75678106</v>
      </c>
      <c r="F38" s="20" t="n">
        <v>2.8881208</v>
      </c>
      <c r="G38" s="18" t="n">
        <v>55.97435517</v>
      </c>
      <c r="H38" s="20" t="n">
        <v>2.90678932</v>
      </c>
      <c r="I38" s="18" t="s">
        <v>567</v>
      </c>
      <c r="J38" s="20" t="s">
        <v>567</v>
      </c>
      <c r="K38" s="18" t="n">
        <v>0</v>
      </c>
      <c r="L38" s="20" t="n">
        <v>0</v>
      </c>
      <c r="M38" s="18" t="n">
        <v>0</v>
      </c>
      <c r="N38" s="20" t="n">
        <v>0</v>
      </c>
      <c r="O38" s="18" t="n">
        <v>0</v>
      </c>
      <c r="P38" s="20" t="n">
        <v>0</v>
      </c>
      <c r="Q38" s="18" t="n">
        <v>0.26886377</v>
      </c>
      <c r="R38" s="20" t="n">
        <v>0.25629685</v>
      </c>
    </row>
    <row r="39" spans="1:18">
      <c r="A39" s="15" t="s">
        <v>599</v>
      </c>
      <c r="B39" s="17" t="n">
        <v>2957</v>
      </c>
      <c r="C39" s="18">
        <f>(2647.0/B39*100)</f>
        <v/>
      </c>
      <c r="D39" s="19" t="n">
        <v>310</v>
      </c>
      <c r="E39" s="18" t="n">
        <v>60.10035877</v>
      </c>
      <c r="F39" s="20" t="n">
        <v>3.54747484</v>
      </c>
      <c r="G39" s="18" t="n">
        <v>39.89964123</v>
      </c>
      <c r="H39" s="20" t="n">
        <v>3.54747484</v>
      </c>
      <c r="I39" s="18" t="s">
        <v>567</v>
      </c>
      <c r="J39" s="20" t="s">
        <v>567</v>
      </c>
      <c r="K39" s="18" t="n">
        <v>0</v>
      </c>
      <c r="L39" s="20" t="n">
        <v>0</v>
      </c>
      <c r="M39" s="18" t="n">
        <v>0</v>
      </c>
      <c r="N39" s="20" t="n">
        <v>0</v>
      </c>
      <c r="O39" s="18" t="n">
        <v>0</v>
      </c>
      <c r="P39" s="20" t="n">
        <v>0</v>
      </c>
      <c r="Q39" s="18" t="n">
        <v>0</v>
      </c>
      <c r="R39" s="20" t="n">
        <v>0</v>
      </c>
    </row>
    <row r="40" spans="1:18">
      <c r="A40" s="15" t="s">
        <v>600</v>
      </c>
      <c r="B40" s="17" t="n">
        <v>7235</v>
      </c>
      <c r="C40" s="18">
        <f>(6426.0/B40*100)</f>
        <v/>
      </c>
      <c r="D40" s="19" t="n">
        <v>809</v>
      </c>
      <c r="E40" s="18" t="n">
        <v>48.79966485</v>
      </c>
      <c r="F40" s="20" t="n">
        <v>2.47763676</v>
      </c>
      <c r="G40" s="18" t="n">
        <v>50.14571462</v>
      </c>
      <c r="H40" s="20" t="n">
        <v>2.54402443</v>
      </c>
      <c r="I40" s="18" t="s">
        <v>567</v>
      </c>
      <c r="J40" s="20" t="s">
        <v>567</v>
      </c>
      <c r="K40" s="18" t="n">
        <v>0.06437093000000001</v>
      </c>
      <c r="L40" s="20" t="n">
        <v>0.04954008</v>
      </c>
      <c r="M40" s="18" t="n">
        <v>0</v>
      </c>
      <c r="N40" s="20" t="n">
        <v>0</v>
      </c>
      <c r="O40" s="18" t="n">
        <v>0</v>
      </c>
      <c r="P40" s="20" t="n">
        <v>0</v>
      </c>
      <c r="Q40" s="18" t="n">
        <v>0.9902496</v>
      </c>
      <c r="R40" s="20" t="n">
        <v>0.59333722</v>
      </c>
    </row>
    <row r="41" spans="1:18">
      <c r="A41" s="15" t="s">
        <v>601</v>
      </c>
      <c r="B41" s="17" t="n">
        <v>2858</v>
      </c>
      <c r="C41" s="18">
        <f>(2508.0/B41*100)</f>
        <v/>
      </c>
      <c r="D41" s="19" t="n">
        <v>350</v>
      </c>
      <c r="E41" s="18" t="n">
        <v>46.68589846</v>
      </c>
      <c r="F41" s="20" t="n">
        <v>3.02930973</v>
      </c>
      <c r="G41" s="18" t="n">
        <v>51.95264594</v>
      </c>
      <c r="H41" s="20" t="n">
        <v>2.99197294</v>
      </c>
      <c r="I41" s="18" t="s">
        <v>567</v>
      </c>
      <c r="J41" s="20" t="s">
        <v>567</v>
      </c>
      <c r="K41" s="18" t="n">
        <v>0.34690012</v>
      </c>
      <c r="L41" s="20" t="n">
        <v>0.3233444</v>
      </c>
      <c r="M41" s="18" t="n">
        <v>0</v>
      </c>
      <c r="N41" s="20" t="n">
        <v>0</v>
      </c>
      <c r="O41" s="18" t="n">
        <v>0</v>
      </c>
      <c r="P41" s="20" t="n">
        <v>0</v>
      </c>
      <c r="Q41" s="18" t="n">
        <v>1.01455548</v>
      </c>
      <c r="R41" s="20" t="n">
        <v>0.52224328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(10031.0/B46*100)</f>
        <v/>
      </c>
      <c r="D46" s="19" t="n">
        <v>1037</v>
      </c>
      <c r="E46" s="18" t="n">
        <v>60.67985032</v>
      </c>
      <c r="F46" s="20" t="n">
        <v>1.79030724</v>
      </c>
      <c r="G46" s="18" t="n">
        <v>37.84091439</v>
      </c>
      <c r="H46" s="20" t="n">
        <v>1.7822426</v>
      </c>
      <c r="I46" s="18" t="s">
        <v>567</v>
      </c>
      <c r="J46" s="20" t="s">
        <v>567</v>
      </c>
      <c r="K46" s="18" t="n">
        <v>0.8548333</v>
      </c>
      <c r="L46" s="20" t="n">
        <v>0.36696343</v>
      </c>
      <c r="M46" s="18" t="n">
        <v>0</v>
      </c>
      <c r="N46" s="20" t="n">
        <v>0</v>
      </c>
      <c r="O46" s="18" t="n">
        <v>0</v>
      </c>
      <c r="P46" s="20" t="n">
        <v>0</v>
      </c>
      <c r="Q46" s="18" t="n">
        <v>0.62440199</v>
      </c>
      <c r="R46" s="20" t="n">
        <v>0.22709542</v>
      </c>
    </row>
    <row r="47" spans="1:18">
      <c r="A47" s="15" t="s">
        <v>607</v>
      </c>
      <c r="B47" s="17" t="n">
        <v>3105</v>
      </c>
      <c r="C47" s="18">
        <f>(2758.0/B47*100)</f>
        <v/>
      </c>
      <c r="D47" s="19" t="n">
        <v>347</v>
      </c>
      <c r="E47" s="18" t="n">
        <v>53.38808246</v>
      </c>
      <c r="F47" s="20" t="n">
        <v>2.87119424</v>
      </c>
      <c r="G47" s="18" t="n">
        <v>45.23453865</v>
      </c>
      <c r="H47" s="20" t="n">
        <v>2.90394093</v>
      </c>
      <c r="I47" s="18" t="s">
        <v>567</v>
      </c>
      <c r="J47" s="20" t="s">
        <v>567</v>
      </c>
      <c r="K47" s="18" t="n">
        <v>0.53927497</v>
      </c>
      <c r="L47" s="20" t="n">
        <v>0.40715567</v>
      </c>
      <c r="M47" s="18" t="n">
        <v>0</v>
      </c>
      <c r="N47" s="20" t="n">
        <v>0</v>
      </c>
      <c r="O47" s="18" t="n">
        <v>0</v>
      </c>
      <c r="P47" s="20" t="n">
        <v>0</v>
      </c>
      <c r="Q47" s="18" t="n">
        <v>0.8381039300000001</v>
      </c>
      <c r="R47" s="20" t="n">
        <v>0.4791681</v>
      </c>
    </row>
    <row r="48" spans="1:18">
      <c r="A48" s="15" t="s">
        <v>608</v>
      </c>
      <c r="B48" s="17" t="n">
        <v>5159</v>
      </c>
      <c r="C48" s="18">
        <f>(4593.0/B48*100)</f>
        <v/>
      </c>
      <c r="D48" s="19" t="n">
        <v>566</v>
      </c>
      <c r="E48" s="18" t="n">
        <v>42.6847206</v>
      </c>
      <c r="F48" s="20" t="n">
        <v>2.84674371</v>
      </c>
      <c r="G48" s="18" t="n">
        <v>56.48887239</v>
      </c>
      <c r="H48" s="20" t="n">
        <v>2.89195362</v>
      </c>
      <c r="I48" s="18" t="s">
        <v>567</v>
      </c>
      <c r="J48" s="20" t="s">
        <v>567</v>
      </c>
      <c r="K48" s="18" t="n">
        <v>0</v>
      </c>
      <c r="L48" s="20" t="n">
        <v>0</v>
      </c>
      <c r="M48" s="18" t="n">
        <v>0</v>
      </c>
      <c r="N48" s="20" t="n">
        <v>0</v>
      </c>
      <c r="O48" s="18" t="n">
        <v>0</v>
      </c>
      <c r="P48" s="20" t="n">
        <v>0</v>
      </c>
      <c r="Q48" s="18" t="n">
        <v>0.82640702</v>
      </c>
      <c r="R48" s="20" t="n">
        <v>0.43616682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(5032.0/B50*100)</f>
        <v/>
      </c>
      <c r="D50" s="19" t="n">
        <v>605</v>
      </c>
      <c r="E50" s="18" t="n">
        <v>67.19447855999999</v>
      </c>
      <c r="F50" s="20" t="n">
        <v>2.28456714</v>
      </c>
      <c r="G50" s="18" t="n">
        <v>31.81306946</v>
      </c>
      <c r="H50" s="20" t="n">
        <v>2.26637027</v>
      </c>
      <c r="I50" s="18" t="s">
        <v>567</v>
      </c>
      <c r="J50" s="20" t="s">
        <v>567</v>
      </c>
      <c r="K50" s="18" t="n">
        <v>0.55019279</v>
      </c>
      <c r="L50" s="20" t="n">
        <v>0.38216071</v>
      </c>
      <c r="M50" s="18" t="n">
        <v>0</v>
      </c>
      <c r="N50" s="20" t="n">
        <v>0</v>
      </c>
      <c r="O50" s="18" t="n">
        <v>0</v>
      </c>
      <c r="P50" s="20" t="n">
        <v>0</v>
      </c>
      <c r="Q50" s="18" t="n">
        <v>0.4422592</v>
      </c>
      <c r="R50" s="20" t="n">
        <v>0.30041476</v>
      </c>
    </row>
    <row r="51" spans="1:18">
      <c r="A51" s="15" t="s">
        <v>611</v>
      </c>
      <c r="B51" s="17" t="n">
        <v>3372</v>
      </c>
      <c r="C51" s="18">
        <f>(3051.0/B51*100)</f>
        <v/>
      </c>
      <c r="D51" s="19" t="n">
        <v>321</v>
      </c>
      <c r="E51" s="18" t="n">
        <v>68.46151273</v>
      </c>
      <c r="F51" s="20" t="n">
        <v>2.37779467</v>
      </c>
      <c r="G51" s="18" t="n">
        <v>29.46580862</v>
      </c>
      <c r="H51" s="20" t="n">
        <v>2.46088192</v>
      </c>
      <c r="I51" s="18" t="s">
        <v>567</v>
      </c>
      <c r="J51" s="20" t="s">
        <v>567</v>
      </c>
      <c r="K51" s="18" t="n">
        <v>1.2032658</v>
      </c>
      <c r="L51" s="20" t="n">
        <v>0.58616504</v>
      </c>
      <c r="M51" s="18" t="n">
        <v>0</v>
      </c>
      <c r="N51" s="20" t="n">
        <v>0</v>
      </c>
      <c r="O51" s="18" t="n">
        <v>0</v>
      </c>
      <c r="P51" s="20" t="n">
        <v>0</v>
      </c>
      <c r="Q51" s="18" t="n">
        <v>0.86941285</v>
      </c>
      <c r="R51" s="20" t="n">
        <v>0.52219819</v>
      </c>
    </row>
    <row r="52" spans="1:18">
      <c r="A52" s="15" t="s">
        <v>612</v>
      </c>
      <c r="B52" s="17" t="n">
        <v>2796</v>
      </c>
      <c r="C52" s="18">
        <f>(2502.0/B52*100)</f>
        <v/>
      </c>
      <c r="D52" s="19" t="n">
        <v>294</v>
      </c>
      <c r="E52" s="18" t="n">
        <v>49.81986846</v>
      </c>
      <c r="F52" s="20" t="n">
        <v>3.10285951</v>
      </c>
      <c r="G52" s="18" t="n">
        <v>49.30431258</v>
      </c>
      <c r="H52" s="20" t="n">
        <v>3.080189</v>
      </c>
      <c r="I52" s="18" t="s">
        <v>567</v>
      </c>
      <c r="J52" s="20" t="s">
        <v>567</v>
      </c>
      <c r="K52" s="18" t="n">
        <v>0</v>
      </c>
      <c r="L52" s="20" t="n">
        <v>0</v>
      </c>
      <c r="M52" s="18" t="n">
        <v>0</v>
      </c>
      <c r="N52" s="20" t="n">
        <v>0</v>
      </c>
      <c r="O52" s="18" t="n">
        <v>0</v>
      </c>
      <c r="P52" s="20" t="n">
        <v>0</v>
      </c>
      <c r="Q52" s="18" t="n">
        <v>0.87581897</v>
      </c>
      <c r="R52" s="20" t="n">
        <v>0.33345196</v>
      </c>
    </row>
    <row r="53" spans="1:18">
      <c r="A53" s="15" t="s">
        <v>613</v>
      </c>
      <c r="B53" s="17" t="n">
        <v>2811</v>
      </c>
      <c r="C53" s="18">
        <f>(2490.0/B53*100)</f>
        <v/>
      </c>
      <c r="D53" s="19" t="n">
        <v>321</v>
      </c>
      <c r="E53" s="18" t="n">
        <v>53.61042139</v>
      </c>
      <c r="F53" s="20" t="n">
        <v>2.9875618</v>
      </c>
      <c r="G53" s="18" t="n">
        <v>45.13271052</v>
      </c>
      <c r="H53" s="20" t="n">
        <v>2.8680697</v>
      </c>
      <c r="I53" s="18" t="s">
        <v>567</v>
      </c>
      <c r="J53" s="20" t="s">
        <v>567</v>
      </c>
      <c r="K53" s="18" t="n">
        <v>0.45783337</v>
      </c>
      <c r="L53" s="20" t="n">
        <v>0.46325657</v>
      </c>
      <c r="M53" s="18" t="n">
        <v>0</v>
      </c>
      <c r="N53" s="20" t="n">
        <v>0</v>
      </c>
      <c r="O53" s="18" t="n">
        <v>0</v>
      </c>
      <c r="P53" s="20" t="n">
        <v>0</v>
      </c>
      <c r="Q53" s="18" t="n">
        <v>0.79903472</v>
      </c>
      <c r="R53" s="20" t="n">
        <v>0.45625715</v>
      </c>
    </row>
    <row r="54" spans="1:18">
      <c r="A54" s="15" t="s">
        <v>614</v>
      </c>
      <c r="B54" s="17" t="n">
        <v>2266</v>
      </c>
      <c r="C54" s="18">
        <f>(2024.0/B54*100)</f>
        <v/>
      </c>
      <c r="D54" s="19" t="n">
        <v>242</v>
      </c>
      <c r="E54" s="18" t="n">
        <v>70.86113398000001</v>
      </c>
      <c r="F54" s="20" t="n">
        <v>3.04209719</v>
      </c>
      <c r="G54" s="18" t="n">
        <v>16.0360551</v>
      </c>
      <c r="H54" s="20" t="n">
        <v>2.56813592</v>
      </c>
      <c r="I54" s="18" t="s">
        <v>567</v>
      </c>
      <c r="J54" s="20" t="s">
        <v>567</v>
      </c>
      <c r="K54" s="18" t="n">
        <v>10.65988688</v>
      </c>
      <c r="L54" s="20" t="n">
        <v>2.41530081</v>
      </c>
      <c r="M54" s="18" t="n">
        <v>0</v>
      </c>
      <c r="N54" s="20" t="n">
        <v>0</v>
      </c>
      <c r="O54" s="18" t="n">
        <v>0</v>
      </c>
      <c r="P54" s="20" t="n">
        <v>0</v>
      </c>
      <c r="Q54" s="18" t="n">
        <v>2.44292404</v>
      </c>
      <c r="R54" s="20" t="n">
        <v>0.97325196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(2401.0/B56*100)</f>
        <v/>
      </c>
      <c r="D56" s="19" t="n">
        <v>283</v>
      </c>
      <c r="E56" s="18" t="n">
        <v>36.11953748</v>
      </c>
      <c r="F56" s="20" t="n">
        <v>2.74167811</v>
      </c>
      <c r="G56" s="18" t="n">
        <v>63.88046252</v>
      </c>
      <c r="H56" s="20" t="n">
        <v>2.74167811</v>
      </c>
      <c r="I56" s="18" t="s">
        <v>567</v>
      </c>
      <c r="J56" s="20" t="s">
        <v>567</v>
      </c>
      <c r="K56" s="18" t="n">
        <v>0</v>
      </c>
      <c r="L56" s="20" t="n">
        <v>0</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(2978.0/B61*100)</f>
        <v/>
      </c>
      <c r="D61" s="19" t="n">
        <v>346</v>
      </c>
      <c r="E61" s="18" t="n">
        <v>41.42731737</v>
      </c>
      <c r="F61" s="20" t="n">
        <v>2.91756943</v>
      </c>
      <c r="G61" s="18" t="n">
        <v>58.14153451</v>
      </c>
      <c r="H61" s="20" t="n">
        <v>2.83593381</v>
      </c>
      <c r="I61" s="18" t="s">
        <v>567</v>
      </c>
      <c r="J61" s="20" t="s">
        <v>567</v>
      </c>
      <c r="K61" s="18" t="n">
        <v>0.10387639</v>
      </c>
      <c r="L61" s="20" t="n">
        <v>0.09931863</v>
      </c>
      <c r="M61" s="18" t="n">
        <v>0</v>
      </c>
      <c r="N61" s="20" t="n">
        <v>0</v>
      </c>
      <c r="O61" s="18" t="n">
        <v>0</v>
      </c>
      <c r="P61" s="20" t="n">
        <v>0</v>
      </c>
      <c r="Q61" s="18" t="n">
        <v>0.32727174</v>
      </c>
      <c r="R61" s="20" t="n">
        <v>0.32957297</v>
      </c>
    </row>
    <row r="62" spans="1:18">
      <c r="A62" s="15" t="s">
        <v>622</v>
      </c>
      <c r="B62" s="17" t="n">
        <v>2246</v>
      </c>
      <c r="C62" s="18">
        <f>(1990.0/B62*100)</f>
        <v/>
      </c>
      <c r="D62" s="19" t="n">
        <v>256</v>
      </c>
      <c r="E62" s="18" t="n">
        <v>46.22976271</v>
      </c>
      <c r="F62" s="20" t="n">
        <v>3.01562324</v>
      </c>
      <c r="G62" s="18" t="n">
        <v>53.37819283</v>
      </c>
      <c r="H62" s="20" t="n">
        <v>3.03358002</v>
      </c>
      <c r="I62" s="18" t="s">
        <v>567</v>
      </c>
      <c r="J62" s="20" t="s">
        <v>567</v>
      </c>
      <c r="K62" s="18" t="n">
        <v>0</v>
      </c>
      <c r="L62" s="20" t="n">
        <v>0</v>
      </c>
      <c r="M62" s="18" t="n">
        <v>0</v>
      </c>
      <c r="N62" s="20" t="n">
        <v>0</v>
      </c>
      <c r="O62" s="18" t="n">
        <v>0</v>
      </c>
      <c r="P62" s="20" t="n">
        <v>0</v>
      </c>
      <c r="Q62" s="18" t="n">
        <v>0.39204446</v>
      </c>
      <c r="R62" s="20" t="n">
        <v>0.39609604</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(2582.0/B66*100)</f>
        <v/>
      </c>
      <c r="D66" s="19" t="n">
        <v>312</v>
      </c>
      <c r="E66" s="18" t="n">
        <v>61.02283065</v>
      </c>
      <c r="F66" s="20" t="n">
        <v>3.02002062</v>
      </c>
      <c r="G66" s="18" t="n">
        <v>35.10923281</v>
      </c>
      <c r="H66" s="20" t="n">
        <v>2.95148504</v>
      </c>
      <c r="I66" s="18" t="s">
        <v>567</v>
      </c>
      <c r="J66" s="20" t="s">
        <v>567</v>
      </c>
      <c r="K66" s="18" t="n">
        <v>0.6400524399999999</v>
      </c>
      <c r="L66" s="20" t="n">
        <v>0.45792602</v>
      </c>
      <c r="M66" s="18" t="n">
        <v>0</v>
      </c>
      <c r="N66" s="20" t="n">
        <v>0</v>
      </c>
      <c r="O66" s="18" t="n">
        <v>0</v>
      </c>
      <c r="P66" s="20" t="n">
        <v>0</v>
      </c>
      <c r="Q66" s="18" t="n">
        <v>3.2278841</v>
      </c>
      <c r="R66" s="20" t="n">
        <v>1.14057899</v>
      </c>
    </row>
    <row r="67" spans="1:18">
      <c r="A67" s="15" t="s">
        <v>627</v>
      </c>
      <c r="B67" s="17" t="n">
        <v>3511</v>
      </c>
      <c r="C67" s="18">
        <f>(3165.0/B67*100)</f>
        <v/>
      </c>
      <c r="D67" s="19" t="n">
        <v>346</v>
      </c>
      <c r="E67" s="18" t="n">
        <v>74.11741361</v>
      </c>
      <c r="F67" s="20" t="n">
        <v>2.24845005</v>
      </c>
      <c r="G67" s="18" t="n">
        <v>24.52629673</v>
      </c>
      <c r="H67" s="20" t="n">
        <v>2.26885626</v>
      </c>
      <c r="I67" s="18" t="s">
        <v>567</v>
      </c>
      <c r="J67" s="20" t="s">
        <v>567</v>
      </c>
      <c r="K67" s="18" t="n">
        <v>0</v>
      </c>
      <c r="L67" s="20" t="n">
        <v>0</v>
      </c>
      <c r="M67" s="18" t="n">
        <v>0</v>
      </c>
      <c r="N67" s="20" t="n">
        <v>0</v>
      </c>
      <c r="O67" s="18" t="n">
        <v>0</v>
      </c>
      <c r="P67" s="20" t="n">
        <v>0</v>
      </c>
      <c r="Q67" s="18" t="n">
        <v>1.35628966</v>
      </c>
      <c r="R67" s="20" t="n">
        <v>0.60070322</v>
      </c>
    </row>
    <row r="68" spans="1:18">
      <c r="A68" s="15" t="s">
        <v>628</v>
      </c>
      <c r="B68" s="17" t="n">
        <v>6049</v>
      </c>
      <c r="C68" s="18">
        <f>(5393.0/B68*100)</f>
        <v/>
      </c>
      <c r="D68" s="19" t="n">
        <v>656</v>
      </c>
      <c r="E68" s="18" t="n">
        <v>61.39957747</v>
      </c>
      <c r="F68" s="20" t="n">
        <v>1.96913404</v>
      </c>
      <c r="G68" s="18" t="n">
        <v>35.08016171</v>
      </c>
      <c r="H68" s="20" t="n">
        <v>2.00406994</v>
      </c>
      <c r="I68" s="18" t="s">
        <v>567</v>
      </c>
      <c r="J68" s="20" t="s">
        <v>567</v>
      </c>
      <c r="K68" s="18" t="n">
        <v>1.68090396</v>
      </c>
      <c r="L68" s="20" t="n">
        <v>0.5408247900000001</v>
      </c>
      <c r="M68" s="18" t="n">
        <v>0</v>
      </c>
      <c r="N68" s="20" t="n">
        <v>0</v>
      </c>
      <c r="O68" s="18" t="n">
        <v>0</v>
      </c>
      <c r="P68" s="20" t="n">
        <v>0</v>
      </c>
      <c r="Q68" s="18" t="n">
        <v>1.83935686</v>
      </c>
      <c r="R68" s="20" t="n">
        <v>0.53320884</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(2617.0/B70*100)</f>
        <v/>
      </c>
      <c r="D70" s="19" t="n">
        <v>312</v>
      </c>
      <c r="E70" s="18" t="n">
        <v>43.89838994</v>
      </c>
      <c r="F70" s="20" t="n">
        <v>2.95165474</v>
      </c>
      <c r="G70" s="18" t="n">
        <v>54.9474031</v>
      </c>
      <c r="H70" s="20" t="n">
        <v>2.71741024</v>
      </c>
      <c r="I70" s="18" t="s">
        <v>567</v>
      </c>
      <c r="J70" s="20" t="s">
        <v>567</v>
      </c>
      <c r="K70" s="18" t="n">
        <v>0</v>
      </c>
      <c r="L70" s="20" t="n">
        <v>0</v>
      </c>
      <c r="M70" s="18" t="n">
        <v>0</v>
      </c>
      <c r="N70" s="20" t="n">
        <v>0</v>
      </c>
      <c r="O70" s="18" t="n">
        <v>0</v>
      </c>
      <c r="P70" s="20" t="n">
        <v>0</v>
      </c>
      <c r="Q70" s="18" t="n">
        <v>1.15420696</v>
      </c>
      <c r="R70" s="20" t="n">
        <v>1.16403883</v>
      </c>
    </row>
    <row r="71" spans="1:18">
      <c r="A71" s="15" t="s">
        <v>631</v>
      </c>
      <c r="B71" s="17" t="n">
        <v>3142</v>
      </c>
      <c r="C71" s="18">
        <f>(2748.0/B71*100)</f>
        <v/>
      </c>
      <c r="D71" s="19" t="n">
        <v>394</v>
      </c>
      <c r="E71" s="18" t="n">
        <v>32.34351936</v>
      </c>
      <c r="F71" s="20" t="n">
        <v>2.63615049</v>
      </c>
      <c r="G71" s="18" t="n">
        <v>66.97514971</v>
      </c>
      <c r="H71" s="20" t="n">
        <v>2.66661605</v>
      </c>
      <c r="I71" s="18" t="s">
        <v>567</v>
      </c>
      <c r="J71" s="20" t="s">
        <v>567</v>
      </c>
      <c r="K71" s="18" t="n">
        <v>0.17017099</v>
      </c>
      <c r="L71" s="20" t="n">
        <v>0.1682055</v>
      </c>
      <c r="M71" s="18" t="n">
        <v>0</v>
      </c>
      <c r="N71" s="20" t="n">
        <v>0</v>
      </c>
      <c r="O71" s="18" t="n">
        <v>0</v>
      </c>
      <c r="P71" s="20" t="n">
        <v>0</v>
      </c>
      <c r="Q71" s="18" t="n">
        <v>0.51115994</v>
      </c>
      <c r="R71" s="20" t="n">
        <v>0.36143004</v>
      </c>
    </row>
    <row r="72" spans="1:18">
      <c r="A72" s="15" t="s">
        <v>632</v>
      </c>
      <c r="B72" s="17" t="n">
        <v>3889</v>
      </c>
      <c r="C72" s="18">
        <f>(3470.0/B72*100)</f>
        <v/>
      </c>
      <c r="D72" s="19" t="n">
        <v>419</v>
      </c>
      <c r="E72" s="18" t="n">
        <v>52.15065187</v>
      </c>
      <c r="F72" s="20" t="n">
        <v>2.20343193</v>
      </c>
      <c r="G72" s="18" t="n">
        <v>47.65328436</v>
      </c>
      <c r="H72" s="20" t="n">
        <v>2.23131638</v>
      </c>
      <c r="I72" s="18" t="s">
        <v>567</v>
      </c>
      <c r="J72" s="20" t="s">
        <v>567</v>
      </c>
      <c r="K72" s="18" t="n">
        <v>0.19606377</v>
      </c>
      <c r="L72" s="20" t="n">
        <v>0.19668736</v>
      </c>
      <c r="M72" s="18" t="n">
        <v>0</v>
      </c>
      <c r="N72" s="20" t="n">
        <v>0</v>
      </c>
      <c r="O72" s="18" t="n">
        <v>0</v>
      </c>
      <c r="P72" s="20" t="n">
        <v>0</v>
      </c>
      <c r="Q72" s="18" t="n">
        <v>0</v>
      </c>
      <c r="R72" s="20" t="n">
        <v>0</v>
      </c>
    </row>
    <row r="73" spans="1:18">
      <c r="A73" s="15" t="s">
        <v>633</v>
      </c>
      <c r="B73" s="17" t="n">
        <v>3597</v>
      </c>
      <c r="C73" s="18">
        <f>(3218.0/B73*100)</f>
        <v/>
      </c>
      <c r="D73" s="19" t="n">
        <v>379</v>
      </c>
      <c r="E73" s="18" t="n">
        <v>55.37369757</v>
      </c>
      <c r="F73" s="20" t="n">
        <v>3.28629572</v>
      </c>
      <c r="G73" s="18" t="n">
        <v>42.93886654</v>
      </c>
      <c r="H73" s="20" t="n">
        <v>3.12361195</v>
      </c>
      <c r="I73" s="18" t="s">
        <v>567</v>
      </c>
      <c r="J73" s="20" t="s">
        <v>567</v>
      </c>
      <c r="K73" s="18" t="n">
        <v>0.16303531</v>
      </c>
      <c r="L73" s="20" t="n">
        <v>0.16314036</v>
      </c>
      <c r="M73" s="18" t="n">
        <v>0</v>
      </c>
      <c r="N73" s="20" t="n">
        <v>0</v>
      </c>
      <c r="O73" s="18" t="n">
        <v>0</v>
      </c>
      <c r="P73" s="20" t="n">
        <v>0</v>
      </c>
      <c r="Q73" s="18" t="n">
        <v>1.52440059</v>
      </c>
      <c r="R73" s="20" t="n">
        <v>0.91789033</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(2164.0/B75*100)</f>
        <v/>
      </c>
      <c r="D75" s="19" t="n">
        <v>242</v>
      </c>
      <c r="E75" s="18" t="n">
        <v>49.67890815</v>
      </c>
      <c r="F75" s="20" t="n">
        <v>3.42821966</v>
      </c>
      <c r="G75" s="18" t="n">
        <v>48.43541315</v>
      </c>
      <c r="H75" s="20" t="n">
        <v>3.45384534</v>
      </c>
      <c r="I75" s="18" t="s">
        <v>567</v>
      </c>
      <c r="J75" s="20" t="s">
        <v>567</v>
      </c>
      <c r="K75" s="18" t="n">
        <v>1.56071429</v>
      </c>
      <c r="L75" s="20" t="n">
        <v>0.5590670599999999</v>
      </c>
      <c r="M75" s="18" t="n">
        <v>0</v>
      </c>
      <c r="N75" s="20" t="n">
        <v>0</v>
      </c>
      <c r="O75" s="18" t="n">
        <v>0</v>
      </c>
      <c r="P75" s="20" t="n">
        <v>0</v>
      </c>
      <c r="Q75" s="18" t="n">
        <v>0.3249644</v>
      </c>
      <c r="R75" s="20" t="n">
        <v>0.32702835</v>
      </c>
    </row>
    <row r="76" spans="1:18">
      <c r="A76" s="15" t="s">
        <v>636</v>
      </c>
      <c r="B76" s="17" t="n">
        <v>7052</v>
      </c>
      <c r="C76" s="18">
        <f>(6261.0/B76*100)</f>
        <v/>
      </c>
      <c r="D76" s="19" t="n">
        <v>791</v>
      </c>
      <c r="E76" s="18" t="n">
        <v>57.41345082</v>
      </c>
      <c r="F76" s="20" t="n">
        <v>2.42733353</v>
      </c>
      <c r="G76" s="18" t="n">
        <v>40.99482918</v>
      </c>
      <c r="H76" s="20" t="n">
        <v>2.46305633</v>
      </c>
      <c r="I76" s="18" t="s">
        <v>567</v>
      </c>
      <c r="J76" s="20" t="s">
        <v>567</v>
      </c>
      <c r="K76" s="18" t="n">
        <v>0.58676965</v>
      </c>
      <c r="L76" s="20" t="n">
        <v>0.27865371</v>
      </c>
      <c r="M76" s="18" t="n">
        <v>0</v>
      </c>
      <c r="N76" s="20" t="n">
        <v>0</v>
      </c>
      <c r="O76" s="18" t="n">
        <v>0</v>
      </c>
      <c r="P76" s="20" t="n">
        <v>0</v>
      </c>
      <c r="Q76" s="18" t="n">
        <v>1.00495035</v>
      </c>
      <c r="R76" s="20" t="n">
        <v>0.40722732</v>
      </c>
    </row>
    <row r="77" spans="1:18">
      <c r="A77" s="15" t="s">
        <v>637</v>
      </c>
      <c r="B77" s="17" t="n">
        <v>2908</v>
      </c>
      <c r="C77" s="18">
        <f>(2618.0/B77*100)</f>
        <v/>
      </c>
      <c r="D77" s="19" t="n">
        <v>290</v>
      </c>
      <c r="E77" s="18" t="n">
        <v>62.91163281</v>
      </c>
      <c r="F77" s="20" t="n">
        <v>2.92255746</v>
      </c>
      <c r="G77" s="18" t="n">
        <v>34.71330836</v>
      </c>
      <c r="H77" s="20" t="n">
        <v>2.77405247</v>
      </c>
      <c r="I77" s="18" t="s">
        <v>567</v>
      </c>
      <c r="J77" s="20" t="s">
        <v>567</v>
      </c>
      <c r="K77" s="18" t="n">
        <v>1.72680184</v>
      </c>
      <c r="L77" s="20" t="n">
        <v>0.7589487</v>
      </c>
      <c r="M77" s="18" t="n">
        <v>0</v>
      </c>
      <c r="N77" s="20" t="n">
        <v>0</v>
      </c>
      <c r="O77" s="18" t="n">
        <v>0</v>
      </c>
      <c r="P77" s="20" t="n">
        <v>0</v>
      </c>
      <c r="Q77" s="18" t="n">
        <v>0.64825699</v>
      </c>
      <c r="R77" s="20" t="n">
        <v>0.36262292</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(3726.0/B81*100)</f>
        <v/>
      </c>
      <c r="D81" s="19" t="n">
        <v>437</v>
      </c>
      <c r="E81" s="18" t="n">
        <v>63.48960101</v>
      </c>
      <c r="F81" s="20" t="n">
        <v>2.57737231</v>
      </c>
      <c r="G81" s="18" t="n">
        <v>36.51039899</v>
      </c>
      <c r="H81" s="20" t="n">
        <v>2.57737231</v>
      </c>
      <c r="I81" s="18" t="s">
        <v>567</v>
      </c>
      <c r="J81" s="20" t="s">
        <v>567</v>
      </c>
      <c r="K81" s="18" t="n">
        <v>0</v>
      </c>
      <c r="L81" s="20" t="n">
        <v>0</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(6569.0/B7*100)</f>
        <v/>
      </c>
      <c r="D7" s="19" t="n">
        <v>798</v>
      </c>
      <c r="E7" s="18" t="n">
        <v>18.49800174</v>
      </c>
      <c r="F7" s="20" t="n">
        <v>1.94391871</v>
      </c>
      <c r="G7" s="18" t="n">
        <v>75.09583961</v>
      </c>
      <c r="H7" s="20" t="n">
        <v>2.09190802</v>
      </c>
      <c r="I7" s="18" t="s">
        <v>567</v>
      </c>
      <c r="J7" s="20" t="s">
        <v>567</v>
      </c>
      <c r="K7" s="18" t="n">
        <v>0.36598047</v>
      </c>
      <c r="L7" s="20" t="n">
        <v>0.20831724</v>
      </c>
      <c r="M7" s="18" t="n">
        <v>0</v>
      </c>
      <c r="N7" s="20" t="n">
        <v>0</v>
      </c>
      <c r="O7" s="18" t="n">
        <v>0</v>
      </c>
      <c r="P7" s="20" t="n">
        <v>0</v>
      </c>
      <c r="Q7" s="18" t="n">
        <v>6.04017819</v>
      </c>
      <c r="R7" s="20" t="n">
        <v>0.93916987</v>
      </c>
    </row>
    <row r="8" spans="1:18">
      <c r="A8" s="15" t="s">
        <v>568</v>
      </c>
      <c r="B8" s="17" t="n">
        <v>3564</v>
      </c>
      <c r="C8" s="18">
        <f>(3170.0/B8*100)</f>
        <v/>
      </c>
      <c r="D8" s="19" t="n">
        <v>394</v>
      </c>
      <c r="E8" s="18" t="n">
        <v>11.83332133</v>
      </c>
      <c r="F8" s="20" t="n">
        <v>1.69731684</v>
      </c>
      <c r="G8" s="18" t="n">
        <v>81.33432752</v>
      </c>
      <c r="H8" s="20" t="n">
        <v>2.37981318</v>
      </c>
      <c r="I8" s="18" t="s">
        <v>567</v>
      </c>
      <c r="J8" s="20" t="s">
        <v>567</v>
      </c>
      <c r="K8" s="18" t="n">
        <v>0</v>
      </c>
      <c r="L8" s="20" t="n">
        <v>0</v>
      </c>
      <c r="M8" s="18" t="n">
        <v>0</v>
      </c>
      <c r="N8" s="20" t="n">
        <v>0</v>
      </c>
      <c r="O8" s="18" t="n">
        <v>0</v>
      </c>
      <c r="P8" s="20" t="n">
        <v>0</v>
      </c>
      <c r="Q8" s="18" t="n">
        <v>6.83235115</v>
      </c>
      <c r="R8" s="20" t="n">
        <v>1.79250777</v>
      </c>
    </row>
    <row r="9" spans="1:18">
      <c r="A9" s="15" t="s">
        <v>569</v>
      </c>
      <c r="B9" s="17" t="n">
        <v>4899</v>
      </c>
      <c r="C9" s="18">
        <f>(4399.0/B9*100)</f>
        <v/>
      </c>
      <c r="D9" s="19" t="n">
        <v>500</v>
      </c>
      <c r="E9" s="18" t="n">
        <v>12.36588551</v>
      </c>
      <c r="F9" s="20" t="n">
        <v>1.57430424</v>
      </c>
      <c r="G9" s="18" t="n">
        <v>78.4915924</v>
      </c>
      <c r="H9" s="20" t="n">
        <v>2.11611122</v>
      </c>
      <c r="I9" s="18" t="s">
        <v>567</v>
      </c>
      <c r="J9" s="20" t="s">
        <v>567</v>
      </c>
      <c r="K9" s="18" t="n">
        <v>0.30266156</v>
      </c>
      <c r="L9" s="20" t="n">
        <v>0.28223006</v>
      </c>
      <c r="M9" s="18" t="n">
        <v>0</v>
      </c>
      <c r="N9" s="20" t="n">
        <v>0</v>
      </c>
      <c r="O9" s="18" t="n">
        <v>0</v>
      </c>
      <c r="P9" s="20" t="n">
        <v>0</v>
      </c>
      <c r="Q9" s="18" t="n">
        <v>8.839860529999999</v>
      </c>
      <c r="R9" s="20" t="n">
        <v>1.59899276</v>
      </c>
    </row>
    <row r="10" spans="1:18">
      <c r="A10" s="15" t="s">
        <v>570</v>
      </c>
      <c r="B10" s="17" t="n">
        <v>10036</v>
      </c>
      <c r="C10" s="18">
        <f>(8905.0/B10*100)</f>
        <v/>
      </c>
      <c r="D10" s="19" t="n">
        <v>1131</v>
      </c>
      <c r="E10" s="18" t="n">
        <v>12.1775873</v>
      </c>
      <c r="F10" s="20" t="n">
        <v>1.41029098</v>
      </c>
      <c r="G10" s="18" t="n">
        <v>85.5879673</v>
      </c>
      <c r="H10" s="20" t="n">
        <v>1.51286115</v>
      </c>
      <c r="I10" s="18" t="s">
        <v>567</v>
      </c>
      <c r="J10" s="20" t="s">
        <v>567</v>
      </c>
      <c r="K10" s="18" t="n">
        <v>0.0404476</v>
      </c>
      <c r="L10" s="20" t="n">
        <v>0.03117245</v>
      </c>
      <c r="M10" s="18" t="n">
        <v>0</v>
      </c>
      <c r="N10" s="20" t="n">
        <v>0</v>
      </c>
      <c r="O10" s="18" t="n">
        <v>0</v>
      </c>
      <c r="P10" s="20" t="n">
        <v>0</v>
      </c>
      <c r="Q10" s="18" t="n">
        <v>2.19399779</v>
      </c>
      <c r="R10" s="20" t="n">
        <v>0.57623059</v>
      </c>
    </row>
    <row r="11" spans="1:18">
      <c r="A11" s="15" t="s">
        <v>571</v>
      </c>
      <c r="B11" s="17" t="n">
        <v>3553</v>
      </c>
      <c r="C11" s="18">
        <f>(3167.0/B11*100)</f>
        <v/>
      </c>
      <c r="D11" s="19" t="n">
        <v>386</v>
      </c>
      <c r="E11" s="18" t="n">
        <v>23.70101355</v>
      </c>
      <c r="F11" s="20" t="n">
        <v>2.67757823</v>
      </c>
      <c r="G11" s="18" t="n">
        <v>59.53634772</v>
      </c>
      <c r="H11" s="20" t="n">
        <v>3.2784788</v>
      </c>
      <c r="I11" s="18" t="s">
        <v>567</v>
      </c>
      <c r="J11" s="20" t="s">
        <v>567</v>
      </c>
      <c r="K11" s="18" t="n">
        <v>1.64766198</v>
      </c>
      <c r="L11" s="20" t="n">
        <v>0.69540344</v>
      </c>
      <c r="M11" s="18" t="n">
        <v>0.03632501</v>
      </c>
      <c r="N11" s="20" t="n">
        <v>0.03676279</v>
      </c>
      <c r="O11" s="18" t="n">
        <v>0</v>
      </c>
      <c r="P11" s="20" t="n">
        <v>0</v>
      </c>
      <c r="Q11" s="18" t="n">
        <v>15.07865174</v>
      </c>
      <c r="R11" s="20" t="n">
        <v>2.10431198</v>
      </c>
    </row>
    <row r="12" spans="1:18">
      <c r="A12" s="15" t="s">
        <v>572</v>
      </c>
      <c r="B12" s="17" t="n">
        <v>3472</v>
      </c>
      <c r="C12" s="18">
        <f>(3083.0/B12*100)</f>
        <v/>
      </c>
      <c r="D12" s="19" t="n">
        <v>389</v>
      </c>
      <c r="E12" s="18" t="n">
        <v>7.74158444</v>
      </c>
      <c r="F12" s="20" t="n">
        <v>1.56935329</v>
      </c>
      <c r="G12" s="18" t="n">
        <v>85.96509811999999</v>
      </c>
      <c r="H12" s="20" t="n">
        <v>1.89819338</v>
      </c>
      <c r="I12" s="18" t="s">
        <v>567</v>
      </c>
      <c r="J12" s="20" t="s">
        <v>567</v>
      </c>
      <c r="K12" s="18" t="n">
        <v>0</v>
      </c>
      <c r="L12" s="20" t="n">
        <v>0</v>
      </c>
      <c r="M12" s="18" t="n">
        <v>0</v>
      </c>
      <c r="N12" s="20" t="n">
        <v>0</v>
      </c>
      <c r="O12" s="18" t="n">
        <v>0</v>
      </c>
      <c r="P12" s="20" t="n">
        <v>0</v>
      </c>
      <c r="Q12" s="18" t="n">
        <v>6.29331744</v>
      </c>
      <c r="R12" s="20" t="n">
        <v>1.20158796</v>
      </c>
    </row>
    <row r="13" spans="1:18">
      <c r="A13" s="15" t="s">
        <v>573</v>
      </c>
      <c r="B13" s="17" t="n">
        <v>3559</v>
      </c>
      <c r="C13" s="18">
        <f>(3205.0/B13*100)</f>
        <v/>
      </c>
      <c r="D13" s="19" t="n">
        <v>354</v>
      </c>
      <c r="E13" s="18" t="n">
        <v>8.41452123</v>
      </c>
      <c r="F13" s="20" t="n">
        <v>1.51027688</v>
      </c>
      <c r="G13" s="18" t="n">
        <v>84.46008077</v>
      </c>
      <c r="H13" s="20" t="n">
        <v>2.26306188</v>
      </c>
      <c r="I13" s="18" t="s">
        <v>567</v>
      </c>
      <c r="J13" s="20" t="s">
        <v>567</v>
      </c>
      <c r="K13" s="18" t="n">
        <v>0.34270092</v>
      </c>
      <c r="L13" s="20" t="n">
        <v>0.359632</v>
      </c>
      <c r="M13" s="18" t="n">
        <v>0</v>
      </c>
      <c r="N13" s="20" t="n">
        <v>0</v>
      </c>
      <c r="O13" s="18" t="n">
        <v>0</v>
      </c>
      <c r="P13" s="20" t="n">
        <v>0</v>
      </c>
      <c r="Q13" s="18" t="n">
        <v>6.78269707</v>
      </c>
      <c r="R13" s="20" t="n">
        <v>1.69885559</v>
      </c>
    </row>
    <row r="14" spans="1:18">
      <c r="A14" s="15" t="s">
        <v>574</v>
      </c>
      <c r="B14" s="17" t="n">
        <v>2799</v>
      </c>
      <c r="C14" s="18">
        <f>(2469.0/B14*100)</f>
        <v/>
      </c>
      <c r="D14" s="19" t="n">
        <v>330</v>
      </c>
      <c r="E14" s="18" t="n">
        <v>6.08940133</v>
      </c>
      <c r="F14" s="20" t="n">
        <v>1.31607599</v>
      </c>
      <c r="G14" s="18" t="n">
        <v>90.82053347999999</v>
      </c>
      <c r="H14" s="20" t="n">
        <v>1.37573739</v>
      </c>
      <c r="I14" s="18" t="s">
        <v>567</v>
      </c>
      <c r="J14" s="20" t="s">
        <v>567</v>
      </c>
      <c r="K14" s="18" t="n">
        <v>0</v>
      </c>
      <c r="L14" s="20" t="n">
        <v>0</v>
      </c>
      <c r="M14" s="18" t="n">
        <v>0</v>
      </c>
      <c r="N14" s="20" t="n">
        <v>0</v>
      </c>
      <c r="O14" s="18" t="n">
        <v>0</v>
      </c>
      <c r="P14" s="20" t="n">
        <v>0</v>
      </c>
      <c r="Q14" s="18" t="n">
        <v>3.09006519</v>
      </c>
      <c r="R14" s="20" t="n">
        <v>0.88317364</v>
      </c>
    </row>
    <row r="15" spans="1:18">
      <c r="A15" s="15" t="s">
        <v>575</v>
      </c>
      <c r="B15" s="17" t="n">
        <v>3019</v>
      </c>
      <c r="C15" s="18">
        <f>(2701.0/B15*100)</f>
        <v/>
      </c>
      <c r="D15" s="19" t="n">
        <v>318</v>
      </c>
      <c r="E15" s="18" t="n">
        <v>8.89150983</v>
      </c>
      <c r="F15" s="20" t="n">
        <v>1.76803406</v>
      </c>
      <c r="G15" s="18" t="n">
        <v>85.92055138000001</v>
      </c>
      <c r="H15" s="20" t="n">
        <v>2.11282055</v>
      </c>
      <c r="I15" s="18" t="s">
        <v>567</v>
      </c>
      <c r="J15" s="20" t="s">
        <v>567</v>
      </c>
      <c r="K15" s="18" t="n">
        <v>0.13173807</v>
      </c>
      <c r="L15" s="20" t="n">
        <v>0.13145913</v>
      </c>
      <c r="M15" s="18" t="n">
        <v>0</v>
      </c>
      <c r="N15" s="20" t="n">
        <v>0</v>
      </c>
      <c r="O15" s="18" t="n">
        <v>0</v>
      </c>
      <c r="P15" s="20" t="n">
        <v>0</v>
      </c>
      <c r="Q15" s="18" t="n">
        <v>5.05620072</v>
      </c>
      <c r="R15" s="20" t="n">
        <v>1.19973431</v>
      </c>
    </row>
    <row r="16" spans="1:18">
      <c r="A16" s="15" t="s">
        <v>576</v>
      </c>
      <c r="B16" s="17" t="n">
        <v>2997</v>
      </c>
      <c r="C16" s="18">
        <f>(2644.0/B16*100)</f>
        <v/>
      </c>
      <c r="D16" s="19" t="n">
        <v>353</v>
      </c>
      <c r="E16" s="18" t="n">
        <v>16.66748637</v>
      </c>
      <c r="F16" s="20" t="n">
        <v>2.23053792</v>
      </c>
      <c r="G16" s="18" t="n">
        <v>74.41838973</v>
      </c>
      <c r="H16" s="20" t="n">
        <v>2.59511681</v>
      </c>
      <c r="I16" s="18" t="s">
        <v>567</v>
      </c>
      <c r="J16" s="20" t="s">
        <v>567</v>
      </c>
      <c r="K16" s="18" t="n">
        <v>0.57150707</v>
      </c>
      <c r="L16" s="20" t="n">
        <v>0.46081442</v>
      </c>
      <c r="M16" s="18" t="n">
        <v>0</v>
      </c>
      <c r="N16" s="20" t="n">
        <v>0</v>
      </c>
      <c r="O16" s="18" t="n">
        <v>0</v>
      </c>
      <c r="P16" s="20" t="n">
        <v>0</v>
      </c>
      <c r="Q16" s="18" t="n">
        <v>8.342616830000001</v>
      </c>
      <c r="R16" s="20" t="n">
        <v>1.61679435</v>
      </c>
    </row>
    <row r="17" spans="1:18">
      <c r="A17" s="15" t="s">
        <v>577</v>
      </c>
      <c r="B17" s="17" t="n">
        <v>3307</v>
      </c>
      <c r="C17" s="18">
        <f>(2975.0/B17*100)</f>
        <v/>
      </c>
      <c r="D17" s="19" t="n">
        <v>332</v>
      </c>
      <c r="E17" s="18" t="n">
        <v>13.33264396</v>
      </c>
      <c r="F17" s="20" t="n">
        <v>1.73587247</v>
      </c>
      <c r="G17" s="18" t="n">
        <v>76.16847847</v>
      </c>
      <c r="H17" s="20" t="n">
        <v>2.44874023</v>
      </c>
      <c r="I17" s="18" t="s">
        <v>567</v>
      </c>
      <c r="J17" s="20" t="s">
        <v>567</v>
      </c>
      <c r="K17" s="18" t="n">
        <v>1.56753051</v>
      </c>
      <c r="L17" s="20" t="n">
        <v>0.6504825400000001</v>
      </c>
      <c r="M17" s="18" t="n">
        <v>0</v>
      </c>
      <c r="N17" s="20" t="n">
        <v>0</v>
      </c>
      <c r="O17" s="18" t="n">
        <v>0</v>
      </c>
      <c r="P17" s="20" t="n">
        <v>0</v>
      </c>
      <c r="Q17" s="18" t="n">
        <v>8.931347069999999</v>
      </c>
      <c r="R17" s="20" t="n">
        <v>1.72061214</v>
      </c>
    </row>
    <row r="18" spans="1:18">
      <c r="A18" s="15" t="s">
        <v>578</v>
      </c>
      <c r="B18" s="17" t="n">
        <v>2826</v>
      </c>
      <c r="C18" s="18">
        <f>(2502.0/B18*100)</f>
        <v/>
      </c>
      <c r="D18" s="19" t="n">
        <v>324</v>
      </c>
      <c r="E18" s="18" t="n">
        <v>23.20002581</v>
      </c>
      <c r="F18" s="20" t="n">
        <v>2.82681823</v>
      </c>
      <c r="G18" s="18" t="n">
        <v>62.78038022</v>
      </c>
      <c r="H18" s="20" t="n">
        <v>3.87737715</v>
      </c>
      <c r="I18" s="18" t="s">
        <v>567</v>
      </c>
      <c r="J18" s="20" t="s">
        <v>567</v>
      </c>
      <c r="K18" s="18" t="n">
        <v>1.1530603</v>
      </c>
      <c r="L18" s="20" t="n">
        <v>0.92398741</v>
      </c>
      <c r="M18" s="18" t="n">
        <v>0</v>
      </c>
      <c r="N18" s="20" t="n">
        <v>0</v>
      </c>
      <c r="O18" s="18" t="n">
        <v>0</v>
      </c>
      <c r="P18" s="20" t="n">
        <v>0</v>
      </c>
      <c r="Q18" s="18" t="n">
        <v>12.86653367</v>
      </c>
      <c r="R18" s="20" t="n">
        <v>2.55667555</v>
      </c>
    </row>
    <row r="19" spans="1:18">
      <c r="A19" s="15" t="s">
        <v>579</v>
      </c>
      <c r="B19" s="17" t="n">
        <v>2808</v>
      </c>
      <c r="C19" s="18">
        <f>(2506.0/B19*100)</f>
        <v/>
      </c>
      <c r="D19" s="19" t="n">
        <v>302</v>
      </c>
      <c r="E19" s="18" t="n">
        <v>13.21567223</v>
      </c>
      <c r="F19" s="20" t="n">
        <v>2.11804296</v>
      </c>
      <c r="G19" s="18" t="n">
        <v>75.48313782</v>
      </c>
      <c r="H19" s="20" t="n">
        <v>2.93591364</v>
      </c>
      <c r="I19" s="18" t="s">
        <v>567</v>
      </c>
      <c r="J19" s="20" t="s">
        <v>567</v>
      </c>
      <c r="K19" s="18" t="n">
        <v>0</v>
      </c>
      <c r="L19" s="20" t="n">
        <v>0</v>
      </c>
      <c r="M19" s="18" t="n">
        <v>0</v>
      </c>
      <c r="N19" s="20" t="n">
        <v>0</v>
      </c>
      <c r="O19" s="18" t="n">
        <v>0</v>
      </c>
      <c r="P19" s="20" t="n">
        <v>0</v>
      </c>
      <c r="Q19" s="18" t="n">
        <v>11.30118995</v>
      </c>
      <c r="R19" s="20" t="n">
        <v>2.09953586</v>
      </c>
    </row>
    <row r="20" spans="1:18">
      <c r="A20" s="15" t="s">
        <v>580</v>
      </c>
      <c r="B20" s="17" t="n">
        <v>1630</v>
      </c>
      <c r="C20" s="18">
        <f>(1450.0/B20*100)</f>
        <v/>
      </c>
      <c r="D20" s="19" t="n">
        <v>180</v>
      </c>
      <c r="E20" s="18" t="n">
        <v>10.50131418</v>
      </c>
      <c r="F20" s="20" t="n">
        <v>2.18645477</v>
      </c>
      <c r="G20" s="18" t="n">
        <v>76.37078997</v>
      </c>
      <c r="H20" s="20" t="n">
        <v>2.73875152</v>
      </c>
      <c r="I20" s="18" t="s">
        <v>567</v>
      </c>
      <c r="J20" s="20" t="s">
        <v>567</v>
      </c>
      <c r="K20" s="18" t="n">
        <v>1.66068989</v>
      </c>
      <c r="L20" s="20" t="n">
        <v>0.96484635</v>
      </c>
      <c r="M20" s="18" t="n">
        <v>2.51695066</v>
      </c>
      <c r="N20" s="20" t="n">
        <v>0.40939919</v>
      </c>
      <c r="O20" s="18" t="n">
        <v>0</v>
      </c>
      <c r="P20" s="20" t="n">
        <v>0</v>
      </c>
      <c r="Q20" s="18" t="n">
        <v>8.9502553</v>
      </c>
      <c r="R20" s="20" t="n">
        <v>2.14250693</v>
      </c>
    </row>
    <row r="21" spans="1:18">
      <c r="A21" s="15" t="s">
        <v>581</v>
      </c>
      <c r="B21" s="17" t="n">
        <v>2908</v>
      </c>
      <c r="C21" s="18">
        <f>(2568.0/B21*100)</f>
        <v/>
      </c>
      <c r="D21" s="19" t="n">
        <v>340</v>
      </c>
      <c r="E21" s="18" t="n">
        <v>11.47889934</v>
      </c>
      <c r="F21" s="20" t="n">
        <v>1.43165059</v>
      </c>
      <c r="G21" s="18" t="n">
        <v>83.06567271999999</v>
      </c>
      <c r="H21" s="20" t="n">
        <v>1.81682769</v>
      </c>
      <c r="I21" s="18" t="s">
        <v>567</v>
      </c>
      <c r="J21" s="20" t="s">
        <v>567</v>
      </c>
      <c r="K21" s="18" t="n">
        <v>0</v>
      </c>
      <c r="L21" s="20" t="n">
        <v>0</v>
      </c>
      <c r="M21" s="18" t="n">
        <v>0</v>
      </c>
      <c r="N21" s="20" t="n">
        <v>0</v>
      </c>
      <c r="O21" s="18" t="n">
        <v>0</v>
      </c>
      <c r="P21" s="20" t="n">
        <v>0</v>
      </c>
      <c r="Q21" s="18" t="n">
        <v>5.45542794</v>
      </c>
      <c r="R21" s="20" t="n">
        <v>1.51223079</v>
      </c>
    </row>
    <row r="22" spans="1:18">
      <c r="A22" s="15" t="s">
        <v>582</v>
      </c>
      <c r="B22" s="17" t="n">
        <v>2931</v>
      </c>
      <c r="C22" s="18">
        <f>(2612.0/B22*100)</f>
        <v/>
      </c>
      <c r="D22" s="19" t="n">
        <v>319</v>
      </c>
      <c r="E22" s="18" t="n">
        <v>19.38286976</v>
      </c>
      <c r="F22" s="20" t="n">
        <v>2.50049333</v>
      </c>
      <c r="G22" s="18" t="n">
        <v>69.41897169000001</v>
      </c>
      <c r="H22" s="20" t="n">
        <v>3.04452296</v>
      </c>
      <c r="I22" s="18" t="s">
        <v>567</v>
      </c>
      <c r="J22" s="20" t="s">
        <v>567</v>
      </c>
      <c r="K22" s="18" t="n">
        <v>1.01784263</v>
      </c>
      <c r="L22" s="20" t="n">
        <v>0.73479778</v>
      </c>
      <c r="M22" s="18" t="n">
        <v>0</v>
      </c>
      <c r="N22" s="20" t="n">
        <v>0</v>
      </c>
      <c r="O22" s="18" t="n">
        <v>0</v>
      </c>
      <c r="P22" s="20" t="n">
        <v>0</v>
      </c>
      <c r="Q22" s="18" t="n">
        <v>10.18031592</v>
      </c>
      <c r="R22" s="20" t="n">
        <v>2.25849598</v>
      </c>
    </row>
    <row r="23" spans="1:18">
      <c r="A23" s="15" t="s">
        <v>583</v>
      </c>
      <c r="B23" s="17" t="n">
        <v>5791</v>
      </c>
      <c r="C23" s="18">
        <f>(5194.0/B23*100)</f>
        <v/>
      </c>
      <c r="D23" s="19" t="n">
        <v>597</v>
      </c>
      <c r="E23" s="18" t="n">
        <v>13.02320833</v>
      </c>
      <c r="F23" s="20" t="n">
        <v>1.84556923</v>
      </c>
      <c r="G23" s="18" t="n">
        <v>72.33540326000001</v>
      </c>
      <c r="H23" s="20" t="n">
        <v>2.07858871</v>
      </c>
      <c r="I23" s="18" t="s">
        <v>567</v>
      </c>
      <c r="J23" s="20" t="s">
        <v>567</v>
      </c>
      <c r="K23" s="18" t="n">
        <v>0.42257163</v>
      </c>
      <c r="L23" s="20" t="n">
        <v>0.31628522</v>
      </c>
      <c r="M23" s="18" t="n">
        <v>0</v>
      </c>
      <c r="N23" s="20" t="n">
        <v>0</v>
      </c>
      <c r="O23" s="18" t="n">
        <v>0</v>
      </c>
      <c r="P23" s="20" t="n">
        <v>0</v>
      </c>
      <c r="Q23" s="18" t="n">
        <v>14.21881678</v>
      </c>
      <c r="R23" s="20" t="n">
        <v>1.97500049</v>
      </c>
    </row>
    <row r="24" spans="1:18">
      <c r="A24" s="15" t="s">
        <v>584</v>
      </c>
      <c r="B24" s="17" t="n">
        <v>3338</v>
      </c>
      <c r="C24" s="18">
        <f>(2957.0/B24*100)</f>
        <v/>
      </c>
      <c r="D24" s="19" t="n">
        <v>381</v>
      </c>
      <c r="E24" s="18" t="n">
        <v>14.85538755</v>
      </c>
      <c r="F24" s="20" t="n">
        <v>1.73280918</v>
      </c>
      <c r="G24" s="18" t="n">
        <v>78.74332591</v>
      </c>
      <c r="H24" s="20" t="n">
        <v>2.05518574</v>
      </c>
      <c r="I24" s="18" t="s">
        <v>567</v>
      </c>
      <c r="J24" s="20" t="s">
        <v>567</v>
      </c>
      <c r="K24" s="18" t="n">
        <v>0.24754351</v>
      </c>
      <c r="L24" s="20" t="n">
        <v>0.24828493</v>
      </c>
      <c r="M24" s="18" t="n">
        <v>0</v>
      </c>
      <c r="N24" s="20" t="n">
        <v>0</v>
      </c>
      <c r="O24" s="18" t="n">
        <v>0</v>
      </c>
      <c r="P24" s="20" t="n">
        <v>0</v>
      </c>
      <c r="Q24" s="18" t="n">
        <v>6.15374302</v>
      </c>
      <c r="R24" s="20" t="n">
        <v>1.13160829</v>
      </c>
    </row>
    <row r="25" spans="1:18">
      <c r="A25" s="15" t="s">
        <v>585</v>
      </c>
      <c r="B25" s="17" t="n">
        <v>2912</v>
      </c>
      <c r="C25" s="18">
        <f>(2603.0/B25*100)</f>
        <v/>
      </c>
      <c r="D25" s="19" t="n">
        <v>309</v>
      </c>
      <c r="E25" s="18" t="n">
        <v>12.09919655</v>
      </c>
      <c r="F25" s="20" t="n">
        <v>1.74655228</v>
      </c>
      <c r="G25" s="18" t="n">
        <v>77.00659772</v>
      </c>
      <c r="H25" s="20" t="n">
        <v>2.16726588</v>
      </c>
      <c r="I25" s="18" t="s">
        <v>567</v>
      </c>
      <c r="J25" s="20" t="s">
        <v>567</v>
      </c>
      <c r="K25" s="18" t="n">
        <v>0.9746017300000001</v>
      </c>
      <c r="L25" s="20" t="n">
        <v>0.30091664</v>
      </c>
      <c r="M25" s="18" t="n">
        <v>0</v>
      </c>
      <c r="N25" s="20" t="n">
        <v>0</v>
      </c>
      <c r="O25" s="18" t="n">
        <v>0</v>
      </c>
      <c r="P25" s="20" t="n">
        <v>0</v>
      </c>
      <c r="Q25" s="18" t="n">
        <v>9.919604</v>
      </c>
      <c r="R25" s="20" t="n">
        <v>1.51379892</v>
      </c>
    </row>
    <row r="26" spans="1:18">
      <c r="A26" s="15" t="s">
        <v>586</v>
      </c>
      <c r="B26" s="17" t="n">
        <v>2450</v>
      </c>
      <c r="C26" s="18">
        <f>(2166.0/B26*100)</f>
        <v/>
      </c>
      <c r="D26" s="19" t="n">
        <v>284</v>
      </c>
      <c r="E26" s="18" t="n">
        <v>14.26387897</v>
      </c>
      <c r="F26" s="20" t="n">
        <v>2.22846291</v>
      </c>
      <c r="G26" s="18" t="n">
        <v>77.71696864</v>
      </c>
      <c r="H26" s="20" t="n">
        <v>2.72894827</v>
      </c>
      <c r="I26" s="18" t="s">
        <v>567</v>
      </c>
      <c r="J26" s="20" t="s">
        <v>567</v>
      </c>
      <c r="K26" s="18" t="n">
        <v>0</v>
      </c>
      <c r="L26" s="20" t="n">
        <v>0</v>
      </c>
      <c r="M26" s="18" t="n">
        <v>0</v>
      </c>
      <c r="N26" s="20" t="n">
        <v>0</v>
      </c>
      <c r="O26" s="18" t="n">
        <v>0</v>
      </c>
      <c r="P26" s="20" t="n">
        <v>0</v>
      </c>
      <c r="Q26" s="18" t="n">
        <v>8.01915238</v>
      </c>
      <c r="R26" s="20" t="n">
        <v>1.88945096</v>
      </c>
    </row>
    <row r="27" spans="1:18">
      <c r="A27" s="15" t="s">
        <v>587</v>
      </c>
      <c r="B27" s="17" t="n">
        <v>2616</v>
      </c>
      <c r="C27" s="18">
        <f>(2308.0/B27*100)</f>
        <v/>
      </c>
      <c r="D27" s="19" t="n">
        <v>308</v>
      </c>
      <c r="E27" s="18" t="n">
        <v>11.54702902</v>
      </c>
      <c r="F27" s="20" t="n">
        <v>1.94659396</v>
      </c>
      <c r="G27" s="18" t="n">
        <v>78.70081786999999</v>
      </c>
      <c r="H27" s="20" t="n">
        <v>2.41629839</v>
      </c>
      <c r="I27" s="18" t="s">
        <v>567</v>
      </c>
      <c r="J27" s="20" t="s">
        <v>567</v>
      </c>
      <c r="K27" s="18" t="n">
        <v>0.9609960400000001</v>
      </c>
      <c r="L27" s="20" t="n">
        <v>0.54664079</v>
      </c>
      <c r="M27" s="18" t="n">
        <v>0</v>
      </c>
      <c r="N27" s="20" t="n">
        <v>0</v>
      </c>
      <c r="O27" s="18" t="n">
        <v>0</v>
      </c>
      <c r="P27" s="20" t="n">
        <v>0</v>
      </c>
      <c r="Q27" s="18" t="n">
        <v>8.791157070000001</v>
      </c>
      <c r="R27" s="20" t="n">
        <v>1.53290926</v>
      </c>
    </row>
    <row r="28" spans="1:18">
      <c r="A28" s="15" t="s">
        <v>588</v>
      </c>
      <c r="B28" s="17" t="n">
        <v>3765</v>
      </c>
      <c r="C28" s="18">
        <f>(3349.0/B28*100)</f>
        <v/>
      </c>
      <c r="D28" s="19" t="n">
        <v>416</v>
      </c>
      <c r="E28" s="18" t="n">
        <v>43.06284902</v>
      </c>
      <c r="F28" s="20" t="n">
        <v>2.88664932</v>
      </c>
      <c r="G28" s="18" t="n">
        <v>51.86492753</v>
      </c>
      <c r="H28" s="20" t="n">
        <v>3.02583278</v>
      </c>
      <c r="I28" s="18" t="s">
        <v>567</v>
      </c>
      <c r="J28" s="20" t="s">
        <v>567</v>
      </c>
      <c r="K28" s="18" t="n">
        <v>0.78734229</v>
      </c>
      <c r="L28" s="20" t="n">
        <v>0.50490275</v>
      </c>
      <c r="M28" s="18" t="n">
        <v>0</v>
      </c>
      <c r="N28" s="20" t="n">
        <v>0</v>
      </c>
      <c r="O28" s="18" t="n">
        <v>0</v>
      </c>
      <c r="P28" s="20" t="n">
        <v>0</v>
      </c>
      <c r="Q28" s="18" t="n">
        <v>4.28488117</v>
      </c>
      <c r="R28" s="20" t="n">
        <v>1.17761634</v>
      </c>
    </row>
    <row r="29" spans="1:18">
      <c r="A29" s="15" t="s">
        <v>589</v>
      </c>
      <c r="B29" s="17" t="n">
        <v>2685</v>
      </c>
      <c r="C29" s="18">
        <f>(2429.0/B29*100)</f>
        <v/>
      </c>
      <c r="D29" s="19" t="n">
        <v>256</v>
      </c>
      <c r="E29" s="18" t="n">
        <v>11.2526341</v>
      </c>
      <c r="F29" s="20" t="n">
        <v>1.86189823</v>
      </c>
      <c r="G29" s="18" t="n">
        <v>84.68687860999999</v>
      </c>
      <c r="H29" s="20" t="n">
        <v>2.35314793</v>
      </c>
      <c r="I29" s="18" t="s">
        <v>567</v>
      </c>
      <c r="J29" s="20" t="s">
        <v>567</v>
      </c>
      <c r="K29" s="18" t="n">
        <v>0.35316455</v>
      </c>
      <c r="L29" s="20" t="n">
        <v>0.3362382</v>
      </c>
      <c r="M29" s="18" t="n">
        <v>0</v>
      </c>
      <c r="N29" s="20" t="n">
        <v>0</v>
      </c>
      <c r="O29" s="18" t="n">
        <v>0</v>
      </c>
      <c r="P29" s="20" t="n">
        <v>0</v>
      </c>
      <c r="Q29" s="18" t="n">
        <v>3.70732274</v>
      </c>
      <c r="R29" s="20" t="n">
        <v>1.25245094</v>
      </c>
    </row>
    <row r="30" spans="1:18">
      <c r="A30" s="15" t="s">
        <v>590</v>
      </c>
      <c r="B30" s="17" t="n">
        <v>2263</v>
      </c>
      <c r="C30" s="18">
        <f>(1999.0/B30*100)</f>
        <v/>
      </c>
      <c r="D30" s="19" t="n">
        <v>264</v>
      </c>
      <c r="E30" s="18" t="n">
        <v>13.38080621</v>
      </c>
      <c r="F30" s="20" t="n">
        <v>1.83946996</v>
      </c>
      <c r="G30" s="18" t="n">
        <v>76.22781363999999</v>
      </c>
      <c r="H30" s="20" t="n">
        <v>2.43438086</v>
      </c>
      <c r="I30" s="18" t="s">
        <v>567</v>
      </c>
      <c r="J30" s="20" t="s">
        <v>567</v>
      </c>
      <c r="K30" s="18" t="n">
        <v>0.405572</v>
      </c>
      <c r="L30" s="20" t="n">
        <v>0.4055401</v>
      </c>
      <c r="M30" s="18" t="n">
        <v>0</v>
      </c>
      <c r="N30" s="20" t="n">
        <v>0</v>
      </c>
      <c r="O30" s="18" t="n">
        <v>0</v>
      </c>
      <c r="P30" s="20" t="n">
        <v>0</v>
      </c>
      <c r="Q30" s="18" t="n">
        <v>9.985808159999999</v>
      </c>
      <c r="R30" s="20" t="n">
        <v>1.56268734</v>
      </c>
    </row>
    <row r="31" spans="1:18">
      <c r="A31" s="15" t="s">
        <v>591</v>
      </c>
      <c r="B31" s="17" t="n">
        <v>2750</v>
      </c>
      <c r="C31" s="18">
        <f>(2445.0/B31*100)</f>
        <v/>
      </c>
      <c r="D31" s="19" t="n">
        <v>305</v>
      </c>
      <c r="E31" s="18" t="n">
        <v>11.1870861</v>
      </c>
      <c r="F31" s="20" t="n">
        <v>1.96885622</v>
      </c>
      <c r="G31" s="18" t="n">
        <v>79.4849438</v>
      </c>
      <c r="H31" s="20" t="n">
        <v>2.47520242</v>
      </c>
      <c r="I31" s="18" t="s">
        <v>567</v>
      </c>
      <c r="J31" s="20" t="s">
        <v>567</v>
      </c>
      <c r="K31" s="18" t="n">
        <v>1.1786844</v>
      </c>
      <c r="L31" s="20" t="n">
        <v>0.68215999</v>
      </c>
      <c r="M31" s="18" t="n">
        <v>0</v>
      </c>
      <c r="N31" s="20" t="n">
        <v>0</v>
      </c>
      <c r="O31" s="18" t="n">
        <v>0</v>
      </c>
      <c r="P31" s="20" t="n">
        <v>0</v>
      </c>
      <c r="Q31" s="18" t="n">
        <v>8.1492857</v>
      </c>
      <c r="R31" s="20" t="n">
        <v>1.6023702</v>
      </c>
    </row>
    <row r="32" spans="1:18">
      <c r="A32" s="15" t="s">
        <v>592</v>
      </c>
      <c r="B32" s="17" t="n">
        <v>2269</v>
      </c>
      <c r="C32" s="18">
        <f>(2029.0/B32*100)</f>
        <v/>
      </c>
      <c r="D32" s="19" t="n">
        <v>240</v>
      </c>
      <c r="E32" s="18" t="n">
        <v>6.42041878</v>
      </c>
      <c r="F32" s="20" t="n">
        <v>1.5001942</v>
      </c>
      <c r="G32" s="18" t="n">
        <v>88.64498412</v>
      </c>
      <c r="H32" s="20" t="n">
        <v>2.03156207</v>
      </c>
      <c r="I32" s="18" t="s">
        <v>567</v>
      </c>
      <c r="J32" s="20" t="s">
        <v>567</v>
      </c>
      <c r="K32" s="18" t="n">
        <v>0</v>
      </c>
      <c r="L32" s="20" t="n">
        <v>0</v>
      </c>
      <c r="M32" s="18" t="n">
        <v>0</v>
      </c>
      <c r="N32" s="20" t="n">
        <v>0</v>
      </c>
      <c r="O32" s="18" t="n">
        <v>0</v>
      </c>
      <c r="P32" s="20" t="n">
        <v>0</v>
      </c>
      <c r="Q32" s="18" t="n">
        <v>4.9345971</v>
      </c>
      <c r="R32" s="20" t="n">
        <v>1.37988738</v>
      </c>
    </row>
    <row r="33" spans="1:18">
      <c r="A33" s="15" t="s">
        <v>593</v>
      </c>
      <c r="B33" s="17" t="n">
        <v>3674</v>
      </c>
      <c r="C33" s="18">
        <f>(3264.0/B33*100)</f>
        <v/>
      </c>
      <c r="D33" s="19" t="n">
        <v>410</v>
      </c>
      <c r="E33" s="18" t="n">
        <v>16.98662226</v>
      </c>
      <c r="F33" s="20" t="n">
        <v>2.45603965</v>
      </c>
      <c r="G33" s="18" t="n">
        <v>74.92108342</v>
      </c>
      <c r="H33" s="20" t="n">
        <v>2.53808853</v>
      </c>
      <c r="I33" s="18" t="s">
        <v>567</v>
      </c>
      <c r="J33" s="20" t="s">
        <v>567</v>
      </c>
      <c r="K33" s="18" t="n">
        <v>0.12764251</v>
      </c>
      <c r="L33" s="20" t="n">
        <v>0.11877681</v>
      </c>
      <c r="M33" s="18" t="n">
        <v>0.54803296</v>
      </c>
      <c r="N33" s="20" t="n">
        <v>0.54651243</v>
      </c>
      <c r="O33" s="18" t="n">
        <v>0</v>
      </c>
      <c r="P33" s="20" t="n">
        <v>0</v>
      </c>
      <c r="Q33" s="18" t="n">
        <v>7.41661885</v>
      </c>
      <c r="R33" s="20" t="n">
        <v>1.58858717</v>
      </c>
    </row>
    <row r="34" spans="1:18">
      <c r="A34" s="15" t="s">
        <v>594</v>
      </c>
      <c r="B34" s="17" t="n">
        <v>3315</v>
      </c>
      <c r="C34" s="18">
        <f>(2986.0/B34*100)</f>
        <v/>
      </c>
      <c r="D34" s="19" t="n">
        <v>329</v>
      </c>
      <c r="E34" s="18" t="n">
        <v>15.59749953</v>
      </c>
      <c r="F34" s="20" t="n">
        <v>2.16269996</v>
      </c>
      <c r="G34" s="18" t="n">
        <v>73.82136658</v>
      </c>
      <c r="H34" s="20" t="n">
        <v>2.5970334</v>
      </c>
      <c r="I34" s="18" t="s">
        <v>567</v>
      </c>
      <c r="J34" s="20" t="s">
        <v>567</v>
      </c>
      <c r="K34" s="18" t="n">
        <v>0</v>
      </c>
      <c r="L34" s="20" t="n">
        <v>0</v>
      </c>
      <c r="M34" s="18" t="n">
        <v>0</v>
      </c>
      <c r="N34" s="20" t="n">
        <v>0</v>
      </c>
      <c r="O34" s="18" t="n">
        <v>0</v>
      </c>
      <c r="P34" s="20" t="n">
        <v>0</v>
      </c>
      <c r="Q34" s="18" t="n">
        <v>10.58113389</v>
      </c>
      <c r="R34" s="20" t="n">
        <v>1.74687341</v>
      </c>
    </row>
    <row r="35" spans="1:18">
      <c r="A35" s="15" t="s">
        <v>595</v>
      </c>
      <c r="B35" s="17" t="n">
        <v>3505</v>
      </c>
      <c r="C35" s="18">
        <f>(3147.0/B35*100)</f>
        <v/>
      </c>
      <c r="D35" s="19" t="n">
        <v>358</v>
      </c>
      <c r="E35" s="18" t="n">
        <v>10.16114662</v>
      </c>
      <c r="F35" s="20" t="n">
        <v>1.81533788</v>
      </c>
      <c r="G35" s="18" t="n">
        <v>85.31869062</v>
      </c>
      <c r="H35" s="20" t="n">
        <v>2.1630959</v>
      </c>
      <c r="I35" s="18" t="s">
        <v>567</v>
      </c>
      <c r="J35" s="20" t="s">
        <v>567</v>
      </c>
      <c r="K35" s="18" t="n">
        <v>0</v>
      </c>
      <c r="L35" s="20" t="n">
        <v>0</v>
      </c>
      <c r="M35" s="18" t="n">
        <v>0</v>
      </c>
      <c r="N35" s="20" t="n">
        <v>0</v>
      </c>
      <c r="O35" s="18" t="n">
        <v>0</v>
      </c>
      <c r="P35" s="20" t="n">
        <v>0</v>
      </c>
      <c r="Q35" s="18" t="n">
        <v>4.52016276</v>
      </c>
      <c r="R35" s="20" t="n">
        <v>1.07692836</v>
      </c>
    </row>
    <row r="36" spans="1:18">
      <c r="A36" s="15" t="s">
        <v>596</v>
      </c>
      <c r="B36" s="17" t="n">
        <v>3332</v>
      </c>
      <c r="C36" s="18">
        <f>(2939.0/B36*100)</f>
        <v/>
      </c>
      <c r="D36" s="19" t="n">
        <v>393</v>
      </c>
      <c r="E36" s="18" t="n">
        <v>20.40331591</v>
      </c>
      <c r="F36" s="20" t="n">
        <v>2.14816622</v>
      </c>
      <c r="G36" s="18" t="n">
        <v>73.25859386</v>
      </c>
      <c r="H36" s="20" t="n">
        <v>2.53233378</v>
      </c>
      <c r="I36" s="18" t="s">
        <v>567</v>
      </c>
      <c r="J36" s="20" t="s">
        <v>567</v>
      </c>
      <c r="K36" s="18" t="n">
        <v>1.22603179</v>
      </c>
      <c r="L36" s="20" t="n">
        <v>0.57326244</v>
      </c>
      <c r="M36" s="18" t="n">
        <v>0</v>
      </c>
      <c r="N36" s="20" t="n">
        <v>0</v>
      </c>
      <c r="O36" s="18" t="n">
        <v>0</v>
      </c>
      <c r="P36" s="20" t="n">
        <v>0</v>
      </c>
      <c r="Q36" s="18" t="n">
        <v>5.11205844</v>
      </c>
      <c r="R36" s="20" t="n">
        <v>1.15365876</v>
      </c>
    </row>
    <row r="37" spans="1:18">
      <c r="A37" s="15" t="s">
        <v>597</v>
      </c>
      <c r="B37" s="17" t="n">
        <v>2727</v>
      </c>
      <c r="C37" s="18">
        <f>(2430.0/B37*100)</f>
        <v/>
      </c>
      <c r="D37" s="19" t="n">
        <v>297</v>
      </c>
      <c r="E37" s="18" t="n">
        <v>12.58294066</v>
      </c>
      <c r="F37" s="20" t="n">
        <v>1.69563524</v>
      </c>
      <c r="G37" s="18" t="n">
        <v>77.81748123</v>
      </c>
      <c r="H37" s="20" t="n">
        <v>2.15542167</v>
      </c>
      <c r="I37" s="18" t="s">
        <v>567</v>
      </c>
      <c r="J37" s="20" t="s">
        <v>567</v>
      </c>
      <c r="K37" s="18" t="n">
        <v>0.84341109</v>
      </c>
      <c r="L37" s="20" t="n">
        <v>0.6118535899999999</v>
      </c>
      <c r="M37" s="18" t="n">
        <v>0.53919153</v>
      </c>
      <c r="N37" s="20" t="n">
        <v>0.5500463</v>
      </c>
      <c r="O37" s="18" t="n">
        <v>0</v>
      </c>
      <c r="P37" s="20" t="n">
        <v>0</v>
      </c>
      <c r="Q37" s="18" t="n">
        <v>8.2169755</v>
      </c>
      <c r="R37" s="20" t="n">
        <v>1.48892232</v>
      </c>
    </row>
    <row r="38" spans="1:18">
      <c r="A38" s="15" t="s">
        <v>598</v>
      </c>
      <c r="B38" s="17" t="n">
        <v>3053</v>
      </c>
      <c r="C38" s="18">
        <f>(2714.0/B38*100)</f>
        <v/>
      </c>
      <c r="D38" s="19" t="n">
        <v>339</v>
      </c>
      <c r="E38" s="18" t="n">
        <v>8.55386635</v>
      </c>
      <c r="F38" s="20" t="n">
        <v>1.81252125</v>
      </c>
      <c r="G38" s="18" t="n">
        <v>78.39926523</v>
      </c>
      <c r="H38" s="20" t="n">
        <v>2.89279559</v>
      </c>
      <c r="I38" s="18" t="s">
        <v>567</v>
      </c>
      <c r="J38" s="20" t="s">
        <v>567</v>
      </c>
      <c r="K38" s="18" t="n">
        <v>0</v>
      </c>
      <c r="L38" s="20" t="n">
        <v>0</v>
      </c>
      <c r="M38" s="18" t="n">
        <v>1.66480584</v>
      </c>
      <c r="N38" s="20" t="n">
        <v>0.67655384</v>
      </c>
      <c r="O38" s="18" t="n">
        <v>0</v>
      </c>
      <c r="P38" s="20" t="n">
        <v>0</v>
      </c>
      <c r="Q38" s="18" t="n">
        <v>11.38206258</v>
      </c>
      <c r="R38" s="20" t="n">
        <v>2.56707373</v>
      </c>
    </row>
    <row r="39" spans="1:18">
      <c r="A39" s="15" t="s">
        <v>599</v>
      </c>
      <c r="B39" s="17" t="n">
        <v>2957</v>
      </c>
      <c r="C39" s="18">
        <f>(2647.0/B39*100)</f>
        <v/>
      </c>
      <c r="D39" s="19" t="n">
        <v>310</v>
      </c>
      <c r="E39" s="18" t="n">
        <v>26.47614552</v>
      </c>
      <c r="F39" s="20" t="n">
        <v>3.79391735</v>
      </c>
      <c r="G39" s="18" t="n">
        <v>66.6277625</v>
      </c>
      <c r="H39" s="20" t="n">
        <v>3.8260664</v>
      </c>
      <c r="I39" s="18" t="s">
        <v>567</v>
      </c>
      <c r="J39" s="20" t="s">
        <v>567</v>
      </c>
      <c r="K39" s="18" t="n">
        <v>0</v>
      </c>
      <c r="L39" s="20" t="n">
        <v>0</v>
      </c>
      <c r="M39" s="18" t="n">
        <v>0</v>
      </c>
      <c r="N39" s="20" t="n">
        <v>0</v>
      </c>
      <c r="O39" s="18" t="n">
        <v>0</v>
      </c>
      <c r="P39" s="20" t="n">
        <v>0</v>
      </c>
      <c r="Q39" s="18" t="n">
        <v>6.89609198</v>
      </c>
      <c r="R39" s="20" t="n">
        <v>1.62876137</v>
      </c>
    </row>
    <row r="40" spans="1:18">
      <c r="A40" s="15" t="s">
        <v>600</v>
      </c>
      <c r="B40" s="17" t="n">
        <v>7235</v>
      </c>
      <c r="C40" s="18">
        <f>(6427.0/B40*100)</f>
        <v/>
      </c>
      <c r="D40" s="19" t="n">
        <v>808</v>
      </c>
      <c r="E40" s="18" t="n">
        <v>15.64534608</v>
      </c>
      <c r="F40" s="20" t="n">
        <v>1.87711504</v>
      </c>
      <c r="G40" s="18" t="n">
        <v>77.18787338999999</v>
      </c>
      <c r="H40" s="20" t="n">
        <v>2.18065305</v>
      </c>
      <c r="I40" s="18" t="s">
        <v>567</v>
      </c>
      <c r="J40" s="20" t="s">
        <v>567</v>
      </c>
      <c r="K40" s="18" t="n">
        <v>0.44652935</v>
      </c>
      <c r="L40" s="20" t="n">
        <v>0.34274486</v>
      </c>
      <c r="M40" s="18" t="n">
        <v>0.20136754</v>
      </c>
      <c r="N40" s="20" t="n">
        <v>0.19255002</v>
      </c>
      <c r="O40" s="18" t="n">
        <v>0</v>
      </c>
      <c r="P40" s="20" t="n">
        <v>0</v>
      </c>
      <c r="Q40" s="18" t="n">
        <v>6.51888365</v>
      </c>
      <c r="R40" s="20" t="n">
        <v>1.7287529</v>
      </c>
    </row>
    <row r="41" spans="1:18">
      <c r="A41" s="15" t="s">
        <v>601</v>
      </c>
      <c r="B41" s="17" t="n">
        <v>2858</v>
      </c>
      <c r="C41" s="18">
        <f>(2508.0/B41*100)</f>
        <v/>
      </c>
      <c r="D41" s="19" t="n">
        <v>350</v>
      </c>
      <c r="E41" s="18" t="n">
        <v>22.23761066</v>
      </c>
      <c r="F41" s="20" t="n">
        <v>2.12869466</v>
      </c>
      <c r="G41" s="18" t="n">
        <v>74.27566913</v>
      </c>
      <c r="H41" s="20" t="n">
        <v>2.12410882</v>
      </c>
      <c r="I41" s="18" t="s">
        <v>567</v>
      </c>
      <c r="J41" s="20" t="s">
        <v>567</v>
      </c>
      <c r="K41" s="18" t="n">
        <v>0.34690012</v>
      </c>
      <c r="L41" s="20" t="n">
        <v>0.3233444</v>
      </c>
      <c r="M41" s="18" t="n">
        <v>0</v>
      </c>
      <c r="N41" s="20" t="n">
        <v>0</v>
      </c>
      <c r="O41" s="18" t="n">
        <v>0</v>
      </c>
      <c r="P41" s="20" t="n">
        <v>0</v>
      </c>
      <c r="Q41" s="18" t="n">
        <v>3.13982008</v>
      </c>
      <c r="R41" s="20" t="n">
        <v>0.82459512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(10050.0/B46*100)</f>
        <v/>
      </c>
      <c r="D46" s="19" t="n">
        <v>1018</v>
      </c>
      <c r="E46" s="18" t="n">
        <v>34.6838511</v>
      </c>
      <c r="F46" s="20" t="n">
        <v>1.62164067</v>
      </c>
      <c r="G46" s="18" t="n">
        <v>46.18678461</v>
      </c>
      <c r="H46" s="20" t="n">
        <v>1.69985362</v>
      </c>
      <c r="I46" s="18" t="s">
        <v>567</v>
      </c>
      <c r="J46" s="20" t="s">
        <v>567</v>
      </c>
      <c r="K46" s="18" t="n">
        <v>1.77505252</v>
      </c>
      <c r="L46" s="20" t="n">
        <v>0.62493614</v>
      </c>
      <c r="M46" s="18" t="n">
        <v>0.09165002</v>
      </c>
      <c r="N46" s="20" t="n">
        <v>0.0837664</v>
      </c>
      <c r="O46" s="18" t="n">
        <v>0</v>
      </c>
      <c r="P46" s="20" t="n">
        <v>0</v>
      </c>
      <c r="Q46" s="18" t="n">
        <v>17.26266175</v>
      </c>
      <c r="R46" s="20" t="n">
        <v>1.43527388</v>
      </c>
    </row>
    <row r="47" spans="1:18">
      <c r="A47" s="15" t="s">
        <v>607</v>
      </c>
      <c r="B47" s="17" t="n">
        <v>3105</v>
      </c>
      <c r="C47" s="18">
        <f>(2759.0/B47*100)</f>
        <v/>
      </c>
      <c r="D47" s="19" t="n">
        <v>346</v>
      </c>
      <c r="E47" s="18" t="n">
        <v>14.03237227</v>
      </c>
      <c r="F47" s="20" t="n">
        <v>1.82166765</v>
      </c>
      <c r="G47" s="18" t="n">
        <v>67.88434098</v>
      </c>
      <c r="H47" s="20" t="n">
        <v>2.96737323</v>
      </c>
      <c r="I47" s="18" t="s">
        <v>567</v>
      </c>
      <c r="J47" s="20" t="s">
        <v>567</v>
      </c>
      <c r="K47" s="18" t="n">
        <v>0.82364994</v>
      </c>
      <c r="L47" s="20" t="n">
        <v>0.48809706</v>
      </c>
      <c r="M47" s="18" t="n">
        <v>0.27036847</v>
      </c>
      <c r="N47" s="20" t="n">
        <v>0.27019066</v>
      </c>
      <c r="O47" s="18" t="n">
        <v>0</v>
      </c>
      <c r="P47" s="20" t="n">
        <v>0</v>
      </c>
      <c r="Q47" s="18" t="n">
        <v>16.98926834</v>
      </c>
      <c r="R47" s="20" t="n">
        <v>2.23218345</v>
      </c>
    </row>
    <row r="48" spans="1:18">
      <c r="A48" s="15" t="s">
        <v>608</v>
      </c>
      <c r="B48" s="17" t="n">
        <v>5159</v>
      </c>
      <c r="C48" s="18">
        <f>(4593.0/B48*100)</f>
        <v/>
      </c>
      <c r="D48" s="19" t="n">
        <v>566</v>
      </c>
      <c r="E48" s="18" t="n">
        <v>8.876808090000001</v>
      </c>
      <c r="F48" s="20" t="n">
        <v>1.72553197</v>
      </c>
      <c r="G48" s="18" t="n">
        <v>83.25187776999999</v>
      </c>
      <c r="H48" s="20" t="n">
        <v>2.17090598</v>
      </c>
      <c r="I48" s="18" t="s">
        <v>567</v>
      </c>
      <c r="J48" s="20" t="s">
        <v>567</v>
      </c>
      <c r="K48" s="18" t="n">
        <v>0.29145612</v>
      </c>
      <c r="L48" s="20" t="n">
        <v>0.28905787</v>
      </c>
      <c r="M48" s="18" t="n">
        <v>0</v>
      </c>
      <c r="N48" s="20" t="n">
        <v>0</v>
      </c>
      <c r="O48" s="18" t="n">
        <v>0</v>
      </c>
      <c r="P48" s="20" t="n">
        <v>0</v>
      </c>
      <c r="Q48" s="18" t="n">
        <v>7.57985802</v>
      </c>
      <c r="R48" s="20" t="n">
        <v>1.21410276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(5033.0/B50*100)</f>
        <v/>
      </c>
      <c r="D50" s="19" t="n">
        <v>604</v>
      </c>
      <c r="E50" s="18" t="n">
        <v>55.25415987</v>
      </c>
      <c r="F50" s="20" t="n">
        <v>2.65769917</v>
      </c>
      <c r="G50" s="18" t="n">
        <v>37.70600468</v>
      </c>
      <c r="H50" s="20" t="n">
        <v>2.44657786</v>
      </c>
      <c r="I50" s="18" t="s">
        <v>567</v>
      </c>
      <c r="J50" s="20" t="s">
        <v>567</v>
      </c>
      <c r="K50" s="18" t="n">
        <v>0.8716915</v>
      </c>
      <c r="L50" s="20" t="n">
        <v>0.44382458</v>
      </c>
      <c r="M50" s="18" t="n">
        <v>0</v>
      </c>
      <c r="N50" s="20" t="n">
        <v>0</v>
      </c>
      <c r="O50" s="18" t="n">
        <v>0</v>
      </c>
      <c r="P50" s="20" t="n">
        <v>0</v>
      </c>
      <c r="Q50" s="18" t="n">
        <v>6.16814394</v>
      </c>
      <c r="R50" s="20" t="n">
        <v>1.28457448</v>
      </c>
    </row>
    <row r="51" spans="1:18">
      <c r="A51" s="15" t="s">
        <v>611</v>
      </c>
      <c r="B51" s="17" t="n">
        <v>3372</v>
      </c>
      <c r="C51" s="18">
        <f>(3052.0/B51*100)</f>
        <v/>
      </c>
      <c r="D51" s="19" t="n">
        <v>320</v>
      </c>
      <c r="E51" s="18" t="n">
        <v>31.04652659</v>
      </c>
      <c r="F51" s="20" t="n">
        <v>3.24614635</v>
      </c>
      <c r="G51" s="18" t="n">
        <v>58.05570784</v>
      </c>
      <c r="H51" s="20" t="n">
        <v>3.43143664</v>
      </c>
      <c r="I51" s="18" t="s">
        <v>567</v>
      </c>
      <c r="J51" s="20" t="s">
        <v>567</v>
      </c>
      <c r="K51" s="18" t="n">
        <v>1.20722554</v>
      </c>
      <c r="L51" s="20" t="n">
        <v>0.58803385</v>
      </c>
      <c r="M51" s="18" t="n">
        <v>0</v>
      </c>
      <c r="N51" s="20" t="n">
        <v>0</v>
      </c>
      <c r="O51" s="18" t="n">
        <v>0</v>
      </c>
      <c r="P51" s="20" t="n">
        <v>0</v>
      </c>
      <c r="Q51" s="18" t="n">
        <v>9.690540029999999</v>
      </c>
      <c r="R51" s="20" t="n">
        <v>1.93293306</v>
      </c>
    </row>
    <row r="52" spans="1:18">
      <c r="A52" s="15" t="s">
        <v>612</v>
      </c>
      <c r="B52" s="17" t="n">
        <v>2796</v>
      </c>
      <c r="C52" s="18">
        <f>(2502.0/B52*100)</f>
        <v/>
      </c>
      <c r="D52" s="19" t="n">
        <v>294</v>
      </c>
      <c r="E52" s="18" t="n">
        <v>6.84118164</v>
      </c>
      <c r="F52" s="20" t="n">
        <v>1.41841623</v>
      </c>
      <c r="G52" s="18" t="n">
        <v>83.94876063</v>
      </c>
      <c r="H52" s="20" t="n">
        <v>2.23223529</v>
      </c>
      <c r="I52" s="18" t="s">
        <v>567</v>
      </c>
      <c r="J52" s="20" t="s">
        <v>567</v>
      </c>
      <c r="K52" s="18" t="n">
        <v>0.26497534</v>
      </c>
      <c r="L52" s="20" t="n">
        <v>0.26380033</v>
      </c>
      <c r="M52" s="18" t="n">
        <v>0</v>
      </c>
      <c r="N52" s="20" t="n">
        <v>0</v>
      </c>
      <c r="O52" s="18" t="n">
        <v>0</v>
      </c>
      <c r="P52" s="20" t="n">
        <v>0</v>
      </c>
      <c r="Q52" s="18" t="n">
        <v>8.9450824</v>
      </c>
      <c r="R52" s="20" t="n">
        <v>1.66336129</v>
      </c>
    </row>
    <row r="53" spans="1:18">
      <c r="A53" s="15" t="s">
        <v>613</v>
      </c>
      <c r="B53" s="17" t="n">
        <v>2811</v>
      </c>
      <c r="C53" s="18">
        <f>(2488.0/B53*100)</f>
        <v/>
      </c>
      <c r="D53" s="19" t="n">
        <v>323</v>
      </c>
      <c r="E53" s="18" t="n">
        <v>21.93048867</v>
      </c>
      <c r="F53" s="20" t="n">
        <v>2.45921785</v>
      </c>
      <c r="G53" s="18" t="n">
        <v>55.22279438</v>
      </c>
      <c r="H53" s="20" t="n">
        <v>2.86934559</v>
      </c>
      <c r="I53" s="18" t="s">
        <v>567</v>
      </c>
      <c r="J53" s="20" t="s">
        <v>567</v>
      </c>
      <c r="K53" s="18" t="n">
        <v>0.90203248</v>
      </c>
      <c r="L53" s="20" t="n">
        <v>0.55107568</v>
      </c>
      <c r="M53" s="18" t="n">
        <v>0.22999873</v>
      </c>
      <c r="N53" s="20" t="n">
        <v>0.23043311</v>
      </c>
      <c r="O53" s="18" t="n">
        <v>0</v>
      </c>
      <c r="P53" s="20" t="n">
        <v>0</v>
      </c>
      <c r="Q53" s="18" t="n">
        <v>21.71468574</v>
      </c>
      <c r="R53" s="20" t="n">
        <v>2.0966035</v>
      </c>
    </row>
    <row r="54" spans="1:18">
      <c r="A54" s="15" t="s">
        <v>614</v>
      </c>
      <c r="B54" s="17" t="n">
        <v>2266</v>
      </c>
      <c r="C54" s="18">
        <f>(2024.0/B54*100)</f>
        <v/>
      </c>
      <c r="D54" s="19" t="n">
        <v>242</v>
      </c>
      <c r="E54" s="18" t="n">
        <v>52.53344078</v>
      </c>
      <c r="F54" s="20" t="n">
        <v>3.98623788</v>
      </c>
      <c r="G54" s="18" t="n">
        <v>16.13263335</v>
      </c>
      <c r="H54" s="20" t="n">
        <v>2.6291262</v>
      </c>
      <c r="I54" s="18" t="s">
        <v>567</v>
      </c>
      <c r="J54" s="20" t="s">
        <v>567</v>
      </c>
      <c r="K54" s="18" t="n">
        <v>12.23825884</v>
      </c>
      <c r="L54" s="20" t="n">
        <v>2.60056412</v>
      </c>
      <c r="M54" s="18" t="n">
        <v>0.37139934</v>
      </c>
      <c r="N54" s="20" t="n">
        <v>0.37166143</v>
      </c>
      <c r="O54" s="18" t="n">
        <v>0</v>
      </c>
      <c r="P54" s="20" t="n">
        <v>0</v>
      </c>
      <c r="Q54" s="18" t="n">
        <v>18.72426769</v>
      </c>
      <c r="R54" s="20" t="n">
        <v>2.69207502</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(2401.0/B56*100)</f>
        <v/>
      </c>
      <c r="D56" s="19" t="n">
        <v>283</v>
      </c>
      <c r="E56" s="18" t="n">
        <v>7.36127967</v>
      </c>
      <c r="F56" s="20" t="n">
        <v>1.77994271</v>
      </c>
      <c r="G56" s="18" t="n">
        <v>90.44134291</v>
      </c>
      <c r="H56" s="20" t="n">
        <v>1.89640288</v>
      </c>
      <c r="I56" s="18" t="s">
        <v>567</v>
      </c>
      <c r="J56" s="20" t="s">
        <v>567</v>
      </c>
      <c r="K56" s="18" t="n">
        <v>0</v>
      </c>
      <c r="L56" s="20" t="n">
        <v>0</v>
      </c>
      <c r="M56" s="18" t="n">
        <v>0.35066019</v>
      </c>
      <c r="N56" s="20" t="n">
        <v>0.31913593</v>
      </c>
      <c r="O56" s="18" t="n">
        <v>0</v>
      </c>
      <c r="P56" s="20" t="n">
        <v>0</v>
      </c>
      <c r="Q56" s="18" t="n">
        <v>1.84671722</v>
      </c>
      <c r="R56" s="20" t="n">
        <v>0.75375203</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(2978.0/B61*100)</f>
        <v/>
      </c>
      <c r="D61" s="19" t="n">
        <v>346</v>
      </c>
      <c r="E61" s="18" t="n">
        <v>13.43747494</v>
      </c>
      <c r="F61" s="20" t="n">
        <v>1.97450878</v>
      </c>
      <c r="G61" s="18" t="n">
        <v>78.03030994</v>
      </c>
      <c r="H61" s="20" t="n">
        <v>2.36521667</v>
      </c>
      <c r="I61" s="18" t="s">
        <v>567</v>
      </c>
      <c r="J61" s="20" t="s">
        <v>567</v>
      </c>
      <c r="K61" s="18" t="n">
        <v>0.10387639</v>
      </c>
      <c r="L61" s="20" t="n">
        <v>0.09931863</v>
      </c>
      <c r="M61" s="18" t="n">
        <v>0</v>
      </c>
      <c r="N61" s="20" t="n">
        <v>0</v>
      </c>
      <c r="O61" s="18" t="n">
        <v>0</v>
      </c>
      <c r="P61" s="20" t="n">
        <v>0</v>
      </c>
      <c r="Q61" s="18" t="n">
        <v>8.428338739999999</v>
      </c>
      <c r="R61" s="20" t="n">
        <v>1.53216218</v>
      </c>
    </row>
    <row r="62" spans="1:18">
      <c r="A62" s="15" t="s">
        <v>622</v>
      </c>
      <c r="B62" s="17" t="n">
        <v>2246</v>
      </c>
      <c r="C62" s="18">
        <f>(1990.0/B62*100)</f>
        <v/>
      </c>
      <c r="D62" s="19" t="n">
        <v>256</v>
      </c>
      <c r="E62" s="18" t="n">
        <v>18.03605836</v>
      </c>
      <c r="F62" s="20" t="n">
        <v>2.34002592</v>
      </c>
      <c r="G62" s="18" t="n">
        <v>78.84678011</v>
      </c>
      <c r="H62" s="20" t="n">
        <v>2.66835919</v>
      </c>
      <c r="I62" s="18" t="s">
        <v>567</v>
      </c>
      <c r="J62" s="20" t="s">
        <v>567</v>
      </c>
      <c r="K62" s="18" t="n">
        <v>0</v>
      </c>
      <c r="L62" s="20" t="n">
        <v>0</v>
      </c>
      <c r="M62" s="18" t="n">
        <v>0</v>
      </c>
      <c r="N62" s="20" t="n">
        <v>0</v>
      </c>
      <c r="O62" s="18" t="n">
        <v>0</v>
      </c>
      <c r="P62" s="20" t="n">
        <v>0</v>
      </c>
      <c r="Q62" s="18" t="n">
        <v>3.11716153</v>
      </c>
      <c r="R62" s="20" t="n">
        <v>1.23502002</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(2584.0/B66*100)</f>
        <v/>
      </c>
      <c r="D66" s="19" t="n">
        <v>310</v>
      </c>
      <c r="E66" s="18" t="n">
        <v>15.22122079</v>
      </c>
      <c r="F66" s="20" t="n">
        <v>2.21629178</v>
      </c>
      <c r="G66" s="18" t="n">
        <v>52.46836434</v>
      </c>
      <c r="H66" s="20" t="n">
        <v>3.23060539</v>
      </c>
      <c r="I66" s="18" t="s">
        <v>567</v>
      </c>
      <c r="J66" s="20" t="s">
        <v>567</v>
      </c>
      <c r="K66" s="18" t="n">
        <v>1.36787163</v>
      </c>
      <c r="L66" s="20" t="n">
        <v>0.70264886</v>
      </c>
      <c r="M66" s="18" t="n">
        <v>0.66574948</v>
      </c>
      <c r="N66" s="20" t="n">
        <v>0.47190846</v>
      </c>
      <c r="O66" s="18" t="n">
        <v>0</v>
      </c>
      <c r="P66" s="20" t="n">
        <v>0</v>
      </c>
      <c r="Q66" s="18" t="n">
        <v>30.27679376</v>
      </c>
      <c r="R66" s="20" t="n">
        <v>2.60574854</v>
      </c>
    </row>
    <row r="67" spans="1:18">
      <c r="A67" s="15" t="s">
        <v>627</v>
      </c>
      <c r="B67" s="17" t="n">
        <v>3511</v>
      </c>
      <c r="C67" s="18">
        <f>(3168.0/B67*100)</f>
        <v/>
      </c>
      <c r="D67" s="19" t="n">
        <v>343</v>
      </c>
      <c r="E67" s="18" t="n">
        <v>44.07099256</v>
      </c>
      <c r="F67" s="20" t="n">
        <v>3.02593516</v>
      </c>
      <c r="G67" s="18" t="n">
        <v>48.97593322</v>
      </c>
      <c r="H67" s="20" t="n">
        <v>3.10805663</v>
      </c>
      <c r="I67" s="18" t="s">
        <v>567</v>
      </c>
      <c r="J67" s="20" t="s">
        <v>567</v>
      </c>
      <c r="K67" s="18" t="n">
        <v>0</v>
      </c>
      <c r="L67" s="20" t="n">
        <v>0</v>
      </c>
      <c r="M67" s="18" t="n">
        <v>0</v>
      </c>
      <c r="N67" s="20" t="n">
        <v>0</v>
      </c>
      <c r="O67" s="18" t="n">
        <v>0</v>
      </c>
      <c r="P67" s="20" t="n">
        <v>0</v>
      </c>
      <c r="Q67" s="18" t="n">
        <v>6.95307422</v>
      </c>
      <c r="R67" s="20" t="n">
        <v>1.23198386</v>
      </c>
    </row>
    <row r="68" spans="1:18">
      <c r="A68" s="15" t="s">
        <v>628</v>
      </c>
      <c r="B68" s="17" t="n">
        <v>6049</v>
      </c>
      <c r="C68" s="18">
        <f>(5393.0/B68*100)</f>
        <v/>
      </c>
      <c r="D68" s="19" t="n">
        <v>656</v>
      </c>
      <c r="E68" s="18" t="n">
        <v>38.03813612</v>
      </c>
      <c r="F68" s="20" t="n">
        <v>2.03391638</v>
      </c>
      <c r="G68" s="18" t="n">
        <v>42.41628602</v>
      </c>
      <c r="H68" s="20" t="n">
        <v>2.01447484</v>
      </c>
      <c r="I68" s="18" t="s">
        <v>567</v>
      </c>
      <c r="J68" s="20" t="s">
        <v>567</v>
      </c>
      <c r="K68" s="18" t="n">
        <v>2.75647522</v>
      </c>
      <c r="L68" s="20" t="n">
        <v>0.6624223299999999</v>
      </c>
      <c r="M68" s="18" t="n">
        <v>0</v>
      </c>
      <c r="N68" s="20" t="n">
        <v>0</v>
      </c>
      <c r="O68" s="18" t="n">
        <v>0</v>
      </c>
      <c r="P68" s="20" t="n">
        <v>0</v>
      </c>
      <c r="Q68" s="18" t="n">
        <v>16.78910264</v>
      </c>
      <c r="R68" s="20" t="n">
        <v>1.46808543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(2619.0/B70*100)</f>
        <v/>
      </c>
      <c r="D70" s="19" t="n">
        <v>310</v>
      </c>
      <c r="E70" s="18" t="n">
        <v>34.63417805</v>
      </c>
      <c r="F70" s="20" t="n">
        <v>3.29675792</v>
      </c>
      <c r="G70" s="18" t="n">
        <v>56.35111785</v>
      </c>
      <c r="H70" s="20" t="n">
        <v>4.37764402</v>
      </c>
      <c r="I70" s="18" t="s">
        <v>567</v>
      </c>
      <c r="J70" s="20" t="s">
        <v>567</v>
      </c>
      <c r="K70" s="18" t="n">
        <v>0.2265659</v>
      </c>
      <c r="L70" s="20" t="n">
        <v>0.22695249</v>
      </c>
      <c r="M70" s="18" t="n">
        <v>0.35153589</v>
      </c>
      <c r="N70" s="20" t="n">
        <v>0.35062915</v>
      </c>
      <c r="O70" s="18" t="n">
        <v>0</v>
      </c>
      <c r="P70" s="20" t="n">
        <v>0</v>
      </c>
      <c r="Q70" s="18" t="n">
        <v>8.43660231</v>
      </c>
      <c r="R70" s="20" t="n">
        <v>2.40326411</v>
      </c>
    </row>
    <row r="71" spans="1:18">
      <c r="A71" s="15" t="s">
        <v>631</v>
      </c>
      <c r="B71" s="17" t="n">
        <v>3142</v>
      </c>
      <c r="C71" s="18">
        <f>(2748.0/B71*100)</f>
        <v/>
      </c>
      <c r="D71" s="19" t="n">
        <v>394</v>
      </c>
      <c r="E71" s="18" t="n">
        <v>17.77170904</v>
      </c>
      <c r="F71" s="20" t="n">
        <v>1.94299839</v>
      </c>
      <c r="G71" s="18" t="n">
        <v>76.95734169000001</v>
      </c>
      <c r="H71" s="20" t="n">
        <v>2.02339849</v>
      </c>
      <c r="I71" s="18" t="s">
        <v>567</v>
      </c>
      <c r="J71" s="20" t="s">
        <v>567</v>
      </c>
      <c r="K71" s="18" t="n">
        <v>0.17017099</v>
      </c>
      <c r="L71" s="20" t="n">
        <v>0.1682055</v>
      </c>
      <c r="M71" s="18" t="n">
        <v>0</v>
      </c>
      <c r="N71" s="20" t="n">
        <v>0</v>
      </c>
      <c r="O71" s="18" t="n">
        <v>0</v>
      </c>
      <c r="P71" s="20" t="n">
        <v>0</v>
      </c>
      <c r="Q71" s="18" t="n">
        <v>5.10077828</v>
      </c>
      <c r="R71" s="20" t="n">
        <v>1.13067163</v>
      </c>
    </row>
    <row r="72" spans="1:18">
      <c r="A72" s="15" t="s">
        <v>632</v>
      </c>
      <c r="B72" s="17" t="n">
        <v>3889</v>
      </c>
      <c r="C72" s="18">
        <f>(3470.0/B72*100)</f>
        <v/>
      </c>
      <c r="D72" s="19" t="n">
        <v>419</v>
      </c>
      <c r="E72" s="18" t="n">
        <v>7.78520664</v>
      </c>
      <c r="F72" s="20" t="n">
        <v>1.27924946</v>
      </c>
      <c r="G72" s="18" t="n">
        <v>86.96012428</v>
      </c>
      <c r="H72" s="20" t="n">
        <v>1.70467307</v>
      </c>
      <c r="I72" s="18" t="s">
        <v>567</v>
      </c>
      <c r="J72" s="20" t="s">
        <v>567</v>
      </c>
      <c r="K72" s="18" t="n">
        <v>0.43075336</v>
      </c>
      <c r="L72" s="20" t="n">
        <v>0.4321234</v>
      </c>
      <c r="M72" s="18" t="n">
        <v>0</v>
      </c>
      <c r="N72" s="20" t="n">
        <v>0</v>
      </c>
      <c r="O72" s="18" t="n">
        <v>0</v>
      </c>
      <c r="P72" s="20" t="n">
        <v>0</v>
      </c>
      <c r="Q72" s="18" t="n">
        <v>4.82391572</v>
      </c>
      <c r="R72" s="20" t="n">
        <v>0.9953589900000001</v>
      </c>
    </row>
    <row r="73" spans="1:18">
      <c r="A73" s="15" t="s">
        <v>633</v>
      </c>
      <c r="B73" s="17" t="n">
        <v>3597</v>
      </c>
      <c r="C73" s="18">
        <f>(3218.0/B73*100)</f>
        <v/>
      </c>
      <c r="D73" s="19" t="n">
        <v>379</v>
      </c>
      <c r="E73" s="18" t="n">
        <v>47.42496222</v>
      </c>
      <c r="F73" s="20" t="n">
        <v>3.25356315</v>
      </c>
      <c r="G73" s="18" t="n">
        <v>50.60969449</v>
      </c>
      <c r="H73" s="20" t="n">
        <v>3.26146299</v>
      </c>
      <c r="I73" s="18" t="s">
        <v>567</v>
      </c>
      <c r="J73" s="20" t="s">
        <v>567</v>
      </c>
      <c r="K73" s="18" t="n">
        <v>0.16423416</v>
      </c>
      <c r="L73" s="20" t="n">
        <v>0.16435104</v>
      </c>
      <c r="M73" s="18" t="n">
        <v>0</v>
      </c>
      <c r="N73" s="20" t="n">
        <v>0</v>
      </c>
      <c r="O73" s="18" t="n">
        <v>0</v>
      </c>
      <c r="P73" s="20" t="n">
        <v>0</v>
      </c>
      <c r="Q73" s="18" t="n">
        <v>1.80110913</v>
      </c>
      <c r="R73" s="20" t="n">
        <v>0.69648549</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(2166.0/B75*100)</f>
        <v/>
      </c>
      <c r="D75" s="19" t="n">
        <v>240</v>
      </c>
      <c r="E75" s="18" t="n">
        <v>29.61977103</v>
      </c>
      <c r="F75" s="20" t="n">
        <v>2.93728138</v>
      </c>
      <c r="G75" s="18" t="n">
        <v>46.48552456</v>
      </c>
      <c r="H75" s="20" t="n">
        <v>3.35409821</v>
      </c>
      <c r="I75" s="18" t="s">
        <v>567</v>
      </c>
      <c r="J75" s="20" t="s">
        <v>567</v>
      </c>
      <c r="K75" s="18" t="n">
        <v>1.57604189</v>
      </c>
      <c r="L75" s="20" t="n">
        <v>0.5652115599999999</v>
      </c>
      <c r="M75" s="18" t="n">
        <v>0.47315706</v>
      </c>
      <c r="N75" s="20" t="n">
        <v>0.47391196</v>
      </c>
      <c r="O75" s="18" t="n">
        <v>0</v>
      </c>
      <c r="P75" s="20" t="n">
        <v>0</v>
      </c>
      <c r="Q75" s="18" t="n">
        <v>21.84550546</v>
      </c>
      <c r="R75" s="20" t="n">
        <v>3.072466</v>
      </c>
    </row>
    <row r="76" spans="1:18">
      <c r="A76" s="15" t="s">
        <v>636</v>
      </c>
      <c r="B76" s="17" t="n">
        <v>7052</v>
      </c>
      <c r="C76" s="18">
        <f>(6261.0/B76*100)</f>
        <v/>
      </c>
      <c r="D76" s="19" t="n">
        <v>791</v>
      </c>
      <c r="E76" s="18" t="n">
        <v>42.67671398</v>
      </c>
      <c r="F76" s="20" t="n">
        <v>2.05321034</v>
      </c>
      <c r="G76" s="18" t="n">
        <v>43.48756954</v>
      </c>
      <c r="H76" s="20" t="n">
        <v>2.40620043</v>
      </c>
      <c r="I76" s="18" t="s">
        <v>567</v>
      </c>
      <c r="J76" s="20" t="s">
        <v>567</v>
      </c>
      <c r="K76" s="18" t="n">
        <v>0.90729866</v>
      </c>
      <c r="L76" s="20" t="n">
        <v>0.39094051</v>
      </c>
      <c r="M76" s="18" t="n">
        <v>0.30777668</v>
      </c>
      <c r="N76" s="20" t="n">
        <v>0.44934243</v>
      </c>
      <c r="O76" s="18" t="n">
        <v>0</v>
      </c>
      <c r="P76" s="20" t="n">
        <v>0</v>
      </c>
      <c r="Q76" s="18" t="n">
        <v>12.62064114</v>
      </c>
      <c r="R76" s="20" t="n">
        <v>1.56934275</v>
      </c>
    </row>
    <row r="77" spans="1:18">
      <c r="A77" s="15" t="s">
        <v>637</v>
      </c>
      <c r="B77" s="17" t="n">
        <v>2908</v>
      </c>
      <c r="C77" s="18">
        <f>(2619.0/B77*100)</f>
        <v/>
      </c>
      <c r="D77" s="19" t="n">
        <v>289</v>
      </c>
      <c r="E77" s="18" t="n">
        <v>24.14889631</v>
      </c>
      <c r="F77" s="20" t="n">
        <v>3.29513431</v>
      </c>
      <c r="G77" s="18" t="n">
        <v>53.69466167</v>
      </c>
      <c r="H77" s="20" t="n">
        <v>3.27734839</v>
      </c>
      <c r="I77" s="18" t="s">
        <v>567</v>
      </c>
      <c r="J77" s="20" t="s">
        <v>567</v>
      </c>
      <c r="K77" s="18" t="n">
        <v>2.56612872</v>
      </c>
      <c r="L77" s="20" t="n">
        <v>0.99078239</v>
      </c>
      <c r="M77" s="18" t="n">
        <v>0</v>
      </c>
      <c r="N77" s="20" t="n">
        <v>0</v>
      </c>
      <c r="O77" s="18" t="n">
        <v>0</v>
      </c>
      <c r="P77" s="20" t="n">
        <v>0</v>
      </c>
      <c r="Q77" s="18" t="n">
        <v>19.59031329</v>
      </c>
      <c r="R77" s="20" t="n">
        <v>2.3328996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(3726.0/B81*100)</f>
        <v/>
      </c>
      <c r="D81" s="19" t="n">
        <v>437</v>
      </c>
      <c r="E81" s="18" t="n">
        <v>47.80105825</v>
      </c>
      <c r="F81" s="20" t="n">
        <v>2.83680603</v>
      </c>
      <c r="G81" s="18" t="n">
        <v>47.83114644</v>
      </c>
      <c r="H81" s="20" t="n">
        <v>2.84997906</v>
      </c>
      <c r="I81" s="18" t="s">
        <v>567</v>
      </c>
      <c r="J81" s="20" t="s">
        <v>567</v>
      </c>
      <c r="K81" s="18" t="n">
        <v>0</v>
      </c>
      <c r="L81" s="20" t="n">
        <v>0</v>
      </c>
      <c r="M81" s="18" t="n">
        <v>0</v>
      </c>
      <c r="N81" s="20" t="n">
        <v>0</v>
      </c>
      <c r="O81" s="18" t="n">
        <v>0</v>
      </c>
      <c r="P81" s="20" t="n">
        <v>0</v>
      </c>
      <c r="Q81" s="18" t="n">
        <v>4.36779531</v>
      </c>
      <c r="R81" s="20" t="n">
        <v>1.06839775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(6582.0/B7*100)</f>
        <v/>
      </c>
      <c r="D7" s="19" t="n">
        <v>785</v>
      </c>
      <c r="E7" s="18" t="n">
        <v>56.17515288</v>
      </c>
      <c r="F7" s="20" t="n">
        <v>2.26484205</v>
      </c>
      <c r="G7" s="18" t="n">
        <v>35.09541004</v>
      </c>
      <c r="H7" s="20" t="n">
        <v>2.09094549</v>
      </c>
      <c r="I7" s="18" t="s">
        <v>567</v>
      </c>
      <c r="J7" s="20" t="s">
        <v>567</v>
      </c>
      <c r="K7" s="18" t="n">
        <v>0.37017376</v>
      </c>
      <c r="L7" s="20" t="n">
        <v>0.21071827</v>
      </c>
      <c r="M7" s="18" t="n">
        <v>0</v>
      </c>
      <c r="N7" s="20" t="n">
        <v>0</v>
      </c>
      <c r="O7" s="18" t="n">
        <v>0</v>
      </c>
      <c r="P7" s="20" t="n">
        <v>0</v>
      </c>
      <c r="Q7" s="18" t="n">
        <v>8.35926332</v>
      </c>
      <c r="R7" s="20" t="n">
        <v>1.21031186</v>
      </c>
    </row>
    <row r="8" spans="1:18">
      <c r="A8" s="15" t="s">
        <v>568</v>
      </c>
      <c r="B8" s="17" t="n">
        <v>3564</v>
      </c>
      <c r="C8" s="18">
        <f>(3171.0/B8*100)</f>
        <v/>
      </c>
      <c r="D8" s="19" t="n">
        <v>393</v>
      </c>
      <c r="E8" s="18" t="n">
        <v>47.87506313</v>
      </c>
      <c r="F8" s="20" t="n">
        <v>2.46297045</v>
      </c>
      <c r="G8" s="18" t="n">
        <v>45.90857613</v>
      </c>
      <c r="H8" s="20" t="n">
        <v>2.88674932</v>
      </c>
      <c r="I8" s="18" t="s">
        <v>567</v>
      </c>
      <c r="J8" s="20" t="s">
        <v>567</v>
      </c>
      <c r="K8" s="18" t="n">
        <v>0</v>
      </c>
      <c r="L8" s="20" t="n">
        <v>0</v>
      </c>
      <c r="M8" s="18" t="n">
        <v>0</v>
      </c>
      <c r="N8" s="20" t="n">
        <v>0</v>
      </c>
      <c r="O8" s="18" t="n">
        <v>0</v>
      </c>
      <c r="P8" s="20" t="n">
        <v>0</v>
      </c>
      <c r="Q8" s="18" t="n">
        <v>6.21636074</v>
      </c>
      <c r="R8" s="20" t="n">
        <v>1.34432085</v>
      </c>
    </row>
    <row r="9" spans="1:18">
      <c r="A9" s="15" t="s">
        <v>569</v>
      </c>
      <c r="B9" s="17" t="n">
        <v>4899</v>
      </c>
      <c r="C9" s="18">
        <f>(4411.0/B9*100)</f>
        <v/>
      </c>
      <c r="D9" s="19" t="n">
        <v>488</v>
      </c>
      <c r="E9" s="18" t="n">
        <v>55.00986003</v>
      </c>
      <c r="F9" s="20" t="n">
        <v>2.53511095</v>
      </c>
      <c r="G9" s="18" t="n">
        <v>39.87189915</v>
      </c>
      <c r="H9" s="20" t="n">
        <v>2.48089738</v>
      </c>
      <c r="I9" s="18" t="s">
        <v>567</v>
      </c>
      <c r="J9" s="20" t="s">
        <v>567</v>
      </c>
      <c r="K9" s="18" t="n">
        <v>0.31006898</v>
      </c>
      <c r="L9" s="20" t="n">
        <v>0.28947862</v>
      </c>
      <c r="M9" s="18" t="n">
        <v>0</v>
      </c>
      <c r="N9" s="20" t="n">
        <v>0</v>
      </c>
      <c r="O9" s="18" t="n">
        <v>0</v>
      </c>
      <c r="P9" s="20" t="n">
        <v>0</v>
      </c>
      <c r="Q9" s="18" t="n">
        <v>4.80817183</v>
      </c>
      <c r="R9" s="20" t="n">
        <v>1.07846385</v>
      </c>
    </row>
    <row r="10" spans="1:18">
      <c r="A10" s="15" t="s">
        <v>570</v>
      </c>
      <c r="B10" s="17" t="n">
        <v>10036</v>
      </c>
      <c r="C10" s="18">
        <f>(8911.0/B10*100)</f>
        <v/>
      </c>
      <c r="D10" s="19" t="n">
        <v>1125</v>
      </c>
      <c r="E10" s="18" t="n">
        <v>57.58184844</v>
      </c>
      <c r="F10" s="20" t="n">
        <v>2.02531639</v>
      </c>
      <c r="G10" s="18" t="n">
        <v>39.27236381</v>
      </c>
      <c r="H10" s="20" t="n">
        <v>1.95021865</v>
      </c>
      <c r="I10" s="18" t="s">
        <v>567</v>
      </c>
      <c r="J10" s="20" t="s">
        <v>567</v>
      </c>
      <c r="K10" s="18" t="n">
        <v>0.05787845</v>
      </c>
      <c r="L10" s="20" t="n">
        <v>0.03596586</v>
      </c>
      <c r="M10" s="18" t="n">
        <v>0</v>
      </c>
      <c r="N10" s="20" t="n">
        <v>0</v>
      </c>
      <c r="O10" s="18" t="n">
        <v>0</v>
      </c>
      <c r="P10" s="20" t="n">
        <v>0</v>
      </c>
      <c r="Q10" s="18" t="n">
        <v>3.0879093</v>
      </c>
      <c r="R10" s="20" t="n">
        <v>0.75857929</v>
      </c>
    </row>
    <row r="11" spans="1:18">
      <c r="A11" s="15" t="s">
        <v>571</v>
      </c>
      <c r="B11" s="17" t="n">
        <v>3553</v>
      </c>
      <c r="C11" s="18">
        <f>(3173.0/B11*100)</f>
        <v/>
      </c>
      <c r="D11" s="19" t="n">
        <v>380</v>
      </c>
      <c r="E11" s="18" t="n">
        <v>64.57402939000001</v>
      </c>
      <c r="F11" s="20" t="n">
        <v>2.55631358</v>
      </c>
      <c r="G11" s="18" t="n">
        <v>21.53119686</v>
      </c>
      <c r="H11" s="20" t="n">
        <v>2.07107733</v>
      </c>
      <c r="I11" s="18" t="s">
        <v>567</v>
      </c>
      <c r="J11" s="20" t="s">
        <v>567</v>
      </c>
      <c r="K11" s="18" t="n">
        <v>2.06665716</v>
      </c>
      <c r="L11" s="20" t="n">
        <v>0.80045691</v>
      </c>
      <c r="M11" s="18" t="n">
        <v>0.03714376</v>
      </c>
      <c r="N11" s="20" t="n">
        <v>0.03759041</v>
      </c>
      <c r="O11" s="18" t="n">
        <v>0</v>
      </c>
      <c r="P11" s="20" t="n">
        <v>0</v>
      </c>
      <c r="Q11" s="18" t="n">
        <v>11.79097283</v>
      </c>
      <c r="R11" s="20" t="n">
        <v>1.90467126</v>
      </c>
    </row>
    <row r="12" spans="1:18">
      <c r="A12" s="15" t="s">
        <v>572</v>
      </c>
      <c r="B12" s="17" t="n">
        <v>3472</v>
      </c>
      <c r="C12" s="18">
        <f>(3086.0/B12*100)</f>
        <v/>
      </c>
      <c r="D12" s="19" t="n">
        <v>386</v>
      </c>
      <c r="E12" s="18" t="n">
        <v>54.04772383</v>
      </c>
      <c r="F12" s="20" t="n">
        <v>2.99314182</v>
      </c>
      <c r="G12" s="18" t="n">
        <v>36.99524761</v>
      </c>
      <c r="H12" s="20" t="n">
        <v>2.71360637</v>
      </c>
      <c r="I12" s="18" t="s">
        <v>567</v>
      </c>
      <c r="J12" s="20" t="s">
        <v>567</v>
      </c>
      <c r="K12" s="18" t="n">
        <v>0</v>
      </c>
      <c r="L12" s="20" t="n">
        <v>0</v>
      </c>
      <c r="M12" s="18" t="n">
        <v>0</v>
      </c>
      <c r="N12" s="20" t="n">
        <v>0</v>
      </c>
      <c r="O12" s="18" t="n">
        <v>0</v>
      </c>
      <c r="P12" s="20" t="n">
        <v>0</v>
      </c>
      <c r="Q12" s="18" t="n">
        <v>8.957028559999999</v>
      </c>
      <c r="R12" s="20" t="n">
        <v>1.63016077</v>
      </c>
    </row>
    <row r="13" spans="1:18">
      <c r="A13" s="15" t="s">
        <v>573</v>
      </c>
      <c r="B13" s="17" t="n">
        <v>3559</v>
      </c>
      <c r="C13" s="18">
        <f>(3206.0/B13*100)</f>
        <v/>
      </c>
      <c r="D13" s="19" t="n">
        <v>353</v>
      </c>
      <c r="E13" s="18" t="n">
        <v>43.97416463</v>
      </c>
      <c r="F13" s="20" t="n">
        <v>2.54458864</v>
      </c>
      <c r="G13" s="18" t="n">
        <v>45.4485826</v>
      </c>
      <c r="H13" s="20" t="n">
        <v>3.04230484</v>
      </c>
      <c r="I13" s="18" t="s">
        <v>567</v>
      </c>
      <c r="J13" s="20" t="s">
        <v>567</v>
      </c>
      <c r="K13" s="18" t="n">
        <v>0.3431913</v>
      </c>
      <c r="L13" s="20" t="n">
        <v>0.36014322</v>
      </c>
      <c r="M13" s="18" t="n">
        <v>0</v>
      </c>
      <c r="N13" s="20" t="n">
        <v>0</v>
      </c>
      <c r="O13" s="18" t="n">
        <v>0</v>
      </c>
      <c r="P13" s="20" t="n">
        <v>0</v>
      </c>
      <c r="Q13" s="18" t="n">
        <v>10.23406147</v>
      </c>
      <c r="R13" s="20" t="n">
        <v>2.52083206</v>
      </c>
    </row>
    <row r="14" spans="1:18">
      <c r="A14" s="15" t="s">
        <v>574</v>
      </c>
      <c r="B14" s="17" t="n">
        <v>2799</v>
      </c>
      <c r="C14" s="18">
        <f>(2469.0/B14*100)</f>
        <v/>
      </c>
      <c r="D14" s="19" t="n">
        <v>330</v>
      </c>
      <c r="E14" s="18" t="n">
        <v>56.5371007</v>
      </c>
      <c r="F14" s="20" t="n">
        <v>3.14383141</v>
      </c>
      <c r="G14" s="18" t="n">
        <v>40.64723068</v>
      </c>
      <c r="H14" s="20" t="n">
        <v>2.91637583</v>
      </c>
      <c r="I14" s="18" t="s">
        <v>567</v>
      </c>
      <c r="J14" s="20" t="s">
        <v>567</v>
      </c>
      <c r="K14" s="18" t="n">
        <v>0.29835238</v>
      </c>
      <c r="L14" s="20" t="n">
        <v>0.30445412</v>
      </c>
      <c r="M14" s="18" t="n">
        <v>0</v>
      </c>
      <c r="N14" s="20" t="n">
        <v>0</v>
      </c>
      <c r="O14" s="18" t="n">
        <v>0</v>
      </c>
      <c r="P14" s="20" t="n">
        <v>0</v>
      </c>
      <c r="Q14" s="18" t="n">
        <v>2.51731624</v>
      </c>
      <c r="R14" s="20" t="n">
        <v>0.7977111099999999</v>
      </c>
    </row>
    <row r="15" spans="1:18">
      <c r="A15" s="15" t="s">
        <v>575</v>
      </c>
      <c r="B15" s="17" t="n">
        <v>3019</v>
      </c>
      <c r="C15" s="18">
        <f>(2701.0/B15*100)</f>
        <v/>
      </c>
      <c r="D15" s="19" t="n">
        <v>318</v>
      </c>
      <c r="E15" s="18" t="n">
        <v>51.54034472</v>
      </c>
      <c r="F15" s="20" t="n">
        <v>3.16700429</v>
      </c>
      <c r="G15" s="18" t="n">
        <v>45.22650866</v>
      </c>
      <c r="H15" s="20" t="n">
        <v>2.98486069</v>
      </c>
      <c r="I15" s="18" t="s">
        <v>567</v>
      </c>
      <c r="J15" s="20" t="s">
        <v>567</v>
      </c>
      <c r="K15" s="18" t="n">
        <v>0.13173807</v>
      </c>
      <c r="L15" s="20" t="n">
        <v>0.13145913</v>
      </c>
      <c r="M15" s="18" t="n">
        <v>0</v>
      </c>
      <c r="N15" s="20" t="n">
        <v>0</v>
      </c>
      <c r="O15" s="18" t="n">
        <v>0</v>
      </c>
      <c r="P15" s="20" t="n">
        <v>0</v>
      </c>
      <c r="Q15" s="18" t="n">
        <v>3.10140855</v>
      </c>
      <c r="R15" s="20" t="n">
        <v>0.92609633</v>
      </c>
    </row>
    <row r="16" spans="1:18">
      <c r="A16" s="15" t="s">
        <v>576</v>
      </c>
      <c r="B16" s="17" t="n">
        <v>2997</v>
      </c>
      <c r="C16" s="18">
        <f>(2650.0/B16*100)</f>
        <v/>
      </c>
      <c r="D16" s="19" t="n">
        <v>347</v>
      </c>
      <c r="E16" s="18" t="n">
        <v>57.53171773</v>
      </c>
      <c r="F16" s="20" t="n">
        <v>2.73012425</v>
      </c>
      <c r="G16" s="18" t="n">
        <v>31.98734458</v>
      </c>
      <c r="H16" s="20" t="n">
        <v>2.54668385</v>
      </c>
      <c r="I16" s="18" t="s">
        <v>567</v>
      </c>
      <c r="J16" s="20" t="s">
        <v>567</v>
      </c>
      <c r="K16" s="18" t="n">
        <v>0.5818382</v>
      </c>
      <c r="L16" s="20" t="n">
        <v>0.46936343</v>
      </c>
      <c r="M16" s="18" t="n">
        <v>0</v>
      </c>
      <c r="N16" s="20" t="n">
        <v>0</v>
      </c>
      <c r="O16" s="18" t="n">
        <v>0</v>
      </c>
      <c r="P16" s="20" t="n">
        <v>0</v>
      </c>
      <c r="Q16" s="18" t="n">
        <v>9.899099489999999</v>
      </c>
      <c r="R16" s="20" t="n">
        <v>1.58974607</v>
      </c>
    </row>
    <row r="17" spans="1:18">
      <c r="A17" s="15" t="s">
        <v>577</v>
      </c>
      <c r="B17" s="17" t="n">
        <v>3307</v>
      </c>
      <c r="C17" s="18">
        <f>(2981.0/B17*100)</f>
        <v/>
      </c>
      <c r="D17" s="19" t="n">
        <v>326</v>
      </c>
      <c r="E17" s="18" t="n">
        <v>47.96354256</v>
      </c>
      <c r="F17" s="20" t="n">
        <v>2.90814959</v>
      </c>
      <c r="G17" s="18" t="n">
        <v>38.55153918</v>
      </c>
      <c r="H17" s="20" t="n">
        <v>2.56190625</v>
      </c>
      <c r="I17" s="18" t="s">
        <v>567</v>
      </c>
      <c r="J17" s="20" t="s">
        <v>567</v>
      </c>
      <c r="K17" s="18" t="n">
        <v>1.91083621</v>
      </c>
      <c r="L17" s="20" t="n">
        <v>0.72355555</v>
      </c>
      <c r="M17" s="18" t="n">
        <v>0</v>
      </c>
      <c r="N17" s="20" t="n">
        <v>0</v>
      </c>
      <c r="O17" s="18" t="n">
        <v>0</v>
      </c>
      <c r="P17" s="20" t="n">
        <v>0</v>
      </c>
      <c r="Q17" s="18" t="n">
        <v>11.57408205</v>
      </c>
      <c r="R17" s="20" t="n">
        <v>1.69298586</v>
      </c>
    </row>
    <row r="18" spans="1:18">
      <c r="A18" s="15" t="s">
        <v>578</v>
      </c>
      <c r="B18" s="17" t="n">
        <v>2826</v>
      </c>
      <c r="C18" s="18">
        <f>(2504.0/B18*100)</f>
        <v/>
      </c>
      <c r="D18" s="19" t="n">
        <v>322</v>
      </c>
      <c r="E18" s="18" t="n">
        <v>58.05560074</v>
      </c>
      <c r="F18" s="20" t="n">
        <v>3.27566515</v>
      </c>
      <c r="G18" s="18" t="n">
        <v>28.75007631</v>
      </c>
      <c r="H18" s="20" t="n">
        <v>2.95920609</v>
      </c>
      <c r="I18" s="18" t="s">
        <v>567</v>
      </c>
      <c r="J18" s="20" t="s">
        <v>567</v>
      </c>
      <c r="K18" s="18" t="n">
        <v>1.74611068</v>
      </c>
      <c r="L18" s="20" t="n">
        <v>1.01884026</v>
      </c>
      <c r="M18" s="18" t="n">
        <v>0</v>
      </c>
      <c r="N18" s="20" t="n">
        <v>0</v>
      </c>
      <c r="O18" s="18" t="n">
        <v>0</v>
      </c>
      <c r="P18" s="20" t="n">
        <v>0</v>
      </c>
      <c r="Q18" s="18" t="n">
        <v>11.44821226</v>
      </c>
      <c r="R18" s="20" t="n">
        <v>2.47915704</v>
      </c>
    </row>
    <row r="19" spans="1:18">
      <c r="A19" s="15" t="s">
        <v>579</v>
      </c>
      <c r="B19" s="17" t="n">
        <v>2808</v>
      </c>
      <c r="C19" s="18">
        <f>(2511.0/B19*100)</f>
        <v/>
      </c>
      <c r="D19" s="19" t="n">
        <v>297</v>
      </c>
      <c r="E19" s="18" t="n">
        <v>56.24398981</v>
      </c>
      <c r="F19" s="20" t="n">
        <v>2.87913631</v>
      </c>
      <c r="G19" s="18" t="n">
        <v>30.82008673</v>
      </c>
      <c r="H19" s="20" t="n">
        <v>2.61907525</v>
      </c>
      <c r="I19" s="18" t="s">
        <v>567</v>
      </c>
      <c r="J19" s="20" t="s">
        <v>567</v>
      </c>
      <c r="K19" s="18" t="n">
        <v>0</v>
      </c>
      <c r="L19" s="20" t="n">
        <v>0</v>
      </c>
      <c r="M19" s="18" t="n">
        <v>0</v>
      </c>
      <c r="N19" s="20" t="n">
        <v>0</v>
      </c>
      <c r="O19" s="18" t="n">
        <v>0</v>
      </c>
      <c r="P19" s="20" t="n">
        <v>0</v>
      </c>
      <c r="Q19" s="18" t="n">
        <v>12.93592346</v>
      </c>
      <c r="R19" s="20" t="n">
        <v>2.42415183</v>
      </c>
    </row>
    <row r="20" spans="1:18">
      <c r="A20" s="15" t="s">
        <v>580</v>
      </c>
      <c r="B20" s="17" t="n">
        <v>1630</v>
      </c>
      <c r="C20" s="18">
        <f>(1452.0/B20*100)</f>
        <v/>
      </c>
      <c r="D20" s="19" t="n">
        <v>178</v>
      </c>
      <c r="E20" s="18" t="n">
        <v>55.24013067</v>
      </c>
      <c r="F20" s="20" t="n">
        <v>3.76476372</v>
      </c>
      <c r="G20" s="18" t="n">
        <v>31.41537014</v>
      </c>
      <c r="H20" s="20" t="n">
        <v>3.64239746</v>
      </c>
      <c r="I20" s="18" t="s">
        <v>567</v>
      </c>
      <c r="J20" s="20" t="s">
        <v>567</v>
      </c>
      <c r="K20" s="18" t="n">
        <v>1.67930405</v>
      </c>
      <c r="L20" s="20" t="n">
        <v>0.97666077</v>
      </c>
      <c r="M20" s="18" t="n">
        <v>2.54516238</v>
      </c>
      <c r="N20" s="20" t="n">
        <v>0.41062499</v>
      </c>
      <c r="O20" s="18" t="n">
        <v>0</v>
      </c>
      <c r="P20" s="20" t="n">
        <v>0</v>
      </c>
      <c r="Q20" s="18" t="n">
        <v>9.12003275</v>
      </c>
      <c r="R20" s="20" t="n">
        <v>2.05865561</v>
      </c>
    </row>
    <row r="21" spans="1:18">
      <c r="A21" s="15" t="s">
        <v>581</v>
      </c>
      <c r="B21" s="17" t="n">
        <v>2908</v>
      </c>
      <c r="C21" s="18">
        <f>(2569.0/B21*100)</f>
        <v/>
      </c>
      <c r="D21" s="19" t="n">
        <v>339</v>
      </c>
      <c r="E21" s="18" t="n">
        <v>57.10247142</v>
      </c>
      <c r="F21" s="20" t="n">
        <v>3.03843486</v>
      </c>
      <c r="G21" s="18" t="n">
        <v>40.11011282</v>
      </c>
      <c r="H21" s="20" t="n">
        <v>3.16022621</v>
      </c>
      <c r="I21" s="18" t="s">
        <v>567</v>
      </c>
      <c r="J21" s="20" t="s">
        <v>567</v>
      </c>
      <c r="K21" s="18" t="n">
        <v>0</v>
      </c>
      <c r="L21" s="20" t="n">
        <v>0</v>
      </c>
      <c r="M21" s="18" t="n">
        <v>0</v>
      </c>
      <c r="N21" s="20" t="n">
        <v>0</v>
      </c>
      <c r="O21" s="18" t="n">
        <v>0</v>
      </c>
      <c r="P21" s="20" t="n">
        <v>0</v>
      </c>
      <c r="Q21" s="18" t="n">
        <v>2.78741577</v>
      </c>
      <c r="R21" s="20" t="n">
        <v>0.89749145</v>
      </c>
    </row>
    <row r="22" spans="1:18">
      <c r="A22" s="15" t="s">
        <v>582</v>
      </c>
      <c r="B22" s="17" t="n">
        <v>2931</v>
      </c>
      <c r="C22" s="18">
        <f>(2616.0/B22*100)</f>
        <v/>
      </c>
      <c r="D22" s="19" t="n">
        <v>315</v>
      </c>
      <c r="E22" s="18" t="n">
        <v>54.35773126</v>
      </c>
      <c r="F22" s="20" t="n">
        <v>3.32111815</v>
      </c>
      <c r="G22" s="18" t="n">
        <v>33.36691073</v>
      </c>
      <c r="H22" s="20" t="n">
        <v>3.17682903</v>
      </c>
      <c r="I22" s="18" t="s">
        <v>567</v>
      </c>
      <c r="J22" s="20" t="s">
        <v>567</v>
      </c>
      <c r="K22" s="18" t="n">
        <v>1.02948444</v>
      </c>
      <c r="L22" s="20" t="n">
        <v>0.74300878</v>
      </c>
      <c r="M22" s="18" t="n">
        <v>0</v>
      </c>
      <c r="N22" s="20" t="n">
        <v>0</v>
      </c>
      <c r="O22" s="18" t="n">
        <v>0</v>
      </c>
      <c r="P22" s="20" t="n">
        <v>0</v>
      </c>
      <c r="Q22" s="18" t="n">
        <v>11.24587357</v>
      </c>
      <c r="R22" s="20" t="n">
        <v>2.27256503</v>
      </c>
    </row>
    <row r="23" spans="1:18">
      <c r="A23" s="15" t="s">
        <v>583</v>
      </c>
      <c r="B23" s="17" t="n">
        <v>5791</v>
      </c>
      <c r="C23" s="18">
        <f>(5199.0/B23*100)</f>
        <v/>
      </c>
      <c r="D23" s="19" t="n">
        <v>592</v>
      </c>
      <c r="E23" s="18" t="n">
        <v>54.57807538</v>
      </c>
      <c r="F23" s="20" t="n">
        <v>3.14667033</v>
      </c>
      <c r="G23" s="18" t="n">
        <v>29.47999819</v>
      </c>
      <c r="H23" s="20" t="n">
        <v>2.65081471</v>
      </c>
      <c r="I23" s="18" t="s">
        <v>567</v>
      </c>
      <c r="J23" s="20" t="s">
        <v>567</v>
      </c>
      <c r="K23" s="18" t="n">
        <v>0.78981886</v>
      </c>
      <c r="L23" s="20" t="n">
        <v>0.5197149599999999</v>
      </c>
      <c r="M23" s="18" t="n">
        <v>0</v>
      </c>
      <c r="N23" s="20" t="n">
        <v>0</v>
      </c>
      <c r="O23" s="18" t="n">
        <v>0</v>
      </c>
      <c r="P23" s="20" t="n">
        <v>0</v>
      </c>
      <c r="Q23" s="18" t="n">
        <v>15.15210757</v>
      </c>
      <c r="R23" s="20" t="n">
        <v>2.47925932</v>
      </c>
    </row>
    <row r="24" spans="1:18">
      <c r="A24" s="15" t="s">
        <v>584</v>
      </c>
      <c r="B24" s="17" t="n">
        <v>3338</v>
      </c>
      <c r="C24" s="18">
        <f>(2965.0/B24*100)</f>
        <v/>
      </c>
      <c r="D24" s="19" t="n">
        <v>373</v>
      </c>
      <c r="E24" s="18" t="n">
        <v>33.03909448</v>
      </c>
      <c r="F24" s="20" t="n">
        <v>2.04817591</v>
      </c>
      <c r="G24" s="18" t="n">
        <v>56.6011911</v>
      </c>
      <c r="H24" s="20" t="n">
        <v>2.57966285</v>
      </c>
      <c r="I24" s="18" t="s">
        <v>567</v>
      </c>
      <c r="J24" s="20" t="s">
        <v>567</v>
      </c>
      <c r="K24" s="18" t="n">
        <v>0.25392218</v>
      </c>
      <c r="L24" s="20" t="n">
        <v>0.25463624</v>
      </c>
      <c r="M24" s="18" t="n">
        <v>0</v>
      </c>
      <c r="N24" s="20" t="n">
        <v>0</v>
      </c>
      <c r="O24" s="18" t="n">
        <v>0</v>
      </c>
      <c r="P24" s="20" t="n">
        <v>0</v>
      </c>
      <c r="Q24" s="18" t="n">
        <v>10.10579224</v>
      </c>
      <c r="R24" s="20" t="n">
        <v>1.51189075</v>
      </c>
    </row>
    <row r="25" spans="1:18">
      <c r="A25" s="15" t="s">
        <v>585</v>
      </c>
      <c r="B25" s="17" t="n">
        <v>2912</v>
      </c>
      <c r="C25" s="18">
        <f>(2603.0/B25*100)</f>
        <v/>
      </c>
      <c r="D25" s="19" t="n">
        <v>309</v>
      </c>
      <c r="E25" s="18" t="n">
        <v>38.11333206</v>
      </c>
      <c r="F25" s="20" t="n">
        <v>2.60635937</v>
      </c>
      <c r="G25" s="18" t="n">
        <v>50.29649773</v>
      </c>
      <c r="H25" s="20" t="n">
        <v>2.72397132</v>
      </c>
      <c r="I25" s="18" t="s">
        <v>567</v>
      </c>
      <c r="J25" s="20" t="s">
        <v>567</v>
      </c>
      <c r="K25" s="18" t="n">
        <v>1.3015121</v>
      </c>
      <c r="L25" s="20" t="n">
        <v>0.45671934</v>
      </c>
      <c r="M25" s="18" t="n">
        <v>0</v>
      </c>
      <c r="N25" s="20" t="n">
        <v>0</v>
      </c>
      <c r="O25" s="18" t="n">
        <v>0</v>
      </c>
      <c r="P25" s="20" t="n">
        <v>0</v>
      </c>
      <c r="Q25" s="18" t="n">
        <v>10.28865811</v>
      </c>
      <c r="R25" s="20" t="n">
        <v>1.83754255</v>
      </c>
    </row>
    <row r="26" spans="1:18">
      <c r="A26" s="15" t="s">
        <v>586</v>
      </c>
      <c r="B26" s="17" t="n">
        <v>2450</v>
      </c>
      <c r="C26" s="18">
        <f>(2169.0/B26*100)</f>
        <v/>
      </c>
      <c r="D26" s="19" t="n">
        <v>281</v>
      </c>
      <c r="E26" s="18" t="n">
        <v>63.08678894</v>
      </c>
      <c r="F26" s="20" t="n">
        <v>2.90457115</v>
      </c>
      <c r="G26" s="18" t="n">
        <v>30.95235475</v>
      </c>
      <c r="H26" s="20" t="n">
        <v>2.81674296</v>
      </c>
      <c r="I26" s="18" t="s">
        <v>567</v>
      </c>
      <c r="J26" s="20" t="s">
        <v>567</v>
      </c>
      <c r="K26" s="18" t="n">
        <v>0</v>
      </c>
      <c r="L26" s="20" t="n">
        <v>0</v>
      </c>
      <c r="M26" s="18" t="n">
        <v>0</v>
      </c>
      <c r="N26" s="20" t="n">
        <v>0</v>
      </c>
      <c r="O26" s="18" t="n">
        <v>0</v>
      </c>
      <c r="P26" s="20" t="n">
        <v>0</v>
      </c>
      <c r="Q26" s="18" t="n">
        <v>5.96085632</v>
      </c>
      <c r="R26" s="20" t="n">
        <v>1.64477665</v>
      </c>
    </row>
    <row r="27" spans="1:18">
      <c r="A27" s="15" t="s">
        <v>587</v>
      </c>
      <c r="B27" s="17" t="n">
        <v>2616</v>
      </c>
      <c r="C27" s="18">
        <f>(2311.0/B27*100)</f>
        <v/>
      </c>
      <c r="D27" s="19" t="n">
        <v>305</v>
      </c>
      <c r="E27" s="18" t="n">
        <v>53.192837</v>
      </c>
      <c r="F27" s="20" t="n">
        <v>3.00626151</v>
      </c>
      <c r="G27" s="18" t="n">
        <v>36.593917</v>
      </c>
      <c r="H27" s="20" t="n">
        <v>2.8044253</v>
      </c>
      <c r="I27" s="18" t="s">
        <v>567</v>
      </c>
      <c r="J27" s="20" t="s">
        <v>567</v>
      </c>
      <c r="K27" s="18" t="n">
        <v>0.97036562</v>
      </c>
      <c r="L27" s="20" t="n">
        <v>0.55183044</v>
      </c>
      <c r="M27" s="18" t="n">
        <v>0</v>
      </c>
      <c r="N27" s="20" t="n">
        <v>0</v>
      </c>
      <c r="O27" s="18" t="n">
        <v>0</v>
      </c>
      <c r="P27" s="20" t="n">
        <v>0</v>
      </c>
      <c r="Q27" s="18" t="n">
        <v>9.242880380000001</v>
      </c>
      <c r="R27" s="20" t="n">
        <v>1.53023306</v>
      </c>
    </row>
    <row r="28" spans="1:18">
      <c r="A28" s="15" t="s">
        <v>588</v>
      </c>
      <c r="B28" s="17" t="n">
        <v>3765</v>
      </c>
      <c r="C28" s="18">
        <f>(3370.0/B28*100)</f>
        <v/>
      </c>
      <c r="D28" s="19" t="n">
        <v>395</v>
      </c>
      <c r="E28" s="18" t="n">
        <v>75.90922491000001</v>
      </c>
      <c r="F28" s="20" t="n">
        <v>2.13673486</v>
      </c>
      <c r="G28" s="18" t="n">
        <v>19.06121598</v>
      </c>
      <c r="H28" s="20" t="n">
        <v>1.96961472</v>
      </c>
      <c r="I28" s="18" t="s">
        <v>567</v>
      </c>
      <c r="J28" s="20" t="s">
        <v>567</v>
      </c>
      <c r="K28" s="18" t="n">
        <v>0.82234079</v>
      </c>
      <c r="L28" s="20" t="n">
        <v>0.52718524</v>
      </c>
      <c r="M28" s="18" t="n">
        <v>0</v>
      </c>
      <c r="N28" s="20" t="n">
        <v>0</v>
      </c>
      <c r="O28" s="18" t="n">
        <v>0</v>
      </c>
      <c r="P28" s="20" t="n">
        <v>0</v>
      </c>
      <c r="Q28" s="18" t="n">
        <v>4.20721832</v>
      </c>
      <c r="R28" s="20" t="n">
        <v>1.09844296</v>
      </c>
    </row>
    <row r="29" spans="1:18">
      <c r="A29" s="15" t="s">
        <v>589</v>
      </c>
      <c r="B29" s="17" t="n">
        <v>2685</v>
      </c>
      <c r="C29" s="18">
        <f>(2429.0/B29*100)</f>
        <v/>
      </c>
      <c r="D29" s="19" t="n">
        <v>256</v>
      </c>
      <c r="E29" s="18" t="n">
        <v>61.21613224</v>
      </c>
      <c r="F29" s="20" t="n">
        <v>2.45449111</v>
      </c>
      <c r="G29" s="18" t="n">
        <v>34.70905414</v>
      </c>
      <c r="H29" s="20" t="n">
        <v>2.74178137</v>
      </c>
      <c r="I29" s="18" t="s">
        <v>567</v>
      </c>
      <c r="J29" s="20" t="s">
        <v>567</v>
      </c>
      <c r="K29" s="18" t="n">
        <v>0.35316455</v>
      </c>
      <c r="L29" s="20" t="n">
        <v>0.3362382</v>
      </c>
      <c r="M29" s="18" t="n">
        <v>0</v>
      </c>
      <c r="N29" s="20" t="n">
        <v>0</v>
      </c>
      <c r="O29" s="18" t="n">
        <v>0</v>
      </c>
      <c r="P29" s="20" t="n">
        <v>0</v>
      </c>
      <c r="Q29" s="18" t="n">
        <v>3.72164907</v>
      </c>
      <c r="R29" s="20" t="n">
        <v>1.45544256</v>
      </c>
    </row>
    <row r="30" spans="1:18">
      <c r="A30" s="15" t="s">
        <v>590</v>
      </c>
      <c r="B30" s="17" t="n">
        <v>2263</v>
      </c>
      <c r="C30" s="18">
        <f>(2006.0/B30*100)</f>
        <v/>
      </c>
      <c r="D30" s="19" t="n">
        <v>257</v>
      </c>
      <c r="E30" s="18" t="n">
        <v>46.05562344</v>
      </c>
      <c r="F30" s="20" t="n">
        <v>3.28093403</v>
      </c>
      <c r="G30" s="18" t="n">
        <v>42.05944361</v>
      </c>
      <c r="H30" s="20" t="n">
        <v>3.27276358</v>
      </c>
      <c r="I30" s="18" t="s">
        <v>567</v>
      </c>
      <c r="J30" s="20" t="s">
        <v>567</v>
      </c>
      <c r="K30" s="18" t="n">
        <v>0.69951315</v>
      </c>
      <c r="L30" s="20" t="n">
        <v>0.50732341</v>
      </c>
      <c r="M30" s="18" t="n">
        <v>0</v>
      </c>
      <c r="N30" s="20" t="n">
        <v>0</v>
      </c>
      <c r="O30" s="18" t="n">
        <v>0</v>
      </c>
      <c r="P30" s="20" t="n">
        <v>0</v>
      </c>
      <c r="Q30" s="18" t="n">
        <v>11.18541979</v>
      </c>
      <c r="R30" s="20" t="n">
        <v>1.93339138</v>
      </c>
    </row>
    <row r="31" spans="1:18">
      <c r="A31" s="15" t="s">
        <v>591</v>
      </c>
      <c r="B31" s="17" t="n">
        <v>2750</v>
      </c>
      <c r="C31" s="18">
        <f>(2446.0/B31*100)</f>
        <v/>
      </c>
      <c r="D31" s="19" t="n">
        <v>304</v>
      </c>
      <c r="E31" s="18" t="n">
        <v>41.56030489</v>
      </c>
      <c r="F31" s="20" t="n">
        <v>2.78960217</v>
      </c>
      <c r="G31" s="18" t="n">
        <v>49.65425371</v>
      </c>
      <c r="H31" s="20" t="n">
        <v>2.86647505</v>
      </c>
      <c r="I31" s="18" t="s">
        <v>567</v>
      </c>
      <c r="J31" s="20" t="s">
        <v>567</v>
      </c>
      <c r="K31" s="18" t="n">
        <v>1.18257743</v>
      </c>
      <c r="L31" s="20" t="n">
        <v>0.68453416</v>
      </c>
      <c r="M31" s="18" t="n">
        <v>0</v>
      </c>
      <c r="N31" s="20" t="n">
        <v>0</v>
      </c>
      <c r="O31" s="18" t="n">
        <v>0</v>
      </c>
      <c r="P31" s="20" t="n">
        <v>0</v>
      </c>
      <c r="Q31" s="18" t="n">
        <v>7.60286397</v>
      </c>
      <c r="R31" s="20" t="n">
        <v>1.71206021</v>
      </c>
    </row>
    <row r="32" spans="1:18">
      <c r="A32" s="15" t="s">
        <v>592</v>
      </c>
      <c r="B32" s="17" t="n">
        <v>2269</v>
      </c>
      <c r="C32" s="18">
        <f>(2030.0/B32*100)</f>
        <v/>
      </c>
      <c r="D32" s="19" t="n">
        <v>239</v>
      </c>
      <c r="E32" s="18" t="n">
        <v>54.81460412</v>
      </c>
      <c r="F32" s="20" t="n">
        <v>3.43260362</v>
      </c>
      <c r="G32" s="18" t="n">
        <v>37.31313406</v>
      </c>
      <c r="H32" s="20" t="n">
        <v>3.33049628</v>
      </c>
      <c r="I32" s="18" t="s">
        <v>567</v>
      </c>
      <c r="J32" s="20" t="s">
        <v>567</v>
      </c>
      <c r="K32" s="18" t="n">
        <v>0</v>
      </c>
      <c r="L32" s="20" t="n">
        <v>0</v>
      </c>
      <c r="M32" s="18" t="n">
        <v>0</v>
      </c>
      <c r="N32" s="20" t="n">
        <v>0</v>
      </c>
      <c r="O32" s="18" t="n">
        <v>0</v>
      </c>
      <c r="P32" s="20" t="n">
        <v>0</v>
      </c>
      <c r="Q32" s="18" t="n">
        <v>7.87226183</v>
      </c>
      <c r="R32" s="20" t="n">
        <v>1.95584004</v>
      </c>
    </row>
    <row r="33" spans="1:18">
      <c r="A33" s="15" t="s">
        <v>593</v>
      </c>
      <c r="B33" s="17" t="n">
        <v>3674</v>
      </c>
      <c r="C33" s="18">
        <f>(3270.0/B33*100)</f>
        <v/>
      </c>
      <c r="D33" s="19" t="n">
        <v>404</v>
      </c>
      <c r="E33" s="18" t="n">
        <v>58.15119093</v>
      </c>
      <c r="F33" s="20" t="n">
        <v>2.9622557</v>
      </c>
      <c r="G33" s="18" t="n">
        <v>35.76847214</v>
      </c>
      <c r="H33" s="20" t="n">
        <v>3.02390161</v>
      </c>
      <c r="I33" s="18" t="s">
        <v>567</v>
      </c>
      <c r="J33" s="20" t="s">
        <v>567</v>
      </c>
      <c r="K33" s="18" t="n">
        <v>0.18385801</v>
      </c>
      <c r="L33" s="20" t="n">
        <v>0.13395774</v>
      </c>
      <c r="M33" s="18" t="n">
        <v>0.5550211</v>
      </c>
      <c r="N33" s="20" t="n">
        <v>0.55348168</v>
      </c>
      <c r="O33" s="18" t="n">
        <v>0</v>
      </c>
      <c r="P33" s="20" t="n">
        <v>0</v>
      </c>
      <c r="Q33" s="18" t="n">
        <v>5.34145782</v>
      </c>
      <c r="R33" s="20" t="n">
        <v>1.22891644</v>
      </c>
    </row>
    <row r="34" spans="1:18">
      <c r="A34" s="15" t="s">
        <v>594</v>
      </c>
      <c r="B34" s="17" t="n">
        <v>3315</v>
      </c>
      <c r="C34" s="18">
        <f>(2987.0/B34*100)</f>
        <v/>
      </c>
      <c r="D34" s="19" t="n">
        <v>328</v>
      </c>
      <c r="E34" s="18" t="n">
        <v>65.58559188</v>
      </c>
      <c r="F34" s="20" t="n">
        <v>2.61424126</v>
      </c>
      <c r="G34" s="18" t="n">
        <v>25.23595713</v>
      </c>
      <c r="H34" s="20" t="n">
        <v>2.33964718</v>
      </c>
      <c r="I34" s="18" t="s">
        <v>567</v>
      </c>
      <c r="J34" s="20" t="s">
        <v>567</v>
      </c>
      <c r="K34" s="18" t="n">
        <v>0</v>
      </c>
      <c r="L34" s="20" t="n">
        <v>0</v>
      </c>
      <c r="M34" s="18" t="n">
        <v>0</v>
      </c>
      <c r="N34" s="20" t="n">
        <v>0</v>
      </c>
      <c r="O34" s="18" t="n">
        <v>0</v>
      </c>
      <c r="P34" s="20" t="n">
        <v>0</v>
      </c>
      <c r="Q34" s="18" t="n">
        <v>9.17845099</v>
      </c>
      <c r="R34" s="20" t="n">
        <v>1.2880886</v>
      </c>
    </row>
    <row r="35" spans="1:18">
      <c r="A35" s="15" t="s">
        <v>595</v>
      </c>
      <c r="B35" s="17" t="n">
        <v>3505</v>
      </c>
      <c r="C35" s="18">
        <f>(3147.0/B35*100)</f>
        <v/>
      </c>
      <c r="D35" s="19" t="n">
        <v>358</v>
      </c>
      <c r="E35" s="18" t="n">
        <v>58.91089877</v>
      </c>
      <c r="F35" s="20" t="n">
        <v>2.75381742</v>
      </c>
      <c r="G35" s="18" t="n">
        <v>37.37432781</v>
      </c>
      <c r="H35" s="20" t="n">
        <v>2.66633295</v>
      </c>
      <c r="I35" s="18" t="s">
        <v>567</v>
      </c>
      <c r="J35" s="20" t="s">
        <v>567</v>
      </c>
      <c r="K35" s="18" t="n">
        <v>0</v>
      </c>
      <c r="L35" s="20" t="n">
        <v>0</v>
      </c>
      <c r="M35" s="18" t="n">
        <v>0</v>
      </c>
      <c r="N35" s="20" t="n">
        <v>0</v>
      </c>
      <c r="O35" s="18" t="n">
        <v>0</v>
      </c>
      <c r="P35" s="20" t="n">
        <v>0</v>
      </c>
      <c r="Q35" s="18" t="n">
        <v>3.71477342</v>
      </c>
      <c r="R35" s="20" t="n">
        <v>0.9488375</v>
      </c>
    </row>
    <row r="36" spans="1:18">
      <c r="A36" s="15" t="s">
        <v>596</v>
      </c>
      <c r="B36" s="17" t="n">
        <v>3332</v>
      </c>
      <c r="C36" s="18">
        <f>(2944.0/B36*100)</f>
        <v/>
      </c>
      <c r="D36" s="19" t="n">
        <v>388</v>
      </c>
      <c r="E36" s="18" t="n">
        <v>66.08007445</v>
      </c>
      <c r="F36" s="20" t="n">
        <v>2.74202633</v>
      </c>
      <c r="G36" s="18" t="n">
        <v>29.15473385</v>
      </c>
      <c r="H36" s="20" t="n">
        <v>2.44653279</v>
      </c>
      <c r="I36" s="18" t="s">
        <v>567</v>
      </c>
      <c r="J36" s="20" t="s">
        <v>567</v>
      </c>
      <c r="K36" s="18" t="n">
        <v>1.6406967</v>
      </c>
      <c r="L36" s="20" t="n">
        <v>0.69434023</v>
      </c>
      <c r="M36" s="18" t="n">
        <v>0</v>
      </c>
      <c r="N36" s="20" t="n">
        <v>0</v>
      </c>
      <c r="O36" s="18" t="n">
        <v>0</v>
      </c>
      <c r="P36" s="20" t="n">
        <v>0</v>
      </c>
      <c r="Q36" s="18" t="n">
        <v>3.124495</v>
      </c>
      <c r="R36" s="20" t="n">
        <v>1.03984503</v>
      </c>
    </row>
    <row r="37" spans="1:18">
      <c r="A37" s="15" t="s">
        <v>597</v>
      </c>
      <c r="B37" s="17" t="n">
        <v>2727</v>
      </c>
      <c r="C37" s="18">
        <f>(2433.0/B37*100)</f>
        <v/>
      </c>
      <c r="D37" s="19" t="n">
        <v>294</v>
      </c>
      <c r="E37" s="18" t="n">
        <v>43.97381381</v>
      </c>
      <c r="F37" s="20" t="n">
        <v>3.15632631</v>
      </c>
      <c r="G37" s="18" t="n">
        <v>39.77549946</v>
      </c>
      <c r="H37" s="20" t="n">
        <v>2.9711526</v>
      </c>
      <c r="I37" s="18" t="s">
        <v>567</v>
      </c>
      <c r="J37" s="20" t="s">
        <v>567</v>
      </c>
      <c r="K37" s="18" t="n">
        <v>1.12555086</v>
      </c>
      <c r="L37" s="20" t="n">
        <v>0.67193008</v>
      </c>
      <c r="M37" s="18" t="n">
        <v>0.54377069</v>
      </c>
      <c r="N37" s="20" t="n">
        <v>0.55482758</v>
      </c>
      <c r="O37" s="18" t="n">
        <v>0</v>
      </c>
      <c r="P37" s="20" t="n">
        <v>0</v>
      </c>
      <c r="Q37" s="18" t="n">
        <v>14.58136518</v>
      </c>
      <c r="R37" s="20" t="n">
        <v>2.25159033</v>
      </c>
    </row>
    <row r="38" spans="1:18">
      <c r="A38" s="15" t="s">
        <v>598</v>
      </c>
      <c r="B38" s="17" t="n">
        <v>3053</v>
      </c>
      <c r="C38" s="18">
        <f>(2719.0/B38*100)</f>
        <v/>
      </c>
      <c r="D38" s="19" t="n">
        <v>334</v>
      </c>
      <c r="E38" s="18" t="n">
        <v>48.83204344</v>
      </c>
      <c r="F38" s="20" t="n">
        <v>3.59943755</v>
      </c>
      <c r="G38" s="18" t="n">
        <v>41.64665939</v>
      </c>
      <c r="H38" s="20" t="n">
        <v>3.24761193</v>
      </c>
      <c r="I38" s="18" t="s">
        <v>567</v>
      </c>
      <c r="J38" s="20" t="s">
        <v>567</v>
      </c>
      <c r="K38" s="18" t="n">
        <v>0</v>
      </c>
      <c r="L38" s="20" t="n">
        <v>0</v>
      </c>
      <c r="M38" s="18" t="n">
        <v>2.54282624</v>
      </c>
      <c r="N38" s="20" t="n">
        <v>0.94362528</v>
      </c>
      <c r="O38" s="18" t="n">
        <v>0</v>
      </c>
      <c r="P38" s="20" t="n">
        <v>0</v>
      </c>
      <c r="Q38" s="18" t="n">
        <v>6.97847093</v>
      </c>
      <c r="R38" s="20" t="n">
        <v>1.28985374</v>
      </c>
    </row>
    <row r="39" spans="1:18">
      <c r="A39" s="15" t="s">
        <v>599</v>
      </c>
      <c r="B39" s="17" t="n">
        <v>2957</v>
      </c>
      <c r="C39" s="18">
        <f>(2647.0/B39*100)</f>
        <v/>
      </c>
      <c r="D39" s="19" t="n">
        <v>310</v>
      </c>
      <c r="E39" s="18" t="n">
        <v>73.64594285</v>
      </c>
      <c r="F39" s="20" t="n">
        <v>2.77137065</v>
      </c>
      <c r="G39" s="18" t="n">
        <v>15.19020558</v>
      </c>
      <c r="H39" s="20" t="n">
        <v>2.25749472</v>
      </c>
      <c r="I39" s="18" t="s">
        <v>567</v>
      </c>
      <c r="J39" s="20" t="s">
        <v>567</v>
      </c>
      <c r="K39" s="18" t="n">
        <v>0</v>
      </c>
      <c r="L39" s="20" t="n">
        <v>0</v>
      </c>
      <c r="M39" s="18" t="n">
        <v>0</v>
      </c>
      <c r="N39" s="20" t="n">
        <v>0</v>
      </c>
      <c r="O39" s="18" t="n">
        <v>0</v>
      </c>
      <c r="P39" s="20" t="n">
        <v>0</v>
      </c>
      <c r="Q39" s="18" t="n">
        <v>11.16385157</v>
      </c>
      <c r="R39" s="20" t="n">
        <v>2.03351403</v>
      </c>
    </row>
    <row r="40" spans="1:18">
      <c r="A40" s="15" t="s">
        <v>600</v>
      </c>
      <c r="B40" s="17" t="n">
        <v>7235</v>
      </c>
      <c r="C40" s="18">
        <f>(6429.0/B40*100)</f>
        <v/>
      </c>
      <c r="D40" s="19" t="n">
        <v>806</v>
      </c>
      <c r="E40" s="18" t="n">
        <v>59.24175879</v>
      </c>
      <c r="F40" s="20" t="n">
        <v>2.84118195</v>
      </c>
      <c r="G40" s="18" t="n">
        <v>29.30832171</v>
      </c>
      <c r="H40" s="20" t="n">
        <v>2.49968262</v>
      </c>
      <c r="I40" s="18" t="s">
        <v>567</v>
      </c>
      <c r="J40" s="20" t="s">
        <v>567</v>
      </c>
      <c r="K40" s="18" t="n">
        <v>1.35252497</v>
      </c>
      <c r="L40" s="20" t="n">
        <v>0.68707783</v>
      </c>
      <c r="M40" s="18" t="n">
        <v>0.2014813</v>
      </c>
      <c r="N40" s="20" t="n">
        <v>0.19265818</v>
      </c>
      <c r="O40" s="18" t="n">
        <v>0</v>
      </c>
      <c r="P40" s="20" t="n">
        <v>0</v>
      </c>
      <c r="Q40" s="18" t="n">
        <v>9.89591323</v>
      </c>
      <c r="R40" s="20" t="n">
        <v>1.50929748</v>
      </c>
    </row>
    <row r="41" spans="1:18">
      <c r="A41" s="15" t="s">
        <v>601</v>
      </c>
      <c r="B41" s="17" t="n">
        <v>2858</v>
      </c>
      <c r="C41" s="18">
        <f>(2513.0/B41*100)</f>
        <v/>
      </c>
      <c r="D41" s="19" t="n">
        <v>345</v>
      </c>
      <c r="E41" s="18" t="n">
        <v>64.80255357999999</v>
      </c>
      <c r="F41" s="20" t="n">
        <v>2.92108194</v>
      </c>
      <c r="G41" s="18" t="n">
        <v>30.15149522</v>
      </c>
      <c r="H41" s="20" t="n">
        <v>2.68458007</v>
      </c>
      <c r="I41" s="18" t="s">
        <v>567</v>
      </c>
      <c r="J41" s="20" t="s">
        <v>567</v>
      </c>
      <c r="K41" s="18" t="n">
        <v>0.35121736</v>
      </c>
      <c r="L41" s="20" t="n">
        <v>0.32739143</v>
      </c>
      <c r="M41" s="18" t="n">
        <v>0</v>
      </c>
      <c r="N41" s="20" t="n">
        <v>0</v>
      </c>
      <c r="O41" s="18" t="n">
        <v>0</v>
      </c>
      <c r="P41" s="20" t="n">
        <v>0</v>
      </c>
      <c r="Q41" s="18" t="n">
        <v>4.69473384</v>
      </c>
      <c r="R41" s="20" t="n">
        <v>1.30684412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(10152.0/B46*100)</f>
        <v/>
      </c>
      <c r="D46" s="19" t="n">
        <v>916</v>
      </c>
      <c r="E46" s="18" t="n">
        <v>72.08767017</v>
      </c>
      <c r="F46" s="20" t="n">
        <v>2.09801611</v>
      </c>
      <c r="G46" s="18" t="n">
        <v>14.69027283</v>
      </c>
      <c r="H46" s="20" t="n">
        <v>1.54800418</v>
      </c>
      <c r="I46" s="18" t="s">
        <v>567</v>
      </c>
      <c r="J46" s="20" t="s">
        <v>567</v>
      </c>
      <c r="K46" s="18" t="n">
        <v>2.08374797</v>
      </c>
      <c r="L46" s="20" t="n">
        <v>0.69141639</v>
      </c>
      <c r="M46" s="18" t="n">
        <v>0.10120575</v>
      </c>
      <c r="N46" s="20" t="n">
        <v>0.09250926</v>
      </c>
      <c r="O46" s="18" t="n">
        <v>0</v>
      </c>
      <c r="P46" s="20" t="n">
        <v>0</v>
      </c>
      <c r="Q46" s="18" t="n">
        <v>11.03710328</v>
      </c>
      <c r="R46" s="20" t="n">
        <v>1.31045259</v>
      </c>
    </row>
    <row r="47" spans="1:18">
      <c r="A47" s="15" t="s">
        <v>607</v>
      </c>
      <c r="B47" s="17" t="n">
        <v>3105</v>
      </c>
      <c r="C47" s="18">
        <f>(2762.0/B47*100)</f>
        <v/>
      </c>
      <c r="D47" s="19" t="n">
        <v>343</v>
      </c>
      <c r="E47" s="18" t="n">
        <v>62.94761214</v>
      </c>
      <c r="F47" s="20" t="n">
        <v>2.841891</v>
      </c>
      <c r="G47" s="18" t="n">
        <v>17.45708858</v>
      </c>
      <c r="H47" s="20" t="n">
        <v>2.17203189</v>
      </c>
      <c r="I47" s="18" t="s">
        <v>567</v>
      </c>
      <c r="J47" s="20" t="s">
        <v>567</v>
      </c>
      <c r="K47" s="18" t="n">
        <v>1.40779875</v>
      </c>
      <c r="L47" s="20" t="n">
        <v>0.57132774</v>
      </c>
      <c r="M47" s="18" t="n">
        <v>0.27262692</v>
      </c>
      <c r="N47" s="20" t="n">
        <v>0.27244187</v>
      </c>
      <c r="O47" s="18" t="n">
        <v>0</v>
      </c>
      <c r="P47" s="20" t="n">
        <v>0</v>
      </c>
      <c r="Q47" s="18" t="n">
        <v>17.9148736</v>
      </c>
      <c r="R47" s="20" t="n">
        <v>2.20810599</v>
      </c>
    </row>
    <row r="48" spans="1:18">
      <c r="A48" s="15" t="s">
        <v>608</v>
      </c>
      <c r="B48" s="17" t="n">
        <v>5159</v>
      </c>
      <c r="C48" s="18">
        <f>(4596.0/B48*100)</f>
        <v/>
      </c>
      <c r="D48" s="19" t="n">
        <v>563</v>
      </c>
      <c r="E48" s="18" t="n">
        <v>45.19363549</v>
      </c>
      <c r="F48" s="20" t="n">
        <v>2.84946822</v>
      </c>
      <c r="G48" s="18" t="n">
        <v>45.76930213</v>
      </c>
      <c r="H48" s="20" t="n">
        <v>2.47898844</v>
      </c>
      <c r="I48" s="18" t="s">
        <v>567</v>
      </c>
      <c r="J48" s="20" t="s">
        <v>567</v>
      </c>
      <c r="K48" s="18" t="n">
        <v>0.39687325</v>
      </c>
      <c r="L48" s="20" t="n">
        <v>0.30041457</v>
      </c>
      <c r="M48" s="18" t="n">
        <v>0</v>
      </c>
      <c r="N48" s="20" t="n">
        <v>0</v>
      </c>
      <c r="O48" s="18" t="n">
        <v>0</v>
      </c>
      <c r="P48" s="20" t="n">
        <v>0</v>
      </c>
      <c r="Q48" s="18" t="n">
        <v>8.64018913</v>
      </c>
      <c r="R48" s="20" t="n">
        <v>1.60606321</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(5048.0/B50*100)</f>
        <v/>
      </c>
      <c r="D50" s="19" t="n">
        <v>589</v>
      </c>
      <c r="E50" s="18" t="n">
        <v>76.6642913</v>
      </c>
      <c r="F50" s="20" t="n">
        <v>2.23968658</v>
      </c>
      <c r="G50" s="18" t="n">
        <v>18.5164061</v>
      </c>
      <c r="H50" s="20" t="n">
        <v>2.03179333</v>
      </c>
      <c r="I50" s="18" t="s">
        <v>567</v>
      </c>
      <c r="J50" s="20" t="s">
        <v>567</v>
      </c>
      <c r="K50" s="18" t="n">
        <v>1.30897518</v>
      </c>
      <c r="L50" s="20" t="n">
        <v>0.52276738</v>
      </c>
      <c r="M50" s="18" t="n">
        <v>0</v>
      </c>
      <c r="N50" s="20" t="n">
        <v>0</v>
      </c>
      <c r="O50" s="18" t="n">
        <v>0</v>
      </c>
      <c r="P50" s="20" t="n">
        <v>0</v>
      </c>
      <c r="Q50" s="18" t="n">
        <v>3.51032743</v>
      </c>
      <c r="R50" s="20" t="n">
        <v>0.9580721</v>
      </c>
    </row>
    <row r="51" spans="1:18">
      <c r="A51" s="15" t="s">
        <v>611</v>
      </c>
      <c r="B51" s="17" t="n">
        <v>3372</v>
      </c>
      <c r="C51" s="18">
        <f>(3059.0/B51*100)</f>
        <v/>
      </c>
      <c r="D51" s="19" t="n">
        <v>313</v>
      </c>
      <c r="E51" s="18" t="n">
        <v>69.34003801</v>
      </c>
      <c r="F51" s="20" t="n">
        <v>3.03407321</v>
      </c>
      <c r="G51" s="18" t="n">
        <v>24.12800996</v>
      </c>
      <c r="H51" s="20" t="n">
        <v>2.63967048</v>
      </c>
      <c r="I51" s="18" t="s">
        <v>567</v>
      </c>
      <c r="J51" s="20" t="s">
        <v>567</v>
      </c>
      <c r="K51" s="18" t="n">
        <v>1.46958356</v>
      </c>
      <c r="L51" s="20" t="n">
        <v>0.64816299</v>
      </c>
      <c r="M51" s="18" t="n">
        <v>0</v>
      </c>
      <c r="N51" s="20" t="n">
        <v>0</v>
      </c>
      <c r="O51" s="18" t="n">
        <v>0</v>
      </c>
      <c r="P51" s="20" t="n">
        <v>0</v>
      </c>
      <c r="Q51" s="18" t="n">
        <v>5.06236848</v>
      </c>
      <c r="R51" s="20" t="n">
        <v>1.40756196</v>
      </c>
    </row>
    <row r="52" spans="1:18">
      <c r="A52" s="15" t="s">
        <v>612</v>
      </c>
      <c r="B52" s="17" t="n">
        <v>2796</v>
      </c>
      <c r="C52" s="18">
        <f>(2503.0/B52*100)</f>
        <v/>
      </c>
      <c r="D52" s="19" t="n">
        <v>293</v>
      </c>
      <c r="E52" s="18" t="n">
        <v>59.14308555</v>
      </c>
      <c r="F52" s="20" t="n">
        <v>2.84125117</v>
      </c>
      <c r="G52" s="18" t="n">
        <v>31.96990234</v>
      </c>
      <c r="H52" s="20" t="n">
        <v>2.70123492</v>
      </c>
      <c r="I52" s="18" t="s">
        <v>567</v>
      </c>
      <c r="J52" s="20" t="s">
        <v>567</v>
      </c>
      <c r="K52" s="18" t="n">
        <v>0.26579375</v>
      </c>
      <c r="L52" s="20" t="n">
        <v>0.2646184</v>
      </c>
      <c r="M52" s="18" t="n">
        <v>0</v>
      </c>
      <c r="N52" s="20" t="n">
        <v>0</v>
      </c>
      <c r="O52" s="18" t="n">
        <v>0</v>
      </c>
      <c r="P52" s="20" t="n">
        <v>0</v>
      </c>
      <c r="Q52" s="18" t="n">
        <v>8.62121836</v>
      </c>
      <c r="R52" s="20" t="n">
        <v>1.62345981</v>
      </c>
    </row>
    <row r="53" spans="1:18">
      <c r="A53" s="15" t="s">
        <v>613</v>
      </c>
      <c r="B53" s="17" t="n">
        <v>2811</v>
      </c>
      <c r="C53" s="18">
        <f>(2487.0/B53*100)</f>
        <v/>
      </c>
      <c r="D53" s="19" t="n">
        <v>324</v>
      </c>
      <c r="E53" s="18" t="n">
        <v>63.09008951</v>
      </c>
      <c r="F53" s="20" t="n">
        <v>2.98376052</v>
      </c>
      <c r="G53" s="18" t="n">
        <v>16.89746933</v>
      </c>
      <c r="H53" s="20" t="n">
        <v>2.40194084</v>
      </c>
      <c r="I53" s="18" t="s">
        <v>567</v>
      </c>
      <c r="J53" s="20" t="s">
        <v>567</v>
      </c>
      <c r="K53" s="18" t="n">
        <v>0.89774212</v>
      </c>
      <c r="L53" s="20" t="n">
        <v>0.54847636</v>
      </c>
      <c r="M53" s="18" t="n">
        <v>0.22890478</v>
      </c>
      <c r="N53" s="20" t="n">
        <v>0.22935093</v>
      </c>
      <c r="O53" s="18" t="n">
        <v>0</v>
      </c>
      <c r="P53" s="20" t="n">
        <v>0</v>
      </c>
      <c r="Q53" s="18" t="n">
        <v>18.88579426</v>
      </c>
      <c r="R53" s="20" t="n">
        <v>2.21161809</v>
      </c>
    </row>
    <row r="54" spans="1:18">
      <c r="A54" s="15" t="s">
        <v>614</v>
      </c>
      <c r="B54" s="17" t="n">
        <v>2266</v>
      </c>
      <c r="C54" s="18">
        <f>(2025.0/B54*100)</f>
        <v/>
      </c>
      <c r="D54" s="19" t="n">
        <v>241</v>
      </c>
      <c r="E54" s="18" t="n">
        <v>66.50450318</v>
      </c>
      <c r="F54" s="20" t="n">
        <v>3.4639707</v>
      </c>
      <c r="G54" s="18" t="n">
        <v>4.09590637</v>
      </c>
      <c r="H54" s="20" t="n">
        <v>1.07339059</v>
      </c>
      <c r="I54" s="18" t="s">
        <v>567</v>
      </c>
      <c r="J54" s="20" t="s">
        <v>567</v>
      </c>
      <c r="K54" s="18" t="n">
        <v>14.83323316</v>
      </c>
      <c r="L54" s="20" t="n">
        <v>2.78165479</v>
      </c>
      <c r="M54" s="18" t="n">
        <v>0.37303601</v>
      </c>
      <c r="N54" s="20" t="n">
        <v>0.37323819</v>
      </c>
      <c r="O54" s="18" t="n">
        <v>0</v>
      </c>
      <c r="P54" s="20" t="n">
        <v>0</v>
      </c>
      <c r="Q54" s="18" t="n">
        <v>14.19332128</v>
      </c>
      <c r="R54" s="20" t="n">
        <v>2.84794165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(2402.0/B56*100)</f>
        <v/>
      </c>
      <c r="D56" s="19" t="n">
        <v>282</v>
      </c>
      <c r="E56" s="18" t="n">
        <v>57.66062267</v>
      </c>
      <c r="F56" s="20" t="n">
        <v>2.92317079</v>
      </c>
      <c r="G56" s="18" t="n">
        <v>35.63343607</v>
      </c>
      <c r="H56" s="20" t="n">
        <v>2.72804463</v>
      </c>
      <c r="I56" s="18" t="s">
        <v>567</v>
      </c>
      <c r="J56" s="20" t="s">
        <v>567</v>
      </c>
      <c r="K56" s="18" t="n">
        <v>0</v>
      </c>
      <c r="L56" s="20" t="n">
        <v>0</v>
      </c>
      <c r="M56" s="18" t="n">
        <v>0</v>
      </c>
      <c r="N56" s="20" t="n">
        <v>0</v>
      </c>
      <c r="O56" s="18" t="n">
        <v>0</v>
      </c>
      <c r="P56" s="20" t="n">
        <v>0</v>
      </c>
      <c r="Q56" s="18" t="n">
        <v>6.70594126</v>
      </c>
      <c r="R56" s="20" t="n">
        <v>1.60048999</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(2978.0/B61*100)</f>
        <v/>
      </c>
      <c r="D61" s="19" t="n">
        <v>346</v>
      </c>
      <c r="E61" s="18" t="n">
        <v>58.79867253</v>
      </c>
      <c r="F61" s="20" t="n">
        <v>3.57557309</v>
      </c>
      <c r="G61" s="18" t="n">
        <v>31.66018164</v>
      </c>
      <c r="H61" s="20" t="n">
        <v>3.6431931</v>
      </c>
      <c r="I61" s="18" t="s">
        <v>567</v>
      </c>
      <c r="J61" s="20" t="s">
        <v>567</v>
      </c>
      <c r="K61" s="18" t="n">
        <v>0.10387639</v>
      </c>
      <c r="L61" s="20" t="n">
        <v>0.09931863</v>
      </c>
      <c r="M61" s="18" t="n">
        <v>0</v>
      </c>
      <c r="N61" s="20" t="n">
        <v>0</v>
      </c>
      <c r="O61" s="18" t="n">
        <v>0</v>
      </c>
      <c r="P61" s="20" t="n">
        <v>0</v>
      </c>
      <c r="Q61" s="18" t="n">
        <v>9.43726944</v>
      </c>
      <c r="R61" s="20" t="n">
        <v>1.90552304</v>
      </c>
    </row>
    <row r="62" spans="1:18">
      <c r="A62" s="15" t="s">
        <v>622</v>
      </c>
      <c r="B62" s="17" t="n">
        <v>2246</v>
      </c>
      <c r="C62" s="18">
        <f>(1997.0/B62*100)</f>
        <v/>
      </c>
      <c r="D62" s="19" t="n">
        <v>249</v>
      </c>
      <c r="E62" s="18" t="n">
        <v>59.84624407</v>
      </c>
      <c r="F62" s="20" t="n">
        <v>3.01130003</v>
      </c>
      <c r="G62" s="18" t="n">
        <v>38.14155327</v>
      </c>
      <c r="H62" s="20" t="n">
        <v>2.9243741</v>
      </c>
      <c r="I62" s="18" t="s">
        <v>567</v>
      </c>
      <c r="J62" s="20" t="s">
        <v>567</v>
      </c>
      <c r="K62" s="18" t="n">
        <v>0</v>
      </c>
      <c r="L62" s="20" t="n">
        <v>0</v>
      </c>
      <c r="M62" s="18" t="n">
        <v>0</v>
      </c>
      <c r="N62" s="20" t="n">
        <v>0</v>
      </c>
      <c r="O62" s="18" t="n">
        <v>0</v>
      </c>
      <c r="P62" s="20" t="n">
        <v>0</v>
      </c>
      <c r="Q62" s="18" t="n">
        <v>2.01220266</v>
      </c>
      <c r="R62" s="20" t="n">
        <v>0.89485068</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(2588.0/B66*100)</f>
        <v/>
      </c>
      <c r="D66" s="19" t="n">
        <v>306</v>
      </c>
      <c r="E66" s="18" t="n">
        <v>61.15558341</v>
      </c>
      <c r="F66" s="20" t="n">
        <v>2.65703575</v>
      </c>
      <c r="G66" s="18" t="n">
        <v>12.18617854</v>
      </c>
      <c r="H66" s="20" t="n">
        <v>1.86145823</v>
      </c>
      <c r="I66" s="18" t="s">
        <v>567</v>
      </c>
      <c r="J66" s="20" t="s">
        <v>567</v>
      </c>
      <c r="K66" s="18" t="n">
        <v>1.73173512</v>
      </c>
      <c r="L66" s="20" t="n">
        <v>0.8009219</v>
      </c>
      <c r="M66" s="18" t="n">
        <v>0.67638532</v>
      </c>
      <c r="N66" s="20" t="n">
        <v>0.47959319</v>
      </c>
      <c r="O66" s="18" t="n">
        <v>0</v>
      </c>
      <c r="P66" s="20" t="n">
        <v>0</v>
      </c>
      <c r="Q66" s="18" t="n">
        <v>24.25011761</v>
      </c>
      <c r="R66" s="20" t="n">
        <v>2.4068025</v>
      </c>
    </row>
    <row r="67" spans="1:18">
      <c r="A67" s="15" t="s">
        <v>627</v>
      </c>
      <c r="B67" s="17" t="n">
        <v>3511</v>
      </c>
      <c r="C67" s="18">
        <f>(3198.0/B67*100)</f>
        <v/>
      </c>
      <c r="D67" s="19" t="n">
        <v>313</v>
      </c>
      <c r="E67" s="18" t="n">
        <v>79.699945</v>
      </c>
      <c r="F67" s="20" t="n">
        <v>2.18101864</v>
      </c>
      <c r="G67" s="18" t="n">
        <v>15.82134973</v>
      </c>
      <c r="H67" s="20" t="n">
        <v>1.96792781</v>
      </c>
      <c r="I67" s="18" t="s">
        <v>567</v>
      </c>
      <c r="J67" s="20" t="s">
        <v>567</v>
      </c>
      <c r="K67" s="18" t="n">
        <v>0.36137741</v>
      </c>
      <c r="L67" s="20" t="n">
        <v>0.35778609</v>
      </c>
      <c r="M67" s="18" t="n">
        <v>0</v>
      </c>
      <c r="N67" s="20" t="n">
        <v>0</v>
      </c>
      <c r="O67" s="18" t="n">
        <v>0</v>
      </c>
      <c r="P67" s="20" t="n">
        <v>0</v>
      </c>
      <c r="Q67" s="18" t="n">
        <v>4.11732785</v>
      </c>
      <c r="R67" s="20" t="n">
        <v>1.05928994</v>
      </c>
    </row>
    <row r="68" spans="1:18">
      <c r="A68" s="15" t="s">
        <v>628</v>
      </c>
      <c r="B68" s="17" t="n">
        <v>6049</v>
      </c>
      <c r="C68" s="18">
        <f>(5394.0/B68*100)</f>
        <v/>
      </c>
      <c r="D68" s="19" t="n">
        <v>655</v>
      </c>
      <c r="E68" s="18" t="n">
        <v>67.51546043</v>
      </c>
      <c r="F68" s="20" t="n">
        <v>1.89382979</v>
      </c>
      <c r="G68" s="18" t="n">
        <v>17.14867719</v>
      </c>
      <c r="H68" s="20" t="n">
        <v>1.39192378</v>
      </c>
      <c r="I68" s="18" t="s">
        <v>567</v>
      </c>
      <c r="J68" s="20" t="s">
        <v>567</v>
      </c>
      <c r="K68" s="18" t="n">
        <v>3.51452378</v>
      </c>
      <c r="L68" s="20" t="n">
        <v>0.82087982</v>
      </c>
      <c r="M68" s="18" t="n">
        <v>0</v>
      </c>
      <c r="N68" s="20" t="n">
        <v>0</v>
      </c>
      <c r="O68" s="18" t="n">
        <v>0</v>
      </c>
      <c r="P68" s="20" t="n">
        <v>0</v>
      </c>
      <c r="Q68" s="18" t="n">
        <v>11.82133859</v>
      </c>
      <c r="R68" s="20" t="n">
        <v>1.38704534</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(2628.0/B70*100)</f>
        <v/>
      </c>
      <c r="D70" s="19" t="n">
        <v>301</v>
      </c>
      <c r="E70" s="18" t="n">
        <v>56.07870547</v>
      </c>
      <c r="F70" s="20" t="n">
        <v>3.68685615</v>
      </c>
      <c r="G70" s="18" t="n">
        <v>29.76623832</v>
      </c>
      <c r="H70" s="20" t="n">
        <v>3.31826946</v>
      </c>
      <c r="I70" s="18" t="s">
        <v>567</v>
      </c>
      <c r="J70" s="20" t="s">
        <v>567</v>
      </c>
      <c r="K70" s="18" t="n">
        <v>0.23421555</v>
      </c>
      <c r="L70" s="20" t="n">
        <v>0.23438831</v>
      </c>
      <c r="M70" s="18" t="n">
        <v>0.36340496</v>
      </c>
      <c r="N70" s="20" t="n">
        <v>0.36217746</v>
      </c>
      <c r="O70" s="18" t="n">
        <v>0</v>
      </c>
      <c r="P70" s="20" t="n">
        <v>0</v>
      </c>
      <c r="Q70" s="18" t="n">
        <v>13.55743571</v>
      </c>
      <c r="R70" s="20" t="n">
        <v>2.82846717</v>
      </c>
    </row>
    <row r="71" spans="1:18">
      <c r="A71" s="15" t="s">
        <v>631</v>
      </c>
      <c r="B71" s="17" t="n">
        <v>3142</v>
      </c>
      <c r="C71" s="18">
        <f>(2748.0/B71*100)</f>
        <v/>
      </c>
      <c r="D71" s="19" t="n">
        <v>394</v>
      </c>
      <c r="E71" s="18" t="n">
        <v>50.5349682</v>
      </c>
      <c r="F71" s="20" t="n">
        <v>2.5513196</v>
      </c>
      <c r="G71" s="18" t="n">
        <v>46.11775263</v>
      </c>
      <c r="H71" s="20" t="n">
        <v>2.61882892</v>
      </c>
      <c r="I71" s="18" t="s">
        <v>567</v>
      </c>
      <c r="J71" s="20" t="s">
        <v>567</v>
      </c>
      <c r="K71" s="18" t="n">
        <v>0.41516601</v>
      </c>
      <c r="L71" s="20" t="n">
        <v>0.29302454</v>
      </c>
      <c r="M71" s="18" t="n">
        <v>0</v>
      </c>
      <c r="N71" s="20" t="n">
        <v>0</v>
      </c>
      <c r="O71" s="18" t="n">
        <v>0</v>
      </c>
      <c r="P71" s="20" t="n">
        <v>0</v>
      </c>
      <c r="Q71" s="18" t="n">
        <v>2.93211316</v>
      </c>
      <c r="R71" s="20" t="n">
        <v>0.84497092</v>
      </c>
    </row>
    <row r="72" spans="1:18">
      <c r="A72" s="15" t="s">
        <v>632</v>
      </c>
      <c r="B72" s="17" t="n">
        <v>3889</v>
      </c>
      <c r="C72" s="18">
        <f>(3470.0/B72*100)</f>
        <v/>
      </c>
      <c r="D72" s="19" t="n">
        <v>419</v>
      </c>
      <c r="E72" s="18" t="n">
        <v>47.50247304</v>
      </c>
      <c r="F72" s="20" t="n">
        <v>3.06575558</v>
      </c>
      <c r="G72" s="18" t="n">
        <v>43.7282754</v>
      </c>
      <c r="H72" s="20" t="n">
        <v>2.96785576</v>
      </c>
      <c r="I72" s="18" t="s">
        <v>567</v>
      </c>
      <c r="J72" s="20" t="s">
        <v>567</v>
      </c>
      <c r="K72" s="18" t="n">
        <v>0.43075336</v>
      </c>
      <c r="L72" s="20" t="n">
        <v>0.4321234</v>
      </c>
      <c r="M72" s="18" t="n">
        <v>0</v>
      </c>
      <c r="N72" s="20" t="n">
        <v>0</v>
      </c>
      <c r="O72" s="18" t="n">
        <v>0</v>
      </c>
      <c r="P72" s="20" t="n">
        <v>0</v>
      </c>
      <c r="Q72" s="18" t="n">
        <v>8.3384982</v>
      </c>
      <c r="R72" s="20" t="n">
        <v>1.57687888</v>
      </c>
    </row>
    <row r="73" spans="1:18">
      <c r="A73" s="15" t="s">
        <v>633</v>
      </c>
      <c r="B73" s="17" t="n">
        <v>3597</v>
      </c>
      <c r="C73" s="18">
        <f>(3233.0/B73*100)</f>
        <v/>
      </c>
      <c r="D73" s="19" t="n">
        <v>364</v>
      </c>
      <c r="E73" s="18" t="n">
        <v>84.47393669</v>
      </c>
      <c r="F73" s="20" t="n">
        <v>2.51397978</v>
      </c>
      <c r="G73" s="18" t="n">
        <v>13.43878464</v>
      </c>
      <c r="H73" s="20" t="n">
        <v>2.44103325</v>
      </c>
      <c r="I73" s="18" t="s">
        <v>567</v>
      </c>
      <c r="J73" s="20" t="s">
        <v>567</v>
      </c>
      <c r="K73" s="18" t="n">
        <v>0.17142736</v>
      </c>
      <c r="L73" s="20" t="n">
        <v>0.17122855</v>
      </c>
      <c r="M73" s="18" t="n">
        <v>0</v>
      </c>
      <c r="N73" s="20" t="n">
        <v>0</v>
      </c>
      <c r="O73" s="18" t="n">
        <v>0</v>
      </c>
      <c r="P73" s="20" t="n">
        <v>0</v>
      </c>
      <c r="Q73" s="18" t="n">
        <v>1.91585131</v>
      </c>
      <c r="R73" s="20" t="n">
        <v>0.95459466</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(2171.0/B75*100)</f>
        <v/>
      </c>
      <c r="D75" s="19" t="n">
        <v>235</v>
      </c>
      <c r="E75" s="18" t="n">
        <v>69.50715889999999</v>
      </c>
      <c r="F75" s="20" t="n">
        <v>3.16351509</v>
      </c>
      <c r="G75" s="18" t="n">
        <v>9.02584126</v>
      </c>
      <c r="H75" s="20" t="n">
        <v>1.6621296</v>
      </c>
      <c r="I75" s="18" t="s">
        <v>567</v>
      </c>
      <c r="J75" s="20" t="s">
        <v>567</v>
      </c>
      <c r="K75" s="18" t="n">
        <v>2.42793184</v>
      </c>
      <c r="L75" s="20" t="n">
        <v>0.75702921</v>
      </c>
      <c r="M75" s="18" t="n">
        <v>0</v>
      </c>
      <c r="N75" s="20" t="n">
        <v>0</v>
      </c>
      <c r="O75" s="18" t="n">
        <v>0</v>
      </c>
      <c r="P75" s="20" t="n">
        <v>0</v>
      </c>
      <c r="Q75" s="18" t="n">
        <v>19.039068</v>
      </c>
      <c r="R75" s="20" t="n">
        <v>2.97992572</v>
      </c>
    </row>
    <row r="76" spans="1:18">
      <c r="A76" s="15" t="s">
        <v>636</v>
      </c>
      <c r="B76" s="17" t="n">
        <v>7052</v>
      </c>
      <c r="C76" s="18">
        <f>(6265.0/B76*100)</f>
        <v/>
      </c>
      <c r="D76" s="19" t="n">
        <v>787</v>
      </c>
      <c r="E76" s="18" t="n">
        <v>70.87675821000001</v>
      </c>
      <c r="F76" s="20" t="n">
        <v>2.04354968</v>
      </c>
      <c r="G76" s="18" t="n">
        <v>19.68653059</v>
      </c>
      <c r="H76" s="20" t="n">
        <v>1.66774602</v>
      </c>
      <c r="I76" s="18" t="s">
        <v>567</v>
      </c>
      <c r="J76" s="20" t="s">
        <v>567</v>
      </c>
      <c r="K76" s="18" t="n">
        <v>0.91023986</v>
      </c>
      <c r="L76" s="20" t="n">
        <v>0.39214151</v>
      </c>
      <c r="M76" s="18" t="n">
        <v>0.04203998</v>
      </c>
      <c r="N76" s="20" t="n">
        <v>0.04218849</v>
      </c>
      <c r="O76" s="18" t="n">
        <v>0</v>
      </c>
      <c r="P76" s="20" t="n">
        <v>0</v>
      </c>
      <c r="Q76" s="18" t="n">
        <v>8.484431349999999</v>
      </c>
      <c r="R76" s="20" t="n">
        <v>1.08963795</v>
      </c>
    </row>
    <row r="77" spans="1:18">
      <c r="A77" s="15" t="s">
        <v>637</v>
      </c>
      <c r="B77" s="17" t="n">
        <v>2908</v>
      </c>
      <c r="C77" s="18">
        <f>(2632.0/B77*100)</f>
        <v/>
      </c>
      <c r="D77" s="19" t="n">
        <v>276</v>
      </c>
      <c r="E77" s="18" t="n">
        <v>67.21658530000001</v>
      </c>
      <c r="F77" s="20" t="n">
        <v>2.46687336</v>
      </c>
      <c r="G77" s="18" t="n">
        <v>16.22610811</v>
      </c>
      <c r="H77" s="20" t="n">
        <v>2.28824014</v>
      </c>
      <c r="I77" s="18" t="s">
        <v>567</v>
      </c>
      <c r="J77" s="20" t="s">
        <v>567</v>
      </c>
      <c r="K77" s="18" t="n">
        <v>3.34590154</v>
      </c>
      <c r="L77" s="20" t="n">
        <v>1.13534152</v>
      </c>
      <c r="M77" s="18" t="n">
        <v>0</v>
      </c>
      <c r="N77" s="20" t="n">
        <v>0</v>
      </c>
      <c r="O77" s="18" t="n">
        <v>0</v>
      </c>
      <c r="P77" s="20" t="n">
        <v>0</v>
      </c>
      <c r="Q77" s="18" t="n">
        <v>13.21140505</v>
      </c>
      <c r="R77" s="20" t="n">
        <v>1.89984277</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(3729.0/B81*100)</f>
        <v/>
      </c>
      <c r="D81" s="19" t="n">
        <v>434</v>
      </c>
      <c r="E81" s="18" t="n">
        <v>77.66216645999999</v>
      </c>
      <c r="F81" s="20" t="n">
        <v>2.22070091</v>
      </c>
      <c r="G81" s="18" t="n">
        <v>17.68205985</v>
      </c>
      <c r="H81" s="20" t="n">
        <v>2.0818239</v>
      </c>
      <c r="I81" s="18" t="s">
        <v>567</v>
      </c>
      <c r="J81" s="20" t="s">
        <v>567</v>
      </c>
      <c r="K81" s="18" t="n">
        <v>0</v>
      </c>
      <c r="L81" s="20" t="n">
        <v>0</v>
      </c>
      <c r="M81" s="18" t="n">
        <v>0</v>
      </c>
      <c r="N81" s="20" t="n">
        <v>0</v>
      </c>
      <c r="O81" s="18" t="n">
        <v>0</v>
      </c>
      <c r="P81" s="20" t="n">
        <v>0</v>
      </c>
      <c r="Q81" s="18" t="n">
        <v>4.65577369</v>
      </c>
      <c r="R81" s="20" t="n">
        <v>1.24354856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(6575.0/B7*100)</f>
        <v/>
      </c>
      <c r="D7" s="19" t="n">
        <v>792</v>
      </c>
      <c r="E7" s="18" t="n">
        <v>32.42589845</v>
      </c>
      <c r="F7" s="20" t="n">
        <v>1.96769231</v>
      </c>
      <c r="G7" s="18" t="n">
        <v>66.18911919</v>
      </c>
      <c r="H7" s="20" t="n">
        <v>1.97663025</v>
      </c>
      <c r="I7" s="18" t="s">
        <v>567</v>
      </c>
      <c r="J7" s="20" t="s">
        <v>567</v>
      </c>
      <c r="K7" s="18" t="n">
        <v>0.5503924100000001</v>
      </c>
      <c r="L7" s="20" t="n">
        <v>0.27664292</v>
      </c>
      <c r="M7" s="18" t="n">
        <v>0</v>
      </c>
      <c r="N7" s="20" t="n">
        <v>0</v>
      </c>
      <c r="O7" s="18" t="n">
        <v>0</v>
      </c>
      <c r="P7" s="20" t="n">
        <v>0</v>
      </c>
      <c r="Q7" s="18" t="n">
        <v>0.83458995</v>
      </c>
      <c r="R7" s="20" t="n">
        <v>0.3503853</v>
      </c>
    </row>
    <row r="8" spans="1:18">
      <c r="A8" s="15" t="s">
        <v>568</v>
      </c>
      <c r="B8" s="17" t="n">
        <v>3564</v>
      </c>
      <c r="C8" s="18">
        <f>(3171.0/B8*100)</f>
        <v/>
      </c>
      <c r="D8" s="19" t="n">
        <v>393</v>
      </c>
      <c r="E8" s="18" t="n">
        <v>29.9212355</v>
      </c>
      <c r="F8" s="20" t="n">
        <v>2.57424395</v>
      </c>
      <c r="G8" s="18" t="n">
        <v>68.92889645</v>
      </c>
      <c r="H8" s="20" t="n">
        <v>2.64053021</v>
      </c>
      <c r="I8" s="18" t="s">
        <v>567</v>
      </c>
      <c r="J8" s="20" t="s">
        <v>567</v>
      </c>
      <c r="K8" s="18" t="n">
        <v>0</v>
      </c>
      <c r="L8" s="20" t="n">
        <v>0</v>
      </c>
      <c r="M8" s="18" t="n">
        <v>0</v>
      </c>
      <c r="N8" s="20" t="n">
        <v>0</v>
      </c>
      <c r="O8" s="18" t="n">
        <v>0</v>
      </c>
      <c r="P8" s="20" t="n">
        <v>0</v>
      </c>
      <c r="Q8" s="18" t="n">
        <v>1.14986805</v>
      </c>
      <c r="R8" s="20" t="n">
        <v>0.60345896</v>
      </c>
    </row>
    <row r="9" spans="1:18">
      <c r="A9" s="15" t="s">
        <v>569</v>
      </c>
      <c r="B9" s="17" t="n">
        <v>4899</v>
      </c>
      <c r="C9" s="18">
        <f>(4405.0/B9*100)</f>
        <v/>
      </c>
      <c r="D9" s="19" t="n">
        <v>494</v>
      </c>
      <c r="E9" s="18" t="n">
        <v>30.02858498</v>
      </c>
      <c r="F9" s="20" t="n">
        <v>1.89379493</v>
      </c>
      <c r="G9" s="18" t="n">
        <v>69.09321509999999</v>
      </c>
      <c r="H9" s="20" t="n">
        <v>1.94628389</v>
      </c>
      <c r="I9" s="18" t="s">
        <v>567</v>
      </c>
      <c r="J9" s="20" t="s">
        <v>567</v>
      </c>
      <c r="K9" s="18" t="n">
        <v>0.30630013</v>
      </c>
      <c r="L9" s="20" t="n">
        <v>0.28559939</v>
      </c>
      <c r="M9" s="18" t="n">
        <v>0</v>
      </c>
      <c r="N9" s="20" t="n">
        <v>0</v>
      </c>
      <c r="O9" s="18" t="n">
        <v>0</v>
      </c>
      <c r="P9" s="20" t="n">
        <v>0</v>
      </c>
      <c r="Q9" s="18" t="n">
        <v>0.57189979</v>
      </c>
      <c r="R9" s="20" t="n">
        <v>0.31232605</v>
      </c>
    </row>
    <row r="10" spans="1:18">
      <c r="A10" s="15" t="s">
        <v>570</v>
      </c>
      <c r="B10" s="17" t="n">
        <v>10036</v>
      </c>
      <c r="C10" s="18">
        <f>(8910.0/B10*100)</f>
        <v/>
      </c>
      <c r="D10" s="19" t="n">
        <v>1126</v>
      </c>
      <c r="E10" s="18" t="n">
        <v>35.77767681</v>
      </c>
      <c r="F10" s="20" t="n">
        <v>1.821681</v>
      </c>
      <c r="G10" s="18" t="n">
        <v>64.10164516</v>
      </c>
      <c r="H10" s="20" t="n">
        <v>1.82629382</v>
      </c>
      <c r="I10" s="18" t="s">
        <v>567</v>
      </c>
      <c r="J10" s="20" t="s">
        <v>567</v>
      </c>
      <c r="K10" s="18" t="n">
        <v>0.0578993</v>
      </c>
      <c r="L10" s="20" t="n">
        <v>0.03597663</v>
      </c>
      <c r="M10" s="18" t="n">
        <v>0</v>
      </c>
      <c r="N10" s="20" t="n">
        <v>0</v>
      </c>
      <c r="O10" s="18" t="n">
        <v>0</v>
      </c>
      <c r="P10" s="20" t="n">
        <v>0</v>
      </c>
      <c r="Q10" s="18" t="n">
        <v>0.06277873</v>
      </c>
      <c r="R10" s="20" t="n">
        <v>0.03407177</v>
      </c>
    </row>
    <row r="11" spans="1:18">
      <c r="A11" s="15" t="s">
        <v>571</v>
      </c>
      <c r="B11" s="17" t="n">
        <v>3553</v>
      </c>
      <c r="C11" s="18">
        <f>(3170.0/B11*100)</f>
        <v/>
      </c>
      <c r="D11" s="19" t="n">
        <v>383</v>
      </c>
      <c r="E11" s="18" t="n">
        <v>50.98294436</v>
      </c>
      <c r="F11" s="20" t="n">
        <v>2.66605617</v>
      </c>
      <c r="G11" s="18" t="n">
        <v>45.07109971</v>
      </c>
      <c r="H11" s="20" t="n">
        <v>2.62920997</v>
      </c>
      <c r="I11" s="18" t="s">
        <v>567</v>
      </c>
      <c r="J11" s="20" t="s">
        <v>567</v>
      </c>
      <c r="K11" s="18" t="n">
        <v>2.0444491</v>
      </c>
      <c r="L11" s="20" t="n">
        <v>0.7920035</v>
      </c>
      <c r="M11" s="18" t="n">
        <v>0</v>
      </c>
      <c r="N11" s="20" t="n">
        <v>0</v>
      </c>
      <c r="O11" s="18" t="n">
        <v>0</v>
      </c>
      <c r="P11" s="20" t="n">
        <v>0</v>
      </c>
      <c r="Q11" s="18" t="n">
        <v>1.90150682</v>
      </c>
      <c r="R11" s="20" t="n">
        <v>0.76865272</v>
      </c>
    </row>
    <row r="12" spans="1:18">
      <c r="A12" s="15" t="s">
        <v>572</v>
      </c>
      <c r="B12" s="17" t="n">
        <v>3472</v>
      </c>
      <c r="C12" s="18">
        <f>(3083.0/B12*100)</f>
        <v/>
      </c>
      <c r="D12" s="19" t="n">
        <v>389</v>
      </c>
      <c r="E12" s="18" t="n">
        <v>36.89098379</v>
      </c>
      <c r="F12" s="20" t="n">
        <v>3.11300513</v>
      </c>
      <c r="G12" s="18" t="n">
        <v>62.35986964</v>
      </c>
      <c r="H12" s="20" t="n">
        <v>3.13631512</v>
      </c>
      <c r="I12" s="18" t="s">
        <v>567</v>
      </c>
      <c r="J12" s="20" t="s">
        <v>567</v>
      </c>
      <c r="K12" s="18" t="n">
        <v>0.46579898</v>
      </c>
      <c r="L12" s="20" t="n">
        <v>0.43460731</v>
      </c>
      <c r="M12" s="18" t="n">
        <v>0</v>
      </c>
      <c r="N12" s="20" t="n">
        <v>0</v>
      </c>
      <c r="O12" s="18" t="n">
        <v>0</v>
      </c>
      <c r="P12" s="20" t="n">
        <v>0</v>
      </c>
      <c r="Q12" s="18" t="n">
        <v>0.28334759</v>
      </c>
      <c r="R12" s="20" t="n">
        <v>0.20790505</v>
      </c>
    </row>
    <row r="13" spans="1:18">
      <c r="A13" s="15" t="s">
        <v>573</v>
      </c>
      <c r="B13" s="17" t="n">
        <v>3559</v>
      </c>
      <c r="C13" s="18">
        <f>(3206.0/B13*100)</f>
        <v/>
      </c>
      <c r="D13" s="19" t="n">
        <v>353</v>
      </c>
      <c r="E13" s="18" t="n">
        <v>39.80271656</v>
      </c>
      <c r="F13" s="20" t="n">
        <v>2.94812893</v>
      </c>
      <c r="G13" s="18" t="n">
        <v>59.22585077</v>
      </c>
      <c r="H13" s="20" t="n">
        <v>3.00681749</v>
      </c>
      <c r="I13" s="18" t="s">
        <v>567</v>
      </c>
      <c r="J13" s="20" t="s">
        <v>567</v>
      </c>
      <c r="K13" s="18" t="n">
        <v>0.88436401</v>
      </c>
      <c r="L13" s="20" t="n">
        <v>0.67871492</v>
      </c>
      <c r="M13" s="18" t="n">
        <v>0</v>
      </c>
      <c r="N13" s="20" t="n">
        <v>0</v>
      </c>
      <c r="O13" s="18" t="n">
        <v>0</v>
      </c>
      <c r="P13" s="20" t="n">
        <v>0</v>
      </c>
      <c r="Q13" s="18" t="n">
        <v>0.08706867</v>
      </c>
      <c r="R13" s="20" t="n">
        <v>0.0860477</v>
      </c>
    </row>
    <row r="14" spans="1:18">
      <c r="A14" s="15" t="s">
        <v>574</v>
      </c>
      <c r="B14" s="17" t="n">
        <v>2799</v>
      </c>
      <c r="C14" s="18">
        <f>(2469.0/B14*100)</f>
        <v/>
      </c>
      <c r="D14" s="19" t="n">
        <v>330</v>
      </c>
      <c r="E14" s="18" t="n">
        <v>32.89273382</v>
      </c>
      <c r="F14" s="20" t="n">
        <v>3.20064732</v>
      </c>
      <c r="G14" s="18" t="n">
        <v>66.46749885</v>
      </c>
      <c r="H14" s="20" t="n">
        <v>3.1808165</v>
      </c>
      <c r="I14" s="18" t="s">
        <v>567</v>
      </c>
      <c r="J14" s="20" t="s">
        <v>567</v>
      </c>
      <c r="K14" s="18" t="n">
        <v>0.29835238</v>
      </c>
      <c r="L14" s="20" t="n">
        <v>0.30445412</v>
      </c>
      <c r="M14" s="18" t="n">
        <v>0</v>
      </c>
      <c r="N14" s="20" t="n">
        <v>0</v>
      </c>
      <c r="O14" s="18" t="n">
        <v>0</v>
      </c>
      <c r="P14" s="20" t="n">
        <v>0</v>
      </c>
      <c r="Q14" s="18" t="n">
        <v>0.34141495</v>
      </c>
      <c r="R14" s="20" t="n">
        <v>0.3422831</v>
      </c>
    </row>
    <row r="15" spans="1:18">
      <c r="A15" s="15" t="s">
        <v>575</v>
      </c>
      <c r="B15" s="17" t="n">
        <v>3019</v>
      </c>
      <c r="C15" s="18">
        <f>(2701.0/B15*100)</f>
        <v/>
      </c>
      <c r="D15" s="19" t="n">
        <v>318</v>
      </c>
      <c r="E15" s="18" t="n">
        <v>26.54222553</v>
      </c>
      <c r="F15" s="20" t="n">
        <v>2.46964402</v>
      </c>
      <c r="G15" s="18" t="n">
        <v>73.01216011</v>
      </c>
      <c r="H15" s="20" t="n">
        <v>2.50765713</v>
      </c>
      <c r="I15" s="18" t="s">
        <v>567</v>
      </c>
      <c r="J15" s="20" t="s">
        <v>567</v>
      </c>
      <c r="K15" s="18" t="n">
        <v>0.13173807</v>
      </c>
      <c r="L15" s="20" t="n">
        <v>0.13145913</v>
      </c>
      <c r="M15" s="18" t="n">
        <v>0</v>
      </c>
      <c r="N15" s="20" t="n">
        <v>0</v>
      </c>
      <c r="O15" s="18" t="n">
        <v>0</v>
      </c>
      <c r="P15" s="20" t="n">
        <v>0</v>
      </c>
      <c r="Q15" s="18" t="n">
        <v>0.31387629</v>
      </c>
      <c r="R15" s="20" t="n">
        <v>0.31692618</v>
      </c>
    </row>
    <row r="16" spans="1:18">
      <c r="A16" s="15" t="s">
        <v>576</v>
      </c>
      <c r="B16" s="17" t="n">
        <v>2997</v>
      </c>
      <c r="C16" s="18">
        <f>(2647.0/B16*100)</f>
        <v/>
      </c>
      <c r="D16" s="19" t="n">
        <v>350</v>
      </c>
      <c r="E16" s="18" t="n">
        <v>39.45133296</v>
      </c>
      <c r="F16" s="20" t="n">
        <v>2.69642063</v>
      </c>
      <c r="G16" s="18" t="n">
        <v>59.14275</v>
      </c>
      <c r="H16" s="20" t="n">
        <v>2.76813392</v>
      </c>
      <c r="I16" s="18" t="s">
        <v>567</v>
      </c>
      <c r="J16" s="20" t="s">
        <v>567</v>
      </c>
      <c r="K16" s="18" t="n">
        <v>0.57657655</v>
      </c>
      <c r="L16" s="20" t="n">
        <v>0.46523136</v>
      </c>
      <c r="M16" s="18" t="n">
        <v>0</v>
      </c>
      <c r="N16" s="20" t="n">
        <v>0</v>
      </c>
      <c r="O16" s="18" t="n">
        <v>0</v>
      </c>
      <c r="P16" s="20" t="n">
        <v>0</v>
      </c>
      <c r="Q16" s="18" t="n">
        <v>0.82934049</v>
      </c>
      <c r="R16" s="20" t="n">
        <v>0.42556112</v>
      </c>
    </row>
    <row r="17" spans="1:18">
      <c r="A17" s="15" t="s">
        <v>577</v>
      </c>
      <c r="B17" s="17" t="n">
        <v>3307</v>
      </c>
      <c r="C17" s="18">
        <f>(2976.0/B17*100)</f>
        <v/>
      </c>
      <c r="D17" s="19" t="n">
        <v>331</v>
      </c>
      <c r="E17" s="18" t="n">
        <v>34.30235321</v>
      </c>
      <c r="F17" s="20" t="n">
        <v>2.74410604</v>
      </c>
      <c r="G17" s="18" t="n">
        <v>62.18853137</v>
      </c>
      <c r="H17" s="20" t="n">
        <v>2.73938398</v>
      </c>
      <c r="I17" s="18" t="s">
        <v>567</v>
      </c>
      <c r="J17" s="20" t="s">
        <v>567</v>
      </c>
      <c r="K17" s="18" t="n">
        <v>1.88519648</v>
      </c>
      <c r="L17" s="20" t="n">
        <v>0.71148288</v>
      </c>
      <c r="M17" s="18" t="n">
        <v>0</v>
      </c>
      <c r="N17" s="20" t="n">
        <v>0</v>
      </c>
      <c r="O17" s="18" t="n">
        <v>0</v>
      </c>
      <c r="P17" s="20" t="n">
        <v>0</v>
      </c>
      <c r="Q17" s="18" t="n">
        <v>1.62391894</v>
      </c>
      <c r="R17" s="20" t="n">
        <v>0.42052844</v>
      </c>
    </row>
    <row r="18" spans="1:18">
      <c r="A18" s="15" t="s">
        <v>578</v>
      </c>
      <c r="B18" s="17" t="n">
        <v>2826</v>
      </c>
      <c r="C18" s="18">
        <f>(2503.0/B18*100)</f>
        <v/>
      </c>
      <c r="D18" s="19" t="n">
        <v>323</v>
      </c>
      <c r="E18" s="18" t="n">
        <v>48.66096644</v>
      </c>
      <c r="F18" s="20" t="n">
        <v>2.87145434</v>
      </c>
      <c r="G18" s="18" t="n">
        <v>49.24890833</v>
      </c>
      <c r="H18" s="20" t="n">
        <v>2.87072814</v>
      </c>
      <c r="I18" s="18" t="s">
        <v>567</v>
      </c>
      <c r="J18" s="20" t="s">
        <v>567</v>
      </c>
      <c r="K18" s="18" t="n">
        <v>2.09012523</v>
      </c>
      <c r="L18" s="20" t="n">
        <v>1.079567</v>
      </c>
      <c r="M18" s="18" t="n">
        <v>0</v>
      </c>
      <c r="N18" s="20" t="n">
        <v>0</v>
      </c>
      <c r="O18" s="18" t="n">
        <v>0</v>
      </c>
      <c r="P18" s="20" t="n">
        <v>0</v>
      </c>
      <c r="Q18" s="18" t="n">
        <v>0</v>
      </c>
      <c r="R18" s="20" t="n">
        <v>0</v>
      </c>
    </row>
    <row r="19" spans="1:18">
      <c r="A19" s="15" t="s">
        <v>579</v>
      </c>
      <c r="B19" s="17" t="n">
        <v>2808</v>
      </c>
      <c r="C19" s="18">
        <f>(2509.0/B19*100)</f>
        <v/>
      </c>
      <c r="D19" s="19" t="n">
        <v>299</v>
      </c>
      <c r="E19" s="18" t="n">
        <v>35.90614917</v>
      </c>
      <c r="F19" s="20" t="n">
        <v>3.07833306</v>
      </c>
      <c r="G19" s="18" t="n">
        <v>63.4970181</v>
      </c>
      <c r="H19" s="20" t="n">
        <v>3.15532095</v>
      </c>
      <c r="I19" s="18" t="s">
        <v>567</v>
      </c>
      <c r="J19" s="20" t="s">
        <v>567</v>
      </c>
      <c r="K19" s="18" t="n">
        <v>0</v>
      </c>
      <c r="L19" s="20" t="n">
        <v>0</v>
      </c>
      <c r="M19" s="18" t="n">
        <v>0</v>
      </c>
      <c r="N19" s="20" t="n">
        <v>0</v>
      </c>
      <c r="O19" s="18" t="n">
        <v>0</v>
      </c>
      <c r="P19" s="20" t="n">
        <v>0</v>
      </c>
      <c r="Q19" s="18" t="n">
        <v>0.59683273</v>
      </c>
      <c r="R19" s="20" t="n">
        <v>0.34537815</v>
      </c>
    </row>
    <row r="20" spans="1:18">
      <c r="A20" s="15" t="s">
        <v>580</v>
      </c>
      <c r="B20" s="17" t="n">
        <v>1630</v>
      </c>
      <c r="C20" s="18">
        <f>(1451.0/B20*100)</f>
        <v/>
      </c>
      <c r="D20" s="19" t="n">
        <v>179</v>
      </c>
      <c r="E20" s="18" t="n">
        <v>41.56610755</v>
      </c>
      <c r="F20" s="20" t="n">
        <v>3.12900321</v>
      </c>
      <c r="G20" s="18" t="n">
        <v>56.03372149</v>
      </c>
      <c r="H20" s="20" t="n">
        <v>3.24515514</v>
      </c>
      <c r="I20" s="18" t="s">
        <v>567</v>
      </c>
      <c r="J20" s="20" t="s">
        <v>567</v>
      </c>
      <c r="K20" s="18" t="n">
        <v>1.66887051</v>
      </c>
      <c r="L20" s="20" t="n">
        <v>0.96980212</v>
      </c>
      <c r="M20" s="18" t="n">
        <v>0</v>
      </c>
      <c r="N20" s="20" t="n">
        <v>0</v>
      </c>
      <c r="O20" s="18" t="n">
        <v>0</v>
      </c>
      <c r="P20" s="20" t="n">
        <v>0</v>
      </c>
      <c r="Q20" s="18" t="n">
        <v>0.73130045</v>
      </c>
      <c r="R20" s="20" t="n">
        <v>0.71956247</v>
      </c>
    </row>
    <row r="21" spans="1:18">
      <c r="A21" s="15" t="s">
        <v>581</v>
      </c>
      <c r="B21" s="17" t="n">
        <v>2908</v>
      </c>
      <c r="C21" s="18">
        <f>(2569.0/B21*100)</f>
        <v/>
      </c>
      <c r="D21" s="19" t="n">
        <v>339</v>
      </c>
      <c r="E21" s="18" t="n">
        <v>36.23364456</v>
      </c>
      <c r="F21" s="20" t="n">
        <v>2.76842136</v>
      </c>
      <c r="G21" s="18" t="n">
        <v>63.52219857</v>
      </c>
      <c r="H21" s="20" t="n">
        <v>2.78572437</v>
      </c>
      <c r="I21" s="18" t="s">
        <v>567</v>
      </c>
      <c r="J21" s="20" t="s">
        <v>567</v>
      </c>
      <c r="K21" s="18" t="n">
        <v>0</v>
      </c>
      <c r="L21" s="20" t="n">
        <v>0</v>
      </c>
      <c r="M21" s="18" t="n">
        <v>0</v>
      </c>
      <c r="N21" s="20" t="n">
        <v>0</v>
      </c>
      <c r="O21" s="18" t="n">
        <v>0</v>
      </c>
      <c r="P21" s="20" t="n">
        <v>0</v>
      </c>
      <c r="Q21" s="18" t="n">
        <v>0.24415687</v>
      </c>
      <c r="R21" s="20" t="n">
        <v>0.24031661</v>
      </c>
    </row>
    <row r="22" spans="1:18">
      <c r="A22" s="15" t="s">
        <v>582</v>
      </c>
      <c r="B22" s="17" t="n">
        <v>2931</v>
      </c>
      <c r="C22" s="18">
        <f>(2613.0/B22*100)</f>
        <v/>
      </c>
      <c r="D22" s="19" t="n">
        <v>318</v>
      </c>
      <c r="E22" s="18" t="n">
        <v>39.82853712</v>
      </c>
      <c r="F22" s="20" t="n">
        <v>3.64960377</v>
      </c>
      <c r="G22" s="18" t="n">
        <v>55.99416659</v>
      </c>
      <c r="H22" s="20" t="n">
        <v>3.80296507</v>
      </c>
      <c r="I22" s="18" t="s">
        <v>567</v>
      </c>
      <c r="J22" s="20" t="s">
        <v>567</v>
      </c>
      <c r="K22" s="18" t="n">
        <v>1.27014036</v>
      </c>
      <c r="L22" s="20" t="n">
        <v>0.7766644</v>
      </c>
      <c r="M22" s="18" t="n">
        <v>0</v>
      </c>
      <c r="N22" s="20" t="n">
        <v>0</v>
      </c>
      <c r="O22" s="18" t="n">
        <v>0</v>
      </c>
      <c r="P22" s="20" t="n">
        <v>0</v>
      </c>
      <c r="Q22" s="18" t="n">
        <v>2.90715593</v>
      </c>
      <c r="R22" s="20" t="n">
        <v>1.57540387</v>
      </c>
    </row>
    <row r="23" spans="1:18">
      <c r="A23" s="15" t="s">
        <v>583</v>
      </c>
      <c r="B23" s="17" t="n">
        <v>5791</v>
      </c>
      <c r="C23" s="18">
        <f>(5197.0/B23*100)</f>
        <v/>
      </c>
      <c r="D23" s="19" t="n">
        <v>594</v>
      </c>
      <c r="E23" s="18" t="n">
        <v>33.89372448</v>
      </c>
      <c r="F23" s="20" t="n">
        <v>3.01432373</v>
      </c>
      <c r="G23" s="18" t="n">
        <v>63.25012712</v>
      </c>
      <c r="H23" s="20" t="n">
        <v>2.60258173</v>
      </c>
      <c r="I23" s="18" t="s">
        <v>567</v>
      </c>
      <c r="J23" s="20" t="s">
        <v>567</v>
      </c>
      <c r="K23" s="18" t="n">
        <v>0.78300103</v>
      </c>
      <c r="L23" s="20" t="n">
        <v>0.51591902</v>
      </c>
      <c r="M23" s="18" t="n">
        <v>0</v>
      </c>
      <c r="N23" s="20" t="n">
        <v>0</v>
      </c>
      <c r="O23" s="18" t="n">
        <v>0</v>
      </c>
      <c r="P23" s="20" t="n">
        <v>0</v>
      </c>
      <c r="Q23" s="18" t="n">
        <v>2.07314737</v>
      </c>
      <c r="R23" s="20" t="n">
        <v>1.02392249</v>
      </c>
    </row>
    <row r="24" spans="1:18">
      <c r="A24" s="15" t="s">
        <v>584</v>
      </c>
      <c r="B24" s="17" t="n">
        <v>3338</v>
      </c>
      <c r="C24" s="18">
        <f>(2960.0/B24*100)</f>
        <v/>
      </c>
      <c r="D24" s="19" t="n">
        <v>378</v>
      </c>
      <c r="E24" s="18" t="n">
        <v>27.53478268</v>
      </c>
      <c r="F24" s="20" t="n">
        <v>2.44245424</v>
      </c>
      <c r="G24" s="18" t="n">
        <v>71.41820181999999</v>
      </c>
      <c r="H24" s="20" t="n">
        <v>2.45662397</v>
      </c>
      <c r="I24" s="18" t="s">
        <v>567</v>
      </c>
      <c r="J24" s="20" t="s">
        <v>567</v>
      </c>
      <c r="K24" s="18" t="n">
        <v>0.25056063</v>
      </c>
      <c r="L24" s="20" t="n">
        <v>0.25121767</v>
      </c>
      <c r="M24" s="18" t="n">
        <v>0</v>
      </c>
      <c r="N24" s="20" t="n">
        <v>0</v>
      </c>
      <c r="O24" s="18" t="n">
        <v>0</v>
      </c>
      <c r="P24" s="20" t="n">
        <v>0</v>
      </c>
      <c r="Q24" s="18" t="n">
        <v>0.79645487</v>
      </c>
      <c r="R24" s="20" t="n">
        <v>0.46247328</v>
      </c>
    </row>
    <row r="25" spans="1:18">
      <c r="A25" s="15" t="s">
        <v>585</v>
      </c>
      <c r="B25" s="17" t="n">
        <v>2912</v>
      </c>
      <c r="C25" s="18">
        <f>(2603.0/B25*100)</f>
        <v/>
      </c>
      <c r="D25" s="19" t="n">
        <v>309</v>
      </c>
      <c r="E25" s="18" t="n">
        <v>31.83065493</v>
      </c>
      <c r="F25" s="20" t="n">
        <v>2.98188708</v>
      </c>
      <c r="G25" s="18" t="n">
        <v>66.39752721000001</v>
      </c>
      <c r="H25" s="20" t="n">
        <v>2.97160159</v>
      </c>
      <c r="I25" s="18" t="s">
        <v>567</v>
      </c>
      <c r="J25" s="20" t="s">
        <v>567</v>
      </c>
      <c r="K25" s="18" t="n">
        <v>1.3015121</v>
      </c>
      <c r="L25" s="20" t="n">
        <v>0.45671934</v>
      </c>
      <c r="M25" s="18" t="n">
        <v>0</v>
      </c>
      <c r="N25" s="20" t="n">
        <v>0</v>
      </c>
      <c r="O25" s="18" t="n">
        <v>0</v>
      </c>
      <c r="P25" s="20" t="n">
        <v>0</v>
      </c>
      <c r="Q25" s="18" t="n">
        <v>0.47030577</v>
      </c>
      <c r="R25" s="20" t="n">
        <v>0.33230716</v>
      </c>
    </row>
    <row r="26" spans="1:18">
      <c r="A26" s="15" t="s">
        <v>586</v>
      </c>
      <c r="B26" s="17" t="n">
        <v>2450</v>
      </c>
      <c r="C26" s="18">
        <f>(2167.0/B26*100)</f>
        <v/>
      </c>
      <c r="D26" s="19" t="n">
        <v>283</v>
      </c>
      <c r="E26" s="18" t="n">
        <v>39.34332794</v>
      </c>
      <c r="F26" s="20" t="n">
        <v>2.99047264</v>
      </c>
      <c r="G26" s="18" t="n">
        <v>59.73530249</v>
      </c>
      <c r="H26" s="20" t="n">
        <v>2.93847444</v>
      </c>
      <c r="I26" s="18" t="s">
        <v>567</v>
      </c>
      <c r="J26" s="20" t="s">
        <v>567</v>
      </c>
      <c r="K26" s="18" t="n">
        <v>0</v>
      </c>
      <c r="L26" s="20" t="n">
        <v>0</v>
      </c>
      <c r="M26" s="18" t="n">
        <v>0</v>
      </c>
      <c r="N26" s="20" t="n">
        <v>0</v>
      </c>
      <c r="O26" s="18" t="n">
        <v>0</v>
      </c>
      <c r="P26" s="20" t="n">
        <v>0</v>
      </c>
      <c r="Q26" s="18" t="n">
        <v>0.92136957</v>
      </c>
      <c r="R26" s="20" t="n">
        <v>0.6830472</v>
      </c>
    </row>
    <row r="27" spans="1:18">
      <c r="A27" s="15" t="s">
        <v>587</v>
      </c>
      <c r="B27" s="17" t="n">
        <v>2616</v>
      </c>
      <c r="C27" s="18">
        <f>(2310.0/B27*100)</f>
        <v/>
      </c>
      <c r="D27" s="19" t="n">
        <v>306</v>
      </c>
      <c r="E27" s="18" t="n">
        <v>38.74862106</v>
      </c>
      <c r="F27" s="20" t="n">
        <v>2.74684889</v>
      </c>
      <c r="G27" s="18" t="n">
        <v>59.34072886</v>
      </c>
      <c r="H27" s="20" t="n">
        <v>2.75417581</v>
      </c>
      <c r="I27" s="18" t="s">
        <v>567</v>
      </c>
      <c r="J27" s="20" t="s">
        <v>567</v>
      </c>
      <c r="K27" s="18" t="n">
        <v>1.27820996</v>
      </c>
      <c r="L27" s="20" t="n">
        <v>0.6295344</v>
      </c>
      <c r="M27" s="18" t="n">
        <v>0</v>
      </c>
      <c r="N27" s="20" t="n">
        <v>0</v>
      </c>
      <c r="O27" s="18" t="n">
        <v>0</v>
      </c>
      <c r="P27" s="20" t="n">
        <v>0</v>
      </c>
      <c r="Q27" s="18" t="n">
        <v>0.6324401200000001</v>
      </c>
      <c r="R27" s="20" t="n">
        <v>0.44722536</v>
      </c>
    </row>
    <row r="28" spans="1:18">
      <c r="A28" s="15" t="s">
        <v>588</v>
      </c>
      <c r="B28" s="17" t="n">
        <v>3765</v>
      </c>
      <c r="C28" s="18">
        <f>(3357.0/B28*100)</f>
        <v/>
      </c>
      <c r="D28" s="19" t="n">
        <v>408</v>
      </c>
      <c r="E28" s="18" t="n">
        <v>52.82011055</v>
      </c>
      <c r="F28" s="20" t="n">
        <v>2.6454023</v>
      </c>
      <c r="G28" s="18" t="n">
        <v>44.60183779</v>
      </c>
      <c r="H28" s="20" t="n">
        <v>2.61351191</v>
      </c>
      <c r="I28" s="18" t="s">
        <v>567</v>
      </c>
      <c r="J28" s="20" t="s">
        <v>567</v>
      </c>
      <c r="K28" s="18" t="n">
        <v>0.97182274</v>
      </c>
      <c r="L28" s="20" t="n">
        <v>0.54467847</v>
      </c>
      <c r="M28" s="18" t="n">
        <v>0</v>
      </c>
      <c r="N28" s="20" t="n">
        <v>0</v>
      </c>
      <c r="O28" s="18" t="n">
        <v>0</v>
      </c>
      <c r="P28" s="20" t="n">
        <v>0</v>
      </c>
      <c r="Q28" s="18" t="n">
        <v>1.60622892</v>
      </c>
      <c r="R28" s="20" t="n">
        <v>0.757894</v>
      </c>
    </row>
    <row r="29" spans="1:18">
      <c r="A29" s="15" t="s">
        <v>589</v>
      </c>
      <c r="B29" s="17" t="n">
        <v>2685</v>
      </c>
      <c r="C29" s="18">
        <f>(2429.0/B29*100)</f>
        <v/>
      </c>
      <c r="D29" s="19" t="n">
        <v>256</v>
      </c>
      <c r="E29" s="18" t="n">
        <v>35.17303703</v>
      </c>
      <c r="F29" s="20" t="n">
        <v>3.55991969</v>
      </c>
      <c r="G29" s="18" t="n">
        <v>64.32580652999999</v>
      </c>
      <c r="H29" s="20" t="n">
        <v>3.47956422</v>
      </c>
      <c r="I29" s="18" t="s">
        <v>567</v>
      </c>
      <c r="J29" s="20" t="s">
        <v>567</v>
      </c>
      <c r="K29" s="18" t="n">
        <v>0.35316455</v>
      </c>
      <c r="L29" s="20" t="n">
        <v>0.3362382</v>
      </c>
      <c r="M29" s="18" t="n">
        <v>0</v>
      </c>
      <c r="N29" s="20" t="n">
        <v>0</v>
      </c>
      <c r="O29" s="18" t="n">
        <v>0</v>
      </c>
      <c r="P29" s="20" t="n">
        <v>0</v>
      </c>
      <c r="Q29" s="18" t="n">
        <v>0.14799189</v>
      </c>
      <c r="R29" s="20" t="n">
        <v>0.15103417</v>
      </c>
    </row>
    <row r="30" spans="1:18">
      <c r="A30" s="15" t="s">
        <v>590</v>
      </c>
      <c r="B30" s="17" t="n">
        <v>2263</v>
      </c>
      <c r="C30" s="18">
        <f>(2003.0/B30*100)</f>
        <v/>
      </c>
      <c r="D30" s="19" t="n">
        <v>260</v>
      </c>
      <c r="E30" s="18" t="n">
        <v>34.0895019</v>
      </c>
      <c r="F30" s="20" t="n">
        <v>2.96551561</v>
      </c>
      <c r="G30" s="18" t="n">
        <v>63.49076795</v>
      </c>
      <c r="H30" s="20" t="n">
        <v>3.14168514</v>
      </c>
      <c r="I30" s="18" t="s">
        <v>567</v>
      </c>
      <c r="J30" s="20" t="s">
        <v>567</v>
      </c>
      <c r="K30" s="18" t="n">
        <v>0.6908519</v>
      </c>
      <c r="L30" s="20" t="n">
        <v>0.50120699</v>
      </c>
      <c r="M30" s="18" t="n">
        <v>0</v>
      </c>
      <c r="N30" s="20" t="n">
        <v>0</v>
      </c>
      <c r="O30" s="18" t="n">
        <v>0</v>
      </c>
      <c r="P30" s="20" t="n">
        <v>0</v>
      </c>
      <c r="Q30" s="18" t="n">
        <v>1.72887825</v>
      </c>
      <c r="R30" s="20" t="n">
        <v>0.8738899999999999</v>
      </c>
    </row>
    <row r="31" spans="1:18">
      <c r="A31" s="15" t="s">
        <v>591</v>
      </c>
      <c r="B31" s="17" t="n">
        <v>2750</v>
      </c>
      <c r="C31" s="18">
        <f>(2445.0/B31*100)</f>
        <v/>
      </c>
      <c r="D31" s="19" t="n">
        <v>305</v>
      </c>
      <c r="E31" s="18" t="n">
        <v>35.45028104</v>
      </c>
      <c r="F31" s="20" t="n">
        <v>2.92434956</v>
      </c>
      <c r="G31" s="18" t="n">
        <v>63.37103457</v>
      </c>
      <c r="H31" s="20" t="n">
        <v>2.92577174</v>
      </c>
      <c r="I31" s="18" t="s">
        <v>567</v>
      </c>
      <c r="J31" s="20" t="s">
        <v>567</v>
      </c>
      <c r="K31" s="18" t="n">
        <v>1.1786844</v>
      </c>
      <c r="L31" s="20" t="n">
        <v>0.68215999</v>
      </c>
      <c r="M31" s="18" t="n">
        <v>0</v>
      </c>
      <c r="N31" s="20" t="n">
        <v>0</v>
      </c>
      <c r="O31" s="18" t="n">
        <v>0</v>
      </c>
      <c r="P31" s="20" t="n">
        <v>0</v>
      </c>
      <c r="Q31" s="18" t="n">
        <v>0</v>
      </c>
      <c r="R31" s="20" t="n">
        <v>0</v>
      </c>
    </row>
    <row r="32" spans="1:18">
      <c r="A32" s="15" t="s">
        <v>592</v>
      </c>
      <c r="B32" s="17" t="n">
        <v>2269</v>
      </c>
      <c r="C32" s="18">
        <f>(2029.0/B32*100)</f>
        <v/>
      </c>
      <c r="D32" s="19" t="n">
        <v>240</v>
      </c>
      <c r="E32" s="18" t="n">
        <v>35.33182503</v>
      </c>
      <c r="F32" s="20" t="n">
        <v>3.17941915</v>
      </c>
      <c r="G32" s="18" t="n">
        <v>64.66817497</v>
      </c>
      <c r="H32" s="20" t="n">
        <v>3.17941915</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(3266.0/B33*100)</f>
        <v/>
      </c>
      <c r="D33" s="19" t="n">
        <v>408</v>
      </c>
      <c r="E33" s="18" t="n">
        <v>42.20909259</v>
      </c>
      <c r="F33" s="20" t="n">
        <v>3.12343795</v>
      </c>
      <c r="G33" s="18" t="n">
        <v>56.5592332</v>
      </c>
      <c r="H33" s="20" t="n">
        <v>3.00893297</v>
      </c>
      <c r="I33" s="18" t="s">
        <v>567</v>
      </c>
      <c r="J33" s="20" t="s">
        <v>567</v>
      </c>
      <c r="K33" s="18" t="n">
        <v>0.18310373</v>
      </c>
      <c r="L33" s="20" t="n">
        <v>0.13344197</v>
      </c>
      <c r="M33" s="18" t="n">
        <v>0</v>
      </c>
      <c r="N33" s="20" t="n">
        <v>0</v>
      </c>
      <c r="O33" s="18" t="n">
        <v>0</v>
      </c>
      <c r="P33" s="20" t="n">
        <v>0</v>
      </c>
      <c r="Q33" s="18" t="n">
        <v>1.04857048</v>
      </c>
      <c r="R33" s="20" t="n">
        <v>0.8802060900000001</v>
      </c>
    </row>
    <row r="34" spans="1:18">
      <c r="A34" s="15" t="s">
        <v>594</v>
      </c>
      <c r="B34" s="17" t="n">
        <v>3315</v>
      </c>
      <c r="C34" s="18">
        <f>(2986.0/B34*100)</f>
        <v/>
      </c>
      <c r="D34" s="19" t="n">
        <v>329</v>
      </c>
      <c r="E34" s="18" t="n">
        <v>42.31274604</v>
      </c>
      <c r="F34" s="20" t="n">
        <v>2.49609272</v>
      </c>
      <c r="G34" s="18" t="n">
        <v>56.47707142</v>
      </c>
      <c r="H34" s="20" t="n">
        <v>2.60947497</v>
      </c>
      <c r="I34" s="18" t="s">
        <v>567</v>
      </c>
      <c r="J34" s="20" t="s">
        <v>567</v>
      </c>
      <c r="K34" s="18" t="n">
        <v>0</v>
      </c>
      <c r="L34" s="20" t="n">
        <v>0</v>
      </c>
      <c r="M34" s="18" t="n">
        <v>0</v>
      </c>
      <c r="N34" s="20" t="n">
        <v>0</v>
      </c>
      <c r="O34" s="18" t="n">
        <v>0</v>
      </c>
      <c r="P34" s="20" t="n">
        <v>0</v>
      </c>
      <c r="Q34" s="18" t="n">
        <v>1.21018253</v>
      </c>
      <c r="R34" s="20" t="n">
        <v>0.66626354</v>
      </c>
    </row>
    <row r="35" spans="1:18">
      <c r="A35" s="15" t="s">
        <v>595</v>
      </c>
      <c r="B35" s="17" t="n">
        <v>3505</v>
      </c>
      <c r="C35" s="18">
        <f>(3147.0/B35*100)</f>
        <v/>
      </c>
      <c r="D35" s="19" t="n">
        <v>358</v>
      </c>
      <c r="E35" s="18" t="n">
        <v>36.51207205</v>
      </c>
      <c r="F35" s="20" t="n">
        <v>2.87007475</v>
      </c>
      <c r="G35" s="18" t="n">
        <v>63.15256861</v>
      </c>
      <c r="H35" s="20" t="n">
        <v>2.8638339</v>
      </c>
      <c r="I35" s="18" t="s">
        <v>567</v>
      </c>
      <c r="J35" s="20" t="s">
        <v>567</v>
      </c>
      <c r="K35" s="18" t="n">
        <v>0</v>
      </c>
      <c r="L35" s="20" t="n">
        <v>0</v>
      </c>
      <c r="M35" s="18" t="n">
        <v>0</v>
      </c>
      <c r="N35" s="20" t="n">
        <v>0</v>
      </c>
      <c r="O35" s="18" t="n">
        <v>0</v>
      </c>
      <c r="P35" s="20" t="n">
        <v>0</v>
      </c>
      <c r="Q35" s="18" t="n">
        <v>0.33535934</v>
      </c>
      <c r="R35" s="20" t="n">
        <v>0.33767904</v>
      </c>
    </row>
    <row r="36" spans="1:18">
      <c r="A36" s="15" t="s">
        <v>596</v>
      </c>
      <c r="B36" s="17" t="n">
        <v>3332</v>
      </c>
      <c r="C36" s="18">
        <f>(2940.0/B36*100)</f>
        <v/>
      </c>
      <c r="D36" s="19" t="n">
        <v>392</v>
      </c>
      <c r="E36" s="18" t="n">
        <v>45.1844381</v>
      </c>
      <c r="F36" s="20" t="n">
        <v>2.79536404</v>
      </c>
      <c r="G36" s="18" t="n">
        <v>52.42757879</v>
      </c>
      <c r="H36" s="20" t="n">
        <v>2.77424213</v>
      </c>
      <c r="I36" s="18" t="s">
        <v>567</v>
      </c>
      <c r="J36" s="20" t="s">
        <v>567</v>
      </c>
      <c r="K36" s="18" t="n">
        <v>1.63024522</v>
      </c>
      <c r="L36" s="20" t="n">
        <v>0.68967965</v>
      </c>
      <c r="M36" s="18" t="n">
        <v>0</v>
      </c>
      <c r="N36" s="20" t="n">
        <v>0</v>
      </c>
      <c r="O36" s="18" t="n">
        <v>0</v>
      </c>
      <c r="P36" s="20" t="n">
        <v>0</v>
      </c>
      <c r="Q36" s="18" t="n">
        <v>0.75773789</v>
      </c>
      <c r="R36" s="20" t="n">
        <v>0.5361198</v>
      </c>
    </row>
    <row r="37" spans="1:18">
      <c r="A37" s="15" t="s">
        <v>597</v>
      </c>
      <c r="B37" s="17" t="n">
        <v>2727</v>
      </c>
      <c r="C37" s="18">
        <f>(2432.0/B37*100)</f>
        <v/>
      </c>
      <c r="D37" s="19" t="n">
        <v>295</v>
      </c>
      <c r="E37" s="18" t="n">
        <v>38.43532542</v>
      </c>
      <c r="F37" s="20" t="n">
        <v>3.30926282</v>
      </c>
      <c r="G37" s="18" t="n">
        <v>57.96585542</v>
      </c>
      <c r="H37" s="20" t="n">
        <v>3.29314828</v>
      </c>
      <c r="I37" s="18" t="s">
        <v>567</v>
      </c>
      <c r="J37" s="20" t="s">
        <v>567</v>
      </c>
      <c r="K37" s="18" t="n">
        <v>1.4621952</v>
      </c>
      <c r="L37" s="20" t="n">
        <v>0.74058963</v>
      </c>
      <c r="M37" s="18" t="n">
        <v>0</v>
      </c>
      <c r="N37" s="20" t="n">
        <v>0</v>
      </c>
      <c r="O37" s="18" t="n">
        <v>0</v>
      </c>
      <c r="P37" s="20" t="n">
        <v>0</v>
      </c>
      <c r="Q37" s="18" t="n">
        <v>2.13662395</v>
      </c>
      <c r="R37" s="20" t="n">
        <v>0.9151708200000001</v>
      </c>
    </row>
    <row r="38" spans="1:18">
      <c r="A38" s="15" t="s">
        <v>598</v>
      </c>
      <c r="B38" s="17" t="n">
        <v>3053</v>
      </c>
      <c r="C38" s="18">
        <f>(2715.0/B38*100)</f>
        <v/>
      </c>
      <c r="D38" s="19" t="n">
        <v>338</v>
      </c>
      <c r="E38" s="18" t="n">
        <v>33.82726684</v>
      </c>
      <c r="F38" s="20" t="n">
        <v>3.10966039</v>
      </c>
      <c r="G38" s="18" t="n">
        <v>64.79305334</v>
      </c>
      <c r="H38" s="20" t="n">
        <v>3.06118002</v>
      </c>
      <c r="I38" s="18" t="s">
        <v>567</v>
      </c>
      <c r="J38" s="20" t="s">
        <v>567</v>
      </c>
      <c r="K38" s="18" t="n">
        <v>0</v>
      </c>
      <c r="L38" s="20" t="n">
        <v>0</v>
      </c>
      <c r="M38" s="18" t="n">
        <v>0</v>
      </c>
      <c r="N38" s="20" t="n">
        <v>0</v>
      </c>
      <c r="O38" s="18" t="n">
        <v>0</v>
      </c>
      <c r="P38" s="20" t="n">
        <v>0</v>
      </c>
      <c r="Q38" s="18" t="n">
        <v>1.37967982</v>
      </c>
      <c r="R38" s="20" t="n">
        <v>0.8201846699999999</v>
      </c>
    </row>
    <row r="39" spans="1:18">
      <c r="A39" s="15" t="s">
        <v>599</v>
      </c>
      <c r="B39" s="17" t="n">
        <v>2957</v>
      </c>
      <c r="C39" s="18">
        <f>(2647.0/B39*100)</f>
        <v/>
      </c>
      <c r="D39" s="19" t="n">
        <v>310</v>
      </c>
      <c r="E39" s="18" t="n">
        <v>56.75081748</v>
      </c>
      <c r="F39" s="20" t="n">
        <v>3.37301912</v>
      </c>
      <c r="G39" s="18" t="n">
        <v>42.04247598</v>
      </c>
      <c r="H39" s="20" t="n">
        <v>3.30340972</v>
      </c>
      <c r="I39" s="18" t="s">
        <v>567</v>
      </c>
      <c r="J39" s="20" t="s">
        <v>567</v>
      </c>
      <c r="K39" s="18" t="n">
        <v>0</v>
      </c>
      <c r="L39" s="20" t="n">
        <v>0</v>
      </c>
      <c r="M39" s="18" t="n">
        <v>0</v>
      </c>
      <c r="N39" s="20" t="n">
        <v>0</v>
      </c>
      <c r="O39" s="18" t="n">
        <v>0</v>
      </c>
      <c r="P39" s="20" t="n">
        <v>0</v>
      </c>
      <c r="Q39" s="18" t="n">
        <v>1.20670654</v>
      </c>
      <c r="R39" s="20" t="n">
        <v>0.56868721</v>
      </c>
    </row>
    <row r="40" spans="1:18">
      <c r="A40" s="15" t="s">
        <v>600</v>
      </c>
      <c r="B40" s="17" t="n">
        <v>7235</v>
      </c>
      <c r="C40" s="18">
        <f>(6428.0/B40*100)</f>
        <v/>
      </c>
      <c r="D40" s="19" t="n">
        <v>807</v>
      </c>
      <c r="E40" s="18" t="n">
        <v>39.16112171</v>
      </c>
      <c r="F40" s="20" t="n">
        <v>2.5052983</v>
      </c>
      <c r="G40" s="18" t="n">
        <v>58.20373246</v>
      </c>
      <c r="H40" s="20" t="n">
        <v>2.56153566</v>
      </c>
      <c r="I40" s="18" t="s">
        <v>567</v>
      </c>
      <c r="J40" s="20" t="s">
        <v>567</v>
      </c>
      <c r="K40" s="18" t="n">
        <v>1.39489585</v>
      </c>
      <c r="L40" s="20" t="n">
        <v>0.68753326</v>
      </c>
      <c r="M40" s="18" t="n">
        <v>0</v>
      </c>
      <c r="N40" s="20" t="n">
        <v>0</v>
      </c>
      <c r="O40" s="18" t="n">
        <v>0</v>
      </c>
      <c r="P40" s="20" t="n">
        <v>0</v>
      </c>
      <c r="Q40" s="18" t="n">
        <v>1.24024997</v>
      </c>
      <c r="R40" s="20" t="n">
        <v>0.70588229</v>
      </c>
    </row>
    <row r="41" spans="1:18">
      <c r="A41" s="15" t="s">
        <v>601</v>
      </c>
      <c r="B41" s="17" t="n">
        <v>2858</v>
      </c>
      <c r="C41" s="18">
        <f>(2511.0/B41*100)</f>
        <v/>
      </c>
      <c r="D41" s="19" t="n">
        <v>347</v>
      </c>
      <c r="E41" s="18" t="n">
        <v>42.96363707</v>
      </c>
      <c r="F41" s="20" t="n">
        <v>2.93566493</v>
      </c>
      <c r="G41" s="18" t="n">
        <v>56.32734256</v>
      </c>
      <c r="H41" s="20" t="n">
        <v>2.92694367</v>
      </c>
      <c r="I41" s="18" t="s">
        <v>567</v>
      </c>
      <c r="J41" s="20" t="s">
        <v>567</v>
      </c>
      <c r="K41" s="18" t="n">
        <v>0.34972303</v>
      </c>
      <c r="L41" s="20" t="n">
        <v>0.32595791</v>
      </c>
      <c r="M41" s="18" t="n">
        <v>0</v>
      </c>
      <c r="N41" s="20" t="n">
        <v>0</v>
      </c>
      <c r="O41" s="18" t="n">
        <v>0</v>
      </c>
      <c r="P41" s="20" t="n">
        <v>0</v>
      </c>
      <c r="Q41" s="18" t="n">
        <v>0.35929734</v>
      </c>
      <c r="R41" s="20" t="n">
        <v>0.3739762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(10102.0/B46*100)</f>
        <v/>
      </c>
      <c r="D46" s="19" t="n">
        <v>966</v>
      </c>
      <c r="E46" s="18" t="n">
        <v>56.52878367</v>
      </c>
      <c r="F46" s="20" t="n">
        <v>2.07087921</v>
      </c>
      <c r="G46" s="18" t="n">
        <v>40.95934009</v>
      </c>
      <c r="H46" s="20" t="n">
        <v>2.05560476</v>
      </c>
      <c r="I46" s="18" t="s">
        <v>567</v>
      </c>
      <c r="J46" s="20" t="s">
        <v>567</v>
      </c>
      <c r="K46" s="18" t="n">
        <v>2.06393467</v>
      </c>
      <c r="L46" s="20" t="n">
        <v>0.66391505</v>
      </c>
      <c r="M46" s="18" t="n">
        <v>0</v>
      </c>
      <c r="N46" s="20" t="n">
        <v>0</v>
      </c>
      <c r="O46" s="18" t="n">
        <v>0</v>
      </c>
      <c r="P46" s="20" t="n">
        <v>0</v>
      </c>
      <c r="Q46" s="18" t="n">
        <v>0.44794157</v>
      </c>
      <c r="R46" s="20" t="n">
        <v>0.21383302</v>
      </c>
    </row>
    <row r="47" spans="1:18">
      <c r="A47" s="15" t="s">
        <v>607</v>
      </c>
      <c r="B47" s="17" t="n">
        <v>3105</v>
      </c>
      <c r="C47" s="18">
        <f>(2761.0/B47*100)</f>
        <v/>
      </c>
      <c r="D47" s="19" t="n">
        <v>344</v>
      </c>
      <c r="E47" s="18" t="n">
        <v>51.11813343</v>
      </c>
      <c r="F47" s="20" t="n">
        <v>2.58492154</v>
      </c>
      <c r="G47" s="18" t="n">
        <v>46.03094429</v>
      </c>
      <c r="H47" s="20" t="n">
        <v>2.70430428</v>
      </c>
      <c r="I47" s="18" t="s">
        <v>567</v>
      </c>
      <c r="J47" s="20" t="s">
        <v>567</v>
      </c>
      <c r="K47" s="18" t="n">
        <v>1.40369652</v>
      </c>
      <c r="L47" s="20" t="n">
        <v>0.56982318</v>
      </c>
      <c r="M47" s="18" t="n">
        <v>0</v>
      </c>
      <c r="N47" s="20" t="n">
        <v>0</v>
      </c>
      <c r="O47" s="18" t="n">
        <v>0</v>
      </c>
      <c r="P47" s="20" t="n">
        <v>0</v>
      </c>
      <c r="Q47" s="18" t="n">
        <v>1.44722576</v>
      </c>
      <c r="R47" s="20" t="n">
        <v>0.70098182</v>
      </c>
    </row>
    <row r="48" spans="1:18">
      <c r="A48" s="15" t="s">
        <v>608</v>
      </c>
      <c r="B48" s="17" t="n">
        <v>5159</v>
      </c>
      <c r="C48" s="18">
        <f>(4596.0/B48*100)</f>
        <v/>
      </c>
      <c r="D48" s="19" t="n">
        <v>563</v>
      </c>
      <c r="E48" s="18" t="n">
        <v>28.14798908</v>
      </c>
      <c r="F48" s="20" t="n">
        <v>2.31310204</v>
      </c>
      <c r="G48" s="18" t="n">
        <v>70.87048227</v>
      </c>
      <c r="H48" s="20" t="n">
        <v>2.28063892</v>
      </c>
      <c r="I48" s="18" t="s">
        <v>567</v>
      </c>
      <c r="J48" s="20" t="s">
        <v>567</v>
      </c>
      <c r="K48" s="18" t="n">
        <v>0.39687325</v>
      </c>
      <c r="L48" s="20" t="n">
        <v>0.30041457</v>
      </c>
      <c r="M48" s="18" t="n">
        <v>0</v>
      </c>
      <c r="N48" s="20" t="n">
        <v>0</v>
      </c>
      <c r="O48" s="18" t="n">
        <v>0</v>
      </c>
      <c r="P48" s="20" t="n">
        <v>0</v>
      </c>
      <c r="Q48" s="18" t="n">
        <v>0.5846554</v>
      </c>
      <c r="R48" s="20" t="n">
        <v>0.42320314</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(5042.0/B50*100)</f>
        <v/>
      </c>
      <c r="D50" s="19" t="n">
        <v>595</v>
      </c>
      <c r="E50" s="18" t="n">
        <v>58.89490714</v>
      </c>
      <c r="F50" s="20" t="n">
        <v>2.53534165</v>
      </c>
      <c r="G50" s="18" t="n">
        <v>37.74612411</v>
      </c>
      <c r="H50" s="20" t="n">
        <v>2.6345514</v>
      </c>
      <c r="I50" s="18" t="s">
        <v>567</v>
      </c>
      <c r="J50" s="20" t="s">
        <v>567</v>
      </c>
      <c r="K50" s="18" t="n">
        <v>1.64794026</v>
      </c>
      <c r="L50" s="20" t="n">
        <v>0.64731894</v>
      </c>
      <c r="M50" s="18" t="n">
        <v>0</v>
      </c>
      <c r="N50" s="20" t="n">
        <v>0</v>
      </c>
      <c r="O50" s="18" t="n">
        <v>0</v>
      </c>
      <c r="P50" s="20" t="n">
        <v>0</v>
      </c>
      <c r="Q50" s="18" t="n">
        <v>1.71102849</v>
      </c>
      <c r="R50" s="20" t="n">
        <v>0.67994026</v>
      </c>
    </row>
    <row r="51" spans="1:18">
      <c r="A51" s="15" t="s">
        <v>611</v>
      </c>
      <c r="B51" s="17" t="n">
        <v>3372</v>
      </c>
      <c r="C51" s="18">
        <f>(3056.0/B51*100)</f>
        <v/>
      </c>
      <c r="D51" s="19" t="n">
        <v>316</v>
      </c>
      <c r="E51" s="18" t="n">
        <v>46.7689639</v>
      </c>
      <c r="F51" s="20" t="n">
        <v>2.87666579</v>
      </c>
      <c r="G51" s="18" t="n">
        <v>50.65880558</v>
      </c>
      <c r="H51" s="20" t="n">
        <v>2.84819286</v>
      </c>
      <c r="I51" s="18" t="s">
        <v>567</v>
      </c>
      <c r="J51" s="20" t="s">
        <v>567</v>
      </c>
      <c r="K51" s="18" t="n">
        <v>1.78762831</v>
      </c>
      <c r="L51" s="20" t="n">
        <v>0.69286962</v>
      </c>
      <c r="M51" s="18" t="n">
        <v>0</v>
      </c>
      <c r="N51" s="20" t="n">
        <v>0</v>
      </c>
      <c r="O51" s="18" t="n">
        <v>0</v>
      </c>
      <c r="P51" s="20" t="n">
        <v>0</v>
      </c>
      <c r="Q51" s="18" t="n">
        <v>0.7846022</v>
      </c>
      <c r="R51" s="20" t="n">
        <v>0.54874787</v>
      </c>
    </row>
    <row r="52" spans="1:18">
      <c r="A52" s="15" t="s">
        <v>612</v>
      </c>
      <c r="B52" s="17" t="n">
        <v>2796</v>
      </c>
      <c r="C52" s="18">
        <f>(2503.0/B52*100)</f>
        <v/>
      </c>
      <c r="D52" s="19" t="n">
        <v>293</v>
      </c>
      <c r="E52" s="18" t="n">
        <v>41.39792321</v>
      </c>
      <c r="F52" s="20" t="n">
        <v>2.64610271</v>
      </c>
      <c r="G52" s="18" t="n">
        <v>57.30648234</v>
      </c>
      <c r="H52" s="20" t="n">
        <v>2.70266151</v>
      </c>
      <c r="I52" s="18" t="s">
        <v>567</v>
      </c>
      <c r="J52" s="20" t="s">
        <v>567</v>
      </c>
      <c r="K52" s="18" t="n">
        <v>0.26579375</v>
      </c>
      <c r="L52" s="20" t="n">
        <v>0.2646184</v>
      </c>
      <c r="M52" s="18" t="n">
        <v>0</v>
      </c>
      <c r="N52" s="20" t="n">
        <v>0</v>
      </c>
      <c r="O52" s="18" t="n">
        <v>0</v>
      </c>
      <c r="P52" s="20" t="n">
        <v>0</v>
      </c>
      <c r="Q52" s="18" t="n">
        <v>1.0298007</v>
      </c>
      <c r="R52" s="20" t="n">
        <v>0.60226708</v>
      </c>
    </row>
    <row r="53" spans="1:18">
      <c r="A53" s="15" t="s">
        <v>613</v>
      </c>
      <c r="B53" s="17" t="n">
        <v>2811</v>
      </c>
      <c r="C53" s="18">
        <f>(2489.0/B53*100)</f>
        <v/>
      </c>
      <c r="D53" s="19" t="n">
        <v>322</v>
      </c>
      <c r="E53" s="18" t="n">
        <v>53.03374611</v>
      </c>
      <c r="F53" s="20" t="n">
        <v>3.12914588</v>
      </c>
      <c r="G53" s="18" t="n">
        <v>44.68042649</v>
      </c>
      <c r="H53" s="20" t="n">
        <v>3.24696491</v>
      </c>
      <c r="I53" s="18" t="s">
        <v>567</v>
      </c>
      <c r="J53" s="20" t="s">
        <v>567</v>
      </c>
      <c r="K53" s="18" t="n">
        <v>0.90218538</v>
      </c>
      <c r="L53" s="20" t="n">
        <v>0.55098107</v>
      </c>
      <c r="M53" s="18" t="n">
        <v>0</v>
      </c>
      <c r="N53" s="20" t="n">
        <v>0</v>
      </c>
      <c r="O53" s="18" t="n">
        <v>0</v>
      </c>
      <c r="P53" s="20" t="n">
        <v>0</v>
      </c>
      <c r="Q53" s="18" t="n">
        <v>1.38364202</v>
      </c>
      <c r="R53" s="20" t="n">
        <v>0.62615529</v>
      </c>
    </row>
    <row r="54" spans="1:18">
      <c r="A54" s="15" t="s">
        <v>614</v>
      </c>
      <c r="B54" s="17" t="n">
        <v>2266</v>
      </c>
      <c r="C54" s="18">
        <f>(2025.0/B54*100)</f>
        <v/>
      </c>
      <c r="D54" s="19" t="n">
        <v>241</v>
      </c>
      <c r="E54" s="18" t="n">
        <v>51.0259323</v>
      </c>
      <c r="F54" s="20" t="n">
        <v>3.42113629</v>
      </c>
      <c r="G54" s="18" t="n">
        <v>31.6845523</v>
      </c>
      <c r="H54" s="20" t="n">
        <v>3.62053781</v>
      </c>
      <c r="I54" s="18" t="s">
        <v>567</v>
      </c>
      <c r="J54" s="20" t="s">
        <v>567</v>
      </c>
      <c r="K54" s="18" t="n">
        <v>16.08236869</v>
      </c>
      <c r="L54" s="20" t="n">
        <v>2.83003482</v>
      </c>
      <c r="M54" s="18" t="n">
        <v>0</v>
      </c>
      <c r="N54" s="20" t="n">
        <v>0</v>
      </c>
      <c r="O54" s="18" t="n">
        <v>0</v>
      </c>
      <c r="P54" s="20" t="n">
        <v>0</v>
      </c>
      <c r="Q54" s="18" t="n">
        <v>1.20714671</v>
      </c>
      <c r="R54" s="20" t="n">
        <v>0.68518873</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(2402.0/B56*100)</f>
        <v/>
      </c>
      <c r="D56" s="19" t="n">
        <v>282</v>
      </c>
      <c r="E56" s="18" t="n">
        <v>29.39692936</v>
      </c>
      <c r="F56" s="20" t="n">
        <v>3.00413151</v>
      </c>
      <c r="G56" s="18" t="n">
        <v>69.96157340000001</v>
      </c>
      <c r="H56" s="20" t="n">
        <v>2.99174173</v>
      </c>
      <c r="I56" s="18" t="s">
        <v>567</v>
      </c>
      <c r="J56" s="20" t="s">
        <v>567</v>
      </c>
      <c r="K56" s="18" t="n">
        <v>0</v>
      </c>
      <c r="L56" s="20" t="n">
        <v>0</v>
      </c>
      <c r="M56" s="18" t="n">
        <v>0</v>
      </c>
      <c r="N56" s="20" t="n">
        <v>0</v>
      </c>
      <c r="O56" s="18" t="n">
        <v>0</v>
      </c>
      <c r="P56" s="20" t="n">
        <v>0</v>
      </c>
      <c r="Q56" s="18" t="n">
        <v>0.64149724</v>
      </c>
      <c r="R56" s="20" t="n">
        <v>0.72415324</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(2978.0/B61*100)</f>
        <v/>
      </c>
      <c r="D61" s="19" t="n">
        <v>346</v>
      </c>
      <c r="E61" s="18" t="n">
        <v>40.05731115</v>
      </c>
      <c r="F61" s="20" t="n">
        <v>3.17704973</v>
      </c>
      <c r="G61" s="18" t="n">
        <v>59.19703249</v>
      </c>
      <c r="H61" s="20" t="n">
        <v>3.13287152</v>
      </c>
      <c r="I61" s="18" t="s">
        <v>567</v>
      </c>
      <c r="J61" s="20" t="s">
        <v>567</v>
      </c>
      <c r="K61" s="18" t="n">
        <v>0.32164117</v>
      </c>
      <c r="L61" s="20" t="n">
        <v>0.24309955</v>
      </c>
      <c r="M61" s="18" t="n">
        <v>0</v>
      </c>
      <c r="N61" s="20" t="n">
        <v>0</v>
      </c>
      <c r="O61" s="18" t="n">
        <v>0</v>
      </c>
      <c r="P61" s="20" t="n">
        <v>0</v>
      </c>
      <c r="Q61" s="18" t="n">
        <v>0.42401519</v>
      </c>
      <c r="R61" s="20" t="n">
        <v>0.36203159</v>
      </c>
    </row>
    <row r="62" spans="1:18">
      <c r="A62" s="15" t="s">
        <v>622</v>
      </c>
      <c r="B62" s="17" t="n">
        <v>2246</v>
      </c>
      <c r="C62" s="18">
        <f>(1993.0/B62*100)</f>
        <v/>
      </c>
      <c r="D62" s="19" t="n">
        <v>253</v>
      </c>
      <c r="E62" s="18" t="n">
        <v>33.57425606</v>
      </c>
      <c r="F62" s="20" t="n">
        <v>2.65212959</v>
      </c>
      <c r="G62" s="18" t="n">
        <v>66.03325938</v>
      </c>
      <c r="H62" s="20" t="n">
        <v>2.60428242</v>
      </c>
      <c r="I62" s="18" t="s">
        <v>567</v>
      </c>
      <c r="J62" s="20" t="s">
        <v>567</v>
      </c>
      <c r="K62" s="18" t="n">
        <v>0</v>
      </c>
      <c r="L62" s="20" t="n">
        <v>0</v>
      </c>
      <c r="M62" s="18" t="n">
        <v>0</v>
      </c>
      <c r="N62" s="20" t="n">
        <v>0</v>
      </c>
      <c r="O62" s="18" t="n">
        <v>0</v>
      </c>
      <c r="P62" s="20" t="n">
        <v>0</v>
      </c>
      <c r="Q62" s="18" t="n">
        <v>0.39248456</v>
      </c>
      <c r="R62" s="20" t="n">
        <v>0.39660011</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(2588.0/B66*100)</f>
        <v/>
      </c>
      <c r="D66" s="19" t="n">
        <v>306</v>
      </c>
      <c r="E66" s="18" t="n">
        <v>59.76042919</v>
      </c>
      <c r="F66" s="20" t="n">
        <v>2.54187161</v>
      </c>
      <c r="G66" s="18" t="n">
        <v>36.27129458</v>
      </c>
      <c r="H66" s="20" t="n">
        <v>2.40095844</v>
      </c>
      <c r="I66" s="18" t="s">
        <v>567</v>
      </c>
      <c r="J66" s="20" t="s">
        <v>567</v>
      </c>
      <c r="K66" s="18" t="n">
        <v>2.01405831</v>
      </c>
      <c r="L66" s="20" t="n">
        <v>0.94562048</v>
      </c>
      <c r="M66" s="18" t="n">
        <v>0</v>
      </c>
      <c r="N66" s="20" t="n">
        <v>0</v>
      </c>
      <c r="O66" s="18" t="n">
        <v>0</v>
      </c>
      <c r="P66" s="20" t="n">
        <v>0</v>
      </c>
      <c r="Q66" s="18" t="n">
        <v>1.95421793</v>
      </c>
      <c r="R66" s="20" t="n">
        <v>0.80289021</v>
      </c>
    </row>
    <row r="67" spans="1:18">
      <c r="A67" s="15" t="s">
        <v>627</v>
      </c>
      <c r="B67" s="17" t="n">
        <v>3511</v>
      </c>
      <c r="C67" s="18">
        <f>(3181.0/B67*100)</f>
        <v/>
      </c>
      <c r="D67" s="19" t="n">
        <v>330</v>
      </c>
      <c r="E67" s="18" t="n">
        <v>56.39929582</v>
      </c>
      <c r="F67" s="20" t="n">
        <v>3.27344832</v>
      </c>
      <c r="G67" s="18" t="n">
        <v>42.93821376</v>
      </c>
      <c r="H67" s="20" t="n">
        <v>3.35133058</v>
      </c>
      <c r="I67" s="18" t="s">
        <v>567</v>
      </c>
      <c r="J67" s="20" t="s">
        <v>567</v>
      </c>
      <c r="K67" s="18" t="n">
        <v>0.34331489</v>
      </c>
      <c r="L67" s="20" t="n">
        <v>0.34012426</v>
      </c>
      <c r="M67" s="18" t="n">
        <v>0</v>
      </c>
      <c r="N67" s="20" t="n">
        <v>0</v>
      </c>
      <c r="O67" s="18" t="n">
        <v>0</v>
      </c>
      <c r="P67" s="20" t="n">
        <v>0</v>
      </c>
      <c r="Q67" s="18" t="n">
        <v>0.31917553</v>
      </c>
      <c r="R67" s="20" t="n">
        <v>0.32090707</v>
      </c>
    </row>
    <row r="68" spans="1:18">
      <c r="A68" s="15" t="s">
        <v>628</v>
      </c>
      <c r="B68" s="17" t="n">
        <v>6049</v>
      </c>
      <c r="C68" s="18">
        <f>(5394.0/B68*100)</f>
        <v/>
      </c>
      <c r="D68" s="19" t="n">
        <v>655</v>
      </c>
      <c r="E68" s="18" t="n">
        <v>56.48631969</v>
      </c>
      <c r="F68" s="20" t="n">
        <v>1.80559502</v>
      </c>
      <c r="G68" s="18" t="n">
        <v>38.34620577</v>
      </c>
      <c r="H68" s="20" t="n">
        <v>1.75414758</v>
      </c>
      <c r="I68" s="18" t="s">
        <v>567</v>
      </c>
      <c r="J68" s="20" t="s">
        <v>567</v>
      </c>
      <c r="K68" s="18" t="n">
        <v>3.96995719</v>
      </c>
      <c r="L68" s="20" t="n">
        <v>0.86024369</v>
      </c>
      <c r="M68" s="18" t="n">
        <v>0</v>
      </c>
      <c r="N68" s="20" t="n">
        <v>0</v>
      </c>
      <c r="O68" s="18" t="n">
        <v>0</v>
      </c>
      <c r="P68" s="20" t="n">
        <v>0</v>
      </c>
      <c r="Q68" s="18" t="n">
        <v>1.19751735</v>
      </c>
      <c r="R68" s="20" t="n">
        <v>0.42984767</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(2625.0/B70*100)</f>
        <v/>
      </c>
      <c r="D70" s="19" t="n">
        <v>304</v>
      </c>
      <c r="E70" s="18" t="n">
        <v>31.727916</v>
      </c>
      <c r="F70" s="20" t="n">
        <v>2.88606991</v>
      </c>
      <c r="G70" s="18" t="n">
        <v>66.48259928</v>
      </c>
      <c r="H70" s="20" t="n">
        <v>3.24869348</v>
      </c>
      <c r="I70" s="18" t="s">
        <v>567</v>
      </c>
      <c r="J70" s="20" t="s">
        <v>567</v>
      </c>
      <c r="K70" s="18" t="n">
        <v>0.23029103</v>
      </c>
      <c r="L70" s="20" t="n">
        <v>0.23068834</v>
      </c>
      <c r="M70" s="18" t="n">
        <v>0</v>
      </c>
      <c r="N70" s="20" t="n">
        <v>0</v>
      </c>
      <c r="O70" s="18" t="n">
        <v>0</v>
      </c>
      <c r="P70" s="20" t="n">
        <v>0</v>
      </c>
      <c r="Q70" s="18" t="n">
        <v>1.55919369</v>
      </c>
      <c r="R70" s="20" t="n">
        <v>0.94906275</v>
      </c>
    </row>
    <row r="71" spans="1:18">
      <c r="A71" s="15" t="s">
        <v>631</v>
      </c>
      <c r="B71" s="17" t="n">
        <v>3142</v>
      </c>
      <c r="C71" s="18">
        <f>(2748.0/B71*100)</f>
        <v/>
      </c>
      <c r="D71" s="19" t="n">
        <v>394</v>
      </c>
      <c r="E71" s="18" t="n">
        <v>20.30010557</v>
      </c>
      <c r="F71" s="20" t="n">
        <v>2.05775359</v>
      </c>
      <c r="G71" s="18" t="n">
        <v>79.28472841999999</v>
      </c>
      <c r="H71" s="20" t="n">
        <v>2.14704485</v>
      </c>
      <c r="I71" s="18" t="s">
        <v>567</v>
      </c>
      <c r="J71" s="20" t="s">
        <v>567</v>
      </c>
      <c r="K71" s="18" t="n">
        <v>0.41516601</v>
      </c>
      <c r="L71" s="20" t="n">
        <v>0.29302454</v>
      </c>
      <c r="M71" s="18" t="n">
        <v>0</v>
      </c>
      <c r="N71" s="20" t="n">
        <v>0</v>
      </c>
      <c r="O71" s="18" t="n">
        <v>0</v>
      </c>
      <c r="P71" s="20" t="n">
        <v>0</v>
      </c>
      <c r="Q71" s="18" t="n">
        <v>0</v>
      </c>
      <c r="R71" s="20" t="n">
        <v>0</v>
      </c>
    </row>
    <row r="72" spans="1:18">
      <c r="A72" s="15" t="s">
        <v>632</v>
      </c>
      <c r="B72" s="17" t="n">
        <v>3889</v>
      </c>
      <c r="C72" s="18">
        <f>(3470.0/B72*100)</f>
        <v/>
      </c>
      <c r="D72" s="19" t="n">
        <v>419</v>
      </c>
      <c r="E72" s="18" t="n">
        <v>31.00048011</v>
      </c>
      <c r="F72" s="20" t="n">
        <v>2.72092359</v>
      </c>
      <c r="G72" s="18" t="n">
        <v>68.37209136</v>
      </c>
      <c r="H72" s="20" t="n">
        <v>2.6366434</v>
      </c>
      <c r="I72" s="18" t="s">
        <v>567</v>
      </c>
      <c r="J72" s="20" t="s">
        <v>567</v>
      </c>
      <c r="K72" s="18" t="n">
        <v>0.43075336</v>
      </c>
      <c r="L72" s="20" t="n">
        <v>0.4321234</v>
      </c>
      <c r="M72" s="18" t="n">
        <v>0</v>
      </c>
      <c r="N72" s="20" t="n">
        <v>0</v>
      </c>
      <c r="O72" s="18" t="n">
        <v>0</v>
      </c>
      <c r="P72" s="20" t="n">
        <v>0</v>
      </c>
      <c r="Q72" s="18" t="n">
        <v>0.19667516</v>
      </c>
      <c r="R72" s="20" t="n">
        <v>0.1972987</v>
      </c>
    </row>
    <row r="73" spans="1:18">
      <c r="A73" s="15" t="s">
        <v>633</v>
      </c>
      <c r="B73" s="17" t="n">
        <v>3597</v>
      </c>
      <c r="C73" s="18">
        <f>(3229.0/B73*100)</f>
        <v/>
      </c>
      <c r="D73" s="19" t="n">
        <v>368</v>
      </c>
      <c r="E73" s="18" t="n">
        <v>55.82012456</v>
      </c>
      <c r="F73" s="20" t="n">
        <v>3.61464132</v>
      </c>
      <c r="G73" s="18" t="n">
        <v>43.60537959</v>
      </c>
      <c r="H73" s="20" t="n">
        <v>3.61584116</v>
      </c>
      <c r="I73" s="18" t="s">
        <v>567</v>
      </c>
      <c r="J73" s="20" t="s">
        <v>567</v>
      </c>
      <c r="K73" s="18" t="n">
        <v>0.16782116</v>
      </c>
      <c r="L73" s="20" t="n">
        <v>0.16793064</v>
      </c>
      <c r="M73" s="18" t="n">
        <v>0</v>
      </c>
      <c r="N73" s="20" t="n">
        <v>0</v>
      </c>
      <c r="O73" s="18" t="n">
        <v>0</v>
      </c>
      <c r="P73" s="20" t="n">
        <v>0</v>
      </c>
      <c r="Q73" s="18" t="n">
        <v>0.40667468</v>
      </c>
      <c r="R73" s="20" t="n">
        <v>0.37907416</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(2169.0/B75*100)</f>
        <v/>
      </c>
      <c r="D75" s="19" t="n">
        <v>237</v>
      </c>
      <c r="E75" s="18" t="n">
        <v>45.08989704</v>
      </c>
      <c r="F75" s="20" t="n">
        <v>3.18164321</v>
      </c>
      <c r="G75" s="18" t="n">
        <v>51.64737836</v>
      </c>
      <c r="H75" s="20" t="n">
        <v>2.98901051</v>
      </c>
      <c r="I75" s="18" t="s">
        <v>567</v>
      </c>
      <c r="J75" s="20" t="s">
        <v>567</v>
      </c>
      <c r="K75" s="18" t="n">
        <v>2.41125925</v>
      </c>
      <c r="L75" s="20" t="n">
        <v>0.75196384</v>
      </c>
      <c r="M75" s="18" t="n">
        <v>0</v>
      </c>
      <c r="N75" s="20" t="n">
        <v>0</v>
      </c>
      <c r="O75" s="18" t="n">
        <v>0</v>
      </c>
      <c r="P75" s="20" t="n">
        <v>0</v>
      </c>
      <c r="Q75" s="18" t="n">
        <v>0.85146535</v>
      </c>
      <c r="R75" s="20" t="n">
        <v>0.68662521</v>
      </c>
    </row>
    <row r="76" spans="1:18">
      <c r="A76" s="15" t="s">
        <v>636</v>
      </c>
      <c r="B76" s="17" t="n">
        <v>7052</v>
      </c>
      <c r="C76" s="18">
        <f>(6262.0/B76*100)</f>
        <v/>
      </c>
      <c r="D76" s="19" t="n">
        <v>790</v>
      </c>
      <c r="E76" s="18" t="n">
        <v>54.81698219</v>
      </c>
      <c r="F76" s="20" t="n">
        <v>2.38086074</v>
      </c>
      <c r="G76" s="18" t="n">
        <v>42.14604501</v>
      </c>
      <c r="H76" s="20" t="n">
        <v>2.15520209</v>
      </c>
      <c r="I76" s="18" t="s">
        <v>567</v>
      </c>
      <c r="J76" s="20" t="s">
        <v>567</v>
      </c>
      <c r="K76" s="18" t="n">
        <v>0.90768396</v>
      </c>
      <c r="L76" s="20" t="n">
        <v>0.39111864</v>
      </c>
      <c r="M76" s="18" t="n">
        <v>0</v>
      </c>
      <c r="N76" s="20" t="n">
        <v>0</v>
      </c>
      <c r="O76" s="18" t="n">
        <v>0</v>
      </c>
      <c r="P76" s="20" t="n">
        <v>0</v>
      </c>
      <c r="Q76" s="18" t="n">
        <v>2.12928884</v>
      </c>
      <c r="R76" s="20" t="n">
        <v>0.77442941</v>
      </c>
    </row>
    <row r="77" spans="1:18">
      <c r="A77" s="15" t="s">
        <v>637</v>
      </c>
      <c r="B77" s="17" t="n">
        <v>2908</v>
      </c>
      <c r="C77" s="18">
        <f>(2628.0/B77*100)</f>
        <v/>
      </c>
      <c r="D77" s="19" t="n">
        <v>280</v>
      </c>
      <c r="E77" s="18" t="n">
        <v>50.23306183</v>
      </c>
      <c r="F77" s="20" t="n">
        <v>2.76095047</v>
      </c>
      <c r="G77" s="18" t="n">
        <v>44.97163273</v>
      </c>
      <c r="H77" s="20" t="n">
        <v>3.08800997</v>
      </c>
      <c r="I77" s="18" t="s">
        <v>567</v>
      </c>
      <c r="J77" s="20" t="s">
        <v>567</v>
      </c>
      <c r="K77" s="18" t="n">
        <v>3.69283721</v>
      </c>
      <c r="L77" s="20" t="n">
        <v>1.20092035</v>
      </c>
      <c r="M77" s="18" t="n">
        <v>0</v>
      </c>
      <c r="N77" s="20" t="n">
        <v>0</v>
      </c>
      <c r="O77" s="18" t="n">
        <v>0</v>
      </c>
      <c r="P77" s="20" t="n">
        <v>0</v>
      </c>
      <c r="Q77" s="18" t="n">
        <v>1.10246822</v>
      </c>
      <c r="R77" s="20" t="n">
        <v>0.72736646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(3728.0/B81*100)</f>
        <v/>
      </c>
      <c r="D81" s="19" t="n">
        <v>435</v>
      </c>
      <c r="E81" s="18" t="n">
        <v>47.48570347</v>
      </c>
      <c r="F81" s="20" t="n">
        <v>2.90482441</v>
      </c>
      <c r="G81" s="18" t="n">
        <v>51.74788232</v>
      </c>
      <c r="H81" s="20" t="n">
        <v>2.9163174</v>
      </c>
      <c r="I81" s="18" t="s">
        <v>567</v>
      </c>
      <c r="J81" s="20" t="s">
        <v>567</v>
      </c>
      <c r="K81" s="18" t="n">
        <v>0.32137662</v>
      </c>
      <c r="L81" s="20" t="n">
        <v>0.32240544</v>
      </c>
      <c r="M81" s="18" t="n">
        <v>0</v>
      </c>
      <c r="N81" s="20" t="n">
        <v>0</v>
      </c>
      <c r="O81" s="18" t="n">
        <v>0</v>
      </c>
      <c r="P81" s="20" t="n">
        <v>0</v>
      </c>
      <c r="Q81" s="18" t="n">
        <v>0.44503759</v>
      </c>
      <c r="R81" s="20" t="n">
        <v>0.45758179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(6581.0/B7*100)</f>
        <v/>
      </c>
      <c r="D7" s="19" t="n">
        <v>786</v>
      </c>
      <c r="E7" s="18" t="n">
        <v>53.27822579</v>
      </c>
      <c r="F7" s="20" t="n">
        <v>2.11530604</v>
      </c>
      <c r="G7" s="18" t="n">
        <v>29.08899804</v>
      </c>
      <c r="H7" s="20" t="n">
        <v>1.85184178</v>
      </c>
      <c r="I7" s="18" t="s">
        <v>567</v>
      </c>
      <c r="J7" s="20" t="s">
        <v>567</v>
      </c>
      <c r="K7" s="18" t="n">
        <v>2.92815235</v>
      </c>
      <c r="L7" s="20" t="n">
        <v>0.7535098099999999</v>
      </c>
      <c r="M7" s="18" t="n">
        <v>0</v>
      </c>
      <c r="N7" s="20" t="n">
        <v>0</v>
      </c>
      <c r="O7" s="18" t="n">
        <v>0</v>
      </c>
      <c r="P7" s="20" t="n">
        <v>0</v>
      </c>
      <c r="Q7" s="18" t="n">
        <v>14.70462382</v>
      </c>
      <c r="R7" s="20" t="n">
        <v>1.40551697</v>
      </c>
    </row>
    <row r="8" spans="1:18">
      <c r="A8" s="15" t="s">
        <v>568</v>
      </c>
      <c r="B8" s="17" t="n">
        <v>3564</v>
      </c>
      <c r="C8" s="18">
        <f>(3171.0/B8*100)</f>
        <v/>
      </c>
      <c r="D8" s="19" t="n">
        <v>393</v>
      </c>
      <c r="E8" s="18" t="n">
        <v>41.15850181</v>
      </c>
      <c r="F8" s="20" t="n">
        <v>2.1676041</v>
      </c>
      <c r="G8" s="18" t="n">
        <v>45.76195913</v>
      </c>
      <c r="H8" s="20" t="n">
        <v>2.57976617</v>
      </c>
      <c r="I8" s="18" t="s">
        <v>567</v>
      </c>
      <c r="J8" s="20" t="s">
        <v>567</v>
      </c>
      <c r="K8" s="18" t="n">
        <v>1.33525729</v>
      </c>
      <c r="L8" s="20" t="n">
        <v>0.5650561</v>
      </c>
      <c r="M8" s="18" t="n">
        <v>0</v>
      </c>
      <c r="N8" s="20" t="n">
        <v>0</v>
      </c>
      <c r="O8" s="18" t="n">
        <v>0</v>
      </c>
      <c r="P8" s="20" t="n">
        <v>0</v>
      </c>
      <c r="Q8" s="18" t="n">
        <v>11.74428178</v>
      </c>
      <c r="R8" s="20" t="n">
        <v>1.74938237</v>
      </c>
    </row>
    <row r="9" spans="1:18">
      <c r="A9" s="15" t="s">
        <v>569</v>
      </c>
      <c r="B9" s="17" t="n">
        <v>4899</v>
      </c>
      <c r="C9" s="18">
        <f>(4411.0/B9*100)</f>
        <v/>
      </c>
      <c r="D9" s="19" t="n">
        <v>488</v>
      </c>
      <c r="E9" s="18" t="n">
        <v>35.20347707</v>
      </c>
      <c r="F9" s="20" t="n">
        <v>2.31116089</v>
      </c>
      <c r="G9" s="18" t="n">
        <v>44.08732159</v>
      </c>
      <c r="H9" s="20" t="n">
        <v>2.29054326</v>
      </c>
      <c r="I9" s="18" t="s">
        <v>567</v>
      </c>
      <c r="J9" s="20" t="s">
        <v>567</v>
      </c>
      <c r="K9" s="18" t="n">
        <v>1.61930754</v>
      </c>
      <c r="L9" s="20" t="n">
        <v>0.64279307</v>
      </c>
      <c r="M9" s="18" t="n">
        <v>0</v>
      </c>
      <c r="N9" s="20" t="n">
        <v>0</v>
      </c>
      <c r="O9" s="18" t="n">
        <v>0</v>
      </c>
      <c r="P9" s="20" t="n">
        <v>0</v>
      </c>
      <c r="Q9" s="18" t="n">
        <v>19.0898938</v>
      </c>
      <c r="R9" s="20" t="n">
        <v>1.99041419</v>
      </c>
    </row>
    <row r="10" spans="1:18">
      <c r="A10" s="15" t="s">
        <v>570</v>
      </c>
      <c r="B10" s="17" t="n">
        <v>10036</v>
      </c>
      <c r="C10" s="18">
        <f>(8911.0/B10*100)</f>
        <v/>
      </c>
      <c r="D10" s="19" t="n">
        <v>1125</v>
      </c>
      <c r="E10" s="18" t="n">
        <v>46.06970317</v>
      </c>
      <c r="F10" s="20" t="n">
        <v>2.07883001</v>
      </c>
      <c r="G10" s="18" t="n">
        <v>44.92680071</v>
      </c>
      <c r="H10" s="20" t="n">
        <v>2.05885597</v>
      </c>
      <c r="I10" s="18" t="s">
        <v>567</v>
      </c>
      <c r="J10" s="20" t="s">
        <v>567</v>
      </c>
      <c r="K10" s="18" t="n">
        <v>0.94870744</v>
      </c>
      <c r="L10" s="20" t="n">
        <v>0.42546243</v>
      </c>
      <c r="M10" s="18" t="n">
        <v>0</v>
      </c>
      <c r="N10" s="20" t="n">
        <v>0</v>
      </c>
      <c r="O10" s="18" t="n">
        <v>0</v>
      </c>
      <c r="P10" s="20" t="n">
        <v>0</v>
      </c>
      <c r="Q10" s="18" t="n">
        <v>8.05478868</v>
      </c>
      <c r="R10" s="20" t="n">
        <v>1.19487928</v>
      </c>
    </row>
    <row r="11" spans="1:18">
      <c r="A11" s="15" t="s">
        <v>571</v>
      </c>
      <c r="B11" s="17" t="n">
        <v>3553</v>
      </c>
      <c r="C11" s="18">
        <f>(3173.0/B11*100)</f>
        <v/>
      </c>
      <c r="D11" s="19" t="n">
        <v>380</v>
      </c>
      <c r="E11" s="18" t="n">
        <v>43.90883959</v>
      </c>
      <c r="F11" s="20" t="n">
        <v>2.80227781</v>
      </c>
      <c r="G11" s="18" t="n">
        <v>25.32627775</v>
      </c>
      <c r="H11" s="20" t="n">
        <v>2.20949808</v>
      </c>
      <c r="I11" s="18" t="s">
        <v>567</v>
      </c>
      <c r="J11" s="20" t="s">
        <v>567</v>
      </c>
      <c r="K11" s="18" t="n">
        <v>11.73452048</v>
      </c>
      <c r="L11" s="20" t="n">
        <v>1.95475281</v>
      </c>
      <c r="M11" s="18" t="n">
        <v>0.03714376</v>
      </c>
      <c r="N11" s="20" t="n">
        <v>0.03759041</v>
      </c>
      <c r="O11" s="18" t="n">
        <v>0</v>
      </c>
      <c r="P11" s="20" t="n">
        <v>0</v>
      </c>
      <c r="Q11" s="18" t="n">
        <v>18.99321842</v>
      </c>
      <c r="R11" s="20" t="n">
        <v>2.25596752</v>
      </c>
    </row>
    <row r="12" spans="1:18">
      <c r="A12" s="15" t="s">
        <v>572</v>
      </c>
      <c r="B12" s="17" t="n">
        <v>3472</v>
      </c>
      <c r="C12" s="18">
        <f>(3085.0/B12*100)</f>
        <v/>
      </c>
      <c r="D12" s="19" t="n">
        <v>387</v>
      </c>
      <c r="E12" s="18" t="n">
        <v>43.11692971</v>
      </c>
      <c r="F12" s="20" t="n">
        <v>2.81527576</v>
      </c>
      <c r="G12" s="18" t="n">
        <v>31.72008322</v>
      </c>
      <c r="H12" s="20" t="n">
        <v>2.65707852</v>
      </c>
      <c r="I12" s="18" t="s">
        <v>567</v>
      </c>
      <c r="J12" s="20" t="s">
        <v>567</v>
      </c>
      <c r="K12" s="18" t="n">
        <v>2.246388</v>
      </c>
      <c r="L12" s="20" t="n">
        <v>0.8514826599999999</v>
      </c>
      <c r="M12" s="18" t="n">
        <v>0</v>
      </c>
      <c r="N12" s="20" t="n">
        <v>0</v>
      </c>
      <c r="O12" s="18" t="n">
        <v>0</v>
      </c>
      <c r="P12" s="20" t="n">
        <v>0</v>
      </c>
      <c r="Q12" s="18" t="n">
        <v>22.91659906</v>
      </c>
      <c r="R12" s="20" t="n">
        <v>2.34621781</v>
      </c>
    </row>
    <row r="13" spans="1:18">
      <c r="A13" s="15" t="s">
        <v>573</v>
      </c>
      <c r="B13" s="17" t="n">
        <v>3559</v>
      </c>
      <c r="C13" s="18">
        <f>(3206.0/B13*100)</f>
        <v/>
      </c>
      <c r="D13" s="19" t="n">
        <v>353</v>
      </c>
      <c r="E13" s="18" t="n">
        <v>43.42009159</v>
      </c>
      <c r="F13" s="20" t="n">
        <v>3.27625591</v>
      </c>
      <c r="G13" s="18" t="n">
        <v>42.43943729</v>
      </c>
      <c r="H13" s="20" t="n">
        <v>3.06971296</v>
      </c>
      <c r="I13" s="18" t="s">
        <v>567</v>
      </c>
      <c r="J13" s="20" t="s">
        <v>567</v>
      </c>
      <c r="K13" s="18" t="n">
        <v>1.33552954</v>
      </c>
      <c r="L13" s="20" t="n">
        <v>0.73272845</v>
      </c>
      <c r="M13" s="18" t="n">
        <v>0</v>
      </c>
      <c r="N13" s="20" t="n">
        <v>0</v>
      </c>
      <c r="O13" s="18" t="n">
        <v>0</v>
      </c>
      <c r="P13" s="20" t="n">
        <v>0</v>
      </c>
      <c r="Q13" s="18" t="n">
        <v>12.80494158</v>
      </c>
      <c r="R13" s="20" t="n">
        <v>2.29436335</v>
      </c>
    </row>
    <row r="14" spans="1:18">
      <c r="A14" s="15" t="s">
        <v>574</v>
      </c>
      <c r="B14" s="17" t="n">
        <v>2799</v>
      </c>
      <c r="C14" s="18">
        <f>(2469.0/B14*100)</f>
        <v/>
      </c>
      <c r="D14" s="19" t="n">
        <v>330</v>
      </c>
      <c r="E14" s="18" t="n">
        <v>41.49924738</v>
      </c>
      <c r="F14" s="20" t="n">
        <v>2.87807533</v>
      </c>
      <c r="G14" s="18" t="n">
        <v>50.60843435</v>
      </c>
      <c r="H14" s="20" t="n">
        <v>2.93293278</v>
      </c>
      <c r="I14" s="18" t="s">
        <v>567</v>
      </c>
      <c r="J14" s="20" t="s">
        <v>567</v>
      </c>
      <c r="K14" s="18" t="n">
        <v>1.5858201</v>
      </c>
      <c r="L14" s="20" t="n">
        <v>0.64121112</v>
      </c>
      <c r="M14" s="18" t="n">
        <v>0</v>
      </c>
      <c r="N14" s="20" t="n">
        <v>0</v>
      </c>
      <c r="O14" s="18" t="n">
        <v>0</v>
      </c>
      <c r="P14" s="20" t="n">
        <v>0</v>
      </c>
      <c r="Q14" s="18" t="n">
        <v>6.30649817</v>
      </c>
      <c r="R14" s="20" t="n">
        <v>1.37863157</v>
      </c>
    </row>
    <row r="15" spans="1:18">
      <c r="A15" s="15" t="s">
        <v>575</v>
      </c>
      <c r="B15" s="17" t="n">
        <v>3019</v>
      </c>
      <c r="C15" s="18">
        <f>(2701.0/B15*100)</f>
        <v/>
      </c>
      <c r="D15" s="19" t="n">
        <v>318</v>
      </c>
      <c r="E15" s="18" t="n">
        <v>44.15755407</v>
      </c>
      <c r="F15" s="20" t="n">
        <v>3.11465984</v>
      </c>
      <c r="G15" s="18" t="n">
        <v>47.33861289</v>
      </c>
      <c r="H15" s="20" t="n">
        <v>3.13180255</v>
      </c>
      <c r="I15" s="18" t="s">
        <v>567</v>
      </c>
      <c r="J15" s="20" t="s">
        <v>567</v>
      </c>
      <c r="K15" s="18" t="n">
        <v>2.2028946</v>
      </c>
      <c r="L15" s="20" t="n">
        <v>0.79034377</v>
      </c>
      <c r="M15" s="18" t="n">
        <v>0</v>
      </c>
      <c r="N15" s="20" t="n">
        <v>0</v>
      </c>
      <c r="O15" s="18" t="n">
        <v>0</v>
      </c>
      <c r="P15" s="20" t="n">
        <v>0</v>
      </c>
      <c r="Q15" s="18" t="n">
        <v>6.30093843</v>
      </c>
      <c r="R15" s="20" t="n">
        <v>1.28634105</v>
      </c>
    </row>
    <row r="16" spans="1:18">
      <c r="A16" s="15" t="s">
        <v>576</v>
      </c>
      <c r="B16" s="17" t="n">
        <v>2997</v>
      </c>
      <c r="C16" s="18">
        <f>(2650.0/B16*100)</f>
        <v/>
      </c>
      <c r="D16" s="19" t="n">
        <v>347</v>
      </c>
      <c r="E16" s="18" t="n">
        <v>33.61145274</v>
      </c>
      <c r="F16" s="20" t="n">
        <v>2.83910761</v>
      </c>
      <c r="G16" s="18" t="n">
        <v>40.63685971</v>
      </c>
      <c r="H16" s="20" t="n">
        <v>2.67836757</v>
      </c>
      <c r="I16" s="18" t="s">
        <v>567</v>
      </c>
      <c r="J16" s="20" t="s">
        <v>567</v>
      </c>
      <c r="K16" s="18" t="n">
        <v>5.73569938</v>
      </c>
      <c r="L16" s="20" t="n">
        <v>1.34066296</v>
      </c>
      <c r="M16" s="18" t="n">
        <v>0</v>
      </c>
      <c r="N16" s="20" t="n">
        <v>0</v>
      </c>
      <c r="O16" s="18" t="n">
        <v>0</v>
      </c>
      <c r="P16" s="20" t="n">
        <v>0</v>
      </c>
      <c r="Q16" s="18" t="n">
        <v>20.01598817</v>
      </c>
      <c r="R16" s="20" t="n">
        <v>2.48980799</v>
      </c>
    </row>
    <row r="17" spans="1:18">
      <c r="A17" s="15" t="s">
        <v>577</v>
      </c>
      <c r="B17" s="17" t="n">
        <v>3307</v>
      </c>
      <c r="C17" s="18">
        <f>(2981.0/B17*100)</f>
        <v/>
      </c>
      <c r="D17" s="19" t="n">
        <v>326</v>
      </c>
      <c r="E17" s="18" t="n">
        <v>37.02929428</v>
      </c>
      <c r="F17" s="20" t="n">
        <v>2.24203212</v>
      </c>
      <c r="G17" s="18" t="n">
        <v>45.56933039</v>
      </c>
      <c r="H17" s="20" t="n">
        <v>2.76384324</v>
      </c>
      <c r="I17" s="18" t="s">
        <v>567</v>
      </c>
      <c r="J17" s="20" t="s">
        <v>567</v>
      </c>
      <c r="K17" s="18" t="n">
        <v>4.42626706</v>
      </c>
      <c r="L17" s="20" t="n">
        <v>1.23934044</v>
      </c>
      <c r="M17" s="18" t="n">
        <v>0</v>
      </c>
      <c r="N17" s="20" t="n">
        <v>0</v>
      </c>
      <c r="O17" s="18" t="n">
        <v>0</v>
      </c>
      <c r="P17" s="20" t="n">
        <v>0</v>
      </c>
      <c r="Q17" s="18" t="n">
        <v>12.97510827</v>
      </c>
      <c r="R17" s="20" t="n">
        <v>1.90217022</v>
      </c>
    </row>
    <row r="18" spans="1:18">
      <c r="A18" s="15" t="s">
        <v>578</v>
      </c>
      <c r="B18" s="17" t="n">
        <v>2826</v>
      </c>
      <c r="C18" s="18">
        <f>(2505.0/B18*100)</f>
        <v/>
      </c>
      <c r="D18" s="19" t="n">
        <v>321</v>
      </c>
      <c r="E18" s="18" t="n">
        <v>44.09951559</v>
      </c>
      <c r="F18" s="20" t="n">
        <v>2.90397769</v>
      </c>
      <c r="G18" s="18" t="n">
        <v>27.10269546</v>
      </c>
      <c r="H18" s="20" t="n">
        <v>2.4195101</v>
      </c>
      <c r="I18" s="18" t="s">
        <v>567</v>
      </c>
      <c r="J18" s="20" t="s">
        <v>567</v>
      </c>
      <c r="K18" s="18" t="n">
        <v>4.33338274</v>
      </c>
      <c r="L18" s="20" t="n">
        <v>1.58491015</v>
      </c>
      <c r="M18" s="18" t="n">
        <v>0</v>
      </c>
      <c r="N18" s="20" t="n">
        <v>0</v>
      </c>
      <c r="O18" s="18" t="n">
        <v>0</v>
      </c>
      <c r="P18" s="20" t="n">
        <v>0</v>
      </c>
      <c r="Q18" s="18" t="n">
        <v>24.46440622</v>
      </c>
      <c r="R18" s="20" t="n">
        <v>3.06015543</v>
      </c>
    </row>
    <row r="19" spans="1:18">
      <c r="A19" s="15" t="s">
        <v>579</v>
      </c>
      <c r="B19" s="17" t="n">
        <v>2808</v>
      </c>
      <c r="C19" s="18">
        <f>(2511.0/B19*100)</f>
        <v/>
      </c>
      <c r="D19" s="19" t="n">
        <v>297</v>
      </c>
      <c r="E19" s="18" t="n">
        <v>50.893607</v>
      </c>
      <c r="F19" s="20" t="n">
        <v>3.32027611</v>
      </c>
      <c r="G19" s="18" t="n">
        <v>32.87093271</v>
      </c>
      <c r="H19" s="20" t="n">
        <v>2.89444891</v>
      </c>
      <c r="I19" s="18" t="s">
        <v>567</v>
      </c>
      <c r="J19" s="20" t="s">
        <v>567</v>
      </c>
      <c r="K19" s="18" t="n">
        <v>2.94209832</v>
      </c>
      <c r="L19" s="20" t="n">
        <v>0.9739774</v>
      </c>
      <c r="M19" s="18" t="n">
        <v>0</v>
      </c>
      <c r="N19" s="20" t="n">
        <v>0</v>
      </c>
      <c r="O19" s="18" t="n">
        <v>0</v>
      </c>
      <c r="P19" s="20" t="n">
        <v>0</v>
      </c>
      <c r="Q19" s="18" t="n">
        <v>13.29336197</v>
      </c>
      <c r="R19" s="20" t="n">
        <v>2.31494611</v>
      </c>
    </row>
    <row r="20" spans="1:18">
      <c r="A20" s="15" t="s">
        <v>580</v>
      </c>
      <c r="B20" s="17" t="n">
        <v>1630</v>
      </c>
      <c r="C20" s="18">
        <f>(1452.0/B20*100)</f>
        <v/>
      </c>
      <c r="D20" s="19" t="n">
        <v>178</v>
      </c>
      <c r="E20" s="18" t="n">
        <v>51.38398729</v>
      </c>
      <c r="F20" s="20" t="n">
        <v>3.65789722</v>
      </c>
      <c r="G20" s="18" t="n">
        <v>27.53650432</v>
      </c>
      <c r="H20" s="20" t="n">
        <v>3.58016632</v>
      </c>
      <c r="I20" s="18" t="s">
        <v>567</v>
      </c>
      <c r="J20" s="20" t="s">
        <v>567</v>
      </c>
      <c r="K20" s="18" t="n">
        <v>4.86609184</v>
      </c>
      <c r="L20" s="20" t="n">
        <v>1.62107857</v>
      </c>
      <c r="M20" s="18" t="n">
        <v>2.54516238</v>
      </c>
      <c r="N20" s="20" t="n">
        <v>0.41062499</v>
      </c>
      <c r="O20" s="18" t="n">
        <v>0</v>
      </c>
      <c r="P20" s="20" t="n">
        <v>0</v>
      </c>
      <c r="Q20" s="18" t="n">
        <v>13.66825417</v>
      </c>
      <c r="R20" s="20" t="n">
        <v>2.61489077</v>
      </c>
    </row>
    <row r="21" spans="1:18">
      <c r="A21" s="15" t="s">
        <v>581</v>
      </c>
      <c r="B21" s="17" t="n">
        <v>2908</v>
      </c>
      <c r="C21" s="18">
        <f>(2569.0/B21*100)</f>
        <v/>
      </c>
      <c r="D21" s="19" t="n">
        <v>339</v>
      </c>
      <c r="E21" s="18" t="n">
        <v>46.97763714</v>
      </c>
      <c r="F21" s="20" t="n">
        <v>2.90131638</v>
      </c>
      <c r="G21" s="18" t="n">
        <v>38.78145774</v>
      </c>
      <c r="H21" s="20" t="n">
        <v>3.14094166</v>
      </c>
      <c r="I21" s="18" t="s">
        <v>567</v>
      </c>
      <c r="J21" s="20" t="s">
        <v>567</v>
      </c>
      <c r="K21" s="18" t="n">
        <v>2.24580001</v>
      </c>
      <c r="L21" s="20" t="n">
        <v>0.84557167</v>
      </c>
      <c r="M21" s="18" t="n">
        <v>0</v>
      </c>
      <c r="N21" s="20" t="n">
        <v>0</v>
      </c>
      <c r="O21" s="18" t="n">
        <v>0</v>
      </c>
      <c r="P21" s="20" t="n">
        <v>0</v>
      </c>
      <c r="Q21" s="18" t="n">
        <v>11.99510511</v>
      </c>
      <c r="R21" s="20" t="n">
        <v>2.06853848</v>
      </c>
    </row>
    <row r="22" spans="1:18">
      <c r="A22" s="15" t="s">
        <v>582</v>
      </c>
      <c r="B22" s="17" t="n">
        <v>2931</v>
      </c>
      <c r="C22" s="18">
        <f>(2616.0/B22*100)</f>
        <v/>
      </c>
      <c r="D22" s="19" t="n">
        <v>315</v>
      </c>
      <c r="E22" s="18" t="n">
        <v>35.10784013</v>
      </c>
      <c r="F22" s="20" t="n">
        <v>3.37999941</v>
      </c>
      <c r="G22" s="18" t="n">
        <v>47.53276895</v>
      </c>
      <c r="H22" s="20" t="n">
        <v>3.32330536</v>
      </c>
      <c r="I22" s="18" t="s">
        <v>567</v>
      </c>
      <c r="J22" s="20" t="s">
        <v>567</v>
      </c>
      <c r="K22" s="18" t="n">
        <v>3.03290937</v>
      </c>
      <c r="L22" s="20" t="n">
        <v>1.11333137</v>
      </c>
      <c r="M22" s="18" t="n">
        <v>0</v>
      </c>
      <c r="N22" s="20" t="n">
        <v>0</v>
      </c>
      <c r="O22" s="18" t="n">
        <v>0</v>
      </c>
      <c r="P22" s="20" t="n">
        <v>0</v>
      </c>
      <c r="Q22" s="18" t="n">
        <v>14.32648154</v>
      </c>
      <c r="R22" s="20" t="n">
        <v>2.70275907</v>
      </c>
    </row>
    <row r="23" spans="1:18">
      <c r="A23" s="15" t="s">
        <v>583</v>
      </c>
      <c r="B23" s="17" t="n">
        <v>5791</v>
      </c>
      <c r="C23" s="18">
        <f>(5200.0/B23*100)</f>
        <v/>
      </c>
      <c r="D23" s="19" t="n">
        <v>591</v>
      </c>
      <c r="E23" s="18" t="n">
        <v>38.95318312</v>
      </c>
      <c r="F23" s="20" t="n">
        <v>3.04830826</v>
      </c>
      <c r="G23" s="18" t="n">
        <v>31.48544232</v>
      </c>
      <c r="H23" s="20" t="n">
        <v>2.71546991</v>
      </c>
      <c r="I23" s="18" t="s">
        <v>567</v>
      </c>
      <c r="J23" s="20" t="s">
        <v>567</v>
      </c>
      <c r="K23" s="18" t="n">
        <v>5.42109034</v>
      </c>
      <c r="L23" s="20" t="n">
        <v>1.47759038</v>
      </c>
      <c r="M23" s="18" t="n">
        <v>0</v>
      </c>
      <c r="N23" s="20" t="n">
        <v>0</v>
      </c>
      <c r="O23" s="18" t="n">
        <v>0</v>
      </c>
      <c r="P23" s="20" t="n">
        <v>0</v>
      </c>
      <c r="Q23" s="18" t="n">
        <v>24.14028422</v>
      </c>
      <c r="R23" s="20" t="n">
        <v>2.89646032</v>
      </c>
    </row>
    <row r="24" spans="1:18">
      <c r="A24" s="15" t="s">
        <v>584</v>
      </c>
      <c r="B24" s="17" t="n">
        <v>3338</v>
      </c>
      <c r="C24" s="18">
        <f>(2965.0/B24*100)</f>
        <v/>
      </c>
      <c r="D24" s="19" t="n">
        <v>373</v>
      </c>
      <c r="E24" s="18" t="n">
        <v>46.48732959</v>
      </c>
      <c r="F24" s="20" t="n">
        <v>2.70945969</v>
      </c>
      <c r="G24" s="18" t="n">
        <v>29.34075722</v>
      </c>
      <c r="H24" s="20" t="n">
        <v>2.73455654</v>
      </c>
      <c r="I24" s="18" t="s">
        <v>567</v>
      </c>
      <c r="J24" s="20" t="s">
        <v>567</v>
      </c>
      <c r="K24" s="18" t="n">
        <v>1.31748088</v>
      </c>
      <c r="L24" s="20" t="n">
        <v>0.58192469</v>
      </c>
      <c r="M24" s="18" t="n">
        <v>0</v>
      </c>
      <c r="N24" s="20" t="n">
        <v>0</v>
      </c>
      <c r="O24" s="18" t="n">
        <v>0</v>
      </c>
      <c r="P24" s="20" t="n">
        <v>0</v>
      </c>
      <c r="Q24" s="18" t="n">
        <v>22.8544323</v>
      </c>
      <c r="R24" s="20" t="n">
        <v>2.02113435</v>
      </c>
    </row>
    <row r="25" spans="1:18">
      <c r="A25" s="15" t="s">
        <v>585</v>
      </c>
      <c r="B25" s="17" t="n">
        <v>2912</v>
      </c>
      <c r="C25" s="18">
        <f>(2603.0/B25*100)</f>
        <v/>
      </c>
      <c r="D25" s="19" t="n">
        <v>309</v>
      </c>
      <c r="E25" s="18" t="n">
        <v>42.41236299</v>
      </c>
      <c r="F25" s="20" t="n">
        <v>2.48863137</v>
      </c>
      <c r="G25" s="18" t="n">
        <v>37.48140832</v>
      </c>
      <c r="H25" s="20" t="n">
        <v>2.63896151</v>
      </c>
      <c r="I25" s="18" t="s">
        <v>567</v>
      </c>
      <c r="J25" s="20" t="s">
        <v>567</v>
      </c>
      <c r="K25" s="18" t="n">
        <v>4.5053675</v>
      </c>
      <c r="L25" s="20" t="n">
        <v>1.15861213</v>
      </c>
      <c r="M25" s="18" t="n">
        <v>0</v>
      </c>
      <c r="N25" s="20" t="n">
        <v>0</v>
      </c>
      <c r="O25" s="18" t="n">
        <v>0</v>
      </c>
      <c r="P25" s="20" t="n">
        <v>0</v>
      </c>
      <c r="Q25" s="18" t="n">
        <v>15.60086119</v>
      </c>
      <c r="R25" s="20" t="n">
        <v>1.96132084</v>
      </c>
    </row>
    <row r="26" spans="1:18">
      <c r="A26" s="15" t="s">
        <v>586</v>
      </c>
      <c r="B26" s="17" t="n">
        <v>2450</v>
      </c>
      <c r="C26" s="18">
        <f>(2169.0/B26*100)</f>
        <v/>
      </c>
      <c r="D26" s="19" t="n">
        <v>281</v>
      </c>
      <c r="E26" s="18" t="n">
        <v>56.97422782</v>
      </c>
      <c r="F26" s="20" t="n">
        <v>3.16514578</v>
      </c>
      <c r="G26" s="18" t="n">
        <v>29.44438894</v>
      </c>
      <c r="H26" s="20" t="n">
        <v>2.65600907</v>
      </c>
      <c r="I26" s="18" t="s">
        <v>567</v>
      </c>
      <c r="J26" s="20" t="s">
        <v>567</v>
      </c>
      <c r="K26" s="18" t="n">
        <v>1.64628051</v>
      </c>
      <c r="L26" s="20" t="n">
        <v>0.87289029</v>
      </c>
      <c r="M26" s="18" t="n">
        <v>0</v>
      </c>
      <c r="N26" s="20" t="n">
        <v>0</v>
      </c>
      <c r="O26" s="18" t="n">
        <v>0</v>
      </c>
      <c r="P26" s="20" t="n">
        <v>0</v>
      </c>
      <c r="Q26" s="18" t="n">
        <v>11.93510273</v>
      </c>
      <c r="R26" s="20" t="n">
        <v>2.2227761</v>
      </c>
    </row>
    <row r="27" spans="1:18">
      <c r="A27" s="15" t="s">
        <v>587</v>
      </c>
      <c r="B27" s="17" t="n">
        <v>2616</v>
      </c>
      <c r="C27" s="18">
        <f>(2311.0/B27*100)</f>
        <v/>
      </c>
      <c r="D27" s="19" t="n">
        <v>305</v>
      </c>
      <c r="E27" s="18" t="n">
        <v>40.65468808</v>
      </c>
      <c r="F27" s="20" t="n">
        <v>3.19917926</v>
      </c>
      <c r="G27" s="18" t="n">
        <v>35.31697553</v>
      </c>
      <c r="H27" s="20" t="n">
        <v>2.61583996</v>
      </c>
      <c r="I27" s="18" t="s">
        <v>567</v>
      </c>
      <c r="J27" s="20" t="s">
        <v>567</v>
      </c>
      <c r="K27" s="18" t="n">
        <v>2.27292082</v>
      </c>
      <c r="L27" s="20" t="n">
        <v>0.8495808500000001</v>
      </c>
      <c r="M27" s="18" t="n">
        <v>0</v>
      </c>
      <c r="N27" s="20" t="n">
        <v>0</v>
      </c>
      <c r="O27" s="18" t="n">
        <v>0</v>
      </c>
      <c r="P27" s="20" t="n">
        <v>0</v>
      </c>
      <c r="Q27" s="18" t="n">
        <v>21.75541556</v>
      </c>
      <c r="R27" s="20" t="n">
        <v>2.46140271</v>
      </c>
    </row>
    <row r="28" spans="1:18">
      <c r="A28" s="15" t="s">
        <v>588</v>
      </c>
      <c r="B28" s="17" t="n">
        <v>3765</v>
      </c>
      <c r="C28" s="18">
        <f>(3370.0/B28*100)</f>
        <v/>
      </c>
      <c r="D28" s="19" t="n">
        <v>395</v>
      </c>
      <c r="E28" s="18" t="n">
        <v>60.8867465</v>
      </c>
      <c r="F28" s="20" t="n">
        <v>2.99305999</v>
      </c>
      <c r="G28" s="18" t="n">
        <v>27.5354962</v>
      </c>
      <c r="H28" s="20" t="n">
        <v>2.71427964</v>
      </c>
      <c r="I28" s="18" t="s">
        <v>567</v>
      </c>
      <c r="J28" s="20" t="s">
        <v>567</v>
      </c>
      <c r="K28" s="18" t="n">
        <v>1.92076456</v>
      </c>
      <c r="L28" s="20" t="n">
        <v>0.7357288400000001</v>
      </c>
      <c r="M28" s="18" t="n">
        <v>0</v>
      </c>
      <c r="N28" s="20" t="n">
        <v>0</v>
      </c>
      <c r="O28" s="18" t="n">
        <v>0</v>
      </c>
      <c r="P28" s="20" t="n">
        <v>0</v>
      </c>
      <c r="Q28" s="18" t="n">
        <v>9.65699274</v>
      </c>
      <c r="R28" s="20" t="n">
        <v>1.64789152</v>
      </c>
    </row>
    <row r="29" spans="1:18">
      <c r="A29" s="15" t="s">
        <v>589</v>
      </c>
      <c r="B29" s="17" t="n">
        <v>2685</v>
      </c>
      <c r="C29" s="18">
        <f>(2429.0/B29*100)</f>
        <v/>
      </c>
      <c r="D29" s="19" t="n">
        <v>256</v>
      </c>
      <c r="E29" s="18" t="n">
        <v>51.27134786</v>
      </c>
      <c r="F29" s="20" t="n">
        <v>3.38226701</v>
      </c>
      <c r="G29" s="18" t="n">
        <v>42.90994143</v>
      </c>
      <c r="H29" s="20" t="n">
        <v>3.56257723</v>
      </c>
      <c r="I29" s="18" t="s">
        <v>567</v>
      </c>
      <c r="J29" s="20" t="s">
        <v>567</v>
      </c>
      <c r="K29" s="18" t="n">
        <v>1.30773452</v>
      </c>
      <c r="L29" s="20" t="n">
        <v>0.69183736</v>
      </c>
      <c r="M29" s="18" t="n">
        <v>0</v>
      </c>
      <c r="N29" s="20" t="n">
        <v>0</v>
      </c>
      <c r="O29" s="18" t="n">
        <v>0</v>
      </c>
      <c r="P29" s="20" t="n">
        <v>0</v>
      </c>
      <c r="Q29" s="18" t="n">
        <v>4.51097619</v>
      </c>
      <c r="R29" s="20" t="n">
        <v>1.45801339</v>
      </c>
    </row>
    <row r="30" spans="1:18">
      <c r="A30" s="15" t="s">
        <v>590</v>
      </c>
      <c r="B30" s="17" t="n">
        <v>2263</v>
      </c>
      <c r="C30" s="18">
        <f>(2006.0/B30*100)</f>
        <v/>
      </c>
      <c r="D30" s="19" t="n">
        <v>257</v>
      </c>
      <c r="E30" s="18" t="n">
        <v>46.19596119</v>
      </c>
      <c r="F30" s="20" t="n">
        <v>2.84866457</v>
      </c>
      <c r="G30" s="18" t="n">
        <v>31.82826903</v>
      </c>
      <c r="H30" s="20" t="n">
        <v>2.59387285</v>
      </c>
      <c r="I30" s="18" t="s">
        <v>567</v>
      </c>
      <c r="J30" s="20" t="s">
        <v>567</v>
      </c>
      <c r="K30" s="18" t="n">
        <v>4.96086527</v>
      </c>
      <c r="L30" s="20" t="n">
        <v>1.09596751</v>
      </c>
      <c r="M30" s="18" t="n">
        <v>0</v>
      </c>
      <c r="N30" s="20" t="n">
        <v>0</v>
      </c>
      <c r="O30" s="18" t="n">
        <v>0</v>
      </c>
      <c r="P30" s="20" t="n">
        <v>0</v>
      </c>
      <c r="Q30" s="18" t="n">
        <v>17.01490451</v>
      </c>
      <c r="R30" s="20" t="n">
        <v>2.18322964</v>
      </c>
    </row>
    <row r="31" spans="1:18">
      <c r="A31" s="15" t="s">
        <v>591</v>
      </c>
      <c r="B31" s="17" t="n">
        <v>2750</v>
      </c>
      <c r="C31" s="18">
        <f>(2446.0/B31*100)</f>
        <v/>
      </c>
      <c r="D31" s="19" t="n">
        <v>304</v>
      </c>
      <c r="E31" s="18" t="n">
        <v>36.5146332</v>
      </c>
      <c r="F31" s="20" t="n">
        <v>2.4816273</v>
      </c>
      <c r="G31" s="18" t="n">
        <v>43.80168889</v>
      </c>
      <c r="H31" s="20" t="n">
        <v>2.81263743</v>
      </c>
      <c r="I31" s="18" t="s">
        <v>567</v>
      </c>
      <c r="J31" s="20" t="s">
        <v>567</v>
      </c>
      <c r="K31" s="18" t="n">
        <v>5.38595902</v>
      </c>
      <c r="L31" s="20" t="n">
        <v>1.43919656</v>
      </c>
      <c r="M31" s="18" t="n">
        <v>0</v>
      </c>
      <c r="N31" s="20" t="n">
        <v>0</v>
      </c>
      <c r="O31" s="18" t="n">
        <v>0</v>
      </c>
      <c r="P31" s="20" t="n">
        <v>0</v>
      </c>
      <c r="Q31" s="18" t="n">
        <v>14.2977189</v>
      </c>
      <c r="R31" s="20" t="n">
        <v>1.9294279</v>
      </c>
    </row>
    <row r="32" spans="1:18">
      <c r="A32" s="15" t="s">
        <v>592</v>
      </c>
      <c r="B32" s="17" t="n">
        <v>2269</v>
      </c>
      <c r="C32" s="18">
        <f>(2030.0/B32*100)</f>
        <v/>
      </c>
      <c r="D32" s="19" t="n">
        <v>239</v>
      </c>
      <c r="E32" s="18" t="n">
        <v>43.14662863</v>
      </c>
      <c r="F32" s="20" t="n">
        <v>2.93995758</v>
      </c>
      <c r="G32" s="18" t="n">
        <v>46.70070898</v>
      </c>
      <c r="H32" s="20" t="n">
        <v>3.2889035</v>
      </c>
      <c r="I32" s="18" t="s">
        <v>567</v>
      </c>
      <c r="J32" s="20" t="s">
        <v>567</v>
      </c>
      <c r="K32" s="18" t="n">
        <v>0</v>
      </c>
      <c r="L32" s="20" t="n">
        <v>0</v>
      </c>
      <c r="M32" s="18" t="n">
        <v>0</v>
      </c>
      <c r="N32" s="20" t="n">
        <v>0</v>
      </c>
      <c r="O32" s="18" t="n">
        <v>0</v>
      </c>
      <c r="P32" s="20" t="n">
        <v>0</v>
      </c>
      <c r="Q32" s="18" t="n">
        <v>10.1526624</v>
      </c>
      <c r="R32" s="20" t="n">
        <v>1.80692075</v>
      </c>
    </row>
    <row r="33" spans="1:18">
      <c r="A33" s="15" t="s">
        <v>593</v>
      </c>
      <c r="B33" s="17" t="n">
        <v>3674</v>
      </c>
      <c r="C33" s="18">
        <f>(3270.0/B33*100)</f>
        <v/>
      </c>
      <c r="D33" s="19" t="n">
        <v>404</v>
      </c>
      <c r="E33" s="18" t="n">
        <v>37.38457233</v>
      </c>
      <c r="F33" s="20" t="n">
        <v>2.71763079</v>
      </c>
      <c r="G33" s="18" t="n">
        <v>41.5757312</v>
      </c>
      <c r="H33" s="20" t="n">
        <v>2.53171885</v>
      </c>
      <c r="I33" s="18" t="s">
        <v>567</v>
      </c>
      <c r="J33" s="20" t="s">
        <v>567</v>
      </c>
      <c r="K33" s="18" t="n">
        <v>1.03571619</v>
      </c>
      <c r="L33" s="20" t="n">
        <v>0.45640479</v>
      </c>
      <c r="M33" s="18" t="n">
        <v>0.5550211</v>
      </c>
      <c r="N33" s="20" t="n">
        <v>0.55348168</v>
      </c>
      <c r="O33" s="18" t="n">
        <v>0</v>
      </c>
      <c r="P33" s="20" t="n">
        <v>0</v>
      </c>
      <c r="Q33" s="18" t="n">
        <v>19.44895918</v>
      </c>
      <c r="R33" s="20" t="n">
        <v>2.38940907</v>
      </c>
    </row>
    <row r="34" spans="1:18">
      <c r="A34" s="15" t="s">
        <v>594</v>
      </c>
      <c r="B34" s="17" t="n">
        <v>3315</v>
      </c>
      <c r="C34" s="18">
        <f>(2987.0/B34*100)</f>
        <v/>
      </c>
      <c r="D34" s="19" t="n">
        <v>328</v>
      </c>
      <c r="E34" s="18" t="n">
        <v>47.05494091</v>
      </c>
      <c r="F34" s="20" t="n">
        <v>3.01426728</v>
      </c>
      <c r="G34" s="18" t="n">
        <v>25.32282149</v>
      </c>
      <c r="H34" s="20" t="n">
        <v>2.53270465</v>
      </c>
      <c r="I34" s="18" t="s">
        <v>567</v>
      </c>
      <c r="J34" s="20" t="s">
        <v>567</v>
      </c>
      <c r="K34" s="18" t="n">
        <v>2.503641</v>
      </c>
      <c r="L34" s="20" t="n">
        <v>1.04038022</v>
      </c>
      <c r="M34" s="18" t="n">
        <v>0</v>
      </c>
      <c r="N34" s="20" t="n">
        <v>0</v>
      </c>
      <c r="O34" s="18" t="n">
        <v>0</v>
      </c>
      <c r="P34" s="20" t="n">
        <v>0</v>
      </c>
      <c r="Q34" s="18" t="n">
        <v>25.11859659</v>
      </c>
      <c r="R34" s="20" t="n">
        <v>2.61363539</v>
      </c>
    </row>
    <row r="35" spans="1:18">
      <c r="A35" s="15" t="s">
        <v>595</v>
      </c>
      <c r="B35" s="17" t="n">
        <v>3505</v>
      </c>
      <c r="C35" s="18">
        <f>(3147.0/B35*100)</f>
        <v/>
      </c>
      <c r="D35" s="19" t="n">
        <v>358</v>
      </c>
      <c r="E35" s="18" t="n">
        <v>43.38618944</v>
      </c>
      <c r="F35" s="20" t="n">
        <v>3.1077623</v>
      </c>
      <c r="G35" s="18" t="n">
        <v>46.9162644</v>
      </c>
      <c r="H35" s="20" t="n">
        <v>2.96315493</v>
      </c>
      <c r="I35" s="18" t="s">
        <v>567</v>
      </c>
      <c r="J35" s="20" t="s">
        <v>567</v>
      </c>
      <c r="K35" s="18" t="n">
        <v>0.82076001</v>
      </c>
      <c r="L35" s="20" t="n">
        <v>0.44919901</v>
      </c>
      <c r="M35" s="18" t="n">
        <v>0</v>
      </c>
      <c r="N35" s="20" t="n">
        <v>0</v>
      </c>
      <c r="O35" s="18" t="n">
        <v>0</v>
      </c>
      <c r="P35" s="20" t="n">
        <v>0</v>
      </c>
      <c r="Q35" s="18" t="n">
        <v>8.876786149999999</v>
      </c>
      <c r="R35" s="20" t="n">
        <v>1.61083149</v>
      </c>
    </row>
    <row r="36" spans="1:18">
      <c r="A36" s="15" t="s">
        <v>596</v>
      </c>
      <c r="B36" s="17" t="n">
        <v>3332</v>
      </c>
      <c r="C36" s="18">
        <f>(2944.0/B36*100)</f>
        <v/>
      </c>
      <c r="D36" s="19" t="n">
        <v>388</v>
      </c>
      <c r="E36" s="18" t="n">
        <v>47.34120278</v>
      </c>
      <c r="F36" s="20" t="n">
        <v>2.65400285</v>
      </c>
      <c r="G36" s="18" t="n">
        <v>30.47944105</v>
      </c>
      <c r="H36" s="20" t="n">
        <v>2.49569042</v>
      </c>
      <c r="I36" s="18" t="s">
        <v>567</v>
      </c>
      <c r="J36" s="20" t="s">
        <v>567</v>
      </c>
      <c r="K36" s="18" t="n">
        <v>3.44126351</v>
      </c>
      <c r="L36" s="20" t="n">
        <v>1.19430658</v>
      </c>
      <c r="M36" s="18" t="n">
        <v>0</v>
      </c>
      <c r="N36" s="20" t="n">
        <v>0</v>
      </c>
      <c r="O36" s="18" t="n">
        <v>0</v>
      </c>
      <c r="P36" s="20" t="n">
        <v>0</v>
      </c>
      <c r="Q36" s="18" t="n">
        <v>18.73809266</v>
      </c>
      <c r="R36" s="20" t="n">
        <v>2.41507131</v>
      </c>
    </row>
    <row r="37" spans="1:18">
      <c r="A37" s="15" t="s">
        <v>597</v>
      </c>
      <c r="B37" s="17" t="n">
        <v>2727</v>
      </c>
      <c r="C37" s="18">
        <f>(2433.0/B37*100)</f>
        <v/>
      </c>
      <c r="D37" s="19" t="n">
        <v>294</v>
      </c>
      <c r="E37" s="18" t="n">
        <v>41.37984168</v>
      </c>
      <c r="F37" s="20" t="n">
        <v>3.53405957</v>
      </c>
      <c r="G37" s="18" t="n">
        <v>33.0357076</v>
      </c>
      <c r="H37" s="20" t="n">
        <v>2.83751277</v>
      </c>
      <c r="I37" s="18" t="s">
        <v>567</v>
      </c>
      <c r="J37" s="20" t="s">
        <v>567</v>
      </c>
      <c r="K37" s="18" t="n">
        <v>6.27827505</v>
      </c>
      <c r="L37" s="20" t="n">
        <v>1.89109308</v>
      </c>
      <c r="M37" s="18" t="n">
        <v>0.54377069</v>
      </c>
      <c r="N37" s="20" t="n">
        <v>0.55482758</v>
      </c>
      <c r="O37" s="18" t="n">
        <v>0</v>
      </c>
      <c r="P37" s="20" t="n">
        <v>0</v>
      </c>
      <c r="Q37" s="18" t="n">
        <v>18.76240498</v>
      </c>
      <c r="R37" s="20" t="n">
        <v>2.65625404</v>
      </c>
    </row>
    <row r="38" spans="1:18">
      <c r="A38" s="15" t="s">
        <v>598</v>
      </c>
      <c r="B38" s="17" t="n">
        <v>3053</v>
      </c>
      <c r="C38" s="18">
        <f>(2719.0/B38*100)</f>
        <v/>
      </c>
      <c r="D38" s="19" t="n">
        <v>334</v>
      </c>
      <c r="E38" s="18" t="n">
        <v>39.23118742</v>
      </c>
      <c r="F38" s="20" t="n">
        <v>3.26590175</v>
      </c>
      <c r="G38" s="18" t="n">
        <v>37.60781739</v>
      </c>
      <c r="H38" s="20" t="n">
        <v>3.0344865</v>
      </c>
      <c r="I38" s="18" t="s">
        <v>567</v>
      </c>
      <c r="J38" s="20" t="s">
        <v>567</v>
      </c>
      <c r="K38" s="18" t="n">
        <v>2.95127878</v>
      </c>
      <c r="L38" s="20" t="n">
        <v>1.38988201</v>
      </c>
      <c r="M38" s="18" t="n">
        <v>2.07505006</v>
      </c>
      <c r="N38" s="20" t="n">
        <v>0.8542148899999999</v>
      </c>
      <c r="O38" s="18" t="n">
        <v>0</v>
      </c>
      <c r="P38" s="20" t="n">
        <v>0</v>
      </c>
      <c r="Q38" s="18" t="n">
        <v>18.13466636</v>
      </c>
      <c r="R38" s="20" t="n">
        <v>3.20744414</v>
      </c>
    </row>
    <row r="39" spans="1:18">
      <c r="A39" s="15" t="s">
        <v>599</v>
      </c>
      <c r="B39" s="17" t="n">
        <v>2957</v>
      </c>
      <c r="C39" s="18">
        <f>(2647.0/B39*100)</f>
        <v/>
      </c>
      <c r="D39" s="19" t="n">
        <v>310</v>
      </c>
      <c r="E39" s="18" t="n">
        <v>70.49271367</v>
      </c>
      <c r="F39" s="20" t="n">
        <v>2.95430535</v>
      </c>
      <c r="G39" s="18" t="n">
        <v>15.38029106</v>
      </c>
      <c r="H39" s="20" t="n">
        <v>2.05114685</v>
      </c>
      <c r="I39" s="18" t="s">
        <v>567</v>
      </c>
      <c r="J39" s="20" t="s">
        <v>567</v>
      </c>
      <c r="K39" s="18" t="n">
        <v>1.50777106</v>
      </c>
      <c r="L39" s="20" t="n">
        <v>0.71968518</v>
      </c>
      <c r="M39" s="18" t="n">
        <v>0</v>
      </c>
      <c r="N39" s="20" t="n">
        <v>0</v>
      </c>
      <c r="O39" s="18" t="n">
        <v>0</v>
      </c>
      <c r="P39" s="20" t="n">
        <v>0</v>
      </c>
      <c r="Q39" s="18" t="n">
        <v>12.61922421</v>
      </c>
      <c r="R39" s="20" t="n">
        <v>2.35105196</v>
      </c>
    </row>
    <row r="40" spans="1:18">
      <c r="A40" s="15" t="s">
        <v>600</v>
      </c>
      <c r="B40" s="17" t="n">
        <v>7235</v>
      </c>
      <c r="C40" s="18">
        <f>(6429.0/B40*100)</f>
        <v/>
      </c>
      <c r="D40" s="19" t="n">
        <v>806</v>
      </c>
      <c r="E40" s="18" t="n">
        <v>37.33048989</v>
      </c>
      <c r="F40" s="20" t="n">
        <v>2.78804497</v>
      </c>
      <c r="G40" s="18" t="n">
        <v>41.38066278</v>
      </c>
      <c r="H40" s="20" t="n">
        <v>3.16896655</v>
      </c>
      <c r="I40" s="18" t="s">
        <v>567</v>
      </c>
      <c r="J40" s="20" t="s">
        <v>567</v>
      </c>
      <c r="K40" s="18" t="n">
        <v>2.77059954</v>
      </c>
      <c r="L40" s="20" t="n">
        <v>0.85081582</v>
      </c>
      <c r="M40" s="18" t="n">
        <v>0.51212582</v>
      </c>
      <c r="N40" s="20" t="n">
        <v>0.33558724</v>
      </c>
      <c r="O40" s="18" t="n">
        <v>0</v>
      </c>
      <c r="P40" s="20" t="n">
        <v>0</v>
      </c>
      <c r="Q40" s="18" t="n">
        <v>18.00612197</v>
      </c>
      <c r="R40" s="20" t="n">
        <v>2.32948899</v>
      </c>
    </row>
    <row r="41" spans="1:18">
      <c r="A41" s="15" t="s">
        <v>601</v>
      </c>
      <c r="B41" s="17" t="n">
        <v>2858</v>
      </c>
      <c r="C41" s="18">
        <f>(2513.0/B41*100)</f>
        <v/>
      </c>
      <c r="D41" s="19" t="n">
        <v>345</v>
      </c>
      <c r="E41" s="18" t="n">
        <v>62.67383477</v>
      </c>
      <c r="F41" s="20" t="n">
        <v>2.75831234</v>
      </c>
      <c r="G41" s="18" t="n">
        <v>27.47270363</v>
      </c>
      <c r="H41" s="20" t="n">
        <v>1.92136222</v>
      </c>
      <c r="I41" s="18" t="s">
        <v>567</v>
      </c>
      <c r="J41" s="20" t="s">
        <v>567</v>
      </c>
      <c r="K41" s="18" t="n">
        <v>0.8375579</v>
      </c>
      <c r="L41" s="20" t="n">
        <v>0.45168883</v>
      </c>
      <c r="M41" s="18" t="n">
        <v>0</v>
      </c>
      <c r="N41" s="20" t="n">
        <v>0</v>
      </c>
      <c r="O41" s="18" t="n">
        <v>0</v>
      </c>
      <c r="P41" s="20" t="n">
        <v>0</v>
      </c>
      <c r="Q41" s="18" t="n">
        <v>9.015903700000001</v>
      </c>
      <c r="R41" s="20" t="n">
        <v>1.83219039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(10150.0/B46*100)</f>
        <v/>
      </c>
      <c r="D46" s="19" t="n">
        <v>918</v>
      </c>
      <c r="E46" s="18" t="n">
        <v>57.40049327</v>
      </c>
      <c r="F46" s="20" t="n">
        <v>2.25204243</v>
      </c>
      <c r="G46" s="18" t="n">
        <v>17.14070594</v>
      </c>
      <c r="H46" s="20" t="n">
        <v>1.47247612</v>
      </c>
      <c r="I46" s="18" t="s">
        <v>567</v>
      </c>
      <c r="J46" s="20" t="s">
        <v>567</v>
      </c>
      <c r="K46" s="18" t="n">
        <v>8.131265300000001</v>
      </c>
      <c r="L46" s="20" t="n">
        <v>1.35802561</v>
      </c>
      <c r="M46" s="18" t="n">
        <v>0.10112731</v>
      </c>
      <c r="N46" s="20" t="n">
        <v>0.0924367</v>
      </c>
      <c r="O46" s="18" t="n">
        <v>0</v>
      </c>
      <c r="P46" s="20" t="n">
        <v>0</v>
      </c>
      <c r="Q46" s="18" t="n">
        <v>17.22640818</v>
      </c>
      <c r="R46" s="20" t="n">
        <v>1.5434885</v>
      </c>
    </row>
    <row r="47" spans="1:18">
      <c r="A47" s="15" t="s">
        <v>607</v>
      </c>
      <c r="B47" s="17" t="n">
        <v>3105</v>
      </c>
      <c r="C47" s="18">
        <f>(2762.0/B47*100)</f>
        <v/>
      </c>
      <c r="D47" s="19" t="n">
        <v>343</v>
      </c>
      <c r="E47" s="18" t="n">
        <v>38.55127612</v>
      </c>
      <c r="F47" s="20" t="n">
        <v>2.38922165</v>
      </c>
      <c r="G47" s="18" t="n">
        <v>33.10274907</v>
      </c>
      <c r="H47" s="20" t="n">
        <v>2.45616284</v>
      </c>
      <c r="I47" s="18" t="s">
        <v>567</v>
      </c>
      <c r="J47" s="20" t="s">
        <v>567</v>
      </c>
      <c r="K47" s="18" t="n">
        <v>5.69865252</v>
      </c>
      <c r="L47" s="20" t="n">
        <v>1.31891565</v>
      </c>
      <c r="M47" s="18" t="n">
        <v>0.27262692</v>
      </c>
      <c r="N47" s="20" t="n">
        <v>0.27244187</v>
      </c>
      <c r="O47" s="18" t="n">
        <v>0</v>
      </c>
      <c r="P47" s="20" t="n">
        <v>0</v>
      </c>
      <c r="Q47" s="18" t="n">
        <v>22.37469536</v>
      </c>
      <c r="R47" s="20" t="n">
        <v>2.02925855</v>
      </c>
    </row>
    <row r="48" spans="1:18">
      <c r="A48" s="15" t="s">
        <v>608</v>
      </c>
      <c r="B48" s="17" t="n">
        <v>5159</v>
      </c>
      <c r="C48" s="18">
        <f>(4596.0/B48*100)</f>
        <v/>
      </c>
      <c r="D48" s="19" t="n">
        <v>563</v>
      </c>
      <c r="E48" s="18" t="n">
        <v>61.75907644</v>
      </c>
      <c r="F48" s="20" t="n">
        <v>2.387225</v>
      </c>
      <c r="G48" s="18" t="n">
        <v>25.34934145</v>
      </c>
      <c r="H48" s="20" t="n">
        <v>2.02274349</v>
      </c>
      <c r="I48" s="18" t="s">
        <v>567</v>
      </c>
      <c r="J48" s="20" t="s">
        <v>567</v>
      </c>
      <c r="K48" s="18" t="n">
        <v>1.47132457</v>
      </c>
      <c r="L48" s="20" t="n">
        <v>0.61722685</v>
      </c>
      <c r="M48" s="18" t="n">
        <v>0</v>
      </c>
      <c r="N48" s="20" t="n">
        <v>0</v>
      </c>
      <c r="O48" s="18" t="n">
        <v>0</v>
      </c>
      <c r="P48" s="20" t="n">
        <v>0</v>
      </c>
      <c r="Q48" s="18" t="n">
        <v>11.42025753</v>
      </c>
      <c r="R48" s="20" t="n">
        <v>2.00204402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(5048.0/B50*100)</f>
        <v/>
      </c>
      <c r="D50" s="19" t="n">
        <v>589</v>
      </c>
      <c r="E50" s="18" t="n">
        <v>63.05206344</v>
      </c>
      <c r="F50" s="20" t="n">
        <v>2.25392591</v>
      </c>
      <c r="G50" s="18" t="n">
        <v>22.47547888</v>
      </c>
      <c r="H50" s="20" t="n">
        <v>2.38674476</v>
      </c>
      <c r="I50" s="18" t="s">
        <v>567</v>
      </c>
      <c r="J50" s="20" t="s">
        <v>567</v>
      </c>
      <c r="K50" s="18" t="n">
        <v>2.63935131</v>
      </c>
      <c r="L50" s="20" t="n">
        <v>0.76016069</v>
      </c>
      <c r="M50" s="18" t="n">
        <v>0</v>
      </c>
      <c r="N50" s="20" t="n">
        <v>0</v>
      </c>
      <c r="O50" s="18" t="n">
        <v>0</v>
      </c>
      <c r="P50" s="20" t="n">
        <v>0</v>
      </c>
      <c r="Q50" s="18" t="n">
        <v>11.83310637</v>
      </c>
      <c r="R50" s="20" t="n">
        <v>1.63541965</v>
      </c>
    </row>
    <row r="51" spans="1:18">
      <c r="A51" s="15" t="s">
        <v>611</v>
      </c>
      <c r="B51" s="17" t="n">
        <v>3372</v>
      </c>
      <c r="C51" s="18">
        <f>(3058.0/B51*100)</f>
        <v/>
      </c>
      <c r="D51" s="19" t="n">
        <v>314</v>
      </c>
      <c r="E51" s="18" t="n">
        <v>42.1362521</v>
      </c>
      <c r="F51" s="20" t="n">
        <v>3.25016939</v>
      </c>
      <c r="G51" s="18" t="n">
        <v>40.39293227</v>
      </c>
      <c r="H51" s="20" t="n">
        <v>3.13682903</v>
      </c>
      <c r="I51" s="18" t="s">
        <v>567</v>
      </c>
      <c r="J51" s="20" t="s">
        <v>567</v>
      </c>
      <c r="K51" s="18" t="n">
        <v>3.07429341</v>
      </c>
      <c r="L51" s="20" t="n">
        <v>1.10394881</v>
      </c>
      <c r="M51" s="18" t="n">
        <v>0</v>
      </c>
      <c r="N51" s="20" t="n">
        <v>0</v>
      </c>
      <c r="O51" s="18" t="n">
        <v>0</v>
      </c>
      <c r="P51" s="20" t="n">
        <v>0</v>
      </c>
      <c r="Q51" s="18" t="n">
        <v>14.39652222</v>
      </c>
      <c r="R51" s="20" t="n">
        <v>2.17513432</v>
      </c>
    </row>
    <row r="52" spans="1:18">
      <c r="A52" s="15" t="s">
        <v>612</v>
      </c>
      <c r="B52" s="17" t="n">
        <v>2796</v>
      </c>
      <c r="C52" s="18">
        <f>(2503.0/B52*100)</f>
        <v/>
      </c>
      <c r="D52" s="19" t="n">
        <v>293</v>
      </c>
      <c r="E52" s="18" t="n">
        <v>40.30566464</v>
      </c>
      <c r="F52" s="20" t="n">
        <v>2.48232313</v>
      </c>
      <c r="G52" s="18" t="n">
        <v>28.87832085</v>
      </c>
      <c r="H52" s="20" t="n">
        <v>2.40264447</v>
      </c>
      <c r="I52" s="18" t="s">
        <v>567</v>
      </c>
      <c r="J52" s="20" t="s">
        <v>567</v>
      </c>
      <c r="K52" s="18" t="n">
        <v>4.29666179</v>
      </c>
      <c r="L52" s="20" t="n">
        <v>1.5134017</v>
      </c>
      <c r="M52" s="18" t="n">
        <v>0</v>
      </c>
      <c r="N52" s="20" t="n">
        <v>0</v>
      </c>
      <c r="O52" s="18" t="n">
        <v>0</v>
      </c>
      <c r="P52" s="20" t="n">
        <v>0</v>
      </c>
      <c r="Q52" s="18" t="n">
        <v>26.51935271</v>
      </c>
      <c r="R52" s="20" t="n">
        <v>2.39094978</v>
      </c>
    </row>
    <row r="53" spans="1:18">
      <c r="A53" s="15" t="s">
        <v>613</v>
      </c>
      <c r="B53" s="17" t="n">
        <v>2811</v>
      </c>
      <c r="C53" s="18">
        <f>(2487.0/B53*100)</f>
        <v/>
      </c>
      <c r="D53" s="19" t="n">
        <v>324</v>
      </c>
      <c r="E53" s="18" t="n">
        <v>42.48644302</v>
      </c>
      <c r="F53" s="20" t="n">
        <v>2.92119814</v>
      </c>
      <c r="G53" s="18" t="n">
        <v>20.12537597</v>
      </c>
      <c r="H53" s="20" t="n">
        <v>2.10952445</v>
      </c>
      <c r="I53" s="18" t="s">
        <v>567</v>
      </c>
      <c r="J53" s="20" t="s">
        <v>567</v>
      </c>
      <c r="K53" s="18" t="n">
        <v>6.48836517</v>
      </c>
      <c r="L53" s="20" t="n">
        <v>1.49537602</v>
      </c>
      <c r="M53" s="18" t="n">
        <v>0</v>
      </c>
      <c r="N53" s="20" t="n">
        <v>0</v>
      </c>
      <c r="O53" s="18" t="n">
        <v>0</v>
      </c>
      <c r="P53" s="20" t="n">
        <v>0</v>
      </c>
      <c r="Q53" s="18" t="n">
        <v>30.89981584</v>
      </c>
      <c r="R53" s="20" t="n">
        <v>2.39485067</v>
      </c>
    </row>
    <row r="54" spans="1:18">
      <c r="A54" s="15" t="s">
        <v>614</v>
      </c>
      <c r="B54" s="17" t="n">
        <v>2266</v>
      </c>
      <c r="C54" s="18">
        <f>(2025.0/B54*100)</f>
        <v/>
      </c>
      <c r="D54" s="19" t="n">
        <v>241</v>
      </c>
      <c r="E54" s="18" t="n">
        <v>37.7479214</v>
      </c>
      <c r="F54" s="20" t="n">
        <v>3.05359356</v>
      </c>
      <c r="G54" s="18" t="n">
        <v>6.7506525</v>
      </c>
      <c r="H54" s="20" t="n">
        <v>1.50492324</v>
      </c>
      <c r="I54" s="18" t="s">
        <v>567</v>
      </c>
      <c r="J54" s="20" t="s">
        <v>567</v>
      </c>
      <c r="K54" s="18" t="n">
        <v>31.16994556</v>
      </c>
      <c r="L54" s="20" t="n">
        <v>3.48488521</v>
      </c>
      <c r="M54" s="18" t="n">
        <v>0.37303601</v>
      </c>
      <c r="N54" s="20" t="n">
        <v>0.37323819</v>
      </c>
      <c r="O54" s="18" t="n">
        <v>0</v>
      </c>
      <c r="P54" s="20" t="n">
        <v>0</v>
      </c>
      <c r="Q54" s="18" t="n">
        <v>23.95844453</v>
      </c>
      <c r="R54" s="20" t="n">
        <v>3.57041783</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(2402.0/B56*100)</f>
        <v/>
      </c>
      <c r="D56" s="19" t="n">
        <v>282</v>
      </c>
      <c r="E56" s="18" t="n">
        <v>61.11246802</v>
      </c>
      <c r="F56" s="20" t="n">
        <v>3.07836546</v>
      </c>
      <c r="G56" s="18" t="n">
        <v>31.05297115</v>
      </c>
      <c r="H56" s="20" t="n">
        <v>2.98419893</v>
      </c>
      <c r="I56" s="18" t="s">
        <v>567</v>
      </c>
      <c r="J56" s="20" t="s">
        <v>567</v>
      </c>
      <c r="K56" s="18" t="n">
        <v>0.3679144</v>
      </c>
      <c r="L56" s="20" t="n">
        <v>0.35872804</v>
      </c>
      <c r="M56" s="18" t="n">
        <v>0</v>
      </c>
      <c r="N56" s="20" t="n">
        <v>0</v>
      </c>
      <c r="O56" s="18" t="n">
        <v>0</v>
      </c>
      <c r="P56" s="20" t="n">
        <v>0</v>
      </c>
      <c r="Q56" s="18" t="n">
        <v>7.46664643</v>
      </c>
      <c r="R56" s="20" t="n">
        <v>1.367734</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(2978.0/B61*100)</f>
        <v/>
      </c>
      <c r="D61" s="19" t="n">
        <v>346</v>
      </c>
      <c r="E61" s="18" t="n">
        <v>47.92054404</v>
      </c>
      <c r="F61" s="20" t="n">
        <v>2.91948147</v>
      </c>
      <c r="G61" s="18" t="n">
        <v>28.16763445</v>
      </c>
      <c r="H61" s="20" t="n">
        <v>2.57604469</v>
      </c>
      <c r="I61" s="18" t="s">
        <v>567</v>
      </c>
      <c r="J61" s="20" t="s">
        <v>567</v>
      </c>
      <c r="K61" s="18" t="n">
        <v>3.08856114</v>
      </c>
      <c r="L61" s="20" t="n">
        <v>0.96825136</v>
      </c>
      <c r="M61" s="18" t="n">
        <v>0</v>
      </c>
      <c r="N61" s="20" t="n">
        <v>0</v>
      </c>
      <c r="O61" s="18" t="n">
        <v>0</v>
      </c>
      <c r="P61" s="20" t="n">
        <v>0</v>
      </c>
      <c r="Q61" s="18" t="n">
        <v>20.82326037</v>
      </c>
      <c r="R61" s="20" t="n">
        <v>2.57158759</v>
      </c>
    </row>
    <row r="62" spans="1:18">
      <c r="A62" s="15" t="s">
        <v>622</v>
      </c>
      <c r="B62" s="17" t="n">
        <v>2246</v>
      </c>
      <c r="C62" s="18">
        <f>(1997.0/B62*100)</f>
        <v/>
      </c>
      <c r="D62" s="19" t="n">
        <v>249</v>
      </c>
      <c r="E62" s="18" t="n">
        <v>65.82609121</v>
      </c>
      <c r="F62" s="20" t="n">
        <v>3.05165563</v>
      </c>
      <c r="G62" s="18" t="n">
        <v>28.91932359</v>
      </c>
      <c r="H62" s="20" t="n">
        <v>2.54321127</v>
      </c>
      <c r="I62" s="18" t="s">
        <v>567</v>
      </c>
      <c r="J62" s="20" t="s">
        <v>567</v>
      </c>
      <c r="K62" s="18" t="n">
        <v>0.39876946</v>
      </c>
      <c r="L62" s="20" t="n">
        <v>0.40146479</v>
      </c>
      <c r="M62" s="18" t="n">
        <v>0</v>
      </c>
      <c r="N62" s="20" t="n">
        <v>0</v>
      </c>
      <c r="O62" s="18" t="n">
        <v>0</v>
      </c>
      <c r="P62" s="20" t="n">
        <v>0</v>
      </c>
      <c r="Q62" s="18" t="n">
        <v>4.85581573</v>
      </c>
      <c r="R62" s="20" t="n">
        <v>1.70469435</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(2588.0/B66*100)</f>
        <v/>
      </c>
      <c r="D66" s="19" t="n">
        <v>306</v>
      </c>
      <c r="E66" s="18" t="n">
        <v>30.73757083</v>
      </c>
      <c r="F66" s="20" t="n">
        <v>2.43972425</v>
      </c>
      <c r="G66" s="18" t="n">
        <v>18.18445553</v>
      </c>
      <c r="H66" s="20" t="n">
        <v>2.24047632</v>
      </c>
      <c r="I66" s="18" t="s">
        <v>567</v>
      </c>
      <c r="J66" s="20" t="s">
        <v>567</v>
      </c>
      <c r="K66" s="18" t="n">
        <v>15.55449932</v>
      </c>
      <c r="L66" s="20" t="n">
        <v>2.2113822</v>
      </c>
      <c r="M66" s="18" t="n">
        <v>0.67638532</v>
      </c>
      <c r="N66" s="20" t="n">
        <v>0.47959319</v>
      </c>
      <c r="O66" s="18" t="n">
        <v>0</v>
      </c>
      <c r="P66" s="20" t="n">
        <v>0</v>
      </c>
      <c r="Q66" s="18" t="n">
        <v>34.847089</v>
      </c>
      <c r="R66" s="20" t="n">
        <v>3.1691841</v>
      </c>
    </row>
    <row r="67" spans="1:18">
      <c r="A67" s="15" t="s">
        <v>627</v>
      </c>
      <c r="B67" s="17" t="n">
        <v>3511</v>
      </c>
      <c r="C67" s="18">
        <f>(3198.0/B67*100)</f>
        <v/>
      </c>
      <c r="D67" s="19" t="n">
        <v>313</v>
      </c>
      <c r="E67" s="18" t="n">
        <v>55.71475862</v>
      </c>
      <c r="F67" s="20" t="n">
        <v>2.97608964</v>
      </c>
      <c r="G67" s="18" t="n">
        <v>23.27165505</v>
      </c>
      <c r="H67" s="20" t="n">
        <v>2.69835038</v>
      </c>
      <c r="I67" s="18" t="s">
        <v>567</v>
      </c>
      <c r="J67" s="20" t="s">
        <v>567</v>
      </c>
      <c r="K67" s="18" t="n">
        <v>2.50398661</v>
      </c>
      <c r="L67" s="20" t="n">
        <v>0.84376297</v>
      </c>
      <c r="M67" s="18" t="n">
        <v>0</v>
      </c>
      <c r="N67" s="20" t="n">
        <v>0</v>
      </c>
      <c r="O67" s="18" t="n">
        <v>0</v>
      </c>
      <c r="P67" s="20" t="n">
        <v>0</v>
      </c>
      <c r="Q67" s="18" t="n">
        <v>18.50959972</v>
      </c>
      <c r="R67" s="20" t="n">
        <v>2.40901381</v>
      </c>
    </row>
    <row r="68" spans="1:18">
      <c r="A68" s="15" t="s">
        <v>628</v>
      </c>
      <c r="B68" s="17" t="n">
        <v>6049</v>
      </c>
      <c r="C68" s="18">
        <f>(5394.0/B68*100)</f>
        <v/>
      </c>
      <c r="D68" s="19" t="n">
        <v>655</v>
      </c>
      <c r="E68" s="18" t="n">
        <v>55.60144029</v>
      </c>
      <c r="F68" s="20" t="n">
        <v>2.16816586</v>
      </c>
      <c r="G68" s="18" t="n">
        <v>19.89261886</v>
      </c>
      <c r="H68" s="20" t="n">
        <v>1.40796383</v>
      </c>
      <c r="I68" s="18" t="s">
        <v>567</v>
      </c>
      <c r="J68" s="20" t="s">
        <v>567</v>
      </c>
      <c r="K68" s="18" t="n">
        <v>7.82640023</v>
      </c>
      <c r="L68" s="20" t="n">
        <v>1.17162108</v>
      </c>
      <c r="M68" s="18" t="n">
        <v>0</v>
      </c>
      <c r="N68" s="20" t="n">
        <v>0</v>
      </c>
      <c r="O68" s="18" t="n">
        <v>0</v>
      </c>
      <c r="P68" s="20" t="n">
        <v>0</v>
      </c>
      <c r="Q68" s="18" t="n">
        <v>16.67954062</v>
      </c>
      <c r="R68" s="20" t="n">
        <v>1.55150295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(2628.0/B70*100)</f>
        <v/>
      </c>
      <c r="D70" s="19" t="n">
        <v>301</v>
      </c>
      <c r="E70" s="18" t="n">
        <v>43.20269522</v>
      </c>
      <c r="F70" s="20" t="n">
        <v>2.78803061</v>
      </c>
      <c r="G70" s="18" t="n">
        <v>40.20177832</v>
      </c>
      <c r="H70" s="20" t="n">
        <v>2.92500851</v>
      </c>
      <c r="I70" s="18" t="s">
        <v>567</v>
      </c>
      <c r="J70" s="20" t="s">
        <v>567</v>
      </c>
      <c r="K70" s="18" t="n">
        <v>1.00822979</v>
      </c>
      <c r="L70" s="20" t="n">
        <v>0.55468009</v>
      </c>
      <c r="M70" s="18" t="n">
        <v>0.36340496</v>
      </c>
      <c r="N70" s="20" t="n">
        <v>0.36217746</v>
      </c>
      <c r="O70" s="18" t="n">
        <v>0</v>
      </c>
      <c r="P70" s="20" t="n">
        <v>0</v>
      </c>
      <c r="Q70" s="18" t="n">
        <v>15.22389171</v>
      </c>
      <c r="R70" s="20" t="n">
        <v>3.14584217</v>
      </c>
    </row>
    <row r="71" spans="1:18">
      <c r="A71" s="15" t="s">
        <v>631</v>
      </c>
      <c r="B71" s="17" t="n">
        <v>3142</v>
      </c>
      <c r="C71" s="18">
        <f>(2748.0/B71*100)</f>
        <v/>
      </c>
      <c r="D71" s="19" t="n">
        <v>394</v>
      </c>
      <c r="E71" s="18" t="n">
        <v>45.9580711</v>
      </c>
      <c r="F71" s="20" t="n">
        <v>2.65795674</v>
      </c>
      <c r="G71" s="18" t="n">
        <v>48.0532028</v>
      </c>
      <c r="H71" s="20" t="n">
        <v>2.63199367</v>
      </c>
      <c r="I71" s="18" t="s">
        <v>567</v>
      </c>
      <c r="J71" s="20" t="s">
        <v>567</v>
      </c>
      <c r="K71" s="18" t="n">
        <v>0.41516601</v>
      </c>
      <c r="L71" s="20" t="n">
        <v>0.29302454</v>
      </c>
      <c r="M71" s="18" t="n">
        <v>0</v>
      </c>
      <c r="N71" s="20" t="n">
        <v>0</v>
      </c>
      <c r="O71" s="18" t="n">
        <v>0</v>
      </c>
      <c r="P71" s="20" t="n">
        <v>0</v>
      </c>
      <c r="Q71" s="18" t="n">
        <v>5.57356009</v>
      </c>
      <c r="R71" s="20" t="n">
        <v>1.07411503</v>
      </c>
    </row>
    <row r="72" spans="1:18">
      <c r="A72" s="15" t="s">
        <v>632</v>
      </c>
      <c r="B72" s="17" t="n">
        <v>3889</v>
      </c>
      <c r="C72" s="18">
        <f>(3470.0/B72*100)</f>
        <v/>
      </c>
      <c r="D72" s="19" t="n">
        <v>419</v>
      </c>
      <c r="E72" s="18" t="n">
        <v>65.63287511999999</v>
      </c>
      <c r="F72" s="20" t="n">
        <v>2.58383413</v>
      </c>
      <c r="G72" s="18" t="n">
        <v>22.87229753</v>
      </c>
      <c r="H72" s="20" t="n">
        <v>2.19649243</v>
      </c>
      <c r="I72" s="18" t="s">
        <v>567</v>
      </c>
      <c r="J72" s="20" t="s">
        <v>567</v>
      </c>
      <c r="K72" s="18" t="n">
        <v>2.48418947</v>
      </c>
      <c r="L72" s="20" t="n">
        <v>0.8537245</v>
      </c>
      <c r="M72" s="18" t="n">
        <v>0</v>
      </c>
      <c r="N72" s="20" t="n">
        <v>0</v>
      </c>
      <c r="O72" s="18" t="n">
        <v>0</v>
      </c>
      <c r="P72" s="20" t="n">
        <v>0</v>
      </c>
      <c r="Q72" s="18" t="n">
        <v>9.010637880000001</v>
      </c>
      <c r="R72" s="20" t="n">
        <v>1.57531928</v>
      </c>
    </row>
    <row r="73" spans="1:18">
      <c r="A73" s="15" t="s">
        <v>633</v>
      </c>
      <c r="B73" s="17" t="n">
        <v>3597</v>
      </c>
      <c r="C73" s="18">
        <f>(3233.0/B73*100)</f>
        <v/>
      </c>
      <c r="D73" s="19" t="n">
        <v>364</v>
      </c>
      <c r="E73" s="18" t="n">
        <v>85.81304932</v>
      </c>
      <c r="F73" s="20" t="n">
        <v>2.09774022</v>
      </c>
      <c r="G73" s="18" t="n">
        <v>10.01621368</v>
      </c>
      <c r="H73" s="20" t="n">
        <v>1.93610687</v>
      </c>
      <c r="I73" s="18" t="s">
        <v>567</v>
      </c>
      <c r="J73" s="20" t="s">
        <v>567</v>
      </c>
      <c r="K73" s="18" t="n">
        <v>0.76895086</v>
      </c>
      <c r="L73" s="20" t="n">
        <v>0.60790155</v>
      </c>
      <c r="M73" s="18" t="n">
        <v>0</v>
      </c>
      <c r="N73" s="20" t="n">
        <v>0</v>
      </c>
      <c r="O73" s="18" t="n">
        <v>0</v>
      </c>
      <c r="P73" s="20" t="n">
        <v>0</v>
      </c>
      <c r="Q73" s="18" t="n">
        <v>3.40178615</v>
      </c>
      <c r="R73" s="20" t="n">
        <v>1.10320427</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(2172.0/B75*100)</f>
        <v/>
      </c>
      <c r="D75" s="19" t="n">
        <v>234</v>
      </c>
      <c r="E75" s="18" t="n">
        <v>46.09164927</v>
      </c>
      <c r="F75" s="20" t="n">
        <v>3.53062505</v>
      </c>
      <c r="G75" s="18" t="n">
        <v>8.690199939999999</v>
      </c>
      <c r="H75" s="20" t="n">
        <v>1.89455235</v>
      </c>
      <c r="I75" s="18" t="s">
        <v>567</v>
      </c>
      <c r="J75" s="20" t="s">
        <v>567</v>
      </c>
      <c r="K75" s="18" t="n">
        <v>12.01117879</v>
      </c>
      <c r="L75" s="20" t="n">
        <v>2.36919392</v>
      </c>
      <c r="M75" s="18" t="n">
        <v>0</v>
      </c>
      <c r="N75" s="20" t="n">
        <v>0</v>
      </c>
      <c r="O75" s="18" t="n">
        <v>0</v>
      </c>
      <c r="P75" s="20" t="n">
        <v>0</v>
      </c>
      <c r="Q75" s="18" t="n">
        <v>33.206972</v>
      </c>
      <c r="R75" s="20" t="n">
        <v>3.37940038</v>
      </c>
    </row>
    <row r="76" spans="1:18">
      <c r="A76" s="15" t="s">
        <v>636</v>
      </c>
      <c r="B76" s="17" t="n">
        <v>7052</v>
      </c>
      <c r="C76" s="18">
        <f>(6265.0/B76*100)</f>
        <v/>
      </c>
      <c r="D76" s="19" t="n">
        <v>787</v>
      </c>
      <c r="E76" s="18" t="n">
        <v>62.19303161</v>
      </c>
      <c r="F76" s="20" t="n">
        <v>1.87646354</v>
      </c>
      <c r="G76" s="18" t="n">
        <v>21.08892228</v>
      </c>
      <c r="H76" s="20" t="n">
        <v>1.73399246</v>
      </c>
      <c r="I76" s="18" t="s">
        <v>567</v>
      </c>
      <c r="J76" s="20" t="s">
        <v>567</v>
      </c>
      <c r="K76" s="18" t="n">
        <v>3.23783947</v>
      </c>
      <c r="L76" s="20" t="n">
        <v>0.64265487</v>
      </c>
      <c r="M76" s="18" t="n">
        <v>0.3087744</v>
      </c>
      <c r="N76" s="20" t="n">
        <v>0.45076792</v>
      </c>
      <c r="O76" s="18" t="n">
        <v>0</v>
      </c>
      <c r="P76" s="20" t="n">
        <v>0</v>
      </c>
      <c r="Q76" s="18" t="n">
        <v>13.17143224</v>
      </c>
      <c r="R76" s="20" t="n">
        <v>1.5241172</v>
      </c>
    </row>
    <row r="77" spans="1:18">
      <c r="A77" s="15" t="s">
        <v>637</v>
      </c>
      <c r="B77" s="17" t="n">
        <v>2908</v>
      </c>
      <c r="C77" s="18">
        <f>(2632.0/B77*100)</f>
        <v/>
      </c>
      <c r="D77" s="19" t="n">
        <v>276</v>
      </c>
      <c r="E77" s="18" t="n">
        <v>44.11513356</v>
      </c>
      <c r="F77" s="20" t="n">
        <v>3.23942667</v>
      </c>
      <c r="G77" s="18" t="n">
        <v>23.71200504</v>
      </c>
      <c r="H77" s="20" t="n">
        <v>2.36941311</v>
      </c>
      <c r="I77" s="18" t="s">
        <v>567</v>
      </c>
      <c r="J77" s="20" t="s">
        <v>567</v>
      </c>
      <c r="K77" s="18" t="n">
        <v>9.82495898</v>
      </c>
      <c r="L77" s="20" t="n">
        <v>1.92643008</v>
      </c>
      <c r="M77" s="18" t="n">
        <v>0</v>
      </c>
      <c r="N77" s="20" t="n">
        <v>0</v>
      </c>
      <c r="O77" s="18" t="n">
        <v>0</v>
      </c>
      <c r="P77" s="20" t="n">
        <v>0</v>
      </c>
      <c r="Q77" s="18" t="n">
        <v>22.34790242</v>
      </c>
      <c r="R77" s="20" t="n">
        <v>2.90633886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(3729.0/B81*100)</f>
        <v/>
      </c>
      <c r="D81" s="19" t="n">
        <v>434</v>
      </c>
      <c r="E81" s="18" t="n">
        <v>73.35070152999999</v>
      </c>
      <c r="F81" s="20" t="n">
        <v>2.49596179</v>
      </c>
      <c r="G81" s="18" t="n">
        <v>17.34416772</v>
      </c>
      <c r="H81" s="20" t="n">
        <v>2.073319</v>
      </c>
      <c r="I81" s="18" t="s">
        <v>567</v>
      </c>
      <c r="J81" s="20" t="s">
        <v>567</v>
      </c>
      <c r="K81" s="18" t="n">
        <v>0.78907265</v>
      </c>
      <c r="L81" s="20" t="n">
        <v>0.56751391</v>
      </c>
      <c r="M81" s="18" t="n">
        <v>0</v>
      </c>
      <c r="N81" s="20" t="n">
        <v>0</v>
      </c>
      <c r="O81" s="18" t="n">
        <v>0</v>
      </c>
      <c r="P81" s="20" t="n">
        <v>0</v>
      </c>
      <c r="Q81" s="18" t="n">
        <v>8.5160581</v>
      </c>
      <c r="R81" s="20" t="n">
        <v>1.43611683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(6581.0/B7*100)</f>
        <v/>
      </c>
      <c r="D7" s="19" t="n">
        <v>786</v>
      </c>
      <c r="E7" s="18" t="n">
        <v>37.25836669</v>
      </c>
      <c r="F7" s="20" t="n">
        <v>2.14515445</v>
      </c>
      <c r="G7" s="18" t="n">
        <v>45.23408673</v>
      </c>
      <c r="H7" s="20" t="n">
        <v>2.02210614</v>
      </c>
      <c r="I7" s="18" t="s">
        <v>567</v>
      </c>
      <c r="J7" s="20" t="s">
        <v>567</v>
      </c>
      <c r="K7" s="18" t="n">
        <v>2.97648339</v>
      </c>
      <c r="L7" s="20" t="n">
        <v>0.75490373</v>
      </c>
      <c r="M7" s="18" t="n">
        <v>0</v>
      </c>
      <c r="N7" s="20" t="n">
        <v>0</v>
      </c>
      <c r="O7" s="18" t="n">
        <v>0</v>
      </c>
      <c r="P7" s="20" t="n">
        <v>0</v>
      </c>
      <c r="Q7" s="18" t="n">
        <v>14.53106319</v>
      </c>
      <c r="R7" s="20" t="n">
        <v>1.48652935</v>
      </c>
    </row>
    <row r="8" spans="1:18">
      <c r="A8" s="15" t="s">
        <v>568</v>
      </c>
      <c r="B8" s="17" t="n">
        <v>3564</v>
      </c>
      <c r="C8" s="18">
        <f>(3171.0/B8*100)</f>
        <v/>
      </c>
      <c r="D8" s="19" t="n">
        <v>393</v>
      </c>
      <c r="E8" s="18" t="n">
        <v>19.86321254</v>
      </c>
      <c r="F8" s="20" t="n">
        <v>2.33579466</v>
      </c>
      <c r="G8" s="18" t="n">
        <v>68.43263269000001</v>
      </c>
      <c r="H8" s="20" t="n">
        <v>2.59602561</v>
      </c>
      <c r="I8" s="18" t="s">
        <v>567</v>
      </c>
      <c r="J8" s="20" t="s">
        <v>567</v>
      </c>
      <c r="K8" s="18" t="n">
        <v>1.33525729</v>
      </c>
      <c r="L8" s="20" t="n">
        <v>0.5650561</v>
      </c>
      <c r="M8" s="18" t="n">
        <v>0</v>
      </c>
      <c r="N8" s="20" t="n">
        <v>0</v>
      </c>
      <c r="O8" s="18" t="n">
        <v>0</v>
      </c>
      <c r="P8" s="20" t="n">
        <v>0</v>
      </c>
      <c r="Q8" s="18" t="n">
        <v>10.36889747</v>
      </c>
      <c r="R8" s="20" t="n">
        <v>1.41395394</v>
      </c>
    </row>
    <row r="9" spans="1:18">
      <c r="A9" s="15" t="s">
        <v>569</v>
      </c>
      <c r="B9" s="17" t="n">
        <v>4899</v>
      </c>
      <c r="C9" s="18">
        <f>(4411.0/B9*100)</f>
        <v/>
      </c>
      <c r="D9" s="19" t="n">
        <v>488</v>
      </c>
      <c r="E9" s="18" t="n">
        <v>21.61745473</v>
      </c>
      <c r="F9" s="20" t="n">
        <v>1.93946045</v>
      </c>
      <c r="G9" s="18" t="n">
        <v>57.0768218</v>
      </c>
      <c r="H9" s="20" t="n">
        <v>2.64658025</v>
      </c>
      <c r="I9" s="18" t="s">
        <v>567</v>
      </c>
      <c r="J9" s="20" t="s">
        <v>567</v>
      </c>
      <c r="K9" s="18" t="n">
        <v>1.61930754</v>
      </c>
      <c r="L9" s="20" t="n">
        <v>0.64279307</v>
      </c>
      <c r="M9" s="18" t="n">
        <v>0</v>
      </c>
      <c r="N9" s="20" t="n">
        <v>0</v>
      </c>
      <c r="O9" s="18" t="n">
        <v>0</v>
      </c>
      <c r="P9" s="20" t="n">
        <v>0</v>
      </c>
      <c r="Q9" s="18" t="n">
        <v>19.68641592</v>
      </c>
      <c r="R9" s="20" t="n">
        <v>1.85681415</v>
      </c>
    </row>
    <row r="10" spans="1:18">
      <c r="A10" s="15" t="s">
        <v>570</v>
      </c>
      <c r="B10" s="17" t="n">
        <v>10036</v>
      </c>
      <c r="C10" s="18">
        <f>(8911.0/B10*100)</f>
        <v/>
      </c>
      <c r="D10" s="19" t="n">
        <v>1125</v>
      </c>
      <c r="E10" s="18" t="n">
        <v>35.18434593</v>
      </c>
      <c r="F10" s="20" t="n">
        <v>1.60476495</v>
      </c>
      <c r="G10" s="18" t="n">
        <v>54.48351141</v>
      </c>
      <c r="H10" s="20" t="n">
        <v>2.06176094</v>
      </c>
      <c r="I10" s="18" t="s">
        <v>567</v>
      </c>
      <c r="J10" s="20" t="s">
        <v>567</v>
      </c>
      <c r="K10" s="18" t="n">
        <v>1.07209976</v>
      </c>
      <c r="L10" s="20" t="n">
        <v>0.44161253</v>
      </c>
      <c r="M10" s="18" t="n">
        <v>0</v>
      </c>
      <c r="N10" s="20" t="n">
        <v>0</v>
      </c>
      <c r="O10" s="18" t="n">
        <v>0</v>
      </c>
      <c r="P10" s="20" t="n">
        <v>0</v>
      </c>
      <c r="Q10" s="18" t="n">
        <v>9.2600429</v>
      </c>
      <c r="R10" s="20" t="n">
        <v>1.37617011</v>
      </c>
    </row>
    <row r="11" spans="1:18">
      <c r="A11" s="15" t="s">
        <v>571</v>
      </c>
      <c r="B11" s="17" t="n">
        <v>3553</v>
      </c>
      <c r="C11" s="18">
        <f>(3173.0/B11*100)</f>
        <v/>
      </c>
      <c r="D11" s="19" t="n">
        <v>380</v>
      </c>
      <c r="E11" s="18" t="n">
        <v>37.12159139</v>
      </c>
      <c r="F11" s="20" t="n">
        <v>2.89320501</v>
      </c>
      <c r="G11" s="18" t="n">
        <v>28.79957522</v>
      </c>
      <c r="H11" s="20" t="n">
        <v>2.35053566</v>
      </c>
      <c r="I11" s="18" t="s">
        <v>567</v>
      </c>
      <c r="J11" s="20" t="s">
        <v>567</v>
      </c>
      <c r="K11" s="18" t="n">
        <v>12.39889129</v>
      </c>
      <c r="L11" s="20" t="n">
        <v>1.96776502</v>
      </c>
      <c r="M11" s="18" t="n">
        <v>0.03714376</v>
      </c>
      <c r="N11" s="20" t="n">
        <v>0.03759041</v>
      </c>
      <c r="O11" s="18" t="n">
        <v>0</v>
      </c>
      <c r="P11" s="20" t="n">
        <v>0</v>
      </c>
      <c r="Q11" s="18" t="n">
        <v>21.64279834</v>
      </c>
      <c r="R11" s="20" t="n">
        <v>2.45867939</v>
      </c>
    </row>
    <row r="12" spans="1:18">
      <c r="A12" s="15" t="s">
        <v>572</v>
      </c>
      <c r="B12" s="17" t="n">
        <v>3472</v>
      </c>
      <c r="C12" s="18">
        <f>(3085.0/B12*100)</f>
        <v/>
      </c>
      <c r="D12" s="19" t="n">
        <v>387</v>
      </c>
      <c r="E12" s="18" t="n">
        <v>25.43943397</v>
      </c>
      <c r="F12" s="20" t="n">
        <v>2.31969583</v>
      </c>
      <c r="G12" s="18" t="n">
        <v>53.34638998</v>
      </c>
      <c r="H12" s="20" t="n">
        <v>2.69807271</v>
      </c>
      <c r="I12" s="18" t="s">
        <v>567</v>
      </c>
      <c r="J12" s="20" t="s">
        <v>567</v>
      </c>
      <c r="K12" s="18" t="n">
        <v>2.246388</v>
      </c>
      <c r="L12" s="20" t="n">
        <v>0.8514826599999999</v>
      </c>
      <c r="M12" s="18" t="n">
        <v>0</v>
      </c>
      <c r="N12" s="20" t="n">
        <v>0</v>
      </c>
      <c r="O12" s="18" t="n">
        <v>0</v>
      </c>
      <c r="P12" s="20" t="n">
        <v>0</v>
      </c>
      <c r="Q12" s="18" t="n">
        <v>18.96778804</v>
      </c>
      <c r="R12" s="20" t="n">
        <v>2.01894853</v>
      </c>
    </row>
    <row r="13" spans="1:18">
      <c r="A13" s="15" t="s">
        <v>573</v>
      </c>
      <c r="B13" s="17" t="n">
        <v>3559</v>
      </c>
      <c r="C13" s="18">
        <f>(3206.0/B13*100)</f>
        <v/>
      </c>
      <c r="D13" s="19" t="n">
        <v>353</v>
      </c>
      <c r="E13" s="18" t="n">
        <v>28.15008605</v>
      </c>
      <c r="F13" s="20" t="n">
        <v>2.64653455</v>
      </c>
      <c r="G13" s="18" t="n">
        <v>56.36242925</v>
      </c>
      <c r="H13" s="20" t="n">
        <v>2.78691844</v>
      </c>
      <c r="I13" s="18" t="s">
        <v>567</v>
      </c>
      <c r="J13" s="20" t="s">
        <v>567</v>
      </c>
      <c r="K13" s="18" t="n">
        <v>1.33552954</v>
      </c>
      <c r="L13" s="20" t="n">
        <v>0.73272845</v>
      </c>
      <c r="M13" s="18" t="n">
        <v>0</v>
      </c>
      <c r="N13" s="20" t="n">
        <v>0</v>
      </c>
      <c r="O13" s="18" t="n">
        <v>0</v>
      </c>
      <c r="P13" s="20" t="n">
        <v>0</v>
      </c>
      <c r="Q13" s="18" t="n">
        <v>14.15195516</v>
      </c>
      <c r="R13" s="20" t="n">
        <v>2.59729032</v>
      </c>
    </row>
    <row r="14" spans="1:18">
      <c r="A14" s="15" t="s">
        <v>574</v>
      </c>
      <c r="B14" s="17" t="n">
        <v>2799</v>
      </c>
      <c r="C14" s="18">
        <f>(2469.0/B14*100)</f>
        <v/>
      </c>
      <c r="D14" s="19" t="n">
        <v>330</v>
      </c>
      <c r="E14" s="18" t="n">
        <v>24.24429326</v>
      </c>
      <c r="F14" s="20" t="n">
        <v>2.48514673</v>
      </c>
      <c r="G14" s="18" t="n">
        <v>67.23909034</v>
      </c>
      <c r="H14" s="20" t="n">
        <v>2.45730144</v>
      </c>
      <c r="I14" s="18" t="s">
        <v>567</v>
      </c>
      <c r="J14" s="20" t="s">
        <v>567</v>
      </c>
      <c r="K14" s="18" t="n">
        <v>1.5858201</v>
      </c>
      <c r="L14" s="20" t="n">
        <v>0.64121112</v>
      </c>
      <c r="M14" s="18" t="n">
        <v>0</v>
      </c>
      <c r="N14" s="20" t="n">
        <v>0</v>
      </c>
      <c r="O14" s="18" t="n">
        <v>0</v>
      </c>
      <c r="P14" s="20" t="n">
        <v>0</v>
      </c>
      <c r="Q14" s="18" t="n">
        <v>6.93079631</v>
      </c>
      <c r="R14" s="20" t="n">
        <v>1.36416762</v>
      </c>
    </row>
    <row r="15" spans="1:18">
      <c r="A15" s="15" t="s">
        <v>575</v>
      </c>
      <c r="B15" s="17" t="n">
        <v>3019</v>
      </c>
      <c r="C15" s="18">
        <f>(2701.0/B15*100)</f>
        <v/>
      </c>
      <c r="D15" s="19" t="n">
        <v>318</v>
      </c>
      <c r="E15" s="18" t="n">
        <v>27.19098419</v>
      </c>
      <c r="F15" s="20" t="n">
        <v>2.84258326</v>
      </c>
      <c r="G15" s="18" t="n">
        <v>66.82575249</v>
      </c>
      <c r="H15" s="20" t="n">
        <v>3.07084604</v>
      </c>
      <c r="I15" s="18" t="s">
        <v>567</v>
      </c>
      <c r="J15" s="20" t="s">
        <v>567</v>
      </c>
      <c r="K15" s="18" t="n">
        <v>2.2028946</v>
      </c>
      <c r="L15" s="20" t="n">
        <v>0.79034377</v>
      </c>
      <c r="M15" s="18" t="n">
        <v>0</v>
      </c>
      <c r="N15" s="20" t="n">
        <v>0</v>
      </c>
      <c r="O15" s="18" t="n">
        <v>0</v>
      </c>
      <c r="P15" s="20" t="n">
        <v>0</v>
      </c>
      <c r="Q15" s="18" t="n">
        <v>3.78036872</v>
      </c>
      <c r="R15" s="20" t="n">
        <v>0.96914186</v>
      </c>
    </row>
    <row r="16" spans="1:18">
      <c r="A16" s="15" t="s">
        <v>576</v>
      </c>
      <c r="B16" s="17" t="n">
        <v>2997</v>
      </c>
      <c r="C16" s="18">
        <f>(2650.0/B16*100)</f>
        <v/>
      </c>
      <c r="D16" s="19" t="n">
        <v>347</v>
      </c>
      <c r="E16" s="18" t="n">
        <v>25.91990968</v>
      </c>
      <c r="F16" s="20" t="n">
        <v>2.66402809</v>
      </c>
      <c r="G16" s="18" t="n">
        <v>46.0478799</v>
      </c>
      <c r="H16" s="20" t="n">
        <v>2.73253662</v>
      </c>
      <c r="I16" s="18" t="s">
        <v>567</v>
      </c>
      <c r="J16" s="20" t="s">
        <v>567</v>
      </c>
      <c r="K16" s="18" t="n">
        <v>6.70903825</v>
      </c>
      <c r="L16" s="20" t="n">
        <v>1.50420345</v>
      </c>
      <c r="M16" s="18" t="n">
        <v>0</v>
      </c>
      <c r="N16" s="20" t="n">
        <v>0</v>
      </c>
      <c r="O16" s="18" t="n">
        <v>0</v>
      </c>
      <c r="P16" s="20" t="n">
        <v>0</v>
      </c>
      <c r="Q16" s="18" t="n">
        <v>21.32317216</v>
      </c>
      <c r="R16" s="20" t="n">
        <v>2.43568193</v>
      </c>
    </row>
    <row r="17" spans="1:18">
      <c r="A17" s="15" t="s">
        <v>577</v>
      </c>
      <c r="B17" s="17" t="n">
        <v>3307</v>
      </c>
      <c r="C17" s="18">
        <f>(2981.0/B17*100)</f>
        <v/>
      </c>
      <c r="D17" s="19" t="n">
        <v>326</v>
      </c>
      <c r="E17" s="18" t="n">
        <v>20.8429992</v>
      </c>
      <c r="F17" s="20" t="n">
        <v>1.92445212</v>
      </c>
      <c r="G17" s="18" t="n">
        <v>59.50845593</v>
      </c>
      <c r="H17" s="20" t="n">
        <v>2.50439322</v>
      </c>
      <c r="I17" s="18" t="s">
        <v>567</v>
      </c>
      <c r="J17" s="20" t="s">
        <v>567</v>
      </c>
      <c r="K17" s="18" t="n">
        <v>4.98985352</v>
      </c>
      <c r="L17" s="20" t="n">
        <v>1.3123239</v>
      </c>
      <c r="M17" s="18" t="n">
        <v>0</v>
      </c>
      <c r="N17" s="20" t="n">
        <v>0</v>
      </c>
      <c r="O17" s="18" t="n">
        <v>0</v>
      </c>
      <c r="P17" s="20" t="n">
        <v>0</v>
      </c>
      <c r="Q17" s="18" t="n">
        <v>14.65869135</v>
      </c>
      <c r="R17" s="20" t="n">
        <v>1.8855398</v>
      </c>
    </row>
    <row r="18" spans="1:18">
      <c r="A18" s="15" t="s">
        <v>578</v>
      </c>
      <c r="B18" s="17" t="n">
        <v>2826</v>
      </c>
      <c r="C18" s="18">
        <f>(2504.0/B18*100)</f>
        <v/>
      </c>
      <c r="D18" s="19" t="n">
        <v>322</v>
      </c>
      <c r="E18" s="18" t="n">
        <v>38.49874688</v>
      </c>
      <c r="F18" s="20" t="n">
        <v>2.96748038</v>
      </c>
      <c r="G18" s="18" t="n">
        <v>30.73495377</v>
      </c>
      <c r="H18" s="20" t="n">
        <v>2.65571862</v>
      </c>
      <c r="I18" s="18" t="s">
        <v>567</v>
      </c>
      <c r="J18" s="20" t="s">
        <v>567</v>
      </c>
      <c r="K18" s="18" t="n">
        <v>4.62860965</v>
      </c>
      <c r="L18" s="20" t="n">
        <v>1.55229554</v>
      </c>
      <c r="M18" s="18" t="n">
        <v>0</v>
      </c>
      <c r="N18" s="20" t="n">
        <v>0</v>
      </c>
      <c r="O18" s="18" t="n">
        <v>0</v>
      </c>
      <c r="P18" s="20" t="n">
        <v>0</v>
      </c>
      <c r="Q18" s="18" t="n">
        <v>26.13768969</v>
      </c>
      <c r="R18" s="20" t="n">
        <v>3.2919977</v>
      </c>
    </row>
    <row r="19" spans="1:18">
      <c r="A19" s="15" t="s">
        <v>579</v>
      </c>
      <c r="B19" s="17" t="n">
        <v>2808</v>
      </c>
      <c r="C19" s="18">
        <f>(2511.0/B19*100)</f>
        <v/>
      </c>
      <c r="D19" s="19" t="n">
        <v>297</v>
      </c>
      <c r="E19" s="18" t="n">
        <v>32.08906224</v>
      </c>
      <c r="F19" s="20" t="n">
        <v>2.78644626</v>
      </c>
      <c r="G19" s="18" t="n">
        <v>51.5614142</v>
      </c>
      <c r="H19" s="20" t="n">
        <v>3.15795976</v>
      </c>
      <c r="I19" s="18" t="s">
        <v>567</v>
      </c>
      <c r="J19" s="20" t="s">
        <v>567</v>
      </c>
      <c r="K19" s="18" t="n">
        <v>3.57702853</v>
      </c>
      <c r="L19" s="20" t="n">
        <v>1.07273418</v>
      </c>
      <c r="M19" s="18" t="n">
        <v>0</v>
      </c>
      <c r="N19" s="20" t="n">
        <v>0</v>
      </c>
      <c r="O19" s="18" t="n">
        <v>0</v>
      </c>
      <c r="P19" s="20" t="n">
        <v>0</v>
      </c>
      <c r="Q19" s="18" t="n">
        <v>12.77249503</v>
      </c>
      <c r="R19" s="20" t="n">
        <v>2.21851824</v>
      </c>
    </row>
    <row r="20" spans="1:18">
      <c r="A20" s="15" t="s">
        <v>580</v>
      </c>
      <c r="B20" s="17" t="n">
        <v>1630</v>
      </c>
      <c r="C20" s="18">
        <f>(1452.0/B20*100)</f>
        <v/>
      </c>
      <c r="D20" s="19" t="n">
        <v>178</v>
      </c>
      <c r="E20" s="18" t="n">
        <v>47.26997275</v>
      </c>
      <c r="F20" s="20" t="n">
        <v>3.56992901</v>
      </c>
      <c r="G20" s="18" t="n">
        <v>29.64112978</v>
      </c>
      <c r="H20" s="20" t="n">
        <v>3.36766999</v>
      </c>
      <c r="I20" s="18" t="s">
        <v>567</v>
      </c>
      <c r="J20" s="20" t="s">
        <v>567</v>
      </c>
      <c r="K20" s="18" t="n">
        <v>5.9493748</v>
      </c>
      <c r="L20" s="20" t="n">
        <v>1.8050867</v>
      </c>
      <c r="M20" s="18" t="n">
        <v>2.54516238</v>
      </c>
      <c r="N20" s="20" t="n">
        <v>0.41062499</v>
      </c>
      <c r="O20" s="18" t="n">
        <v>0</v>
      </c>
      <c r="P20" s="20" t="n">
        <v>0</v>
      </c>
      <c r="Q20" s="18" t="n">
        <v>14.59436028</v>
      </c>
      <c r="R20" s="20" t="n">
        <v>2.94389552</v>
      </c>
    </row>
    <row r="21" spans="1:18">
      <c r="A21" s="15" t="s">
        <v>581</v>
      </c>
      <c r="B21" s="17" t="n">
        <v>2908</v>
      </c>
      <c r="C21" s="18">
        <f>(2569.0/B21*100)</f>
        <v/>
      </c>
      <c r="D21" s="19" t="n">
        <v>339</v>
      </c>
      <c r="E21" s="18" t="n">
        <v>26.31856939</v>
      </c>
      <c r="F21" s="20" t="n">
        <v>2.22622093</v>
      </c>
      <c r="G21" s="18" t="n">
        <v>58.63363856</v>
      </c>
      <c r="H21" s="20" t="n">
        <v>3.33499177</v>
      </c>
      <c r="I21" s="18" t="s">
        <v>567</v>
      </c>
      <c r="J21" s="20" t="s">
        <v>567</v>
      </c>
      <c r="K21" s="18" t="n">
        <v>2.77876954</v>
      </c>
      <c r="L21" s="20" t="n">
        <v>0.89523168</v>
      </c>
      <c r="M21" s="18" t="n">
        <v>0</v>
      </c>
      <c r="N21" s="20" t="n">
        <v>0</v>
      </c>
      <c r="O21" s="18" t="n">
        <v>0</v>
      </c>
      <c r="P21" s="20" t="n">
        <v>0</v>
      </c>
      <c r="Q21" s="18" t="n">
        <v>12.26902251</v>
      </c>
      <c r="R21" s="20" t="n">
        <v>2.26509263</v>
      </c>
    </row>
    <row r="22" spans="1:18">
      <c r="A22" s="15" t="s">
        <v>582</v>
      </c>
      <c r="B22" s="17" t="n">
        <v>2931</v>
      </c>
      <c r="C22" s="18">
        <f>(2616.0/B22*100)</f>
        <v/>
      </c>
      <c r="D22" s="19" t="n">
        <v>315</v>
      </c>
      <c r="E22" s="18" t="n">
        <v>26.45092565</v>
      </c>
      <c r="F22" s="20" t="n">
        <v>3.02478091</v>
      </c>
      <c r="G22" s="18" t="n">
        <v>53.40006247</v>
      </c>
      <c r="H22" s="20" t="n">
        <v>3.13252505</v>
      </c>
      <c r="I22" s="18" t="s">
        <v>567</v>
      </c>
      <c r="J22" s="20" t="s">
        <v>567</v>
      </c>
      <c r="K22" s="18" t="n">
        <v>4.51619069</v>
      </c>
      <c r="L22" s="20" t="n">
        <v>1.29607951</v>
      </c>
      <c r="M22" s="18" t="n">
        <v>0</v>
      </c>
      <c r="N22" s="20" t="n">
        <v>0</v>
      </c>
      <c r="O22" s="18" t="n">
        <v>0</v>
      </c>
      <c r="P22" s="20" t="n">
        <v>0</v>
      </c>
      <c r="Q22" s="18" t="n">
        <v>15.63282118</v>
      </c>
      <c r="R22" s="20" t="n">
        <v>2.85205519</v>
      </c>
    </row>
    <row r="23" spans="1:18">
      <c r="A23" s="15" t="s">
        <v>583</v>
      </c>
      <c r="B23" s="17" t="n">
        <v>5791</v>
      </c>
      <c r="C23" s="18">
        <f>(5199.0/B23*100)</f>
        <v/>
      </c>
      <c r="D23" s="19" t="n">
        <v>592</v>
      </c>
      <c r="E23" s="18" t="n">
        <v>21.0702783</v>
      </c>
      <c r="F23" s="20" t="n">
        <v>2.5173993</v>
      </c>
      <c r="G23" s="18" t="n">
        <v>48.92798276</v>
      </c>
      <c r="H23" s="20" t="n">
        <v>2.64909084</v>
      </c>
      <c r="I23" s="18" t="s">
        <v>567</v>
      </c>
      <c r="J23" s="20" t="s">
        <v>567</v>
      </c>
      <c r="K23" s="18" t="n">
        <v>6.13995831</v>
      </c>
      <c r="L23" s="20" t="n">
        <v>1.5372285</v>
      </c>
      <c r="M23" s="18" t="n">
        <v>0</v>
      </c>
      <c r="N23" s="20" t="n">
        <v>0</v>
      </c>
      <c r="O23" s="18" t="n">
        <v>0</v>
      </c>
      <c r="P23" s="20" t="n">
        <v>0</v>
      </c>
      <c r="Q23" s="18" t="n">
        <v>23.86178063</v>
      </c>
      <c r="R23" s="20" t="n">
        <v>2.61095934</v>
      </c>
    </row>
    <row r="24" spans="1:18">
      <c r="A24" s="15" t="s">
        <v>584</v>
      </c>
      <c r="B24" s="17" t="n">
        <v>3338</v>
      </c>
      <c r="C24" s="18">
        <f>(2965.0/B24*100)</f>
        <v/>
      </c>
      <c r="D24" s="19" t="n">
        <v>373</v>
      </c>
      <c r="E24" s="18" t="n">
        <v>14.56439918</v>
      </c>
      <c r="F24" s="20" t="n">
        <v>1.7497881</v>
      </c>
      <c r="G24" s="18" t="n">
        <v>67.05860402</v>
      </c>
      <c r="H24" s="20" t="n">
        <v>2.2256734</v>
      </c>
      <c r="I24" s="18" t="s">
        <v>567</v>
      </c>
      <c r="J24" s="20" t="s">
        <v>567</v>
      </c>
      <c r="K24" s="18" t="n">
        <v>1.56002921</v>
      </c>
      <c r="L24" s="20" t="n">
        <v>0.73372635</v>
      </c>
      <c r="M24" s="18" t="n">
        <v>0</v>
      </c>
      <c r="N24" s="20" t="n">
        <v>0</v>
      </c>
      <c r="O24" s="18" t="n">
        <v>0</v>
      </c>
      <c r="P24" s="20" t="n">
        <v>0</v>
      </c>
      <c r="Q24" s="18" t="n">
        <v>16.81696759</v>
      </c>
      <c r="R24" s="20" t="n">
        <v>1.73211871</v>
      </c>
    </row>
    <row r="25" spans="1:18">
      <c r="A25" s="15" t="s">
        <v>585</v>
      </c>
      <c r="B25" s="17" t="n">
        <v>2912</v>
      </c>
      <c r="C25" s="18">
        <f>(2603.0/B25*100)</f>
        <v/>
      </c>
      <c r="D25" s="19" t="n">
        <v>309</v>
      </c>
      <c r="E25" s="18" t="n">
        <v>32.7936644</v>
      </c>
      <c r="F25" s="20" t="n">
        <v>2.77573069</v>
      </c>
      <c r="G25" s="18" t="n">
        <v>43.72235744</v>
      </c>
      <c r="H25" s="20" t="n">
        <v>2.83469069</v>
      </c>
      <c r="I25" s="18" t="s">
        <v>567</v>
      </c>
      <c r="J25" s="20" t="s">
        <v>567</v>
      </c>
      <c r="K25" s="18" t="n">
        <v>4.5053675</v>
      </c>
      <c r="L25" s="20" t="n">
        <v>1.15861213</v>
      </c>
      <c r="M25" s="18" t="n">
        <v>0</v>
      </c>
      <c r="N25" s="20" t="n">
        <v>0</v>
      </c>
      <c r="O25" s="18" t="n">
        <v>0</v>
      </c>
      <c r="P25" s="20" t="n">
        <v>0</v>
      </c>
      <c r="Q25" s="18" t="n">
        <v>18.97861066</v>
      </c>
      <c r="R25" s="20" t="n">
        <v>2.22466861</v>
      </c>
    </row>
    <row r="26" spans="1:18">
      <c r="A26" s="15" t="s">
        <v>586</v>
      </c>
      <c r="B26" s="17" t="n">
        <v>2450</v>
      </c>
      <c r="C26" s="18">
        <f>(2169.0/B26*100)</f>
        <v/>
      </c>
      <c r="D26" s="19" t="n">
        <v>281</v>
      </c>
      <c r="E26" s="18" t="n">
        <v>39.23509867</v>
      </c>
      <c r="F26" s="20" t="n">
        <v>3.02925695</v>
      </c>
      <c r="G26" s="18" t="n">
        <v>45.16475554</v>
      </c>
      <c r="H26" s="20" t="n">
        <v>2.57049063</v>
      </c>
      <c r="I26" s="18" t="s">
        <v>567</v>
      </c>
      <c r="J26" s="20" t="s">
        <v>567</v>
      </c>
      <c r="K26" s="18" t="n">
        <v>2.31629048</v>
      </c>
      <c r="L26" s="20" t="n">
        <v>0.94601008</v>
      </c>
      <c r="M26" s="18" t="n">
        <v>0</v>
      </c>
      <c r="N26" s="20" t="n">
        <v>0</v>
      </c>
      <c r="O26" s="18" t="n">
        <v>0</v>
      </c>
      <c r="P26" s="20" t="n">
        <v>0</v>
      </c>
      <c r="Q26" s="18" t="n">
        <v>13.2838553</v>
      </c>
      <c r="R26" s="20" t="n">
        <v>2.24047966</v>
      </c>
    </row>
    <row r="27" spans="1:18">
      <c r="A27" s="15" t="s">
        <v>587</v>
      </c>
      <c r="B27" s="17" t="n">
        <v>2616</v>
      </c>
      <c r="C27" s="18">
        <f>(2311.0/B27*100)</f>
        <v/>
      </c>
      <c r="D27" s="19" t="n">
        <v>305</v>
      </c>
      <c r="E27" s="18" t="n">
        <v>27.17208352</v>
      </c>
      <c r="F27" s="20" t="n">
        <v>2.27886534</v>
      </c>
      <c r="G27" s="18" t="n">
        <v>49.21169487</v>
      </c>
      <c r="H27" s="20" t="n">
        <v>2.47523607</v>
      </c>
      <c r="I27" s="18" t="s">
        <v>567</v>
      </c>
      <c r="J27" s="20" t="s">
        <v>567</v>
      </c>
      <c r="K27" s="18" t="n">
        <v>2.61097904</v>
      </c>
      <c r="L27" s="20" t="n">
        <v>0.91663967</v>
      </c>
      <c r="M27" s="18" t="n">
        <v>0</v>
      </c>
      <c r="N27" s="20" t="n">
        <v>0</v>
      </c>
      <c r="O27" s="18" t="n">
        <v>0</v>
      </c>
      <c r="P27" s="20" t="n">
        <v>0</v>
      </c>
      <c r="Q27" s="18" t="n">
        <v>21.00524258</v>
      </c>
      <c r="R27" s="20" t="n">
        <v>2.14713739</v>
      </c>
    </row>
    <row r="28" spans="1:18">
      <c r="A28" s="15" t="s">
        <v>588</v>
      </c>
      <c r="B28" s="17" t="n">
        <v>3765</v>
      </c>
      <c r="C28" s="18">
        <f>(3370.0/B28*100)</f>
        <v/>
      </c>
      <c r="D28" s="19" t="n">
        <v>395</v>
      </c>
      <c r="E28" s="18" t="n">
        <v>69.29723946</v>
      </c>
      <c r="F28" s="20" t="n">
        <v>2.87182731</v>
      </c>
      <c r="G28" s="18" t="n">
        <v>18.02400203</v>
      </c>
      <c r="H28" s="20" t="n">
        <v>2.11167241</v>
      </c>
      <c r="I28" s="18" t="s">
        <v>567</v>
      </c>
      <c r="J28" s="20" t="s">
        <v>567</v>
      </c>
      <c r="K28" s="18" t="n">
        <v>2.94871082</v>
      </c>
      <c r="L28" s="20" t="n">
        <v>1.07613906</v>
      </c>
      <c r="M28" s="18" t="n">
        <v>0</v>
      </c>
      <c r="N28" s="20" t="n">
        <v>0</v>
      </c>
      <c r="O28" s="18" t="n">
        <v>0</v>
      </c>
      <c r="P28" s="20" t="n">
        <v>0</v>
      </c>
      <c r="Q28" s="18" t="n">
        <v>9.730047689999999</v>
      </c>
      <c r="R28" s="20" t="n">
        <v>1.73161532</v>
      </c>
    </row>
    <row r="29" spans="1:18">
      <c r="A29" s="15" t="s">
        <v>589</v>
      </c>
      <c r="B29" s="17" t="n">
        <v>2685</v>
      </c>
      <c r="C29" s="18">
        <f>(2429.0/B29*100)</f>
        <v/>
      </c>
      <c r="D29" s="19" t="n">
        <v>256</v>
      </c>
      <c r="E29" s="18" t="n">
        <v>32.51623235</v>
      </c>
      <c r="F29" s="20" t="n">
        <v>2.96144564</v>
      </c>
      <c r="G29" s="18" t="n">
        <v>61.7806268</v>
      </c>
      <c r="H29" s="20" t="n">
        <v>3.6583237</v>
      </c>
      <c r="I29" s="18" t="s">
        <v>567</v>
      </c>
      <c r="J29" s="20" t="s">
        <v>567</v>
      </c>
      <c r="K29" s="18" t="n">
        <v>1.63615452</v>
      </c>
      <c r="L29" s="20" t="n">
        <v>0.77908635</v>
      </c>
      <c r="M29" s="18" t="n">
        <v>0</v>
      </c>
      <c r="N29" s="20" t="n">
        <v>0</v>
      </c>
      <c r="O29" s="18" t="n">
        <v>0</v>
      </c>
      <c r="P29" s="20" t="n">
        <v>0</v>
      </c>
      <c r="Q29" s="18" t="n">
        <v>4.06698634</v>
      </c>
      <c r="R29" s="20" t="n">
        <v>1.26014884</v>
      </c>
    </row>
    <row r="30" spans="1:18">
      <c r="A30" s="15" t="s">
        <v>590</v>
      </c>
      <c r="B30" s="17" t="n">
        <v>2263</v>
      </c>
      <c r="C30" s="18">
        <f>(2006.0/B30*100)</f>
        <v/>
      </c>
      <c r="D30" s="19" t="n">
        <v>257</v>
      </c>
      <c r="E30" s="18" t="n">
        <v>24.80347866</v>
      </c>
      <c r="F30" s="20" t="n">
        <v>2.73816861</v>
      </c>
      <c r="G30" s="18" t="n">
        <v>51.76936727</v>
      </c>
      <c r="H30" s="20" t="n">
        <v>3.19861035</v>
      </c>
      <c r="I30" s="18" t="s">
        <v>567</v>
      </c>
      <c r="J30" s="20" t="s">
        <v>567</v>
      </c>
      <c r="K30" s="18" t="n">
        <v>4.96086527</v>
      </c>
      <c r="L30" s="20" t="n">
        <v>1.09596751</v>
      </c>
      <c r="M30" s="18" t="n">
        <v>0</v>
      </c>
      <c r="N30" s="20" t="n">
        <v>0</v>
      </c>
      <c r="O30" s="18" t="n">
        <v>0</v>
      </c>
      <c r="P30" s="20" t="n">
        <v>0</v>
      </c>
      <c r="Q30" s="18" t="n">
        <v>18.46628879</v>
      </c>
      <c r="R30" s="20" t="n">
        <v>2.46690098</v>
      </c>
    </row>
    <row r="31" spans="1:18">
      <c r="A31" s="15" t="s">
        <v>591</v>
      </c>
      <c r="B31" s="17" t="n">
        <v>2750</v>
      </c>
      <c r="C31" s="18">
        <f>(2446.0/B31*100)</f>
        <v/>
      </c>
      <c r="D31" s="19" t="n">
        <v>304</v>
      </c>
      <c r="E31" s="18" t="n">
        <v>22.64884606</v>
      </c>
      <c r="F31" s="20" t="n">
        <v>2.76148323</v>
      </c>
      <c r="G31" s="18" t="n">
        <v>56.25907552</v>
      </c>
      <c r="H31" s="20" t="n">
        <v>2.99751897</v>
      </c>
      <c r="I31" s="18" t="s">
        <v>567</v>
      </c>
      <c r="J31" s="20" t="s">
        <v>567</v>
      </c>
      <c r="K31" s="18" t="n">
        <v>6.01832533</v>
      </c>
      <c r="L31" s="20" t="n">
        <v>1.43038563</v>
      </c>
      <c r="M31" s="18" t="n">
        <v>0</v>
      </c>
      <c r="N31" s="20" t="n">
        <v>0</v>
      </c>
      <c r="O31" s="18" t="n">
        <v>0</v>
      </c>
      <c r="P31" s="20" t="n">
        <v>0</v>
      </c>
      <c r="Q31" s="18" t="n">
        <v>15.07375309</v>
      </c>
      <c r="R31" s="20" t="n">
        <v>2.05916841</v>
      </c>
    </row>
    <row r="32" spans="1:18">
      <c r="A32" s="15" t="s">
        <v>592</v>
      </c>
      <c r="B32" s="17" t="n">
        <v>2269</v>
      </c>
      <c r="C32" s="18">
        <f>(2030.0/B32*100)</f>
        <v/>
      </c>
      <c r="D32" s="19" t="n">
        <v>239</v>
      </c>
      <c r="E32" s="18" t="n">
        <v>20.0871213</v>
      </c>
      <c r="F32" s="20" t="n">
        <v>2.39664025</v>
      </c>
      <c r="G32" s="18" t="n">
        <v>67.64815578</v>
      </c>
      <c r="H32" s="20" t="n">
        <v>2.60851419</v>
      </c>
      <c r="I32" s="18" t="s">
        <v>567</v>
      </c>
      <c r="J32" s="20" t="s">
        <v>567</v>
      </c>
      <c r="K32" s="18" t="n">
        <v>0</v>
      </c>
      <c r="L32" s="20" t="n">
        <v>0</v>
      </c>
      <c r="M32" s="18" t="n">
        <v>0</v>
      </c>
      <c r="N32" s="20" t="n">
        <v>0</v>
      </c>
      <c r="O32" s="18" t="n">
        <v>0</v>
      </c>
      <c r="P32" s="20" t="n">
        <v>0</v>
      </c>
      <c r="Q32" s="18" t="n">
        <v>12.26472293</v>
      </c>
      <c r="R32" s="20" t="n">
        <v>2.35820669</v>
      </c>
    </row>
    <row r="33" spans="1:18">
      <c r="A33" s="15" t="s">
        <v>593</v>
      </c>
      <c r="B33" s="17" t="n">
        <v>3674</v>
      </c>
      <c r="C33" s="18">
        <f>(3270.0/B33*100)</f>
        <v/>
      </c>
      <c r="D33" s="19" t="n">
        <v>404</v>
      </c>
      <c r="E33" s="18" t="n">
        <v>39.52933204</v>
      </c>
      <c r="F33" s="20" t="n">
        <v>3.07902241</v>
      </c>
      <c r="G33" s="18" t="n">
        <v>40.69403096</v>
      </c>
      <c r="H33" s="20" t="n">
        <v>2.92320939</v>
      </c>
      <c r="I33" s="18" t="s">
        <v>567</v>
      </c>
      <c r="J33" s="20" t="s">
        <v>567</v>
      </c>
      <c r="K33" s="18" t="n">
        <v>1.03571619</v>
      </c>
      <c r="L33" s="20" t="n">
        <v>0.45640479</v>
      </c>
      <c r="M33" s="18" t="n">
        <v>0.5550211</v>
      </c>
      <c r="N33" s="20" t="n">
        <v>0.55348168</v>
      </c>
      <c r="O33" s="18" t="n">
        <v>0</v>
      </c>
      <c r="P33" s="20" t="n">
        <v>0</v>
      </c>
      <c r="Q33" s="18" t="n">
        <v>18.1858997</v>
      </c>
      <c r="R33" s="20" t="n">
        <v>2.23061693</v>
      </c>
    </row>
    <row r="34" spans="1:18">
      <c r="A34" s="15" t="s">
        <v>594</v>
      </c>
      <c r="B34" s="17" t="n">
        <v>3315</v>
      </c>
      <c r="C34" s="18">
        <f>(2987.0/B34*100)</f>
        <v/>
      </c>
      <c r="D34" s="19" t="n">
        <v>328</v>
      </c>
      <c r="E34" s="18" t="n">
        <v>40.31440562</v>
      </c>
      <c r="F34" s="20" t="n">
        <v>2.83875797</v>
      </c>
      <c r="G34" s="18" t="n">
        <v>31.68622481</v>
      </c>
      <c r="H34" s="20" t="n">
        <v>2.6819164</v>
      </c>
      <c r="I34" s="18" t="s">
        <v>567</v>
      </c>
      <c r="J34" s="20" t="s">
        <v>567</v>
      </c>
      <c r="K34" s="18" t="n">
        <v>3.43703262</v>
      </c>
      <c r="L34" s="20" t="n">
        <v>1.18404901</v>
      </c>
      <c r="M34" s="18" t="n">
        <v>0</v>
      </c>
      <c r="N34" s="20" t="n">
        <v>0</v>
      </c>
      <c r="O34" s="18" t="n">
        <v>0</v>
      </c>
      <c r="P34" s="20" t="n">
        <v>0</v>
      </c>
      <c r="Q34" s="18" t="n">
        <v>24.56233695</v>
      </c>
      <c r="R34" s="20" t="n">
        <v>2.41359125</v>
      </c>
    </row>
    <row r="35" spans="1:18">
      <c r="A35" s="15" t="s">
        <v>595</v>
      </c>
      <c r="B35" s="17" t="n">
        <v>3505</v>
      </c>
      <c r="C35" s="18">
        <f>(3147.0/B35*100)</f>
        <v/>
      </c>
      <c r="D35" s="19" t="n">
        <v>358</v>
      </c>
      <c r="E35" s="18" t="n">
        <v>26.24870469</v>
      </c>
      <c r="F35" s="20" t="n">
        <v>2.44088405</v>
      </c>
      <c r="G35" s="18" t="n">
        <v>63.03749094</v>
      </c>
      <c r="H35" s="20" t="n">
        <v>2.67029397</v>
      </c>
      <c r="I35" s="18" t="s">
        <v>567</v>
      </c>
      <c r="J35" s="20" t="s">
        <v>567</v>
      </c>
      <c r="K35" s="18" t="n">
        <v>1.26542479</v>
      </c>
      <c r="L35" s="20" t="n">
        <v>0.52026679</v>
      </c>
      <c r="M35" s="18" t="n">
        <v>0</v>
      </c>
      <c r="N35" s="20" t="n">
        <v>0</v>
      </c>
      <c r="O35" s="18" t="n">
        <v>0</v>
      </c>
      <c r="P35" s="20" t="n">
        <v>0</v>
      </c>
      <c r="Q35" s="18" t="n">
        <v>9.44837959</v>
      </c>
      <c r="R35" s="20" t="n">
        <v>1.6400586</v>
      </c>
    </row>
    <row r="36" spans="1:18">
      <c r="A36" s="15" t="s">
        <v>596</v>
      </c>
      <c r="B36" s="17" t="n">
        <v>3332</v>
      </c>
      <c r="C36" s="18">
        <f>(2944.0/B36*100)</f>
        <v/>
      </c>
      <c r="D36" s="19" t="n">
        <v>388</v>
      </c>
      <c r="E36" s="18" t="n">
        <v>29.96885275</v>
      </c>
      <c r="F36" s="20" t="n">
        <v>2.82410876</v>
      </c>
      <c r="G36" s="18" t="n">
        <v>50.68795858</v>
      </c>
      <c r="H36" s="20" t="n">
        <v>2.8739894</v>
      </c>
      <c r="I36" s="18" t="s">
        <v>567</v>
      </c>
      <c r="J36" s="20" t="s">
        <v>567</v>
      </c>
      <c r="K36" s="18" t="n">
        <v>3.78079836</v>
      </c>
      <c r="L36" s="20" t="n">
        <v>1.24947122</v>
      </c>
      <c r="M36" s="18" t="n">
        <v>0</v>
      </c>
      <c r="N36" s="20" t="n">
        <v>0</v>
      </c>
      <c r="O36" s="18" t="n">
        <v>0</v>
      </c>
      <c r="P36" s="20" t="n">
        <v>0</v>
      </c>
      <c r="Q36" s="18" t="n">
        <v>15.56239031</v>
      </c>
      <c r="R36" s="20" t="n">
        <v>2.15434601</v>
      </c>
    </row>
    <row r="37" spans="1:18">
      <c r="A37" s="15" t="s">
        <v>597</v>
      </c>
      <c r="B37" s="17" t="n">
        <v>2727</v>
      </c>
      <c r="C37" s="18">
        <f>(2433.0/B37*100)</f>
        <v/>
      </c>
      <c r="D37" s="19" t="n">
        <v>294</v>
      </c>
      <c r="E37" s="18" t="n">
        <v>26.18053595</v>
      </c>
      <c r="F37" s="20" t="n">
        <v>2.92786149</v>
      </c>
      <c r="G37" s="18" t="n">
        <v>47.13441567</v>
      </c>
      <c r="H37" s="20" t="n">
        <v>3.16060131</v>
      </c>
      <c r="I37" s="18" t="s">
        <v>567</v>
      </c>
      <c r="J37" s="20" t="s">
        <v>567</v>
      </c>
      <c r="K37" s="18" t="n">
        <v>7.21094918</v>
      </c>
      <c r="L37" s="20" t="n">
        <v>1.94572741</v>
      </c>
      <c r="M37" s="18" t="n">
        <v>0.54377069</v>
      </c>
      <c r="N37" s="20" t="n">
        <v>0.55482758</v>
      </c>
      <c r="O37" s="18" t="n">
        <v>0</v>
      </c>
      <c r="P37" s="20" t="n">
        <v>0</v>
      </c>
      <c r="Q37" s="18" t="n">
        <v>18.93032851</v>
      </c>
      <c r="R37" s="20" t="n">
        <v>2.22719047</v>
      </c>
    </row>
    <row r="38" spans="1:18">
      <c r="A38" s="15" t="s">
        <v>598</v>
      </c>
      <c r="B38" s="17" t="n">
        <v>3053</v>
      </c>
      <c r="C38" s="18">
        <f>(2719.0/B38*100)</f>
        <v/>
      </c>
      <c r="D38" s="19" t="n">
        <v>334</v>
      </c>
      <c r="E38" s="18" t="n">
        <v>21.07015347</v>
      </c>
      <c r="F38" s="20" t="n">
        <v>2.37567636</v>
      </c>
      <c r="G38" s="18" t="n">
        <v>54.81385094</v>
      </c>
      <c r="H38" s="20" t="n">
        <v>2.91689427</v>
      </c>
      <c r="I38" s="18" t="s">
        <v>567</v>
      </c>
      <c r="J38" s="20" t="s">
        <v>567</v>
      </c>
      <c r="K38" s="18" t="n">
        <v>4.89204784</v>
      </c>
      <c r="L38" s="20" t="n">
        <v>2.53759082</v>
      </c>
      <c r="M38" s="18" t="n">
        <v>1.80324197</v>
      </c>
      <c r="N38" s="20" t="n">
        <v>1.01379843</v>
      </c>
      <c r="O38" s="18" t="n">
        <v>0</v>
      </c>
      <c r="P38" s="20" t="n">
        <v>0</v>
      </c>
      <c r="Q38" s="18" t="n">
        <v>17.42070578</v>
      </c>
      <c r="R38" s="20" t="n">
        <v>3.13475036</v>
      </c>
    </row>
    <row r="39" spans="1:18">
      <c r="A39" s="15" t="s">
        <v>599</v>
      </c>
      <c r="B39" s="17" t="n">
        <v>2957</v>
      </c>
      <c r="C39" s="18">
        <f>(2647.0/B39*100)</f>
        <v/>
      </c>
      <c r="D39" s="19" t="n">
        <v>310</v>
      </c>
      <c r="E39" s="18" t="n">
        <v>53.38109087</v>
      </c>
      <c r="F39" s="20" t="n">
        <v>4.16328107</v>
      </c>
      <c r="G39" s="18" t="n">
        <v>29.24037058</v>
      </c>
      <c r="H39" s="20" t="n">
        <v>3.11845421</v>
      </c>
      <c r="I39" s="18" t="s">
        <v>567</v>
      </c>
      <c r="J39" s="20" t="s">
        <v>567</v>
      </c>
      <c r="K39" s="18" t="n">
        <v>1.70885924</v>
      </c>
      <c r="L39" s="20" t="n">
        <v>0.73552415</v>
      </c>
      <c r="M39" s="18" t="n">
        <v>0</v>
      </c>
      <c r="N39" s="20" t="n">
        <v>0</v>
      </c>
      <c r="O39" s="18" t="n">
        <v>0</v>
      </c>
      <c r="P39" s="20" t="n">
        <v>0</v>
      </c>
      <c r="Q39" s="18" t="n">
        <v>15.66967931</v>
      </c>
      <c r="R39" s="20" t="n">
        <v>2.97630193</v>
      </c>
    </row>
    <row r="40" spans="1:18">
      <c r="A40" s="15" t="s">
        <v>600</v>
      </c>
      <c r="B40" s="17" t="n">
        <v>7235</v>
      </c>
      <c r="C40" s="18">
        <f>(6429.0/B40*100)</f>
        <v/>
      </c>
      <c r="D40" s="19" t="n">
        <v>806</v>
      </c>
      <c r="E40" s="18" t="n">
        <v>29.02235724</v>
      </c>
      <c r="F40" s="20" t="n">
        <v>2.67807549</v>
      </c>
      <c r="G40" s="18" t="n">
        <v>50.23621259</v>
      </c>
      <c r="H40" s="20" t="n">
        <v>3.15020722</v>
      </c>
      <c r="I40" s="18" t="s">
        <v>567</v>
      </c>
      <c r="J40" s="20" t="s">
        <v>567</v>
      </c>
      <c r="K40" s="18" t="n">
        <v>3.81902749</v>
      </c>
      <c r="L40" s="20" t="n">
        <v>0.83040784</v>
      </c>
      <c r="M40" s="18" t="n">
        <v>0.2014813</v>
      </c>
      <c r="N40" s="20" t="n">
        <v>0.19265818</v>
      </c>
      <c r="O40" s="18" t="n">
        <v>0</v>
      </c>
      <c r="P40" s="20" t="n">
        <v>0</v>
      </c>
      <c r="Q40" s="18" t="n">
        <v>16.72092137</v>
      </c>
      <c r="R40" s="20" t="n">
        <v>2.25946281</v>
      </c>
    </row>
    <row r="41" spans="1:18">
      <c r="A41" s="15" t="s">
        <v>601</v>
      </c>
      <c r="B41" s="17" t="n">
        <v>2858</v>
      </c>
      <c r="C41" s="18">
        <f>(2513.0/B41*100)</f>
        <v/>
      </c>
      <c r="D41" s="19" t="n">
        <v>345</v>
      </c>
      <c r="E41" s="18" t="n">
        <v>46.71533425</v>
      </c>
      <c r="F41" s="20" t="n">
        <v>3.03972185</v>
      </c>
      <c r="G41" s="18" t="n">
        <v>42.89606431</v>
      </c>
      <c r="H41" s="20" t="n">
        <v>3.00019062</v>
      </c>
      <c r="I41" s="18" t="s">
        <v>567</v>
      </c>
      <c r="J41" s="20" t="s">
        <v>567</v>
      </c>
      <c r="K41" s="18" t="n">
        <v>1.38379612</v>
      </c>
      <c r="L41" s="20" t="n">
        <v>0.60748999</v>
      </c>
      <c r="M41" s="18" t="n">
        <v>0</v>
      </c>
      <c r="N41" s="20" t="n">
        <v>0</v>
      </c>
      <c r="O41" s="18" t="n">
        <v>0</v>
      </c>
      <c r="P41" s="20" t="n">
        <v>0</v>
      </c>
      <c r="Q41" s="18" t="n">
        <v>9.00480533</v>
      </c>
      <c r="R41" s="20" t="n">
        <v>1.86333563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(10150.0/B46*100)</f>
        <v/>
      </c>
      <c r="D46" s="19" t="n">
        <v>918</v>
      </c>
      <c r="E46" s="18" t="n">
        <v>53.71799111</v>
      </c>
      <c r="F46" s="20" t="n">
        <v>2.28301555</v>
      </c>
      <c r="G46" s="18" t="n">
        <v>15.62674966</v>
      </c>
      <c r="H46" s="20" t="n">
        <v>1.39352943</v>
      </c>
      <c r="I46" s="18" t="s">
        <v>567</v>
      </c>
      <c r="J46" s="20" t="s">
        <v>567</v>
      </c>
      <c r="K46" s="18" t="n">
        <v>9.91434551</v>
      </c>
      <c r="L46" s="20" t="n">
        <v>1.51831805</v>
      </c>
      <c r="M46" s="18" t="n">
        <v>0.10112731</v>
      </c>
      <c r="N46" s="20" t="n">
        <v>0.0924367</v>
      </c>
      <c r="O46" s="18" t="n">
        <v>0</v>
      </c>
      <c r="P46" s="20" t="n">
        <v>0</v>
      </c>
      <c r="Q46" s="18" t="n">
        <v>20.63978641</v>
      </c>
      <c r="R46" s="20" t="n">
        <v>2.0288732</v>
      </c>
    </row>
    <row r="47" spans="1:18">
      <c r="A47" s="15" t="s">
        <v>607</v>
      </c>
      <c r="B47" s="17" t="n">
        <v>3105</v>
      </c>
      <c r="C47" s="18">
        <f>(2762.0/B47*100)</f>
        <v/>
      </c>
      <c r="D47" s="19" t="n">
        <v>343</v>
      </c>
      <c r="E47" s="18" t="n">
        <v>33.63325711</v>
      </c>
      <c r="F47" s="20" t="n">
        <v>2.39648935</v>
      </c>
      <c r="G47" s="18" t="n">
        <v>36.23328896</v>
      </c>
      <c r="H47" s="20" t="n">
        <v>2.58328853</v>
      </c>
      <c r="I47" s="18" t="s">
        <v>567</v>
      </c>
      <c r="J47" s="20" t="s">
        <v>567</v>
      </c>
      <c r="K47" s="18" t="n">
        <v>6.21454531</v>
      </c>
      <c r="L47" s="20" t="n">
        <v>1.43386168</v>
      </c>
      <c r="M47" s="18" t="n">
        <v>0.27262692</v>
      </c>
      <c r="N47" s="20" t="n">
        <v>0.27244187</v>
      </c>
      <c r="O47" s="18" t="n">
        <v>0</v>
      </c>
      <c r="P47" s="20" t="n">
        <v>0</v>
      </c>
      <c r="Q47" s="18" t="n">
        <v>23.6462817</v>
      </c>
      <c r="R47" s="20" t="n">
        <v>1.66635765</v>
      </c>
    </row>
    <row r="48" spans="1:18">
      <c r="A48" s="15" t="s">
        <v>608</v>
      </c>
      <c r="B48" s="17" t="n">
        <v>5159</v>
      </c>
      <c r="C48" s="18">
        <f>(4596.0/B48*100)</f>
        <v/>
      </c>
      <c r="D48" s="19" t="n">
        <v>563</v>
      </c>
      <c r="E48" s="18" t="n">
        <v>32.94310671</v>
      </c>
      <c r="F48" s="20" t="n">
        <v>2.50631243</v>
      </c>
      <c r="G48" s="18" t="n">
        <v>54.43687112</v>
      </c>
      <c r="H48" s="20" t="n">
        <v>2.59375221</v>
      </c>
      <c r="I48" s="18" t="s">
        <v>567</v>
      </c>
      <c r="J48" s="20" t="s">
        <v>567</v>
      </c>
      <c r="K48" s="18" t="n">
        <v>1.76516473</v>
      </c>
      <c r="L48" s="20" t="n">
        <v>0.64852157</v>
      </c>
      <c r="M48" s="18" t="n">
        <v>0.31238652</v>
      </c>
      <c r="N48" s="20" t="n">
        <v>0.30678049</v>
      </c>
      <c r="O48" s="18" t="n">
        <v>0</v>
      </c>
      <c r="P48" s="20" t="n">
        <v>0</v>
      </c>
      <c r="Q48" s="18" t="n">
        <v>10.54247092</v>
      </c>
      <c r="R48" s="20" t="n">
        <v>2.09850532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(5048.0/B50*100)</f>
        <v/>
      </c>
      <c r="D50" s="19" t="n">
        <v>589</v>
      </c>
      <c r="E50" s="18" t="n">
        <v>64.24521778</v>
      </c>
      <c r="F50" s="20" t="n">
        <v>2.54503161</v>
      </c>
      <c r="G50" s="18" t="n">
        <v>16.349466</v>
      </c>
      <c r="H50" s="20" t="n">
        <v>2.21967129</v>
      </c>
      <c r="I50" s="18" t="s">
        <v>567</v>
      </c>
      <c r="J50" s="20" t="s">
        <v>567</v>
      </c>
      <c r="K50" s="18" t="n">
        <v>4.97438539</v>
      </c>
      <c r="L50" s="20" t="n">
        <v>1.06256635</v>
      </c>
      <c r="M50" s="18" t="n">
        <v>0</v>
      </c>
      <c r="N50" s="20" t="n">
        <v>0</v>
      </c>
      <c r="O50" s="18" t="n">
        <v>0</v>
      </c>
      <c r="P50" s="20" t="n">
        <v>0</v>
      </c>
      <c r="Q50" s="18" t="n">
        <v>14.43093084</v>
      </c>
      <c r="R50" s="20" t="n">
        <v>1.80881322</v>
      </c>
    </row>
    <row r="51" spans="1:18">
      <c r="A51" s="15" t="s">
        <v>611</v>
      </c>
      <c r="B51" s="17" t="n">
        <v>3372</v>
      </c>
      <c r="C51" s="18">
        <f>(3058.0/B51*100)</f>
        <v/>
      </c>
      <c r="D51" s="19" t="n">
        <v>314</v>
      </c>
      <c r="E51" s="18" t="n">
        <v>47.46999909</v>
      </c>
      <c r="F51" s="20" t="n">
        <v>3.2138592</v>
      </c>
      <c r="G51" s="18" t="n">
        <v>31.67136736</v>
      </c>
      <c r="H51" s="20" t="n">
        <v>2.90861713</v>
      </c>
      <c r="I51" s="18" t="s">
        <v>567</v>
      </c>
      <c r="J51" s="20" t="s">
        <v>567</v>
      </c>
      <c r="K51" s="18" t="n">
        <v>3.85926918</v>
      </c>
      <c r="L51" s="20" t="n">
        <v>1.07945135</v>
      </c>
      <c r="M51" s="18" t="n">
        <v>0</v>
      </c>
      <c r="N51" s="20" t="n">
        <v>0</v>
      </c>
      <c r="O51" s="18" t="n">
        <v>0</v>
      </c>
      <c r="P51" s="20" t="n">
        <v>0</v>
      </c>
      <c r="Q51" s="18" t="n">
        <v>16.99936437</v>
      </c>
      <c r="R51" s="20" t="n">
        <v>2.18265428</v>
      </c>
    </row>
    <row r="52" spans="1:18">
      <c r="A52" s="15" t="s">
        <v>612</v>
      </c>
      <c r="B52" s="17" t="n">
        <v>2796</v>
      </c>
      <c r="C52" s="18">
        <f>(2503.0/B52*100)</f>
        <v/>
      </c>
      <c r="D52" s="19" t="n">
        <v>293</v>
      </c>
      <c r="E52" s="18" t="n">
        <v>37.73061425</v>
      </c>
      <c r="F52" s="20" t="n">
        <v>2.58970202</v>
      </c>
      <c r="G52" s="18" t="n">
        <v>29.29468161</v>
      </c>
      <c r="H52" s="20" t="n">
        <v>2.93100505</v>
      </c>
      <c r="I52" s="18" t="s">
        <v>567</v>
      </c>
      <c r="J52" s="20" t="s">
        <v>567</v>
      </c>
      <c r="K52" s="18" t="n">
        <v>4.29666179</v>
      </c>
      <c r="L52" s="20" t="n">
        <v>1.5134017</v>
      </c>
      <c r="M52" s="18" t="n">
        <v>0</v>
      </c>
      <c r="N52" s="20" t="n">
        <v>0</v>
      </c>
      <c r="O52" s="18" t="n">
        <v>0</v>
      </c>
      <c r="P52" s="20" t="n">
        <v>0</v>
      </c>
      <c r="Q52" s="18" t="n">
        <v>28.67804235</v>
      </c>
      <c r="R52" s="20" t="n">
        <v>2.62631438</v>
      </c>
    </row>
    <row r="53" spans="1:18">
      <c r="A53" s="15" t="s">
        <v>613</v>
      </c>
      <c r="B53" s="17" t="n">
        <v>2811</v>
      </c>
      <c r="C53" s="18">
        <f>(2487.0/B53*100)</f>
        <v/>
      </c>
      <c r="D53" s="19" t="n">
        <v>324</v>
      </c>
      <c r="E53" s="18" t="n">
        <v>38.39703923</v>
      </c>
      <c r="F53" s="20" t="n">
        <v>2.88813656</v>
      </c>
      <c r="G53" s="18" t="n">
        <v>23.76084017</v>
      </c>
      <c r="H53" s="20" t="n">
        <v>2.30089703</v>
      </c>
      <c r="I53" s="18" t="s">
        <v>567</v>
      </c>
      <c r="J53" s="20" t="s">
        <v>567</v>
      </c>
      <c r="K53" s="18" t="n">
        <v>7.24248699</v>
      </c>
      <c r="L53" s="20" t="n">
        <v>1.61400715</v>
      </c>
      <c r="M53" s="18" t="n">
        <v>0</v>
      </c>
      <c r="N53" s="20" t="n">
        <v>0</v>
      </c>
      <c r="O53" s="18" t="n">
        <v>0</v>
      </c>
      <c r="P53" s="20" t="n">
        <v>0</v>
      </c>
      <c r="Q53" s="18" t="n">
        <v>30.59963361</v>
      </c>
      <c r="R53" s="20" t="n">
        <v>2.34327853</v>
      </c>
    </row>
    <row r="54" spans="1:18">
      <c r="A54" s="15" t="s">
        <v>614</v>
      </c>
      <c r="B54" s="17" t="n">
        <v>2266</v>
      </c>
      <c r="C54" s="18">
        <f>(2025.0/B54*100)</f>
        <v/>
      </c>
      <c r="D54" s="19" t="n">
        <v>241</v>
      </c>
      <c r="E54" s="18" t="n">
        <v>38.27761607</v>
      </c>
      <c r="F54" s="20" t="n">
        <v>2.90036177</v>
      </c>
      <c r="G54" s="18" t="n">
        <v>3.34055932</v>
      </c>
      <c r="H54" s="20" t="n">
        <v>0.99622444</v>
      </c>
      <c r="I54" s="18" t="s">
        <v>567</v>
      </c>
      <c r="J54" s="20" t="s">
        <v>567</v>
      </c>
      <c r="K54" s="18" t="n">
        <v>32.67465225</v>
      </c>
      <c r="L54" s="20" t="n">
        <v>3.51297899</v>
      </c>
      <c r="M54" s="18" t="n">
        <v>0.37303601</v>
      </c>
      <c r="N54" s="20" t="n">
        <v>0.37323819</v>
      </c>
      <c r="O54" s="18" t="n">
        <v>0</v>
      </c>
      <c r="P54" s="20" t="n">
        <v>0</v>
      </c>
      <c r="Q54" s="18" t="n">
        <v>25.33413635</v>
      </c>
      <c r="R54" s="20" t="n">
        <v>3.2534756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(2402.0/B56*100)</f>
        <v/>
      </c>
      <c r="D56" s="19" t="n">
        <v>282</v>
      </c>
      <c r="E56" s="18" t="n">
        <v>28.47998671</v>
      </c>
      <c r="F56" s="20" t="n">
        <v>2.73886816</v>
      </c>
      <c r="G56" s="18" t="n">
        <v>62.15951365</v>
      </c>
      <c r="H56" s="20" t="n">
        <v>3.19015491</v>
      </c>
      <c r="I56" s="18" t="s">
        <v>567</v>
      </c>
      <c r="J56" s="20" t="s">
        <v>567</v>
      </c>
      <c r="K56" s="18" t="n">
        <v>0.82346275</v>
      </c>
      <c r="L56" s="20" t="n">
        <v>0.58822014</v>
      </c>
      <c r="M56" s="18" t="n">
        <v>0.2389803</v>
      </c>
      <c r="N56" s="20" t="n">
        <v>0.23970077</v>
      </c>
      <c r="O56" s="18" t="n">
        <v>0</v>
      </c>
      <c r="P56" s="20" t="n">
        <v>0</v>
      </c>
      <c r="Q56" s="18" t="n">
        <v>8.29805659</v>
      </c>
      <c r="R56" s="20" t="n">
        <v>1.46265844</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(2978.0/B61*100)</f>
        <v/>
      </c>
      <c r="D61" s="19" t="n">
        <v>346</v>
      </c>
      <c r="E61" s="18" t="n">
        <v>38.02302951</v>
      </c>
      <c r="F61" s="20" t="n">
        <v>2.98218185</v>
      </c>
      <c r="G61" s="18" t="n">
        <v>38.38458476</v>
      </c>
      <c r="H61" s="20" t="n">
        <v>3.52736541</v>
      </c>
      <c r="I61" s="18" t="s">
        <v>567</v>
      </c>
      <c r="J61" s="20" t="s">
        <v>567</v>
      </c>
      <c r="K61" s="18" t="n">
        <v>3.08856114</v>
      </c>
      <c r="L61" s="20" t="n">
        <v>0.96825136</v>
      </c>
      <c r="M61" s="18" t="n">
        <v>0</v>
      </c>
      <c r="N61" s="20" t="n">
        <v>0</v>
      </c>
      <c r="O61" s="18" t="n">
        <v>0</v>
      </c>
      <c r="P61" s="20" t="n">
        <v>0</v>
      </c>
      <c r="Q61" s="18" t="n">
        <v>20.50382459</v>
      </c>
      <c r="R61" s="20" t="n">
        <v>2.31345497</v>
      </c>
    </row>
    <row r="62" spans="1:18">
      <c r="A62" s="15" t="s">
        <v>622</v>
      </c>
      <c r="B62" s="17" t="n">
        <v>2246</v>
      </c>
      <c r="C62" s="18">
        <f>(1997.0/B62*100)</f>
        <v/>
      </c>
      <c r="D62" s="19" t="n">
        <v>249</v>
      </c>
      <c r="E62" s="18" t="n">
        <v>36.13703888</v>
      </c>
      <c r="F62" s="20" t="n">
        <v>3.02723056</v>
      </c>
      <c r="G62" s="18" t="n">
        <v>57.02406486</v>
      </c>
      <c r="H62" s="20" t="n">
        <v>3.09568008</v>
      </c>
      <c r="I62" s="18" t="s">
        <v>567</v>
      </c>
      <c r="J62" s="20" t="s">
        <v>567</v>
      </c>
      <c r="K62" s="18" t="n">
        <v>0.39876946</v>
      </c>
      <c r="L62" s="20" t="n">
        <v>0.40146479</v>
      </c>
      <c r="M62" s="18" t="n">
        <v>0</v>
      </c>
      <c r="N62" s="20" t="n">
        <v>0</v>
      </c>
      <c r="O62" s="18" t="n">
        <v>0</v>
      </c>
      <c r="P62" s="20" t="n">
        <v>0</v>
      </c>
      <c r="Q62" s="18" t="n">
        <v>6.4401268</v>
      </c>
      <c r="R62" s="20" t="n">
        <v>1.62575504</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(2588.0/B66*100)</f>
        <v/>
      </c>
      <c r="D66" s="19" t="n">
        <v>306</v>
      </c>
      <c r="E66" s="18" t="n">
        <v>29.74875766</v>
      </c>
      <c r="F66" s="20" t="n">
        <v>2.60444054</v>
      </c>
      <c r="G66" s="18" t="n">
        <v>20.911938</v>
      </c>
      <c r="H66" s="20" t="n">
        <v>2.18971944</v>
      </c>
      <c r="I66" s="18" t="s">
        <v>567</v>
      </c>
      <c r="J66" s="20" t="s">
        <v>567</v>
      </c>
      <c r="K66" s="18" t="n">
        <v>16.42317068</v>
      </c>
      <c r="L66" s="20" t="n">
        <v>2.25103991</v>
      </c>
      <c r="M66" s="18" t="n">
        <v>0.67638532</v>
      </c>
      <c r="N66" s="20" t="n">
        <v>0.47959319</v>
      </c>
      <c r="O66" s="18" t="n">
        <v>0</v>
      </c>
      <c r="P66" s="20" t="n">
        <v>0</v>
      </c>
      <c r="Q66" s="18" t="n">
        <v>32.23974834</v>
      </c>
      <c r="R66" s="20" t="n">
        <v>2.96186347</v>
      </c>
    </row>
    <row r="67" spans="1:18">
      <c r="A67" s="15" t="s">
        <v>627</v>
      </c>
      <c r="B67" s="17" t="n">
        <v>3511</v>
      </c>
      <c r="C67" s="18">
        <f>(3198.0/B67*100)</f>
        <v/>
      </c>
      <c r="D67" s="19" t="n">
        <v>313</v>
      </c>
      <c r="E67" s="18" t="n">
        <v>63.00442937</v>
      </c>
      <c r="F67" s="20" t="n">
        <v>3.09411471</v>
      </c>
      <c r="G67" s="18" t="n">
        <v>16.31711311</v>
      </c>
      <c r="H67" s="20" t="n">
        <v>2.35965847</v>
      </c>
      <c r="I67" s="18" t="s">
        <v>567</v>
      </c>
      <c r="J67" s="20" t="s">
        <v>567</v>
      </c>
      <c r="K67" s="18" t="n">
        <v>3.14332609</v>
      </c>
      <c r="L67" s="20" t="n">
        <v>0.84592572</v>
      </c>
      <c r="M67" s="18" t="n">
        <v>0</v>
      </c>
      <c r="N67" s="20" t="n">
        <v>0</v>
      </c>
      <c r="O67" s="18" t="n">
        <v>0</v>
      </c>
      <c r="P67" s="20" t="n">
        <v>0</v>
      </c>
      <c r="Q67" s="18" t="n">
        <v>17.53513142</v>
      </c>
      <c r="R67" s="20" t="n">
        <v>2.38710915</v>
      </c>
    </row>
    <row r="68" spans="1:18">
      <c r="A68" s="15" t="s">
        <v>628</v>
      </c>
      <c r="B68" s="17" t="n">
        <v>6049</v>
      </c>
      <c r="C68" s="18">
        <f>(5394.0/B68*100)</f>
        <v/>
      </c>
      <c r="D68" s="19" t="n">
        <v>655</v>
      </c>
      <c r="E68" s="18" t="n">
        <v>50.59862535</v>
      </c>
      <c r="F68" s="20" t="n">
        <v>2.03216428</v>
      </c>
      <c r="G68" s="18" t="n">
        <v>18.82977528</v>
      </c>
      <c r="H68" s="20" t="n">
        <v>1.70265787</v>
      </c>
      <c r="I68" s="18" t="s">
        <v>567</v>
      </c>
      <c r="J68" s="20" t="s">
        <v>567</v>
      </c>
      <c r="K68" s="18" t="n">
        <v>9.213645359999999</v>
      </c>
      <c r="L68" s="20" t="n">
        <v>1.26979973</v>
      </c>
      <c r="M68" s="18" t="n">
        <v>0</v>
      </c>
      <c r="N68" s="20" t="n">
        <v>0</v>
      </c>
      <c r="O68" s="18" t="n">
        <v>0</v>
      </c>
      <c r="P68" s="20" t="n">
        <v>0</v>
      </c>
      <c r="Q68" s="18" t="n">
        <v>21.35795401</v>
      </c>
      <c r="R68" s="20" t="n">
        <v>1.58365496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(2629.0/B70*100)</f>
        <v/>
      </c>
      <c r="D70" s="19" t="n">
        <v>300</v>
      </c>
      <c r="E70" s="18" t="n">
        <v>43.11863025</v>
      </c>
      <c r="F70" s="20" t="n">
        <v>2.75067074</v>
      </c>
      <c r="G70" s="18" t="n">
        <v>43.15004046</v>
      </c>
      <c r="H70" s="20" t="n">
        <v>3.49507529</v>
      </c>
      <c r="I70" s="18" t="s">
        <v>567</v>
      </c>
      <c r="J70" s="20" t="s">
        <v>567</v>
      </c>
      <c r="K70" s="18" t="n">
        <v>1.31542387</v>
      </c>
      <c r="L70" s="20" t="n">
        <v>0.64364263</v>
      </c>
      <c r="M70" s="18" t="n">
        <v>0</v>
      </c>
      <c r="N70" s="20" t="n">
        <v>0</v>
      </c>
      <c r="O70" s="18" t="n">
        <v>0</v>
      </c>
      <c r="P70" s="20" t="n">
        <v>0</v>
      </c>
      <c r="Q70" s="18" t="n">
        <v>12.41590542</v>
      </c>
      <c r="R70" s="20" t="n">
        <v>2.80385711</v>
      </c>
    </row>
    <row r="71" spans="1:18">
      <c r="A71" s="15" t="s">
        <v>631</v>
      </c>
      <c r="B71" s="17" t="n">
        <v>3142</v>
      </c>
      <c r="C71" s="18">
        <f>(2748.0/B71*100)</f>
        <v/>
      </c>
      <c r="D71" s="19" t="n">
        <v>394</v>
      </c>
      <c r="E71" s="18" t="n">
        <v>25.70224895</v>
      </c>
      <c r="F71" s="20" t="n">
        <v>2.50184859</v>
      </c>
      <c r="G71" s="18" t="n">
        <v>66.88390815</v>
      </c>
      <c r="H71" s="20" t="n">
        <v>2.7416247</v>
      </c>
      <c r="I71" s="18" t="s">
        <v>567</v>
      </c>
      <c r="J71" s="20" t="s">
        <v>567</v>
      </c>
      <c r="K71" s="18" t="n">
        <v>0.41516601</v>
      </c>
      <c r="L71" s="20" t="n">
        <v>0.29302454</v>
      </c>
      <c r="M71" s="18" t="n">
        <v>0</v>
      </c>
      <c r="N71" s="20" t="n">
        <v>0</v>
      </c>
      <c r="O71" s="18" t="n">
        <v>0</v>
      </c>
      <c r="P71" s="20" t="n">
        <v>0</v>
      </c>
      <c r="Q71" s="18" t="n">
        <v>6.99867689</v>
      </c>
      <c r="R71" s="20" t="n">
        <v>1.33976741</v>
      </c>
    </row>
    <row r="72" spans="1:18">
      <c r="A72" s="15" t="s">
        <v>632</v>
      </c>
      <c r="B72" s="17" t="n">
        <v>3889</v>
      </c>
      <c r="C72" s="18">
        <f>(3470.0/B72*100)</f>
        <v/>
      </c>
      <c r="D72" s="19" t="n">
        <v>419</v>
      </c>
      <c r="E72" s="18" t="n">
        <v>35.19314739</v>
      </c>
      <c r="F72" s="20" t="n">
        <v>2.49913754</v>
      </c>
      <c r="G72" s="18" t="n">
        <v>53.246348</v>
      </c>
      <c r="H72" s="20" t="n">
        <v>2.76148975</v>
      </c>
      <c r="I72" s="18" t="s">
        <v>567</v>
      </c>
      <c r="J72" s="20" t="s">
        <v>567</v>
      </c>
      <c r="K72" s="18" t="n">
        <v>2.48418947</v>
      </c>
      <c r="L72" s="20" t="n">
        <v>0.8537245</v>
      </c>
      <c r="M72" s="18" t="n">
        <v>0</v>
      </c>
      <c r="N72" s="20" t="n">
        <v>0</v>
      </c>
      <c r="O72" s="18" t="n">
        <v>0</v>
      </c>
      <c r="P72" s="20" t="n">
        <v>0</v>
      </c>
      <c r="Q72" s="18" t="n">
        <v>9.076315129999999</v>
      </c>
      <c r="R72" s="20" t="n">
        <v>1.52534668</v>
      </c>
    </row>
    <row r="73" spans="1:18">
      <c r="A73" s="15" t="s">
        <v>633</v>
      </c>
      <c r="B73" s="17" t="n">
        <v>3597</v>
      </c>
      <c r="C73" s="18">
        <f>(3233.0/B73*100)</f>
        <v/>
      </c>
      <c r="D73" s="19" t="n">
        <v>364</v>
      </c>
      <c r="E73" s="18" t="n">
        <v>67.50924212</v>
      </c>
      <c r="F73" s="20" t="n">
        <v>3.13226907</v>
      </c>
      <c r="G73" s="18" t="n">
        <v>28.54359699</v>
      </c>
      <c r="H73" s="20" t="n">
        <v>3.25314472</v>
      </c>
      <c r="I73" s="18" t="s">
        <v>567</v>
      </c>
      <c r="J73" s="20" t="s">
        <v>567</v>
      </c>
      <c r="K73" s="18" t="n">
        <v>0.76895086</v>
      </c>
      <c r="L73" s="20" t="n">
        <v>0.60790155</v>
      </c>
      <c r="M73" s="18" t="n">
        <v>0.0127902</v>
      </c>
      <c r="N73" s="20" t="n">
        <v>0.01281981</v>
      </c>
      <c r="O73" s="18" t="n">
        <v>0</v>
      </c>
      <c r="P73" s="20" t="n">
        <v>0</v>
      </c>
      <c r="Q73" s="18" t="n">
        <v>3.16541982</v>
      </c>
      <c r="R73" s="20" t="n">
        <v>0.89081722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(2171.0/B75*100)</f>
        <v/>
      </c>
      <c r="D75" s="19" t="n">
        <v>235</v>
      </c>
      <c r="E75" s="18" t="n">
        <v>48.45799353</v>
      </c>
      <c r="F75" s="20" t="n">
        <v>3.62783279</v>
      </c>
      <c r="G75" s="18" t="n">
        <v>9.866386439999999</v>
      </c>
      <c r="H75" s="20" t="n">
        <v>1.69530316</v>
      </c>
      <c r="I75" s="18" t="s">
        <v>567</v>
      </c>
      <c r="J75" s="20" t="s">
        <v>567</v>
      </c>
      <c r="K75" s="18" t="n">
        <v>12.76871527</v>
      </c>
      <c r="L75" s="20" t="n">
        <v>2.51807341</v>
      </c>
      <c r="M75" s="18" t="n">
        <v>0</v>
      </c>
      <c r="N75" s="20" t="n">
        <v>0</v>
      </c>
      <c r="O75" s="18" t="n">
        <v>0</v>
      </c>
      <c r="P75" s="20" t="n">
        <v>0</v>
      </c>
      <c r="Q75" s="18" t="n">
        <v>28.90690476</v>
      </c>
      <c r="R75" s="20" t="n">
        <v>2.60546294</v>
      </c>
    </row>
    <row r="76" spans="1:18">
      <c r="A76" s="15" t="s">
        <v>636</v>
      </c>
      <c r="B76" s="17" t="n">
        <v>7052</v>
      </c>
      <c r="C76" s="18">
        <f>(6265.0/B76*100)</f>
        <v/>
      </c>
      <c r="D76" s="19" t="n">
        <v>787</v>
      </c>
      <c r="E76" s="18" t="n">
        <v>62.49095561</v>
      </c>
      <c r="F76" s="20" t="n">
        <v>2.00695548</v>
      </c>
      <c r="G76" s="18" t="n">
        <v>18.84727057</v>
      </c>
      <c r="H76" s="20" t="n">
        <v>1.87748861</v>
      </c>
      <c r="I76" s="18" t="s">
        <v>567</v>
      </c>
      <c r="J76" s="20" t="s">
        <v>567</v>
      </c>
      <c r="K76" s="18" t="n">
        <v>3.72838101</v>
      </c>
      <c r="L76" s="20" t="n">
        <v>0.77673448</v>
      </c>
      <c r="M76" s="18" t="n">
        <v>0.04203998</v>
      </c>
      <c r="N76" s="20" t="n">
        <v>0.04218849</v>
      </c>
      <c r="O76" s="18" t="n">
        <v>0</v>
      </c>
      <c r="P76" s="20" t="n">
        <v>0</v>
      </c>
      <c r="Q76" s="18" t="n">
        <v>14.89135283</v>
      </c>
      <c r="R76" s="20" t="n">
        <v>1.38431571</v>
      </c>
    </row>
    <row r="77" spans="1:18">
      <c r="A77" s="15" t="s">
        <v>637</v>
      </c>
      <c r="B77" s="17" t="n">
        <v>2908</v>
      </c>
      <c r="C77" s="18">
        <f>(2632.0/B77*100)</f>
        <v/>
      </c>
      <c r="D77" s="19" t="n">
        <v>276</v>
      </c>
      <c r="E77" s="18" t="n">
        <v>35.90019193</v>
      </c>
      <c r="F77" s="20" t="n">
        <v>3.00463761</v>
      </c>
      <c r="G77" s="18" t="n">
        <v>28.38860416</v>
      </c>
      <c r="H77" s="20" t="n">
        <v>2.68410406</v>
      </c>
      <c r="I77" s="18" t="s">
        <v>567</v>
      </c>
      <c r="J77" s="20" t="s">
        <v>567</v>
      </c>
      <c r="K77" s="18" t="n">
        <v>9.82495898</v>
      </c>
      <c r="L77" s="20" t="n">
        <v>1.92643008</v>
      </c>
      <c r="M77" s="18" t="n">
        <v>0</v>
      </c>
      <c r="N77" s="20" t="n">
        <v>0</v>
      </c>
      <c r="O77" s="18" t="n">
        <v>0</v>
      </c>
      <c r="P77" s="20" t="n">
        <v>0</v>
      </c>
      <c r="Q77" s="18" t="n">
        <v>25.88624493</v>
      </c>
      <c r="R77" s="20" t="n">
        <v>2.70983659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(3729.0/B81*100)</f>
        <v/>
      </c>
      <c r="D81" s="19" t="n">
        <v>434</v>
      </c>
      <c r="E81" s="18" t="n">
        <v>72.67772943</v>
      </c>
      <c r="F81" s="20" t="n">
        <v>2.62620399</v>
      </c>
      <c r="G81" s="18" t="n">
        <v>18.40756555</v>
      </c>
      <c r="H81" s="20" t="n">
        <v>2.43642969</v>
      </c>
      <c r="I81" s="18" t="s">
        <v>567</v>
      </c>
      <c r="J81" s="20" t="s">
        <v>567</v>
      </c>
      <c r="K81" s="18" t="n">
        <v>0.78907265</v>
      </c>
      <c r="L81" s="20" t="n">
        <v>0.56751391</v>
      </c>
      <c r="M81" s="18" t="n">
        <v>0</v>
      </c>
      <c r="N81" s="20" t="n">
        <v>0</v>
      </c>
      <c r="O81" s="18" t="n">
        <v>0</v>
      </c>
      <c r="P81" s="20" t="n">
        <v>0</v>
      </c>
      <c r="Q81" s="18" t="n">
        <v>8.125632380000001</v>
      </c>
      <c r="R81" s="20" t="n">
        <v>1.56398121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(6584.0/B7*100)</f>
        <v/>
      </c>
      <c r="D7" s="19" t="n">
        <v>783</v>
      </c>
      <c r="E7" s="18" t="n">
        <v>47.77345985</v>
      </c>
      <c r="F7" s="20" t="n">
        <v>2.03374253</v>
      </c>
      <c r="G7" s="18" t="n">
        <v>48.42164641</v>
      </c>
      <c r="H7" s="20" t="n">
        <v>1.96174742</v>
      </c>
      <c r="I7" s="18" t="s">
        <v>567</v>
      </c>
      <c r="J7" s="20" t="s">
        <v>567</v>
      </c>
      <c r="K7" s="18" t="n">
        <v>3.80489374</v>
      </c>
      <c r="L7" s="20" t="n">
        <v>0.82073791</v>
      </c>
      <c r="M7" s="18" t="n">
        <v>0</v>
      </c>
      <c r="N7" s="20" t="n">
        <v>0</v>
      </c>
      <c r="O7" s="18" t="n">
        <v>0</v>
      </c>
      <c r="P7" s="20" t="n">
        <v>0</v>
      </c>
      <c r="Q7" s="18" t="n">
        <v>0</v>
      </c>
      <c r="R7" s="20" t="n">
        <v>0</v>
      </c>
    </row>
    <row r="8" spans="1:18">
      <c r="A8" s="15" t="s">
        <v>568</v>
      </c>
      <c r="B8" s="17" t="n">
        <v>3564</v>
      </c>
      <c r="C8" s="18">
        <f>(3172.0/B8*100)</f>
        <v/>
      </c>
      <c r="D8" s="19" t="n">
        <v>392</v>
      </c>
      <c r="E8" s="18" t="n">
        <v>50.51866748</v>
      </c>
      <c r="F8" s="20" t="n">
        <v>2.95628005</v>
      </c>
      <c r="G8" s="18" t="n">
        <v>44.69826564</v>
      </c>
      <c r="H8" s="20" t="n">
        <v>3.01564823</v>
      </c>
      <c r="I8" s="18" t="s">
        <v>567</v>
      </c>
      <c r="J8" s="20" t="s">
        <v>567</v>
      </c>
      <c r="K8" s="18" t="n">
        <v>4.78306688</v>
      </c>
      <c r="L8" s="20" t="n">
        <v>1.15583519</v>
      </c>
      <c r="M8" s="18" t="n">
        <v>0</v>
      </c>
      <c r="N8" s="20" t="n">
        <v>0</v>
      </c>
      <c r="O8" s="18" t="n">
        <v>0</v>
      </c>
      <c r="P8" s="20" t="n">
        <v>0</v>
      </c>
      <c r="Q8" s="18" t="n">
        <v>0</v>
      </c>
      <c r="R8" s="20" t="n">
        <v>0</v>
      </c>
    </row>
    <row r="9" spans="1:18">
      <c r="A9" s="15" t="s">
        <v>569</v>
      </c>
      <c r="B9" s="17" t="n">
        <v>4899</v>
      </c>
      <c r="C9" s="18">
        <f>(4420.0/B9*100)</f>
        <v/>
      </c>
      <c r="D9" s="19" t="n">
        <v>479</v>
      </c>
      <c r="E9" s="18" t="n">
        <v>54.56434907</v>
      </c>
      <c r="F9" s="20" t="n">
        <v>2.48177135</v>
      </c>
      <c r="G9" s="18" t="n">
        <v>42.64320555</v>
      </c>
      <c r="H9" s="20" t="n">
        <v>2.56320434</v>
      </c>
      <c r="I9" s="18" t="s">
        <v>567</v>
      </c>
      <c r="J9" s="20" t="s">
        <v>567</v>
      </c>
      <c r="K9" s="18" t="n">
        <v>2.79244539</v>
      </c>
      <c r="L9" s="20" t="n">
        <v>0.61271731</v>
      </c>
      <c r="M9" s="18" t="n">
        <v>0</v>
      </c>
      <c r="N9" s="20" t="n">
        <v>0</v>
      </c>
      <c r="O9" s="18" t="n">
        <v>0</v>
      </c>
      <c r="P9" s="20" t="n">
        <v>0</v>
      </c>
      <c r="Q9" s="18" t="n">
        <v>0</v>
      </c>
      <c r="R9" s="20" t="n">
        <v>0</v>
      </c>
    </row>
    <row r="10" spans="1:18">
      <c r="A10" s="15" t="s">
        <v>570</v>
      </c>
      <c r="B10" s="17" t="n">
        <v>10036</v>
      </c>
      <c r="C10" s="18">
        <f>(8913.0/B10*100)</f>
        <v/>
      </c>
      <c r="D10" s="19" t="n">
        <v>1123</v>
      </c>
      <c r="E10" s="18" t="n">
        <v>43.46900849</v>
      </c>
      <c r="F10" s="20" t="n">
        <v>1.97788492</v>
      </c>
      <c r="G10" s="18" t="n">
        <v>53.64837283</v>
      </c>
      <c r="H10" s="20" t="n">
        <v>2.06786292</v>
      </c>
      <c r="I10" s="18" t="s">
        <v>567</v>
      </c>
      <c r="J10" s="20" t="s">
        <v>567</v>
      </c>
      <c r="K10" s="18" t="n">
        <v>2.88261868</v>
      </c>
      <c r="L10" s="20" t="n">
        <v>0.7453759</v>
      </c>
      <c r="M10" s="18" t="n">
        <v>0</v>
      </c>
      <c r="N10" s="20" t="n">
        <v>0</v>
      </c>
      <c r="O10" s="18" t="n">
        <v>0</v>
      </c>
      <c r="P10" s="20" t="n">
        <v>0</v>
      </c>
      <c r="Q10" s="18" t="n">
        <v>0</v>
      </c>
      <c r="R10" s="20" t="n">
        <v>0</v>
      </c>
    </row>
    <row r="11" spans="1:18">
      <c r="A11" s="15" t="s">
        <v>571</v>
      </c>
      <c r="B11" s="17" t="n">
        <v>3553</v>
      </c>
      <c r="C11" s="18">
        <f>(3179.0/B11*100)</f>
        <v/>
      </c>
      <c r="D11" s="19" t="n">
        <v>374</v>
      </c>
      <c r="E11" s="18" t="n">
        <v>54.24267566</v>
      </c>
      <c r="F11" s="20" t="n">
        <v>2.67549403</v>
      </c>
      <c r="G11" s="18" t="n">
        <v>30.44580036</v>
      </c>
      <c r="H11" s="20" t="n">
        <v>2.55283168</v>
      </c>
      <c r="I11" s="18" t="s">
        <v>567</v>
      </c>
      <c r="J11" s="20" t="s">
        <v>567</v>
      </c>
      <c r="K11" s="18" t="n">
        <v>15.27370098</v>
      </c>
      <c r="L11" s="20" t="n">
        <v>2.13107942</v>
      </c>
      <c r="M11" s="18" t="n">
        <v>0.037823</v>
      </c>
      <c r="N11" s="20" t="n">
        <v>0.03836176</v>
      </c>
      <c r="O11" s="18" t="n">
        <v>0</v>
      </c>
      <c r="P11" s="20" t="n">
        <v>0</v>
      </c>
      <c r="Q11" s="18" t="n">
        <v>0</v>
      </c>
      <c r="R11" s="20" t="n">
        <v>0</v>
      </c>
    </row>
    <row r="12" spans="1:18">
      <c r="A12" s="15" t="s">
        <v>572</v>
      </c>
      <c r="B12" s="17" t="n">
        <v>3472</v>
      </c>
      <c r="C12" s="18">
        <f>(3089.0/B12*100)</f>
        <v/>
      </c>
      <c r="D12" s="19" t="n">
        <v>383</v>
      </c>
      <c r="E12" s="18" t="n">
        <v>51.15388107</v>
      </c>
      <c r="F12" s="20" t="n">
        <v>2.39125763</v>
      </c>
      <c r="G12" s="18" t="n">
        <v>45.62759441</v>
      </c>
      <c r="H12" s="20" t="n">
        <v>2.26724036</v>
      </c>
      <c r="I12" s="18" t="s">
        <v>567</v>
      </c>
      <c r="J12" s="20" t="s">
        <v>567</v>
      </c>
      <c r="K12" s="18" t="n">
        <v>3.21852452</v>
      </c>
      <c r="L12" s="20" t="n">
        <v>0.91633732</v>
      </c>
      <c r="M12" s="18" t="n">
        <v>0</v>
      </c>
      <c r="N12" s="20" t="n">
        <v>0</v>
      </c>
      <c r="O12" s="18" t="n">
        <v>0</v>
      </c>
      <c r="P12" s="20" t="n">
        <v>0</v>
      </c>
      <c r="Q12" s="18" t="n">
        <v>0</v>
      </c>
      <c r="R12" s="20" t="n">
        <v>0</v>
      </c>
    </row>
    <row r="13" spans="1:18">
      <c r="A13" s="15" t="s">
        <v>573</v>
      </c>
      <c r="B13" s="17" t="n">
        <v>3559</v>
      </c>
      <c r="C13" s="18">
        <f>(3208.0/B13*100)</f>
        <v/>
      </c>
      <c r="D13" s="19" t="n">
        <v>351</v>
      </c>
      <c r="E13" s="18" t="n">
        <v>47.18342749</v>
      </c>
      <c r="F13" s="20" t="n">
        <v>3.09978658</v>
      </c>
      <c r="G13" s="18" t="n">
        <v>50.40964449</v>
      </c>
      <c r="H13" s="20" t="n">
        <v>3.15335866</v>
      </c>
      <c r="I13" s="18" t="s">
        <v>567</v>
      </c>
      <c r="J13" s="20" t="s">
        <v>567</v>
      </c>
      <c r="K13" s="18" t="n">
        <v>2.40692802</v>
      </c>
      <c r="L13" s="20" t="n">
        <v>0.93041911</v>
      </c>
      <c r="M13" s="18" t="n">
        <v>0</v>
      </c>
      <c r="N13" s="20" t="n">
        <v>0</v>
      </c>
      <c r="O13" s="18" t="n">
        <v>0</v>
      </c>
      <c r="P13" s="20" t="n">
        <v>0</v>
      </c>
      <c r="Q13" s="18" t="n">
        <v>0</v>
      </c>
      <c r="R13" s="20" t="n">
        <v>0</v>
      </c>
    </row>
    <row r="14" spans="1:18">
      <c r="A14" s="15" t="s">
        <v>574</v>
      </c>
      <c r="B14" s="17" t="n">
        <v>2799</v>
      </c>
      <c r="C14" s="18">
        <f>(2469.0/B14*100)</f>
        <v/>
      </c>
      <c r="D14" s="19" t="n">
        <v>330</v>
      </c>
      <c r="E14" s="18" t="n">
        <v>49.51713951</v>
      </c>
      <c r="F14" s="20" t="n">
        <v>3.10688083</v>
      </c>
      <c r="G14" s="18" t="n">
        <v>48.01033388</v>
      </c>
      <c r="H14" s="20" t="n">
        <v>3.17922198</v>
      </c>
      <c r="I14" s="18" t="s">
        <v>567</v>
      </c>
      <c r="J14" s="20" t="s">
        <v>567</v>
      </c>
      <c r="K14" s="18" t="n">
        <v>2.47252662</v>
      </c>
      <c r="L14" s="20" t="n">
        <v>0.8299221</v>
      </c>
      <c r="M14" s="18" t="n">
        <v>0</v>
      </c>
      <c r="N14" s="20" t="n">
        <v>0</v>
      </c>
      <c r="O14" s="18" t="n">
        <v>0</v>
      </c>
      <c r="P14" s="20" t="n">
        <v>0</v>
      </c>
      <c r="Q14" s="18" t="n">
        <v>0</v>
      </c>
      <c r="R14" s="20" t="n">
        <v>0</v>
      </c>
    </row>
    <row r="15" spans="1:18">
      <c r="A15" s="15" t="s">
        <v>575</v>
      </c>
      <c r="B15" s="17" t="n">
        <v>3019</v>
      </c>
      <c r="C15" s="18">
        <f>(2701.0/B15*100)</f>
        <v/>
      </c>
      <c r="D15" s="19" t="n">
        <v>318</v>
      </c>
      <c r="E15" s="18" t="n">
        <v>43.85655126</v>
      </c>
      <c r="F15" s="20" t="n">
        <v>3.16116826</v>
      </c>
      <c r="G15" s="18" t="n">
        <v>49.94726178</v>
      </c>
      <c r="H15" s="20" t="n">
        <v>3.33814965</v>
      </c>
      <c r="I15" s="18" t="s">
        <v>567</v>
      </c>
      <c r="J15" s="20" t="s">
        <v>567</v>
      </c>
      <c r="K15" s="18" t="n">
        <v>6.19618697</v>
      </c>
      <c r="L15" s="20" t="n">
        <v>1.25373119</v>
      </c>
      <c r="M15" s="18" t="n">
        <v>0</v>
      </c>
      <c r="N15" s="20" t="n">
        <v>0</v>
      </c>
      <c r="O15" s="18" t="n">
        <v>0</v>
      </c>
      <c r="P15" s="20" t="n">
        <v>0</v>
      </c>
      <c r="Q15" s="18" t="n">
        <v>0</v>
      </c>
      <c r="R15" s="20" t="n">
        <v>0</v>
      </c>
    </row>
    <row r="16" spans="1:18">
      <c r="A16" s="15" t="s">
        <v>576</v>
      </c>
      <c r="B16" s="17" t="n">
        <v>2997</v>
      </c>
      <c r="C16" s="18">
        <f>(2653.0/B16*100)</f>
        <v/>
      </c>
      <c r="D16" s="19" t="n">
        <v>344</v>
      </c>
      <c r="E16" s="18" t="n">
        <v>52.16409082</v>
      </c>
      <c r="F16" s="20" t="n">
        <v>2.89149987</v>
      </c>
      <c r="G16" s="18" t="n">
        <v>40.55576732</v>
      </c>
      <c r="H16" s="20" t="n">
        <v>2.74317054</v>
      </c>
      <c r="I16" s="18" t="s">
        <v>567</v>
      </c>
      <c r="J16" s="20" t="s">
        <v>567</v>
      </c>
      <c r="K16" s="18" t="n">
        <v>7.28014186</v>
      </c>
      <c r="L16" s="20" t="n">
        <v>1.53951283</v>
      </c>
      <c r="M16" s="18" t="n">
        <v>0</v>
      </c>
      <c r="N16" s="20" t="n">
        <v>0</v>
      </c>
      <c r="O16" s="18" t="n">
        <v>0</v>
      </c>
      <c r="P16" s="20" t="n">
        <v>0</v>
      </c>
      <c r="Q16" s="18" t="n">
        <v>0</v>
      </c>
      <c r="R16" s="20" t="n">
        <v>0</v>
      </c>
    </row>
    <row r="17" spans="1:18">
      <c r="A17" s="15" t="s">
        <v>577</v>
      </c>
      <c r="B17" s="17" t="n">
        <v>3307</v>
      </c>
      <c r="C17" s="18">
        <f>(2984.0/B17*100)</f>
        <v/>
      </c>
      <c r="D17" s="19" t="n">
        <v>323</v>
      </c>
      <c r="E17" s="18" t="n">
        <v>47.57241523</v>
      </c>
      <c r="F17" s="20" t="n">
        <v>2.7285067</v>
      </c>
      <c r="G17" s="18" t="n">
        <v>46.16921058</v>
      </c>
      <c r="H17" s="20" t="n">
        <v>2.98092021</v>
      </c>
      <c r="I17" s="18" t="s">
        <v>567</v>
      </c>
      <c r="J17" s="20" t="s">
        <v>567</v>
      </c>
      <c r="K17" s="18" t="n">
        <v>5.99044784</v>
      </c>
      <c r="L17" s="20" t="n">
        <v>1.45558421</v>
      </c>
      <c r="M17" s="18" t="n">
        <v>0.26792634</v>
      </c>
      <c r="N17" s="20" t="n">
        <v>0.26854309</v>
      </c>
      <c r="O17" s="18" t="n">
        <v>0</v>
      </c>
      <c r="P17" s="20" t="n">
        <v>0</v>
      </c>
      <c r="Q17" s="18" t="n">
        <v>0</v>
      </c>
      <c r="R17" s="20" t="n">
        <v>0</v>
      </c>
    </row>
    <row r="18" spans="1:18">
      <c r="A18" s="15" t="s">
        <v>578</v>
      </c>
      <c r="B18" s="17" t="n">
        <v>2826</v>
      </c>
      <c r="C18" s="18">
        <f>(2505.0/B18*100)</f>
        <v/>
      </c>
      <c r="D18" s="19" t="n">
        <v>321</v>
      </c>
      <c r="E18" s="18" t="n">
        <v>63.64757995</v>
      </c>
      <c r="F18" s="20" t="n">
        <v>2.84837754</v>
      </c>
      <c r="G18" s="18" t="n">
        <v>29.26544973</v>
      </c>
      <c r="H18" s="20" t="n">
        <v>2.50270896</v>
      </c>
      <c r="I18" s="18" t="s">
        <v>567</v>
      </c>
      <c r="J18" s="20" t="s">
        <v>567</v>
      </c>
      <c r="K18" s="18" t="n">
        <v>7.08697032</v>
      </c>
      <c r="L18" s="20" t="n">
        <v>2.38164295</v>
      </c>
      <c r="M18" s="18" t="n">
        <v>0</v>
      </c>
      <c r="N18" s="20" t="n">
        <v>0</v>
      </c>
      <c r="O18" s="18" t="n">
        <v>0</v>
      </c>
      <c r="P18" s="20" t="n">
        <v>0</v>
      </c>
      <c r="Q18" s="18" t="n">
        <v>0</v>
      </c>
      <c r="R18" s="20" t="n">
        <v>0</v>
      </c>
    </row>
    <row r="19" spans="1:18">
      <c r="A19" s="15" t="s">
        <v>579</v>
      </c>
      <c r="B19" s="17" t="n">
        <v>2808</v>
      </c>
      <c r="C19" s="18">
        <f>(2515.0/B19*100)</f>
        <v/>
      </c>
      <c r="D19" s="19" t="n">
        <v>293</v>
      </c>
      <c r="E19" s="18" t="n">
        <v>58.18807965</v>
      </c>
      <c r="F19" s="20" t="n">
        <v>2.96590049</v>
      </c>
      <c r="G19" s="18" t="n">
        <v>35.49250617</v>
      </c>
      <c r="H19" s="20" t="n">
        <v>3.07712391</v>
      </c>
      <c r="I19" s="18" t="s">
        <v>567</v>
      </c>
      <c r="J19" s="20" t="s">
        <v>567</v>
      </c>
      <c r="K19" s="18" t="n">
        <v>6.31941417</v>
      </c>
      <c r="L19" s="20" t="n">
        <v>1.42486153</v>
      </c>
      <c r="M19" s="18" t="n">
        <v>0</v>
      </c>
      <c r="N19" s="20" t="n">
        <v>0</v>
      </c>
      <c r="O19" s="18" t="n">
        <v>0</v>
      </c>
      <c r="P19" s="20" t="n">
        <v>0</v>
      </c>
      <c r="Q19" s="18" t="n">
        <v>0</v>
      </c>
      <c r="R19" s="20" t="n">
        <v>0</v>
      </c>
    </row>
    <row r="20" spans="1:18">
      <c r="A20" s="15" t="s">
        <v>580</v>
      </c>
      <c r="B20" s="17" t="n">
        <v>1630</v>
      </c>
      <c r="C20" s="18">
        <f>(1454.0/B20*100)</f>
        <v/>
      </c>
      <c r="D20" s="19" t="n">
        <v>176</v>
      </c>
      <c r="E20" s="18" t="n">
        <v>45.44763881</v>
      </c>
      <c r="F20" s="20" t="n">
        <v>3.21569421</v>
      </c>
      <c r="G20" s="18" t="n">
        <v>43.71969186</v>
      </c>
      <c r="H20" s="20" t="n">
        <v>3.61555227</v>
      </c>
      <c r="I20" s="18" t="s">
        <v>567</v>
      </c>
      <c r="J20" s="20" t="s">
        <v>567</v>
      </c>
      <c r="K20" s="18" t="n">
        <v>8.25959881</v>
      </c>
      <c r="L20" s="20" t="n">
        <v>2.09872382</v>
      </c>
      <c r="M20" s="18" t="n">
        <v>2.57307052</v>
      </c>
      <c r="N20" s="20" t="n">
        <v>0.41192451</v>
      </c>
      <c r="O20" s="18" t="n">
        <v>0</v>
      </c>
      <c r="P20" s="20" t="n">
        <v>0</v>
      </c>
      <c r="Q20" s="18" t="n">
        <v>0</v>
      </c>
      <c r="R20" s="20" t="n">
        <v>0</v>
      </c>
    </row>
    <row r="21" spans="1:18">
      <c r="A21" s="15" t="s">
        <v>581</v>
      </c>
      <c r="B21" s="17" t="n">
        <v>2908</v>
      </c>
      <c r="C21" s="18">
        <f>(2571.0/B21*100)</f>
        <v/>
      </c>
      <c r="D21" s="19" t="n">
        <v>337</v>
      </c>
      <c r="E21" s="18" t="n">
        <v>53.69664277</v>
      </c>
      <c r="F21" s="20" t="n">
        <v>3.17629911</v>
      </c>
      <c r="G21" s="18" t="n">
        <v>41.96963593</v>
      </c>
      <c r="H21" s="20" t="n">
        <v>3.12829901</v>
      </c>
      <c r="I21" s="18" t="s">
        <v>567</v>
      </c>
      <c r="J21" s="20" t="s">
        <v>567</v>
      </c>
      <c r="K21" s="18" t="n">
        <v>4.3337213</v>
      </c>
      <c r="L21" s="20" t="n">
        <v>1.10117159</v>
      </c>
      <c r="M21" s="18" t="n">
        <v>0</v>
      </c>
      <c r="N21" s="20" t="n">
        <v>0</v>
      </c>
      <c r="O21" s="18" t="n">
        <v>0</v>
      </c>
      <c r="P21" s="20" t="n">
        <v>0</v>
      </c>
      <c r="Q21" s="18" t="n">
        <v>0</v>
      </c>
      <c r="R21" s="20" t="n">
        <v>0</v>
      </c>
    </row>
    <row r="22" spans="1:18">
      <c r="A22" s="15" t="s">
        <v>582</v>
      </c>
      <c r="B22" s="17" t="n">
        <v>2931</v>
      </c>
      <c r="C22" s="18">
        <f>(2624.0/B22*100)</f>
        <v/>
      </c>
      <c r="D22" s="19" t="n">
        <v>307</v>
      </c>
      <c r="E22" s="18" t="n">
        <v>61.15536272</v>
      </c>
      <c r="F22" s="20" t="n">
        <v>2.96069247</v>
      </c>
      <c r="G22" s="18" t="n">
        <v>32.94600198</v>
      </c>
      <c r="H22" s="20" t="n">
        <v>3.10967068</v>
      </c>
      <c r="I22" s="18" t="s">
        <v>567</v>
      </c>
      <c r="J22" s="20" t="s">
        <v>567</v>
      </c>
      <c r="K22" s="18" t="n">
        <v>5.8986353</v>
      </c>
      <c r="L22" s="20" t="n">
        <v>1.68871566</v>
      </c>
      <c r="M22" s="18" t="n">
        <v>0</v>
      </c>
      <c r="N22" s="20" t="n">
        <v>0</v>
      </c>
      <c r="O22" s="18" t="n">
        <v>0</v>
      </c>
      <c r="P22" s="20" t="n">
        <v>0</v>
      </c>
      <c r="Q22" s="18" t="n">
        <v>0</v>
      </c>
      <c r="R22" s="20" t="n">
        <v>0</v>
      </c>
    </row>
    <row r="23" spans="1:18">
      <c r="A23" s="15" t="s">
        <v>583</v>
      </c>
      <c r="B23" s="17" t="n">
        <v>5791</v>
      </c>
      <c r="C23" s="18">
        <f>(5208.0/B23*100)</f>
        <v/>
      </c>
      <c r="D23" s="19" t="n">
        <v>583</v>
      </c>
      <c r="E23" s="18" t="n">
        <v>50.68375966</v>
      </c>
      <c r="F23" s="20" t="n">
        <v>2.70658659</v>
      </c>
      <c r="G23" s="18" t="n">
        <v>40.05759101</v>
      </c>
      <c r="H23" s="20" t="n">
        <v>2.67318604</v>
      </c>
      <c r="I23" s="18" t="s">
        <v>567</v>
      </c>
      <c r="J23" s="20" t="s">
        <v>567</v>
      </c>
      <c r="K23" s="18" t="n">
        <v>9.258649330000001</v>
      </c>
      <c r="L23" s="20" t="n">
        <v>2.07714158</v>
      </c>
      <c r="M23" s="18" t="n">
        <v>0</v>
      </c>
      <c r="N23" s="20" t="n">
        <v>0</v>
      </c>
      <c r="O23" s="18" t="n">
        <v>0</v>
      </c>
      <c r="P23" s="20" t="n">
        <v>0</v>
      </c>
      <c r="Q23" s="18" t="n">
        <v>0</v>
      </c>
      <c r="R23" s="20" t="n">
        <v>0</v>
      </c>
    </row>
    <row r="24" spans="1:18">
      <c r="A24" s="15" t="s">
        <v>584</v>
      </c>
      <c r="B24" s="17" t="n">
        <v>3338</v>
      </c>
      <c r="C24" s="18">
        <f>(2968.0/B24*100)</f>
        <v/>
      </c>
      <c r="D24" s="19" t="n">
        <v>370</v>
      </c>
      <c r="E24" s="18" t="n">
        <v>23.04309092</v>
      </c>
      <c r="F24" s="20" t="n">
        <v>2.17371365</v>
      </c>
      <c r="G24" s="18" t="n">
        <v>74.65571659</v>
      </c>
      <c r="H24" s="20" t="n">
        <v>2.25368454</v>
      </c>
      <c r="I24" s="18" t="s">
        <v>567</v>
      </c>
      <c r="J24" s="20" t="s">
        <v>567</v>
      </c>
      <c r="K24" s="18" t="n">
        <v>2.30119249</v>
      </c>
      <c r="L24" s="20" t="n">
        <v>0.77436244</v>
      </c>
      <c r="M24" s="18" t="n">
        <v>0</v>
      </c>
      <c r="N24" s="20" t="n">
        <v>0</v>
      </c>
      <c r="O24" s="18" t="n">
        <v>0</v>
      </c>
      <c r="P24" s="20" t="n">
        <v>0</v>
      </c>
      <c r="Q24" s="18" t="n">
        <v>0</v>
      </c>
      <c r="R24" s="20" t="n">
        <v>0</v>
      </c>
    </row>
    <row r="25" spans="1:18">
      <c r="A25" s="15" t="s">
        <v>585</v>
      </c>
      <c r="B25" s="17" t="n">
        <v>2912</v>
      </c>
      <c r="C25" s="18">
        <f>(2603.0/B25*100)</f>
        <v/>
      </c>
      <c r="D25" s="19" t="n">
        <v>309</v>
      </c>
      <c r="E25" s="18" t="n">
        <v>49.68150333</v>
      </c>
      <c r="F25" s="20" t="n">
        <v>2.86848471</v>
      </c>
      <c r="G25" s="18" t="n">
        <v>45.81312917</v>
      </c>
      <c r="H25" s="20" t="n">
        <v>2.72194832</v>
      </c>
      <c r="I25" s="18" t="s">
        <v>567</v>
      </c>
      <c r="J25" s="20" t="s">
        <v>567</v>
      </c>
      <c r="K25" s="18" t="n">
        <v>4.5053675</v>
      </c>
      <c r="L25" s="20" t="n">
        <v>1.15861213</v>
      </c>
      <c r="M25" s="18" t="n">
        <v>0</v>
      </c>
      <c r="N25" s="20" t="n">
        <v>0</v>
      </c>
      <c r="O25" s="18" t="n">
        <v>0</v>
      </c>
      <c r="P25" s="20" t="n">
        <v>0</v>
      </c>
      <c r="Q25" s="18" t="n">
        <v>0</v>
      </c>
      <c r="R25" s="20" t="n">
        <v>0</v>
      </c>
    </row>
    <row r="26" spans="1:18">
      <c r="A26" s="15" t="s">
        <v>586</v>
      </c>
      <c r="B26" s="17" t="n">
        <v>2450</v>
      </c>
      <c r="C26" s="18">
        <f>(2170.0/B26*100)</f>
        <v/>
      </c>
      <c r="D26" s="19" t="n">
        <v>280</v>
      </c>
      <c r="E26" s="18" t="n">
        <v>57.95031654</v>
      </c>
      <c r="F26" s="20" t="n">
        <v>3.13642116</v>
      </c>
      <c r="G26" s="18" t="n">
        <v>37.89364452</v>
      </c>
      <c r="H26" s="20" t="n">
        <v>3.03281317</v>
      </c>
      <c r="I26" s="18" t="s">
        <v>567</v>
      </c>
      <c r="J26" s="20" t="s">
        <v>567</v>
      </c>
      <c r="K26" s="18" t="n">
        <v>4.15603894</v>
      </c>
      <c r="L26" s="20" t="n">
        <v>1.41926139</v>
      </c>
      <c r="M26" s="18" t="n">
        <v>0</v>
      </c>
      <c r="N26" s="20" t="n">
        <v>0</v>
      </c>
      <c r="O26" s="18" t="n">
        <v>0</v>
      </c>
      <c r="P26" s="20" t="n">
        <v>0</v>
      </c>
      <c r="Q26" s="18" t="n">
        <v>0</v>
      </c>
      <c r="R26" s="20" t="n">
        <v>0</v>
      </c>
    </row>
    <row r="27" spans="1:18">
      <c r="A27" s="15" t="s">
        <v>587</v>
      </c>
      <c r="B27" s="17" t="n">
        <v>2616</v>
      </c>
      <c r="C27" s="18">
        <f>(2316.0/B27*100)</f>
        <v/>
      </c>
      <c r="D27" s="19" t="n">
        <v>300</v>
      </c>
      <c r="E27" s="18" t="n">
        <v>47.70650587</v>
      </c>
      <c r="F27" s="20" t="n">
        <v>2.76660684</v>
      </c>
      <c r="G27" s="18" t="n">
        <v>49.32199479</v>
      </c>
      <c r="H27" s="20" t="n">
        <v>2.67755647</v>
      </c>
      <c r="I27" s="18" t="s">
        <v>567</v>
      </c>
      <c r="J27" s="20" t="s">
        <v>567</v>
      </c>
      <c r="K27" s="18" t="n">
        <v>2.97149934</v>
      </c>
      <c r="L27" s="20" t="n">
        <v>0.9852364300000001</v>
      </c>
      <c r="M27" s="18" t="n">
        <v>0</v>
      </c>
      <c r="N27" s="20" t="n">
        <v>0</v>
      </c>
      <c r="O27" s="18" t="n">
        <v>0</v>
      </c>
      <c r="P27" s="20" t="n">
        <v>0</v>
      </c>
      <c r="Q27" s="18" t="n">
        <v>0</v>
      </c>
      <c r="R27" s="20" t="n">
        <v>0</v>
      </c>
    </row>
    <row r="28" spans="1:18">
      <c r="A28" s="15" t="s">
        <v>588</v>
      </c>
      <c r="B28" s="17" t="n">
        <v>3765</v>
      </c>
      <c r="C28" s="18">
        <f>(3389.0/B28*100)</f>
        <v/>
      </c>
      <c r="D28" s="19" t="n">
        <v>376</v>
      </c>
      <c r="E28" s="18" t="n">
        <v>69.91953841999999</v>
      </c>
      <c r="F28" s="20" t="n">
        <v>2.62388002</v>
      </c>
      <c r="G28" s="18" t="n">
        <v>25.32679815</v>
      </c>
      <c r="H28" s="20" t="n">
        <v>2.46593924</v>
      </c>
      <c r="I28" s="18" t="s">
        <v>567</v>
      </c>
      <c r="J28" s="20" t="s">
        <v>567</v>
      </c>
      <c r="K28" s="18" t="n">
        <v>4.75366343</v>
      </c>
      <c r="L28" s="20" t="n">
        <v>1.3400852</v>
      </c>
      <c r="M28" s="18" t="n">
        <v>0</v>
      </c>
      <c r="N28" s="20" t="n">
        <v>0</v>
      </c>
      <c r="O28" s="18" t="n">
        <v>0</v>
      </c>
      <c r="P28" s="20" t="n">
        <v>0</v>
      </c>
      <c r="Q28" s="18" t="n">
        <v>0</v>
      </c>
      <c r="R28" s="20" t="n">
        <v>0</v>
      </c>
    </row>
    <row r="29" spans="1:18">
      <c r="A29" s="15" t="s">
        <v>589</v>
      </c>
      <c r="B29" s="17" t="n">
        <v>2685</v>
      </c>
      <c r="C29" s="18">
        <f>(2429.0/B29*100)</f>
        <v/>
      </c>
      <c r="D29" s="19" t="n">
        <v>256</v>
      </c>
      <c r="E29" s="18" t="n">
        <v>51.18789789</v>
      </c>
      <c r="F29" s="20" t="n">
        <v>2.72058922</v>
      </c>
      <c r="G29" s="18" t="n">
        <v>45.14898237</v>
      </c>
      <c r="H29" s="20" t="n">
        <v>3.02648488</v>
      </c>
      <c r="I29" s="18" t="s">
        <v>567</v>
      </c>
      <c r="J29" s="20" t="s">
        <v>567</v>
      </c>
      <c r="K29" s="18" t="n">
        <v>3.66311973</v>
      </c>
      <c r="L29" s="20" t="n">
        <v>1.23391005</v>
      </c>
      <c r="M29" s="18" t="n">
        <v>0</v>
      </c>
      <c r="N29" s="20" t="n">
        <v>0</v>
      </c>
      <c r="O29" s="18" t="n">
        <v>0</v>
      </c>
      <c r="P29" s="20" t="n">
        <v>0</v>
      </c>
      <c r="Q29" s="18" t="n">
        <v>0</v>
      </c>
      <c r="R29" s="20" t="n">
        <v>0</v>
      </c>
    </row>
    <row r="30" spans="1:18">
      <c r="A30" s="15" t="s">
        <v>590</v>
      </c>
      <c r="B30" s="17" t="n">
        <v>2263</v>
      </c>
      <c r="C30" s="18">
        <f>(2012.0/B30*100)</f>
        <v/>
      </c>
      <c r="D30" s="19" t="n">
        <v>251</v>
      </c>
      <c r="E30" s="18" t="n">
        <v>46.74874979</v>
      </c>
      <c r="F30" s="20" t="n">
        <v>3.04958171</v>
      </c>
      <c r="G30" s="18" t="n">
        <v>45.92582473</v>
      </c>
      <c r="H30" s="20" t="n">
        <v>2.67746626</v>
      </c>
      <c r="I30" s="18" t="s">
        <v>567</v>
      </c>
      <c r="J30" s="20" t="s">
        <v>567</v>
      </c>
      <c r="K30" s="18" t="n">
        <v>7.32542548</v>
      </c>
      <c r="L30" s="20" t="n">
        <v>1.62524048</v>
      </c>
      <c r="M30" s="18" t="n">
        <v>0</v>
      </c>
      <c r="N30" s="20" t="n">
        <v>0</v>
      </c>
      <c r="O30" s="18" t="n">
        <v>0</v>
      </c>
      <c r="P30" s="20" t="n">
        <v>0</v>
      </c>
      <c r="Q30" s="18" t="n">
        <v>0</v>
      </c>
      <c r="R30" s="20" t="n">
        <v>0</v>
      </c>
    </row>
    <row r="31" spans="1:18">
      <c r="A31" s="15" t="s">
        <v>591</v>
      </c>
      <c r="B31" s="17" t="n">
        <v>2750</v>
      </c>
      <c r="C31" s="18">
        <f>(2448.0/B31*100)</f>
        <v/>
      </c>
      <c r="D31" s="19" t="n">
        <v>302</v>
      </c>
      <c r="E31" s="18" t="n">
        <v>49.17090237</v>
      </c>
      <c r="F31" s="20" t="n">
        <v>2.92499369</v>
      </c>
      <c r="G31" s="18" t="n">
        <v>43.15601238</v>
      </c>
      <c r="H31" s="20" t="n">
        <v>3.16596524</v>
      </c>
      <c r="I31" s="18" t="s">
        <v>567</v>
      </c>
      <c r="J31" s="20" t="s">
        <v>567</v>
      </c>
      <c r="K31" s="18" t="n">
        <v>6.99932989</v>
      </c>
      <c r="L31" s="20" t="n">
        <v>1.52525162</v>
      </c>
      <c r="M31" s="18" t="n">
        <v>0.67375537</v>
      </c>
      <c r="N31" s="20" t="n">
        <v>0.72270782</v>
      </c>
      <c r="O31" s="18" t="n">
        <v>0</v>
      </c>
      <c r="P31" s="20" t="n">
        <v>0</v>
      </c>
      <c r="Q31" s="18" t="n">
        <v>0</v>
      </c>
      <c r="R31" s="20" t="n">
        <v>0</v>
      </c>
    </row>
    <row r="32" spans="1:18">
      <c r="A32" s="15" t="s">
        <v>592</v>
      </c>
      <c r="B32" s="17" t="n">
        <v>2269</v>
      </c>
      <c r="C32" s="18">
        <f>(2032.0/B32*100)</f>
        <v/>
      </c>
      <c r="D32" s="19" t="n">
        <v>237</v>
      </c>
      <c r="E32" s="18" t="n">
        <v>65.58585239999999</v>
      </c>
      <c r="F32" s="20" t="n">
        <v>3.54465651</v>
      </c>
      <c r="G32" s="18" t="n">
        <v>33.60549062</v>
      </c>
      <c r="H32" s="20" t="n">
        <v>3.45852013</v>
      </c>
      <c r="I32" s="18" t="s">
        <v>567</v>
      </c>
      <c r="J32" s="20" t="s">
        <v>567</v>
      </c>
      <c r="K32" s="18" t="n">
        <v>0.80865699</v>
      </c>
      <c r="L32" s="20" t="n">
        <v>0.5047794799999999</v>
      </c>
      <c r="M32" s="18" t="n">
        <v>0</v>
      </c>
      <c r="N32" s="20" t="n">
        <v>0</v>
      </c>
      <c r="O32" s="18" t="n">
        <v>0</v>
      </c>
      <c r="P32" s="20" t="n">
        <v>0</v>
      </c>
      <c r="Q32" s="18" t="n">
        <v>0</v>
      </c>
      <c r="R32" s="20" t="n">
        <v>0</v>
      </c>
    </row>
    <row r="33" spans="1:18">
      <c r="A33" s="15" t="s">
        <v>593</v>
      </c>
      <c r="B33" s="17" t="n">
        <v>3674</v>
      </c>
      <c r="C33" s="18">
        <f>(3278.0/B33*100)</f>
        <v/>
      </c>
      <c r="D33" s="19" t="n">
        <v>396</v>
      </c>
      <c r="E33" s="18" t="n">
        <v>52.88551728</v>
      </c>
      <c r="F33" s="20" t="n">
        <v>3.12850786</v>
      </c>
      <c r="G33" s="18" t="n">
        <v>44.25108289</v>
      </c>
      <c r="H33" s="20" t="n">
        <v>3.18253612</v>
      </c>
      <c r="I33" s="18" t="s">
        <v>567</v>
      </c>
      <c r="J33" s="20" t="s">
        <v>567</v>
      </c>
      <c r="K33" s="18" t="n">
        <v>2.29799587</v>
      </c>
      <c r="L33" s="20" t="n">
        <v>0.6101497299999999</v>
      </c>
      <c r="M33" s="18" t="n">
        <v>0.56540397</v>
      </c>
      <c r="N33" s="20" t="n">
        <v>0.56247293</v>
      </c>
      <c r="O33" s="18" t="n">
        <v>0</v>
      </c>
      <c r="P33" s="20" t="n">
        <v>0</v>
      </c>
      <c r="Q33" s="18" t="n">
        <v>0</v>
      </c>
      <c r="R33" s="20" t="n">
        <v>0</v>
      </c>
    </row>
    <row r="34" spans="1:18">
      <c r="A34" s="15" t="s">
        <v>594</v>
      </c>
      <c r="B34" s="17" t="n">
        <v>3315</v>
      </c>
      <c r="C34" s="18">
        <f>(2988.0/B34*100)</f>
        <v/>
      </c>
      <c r="D34" s="19" t="n">
        <v>327</v>
      </c>
      <c r="E34" s="18" t="n">
        <v>54.37170291</v>
      </c>
      <c r="F34" s="20" t="n">
        <v>2.71883923</v>
      </c>
      <c r="G34" s="18" t="n">
        <v>41.04571636</v>
      </c>
      <c r="H34" s="20" t="n">
        <v>2.52485042</v>
      </c>
      <c r="I34" s="18" t="s">
        <v>567</v>
      </c>
      <c r="J34" s="20" t="s">
        <v>567</v>
      </c>
      <c r="K34" s="18" t="n">
        <v>4.58258073</v>
      </c>
      <c r="L34" s="20" t="n">
        <v>1.31175029</v>
      </c>
      <c r="M34" s="18" t="n">
        <v>0</v>
      </c>
      <c r="N34" s="20" t="n">
        <v>0</v>
      </c>
      <c r="O34" s="18" t="n">
        <v>0</v>
      </c>
      <c r="P34" s="20" t="n">
        <v>0</v>
      </c>
      <c r="Q34" s="18" t="n">
        <v>0</v>
      </c>
      <c r="R34" s="20" t="n">
        <v>0</v>
      </c>
    </row>
    <row r="35" spans="1:18">
      <c r="A35" s="15" t="s">
        <v>595</v>
      </c>
      <c r="B35" s="17" t="n">
        <v>3505</v>
      </c>
      <c r="C35" s="18">
        <f>(3147.0/B35*100)</f>
        <v/>
      </c>
      <c r="D35" s="19" t="n">
        <v>358</v>
      </c>
      <c r="E35" s="18" t="n">
        <v>49.27539654</v>
      </c>
      <c r="F35" s="20" t="n">
        <v>2.79281408</v>
      </c>
      <c r="G35" s="18" t="n">
        <v>48.97014067</v>
      </c>
      <c r="H35" s="20" t="n">
        <v>2.78883423</v>
      </c>
      <c r="I35" s="18" t="s">
        <v>567</v>
      </c>
      <c r="J35" s="20" t="s">
        <v>567</v>
      </c>
      <c r="K35" s="18" t="n">
        <v>1.75446279</v>
      </c>
      <c r="L35" s="20" t="n">
        <v>0.69876003</v>
      </c>
      <c r="M35" s="18" t="n">
        <v>0</v>
      </c>
      <c r="N35" s="20" t="n">
        <v>0</v>
      </c>
      <c r="O35" s="18" t="n">
        <v>0</v>
      </c>
      <c r="P35" s="20" t="n">
        <v>0</v>
      </c>
      <c r="Q35" s="18" t="n">
        <v>0</v>
      </c>
      <c r="R35" s="20" t="n">
        <v>0</v>
      </c>
    </row>
    <row r="36" spans="1:18">
      <c r="A36" s="15" t="s">
        <v>596</v>
      </c>
      <c r="B36" s="17" t="n">
        <v>3332</v>
      </c>
      <c r="C36" s="18">
        <f>(2945.0/B36*100)</f>
        <v/>
      </c>
      <c r="D36" s="19" t="n">
        <v>387</v>
      </c>
      <c r="E36" s="18" t="n">
        <v>52.18713643</v>
      </c>
      <c r="F36" s="20" t="n">
        <v>2.68331532</v>
      </c>
      <c r="G36" s="18" t="n">
        <v>41.46047713</v>
      </c>
      <c r="H36" s="20" t="n">
        <v>3.15639824</v>
      </c>
      <c r="I36" s="18" t="s">
        <v>567</v>
      </c>
      <c r="J36" s="20" t="s">
        <v>567</v>
      </c>
      <c r="K36" s="18" t="n">
        <v>6.35238644</v>
      </c>
      <c r="L36" s="20" t="n">
        <v>1.5007505</v>
      </c>
      <c r="M36" s="18" t="n">
        <v>0</v>
      </c>
      <c r="N36" s="20" t="n">
        <v>0</v>
      </c>
      <c r="O36" s="18" t="n">
        <v>0</v>
      </c>
      <c r="P36" s="20" t="n">
        <v>0</v>
      </c>
      <c r="Q36" s="18" t="n">
        <v>0</v>
      </c>
      <c r="R36" s="20" t="n">
        <v>0</v>
      </c>
    </row>
    <row r="37" spans="1:18">
      <c r="A37" s="15" t="s">
        <v>597</v>
      </c>
      <c r="B37" s="17" t="n">
        <v>2727</v>
      </c>
      <c r="C37" s="18">
        <f>(2436.0/B37*100)</f>
        <v/>
      </c>
      <c r="D37" s="19" t="n">
        <v>291</v>
      </c>
      <c r="E37" s="18" t="n">
        <v>46.61227125</v>
      </c>
      <c r="F37" s="20" t="n">
        <v>3.57296652</v>
      </c>
      <c r="G37" s="18" t="n">
        <v>41.49723679</v>
      </c>
      <c r="H37" s="20" t="n">
        <v>3.35914072</v>
      </c>
      <c r="I37" s="18" t="s">
        <v>567</v>
      </c>
      <c r="J37" s="20" t="s">
        <v>567</v>
      </c>
      <c r="K37" s="18" t="n">
        <v>11.33970134</v>
      </c>
      <c r="L37" s="20" t="n">
        <v>2.27682379</v>
      </c>
      <c r="M37" s="18" t="n">
        <v>0.55079062</v>
      </c>
      <c r="N37" s="20" t="n">
        <v>0.56205564</v>
      </c>
      <c r="O37" s="18" t="n">
        <v>0</v>
      </c>
      <c r="P37" s="20" t="n">
        <v>0</v>
      </c>
      <c r="Q37" s="18" t="n">
        <v>0</v>
      </c>
      <c r="R37" s="20" t="n">
        <v>0</v>
      </c>
    </row>
    <row r="38" spans="1:18">
      <c r="A38" s="15" t="s">
        <v>598</v>
      </c>
      <c r="B38" s="17" t="n">
        <v>3053</v>
      </c>
      <c r="C38" s="18">
        <f>(2719.0/B38*100)</f>
        <v/>
      </c>
      <c r="D38" s="19" t="n">
        <v>334</v>
      </c>
      <c r="E38" s="18" t="n">
        <v>33.97583413</v>
      </c>
      <c r="F38" s="20" t="n">
        <v>3.01856909</v>
      </c>
      <c r="G38" s="18" t="n">
        <v>53.62426279</v>
      </c>
      <c r="H38" s="20" t="n">
        <v>2.93928886</v>
      </c>
      <c r="I38" s="18" t="s">
        <v>567</v>
      </c>
      <c r="J38" s="20" t="s">
        <v>567</v>
      </c>
      <c r="K38" s="18" t="n">
        <v>6.93742616</v>
      </c>
      <c r="L38" s="20" t="n">
        <v>2.63952166</v>
      </c>
      <c r="M38" s="18" t="n">
        <v>5.46247692</v>
      </c>
      <c r="N38" s="20" t="n">
        <v>1.27751895</v>
      </c>
      <c r="O38" s="18" t="n">
        <v>0</v>
      </c>
      <c r="P38" s="20" t="n">
        <v>0</v>
      </c>
      <c r="Q38" s="18" t="n">
        <v>0</v>
      </c>
      <c r="R38" s="20" t="n">
        <v>0</v>
      </c>
    </row>
    <row r="39" spans="1:18">
      <c r="A39" s="15" t="s">
        <v>599</v>
      </c>
      <c r="B39" s="17" t="n">
        <v>2957</v>
      </c>
      <c r="C39" s="18">
        <f>(2647.0/B39*100)</f>
        <v/>
      </c>
      <c r="D39" s="19" t="n">
        <v>310</v>
      </c>
      <c r="E39" s="18" t="n">
        <v>84.85306172999999</v>
      </c>
      <c r="F39" s="20" t="n">
        <v>2.43372075</v>
      </c>
      <c r="G39" s="18" t="n">
        <v>11.25774964</v>
      </c>
      <c r="H39" s="20" t="n">
        <v>2.12845482</v>
      </c>
      <c r="I39" s="18" t="s">
        <v>567</v>
      </c>
      <c r="J39" s="20" t="s">
        <v>567</v>
      </c>
      <c r="K39" s="18" t="n">
        <v>3.88918863</v>
      </c>
      <c r="L39" s="20" t="n">
        <v>1.30091373</v>
      </c>
      <c r="M39" s="18" t="n">
        <v>0</v>
      </c>
      <c r="N39" s="20" t="n">
        <v>0</v>
      </c>
      <c r="O39" s="18" t="n">
        <v>0</v>
      </c>
      <c r="P39" s="20" t="n">
        <v>0</v>
      </c>
      <c r="Q39" s="18" t="n">
        <v>0</v>
      </c>
      <c r="R39" s="20" t="n">
        <v>0</v>
      </c>
    </row>
    <row r="40" spans="1:18">
      <c r="A40" s="15" t="s">
        <v>600</v>
      </c>
      <c r="B40" s="17" t="n">
        <v>7235</v>
      </c>
      <c r="C40" s="18">
        <f>(6431.0/B40*100)</f>
        <v/>
      </c>
      <c r="D40" s="19" t="n">
        <v>804</v>
      </c>
      <c r="E40" s="18" t="n">
        <v>53.29226822</v>
      </c>
      <c r="F40" s="20" t="n">
        <v>2.69632247</v>
      </c>
      <c r="G40" s="18" t="n">
        <v>41.24983799</v>
      </c>
      <c r="H40" s="20" t="n">
        <v>2.56950467</v>
      </c>
      <c r="I40" s="18" t="s">
        <v>567</v>
      </c>
      <c r="J40" s="20" t="s">
        <v>567</v>
      </c>
      <c r="K40" s="18" t="n">
        <v>5.25421487</v>
      </c>
      <c r="L40" s="20" t="n">
        <v>1.14266346</v>
      </c>
      <c r="M40" s="18" t="n">
        <v>0.20367891</v>
      </c>
      <c r="N40" s="20" t="n">
        <v>0.19450357</v>
      </c>
      <c r="O40" s="18" t="n">
        <v>0</v>
      </c>
      <c r="P40" s="20" t="n">
        <v>0</v>
      </c>
      <c r="Q40" s="18" t="n">
        <v>0</v>
      </c>
      <c r="R40" s="20" t="n">
        <v>0</v>
      </c>
    </row>
    <row r="41" spans="1:18">
      <c r="A41" s="15" t="s">
        <v>601</v>
      </c>
      <c r="B41" s="17" t="n">
        <v>2858</v>
      </c>
      <c r="C41" s="18">
        <f>(2516.0/B41*100)</f>
        <v/>
      </c>
      <c r="D41" s="19" t="n">
        <v>342</v>
      </c>
      <c r="E41" s="18" t="n">
        <v>48.29189896</v>
      </c>
      <c r="F41" s="20" t="n">
        <v>2.74360431</v>
      </c>
      <c r="G41" s="18" t="n">
        <v>49.67486433</v>
      </c>
      <c r="H41" s="20" t="n">
        <v>2.83882281</v>
      </c>
      <c r="I41" s="18" t="s">
        <v>567</v>
      </c>
      <c r="J41" s="20" t="s">
        <v>567</v>
      </c>
      <c r="K41" s="18" t="n">
        <v>2.03323671</v>
      </c>
      <c r="L41" s="20" t="n">
        <v>0.75802541</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(10198.0/B46*100)</f>
        <v/>
      </c>
      <c r="D46" s="19" t="n">
        <v>870</v>
      </c>
      <c r="E46" s="18" t="n">
        <v>73.92883252</v>
      </c>
      <c r="F46" s="20" t="n">
        <v>2.12561776</v>
      </c>
      <c r="G46" s="18" t="n">
        <v>13.00277675</v>
      </c>
      <c r="H46" s="20" t="n">
        <v>1.5097714</v>
      </c>
      <c r="I46" s="18" t="s">
        <v>567</v>
      </c>
      <c r="J46" s="20" t="s">
        <v>567</v>
      </c>
      <c r="K46" s="18" t="n">
        <v>12.96330172</v>
      </c>
      <c r="L46" s="20" t="n">
        <v>1.65688732</v>
      </c>
      <c r="M46" s="18" t="n">
        <v>0.10508901</v>
      </c>
      <c r="N46" s="20" t="n">
        <v>0.09604448</v>
      </c>
      <c r="O46" s="18" t="n">
        <v>0</v>
      </c>
      <c r="P46" s="20" t="n">
        <v>0</v>
      </c>
      <c r="Q46" s="18" t="n">
        <v>0</v>
      </c>
      <c r="R46" s="20" t="n">
        <v>0</v>
      </c>
    </row>
    <row r="47" spans="1:18">
      <c r="A47" s="15" t="s">
        <v>607</v>
      </c>
      <c r="B47" s="17" t="n">
        <v>3105</v>
      </c>
      <c r="C47" s="18">
        <f>(2765.0/B47*100)</f>
        <v/>
      </c>
      <c r="D47" s="19" t="n">
        <v>340</v>
      </c>
      <c r="E47" s="18" t="n">
        <v>62.00914926</v>
      </c>
      <c r="F47" s="20" t="n">
        <v>2.6131557</v>
      </c>
      <c r="G47" s="18" t="n">
        <v>30.5565154</v>
      </c>
      <c r="H47" s="20" t="n">
        <v>2.48780582</v>
      </c>
      <c r="I47" s="18" t="s">
        <v>567</v>
      </c>
      <c r="J47" s="20" t="s">
        <v>567</v>
      </c>
      <c r="K47" s="18" t="n">
        <v>7.43433533</v>
      </c>
      <c r="L47" s="20" t="n">
        <v>1.42152251</v>
      </c>
      <c r="M47" s="18" t="n">
        <v>0</v>
      </c>
      <c r="N47" s="20" t="n">
        <v>0</v>
      </c>
      <c r="O47" s="18" t="n">
        <v>0</v>
      </c>
      <c r="P47" s="20" t="n">
        <v>0</v>
      </c>
      <c r="Q47" s="18" t="n">
        <v>0</v>
      </c>
      <c r="R47" s="20" t="n">
        <v>0</v>
      </c>
    </row>
    <row r="48" spans="1:18">
      <c r="A48" s="15" t="s">
        <v>608</v>
      </c>
      <c r="B48" s="17" t="n">
        <v>5159</v>
      </c>
      <c r="C48" s="18">
        <f>(4597.0/B48*100)</f>
        <v/>
      </c>
      <c r="D48" s="19" t="n">
        <v>562</v>
      </c>
      <c r="E48" s="18" t="n">
        <v>60.3168915</v>
      </c>
      <c r="F48" s="20" t="n">
        <v>2.47775217</v>
      </c>
      <c r="G48" s="18" t="n">
        <v>35.18953989</v>
      </c>
      <c r="H48" s="20" t="n">
        <v>2.46969378</v>
      </c>
      <c r="I48" s="18" t="s">
        <v>567</v>
      </c>
      <c r="J48" s="20" t="s">
        <v>567</v>
      </c>
      <c r="K48" s="18" t="n">
        <v>4.49356861</v>
      </c>
      <c r="L48" s="20" t="n">
        <v>1.12506476</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(5060.0/B50*100)</f>
        <v/>
      </c>
      <c r="D50" s="19" t="n">
        <v>577</v>
      </c>
      <c r="E50" s="18" t="n">
        <v>72.93044681000001</v>
      </c>
      <c r="F50" s="20" t="n">
        <v>2.84362346</v>
      </c>
      <c r="G50" s="18" t="n">
        <v>20.75729939</v>
      </c>
      <c r="H50" s="20" t="n">
        <v>2.8058557</v>
      </c>
      <c r="I50" s="18" t="s">
        <v>567</v>
      </c>
      <c r="J50" s="20" t="s">
        <v>567</v>
      </c>
      <c r="K50" s="18" t="n">
        <v>6.31225379</v>
      </c>
      <c r="L50" s="20" t="n">
        <v>1.24535746</v>
      </c>
      <c r="M50" s="18" t="n">
        <v>0</v>
      </c>
      <c r="N50" s="20" t="n">
        <v>0</v>
      </c>
      <c r="O50" s="18" t="n">
        <v>0</v>
      </c>
      <c r="P50" s="20" t="n">
        <v>0</v>
      </c>
      <c r="Q50" s="18" t="n">
        <v>0</v>
      </c>
      <c r="R50" s="20" t="n">
        <v>0</v>
      </c>
    </row>
    <row r="51" spans="1:18">
      <c r="A51" s="15" t="s">
        <v>611</v>
      </c>
      <c r="B51" s="17" t="n">
        <v>3372</v>
      </c>
      <c r="C51" s="18">
        <f>(3065.0/B51*100)</f>
        <v/>
      </c>
      <c r="D51" s="19" t="n">
        <v>307</v>
      </c>
      <c r="E51" s="18" t="n">
        <v>63.79106866</v>
      </c>
      <c r="F51" s="20" t="n">
        <v>2.85458141</v>
      </c>
      <c r="G51" s="18" t="n">
        <v>30.48365965</v>
      </c>
      <c r="H51" s="20" t="n">
        <v>2.74694867</v>
      </c>
      <c r="I51" s="18" t="s">
        <v>567</v>
      </c>
      <c r="J51" s="20" t="s">
        <v>567</v>
      </c>
      <c r="K51" s="18" t="n">
        <v>5.72527169</v>
      </c>
      <c r="L51" s="20" t="n">
        <v>1.51330854</v>
      </c>
      <c r="M51" s="18" t="n">
        <v>0</v>
      </c>
      <c r="N51" s="20" t="n">
        <v>0</v>
      </c>
      <c r="O51" s="18" t="n">
        <v>0</v>
      </c>
      <c r="P51" s="20" t="n">
        <v>0</v>
      </c>
      <c r="Q51" s="18" t="n">
        <v>0</v>
      </c>
      <c r="R51" s="20" t="n">
        <v>0</v>
      </c>
    </row>
    <row r="52" spans="1:18">
      <c r="A52" s="15" t="s">
        <v>612</v>
      </c>
      <c r="B52" s="17" t="n">
        <v>2796</v>
      </c>
      <c r="C52" s="18">
        <f>(2505.0/B52*100)</f>
        <v/>
      </c>
      <c r="D52" s="19" t="n">
        <v>291</v>
      </c>
      <c r="E52" s="18" t="n">
        <v>57.85635767</v>
      </c>
      <c r="F52" s="20" t="n">
        <v>3.14623959</v>
      </c>
      <c r="G52" s="18" t="n">
        <v>33.92013732</v>
      </c>
      <c r="H52" s="20" t="n">
        <v>3.04194814</v>
      </c>
      <c r="I52" s="18" t="s">
        <v>567</v>
      </c>
      <c r="J52" s="20" t="s">
        <v>567</v>
      </c>
      <c r="K52" s="18" t="n">
        <v>8.22350501</v>
      </c>
      <c r="L52" s="20" t="n">
        <v>1.77465219</v>
      </c>
      <c r="M52" s="18" t="n">
        <v>0</v>
      </c>
      <c r="N52" s="20" t="n">
        <v>0</v>
      </c>
      <c r="O52" s="18" t="n">
        <v>0</v>
      </c>
      <c r="P52" s="20" t="n">
        <v>0</v>
      </c>
      <c r="Q52" s="18" t="n">
        <v>0</v>
      </c>
      <c r="R52" s="20" t="n">
        <v>0</v>
      </c>
    </row>
    <row r="53" spans="1:18">
      <c r="A53" s="15" t="s">
        <v>613</v>
      </c>
      <c r="B53" s="17" t="n">
        <v>2811</v>
      </c>
      <c r="C53" s="18">
        <f>(2490.0/B53*100)</f>
        <v/>
      </c>
      <c r="D53" s="19" t="n">
        <v>321</v>
      </c>
      <c r="E53" s="18" t="n">
        <v>62.03618294</v>
      </c>
      <c r="F53" s="20" t="n">
        <v>2.45689989</v>
      </c>
      <c r="G53" s="18" t="n">
        <v>29.35457989</v>
      </c>
      <c r="H53" s="20" t="n">
        <v>2.34848828</v>
      </c>
      <c r="I53" s="18" t="s">
        <v>567</v>
      </c>
      <c r="J53" s="20" t="s">
        <v>567</v>
      </c>
      <c r="K53" s="18" t="n">
        <v>8.60923717</v>
      </c>
      <c r="L53" s="20" t="n">
        <v>1.78751229</v>
      </c>
      <c r="M53" s="18" t="n">
        <v>0</v>
      </c>
      <c r="N53" s="20" t="n">
        <v>0</v>
      </c>
      <c r="O53" s="18" t="n">
        <v>0</v>
      </c>
      <c r="P53" s="20" t="n">
        <v>0</v>
      </c>
      <c r="Q53" s="18" t="n">
        <v>0</v>
      </c>
      <c r="R53" s="20" t="n">
        <v>0</v>
      </c>
    </row>
    <row r="54" spans="1:18">
      <c r="A54" s="15" t="s">
        <v>614</v>
      </c>
      <c r="B54" s="17" t="n">
        <v>2266</v>
      </c>
      <c r="C54" s="18">
        <f>(2026.0/B54*100)</f>
        <v/>
      </c>
      <c r="D54" s="19" t="n">
        <v>240</v>
      </c>
      <c r="E54" s="18" t="n">
        <v>51.24276474</v>
      </c>
      <c r="F54" s="20" t="n">
        <v>4.17290741</v>
      </c>
      <c r="G54" s="18" t="n">
        <v>9.67510308</v>
      </c>
      <c r="H54" s="20" t="n">
        <v>1.53410881</v>
      </c>
      <c r="I54" s="18" t="s">
        <v>567</v>
      </c>
      <c r="J54" s="20" t="s">
        <v>567</v>
      </c>
      <c r="K54" s="18" t="n">
        <v>38.70739315</v>
      </c>
      <c r="L54" s="20" t="n">
        <v>3.81455108</v>
      </c>
      <c r="M54" s="18" t="n">
        <v>0.37473903</v>
      </c>
      <c r="N54" s="20" t="n">
        <v>0.3749247</v>
      </c>
      <c r="O54" s="18" t="n">
        <v>0</v>
      </c>
      <c r="P54" s="20" t="n">
        <v>0</v>
      </c>
      <c r="Q54" s="18" t="n">
        <v>0</v>
      </c>
      <c r="R54" s="20" t="n">
        <v>0</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(2403.0/B56*100)</f>
        <v/>
      </c>
      <c r="D56" s="19" t="n">
        <v>281</v>
      </c>
      <c r="E56" s="18" t="n">
        <v>51.18608559</v>
      </c>
      <c r="F56" s="20" t="n">
        <v>2.95308552</v>
      </c>
      <c r="G56" s="18" t="n">
        <v>46.08764039</v>
      </c>
      <c r="H56" s="20" t="n">
        <v>2.80322342</v>
      </c>
      <c r="I56" s="18" t="s">
        <v>567</v>
      </c>
      <c r="J56" s="20" t="s">
        <v>567</v>
      </c>
      <c r="K56" s="18" t="n">
        <v>2.72627402</v>
      </c>
      <c r="L56" s="20" t="n">
        <v>1.54038369</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(2980.0/B61*100)</f>
        <v/>
      </c>
      <c r="D61" s="19" t="n">
        <v>344</v>
      </c>
      <c r="E61" s="18" t="n">
        <v>64.73608091</v>
      </c>
      <c r="F61" s="20" t="n">
        <v>3.5202154</v>
      </c>
      <c r="G61" s="18" t="n">
        <v>31.12091877</v>
      </c>
      <c r="H61" s="20" t="n">
        <v>3.3703492</v>
      </c>
      <c r="I61" s="18" t="s">
        <v>567</v>
      </c>
      <c r="J61" s="20" t="s">
        <v>567</v>
      </c>
      <c r="K61" s="18" t="n">
        <v>4.14300031</v>
      </c>
      <c r="L61" s="20" t="n">
        <v>1.19234034</v>
      </c>
      <c r="M61" s="18" t="n">
        <v>0</v>
      </c>
      <c r="N61" s="20" t="n">
        <v>0</v>
      </c>
      <c r="O61" s="18" t="n">
        <v>0</v>
      </c>
      <c r="P61" s="20" t="n">
        <v>0</v>
      </c>
      <c r="Q61" s="18" t="n">
        <v>0</v>
      </c>
      <c r="R61" s="20" t="n">
        <v>0</v>
      </c>
    </row>
    <row r="62" spans="1:18">
      <c r="A62" s="15" t="s">
        <v>622</v>
      </c>
      <c r="B62" s="17" t="n">
        <v>2246</v>
      </c>
      <c r="C62" s="18">
        <f>(2003.0/B62*100)</f>
        <v/>
      </c>
      <c r="D62" s="19" t="n">
        <v>243</v>
      </c>
      <c r="E62" s="18" t="n">
        <v>55.22073965</v>
      </c>
      <c r="F62" s="20" t="n">
        <v>2.84527023</v>
      </c>
      <c r="G62" s="18" t="n">
        <v>44.37065649</v>
      </c>
      <c r="H62" s="20" t="n">
        <v>2.9126424</v>
      </c>
      <c r="I62" s="18" t="s">
        <v>567</v>
      </c>
      <c r="J62" s="20" t="s">
        <v>567</v>
      </c>
      <c r="K62" s="18" t="n">
        <v>0.40860386</v>
      </c>
      <c r="L62" s="20" t="n">
        <v>0.41147865</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(2589.0/B66*100)</f>
        <v/>
      </c>
      <c r="D66" s="19" t="n">
        <v>305</v>
      </c>
      <c r="E66" s="18" t="n">
        <v>61.885836</v>
      </c>
      <c r="F66" s="20" t="n">
        <v>3.02999973</v>
      </c>
      <c r="G66" s="18" t="n">
        <v>19.18364272</v>
      </c>
      <c r="H66" s="20" t="n">
        <v>2.45999765</v>
      </c>
      <c r="I66" s="18" t="s">
        <v>567</v>
      </c>
      <c r="J66" s="20" t="s">
        <v>567</v>
      </c>
      <c r="K66" s="18" t="n">
        <v>18.25226143</v>
      </c>
      <c r="L66" s="20" t="n">
        <v>2.21821951</v>
      </c>
      <c r="M66" s="18" t="n">
        <v>0.6782598399999999</v>
      </c>
      <c r="N66" s="20" t="n">
        <v>0.48098408</v>
      </c>
      <c r="O66" s="18" t="n">
        <v>0</v>
      </c>
      <c r="P66" s="20" t="n">
        <v>0</v>
      </c>
      <c r="Q66" s="18" t="n">
        <v>0</v>
      </c>
      <c r="R66" s="20" t="n">
        <v>0</v>
      </c>
    </row>
    <row r="67" spans="1:18">
      <c r="A67" s="15" t="s">
        <v>627</v>
      </c>
      <c r="B67" s="17" t="n">
        <v>3511</v>
      </c>
      <c r="C67" s="18">
        <f>(3214.0/B67*100)</f>
        <v/>
      </c>
      <c r="D67" s="19" t="n">
        <v>297</v>
      </c>
      <c r="E67" s="18" t="n">
        <v>72.48628142</v>
      </c>
      <c r="F67" s="20" t="n">
        <v>2.90249758</v>
      </c>
      <c r="G67" s="18" t="n">
        <v>22.28962487</v>
      </c>
      <c r="H67" s="20" t="n">
        <v>2.87125993</v>
      </c>
      <c r="I67" s="18" t="s">
        <v>567</v>
      </c>
      <c r="J67" s="20" t="s">
        <v>567</v>
      </c>
      <c r="K67" s="18" t="n">
        <v>5.22409371</v>
      </c>
      <c r="L67" s="20" t="n">
        <v>1.24059039</v>
      </c>
      <c r="M67" s="18" t="n">
        <v>0</v>
      </c>
      <c r="N67" s="20" t="n">
        <v>0</v>
      </c>
      <c r="O67" s="18" t="n">
        <v>0</v>
      </c>
      <c r="P67" s="20" t="n">
        <v>0</v>
      </c>
      <c r="Q67" s="18" t="n">
        <v>0</v>
      </c>
      <c r="R67" s="20" t="n">
        <v>0</v>
      </c>
    </row>
    <row r="68" spans="1:18">
      <c r="A68" s="15" t="s">
        <v>628</v>
      </c>
      <c r="B68" s="17" t="n">
        <v>6049</v>
      </c>
      <c r="C68" s="18">
        <f>(5394.0/B68*100)</f>
        <v/>
      </c>
      <c r="D68" s="19" t="n">
        <v>655</v>
      </c>
      <c r="E68" s="18" t="n">
        <v>65.85033065</v>
      </c>
      <c r="F68" s="20" t="n">
        <v>1.86258734</v>
      </c>
      <c r="G68" s="18" t="n">
        <v>22.55388547</v>
      </c>
      <c r="H68" s="20" t="n">
        <v>1.70402873</v>
      </c>
      <c r="I68" s="18" t="s">
        <v>567</v>
      </c>
      <c r="J68" s="20" t="s">
        <v>567</v>
      </c>
      <c r="K68" s="18" t="n">
        <v>11.59578388</v>
      </c>
      <c r="L68" s="20" t="n">
        <v>1.35721245</v>
      </c>
      <c r="M68" s="18" t="n">
        <v>0</v>
      </c>
      <c r="N68" s="20" t="n">
        <v>0</v>
      </c>
      <c r="O68" s="18" t="n">
        <v>0</v>
      </c>
      <c r="P68" s="20" t="n">
        <v>0</v>
      </c>
      <c r="Q68" s="18" t="n">
        <v>0</v>
      </c>
      <c r="R68" s="20" t="n">
        <v>0</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(2631.0/B70*100)</f>
        <v/>
      </c>
      <c r="D70" s="19" t="n">
        <v>298</v>
      </c>
      <c r="E70" s="18" t="n">
        <v>57.39376964</v>
      </c>
      <c r="F70" s="20" t="n">
        <v>3.44160186</v>
      </c>
      <c r="G70" s="18" t="n">
        <v>40.97191363</v>
      </c>
      <c r="H70" s="20" t="n">
        <v>3.3074655</v>
      </c>
      <c r="I70" s="18" t="s">
        <v>567</v>
      </c>
      <c r="J70" s="20" t="s">
        <v>567</v>
      </c>
      <c r="K70" s="18" t="n">
        <v>1.63431673</v>
      </c>
      <c r="L70" s="20" t="n">
        <v>0.69044393</v>
      </c>
      <c r="M70" s="18" t="n">
        <v>0</v>
      </c>
      <c r="N70" s="20" t="n">
        <v>0</v>
      </c>
      <c r="O70" s="18" t="n">
        <v>0</v>
      </c>
      <c r="P70" s="20" t="n">
        <v>0</v>
      </c>
      <c r="Q70" s="18" t="n">
        <v>0</v>
      </c>
      <c r="R70" s="20" t="n">
        <v>0</v>
      </c>
    </row>
    <row r="71" spans="1:18">
      <c r="A71" s="15" t="s">
        <v>631</v>
      </c>
      <c r="B71" s="17" t="n">
        <v>3142</v>
      </c>
      <c r="C71" s="18">
        <f>(2750.0/B71*100)</f>
        <v/>
      </c>
      <c r="D71" s="19" t="n">
        <v>392</v>
      </c>
      <c r="E71" s="18" t="n">
        <v>47.11794595</v>
      </c>
      <c r="F71" s="20" t="n">
        <v>2.59696403</v>
      </c>
      <c r="G71" s="18" t="n">
        <v>51.98507008</v>
      </c>
      <c r="H71" s="20" t="n">
        <v>2.69257209</v>
      </c>
      <c r="I71" s="18" t="s">
        <v>567</v>
      </c>
      <c r="J71" s="20" t="s">
        <v>567</v>
      </c>
      <c r="K71" s="18" t="n">
        <v>0.89698396</v>
      </c>
      <c r="L71" s="20" t="n">
        <v>0.44994797</v>
      </c>
      <c r="M71" s="18" t="n">
        <v>0</v>
      </c>
      <c r="N71" s="20" t="n">
        <v>0</v>
      </c>
      <c r="O71" s="18" t="n">
        <v>0</v>
      </c>
      <c r="P71" s="20" t="n">
        <v>0</v>
      </c>
      <c r="Q71" s="18" t="n">
        <v>0</v>
      </c>
      <c r="R71" s="20" t="n">
        <v>0</v>
      </c>
    </row>
    <row r="72" spans="1:18">
      <c r="A72" s="15" t="s">
        <v>632</v>
      </c>
      <c r="B72" s="17" t="n">
        <v>3889</v>
      </c>
      <c r="C72" s="18">
        <f>(3470.0/B72*100)</f>
        <v/>
      </c>
      <c r="D72" s="19" t="n">
        <v>419</v>
      </c>
      <c r="E72" s="18" t="n">
        <v>35.49126087</v>
      </c>
      <c r="F72" s="20" t="n">
        <v>2.49685933</v>
      </c>
      <c r="G72" s="18" t="n">
        <v>61.50004806</v>
      </c>
      <c r="H72" s="20" t="n">
        <v>2.62589698</v>
      </c>
      <c r="I72" s="18" t="s">
        <v>567</v>
      </c>
      <c r="J72" s="20" t="s">
        <v>567</v>
      </c>
      <c r="K72" s="18" t="n">
        <v>3.00869107</v>
      </c>
      <c r="L72" s="20" t="n">
        <v>1.02711158</v>
      </c>
      <c r="M72" s="18" t="n">
        <v>0</v>
      </c>
      <c r="N72" s="20" t="n">
        <v>0</v>
      </c>
      <c r="O72" s="18" t="n">
        <v>0</v>
      </c>
      <c r="P72" s="20" t="n">
        <v>0</v>
      </c>
      <c r="Q72" s="18" t="n">
        <v>0</v>
      </c>
      <c r="R72" s="20" t="n">
        <v>0</v>
      </c>
    </row>
    <row r="73" spans="1:18">
      <c r="A73" s="15" t="s">
        <v>633</v>
      </c>
      <c r="B73" s="17" t="n">
        <v>3597</v>
      </c>
      <c r="C73" s="18">
        <f>(3241.0/B73*100)</f>
        <v/>
      </c>
      <c r="D73" s="19" t="n">
        <v>356</v>
      </c>
      <c r="E73" s="18" t="n">
        <v>70.91763586</v>
      </c>
      <c r="F73" s="20" t="n">
        <v>3.46374434</v>
      </c>
      <c r="G73" s="18" t="n">
        <v>26.91121415</v>
      </c>
      <c r="H73" s="20" t="n">
        <v>3.40388019</v>
      </c>
      <c r="I73" s="18" t="s">
        <v>567</v>
      </c>
      <c r="J73" s="20" t="s">
        <v>567</v>
      </c>
      <c r="K73" s="18" t="n">
        <v>2.17114999</v>
      </c>
      <c r="L73" s="20" t="n">
        <v>0.92343217</v>
      </c>
      <c r="M73" s="18" t="n">
        <v>0</v>
      </c>
      <c r="N73" s="20" t="n">
        <v>0</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(2174.0/B75*100)</f>
        <v/>
      </c>
      <c r="D75" s="19" t="n">
        <v>232</v>
      </c>
      <c r="E75" s="18" t="n">
        <v>0</v>
      </c>
      <c r="F75" s="20" t="n">
        <v>0</v>
      </c>
      <c r="G75" s="18" t="n">
        <v>0</v>
      </c>
      <c r="H75" s="20" t="n">
        <v>0</v>
      </c>
      <c r="I75" s="18" t="s">
        <v>567</v>
      </c>
      <c r="J75" s="20" t="s">
        <v>567</v>
      </c>
      <c r="K75" s="18" t="n">
        <v>0</v>
      </c>
      <c r="L75" s="20" t="n">
        <v>0</v>
      </c>
      <c r="M75" s="18" t="n">
        <v>100</v>
      </c>
      <c r="N75" s="20" t="n">
        <v>0</v>
      </c>
      <c r="O75" s="18" t="n">
        <v>0</v>
      </c>
      <c r="P75" s="20" t="n">
        <v>0</v>
      </c>
      <c r="Q75" s="18" t="n">
        <v>0</v>
      </c>
      <c r="R75" s="20" t="n">
        <v>0</v>
      </c>
    </row>
    <row r="76" spans="1:18">
      <c r="A76" s="15" t="s">
        <v>636</v>
      </c>
      <c r="B76" s="17" t="n">
        <v>7052</v>
      </c>
      <c r="C76" s="18">
        <f>(6266.0/B76*100)</f>
        <v/>
      </c>
      <c r="D76" s="19" t="n">
        <v>786</v>
      </c>
      <c r="E76" s="18" t="n">
        <v>63.90721824</v>
      </c>
      <c r="F76" s="20" t="n">
        <v>2.01133842</v>
      </c>
      <c r="G76" s="18" t="n">
        <v>31.14968441</v>
      </c>
      <c r="H76" s="20" t="n">
        <v>1.93291217</v>
      </c>
      <c r="I76" s="18" t="s">
        <v>567</v>
      </c>
      <c r="J76" s="20" t="s">
        <v>567</v>
      </c>
      <c r="K76" s="18" t="n">
        <v>4.90103146</v>
      </c>
      <c r="L76" s="20" t="n">
        <v>0.83387163</v>
      </c>
      <c r="M76" s="18" t="n">
        <v>0.0420659</v>
      </c>
      <c r="N76" s="20" t="n">
        <v>0.04221435</v>
      </c>
      <c r="O76" s="18" t="n">
        <v>0</v>
      </c>
      <c r="P76" s="20" t="n">
        <v>0</v>
      </c>
      <c r="Q76" s="18" t="n">
        <v>0</v>
      </c>
      <c r="R76" s="20" t="n">
        <v>0</v>
      </c>
    </row>
    <row r="77" spans="1:18">
      <c r="A77" s="15" t="s">
        <v>637</v>
      </c>
      <c r="B77" s="17" t="n">
        <v>2908</v>
      </c>
      <c r="C77" s="18">
        <f>(2635.0/B77*100)</f>
        <v/>
      </c>
      <c r="D77" s="19" t="n">
        <v>273</v>
      </c>
      <c r="E77" s="18" t="n">
        <v>63.63367375</v>
      </c>
      <c r="F77" s="20" t="n">
        <v>2.92292502</v>
      </c>
      <c r="G77" s="18" t="n">
        <v>24.62209612</v>
      </c>
      <c r="H77" s="20" t="n">
        <v>2.65107247</v>
      </c>
      <c r="I77" s="18" t="s">
        <v>567</v>
      </c>
      <c r="J77" s="20" t="s">
        <v>567</v>
      </c>
      <c r="K77" s="18" t="n">
        <v>11.74423013</v>
      </c>
      <c r="L77" s="20" t="n">
        <v>2.14355865</v>
      </c>
      <c r="M77" s="18" t="n">
        <v>0</v>
      </c>
      <c r="N77" s="20" t="n">
        <v>0</v>
      </c>
      <c r="O77" s="18" t="n">
        <v>0</v>
      </c>
      <c r="P77" s="20" t="n">
        <v>0</v>
      </c>
      <c r="Q77" s="18" t="n">
        <v>0</v>
      </c>
      <c r="R77" s="20" t="n">
        <v>0</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(3733.0/B81*100)</f>
        <v/>
      </c>
      <c r="D81" s="19" t="n">
        <v>430</v>
      </c>
      <c r="E81" s="18" t="n">
        <v>56.87895201</v>
      </c>
      <c r="F81" s="20" t="n">
        <v>2.71852743</v>
      </c>
      <c r="G81" s="18" t="n">
        <v>41.96604066</v>
      </c>
      <c r="H81" s="20" t="n">
        <v>2.71860659</v>
      </c>
      <c r="I81" s="18" t="s">
        <v>567</v>
      </c>
      <c r="J81" s="20" t="s">
        <v>567</v>
      </c>
      <c r="K81" s="18" t="n">
        <v>1.15500733</v>
      </c>
      <c r="L81" s="20" t="n">
        <v>0.6707790300000001</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(6551.0/B7*100)</f>
        <v/>
      </c>
      <c r="D7" s="19" t="n">
        <v>816</v>
      </c>
      <c r="E7" s="18" t="n">
        <v>78.00570310000001</v>
      </c>
      <c r="F7" s="20" t="n">
        <v>1.66158632</v>
      </c>
      <c r="G7" s="18" t="n">
        <v>11.18324577</v>
      </c>
      <c r="H7" s="20" t="n">
        <v>1.22933068</v>
      </c>
      <c r="I7" s="18" t="s">
        <v>567</v>
      </c>
      <c r="J7" s="20" t="s">
        <v>567</v>
      </c>
      <c r="K7" s="18" t="n">
        <v>0.13416193</v>
      </c>
      <c r="L7" s="20" t="n">
        <v>0.12490861</v>
      </c>
      <c r="M7" s="18" t="n">
        <v>0.10749432</v>
      </c>
      <c r="N7" s="20" t="n">
        <v>0.07937313</v>
      </c>
      <c r="O7" s="18" t="n">
        <v>0</v>
      </c>
      <c r="P7" s="20" t="n">
        <v>0</v>
      </c>
      <c r="Q7" s="18" t="n">
        <v>10.56939488</v>
      </c>
      <c r="R7" s="20" t="n">
        <v>1.39799788</v>
      </c>
    </row>
    <row r="8" spans="1:18">
      <c r="A8" s="15" t="s">
        <v>568</v>
      </c>
      <c r="B8" s="17" t="n">
        <v>3564</v>
      </c>
      <c r="C8" s="18">
        <f>(3189.0/B8*100)</f>
        <v/>
      </c>
      <c r="D8" s="19" t="n">
        <v>375</v>
      </c>
      <c r="E8" s="18" t="n">
        <v>71.87518763999999</v>
      </c>
      <c r="F8" s="20" t="n">
        <v>2.89343965</v>
      </c>
      <c r="G8" s="18" t="n">
        <v>12.0660114</v>
      </c>
      <c r="H8" s="20" t="n">
        <v>1.87343343</v>
      </c>
      <c r="I8" s="18" t="s">
        <v>567</v>
      </c>
      <c r="J8" s="20" t="s">
        <v>567</v>
      </c>
      <c r="K8" s="18" t="n">
        <v>0</v>
      </c>
      <c r="L8" s="20" t="n">
        <v>0</v>
      </c>
      <c r="M8" s="18" t="n">
        <v>0</v>
      </c>
      <c r="N8" s="20" t="n">
        <v>0</v>
      </c>
      <c r="O8" s="18" t="n">
        <v>0</v>
      </c>
      <c r="P8" s="20" t="n">
        <v>0</v>
      </c>
      <c r="Q8" s="18" t="n">
        <v>16.05880096</v>
      </c>
      <c r="R8" s="20" t="n">
        <v>2.3827075</v>
      </c>
    </row>
    <row r="9" spans="1:18">
      <c r="A9" s="15" t="s">
        <v>569</v>
      </c>
      <c r="B9" s="17" t="n">
        <v>4899</v>
      </c>
      <c r="C9" s="18">
        <f>(4382.0/B9*100)</f>
        <v/>
      </c>
      <c r="D9" s="19" t="n">
        <v>517</v>
      </c>
      <c r="E9" s="18" t="n">
        <v>74.22819722</v>
      </c>
      <c r="F9" s="20" t="n">
        <v>2.07898538</v>
      </c>
      <c r="G9" s="18" t="n">
        <v>14.26471621</v>
      </c>
      <c r="H9" s="20" t="n">
        <v>1.67969646</v>
      </c>
      <c r="I9" s="18" t="s">
        <v>567</v>
      </c>
      <c r="J9" s="20" t="s">
        <v>567</v>
      </c>
      <c r="K9" s="18" t="n">
        <v>0.17357947</v>
      </c>
      <c r="L9" s="20" t="n">
        <v>0.16780552</v>
      </c>
      <c r="M9" s="18" t="n">
        <v>0.29628941</v>
      </c>
      <c r="N9" s="20" t="n">
        <v>0.21415231</v>
      </c>
      <c r="O9" s="18" t="n">
        <v>0</v>
      </c>
      <c r="P9" s="20" t="n">
        <v>0</v>
      </c>
      <c r="Q9" s="18" t="n">
        <v>11.03721769</v>
      </c>
      <c r="R9" s="20" t="n">
        <v>1.48036563</v>
      </c>
    </row>
    <row r="10" spans="1:18">
      <c r="A10" s="15" t="s">
        <v>570</v>
      </c>
      <c r="B10" s="17" t="n">
        <v>10036</v>
      </c>
      <c r="C10" s="18">
        <f>(8961.0/B10*100)</f>
        <v/>
      </c>
      <c r="D10" s="19" t="n">
        <v>1075</v>
      </c>
      <c r="E10" s="18" t="n">
        <v>75.22874381</v>
      </c>
      <c r="F10" s="20" t="n">
        <v>1.96467052</v>
      </c>
      <c r="G10" s="18" t="n">
        <v>19.06421754</v>
      </c>
      <c r="H10" s="20" t="n">
        <v>1.60635535</v>
      </c>
      <c r="I10" s="18" t="s">
        <v>567</v>
      </c>
      <c r="J10" s="20" t="s">
        <v>567</v>
      </c>
      <c r="K10" s="18" t="n">
        <v>0</v>
      </c>
      <c r="L10" s="20" t="n">
        <v>0</v>
      </c>
      <c r="M10" s="18" t="n">
        <v>0</v>
      </c>
      <c r="N10" s="20" t="n">
        <v>0</v>
      </c>
      <c r="O10" s="18" t="n">
        <v>0</v>
      </c>
      <c r="P10" s="20" t="n">
        <v>0</v>
      </c>
      <c r="Q10" s="18" t="n">
        <v>5.70703865</v>
      </c>
      <c r="R10" s="20" t="n">
        <v>1.52061723</v>
      </c>
    </row>
    <row r="11" spans="1:18">
      <c r="A11" s="15" t="s">
        <v>571</v>
      </c>
      <c r="B11" s="17" t="n">
        <v>3553</v>
      </c>
      <c r="C11" s="18">
        <f>(3138.0/B11*100)</f>
        <v/>
      </c>
      <c r="D11" s="19" t="n">
        <v>415</v>
      </c>
      <c r="E11" s="18" t="n">
        <v>79.60027221999999</v>
      </c>
      <c r="F11" s="20" t="n">
        <v>2.48734347</v>
      </c>
      <c r="G11" s="18" t="n">
        <v>7.75919725</v>
      </c>
      <c r="H11" s="20" t="n">
        <v>1.48013112</v>
      </c>
      <c r="I11" s="18" t="s">
        <v>567</v>
      </c>
      <c r="J11" s="20" t="s">
        <v>567</v>
      </c>
      <c r="K11" s="18" t="n">
        <v>0</v>
      </c>
      <c r="L11" s="20" t="n">
        <v>0</v>
      </c>
      <c r="M11" s="18" t="n">
        <v>0.02352772</v>
      </c>
      <c r="N11" s="20" t="n">
        <v>0.02355945</v>
      </c>
      <c r="O11" s="18" t="n">
        <v>0</v>
      </c>
      <c r="P11" s="20" t="n">
        <v>0</v>
      </c>
      <c r="Q11" s="18" t="n">
        <v>12.61700281</v>
      </c>
      <c r="R11" s="20" t="n">
        <v>2.05190695</v>
      </c>
    </row>
    <row r="12" spans="1:18">
      <c r="A12" s="15" t="s">
        <v>572</v>
      </c>
      <c r="B12" s="17" t="n">
        <v>3472</v>
      </c>
      <c r="C12" s="18">
        <f>(3059.0/B12*100)</f>
        <v/>
      </c>
      <c r="D12" s="19" t="n">
        <v>413</v>
      </c>
      <c r="E12" s="18" t="n">
        <v>79.56110313000001</v>
      </c>
      <c r="F12" s="20" t="n">
        <v>2.31458659</v>
      </c>
      <c r="G12" s="18" t="n">
        <v>8.74351882</v>
      </c>
      <c r="H12" s="20" t="n">
        <v>1.37175728</v>
      </c>
      <c r="I12" s="18" t="s">
        <v>567</v>
      </c>
      <c r="J12" s="20" t="s">
        <v>567</v>
      </c>
      <c r="K12" s="18" t="n">
        <v>0</v>
      </c>
      <c r="L12" s="20" t="n">
        <v>0</v>
      </c>
      <c r="M12" s="18" t="n">
        <v>0</v>
      </c>
      <c r="N12" s="20" t="n">
        <v>0</v>
      </c>
      <c r="O12" s="18" t="n">
        <v>0</v>
      </c>
      <c r="P12" s="20" t="n">
        <v>0</v>
      </c>
      <c r="Q12" s="18" t="n">
        <v>11.69537804</v>
      </c>
      <c r="R12" s="20" t="n">
        <v>2.06624508</v>
      </c>
    </row>
    <row r="13" spans="1:18">
      <c r="A13" s="15" t="s">
        <v>573</v>
      </c>
      <c r="B13" s="17" t="n">
        <v>3559</v>
      </c>
      <c r="C13" s="18">
        <f>(3172.0/B13*100)</f>
        <v/>
      </c>
      <c r="D13" s="19" t="n">
        <v>387</v>
      </c>
      <c r="E13" s="18" t="n">
        <v>70.44647937000001</v>
      </c>
      <c r="F13" s="20" t="n">
        <v>2.76959133</v>
      </c>
      <c r="G13" s="18" t="n">
        <v>24.91950109</v>
      </c>
      <c r="H13" s="20" t="n">
        <v>2.76357958</v>
      </c>
      <c r="I13" s="18" t="s">
        <v>567</v>
      </c>
      <c r="J13" s="20" t="s">
        <v>567</v>
      </c>
      <c r="K13" s="18" t="n">
        <v>0.21208984</v>
      </c>
      <c r="L13" s="20" t="n">
        <v>0.1238436</v>
      </c>
      <c r="M13" s="18" t="n">
        <v>0</v>
      </c>
      <c r="N13" s="20" t="n">
        <v>0</v>
      </c>
      <c r="O13" s="18" t="n">
        <v>0</v>
      </c>
      <c r="P13" s="20" t="n">
        <v>0</v>
      </c>
      <c r="Q13" s="18" t="n">
        <v>4.42192969</v>
      </c>
      <c r="R13" s="20" t="n">
        <v>0.97410257</v>
      </c>
    </row>
    <row r="14" spans="1:18">
      <c r="A14" s="15" t="s">
        <v>574</v>
      </c>
      <c r="B14" s="17" t="n">
        <v>2799</v>
      </c>
      <c r="C14" s="18">
        <f>(2488.0/B14*100)</f>
        <v/>
      </c>
      <c r="D14" s="19" t="n">
        <v>311</v>
      </c>
      <c r="E14" s="18" t="n">
        <v>63.4029903</v>
      </c>
      <c r="F14" s="20" t="n">
        <v>3.16185087</v>
      </c>
      <c r="G14" s="18" t="n">
        <v>30.09696278</v>
      </c>
      <c r="H14" s="20" t="n">
        <v>2.93348821</v>
      </c>
      <c r="I14" s="18" t="s">
        <v>567</v>
      </c>
      <c r="J14" s="20" t="s">
        <v>567</v>
      </c>
      <c r="K14" s="18" t="n">
        <v>0</v>
      </c>
      <c r="L14" s="20" t="n">
        <v>0</v>
      </c>
      <c r="M14" s="18" t="n">
        <v>0</v>
      </c>
      <c r="N14" s="20" t="n">
        <v>0</v>
      </c>
      <c r="O14" s="18" t="n">
        <v>0</v>
      </c>
      <c r="P14" s="20" t="n">
        <v>0</v>
      </c>
      <c r="Q14" s="18" t="n">
        <v>6.50004692</v>
      </c>
      <c r="R14" s="20" t="n">
        <v>1.64454834</v>
      </c>
    </row>
    <row r="15" spans="1:18">
      <c r="A15" s="15" t="s">
        <v>575</v>
      </c>
      <c r="B15" s="17" t="n">
        <v>3019</v>
      </c>
      <c r="C15" s="18">
        <f>(2669.0/B15*100)</f>
        <v/>
      </c>
      <c r="D15" s="19" t="n">
        <v>350</v>
      </c>
      <c r="E15" s="18" t="n">
        <v>74.84636313999999</v>
      </c>
      <c r="F15" s="20" t="n">
        <v>2.46250543</v>
      </c>
      <c r="G15" s="18" t="n">
        <v>17.47807465</v>
      </c>
      <c r="H15" s="20" t="n">
        <v>2.0388732</v>
      </c>
      <c r="I15" s="18" t="s">
        <v>567</v>
      </c>
      <c r="J15" s="20" t="s">
        <v>567</v>
      </c>
      <c r="K15" s="18" t="n">
        <v>0</v>
      </c>
      <c r="L15" s="20" t="n">
        <v>0</v>
      </c>
      <c r="M15" s="18" t="n">
        <v>0</v>
      </c>
      <c r="N15" s="20" t="n">
        <v>0</v>
      </c>
      <c r="O15" s="18" t="n">
        <v>0</v>
      </c>
      <c r="P15" s="20" t="n">
        <v>0</v>
      </c>
      <c r="Q15" s="18" t="n">
        <v>7.67556221</v>
      </c>
      <c r="R15" s="20" t="n">
        <v>1.45243731</v>
      </c>
    </row>
    <row r="16" spans="1:18">
      <c r="A16" s="15" t="s">
        <v>576</v>
      </c>
      <c r="B16" s="17" t="n">
        <v>2997</v>
      </c>
      <c r="C16" s="18">
        <f>(2666.0/B16*100)</f>
        <v/>
      </c>
      <c r="D16" s="19" t="n">
        <v>331</v>
      </c>
      <c r="E16" s="18" t="n">
        <v>75.83342838999999</v>
      </c>
      <c r="F16" s="20" t="n">
        <v>2.43936574</v>
      </c>
      <c r="G16" s="18" t="n">
        <v>9.25717927</v>
      </c>
      <c r="H16" s="20" t="n">
        <v>1.61832386</v>
      </c>
      <c r="I16" s="18" t="s">
        <v>567</v>
      </c>
      <c r="J16" s="20" t="s">
        <v>567</v>
      </c>
      <c r="K16" s="18" t="n">
        <v>0.31453025</v>
      </c>
      <c r="L16" s="20" t="n">
        <v>0.22105146</v>
      </c>
      <c r="M16" s="18" t="n">
        <v>0</v>
      </c>
      <c r="N16" s="20" t="n">
        <v>0</v>
      </c>
      <c r="O16" s="18" t="n">
        <v>0</v>
      </c>
      <c r="P16" s="20" t="n">
        <v>0</v>
      </c>
      <c r="Q16" s="18" t="n">
        <v>14.5948621</v>
      </c>
      <c r="R16" s="20" t="n">
        <v>2.22016588</v>
      </c>
    </row>
    <row r="17" spans="1:18">
      <c r="A17" s="15" t="s">
        <v>577</v>
      </c>
      <c r="B17" s="17" t="n">
        <v>3307</v>
      </c>
      <c r="C17" s="18">
        <f>(2927.0/B17*100)</f>
        <v/>
      </c>
      <c r="D17" s="19" t="n">
        <v>380</v>
      </c>
      <c r="E17" s="18" t="n">
        <v>73.45671061</v>
      </c>
      <c r="F17" s="20" t="n">
        <v>2.29170448</v>
      </c>
      <c r="G17" s="18" t="n">
        <v>12.93557194</v>
      </c>
      <c r="H17" s="20" t="n">
        <v>1.83063583</v>
      </c>
      <c r="I17" s="18" t="s">
        <v>567</v>
      </c>
      <c r="J17" s="20" t="s">
        <v>567</v>
      </c>
      <c r="K17" s="18" t="n">
        <v>0.9069530099999999</v>
      </c>
      <c r="L17" s="20" t="n">
        <v>0.61602647</v>
      </c>
      <c r="M17" s="18" t="n">
        <v>0</v>
      </c>
      <c r="N17" s="20" t="n">
        <v>0</v>
      </c>
      <c r="O17" s="18" t="n">
        <v>0</v>
      </c>
      <c r="P17" s="20" t="n">
        <v>0</v>
      </c>
      <c r="Q17" s="18" t="n">
        <v>12.70076444</v>
      </c>
      <c r="R17" s="20" t="n">
        <v>1.60232647</v>
      </c>
    </row>
    <row r="18" spans="1:18">
      <c r="A18" s="15" t="s">
        <v>578</v>
      </c>
      <c r="B18" s="17" t="n">
        <v>2826</v>
      </c>
      <c r="C18" s="18">
        <f>(2503.0/B18*100)</f>
        <v/>
      </c>
      <c r="D18" s="19" t="n">
        <v>323</v>
      </c>
      <c r="E18" s="18" t="n">
        <v>73.301829</v>
      </c>
      <c r="F18" s="20" t="n">
        <v>2.93110599</v>
      </c>
      <c r="G18" s="18" t="n">
        <v>8.15330749</v>
      </c>
      <c r="H18" s="20" t="n">
        <v>1.53736345</v>
      </c>
      <c r="I18" s="18" t="s">
        <v>567</v>
      </c>
      <c r="J18" s="20" t="s">
        <v>567</v>
      </c>
      <c r="K18" s="18" t="n">
        <v>0.31838083</v>
      </c>
      <c r="L18" s="20" t="n">
        <v>0.32462091</v>
      </c>
      <c r="M18" s="18" t="n">
        <v>0</v>
      </c>
      <c r="N18" s="20" t="n">
        <v>0</v>
      </c>
      <c r="O18" s="18" t="n">
        <v>0</v>
      </c>
      <c r="P18" s="20" t="n">
        <v>0</v>
      </c>
      <c r="Q18" s="18" t="n">
        <v>18.22648268</v>
      </c>
      <c r="R18" s="20" t="n">
        <v>2.83711461</v>
      </c>
    </row>
    <row r="19" spans="1:18">
      <c r="A19" s="15" t="s">
        <v>579</v>
      </c>
      <c r="B19" s="17" t="n">
        <v>2808</v>
      </c>
      <c r="C19" s="18">
        <f>(2517.0/B19*100)</f>
        <v/>
      </c>
      <c r="D19" s="19" t="n">
        <v>291</v>
      </c>
      <c r="E19" s="18" t="n">
        <v>79.01002844</v>
      </c>
      <c r="F19" s="20" t="n">
        <v>2.67413234</v>
      </c>
      <c r="G19" s="18" t="n">
        <v>4.22538925</v>
      </c>
      <c r="H19" s="20" t="n">
        <v>1.30873215</v>
      </c>
      <c r="I19" s="18" t="s">
        <v>567</v>
      </c>
      <c r="J19" s="20" t="s">
        <v>567</v>
      </c>
      <c r="K19" s="18" t="n">
        <v>0</v>
      </c>
      <c r="L19" s="20" t="n">
        <v>0</v>
      </c>
      <c r="M19" s="18" t="n">
        <v>0</v>
      </c>
      <c r="N19" s="20" t="n">
        <v>0</v>
      </c>
      <c r="O19" s="18" t="n">
        <v>0</v>
      </c>
      <c r="P19" s="20" t="n">
        <v>0</v>
      </c>
      <c r="Q19" s="18" t="n">
        <v>16.7645823</v>
      </c>
      <c r="R19" s="20" t="n">
        <v>2.48643031</v>
      </c>
    </row>
    <row r="20" spans="1:18">
      <c r="A20" s="15" t="s">
        <v>580</v>
      </c>
      <c r="B20" s="17" t="n">
        <v>1630</v>
      </c>
      <c r="C20" s="18">
        <f>(1462.0/B20*100)</f>
        <v/>
      </c>
      <c r="D20" s="19" t="n">
        <v>168</v>
      </c>
      <c r="E20" s="18" t="n">
        <v>78.72433128</v>
      </c>
      <c r="F20" s="20" t="n">
        <v>3.11887004</v>
      </c>
      <c r="G20" s="18" t="n">
        <v>14.37394478</v>
      </c>
      <c r="H20" s="20" t="n">
        <v>2.74789333</v>
      </c>
      <c r="I20" s="18" t="s">
        <v>567</v>
      </c>
      <c r="J20" s="20" t="s">
        <v>567</v>
      </c>
      <c r="K20" s="18" t="n">
        <v>0</v>
      </c>
      <c r="L20" s="20" t="n">
        <v>0</v>
      </c>
      <c r="M20" s="18" t="n">
        <v>0</v>
      </c>
      <c r="N20" s="20" t="n">
        <v>0</v>
      </c>
      <c r="O20" s="18" t="n">
        <v>0</v>
      </c>
      <c r="P20" s="20" t="n">
        <v>0</v>
      </c>
      <c r="Q20" s="18" t="n">
        <v>6.90172394</v>
      </c>
      <c r="R20" s="20" t="n">
        <v>2.04392079</v>
      </c>
    </row>
    <row r="21" spans="1:18">
      <c r="A21" s="15" t="s">
        <v>581</v>
      </c>
      <c r="B21" s="17" t="n">
        <v>2908</v>
      </c>
      <c r="C21" s="18">
        <f>(2606.0/B21*100)</f>
        <v/>
      </c>
      <c r="D21" s="19" t="n">
        <v>302</v>
      </c>
      <c r="E21" s="18" t="n">
        <v>77.97008987</v>
      </c>
      <c r="F21" s="20" t="n">
        <v>2.4940715</v>
      </c>
      <c r="G21" s="18" t="n">
        <v>14.11941034</v>
      </c>
      <c r="H21" s="20" t="n">
        <v>2.03281474</v>
      </c>
      <c r="I21" s="18" t="s">
        <v>567</v>
      </c>
      <c r="J21" s="20" t="s">
        <v>567</v>
      </c>
      <c r="K21" s="18" t="n">
        <v>0</v>
      </c>
      <c r="L21" s="20" t="n">
        <v>0</v>
      </c>
      <c r="M21" s="18" t="n">
        <v>0</v>
      </c>
      <c r="N21" s="20" t="n">
        <v>0</v>
      </c>
      <c r="O21" s="18" t="n">
        <v>0</v>
      </c>
      <c r="P21" s="20" t="n">
        <v>0</v>
      </c>
      <c r="Q21" s="18" t="n">
        <v>7.91049979</v>
      </c>
      <c r="R21" s="20" t="n">
        <v>1.78418603</v>
      </c>
    </row>
    <row r="22" spans="1:18">
      <c r="A22" s="15" t="s">
        <v>582</v>
      </c>
      <c r="B22" s="17" t="n">
        <v>2931</v>
      </c>
      <c r="C22" s="18">
        <f>(2591.0/B22*100)</f>
        <v/>
      </c>
      <c r="D22" s="19" t="n">
        <v>340</v>
      </c>
      <c r="E22" s="18" t="n">
        <v>68.50715695</v>
      </c>
      <c r="F22" s="20" t="n">
        <v>3.1966843</v>
      </c>
      <c r="G22" s="18" t="n">
        <v>11.87965008</v>
      </c>
      <c r="H22" s="20" t="n">
        <v>2.07716025</v>
      </c>
      <c r="I22" s="18" t="s">
        <v>567</v>
      </c>
      <c r="J22" s="20" t="s">
        <v>567</v>
      </c>
      <c r="K22" s="18" t="n">
        <v>0</v>
      </c>
      <c r="L22" s="20" t="n">
        <v>0</v>
      </c>
      <c r="M22" s="18" t="n">
        <v>0</v>
      </c>
      <c r="N22" s="20" t="n">
        <v>0</v>
      </c>
      <c r="O22" s="18" t="n">
        <v>0</v>
      </c>
      <c r="P22" s="20" t="n">
        <v>0</v>
      </c>
      <c r="Q22" s="18" t="n">
        <v>19.61319297</v>
      </c>
      <c r="R22" s="20" t="n">
        <v>2.80888678</v>
      </c>
    </row>
    <row r="23" spans="1:18">
      <c r="A23" s="15" t="s">
        <v>583</v>
      </c>
      <c r="B23" s="17" t="n">
        <v>5791</v>
      </c>
      <c r="C23" s="18">
        <f>(5161.0/B23*100)</f>
        <v/>
      </c>
      <c r="D23" s="19" t="n">
        <v>630</v>
      </c>
      <c r="E23" s="18" t="n">
        <v>74.91624769000001</v>
      </c>
      <c r="F23" s="20" t="n">
        <v>2.63986007</v>
      </c>
      <c r="G23" s="18" t="n">
        <v>11.53065315</v>
      </c>
      <c r="H23" s="20" t="n">
        <v>1.63631303</v>
      </c>
      <c r="I23" s="18" t="s">
        <v>567</v>
      </c>
      <c r="J23" s="20" t="s">
        <v>567</v>
      </c>
      <c r="K23" s="18" t="n">
        <v>0.10818569</v>
      </c>
      <c r="L23" s="20" t="n">
        <v>0.10725743</v>
      </c>
      <c r="M23" s="18" t="n">
        <v>0</v>
      </c>
      <c r="N23" s="20" t="n">
        <v>0</v>
      </c>
      <c r="O23" s="18" t="n">
        <v>0</v>
      </c>
      <c r="P23" s="20" t="n">
        <v>0</v>
      </c>
      <c r="Q23" s="18" t="n">
        <v>13.44491347</v>
      </c>
      <c r="R23" s="20" t="n">
        <v>2.36761259</v>
      </c>
    </row>
    <row r="24" spans="1:18">
      <c r="A24" s="15" t="s">
        <v>584</v>
      </c>
      <c r="B24" s="17" t="n">
        <v>3338</v>
      </c>
      <c r="C24" s="18">
        <f>(2959.0/B24*100)</f>
        <v/>
      </c>
      <c r="D24" s="19" t="n">
        <v>379</v>
      </c>
      <c r="E24" s="18" t="n">
        <v>72.21524506</v>
      </c>
      <c r="F24" s="20" t="n">
        <v>2.60176019</v>
      </c>
      <c r="G24" s="18" t="n">
        <v>14.77841601</v>
      </c>
      <c r="H24" s="20" t="n">
        <v>1.97102919</v>
      </c>
      <c r="I24" s="18" t="s">
        <v>567</v>
      </c>
      <c r="J24" s="20" t="s">
        <v>567</v>
      </c>
      <c r="K24" s="18" t="n">
        <v>0.25525835</v>
      </c>
      <c r="L24" s="20" t="n">
        <v>0.25821211</v>
      </c>
      <c r="M24" s="18" t="n">
        <v>0</v>
      </c>
      <c r="N24" s="20" t="n">
        <v>0</v>
      </c>
      <c r="O24" s="18" t="n">
        <v>0</v>
      </c>
      <c r="P24" s="20" t="n">
        <v>0</v>
      </c>
      <c r="Q24" s="18" t="n">
        <v>12.75108058</v>
      </c>
      <c r="R24" s="20" t="n">
        <v>1.76332872</v>
      </c>
    </row>
    <row r="25" spans="1:18">
      <c r="A25" s="15" t="s">
        <v>585</v>
      </c>
      <c r="B25" s="17" t="n">
        <v>2912</v>
      </c>
      <c r="C25" s="18">
        <f>(2597.0/B25*100)</f>
        <v/>
      </c>
      <c r="D25" s="19" t="n">
        <v>315</v>
      </c>
      <c r="E25" s="18" t="n">
        <v>70.93989024</v>
      </c>
      <c r="F25" s="20" t="n">
        <v>2.58370719</v>
      </c>
      <c r="G25" s="18" t="n">
        <v>15.5990502</v>
      </c>
      <c r="H25" s="20" t="n">
        <v>2.38174745</v>
      </c>
      <c r="I25" s="18" t="s">
        <v>567</v>
      </c>
      <c r="J25" s="20" t="s">
        <v>567</v>
      </c>
      <c r="K25" s="18" t="n">
        <v>0</v>
      </c>
      <c r="L25" s="20" t="n">
        <v>0</v>
      </c>
      <c r="M25" s="18" t="n">
        <v>0</v>
      </c>
      <c r="N25" s="20" t="n">
        <v>0</v>
      </c>
      <c r="O25" s="18" t="n">
        <v>0</v>
      </c>
      <c r="P25" s="20" t="n">
        <v>0</v>
      </c>
      <c r="Q25" s="18" t="n">
        <v>13.46105956</v>
      </c>
      <c r="R25" s="20" t="n">
        <v>1.82122751</v>
      </c>
    </row>
    <row r="26" spans="1:18">
      <c r="A26" s="15" t="s">
        <v>586</v>
      </c>
      <c r="B26" s="17" t="n">
        <v>2450</v>
      </c>
      <c r="C26" s="18">
        <f>(2185.0/B26*100)</f>
        <v/>
      </c>
      <c r="D26" s="19" t="n">
        <v>265</v>
      </c>
      <c r="E26" s="18" t="n">
        <v>70.58831112</v>
      </c>
      <c r="F26" s="20" t="n">
        <v>3.12698786</v>
      </c>
      <c r="G26" s="18" t="n">
        <v>25.24290217</v>
      </c>
      <c r="H26" s="20" t="n">
        <v>2.83862905</v>
      </c>
      <c r="I26" s="18" t="s">
        <v>567</v>
      </c>
      <c r="J26" s="20" t="s">
        <v>567</v>
      </c>
      <c r="K26" s="18" t="n">
        <v>0</v>
      </c>
      <c r="L26" s="20" t="n">
        <v>0</v>
      </c>
      <c r="M26" s="18" t="n">
        <v>0</v>
      </c>
      <c r="N26" s="20" t="n">
        <v>0</v>
      </c>
      <c r="O26" s="18" t="n">
        <v>0</v>
      </c>
      <c r="P26" s="20" t="n">
        <v>0</v>
      </c>
      <c r="Q26" s="18" t="n">
        <v>4.1687867</v>
      </c>
      <c r="R26" s="20" t="n">
        <v>1.19376102</v>
      </c>
    </row>
    <row r="27" spans="1:18">
      <c r="A27" s="15" t="s">
        <v>587</v>
      </c>
      <c r="B27" s="17" t="n">
        <v>2616</v>
      </c>
      <c r="C27" s="18">
        <f>(2334.0/B27*100)</f>
        <v/>
      </c>
      <c r="D27" s="19" t="n">
        <v>282</v>
      </c>
      <c r="E27" s="18" t="n">
        <v>70.95143428</v>
      </c>
      <c r="F27" s="20" t="n">
        <v>2.51083759</v>
      </c>
      <c r="G27" s="18" t="n">
        <v>15.73182669</v>
      </c>
      <c r="H27" s="20" t="n">
        <v>2.0342838</v>
      </c>
      <c r="I27" s="18" t="s">
        <v>567</v>
      </c>
      <c r="J27" s="20" t="s">
        <v>567</v>
      </c>
      <c r="K27" s="18" t="n">
        <v>0.34899969</v>
      </c>
      <c r="L27" s="20" t="n">
        <v>0.34274671</v>
      </c>
      <c r="M27" s="18" t="n">
        <v>0</v>
      </c>
      <c r="N27" s="20" t="n">
        <v>0</v>
      </c>
      <c r="O27" s="18" t="n">
        <v>0</v>
      </c>
      <c r="P27" s="20" t="n">
        <v>0</v>
      </c>
      <c r="Q27" s="18" t="n">
        <v>12.96773934</v>
      </c>
      <c r="R27" s="20" t="n">
        <v>2.09114607</v>
      </c>
    </row>
    <row r="28" spans="1:18">
      <c r="A28" s="15" t="s">
        <v>588</v>
      </c>
      <c r="B28" s="17" t="n">
        <v>3765</v>
      </c>
      <c r="C28" s="18">
        <f>(3364.0/B28*100)</f>
        <v/>
      </c>
      <c r="D28" s="19" t="n">
        <v>401</v>
      </c>
      <c r="E28" s="18" t="n">
        <v>89.69618699</v>
      </c>
      <c r="F28" s="20" t="n">
        <v>2.05834732</v>
      </c>
      <c r="G28" s="18" t="n">
        <v>4.87605369</v>
      </c>
      <c r="H28" s="20" t="n">
        <v>1.13141531</v>
      </c>
      <c r="I28" s="18" t="s">
        <v>567</v>
      </c>
      <c r="J28" s="20" t="s">
        <v>567</v>
      </c>
      <c r="K28" s="18" t="n">
        <v>0</v>
      </c>
      <c r="L28" s="20" t="n">
        <v>0</v>
      </c>
      <c r="M28" s="18" t="n">
        <v>0</v>
      </c>
      <c r="N28" s="20" t="n">
        <v>0</v>
      </c>
      <c r="O28" s="18" t="n">
        <v>0</v>
      </c>
      <c r="P28" s="20" t="n">
        <v>0</v>
      </c>
      <c r="Q28" s="18" t="n">
        <v>5.42775932</v>
      </c>
      <c r="R28" s="20" t="n">
        <v>1.72296956</v>
      </c>
    </row>
    <row r="29" spans="1:18">
      <c r="A29" s="15" t="s">
        <v>589</v>
      </c>
      <c r="B29" s="17" t="n">
        <v>2685</v>
      </c>
      <c r="C29" s="18">
        <f>(2385.0/B29*100)</f>
        <v/>
      </c>
      <c r="D29" s="19" t="n">
        <v>300</v>
      </c>
      <c r="E29" s="18" t="n">
        <v>84.93412924</v>
      </c>
      <c r="F29" s="20" t="n">
        <v>2.04218246</v>
      </c>
      <c r="G29" s="18" t="n">
        <v>12.68341316</v>
      </c>
      <c r="H29" s="20" t="n">
        <v>1.85343109</v>
      </c>
      <c r="I29" s="18" t="s">
        <v>567</v>
      </c>
      <c r="J29" s="20" t="s">
        <v>567</v>
      </c>
      <c r="K29" s="18" t="n">
        <v>0</v>
      </c>
      <c r="L29" s="20" t="n">
        <v>0</v>
      </c>
      <c r="M29" s="18" t="n">
        <v>0</v>
      </c>
      <c r="N29" s="20" t="n">
        <v>0</v>
      </c>
      <c r="O29" s="18" t="n">
        <v>0</v>
      </c>
      <c r="P29" s="20" t="n">
        <v>0</v>
      </c>
      <c r="Q29" s="18" t="n">
        <v>2.3824576</v>
      </c>
      <c r="R29" s="20" t="n">
        <v>0.88000277</v>
      </c>
    </row>
    <row r="30" spans="1:18">
      <c r="A30" s="15" t="s">
        <v>590</v>
      </c>
      <c r="B30" s="17" t="n">
        <v>2263</v>
      </c>
      <c r="C30" s="18">
        <f>(2033.0/B30*100)</f>
        <v/>
      </c>
      <c r="D30" s="19" t="n">
        <v>230</v>
      </c>
      <c r="E30" s="18" t="n">
        <v>69.35919547</v>
      </c>
      <c r="F30" s="20" t="n">
        <v>3.04303335</v>
      </c>
      <c r="G30" s="18" t="n">
        <v>21.57668681</v>
      </c>
      <c r="H30" s="20" t="n">
        <v>2.55433267</v>
      </c>
      <c r="I30" s="18" t="s">
        <v>567</v>
      </c>
      <c r="J30" s="20" t="s">
        <v>567</v>
      </c>
      <c r="K30" s="18" t="n">
        <v>0.4555154</v>
      </c>
      <c r="L30" s="20" t="n">
        <v>0.43506997</v>
      </c>
      <c r="M30" s="18" t="n">
        <v>0</v>
      </c>
      <c r="N30" s="20" t="n">
        <v>0</v>
      </c>
      <c r="O30" s="18" t="n">
        <v>0</v>
      </c>
      <c r="P30" s="20" t="n">
        <v>0</v>
      </c>
      <c r="Q30" s="18" t="n">
        <v>8.608602319999999</v>
      </c>
      <c r="R30" s="20" t="n">
        <v>1.69642416</v>
      </c>
    </row>
    <row r="31" spans="1:18">
      <c r="A31" s="15" t="s">
        <v>591</v>
      </c>
      <c r="B31" s="17" t="n">
        <v>2750</v>
      </c>
      <c r="C31" s="18">
        <f>(2452.0/B31*100)</f>
        <v/>
      </c>
      <c r="D31" s="19" t="n">
        <v>298</v>
      </c>
      <c r="E31" s="18" t="n">
        <v>68.68100896</v>
      </c>
      <c r="F31" s="20" t="n">
        <v>2.36780641</v>
      </c>
      <c r="G31" s="18" t="n">
        <v>23.11673607</v>
      </c>
      <c r="H31" s="20" t="n">
        <v>2.16392664</v>
      </c>
      <c r="I31" s="18" t="s">
        <v>567</v>
      </c>
      <c r="J31" s="20" t="s">
        <v>567</v>
      </c>
      <c r="K31" s="18" t="n">
        <v>0.33144827</v>
      </c>
      <c r="L31" s="20" t="n">
        <v>0.35927793</v>
      </c>
      <c r="M31" s="18" t="n">
        <v>0</v>
      </c>
      <c r="N31" s="20" t="n">
        <v>0</v>
      </c>
      <c r="O31" s="18" t="n">
        <v>0</v>
      </c>
      <c r="P31" s="20" t="n">
        <v>0</v>
      </c>
      <c r="Q31" s="18" t="n">
        <v>7.8708067</v>
      </c>
      <c r="R31" s="20" t="n">
        <v>1.47043005</v>
      </c>
    </row>
    <row r="32" spans="1:18">
      <c r="A32" s="15" t="s">
        <v>592</v>
      </c>
      <c r="B32" s="17" t="n">
        <v>2269</v>
      </c>
      <c r="C32" s="18">
        <f>(2033.0/B32*100)</f>
        <v/>
      </c>
      <c r="D32" s="19" t="n">
        <v>236</v>
      </c>
      <c r="E32" s="18" t="n">
        <v>80.78311315000001</v>
      </c>
      <c r="F32" s="20" t="n">
        <v>2.76791113</v>
      </c>
      <c r="G32" s="18" t="n">
        <v>7.63770686</v>
      </c>
      <c r="H32" s="20" t="n">
        <v>1.81526865</v>
      </c>
      <c r="I32" s="18" t="s">
        <v>567</v>
      </c>
      <c r="J32" s="20" t="s">
        <v>567</v>
      </c>
      <c r="K32" s="18" t="n">
        <v>0</v>
      </c>
      <c r="L32" s="20" t="n">
        <v>0</v>
      </c>
      <c r="M32" s="18" t="n">
        <v>0</v>
      </c>
      <c r="N32" s="20" t="n">
        <v>0</v>
      </c>
      <c r="O32" s="18" t="n">
        <v>0</v>
      </c>
      <c r="P32" s="20" t="n">
        <v>0</v>
      </c>
      <c r="Q32" s="18" t="n">
        <v>11.57917999</v>
      </c>
      <c r="R32" s="20" t="n">
        <v>2.37710631</v>
      </c>
    </row>
    <row r="33" spans="1:18">
      <c r="A33" s="15" t="s">
        <v>593</v>
      </c>
      <c r="B33" s="17" t="n">
        <v>3674</v>
      </c>
      <c r="C33" s="18">
        <f>(3293.0/B33*100)</f>
        <v/>
      </c>
      <c r="D33" s="19" t="n">
        <v>381</v>
      </c>
      <c r="E33" s="18" t="n">
        <v>80.66949366999999</v>
      </c>
      <c r="F33" s="20" t="n">
        <v>2.17356247</v>
      </c>
      <c r="G33" s="18" t="n">
        <v>5.50359336</v>
      </c>
      <c r="H33" s="20" t="n">
        <v>1.29550018</v>
      </c>
      <c r="I33" s="18" t="s">
        <v>567</v>
      </c>
      <c r="J33" s="20" t="s">
        <v>567</v>
      </c>
      <c r="K33" s="18" t="n">
        <v>0</v>
      </c>
      <c r="L33" s="20" t="n">
        <v>0</v>
      </c>
      <c r="M33" s="18" t="n">
        <v>0</v>
      </c>
      <c r="N33" s="20" t="n">
        <v>0</v>
      </c>
      <c r="O33" s="18" t="n">
        <v>0</v>
      </c>
      <c r="P33" s="20" t="n">
        <v>0</v>
      </c>
      <c r="Q33" s="18" t="n">
        <v>13.82691296</v>
      </c>
      <c r="R33" s="20" t="n">
        <v>1.91337234</v>
      </c>
    </row>
    <row r="34" spans="1:18">
      <c r="A34" s="15" t="s">
        <v>594</v>
      </c>
      <c r="B34" s="17" t="n">
        <v>3315</v>
      </c>
      <c r="C34" s="18">
        <f>(2955.0/B34*100)</f>
        <v/>
      </c>
      <c r="D34" s="19" t="n">
        <v>360</v>
      </c>
      <c r="E34" s="18" t="n">
        <v>66.15701966</v>
      </c>
      <c r="F34" s="20" t="n">
        <v>2.39793066</v>
      </c>
      <c r="G34" s="18" t="n">
        <v>21.44709441</v>
      </c>
      <c r="H34" s="20" t="n">
        <v>2.83464706</v>
      </c>
      <c r="I34" s="18" t="s">
        <v>567</v>
      </c>
      <c r="J34" s="20" t="s">
        <v>567</v>
      </c>
      <c r="K34" s="18" t="n">
        <v>0</v>
      </c>
      <c r="L34" s="20" t="n">
        <v>0</v>
      </c>
      <c r="M34" s="18" t="n">
        <v>0</v>
      </c>
      <c r="N34" s="20" t="n">
        <v>0</v>
      </c>
      <c r="O34" s="18" t="n">
        <v>0</v>
      </c>
      <c r="P34" s="20" t="n">
        <v>0</v>
      </c>
      <c r="Q34" s="18" t="n">
        <v>12.39588593</v>
      </c>
      <c r="R34" s="20" t="n">
        <v>1.54451885</v>
      </c>
    </row>
    <row r="35" spans="1:18">
      <c r="A35" s="15" t="s">
        <v>595</v>
      </c>
      <c r="B35" s="17" t="n">
        <v>3505</v>
      </c>
      <c r="C35" s="18">
        <f>(3120.0/B35*100)</f>
        <v/>
      </c>
      <c r="D35" s="19" t="n">
        <v>385</v>
      </c>
      <c r="E35" s="18" t="n">
        <v>77.87025593</v>
      </c>
      <c r="F35" s="20" t="n">
        <v>2.73791441</v>
      </c>
      <c r="G35" s="18" t="n">
        <v>14.4259239</v>
      </c>
      <c r="H35" s="20" t="n">
        <v>2.53402626</v>
      </c>
      <c r="I35" s="18" t="s">
        <v>567</v>
      </c>
      <c r="J35" s="20" t="s">
        <v>567</v>
      </c>
      <c r="K35" s="18" t="n">
        <v>0</v>
      </c>
      <c r="L35" s="20" t="n">
        <v>0</v>
      </c>
      <c r="M35" s="18" t="n">
        <v>0.8991134200000001</v>
      </c>
      <c r="N35" s="20" t="n">
        <v>0.6158288200000001</v>
      </c>
      <c r="O35" s="18" t="n">
        <v>0</v>
      </c>
      <c r="P35" s="20" t="n">
        <v>0</v>
      </c>
      <c r="Q35" s="18" t="n">
        <v>6.80470675</v>
      </c>
      <c r="R35" s="20" t="n">
        <v>1.45241262</v>
      </c>
    </row>
    <row r="36" spans="1:18">
      <c r="A36" s="15" t="s">
        <v>596</v>
      </c>
      <c r="B36" s="17" t="n">
        <v>3332</v>
      </c>
      <c r="C36" s="18">
        <f>(2975.0/B36*100)</f>
        <v/>
      </c>
      <c r="D36" s="19" t="n">
        <v>357</v>
      </c>
      <c r="E36" s="18" t="n">
        <v>74.9365059</v>
      </c>
      <c r="F36" s="20" t="n">
        <v>2.48779183</v>
      </c>
      <c r="G36" s="18" t="n">
        <v>18.09736403</v>
      </c>
      <c r="H36" s="20" t="n">
        <v>2.06395868</v>
      </c>
      <c r="I36" s="18" t="s">
        <v>567</v>
      </c>
      <c r="J36" s="20" t="s">
        <v>567</v>
      </c>
      <c r="K36" s="18" t="n">
        <v>0.84634199</v>
      </c>
      <c r="L36" s="20" t="n">
        <v>0.66573503</v>
      </c>
      <c r="M36" s="18" t="n">
        <v>0</v>
      </c>
      <c r="N36" s="20" t="n">
        <v>0</v>
      </c>
      <c r="O36" s="18" t="n">
        <v>0</v>
      </c>
      <c r="P36" s="20" t="n">
        <v>0</v>
      </c>
      <c r="Q36" s="18" t="n">
        <v>6.11978808</v>
      </c>
      <c r="R36" s="20" t="n">
        <v>1.24420957</v>
      </c>
    </row>
    <row r="37" spans="1:18">
      <c r="A37" s="15" t="s">
        <v>597</v>
      </c>
      <c r="B37" s="17" t="n">
        <v>2727</v>
      </c>
      <c r="C37" s="18">
        <f>(2423.0/B37*100)</f>
        <v/>
      </c>
      <c r="D37" s="19" t="n">
        <v>304</v>
      </c>
      <c r="E37" s="18" t="n">
        <v>75.07610407999999</v>
      </c>
      <c r="F37" s="20" t="n">
        <v>2.70138849</v>
      </c>
      <c r="G37" s="18" t="n">
        <v>11.19410882</v>
      </c>
      <c r="H37" s="20" t="n">
        <v>2.14890576</v>
      </c>
      <c r="I37" s="18" t="s">
        <v>567</v>
      </c>
      <c r="J37" s="20" t="s">
        <v>567</v>
      </c>
      <c r="K37" s="18" t="n">
        <v>0.31144432</v>
      </c>
      <c r="L37" s="20" t="n">
        <v>0.31264505</v>
      </c>
      <c r="M37" s="18" t="n">
        <v>0</v>
      </c>
      <c r="N37" s="20" t="n">
        <v>0</v>
      </c>
      <c r="O37" s="18" t="n">
        <v>0</v>
      </c>
      <c r="P37" s="20" t="n">
        <v>0</v>
      </c>
      <c r="Q37" s="18" t="n">
        <v>13.41834278</v>
      </c>
      <c r="R37" s="20" t="n">
        <v>2.06662478</v>
      </c>
    </row>
    <row r="38" spans="1:18">
      <c r="A38" s="15" t="s">
        <v>598</v>
      </c>
      <c r="B38" s="17" t="n">
        <v>3053</v>
      </c>
      <c r="C38" s="18">
        <f>(2721.0/B38*100)</f>
        <v/>
      </c>
      <c r="D38" s="19" t="n">
        <v>332</v>
      </c>
      <c r="E38" s="18" t="n">
        <v>75.5773088</v>
      </c>
      <c r="F38" s="20" t="n">
        <v>2.57765744</v>
      </c>
      <c r="G38" s="18" t="n">
        <v>14.25448302</v>
      </c>
      <c r="H38" s="20" t="n">
        <v>2.14307554</v>
      </c>
      <c r="I38" s="18" t="s">
        <v>567</v>
      </c>
      <c r="J38" s="20" t="s">
        <v>567</v>
      </c>
      <c r="K38" s="18" t="n">
        <v>0</v>
      </c>
      <c r="L38" s="20" t="n">
        <v>0</v>
      </c>
      <c r="M38" s="18" t="n">
        <v>3.39751049</v>
      </c>
      <c r="N38" s="20" t="n">
        <v>1.3711234</v>
      </c>
      <c r="O38" s="18" t="n">
        <v>0</v>
      </c>
      <c r="P38" s="20" t="n">
        <v>0</v>
      </c>
      <c r="Q38" s="18" t="n">
        <v>6.77069769</v>
      </c>
      <c r="R38" s="20" t="n">
        <v>1.46428905</v>
      </c>
    </row>
    <row r="39" spans="1:18">
      <c r="A39" s="15" t="s">
        <v>599</v>
      </c>
      <c r="B39" s="17" t="n">
        <v>2957</v>
      </c>
      <c r="C39" s="18">
        <f>(2617.0/B39*100)</f>
        <v/>
      </c>
      <c r="D39" s="19" t="n">
        <v>340</v>
      </c>
      <c r="E39" s="18" t="n">
        <v>77.6626164</v>
      </c>
      <c r="F39" s="20" t="n">
        <v>3.03330634</v>
      </c>
      <c r="G39" s="18" t="n">
        <v>11.75966279</v>
      </c>
      <c r="H39" s="20" t="n">
        <v>2.27354302</v>
      </c>
      <c r="I39" s="18" t="s">
        <v>567</v>
      </c>
      <c r="J39" s="20" t="s">
        <v>567</v>
      </c>
      <c r="K39" s="18" t="n">
        <v>0</v>
      </c>
      <c r="L39" s="20" t="n">
        <v>0</v>
      </c>
      <c r="M39" s="18" t="n">
        <v>0</v>
      </c>
      <c r="N39" s="20" t="n">
        <v>0</v>
      </c>
      <c r="O39" s="18" t="n">
        <v>0</v>
      </c>
      <c r="P39" s="20" t="n">
        <v>0</v>
      </c>
      <c r="Q39" s="18" t="n">
        <v>10.57772081</v>
      </c>
      <c r="R39" s="20" t="n">
        <v>1.80080143</v>
      </c>
    </row>
    <row r="40" spans="1:18">
      <c r="A40" s="15" t="s">
        <v>600</v>
      </c>
      <c r="B40" s="17" t="n">
        <v>7235</v>
      </c>
      <c r="C40" s="18">
        <f>(6425.0/B40*100)</f>
        <v/>
      </c>
      <c r="D40" s="19" t="n">
        <v>810</v>
      </c>
      <c r="E40" s="18" t="n">
        <v>64.51675547000001</v>
      </c>
      <c r="F40" s="20" t="n">
        <v>2.20597406</v>
      </c>
      <c r="G40" s="18" t="n">
        <v>25.71407834</v>
      </c>
      <c r="H40" s="20" t="n">
        <v>2.53015024</v>
      </c>
      <c r="I40" s="18" t="s">
        <v>567</v>
      </c>
      <c r="J40" s="20" t="s">
        <v>567</v>
      </c>
      <c r="K40" s="18" t="n">
        <v>0.33178493</v>
      </c>
      <c r="L40" s="20" t="n">
        <v>0.44264896</v>
      </c>
      <c r="M40" s="18" t="n">
        <v>0.09590292</v>
      </c>
      <c r="N40" s="20" t="n">
        <v>0.09280085</v>
      </c>
      <c r="O40" s="18" t="n">
        <v>0</v>
      </c>
      <c r="P40" s="20" t="n">
        <v>0</v>
      </c>
      <c r="Q40" s="18" t="n">
        <v>9.34147834</v>
      </c>
      <c r="R40" s="20" t="n">
        <v>1.51760545</v>
      </c>
    </row>
    <row r="41" spans="1:18">
      <c r="A41" s="15" t="s">
        <v>601</v>
      </c>
      <c r="B41" s="17" t="n">
        <v>2858</v>
      </c>
      <c r="C41" s="18">
        <f>(2561.0/B41*100)</f>
        <v/>
      </c>
      <c r="D41" s="19" t="n">
        <v>297</v>
      </c>
      <c r="E41" s="18" t="n">
        <v>85.15989951</v>
      </c>
      <c r="F41" s="20" t="n">
        <v>2.10152424</v>
      </c>
      <c r="G41" s="18" t="n">
        <v>10.61678467</v>
      </c>
      <c r="H41" s="20" t="n">
        <v>1.890646</v>
      </c>
      <c r="I41" s="18" t="s">
        <v>567</v>
      </c>
      <c r="J41" s="20" t="s">
        <v>567</v>
      </c>
      <c r="K41" s="18" t="n">
        <v>0.42886965</v>
      </c>
      <c r="L41" s="20" t="n">
        <v>0.43812728</v>
      </c>
      <c r="M41" s="18" t="n">
        <v>0</v>
      </c>
      <c r="N41" s="20" t="n">
        <v>0</v>
      </c>
      <c r="O41" s="18" t="n">
        <v>0</v>
      </c>
      <c r="P41" s="20" t="n">
        <v>0</v>
      </c>
      <c r="Q41" s="18" t="n">
        <v>3.79444618</v>
      </c>
      <c r="R41" s="20" t="n">
        <v>1.10039275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(9926.0/B46*100)</f>
        <v/>
      </c>
      <c r="D46" s="19" t="n">
        <v>1142</v>
      </c>
      <c r="E46" s="18" t="n">
        <v>70.49025528999999</v>
      </c>
      <c r="F46" s="20" t="n">
        <v>1.80544392</v>
      </c>
      <c r="G46" s="18" t="n">
        <v>10.25885769</v>
      </c>
      <c r="H46" s="20" t="n">
        <v>1.17332667</v>
      </c>
      <c r="I46" s="18" t="s">
        <v>567</v>
      </c>
      <c r="J46" s="20" t="s">
        <v>567</v>
      </c>
      <c r="K46" s="18" t="n">
        <v>1.55966423</v>
      </c>
      <c r="L46" s="20" t="n">
        <v>0.43135117</v>
      </c>
      <c r="M46" s="18" t="n">
        <v>0.3457744</v>
      </c>
      <c r="N46" s="20" t="n">
        <v>0.354933</v>
      </c>
      <c r="O46" s="18" t="n">
        <v>0</v>
      </c>
      <c r="P46" s="20" t="n">
        <v>0</v>
      </c>
      <c r="Q46" s="18" t="n">
        <v>17.34544839</v>
      </c>
      <c r="R46" s="20" t="n">
        <v>1.42042813</v>
      </c>
    </row>
    <row r="47" spans="1:18">
      <c r="A47" s="15" t="s">
        <v>607</v>
      </c>
      <c r="B47" s="17" t="n">
        <v>3105</v>
      </c>
      <c r="C47" s="18">
        <f>(2748.0/B47*100)</f>
        <v/>
      </c>
      <c r="D47" s="19" t="n">
        <v>357</v>
      </c>
      <c r="E47" s="18" t="n">
        <v>62.51728739</v>
      </c>
      <c r="F47" s="20" t="n">
        <v>2.70745362</v>
      </c>
      <c r="G47" s="18" t="n">
        <v>9.40890121</v>
      </c>
      <c r="H47" s="20" t="n">
        <v>1.81344929</v>
      </c>
      <c r="I47" s="18" t="s">
        <v>567</v>
      </c>
      <c r="J47" s="20" t="s">
        <v>567</v>
      </c>
      <c r="K47" s="18" t="n">
        <v>0.27367728</v>
      </c>
      <c r="L47" s="20" t="n">
        <v>0.24400771</v>
      </c>
      <c r="M47" s="18" t="n">
        <v>0</v>
      </c>
      <c r="N47" s="20" t="n">
        <v>0</v>
      </c>
      <c r="O47" s="18" t="n">
        <v>0</v>
      </c>
      <c r="P47" s="20" t="n">
        <v>0</v>
      </c>
      <c r="Q47" s="18" t="n">
        <v>27.80013411</v>
      </c>
      <c r="R47" s="20" t="n">
        <v>2.58118916</v>
      </c>
    </row>
    <row r="48" spans="1:18">
      <c r="A48" s="15" t="s">
        <v>608</v>
      </c>
      <c r="B48" s="17" t="n">
        <v>5159</v>
      </c>
      <c r="C48" s="18">
        <f>(4590.0/B48*100)</f>
        <v/>
      </c>
      <c r="D48" s="19" t="n">
        <v>569</v>
      </c>
      <c r="E48" s="18" t="n">
        <v>63.94637384</v>
      </c>
      <c r="F48" s="20" t="n">
        <v>2.26241134</v>
      </c>
      <c r="G48" s="18" t="n">
        <v>27.78899924</v>
      </c>
      <c r="H48" s="20" t="n">
        <v>2.28379038</v>
      </c>
      <c r="I48" s="18" t="s">
        <v>567</v>
      </c>
      <c r="J48" s="20" t="s">
        <v>567</v>
      </c>
      <c r="K48" s="18" t="n">
        <v>0.70727041</v>
      </c>
      <c r="L48" s="20" t="n">
        <v>0.50161502</v>
      </c>
      <c r="M48" s="18" t="n">
        <v>0</v>
      </c>
      <c r="N48" s="20" t="n">
        <v>0</v>
      </c>
      <c r="O48" s="18" t="n">
        <v>0</v>
      </c>
      <c r="P48" s="20" t="n">
        <v>0</v>
      </c>
      <c r="Q48" s="18" t="n">
        <v>7.55735651</v>
      </c>
      <c r="R48" s="20" t="n">
        <v>1.74152786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(5044.0/B50*100)</f>
        <v/>
      </c>
      <c r="D50" s="19" t="n">
        <v>593</v>
      </c>
      <c r="E50" s="18" t="n">
        <v>84.43588415000001</v>
      </c>
      <c r="F50" s="20" t="n">
        <v>2.20303015</v>
      </c>
      <c r="G50" s="18" t="n">
        <v>8.64689838</v>
      </c>
      <c r="H50" s="20" t="n">
        <v>1.7208858</v>
      </c>
      <c r="I50" s="18" t="s">
        <v>567</v>
      </c>
      <c r="J50" s="20" t="s">
        <v>567</v>
      </c>
      <c r="K50" s="18" t="n">
        <v>0</v>
      </c>
      <c r="L50" s="20" t="n">
        <v>0</v>
      </c>
      <c r="M50" s="18" t="n">
        <v>0.04987494</v>
      </c>
      <c r="N50" s="20" t="n">
        <v>0.04988167</v>
      </c>
      <c r="O50" s="18" t="n">
        <v>0</v>
      </c>
      <c r="P50" s="20" t="n">
        <v>0</v>
      </c>
      <c r="Q50" s="18" t="n">
        <v>6.86734253</v>
      </c>
      <c r="R50" s="20" t="n">
        <v>1.6516286</v>
      </c>
    </row>
    <row r="51" spans="1:18">
      <c r="A51" s="15" t="s">
        <v>611</v>
      </c>
      <c r="B51" s="17" t="n">
        <v>3372</v>
      </c>
      <c r="C51" s="18">
        <f>(3043.0/B51*100)</f>
        <v/>
      </c>
      <c r="D51" s="19" t="n">
        <v>329</v>
      </c>
      <c r="E51" s="18" t="n">
        <v>89.87136398</v>
      </c>
      <c r="F51" s="20" t="n">
        <v>1.91737505</v>
      </c>
      <c r="G51" s="18" t="n">
        <v>1.66961238</v>
      </c>
      <c r="H51" s="20" t="n">
        <v>0.6240338600000001</v>
      </c>
      <c r="I51" s="18" t="s">
        <v>567</v>
      </c>
      <c r="J51" s="20" t="s">
        <v>567</v>
      </c>
      <c r="K51" s="18" t="n">
        <v>0</v>
      </c>
      <c r="L51" s="20" t="n">
        <v>0</v>
      </c>
      <c r="M51" s="18" t="n">
        <v>0</v>
      </c>
      <c r="N51" s="20" t="n">
        <v>0</v>
      </c>
      <c r="O51" s="18" t="n">
        <v>0</v>
      </c>
      <c r="P51" s="20" t="n">
        <v>0</v>
      </c>
      <c r="Q51" s="18" t="n">
        <v>8.45902364</v>
      </c>
      <c r="R51" s="20" t="n">
        <v>1.73095674</v>
      </c>
    </row>
    <row r="52" spans="1:18">
      <c r="A52" s="15" t="s">
        <v>612</v>
      </c>
      <c r="B52" s="17" t="n">
        <v>2796</v>
      </c>
      <c r="C52" s="18">
        <f>(2493.0/B52*100)</f>
        <v/>
      </c>
      <c r="D52" s="19" t="n">
        <v>303</v>
      </c>
      <c r="E52" s="18" t="n">
        <v>75.94661843999999</v>
      </c>
      <c r="F52" s="20" t="n">
        <v>2.41993214</v>
      </c>
      <c r="G52" s="18" t="n">
        <v>9.63670675</v>
      </c>
      <c r="H52" s="20" t="n">
        <v>1.62640882</v>
      </c>
      <c r="I52" s="18" t="s">
        <v>567</v>
      </c>
      <c r="J52" s="20" t="s">
        <v>567</v>
      </c>
      <c r="K52" s="18" t="n">
        <v>0</v>
      </c>
      <c r="L52" s="20" t="n">
        <v>0</v>
      </c>
      <c r="M52" s="18" t="n">
        <v>0</v>
      </c>
      <c r="N52" s="20" t="n">
        <v>0</v>
      </c>
      <c r="O52" s="18" t="n">
        <v>0</v>
      </c>
      <c r="P52" s="20" t="n">
        <v>0</v>
      </c>
      <c r="Q52" s="18" t="n">
        <v>14.41667481</v>
      </c>
      <c r="R52" s="20" t="n">
        <v>2.03246663</v>
      </c>
    </row>
    <row r="53" spans="1:18">
      <c r="A53" s="15" t="s">
        <v>613</v>
      </c>
      <c r="B53" s="17" t="n">
        <v>2811</v>
      </c>
      <c r="C53" s="18">
        <f>(2515.0/B53*100)</f>
        <v/>
      </c>
      <c r="D53" s="19" t="n">
        <v>296</v>
      </c>
      <c r="E53" s="18" t="n">
        <v>64.85498479</v>
      </c>
      <c r="F53" s="20" t="n">
        <v>3.18738527</v>
      </c>
      <c r="G53" s="18" t="n">
        <v>7.60637335</v>
      </c>
      <c r="H53" s="20" t="n">
        <v>1.75270002</v>
      </c>
      <c r="I53" s="18" t="s">
        <v>567</v>
      </c>
      <c r="J53" s="20" t="s">
        <v>567</v>
      </c>
      <c r="K53" s="18" t="n">
        <v>0.33162566</v>
      </c>
      <c r="L53" s="20" t="n">
        <v>0.33087671</v>
      </c>
      <c r="M53" s="18" t="n">
        <v>0</v>
      </c>
      <c r="N53" s="20" t="n">
        <v>0</v>
      </c>
      <c r="O53" s="18" t="n">
        <v>0</v>
      </c>
      <c r="P53" s="20" t="n">
        <v>0</v>
      </c>
      <c r="Q53" s="18" t="n">
        <v>27.2070162</v>
      </c>
      <c r="R53" s="20" t="n">
        <v>2.60703415</v>
      </c>
    </row>
    <row r="54" spans="1:18">
      <c r="A54" s="15" t="s">
        <v>614</v>
      </c>
      <c r="B54" s="17" t="n">
        <v>2266</v>
      </c>
      <c r="C54" s="18">
        <f>(2012.0/B54*100)</f>
        <v/>
      </c>
      <c r="D54" s="19" t="n">
        <v>254</v>
      </c>
      <c r="E54" s="18" t="n">
        <v>76.48133283999999</v>
      </c>
      <c r="F54" s="20" t="n">
        <v>2.75211323</v>
      </c>
      <c r="G54" s="18" t="n">
        <v>1.54188365</v>
      </c>
      <c r="H54" s="20" t="n">
        <v>0.77854261</v>
      </c>
      <c r="I54" s="18" t="s">
        <v>567</v>
      </c>
      <c r="J54" s="20" t="s">
        <v>567</v>
      </c>
      <c r="K54" s="18" t="n">
        <v>5.46424592</v>
      </c>
      <c r="L54" s="20" t="n">
        <v>1.70302218</v>
      </c>
      <c r="M54" s="18" t="n">
        <v>1.14453867</v>
      </c>
      <c r="N54" s="20" t="n">
        <v>0.84802132</v>
      </c>
      <c r="O54" s="18" t="n">
        <v>0</v>
      </c>
      <c r="P54" s="20" t="n">
        <v>0</v>
      </c>
      <c r="Q54" s="18" t="n">
        <v>15.36799892</v>
      </c>
      <c r="R54" s="20" t="n">
        <v>2.6459236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(2388.0/B56*100)</f>
        <v/>
      </c>
      <c r="D56" s="19" t="n">
        <v>296</v>
      </c>
      <c r="E56" s="18" t="n">
        <v>64.40541533</v>
      </c>
      <c r="F56" s="20" t="n">
        <v>2.90943685</v>
      </c>
      <c r="G56" s="18" t="n">
        <v>23.84102181</v>
      </c>
      <c r="H56" s="20" t="n">
        <v>2.53632464</v>
      </c>
      <c r="I56" s="18" t="s">
        <v>567</v>
      </c>
      <c r="J56" s="20" t="s">
        <v>567</v>
      </c>
      <c r="K56" s="18" t="n">
        <v>0.4517735</v>
      </c>
      <c r="L56" s="20" t="n">
        <v>0.45148357</v>
      </c>
      <c r="M56" s="18" t="n">
        <v>0</v>
      </c>
      <c r="N56" s="20" t="n">
        <v>0</v>
      </c>
      <c r="O56" s="18" t="n">
        <v>0</v>
      </c>
      <c r="P56" s="20" t="n">
        <v>0</v>
      </c>
      <c r="Q56" s="18" t="n">
        <v>11.30178937</v>
      </c>
      <c r="R56" s="20" t="n">
        <v>2.2512796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(2976.0/B61*100)</f>
        <v/>
      </c>
      <c r="D61" s="19" t="n">
        <v>348</v>
      </c>
      <c r="E61" s="18" t="n">
        <v>70.47718166999999</v>
      </c>
      <c r="F61" s="20" t="n">
        <v>2.29117786</v>
      </c>
      <c r="G61" s="18" t="n">
        <v>16.2876804</v>
      </c>
      <c r="H61" s="20" t="n">
        <v>1.92758433</v>
      </c>
      <c r="I61" s="18" t="s">
        <v>567</v>
      </c>
      <c r="J61" s="20" t="s">
        <v>567</v>
      </c>
      <c r="K61" s="18" t="n">
        <v>0</v>
      </c>
      <c r="L61" s="20" t="n">
        <v>0</v>
      </c>
      <c r="M61" s="18" t="n">
        <v>0</v>
      </c>
      <c r="N61" s="20" t="n">
        <v>0</v>
      </c>
      <c r="O61" s="18" t="n">
        <v>0</v>
      </c>
      <c r="P61" s="20" t="n">
        <v>0</v>
      </c>
      <c r="Q61" s="18" t="n">
        <v>13.23513793</v>
      </c>
      <c r="R61" s="20" t="n">
        <v>1.99990614</v>
      </c>
    </row>
    <row r="62" spans="1:18">
      <c r="A62" s="15" t="s">
        <v>622</v>
      </c>
      <c r="B62" s="17" t="n">
        <v>2246</v>
      </c>
      <c r="C62" s="18">
        <f>(1986.0/B62*100)</f>
        <v/>
      </c>
      <c r="D62" s="19" t="n">
        <v>260</v>
      </c>
      <c r="E62" s="18" t="n">
        <v>67.73319322</v>
      </c>
      <c r="F62" s="20" t="n">
        <v>3.04329894</v>
      </c>
      <c r="G62" s="18" t="n">
        <v>27.25867101</v>
      </c>
      <c r="H62" s="20" t="n">
        <v>2.82367003</v>
      </c>
      <c r="I62" s="18" t="s">
        <v>567</v>
      </c>
      <c r="J62" s="20" t="s">
        <v>567</v>
      </c>
      <c r="K62" s="18" t="n">
        <v>0</v>
      </c>
      <c r="L62" s="20" t="n">
        <v>0</v>
      </c>
      <c r="M62" s="18" t="n">
        <v>0</v>
      </c>
      <c r="N62" s="20" t="n">
        <v>0</v>
      </c>
      <c r="O62" s="18" t="n">
        <v>0</v>
      </c>
      <c r="P62" s="20" t="n">
        <v>0</v>
      </c>
      <c r="Q62" s="18" t="n">
        <v>5.00813576</v>
      </c>
      <c r="R62" s="20" t="n">
        <v>1.34777436</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(2576.0/B66*100)</f>
        <v/>
      </c>
      <c r="D66" s="19" t="n">
        <v>318</v>
      </c>
      <c r="E66" s="18" t="n">
        <v>55.44712322</v>
      </c>
      <c r="F66" s="20" t="n">
        <v>2.86752051</v>
      </c>
      <c r="G66" s="18" t="n">
        <v>8.88628825</v>
      </c>
      <c r="H66" s="20" t="n">
        <v>1.57241306</v>
      </c>
      <c r="I66" s="18" t="s">
        <v>567</v>
      </c>
      <c r="J66" s="20" t="s">
        <v>567</v>
      </c>
      <c r="K66" s="18" t="n">
        <v>1.03384723</v>
      </c>
      <c r="L66" s="20" t="n">
        <v>0.59571526</v>
      </c>
      <c r="M66" s="18" t="n">
        <v>0.27653442</v>
      </c>
      <c r="N66" s="20" t="n">
        <v>0.27584224</v>
      </c>
      <c r="O66" s="18" t="n">
        <v>0</v>
      </c>
      <c r="P66" s="20" t="n">
        <v>0</v>
      </c>
      <c r="Q66" s="18" t="n">
        <v>34.35620687</v>
      </c>
      <c r="R66" s="20" t="n">
        <v>2.48775518</v>
      </c>
    </row>
    <row r="67" spans="1:18">
      <c r="A67" s="15" t="s">
        <v>627</v>
      </c>
      <c r="B67" s="17" t="n">
        <v>3511</v>
      </c>
      <c r="C67" s="18">
        <f>(3155.0/B67*100)</f>
        <v/>
      </c>
      <c r="D67" s="19" t="n">
        <v>356</v>
      </c>
      <c r="E67" s="18" t="n">
        <v>88.96655751999999</v>
      </c>
      <c r="F67" s="20" t="n">
        <v>1.73958689</v>
      </c>
      <c r="G67" s="18" t="n">
        <v>3.92601737</v>
      </c>
      <c r="H67" s="20" t="n">
        <v>0.99651217</v>
      </c>
      <c r="I67" s="18" t="s">
        <v>567</v>
      </c>
      <c r="J67" s="20" t="s">
        <v>567</v>
      </c>
      <c r="K67" s="18" t="n">
        <v>0</v>
      </c>
      <c r="L67" s="20" t="n">
        <v>0</v>
      </c>
      <c r="M67" s="18" t="n">
        <v>0</v>
      </c>
      <c r="N67" s="20" t="n">
        <v>0</v>
      </c>
      <c r="O67" s="18" t="n">
        <v>0</v>
      </c>
      <c r="P67" s="20" t="n">
        <v>0</v>
      </c>
      <c r="Q67" s="18" t="n">
        <v>7.10742511</v>
      </c>
      <c r="R67" s="20" t="n">
        <v>1.45079793</v>
      </c>
    </row>
    <row r="68" spans="1:18">
      <c r="A68" s="15" t="s">
        <v>628</v>
      </c>
      <c r="B68" s="17" t="n">
        <v>6049</v>
      </c>
      <c r="C68" s="18">
        <f>(5346.0/B68*100)</f>
        <v/>
      </c>
      <c r="D68" s="19" t="n">
        <v>703</v>
      </c>
      <c r="E68" s="18" t="n">
        <v>68.51233313</v>
      </c>
      <c r="F68" s="20" t="n">
        <v>1.85209091</v>
      </c>
      <c r="G68" s="18" t="n">
        <v>15.40590605</v>
      </c>
      <c r="H68" s="20" t="n">
        <v>1.27012996</v>
      </c>
      <c r="I68" s="18" t="s">
        <v>567</v>
      </c>
      <c r="J68" s="20" t="s">
        <v>567</v>
      </c>
      <c r="K68" s="18" t="n">
        <v>1.10542177</v>
      </c>
      <c r="L68" s="20" t="n">
        <v>0.39341112</v>
      </c>
      <c r="M68" s="18" t="n">
        <v>0.14924861</v>
      </c>
      <c r="N68" s="20" t="n">
        <v>0.14977289</v>
      </c>
      <c r="O68" s="18" t="n">
        <v>0</v>
      </c>
      <c r="P68" s="20" t="n">
        <v>0</v>
      </c>
      <c r="Q68" s="18" t="n">
        <v>14.82709044</v>
      </c>
      <c r="R68" s="20" t="n">
        <v>1.31691413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(2614.0/B70*100)</f>
        <v/>
      </c>
      <c r="D70" s="19" t="n">
        <v>315</v>
      </c>
      <c r="E70" s="18" t="n">
        <v>68.70244329000001</v>
      </c>
      <c r="F70" s="20" t="n">
        <v>3.81113157</v>
      </c>
      <c r="G70" s="18" t="n">
        <v>22.38190634</v>
      </c>
      <c r="H70" s="20" t="n">
        <v>3.52118162</v>
      </c>
      <c r="I70" s="18" t="s">
        <v>567</v>
      </c>
      <c r="J70" s="20" t="s">
        <v>567</v>
      </c>
      <c r="K70" s="18" t="n">
        <v>0.21550047</v>
      </c>
      <c r="L70" s="20" t="n">
        <v>0.2159574</v>
      </c>
      <c r="M70" s="18" t="n">
        <v>0</v>
      </c>
      <c r="N70" s="20" t="n">
        <v>0</v>
      </c>
      <c r="O70" s="18" t="n">
        <v>0</v>
      </c>
      <c r="P70" s="20" t="n">
        <v>0</v>
      </c>
      <c r="Q70" s="18" t="n">
        <v>8.70014991</v>
      </c>
      <c r="R70" s="20" t="n">
        <v>1.64411622</v>
      </c>
    </row>
    <row r="71" spans="1:18">
      <c r="A71" s="15" t="s">
        <v>631</v>
      </c>
      <c r="B71" s="17" t="n">
        <v>3142</v>
      </c>
      <c r="C71" s="18">
        <f>(2826.0/B71*100)</f>
        <v/>
      </c>
      <c r="D71" s="19" t="n">
        <v>316</v>
      </c>
      <c r="E71" s="18" t="n">
        <v>63.47386573</v>
      </c>
      <c r="F71" s="20" t="n">
        <v>2.84617011</v>
      </c>
      <c r="G71" s="18" t="n">
        <v>33.14047273</v>
      </c>
      <c r="H71" s="20" t="n">
        <v>2.75924186</v>
      </c>
      <c r="I71" s="18" t="s">
        <v>567</v>
      </c>
      <c r="J71" s="20" t="s">
        <v>567</v>
      </c>
      <c r="K71" s="18" t="n">
        <v>0.47189206</v>
      </c>
      <c r="L71" s="20" t="n">
        <v>0.34259444</v>
      </c>
      <c r="M71" s="18" t="n">
        <v>0</v>
      </c>
      <c r="N71" s="20" t="n">
        <v>0</v>
      </c>
      <c r="O71" s="18" t="n">
        <v>0</v>
      </c>
      <c r="P71" s="20" t="n">
        <v>0</v>
      </c>
      <c r="Q71" s="18" t="n">
        <v>2.91376948</v>
      </c>
      <c r="R71" s="20" t="n">
        <v>0.98056594</v>
      </c>
    </row>
    <row r="72" spans="1:18">
      <c r="A72" s="15" t="s">
        <v>632</v>
      </c>
      <c r="B72" s="17" t="n">
        <v>3889</v>
      </c>
      <c r="C72" s="18">
        <f>(3460.0/B72*100)</f>
        <v/>
      </c>
      <c r="D72" s="19" t="n">
        <v>429</v>
      </c>
      <c r="E72" s="18" t="n">
        <v>47.59283615</v>
      </c>
      <c r="F72" s="20" t="n">
        <v>2.60882062</v>
      </c>
      <c r="G72" s="18" t="n">
        <v>43.04875004</v>
      </c>
      <c r="H72" s="20" t="n">
        <v>2.60430803</v>
      </c>
      <c r="I72" s="18" t="s">
        <v>567</v>
      </c>
      <c r="J72" s="20" t="s">
        <v>567</v>
      </c>
      <c r="K72" s="18" t="n">
        <v>0.15817116</v>
      </c>
      <c r="L72" s="20" t="n">
        <v>0.16255288</v>
      </c>
      <c r="M72" s="18" t="n">
        <v>0.1864715</v>
      </c>
      <c r="N72" s="20" t="n">
        <v>0.18716573</v>
      </c>
      <c r="O72" s="18" t="n">
        <v>0</v>
      </c>
      <c r="P72" s="20" t="n">
        <v>0</v>
      </c>
      <c r="Q72" s="18" t="n">
        <v>9.01377115</v>
      </c>
      <c r="R72" s="20" t="n">
        <v>1.57385623</v>
      </c>
    </row>
    <row r="73" spans="1:18">
      <c r="A73" s="15" t="s">
        <v>633</v>
      </c>
      <c r="B73" s="17" t="n">
        <v>3597</v>
      </c>
      <c r="C73" s="18">
        <f>(3187.0/B73*100)</f>
        <v/>
      </c>
      <c r="D73" s="19" t="n">
        <v>410</v>
      </c>
      <c r="E73" s="18" t="n">
        <v>92.74649893</v>
      </c>
      <c r="F73" s="20" t="n">
        <v>1.49714381</v>
      </c>
      <c r="G73" s="18" t="n">
        <v>4.52943748</v>
      </c>
      <c r="H73" s="20" t="n">
        <v>1.18270953</v>
      </c>
      <c r="I73" s="18" t="s">
        <v>567</v>
      </c>
      <c r="J73" s="20" t="s">
        <v>567</v>
      </c>
      <c r="K73" s="18" t="n">
        <v>0.5144496</v>
      </c>
      <c r="L73" s="20" t="n">
        <v>0.38125544</v>
      </c>
      <c r="M73" s="18" t="n">
        <v>0</v>
      </c>
      <c r="N73" s="20" t="n">
        <v>0</v>
      </c>
      <c r="O73" s="18" t="n">
        <v>0</v>
      </c>
      <c r="P73" s="20" t="n">
        <v>0</v>
      </c>
      <c r="Q73" s="18" t="n">
        <v>2.20961399</v>
      </c>
      <c r="R73" s="20" t="n">
        <v>0.74236729</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(2147.0/B75*100)</f>
        <v/>
      </c>
      <c r="D75" s="19" t="n">
        <v>259</v>
      </c>
      <c r="E75" s="18" t="n">
        <v>56.34704095</v>
      </c>
      <c r="F75" s="20" t="n">
        <v>3.50281828</v>
      </c>
      <c r="G75" s="18" t="n">
        <v>15.33622321</v>
      </c>
      <c r="H75" s="20" t="n">
        <v>2.71670827</v>
      </c>
      <c r="I75" s="18" t="s">
        <v>567</v>
      </c>
      <c r="J75" s="20" t="s">
        <v>567</v>
      </c>
      <c r="K75" s="18" t="n">
        <v>1.89884427</v>
      </c>
      <c r="L75" s="20" t="n">
        <v>1.01930083</v>
      </c>
      <c r="M75" s="18" t="n">
        <v>0.44417496</v>
      </c>
      <c r="N75" s="20" t="n">
        <v>0.44392447</v>
      </c>
      <c r="O75" s="18" t="n">
        <v>0</v>
      </c>
      <c r="P75" s="20" t="n">
        <v>0</v>
      </c>
      <c r="Q75" s="18" t="n">
        <v>25.97371661</v>
      </c>
      <c r="R75" s="20" t="n">
        <v>3.02520842</v>
      </c>
    </row>
    <row r="76" spans="1:18">
      <c r="A76" s="15" t="s">
        <v>636</v>
      </c>
      <c r="B76" s="17" t="n">
        <v>7052</v>
      </c>
      <c r="C76" s="18">
        <f>(6269.0/B76*100)</f>
        <v/>
      </c>
      <c r="D76" s="19" t="n">
        <v>783</v>
      </c>
      <c r="E76" s="18" t="n">
        <v>71.45486785</v>
      </c>
      <c r="F76" s="20" t="n">
        <v>1.69912083</v>
      </c>
      <c r="G76" s="18" t="n">
        <v>17.5663838</v>
      </c>
      <c r="H76" s="20" t="n">
        <v>1.43291515</v>
      </c>
      <c r="I76" s="18" t="s">
        <v>567</v>
      </c>
      <c r="J76" s="20" t="s">
        <v>567</v>
      </c>
      <c r="K76" s="18" t="n">
        <v>0.58412746</v>
      </c>
      <c r="L76" s="20" t="n">
        <v>0.29264153</v>
      </c>
      <c r="M76" s="18" t="n">
        <v>0.06611874</v>
      </c>
      <c r="N76" s="20" t="n">
        <v>0.06640975</v>
      </c>
      <c r="O76" s="18" t="n">
        <v>0</v>
      </c>
      <c r="P76" s="20" t="n">
        <v>0</v>
      </c>
      <c r="Q76" s="18" t="n">
        <v>10.32850215</v>
      </c>
      <c r="R76" s="20" t="n">
        <v>1.13266435</v>
      </c>
    </row>
    <row r="77" spans="1:18">
      <c r="A77" s="15" t="s">
        <v>637</v>
      </c>
      <c r="B77" s="17" t="n">
        <v>2908</v>
      </c>
      <c r="C77" s="18">
        <f>(2589.0/B77*100)</f>
        <v/>
      </c>
      <c r="D77" s="19" t="n">
        <v>319</v>
      </c>
      <c r="E77" s="18" t="n">
        <v>64.13563804</v>
      </c>
      <c r="F77" s="20" t="n">
        <v>3.41344924</v>
      </c>
      <c r="G77" s="18" t="n">
        <v>10.16796503</v>
      </c>
      <c r="H77" s="20" t="n">
        <v>1.75374707</v>
      </c>
      <c r="I77" s="18" t="s">
        <v>567</v>
      </c>
      <c r="J77" s="20" t="s">
        <v>567</v>
      </c>
      <c r="K77" s="18" t="n">
        <v>1.1516364</v>
      </c>
      <c r="L77" s="20" t="n">
        <v>0.5749954900000001</v>
      </c>
      <c r="M77" s="18" t="n">
        <v>0</v>
      </c>
      <c r="N77" s="20" t="n">
        <v>0</v>
      </c>
      <c r="O77" s="18" t="n">
        <v>0</v>
      </c>
      <c r="P77" s="20" t="n">
        <v>0</v>
      </c>
      <c r="Q77" s="18" t="n">
        <v>24.54476053</v>
      </c>
      <c r="R77" s="20" t="n">
        <v>3.0974393</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(3714.0/B81*100)</f>
        <v/>
      </c>
      <c r="D81" s="19" t="n">
        <v>449</v>
      </c>
      <c r="E81" s="18" t="n">
        <v>78.76390763000001</v>
      </c>
      <c r="F81" s="20" t="n">
        <v>2.4154077</v>
      </c>
      <c r="G81" s="18" t="n">
        <v>18.70940349</v>
      </c>
      <c r="H81" s="20" t="n">
        <v>2.37104288</v>
      </c>
      <c r="I81" s="18" t="s">
        <v>567</v>
      </c>
      <c r="J81" s="20" t="s">
        <v>567</v>
      </c>
      <c r="K81" s="18" t="n">
        <v>0</v>
      </c>
      <c r="L81" s="20" t="n">
        <v>0</v>
      </c>
      <c r="M81" s="18" t="n">
        <v>0</v>
      </c>
      <c r="N81" s="20" t="n">
        <v>0</v>
      </c>
      <c r="O81" s="18" t="n">
        <v>0</v>
      </c>
      <c r="P81" s="20" t="n">
        <v>0</v>
      </c>
      <c r="Q81" s="18" t="n">
        <v>2.52668888</v>
      </c>
      <c r="R81" s="20" t="n">
        <v>0.88424829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(6547.0/B7*100)</f>
        <v/>
      </c>
      <c r="D7" s="19" t="n">
        <v>820</v>
      </c>
      <c r="E7" s="18" t="n">
        <v>40.20043089</v>
      </c>
      <c r="F7" s="20" t="n">
        <v>2.18171433</v>
      </c>
      <c r="G7" s="18" t="n">
        <v>59.23261077</v>
      </c>
      <c r="H7" s="20" t="n">
        <v>2.12392265</v>
      </c>
      <c r="I7" s="18" t="s">
        <v>567</v>
      </c>
      <c r="J7" s="20" t="s">
        <v>567</v>
      </c>
      <c r="K7" s="18" t="n">
        <v>0.15974386</v>
      </c>
      <c r="L7" s="20" t="n">
        <v>0.12731112</v>
      </c>
      <c r="M7" s="18" t="n">
        <v>0</v>
      </c>
      <c r="N7" s="20" t="n">
        <v>0</v>
      </c>
      <c r="O7" s="18" t="n">
        <v>0</v>
      </c>
      <c r="P7" s="20" t="n">
        <v>0</v>
      </c>
      <c r="Q7" s="18" t="n">
        <v>0.40721449</v>
      </c>
      <c r="R7" s="20" t="n">
        <v>0.33810088</v>
      </c>
    </row>
    <row r="8" spans="1:18">
      <c r="A8" s="15" t="s">
        <v>568</v>
      </c>
      <c r="B8" s="17" t="n">
        <v>3564</v>
      </c>
      <c r="C8" s="18">
        <f>(3189.0/B8*100)</f>
        <v/>
      </c>
      <c r="D8" s="19" t="n">
        <v>375</v>
      </c>
      <c r="E8" s="18" t="n">
        <v>61.56726664</v>
      </c>
      <c r="F8" s="20" t="n">
        <v>2.97498221</v>
      </c>
      <c r="G8" s="18" t="n">
        <v>38.03962984</v>
      </c>
      <c r="H8" s="20" t="n">
        <v>2.98509645</v>
      </c>
      <c r="I8" s="18" t="s">
        <v>567</v>
      </c>
      <c r="J8" s="20" t="s">
        <v>567</v>
      </c>
      <c r="K8" s="18" t="n">
        <v>0</v>
      </c>
      <c r="L8" s="20" t="n">
        <v>0</v>
      </c>
      <c r="M8" s="18" t="n">
        <v>0</v>
      </c>
      <c r="N8" s="20" t="n">
        <v>0</v>
      </c>
      <c r="O8" s="18" t="n">
        <v>0</v>
      </c>
      <c r="P8" s="20" t="n">
        <v>0</v>
      </c>
      <c r="Q8" s="18" t="n">
        <v>0.39310352</v>
      </c>
      <c r="R8" s="20" t="n">
        <v>0.26403919</v>
      </c>
    </row>
    <row r="9" spans="1:18">
      <c r="A9" s="15" t="s">
        <v>569</v>
      </c>
      <c r="B9" s="17" t="n">
        <v>4899</v>
      </c>
      <c r="C9" s="18">
        <f>(4382.0/B9*100)</f>
        <v/>
      </c>
      <c r="D9" s="19" t="n">
        <v>517</v>
      </c>
      <c r="E9" s="18" t="n">
        <v>51.60127641</v>
      </c>
      <c r="F9" s="20" t="n">
        <v>2.52285609</v>
      </c>
      <c r="G9" s="18" t="n">
        <v>47.34033023</v>
      </c>
      <c r="H9" s="20" t="n">
        <v>2.54600163</v>
      </c>
      <c r="I9" s="18" t="s">
        <v>567</v>
      </c>
      <c r="J9" s="20" t="s">
        <v>567</v>
      </c>
      <c r="K9" s="18" t="n">
        <v>0.17357947</v>
      </c>
      <c r="L9" s="20" t="n">
        <v>0.16780552</v>
      </c>
      <c r="M9" s="18" t="n">
        <v>0</v>
      </c>
      <c r="N9" s="20" t="n">
        <v>0</v>
      </c>
      <c r="O9" s="18" t="n">
        <v>0</v>
      </c>
      <c r="P9" s="20" t="n">
        <v>0</v>
      </c>
      <c r="Q9" s="18" t="n">
        <v>0.88481389</v>
      </c>
      <c r="R9" s="20" t="n">
        <v>0.49425702</v>
      </c>
    </row>
    <row r="10" spans="1:18">
      <c r="A10" s="15" t="s">
        <v>570</v>
      </c>
      <c r="B10" s="17" t="n">
        <v>10036</v>
      </c>
      <c r="C10" s="18">
        <f>(8961.0/B10*100)</f>
        <v/>
      </c>
      <c r="D10" s="19" t="n">
        <v>1075</v>
      </c>
      <c r="E10" s="18" t="n">
        <v>45.12375591</v>
      </c>
      <c r="F10" s="20" t="n">
        <v>2.16321055</v>
      </c>
      <c r="G10" s="18" t="n">
        <v>54.33747259</v>
      </c>
      <c r="H10" s="20" t="n">
        <v>2.17221743</v>
      </c>
      <c r="I10" s="18" t="s">
        <v>567</v>
      </c>
      <c r="J10" s="20" t="s">
        <v>567</v>
      </c>
      <c r="K10" s="18" t="n">
        <v>0</v>
      </c>
      <c r="L10" s="20" t="n">
        <v>0</v>
      </c>
      <c r="M10" s="18" t="n">
        <v>0</v>
      </c>
      <c r="N10" s="20" t="n">
        <v>0</v>
      </c>
      <c r="O10" s="18" t="n">
        <v>0</v>
      </c>
      <c r="P10" s="20" t="n">
        <v>0</v>
      </c>
      <c r="Q10" s="18" t="n">
        <v>0.53877151</v>
      </c>
      <c r="R10" s="20" t="n">
        <v>0.24393941</v>
      </c>
    </row>
    <row r="11" spans="1:18">
      <c r="A11" s="15" t="s">
        <v>571</v>
      </c>
      <c r="B11" s="17" t="n">
        <v>3553</v>
      </c>
      <c r="C11" s="18">
        <f>(3138.0/B11*100)</f>
        <v/>
      </c>
      <c r="D11" s="19" t="n">
        <v>415</v>
      </c>
      <c r="E11" s="18" t="n">
        <v>47.30883986</v>
      </c>
      <c r="F11" s="20" t="n">
        <v>2.87117286</v>
      </c>
      <c r="G11" s="18" t="n">
        <v>51.10967163</v>
      </c>
      <c r="H11" s="20" t="n">
        <v>2.78156426</v>
      </c>
      <c r="I11" s="18" t="s">
        <v>567</v>
      </c>
      <c r="J11" s="20" t="s">
        <v>567</v>
      </c>
      <c r="K11" s="18" t="n">
        <v>0.5527587</v>
      </c>
      <c r="L11" s="20" t="n">
        <v>0.34982133</v>
      </c>
      <c r="M11" s="18" t="n">
        <v>0</v>
      </c>
      <c r="N11" s="20" t="n">
        <v>0</v>
      </c>
      <c r="O11" s="18" t="n">
        <v>0</v>
      </c>
      <c r="P11" s="20" t="n">
        <v>0</v>
      </c>
      <c r="Q11" s="18" t="n">
        <v>1.0287298</v>
      </c>
      <c r="R11" s="20" t="n">
        <v>0.60724734</v>
      </c>
    </row>
    <row r="12" spans="1:18">
      <c r="A12" s="15" t="s">
        <v>572</v>
      </c>
      <c r="B12" s="17" t="n">
        <v>3472</v>
      </c>
      <c r="C12" s="18">
        <f>(3059.0/B12*100)</f>
        <v/>
      </c>
      <c r="D12" s="19" t="n">
        <v>413</v>
      </c>
      <c r="E12" s="18" t="n">
        <v>50.01801619</v>
      </c>
      <c r="F12" s="20" t="n">
        <v>2.87866179</v>
      </c>
      <c r="G12" s="18" t="n">
        <v>49.17999685</v>
      </c>
      <c r="H12" s="20" t="n">
        <v>2.86654247</v>
      </c>
      <c r="I12" s="18" t="s">
        <v>567</v>
      </c>
      <c r="J12" s="20" t="s">
        <v>567</v>
      </c>
      <c r="K12" s="18" t="n">
        <v>0</v>
      </c>
      <c r="L12" s="20" t="n">
        <v>0</v>
      </c>
      <c r="M12" s="18" t="n">
        <v>0</v>
      </c>
      <c r="N12" s="20" t="n">
        <v>0</v>
      </c>
      <c r="O12" s="18" t="n">
        <v>0</v>
      </c>
      <c r="P12" s="20" t="n">
        <v>0</v>
      </c>
      <c r="Q12" s="18" t="n">
        <v>0.80198696</v>
      </c>
      <c r="R12" s="20" t="n">
        <v>0.2940036</v>
      </c>
    </row>
    <row r="13" spans="1:18">
      <c r="A13" s="15" t="s">
        <v>573</v>
      </c>
      <c r="B13" s="17" t="n">
        <v>3559</v>
      </c>
      <c r="C13" s="18">
        <f>(3172.0/B13*100)</f>
        <v/>
      </c>
      <c r="D13" s="19" t="n">
        <v>387</v>
      </c>
      <c r="E13" s="18" t="n">
        <v>59.65952499</v>
      </c>
      <c r="F13" s="20" t="n">
        <v>3.1819864</v>
      </c>
      <c r="G13" s="18" t="n">
        <v>39.5501369</v>
      </c>
      <c r="H13" s="20" t="n">
        <v>3.11659298</v>
      </c>
      <c r="I13" s="18" t="s">
        <v>567</v>
      </c>
      <c r="J13" s="20" t="s">
        <v>567</v>
      </c>
      <c r="K13" s="18" t="n">
        <v>0.21208984</v>
      </c>
      <c r="L13" s="20" t="n">
        <v>0.1238436</v>
      </c>
      <c r="M13" s="18" t="n">
        <v>0</v>
      </c>
      <c r="N13" s="20" t="n">
        <v>0</v>
      </c>
      <c r="O13" s="18" t="n">
        <v>0</v>
      </c>
      <c r="P13" s="20" t="n">
        <v>0</v>
      </c>
      <c r="Q13" s="18" t="n">
        <v>0.57824827</v>
      </c>
      <c r="R13" s="20" t="n">
        <v>0.32152557</v>
      </c>
    </row>
    <row r="14" spans="1:18">
      <c r="A14" s="15" t="s">
        <v>574</v>
      </c>
      <c r="B14" s="17" t="n">
        <v>2799</v>
      </c>
      <c r="C14" s="18">
        <f>(2488.0/B14*100)</f>
        <v/>
      </c>
      <c r="D14" s="19" t="n">
        <v>311</v>
      </c>
      <c r="E14" s="18" t="n">
        <v>51.74064797</v>
      </c>
      <c r="F14" s="20" t="n">
        <v>2.87080323</v>
      </c>
      <c r="G14" s="18" t="n">
        <v>48.25935203</v>
      </c>
      <c r="H14" s="20" t="n">
        <v>2.87080323</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(2669.0/B15*100)</f>
        <v/>
      </c>
      <c r="D15" s="19" t="n">
        <v>350</v>
      </c>
      <c r="E15" s="18" t="n">
        <v>46.72773332</v>
      </c>
      <c r="F15" s="20" t="n">
        <v>2.6274775</v>
      </c>
      <c r="G15" s="18" t="n">
        <v>53.27226668</v>
      </c>
      <c r="H15" s="20" t="n">
        <v>2.6274775</v>
      </c>
      <c r="I15" s="18" t="s">
        <v>567</v>
      </c>
      <c r="J15" s="20" t="s">
        <v>567</v>
      </c>
      <c r="K15" s="18" t="n">
        <v>0</v>
      </c>
      <c r="L15" s="20" t="n">
        <v>0</v>
      </c>
      <c r="M15" s="18" t="n">
        <v>0</v>
      </c>
      <c r="N15" s="20" t="n">
        <v>0</v>
      </c>
      <c r="O15" s="18" t="n">
        <v>0</v>
      </c>
      <c r="P15" s="20" t="n">
        <v>0</v>
      </c>
      <c r="Q15" s="18" t="n">
        <v>0</v>
      </c>
      <c r="R15" s="20" t="n">
        <v>0</v>
      </c>
    </row>
    <row r="16" spans="1:18">
      <c r="A16" s="15" t="s">
        <v>576</v>
      </c>
      <c r="B16" s="17" t="n">
        <v>2997</v>
      </c>
      <c r="C16" s="18">
        <f>(2666.0/B16*100)</f>
        <v/>
      </c>
      <c r="D16" s="19" t="n">
        <v>331</v>
      </c>
      <c r="E16" s="18" t="n">
        <v>45.54204555</v>
      </c>
      <c r="F16" s="20" t="n">
        <v>2.86299045</v>
      </c>
      <c r="G16" s="18" t="n">
        <v>52.46835753</v>
      </c>
      <c r="H16" s="20" t="n">
        <v>3.03232005</v>
      </c>
      <c r="I16" s="18" t="s">
        <v>567</v>
      </c>
      <c r="J16" s="20" t="s">
        <v>567</v>
      </c>
      <c r="K16" s="18" t="n">
        <v>0.31453025</v>
      </c>
      <c r="L16" s="20" t="n">
        <v>0.22105146</v>
      </c>
      <c r="M16" s="18" t="n">
        <v>0</v>
      </c>
      <c r="N16" s="20" t="n">
        <v>0</v>
      </c>
      <c r="O16" s="18" t="n">
        <v>0</v>
      </c>
      <c r="P16" s="20" t="n">
        <v>0</v>
      </c>
      <c r="Q16" s="18" t="n">
        <v>1.67506668</v>
      </c>
      <c r="R16" s="20" t="n">
        <v>0.75817822</v>
      </c>
    </row>
    <row r="17" spans="1:18">
      <c r="A17" s="15" t="s">
        <v>577</v>
      </c>
      <c r="B17" s="17" t="n">
        <v>3307</v>
      </c>
      <c r="C17" s="18">
        <f>(2927.0/B17*100)</f>
        <v/>
      </c>
      <c r="D17" s="19" t="n">
        <v>380</v>
      </c>
      <c r="E17" s="18" t="n">
        <v>52.76482911</v>
      </c>
      <c r="F17" s="20" t="n">
        <v>2.41557234</v>
      </c>
      <c r="G17" s="18" t="n">
        <v>45.756751</v>
      </c>
      <c r="H17" s="20" t="n">
        <v>2.56907039</v>
      </c>
      <c r="I17" s="18" t="s">
        <v>567</v>
      </c>
      <c r="J17" s="20" t="s">
        <v>567</v>
      </c>
      <c r="K17" s="18" t="n">
        <v>0.9069530099999999</v>
      </c>
      <c r="L17" s="20" t="n">
        <v>0.61602647</v>
      </c>
      <c r="M17" s="18" t="n">
        <v>0</v>
      </c>
      <c r="N17" s="20" t="n">
        <v>0</v>
      </c>
      <c r="O17" s="18" t="n">
        <v>0</v>
      </c>
      <c r="P17" s="20" t="n">
        <v>0</v>
      </c>
      <c r="Q17" s="18" t="n">
        <v>0.57146688</v>
      </c>
      <c r="R17" s="20" t="n">
        <v>0.40193912</v>
      </c>
    </row>
    <row r="18" spans="1:18">
      <c r="A18" s="15" t="s">
        <v>578</v>
      </c>
      <c r="B18" s="17" t="n">
        <v>2826</v>
      </c>
      <c r="C18" s="18">
        <f>(2503.0/B18*100)</f>
        <v/>
      </c>
      <c r="D18" s="19" t="n">
        <v>323</v>
      </c>
      <c r="E18" s="18" t="n">
        <v>59.41972185</v>
      </c>
      <c r="F18" s="20" t="n">
        <v>2.67529242</v>
      </c>
      <c r="G18" s="18" t="n">
        <v>39.58979212</v>
      </c>
      <c r="H18" s="20" t="n">
        <v>2.58113037</v>
      </c>
      <c r="I18" s="18" t="s">
        <v>567</v>
      </c>
      <c r="J18" s="20" t="s">
        <v>567</v>
      </c>
      <c r="K18" s="18" t="n">
        <v>0.66384166</v>
      </c>
      <c r="L18" s="20" t="n">
        <v>0.47371675</v>
      </c>
      <c r="M18" s="18" t="n">
        <v>0</v>
      </c>
      <c r="N18" s="20" t="n">
        <v>0</v>
      </c>
      <c r="O18" s="18" t="n">
        <v>0</v>
      </c>
      <c r="P18" s="20" t="n">
        <v>0</v>
      </c>
      <c r="Q18" s="18" t="n">
        <v>0.32664437</v>
      </c>
      <c r="R18" s="20" t="n">
        <v>0.32122493</v>
      </c>
    </row>
    <row r="19" spans="1:18">
      <c r="A19" s="15" t="s">
        <v>579</v>
      </c>
      <c r="B19" s="17" t="n">
        <v>2808</v>
      </c>
      <c r="C19" s="18">
        <f>(2517.0/B19*100)</f>
        <v/>
      </c>
      <c r="D19" s="19" t="n">
        <v>291</v>
      </c>
      <c r="E19" s="18" t="n">
        <v>51.49346414</v>
      </c>
      <c r="F19" s="20" t="n">
        <v>3.43357895</v>
      </c>
      <c r="G19" s="18" t="n">
        <v>48.25592916</v>
      </c>
      <c r="H19" s="20" t="n">
        <v>3.38936418</v>
      </c>
      <c r="I19" s="18" t="s">
        <v>567</v>
      </c>
      <c r="J19" s="20" t="s">
        <v>567</v>
      </c>
      <c r="K19" s="18" t="n">
        <v>0</v>
      </c>
      <c r="L19" s="20" t="n">
        <v>0</v>
      </c>
      <c r="M19" s="18" t="n">
        <v>0</v>
      </c>
      <c r="N19" s="20" t="n">
        <v>0</v>
      </c>
      <c r="O19" s="18" t="n">
        <v>0</v>
      </c>
      <c r="P19" s="20" t="n">
        <v>0</v>
      </c>
      <c r="Q19" s="18" t="n">
        <v>0.2506067</v>
      </c>
      <c r="R19" s="20" t="n">
        <v>0.25287813</v>
      </c>
    </row>
    <row r="20" spans="1:18">
      <c r="A20" s="15" t="s">
        <v>580</v>
      </c>
      <c r="B20" s="17" t="n">
        <v>1630</v>
      </c>
      <c r="C20" s="18">
        <f>(1463.0/B20*100)</f>
        <v/>
      </c>
      <c r="D20" s="19" t="n">
        <v>167</v>
      </c>
      <c r="E20" s="18" t="n">
        <v>51.59223475</v>
      </c>
      <c r="F20" s="20" t="n">
        <v>3.31332526</v>
      </c>
      <c r="G20" s="18" t="n">
        <v>48.40776525</v>
      </c>
      <c r="H20" s="20" t="n">
        <v>3.31332526</v>
      </c>
      <c r="I20" s="18" t="s">
        <v>567</v>
      </c>
      <c r="J20" s="20" t="s">
        <v>567</v>
      </c>
      <c r="K20" s="18" t="n">
        <v>0</v>
      </c>
      <c r="L20" s="20" t="n">
        <v>0</v>
      </c>
      <c r="M20" s="18" t="n">
        <v>0</v>
      </c>
      <c r="N20" s="20" t="n">
        <v>0</v>
      </c>
      <c r="O20" s="18" t="n">
        <v>0</v>
      </c>
      <c r="P20" s="20" t="n">
        <v>0</v>
      </c>
      <c r="Q20" s="18" t="n">
        <v>0</v>
      </c>
      <c r="R20" s="20" t="n">
        <v>0</v>
      </c>
    </row>
    <row r="21" spans="1:18">
      <c r="A21" s="15" t="s">
        <v>581</v>
      </c>
      <c r="B21" s="17" t="n">
        <v>2908</v>
      </c>
      <c r="C21" s="18">
        <f>(2606.0/B21*100)</f>
        <v/>
      </c>
      <c r="D21" s="19" t="n">
        <v>302</v>
      </c>
      <c r="E21" s="18" t="n">
        <v>41.03291528</v>
      </c>
      <c r="F21" s="20" t="n">
        <v>2.79356283</v>
      </c>
      <c r="G21" s="18" t="n">
        <v>58.96708472</v>
      </c>
      <c r="H21" s="20" t="n">
        <v>2.79356283</v>
      </c>
      <c r="I21" s="18" t="s">
        <v>567</v>
      </c>
      <c r="J21" s="20" t="s">
        <v>567</v>
      </c>
      <c r="K21" s="18" t="n">
        <v>0</v>
      </c>
      <c r="L21" s="20" t="n">
        <v>0</v>
      </c>
      <c r="M21" s="18" t="n">
        <v>0</v>
      </c>
      <c r="N21" s="20" t="n">
        <v>0</v>
      </c>
      <c r="O21" s="18" t="n">
        <v>0</v>
      </c>
      <c r="P21" s="20" t="n">
        <v>0</v>
      </c>
      <c r="Q21" s="18" t="n">
        <v>0</v>
      </c>
      <c r="R21" s="20" t="n">
        <v>0</v>
      </c>
    </row>
    <row r="22" spans="1:18">
      <c r="A22" s="15" t="s">
        <v>582</v>
      </c>
      <c r="B22" s="17" t="n">
        <v>2931</v>
      </c>
      <c r="C22" s="18">
        <f>(2591.0/B22*100)</f>
        <v/>
      </c>
      <c r="D22" s="19" t="n">
        <v>340</v>
      </c>
      <c r="E22" s="18" t="n">
        <v>54.36339645</v>
      </c>
      <c r="F22" s="20" t="n">
        <v>2.40891917</v>
      </c>
      <c r="G22" s="18" t="n">
        <v>43.14698196</v>
      </c>
      <c r="H22" s="20" t="n">
        <v>2.39888351</v>
      </c>
      <c r="I22" s="18" t="s">
        <v>567</v>
      </c>
      <c r="J22" s="20" t="s">
        <v>567</v>
      </c>
      <c r="K22" s="18" t="n">
        <v>0</v>
      </c>
      <c r="L22" s="20" t="n">
        <v>0</v>
      </c>
      <c r="M22" s="18" t="n">
        <v>0</v>
      </c>
      <c r="N22" s="20" t="n">
        <v>0</v>
      </c>
      <c r="O22" s="18" t="n">
        <v>0</v>
      </c>
      <c r="P22" s="20" t="n">
        <v>0</v>
      </c>
      <c r="Q22" s="18" t="n">
        <v>2.48962159</v>
      </c>
      <c r="R22" s="20" t="n">
        <v>0.81934174</v>
      </c>
    </row>
    <row r="23" spans="1:18">
      <c r="A23" s="15" t="s">
        <v>583</v>
      </c>
      <c r="B23" s="17" t="n">
        <v>5791</v>
      </c>
      <c r="C23" s="18">
        <f>(5161.0/B23*100)</f>
        <v/>
      </c>
      <c r="D23" s="19" t="n">
        <v>630</v>
      </c>
      <c r="E23" s="18" t="n">
        <v>38.39729046</v>
      </c>
      <c r="F23" s="20" t="n">
        <v>2.4360044</v>
      </c>
      <c r="G23" s="18" t="n">
        <v>60.84725242</v>
      </c>
      <c r="H23" s="20" t="n">
        <v>2.54358478</v>
      </c>
      <c r="I23" s="18" t="s">
        <v>567</v>
      </c>
      <c r="J23" s="20" t="s">
        <v>567</v>
      </c>
      <c r="K23" s="18" t="n">
        <v>0.10818569</v>
      </c>
      <c r="L23" s="20" t="n">
        <v>0.10725743</v>
      </c>
      <c r="M23" s="18" t="n">
        <v>0</v>
      </c>
      <c r="N23" s="20" t="n">
        <v>0</v>
      </c>
      <c r="O23" s="18" t="n">
        <v>0</v>
      </c>
      <c r="P23" s="20" t="n">
        <v>0</v>
      </c>
      <c r="Q23" s="18" t="n">
        <v>0.64727143</v>
      </c>
      <c r="R23" s="20" t="n">
        <v>0.57063257</v>
      </c>
    </row>
    <row r="24" spans="1:18">
      <c r="A24" s="15" t="s">
        <v>584</v>
      </c>
      <c r="B24" s="17" t="n">
        <v>3338</v>
      </c>
      <c r="C24" s="18">
        <f>(2958.0/B24*100)</f>
        <v/>
      </c>
      <c r="D24" s="19" t="n">
        <v>380</v>
      </c>
      <c r="E24" s="18" t="n">
        <v>43.33584456</v>
      </c>
      <c r="F24" s="20" t="n">
        <v>2.65321722</v>
      </c>
      <c r="G24" s="18" t="n">
        <v>56.40952696</v>
      </c>
      <c r="H24" s="20" t="n">
        <v>2.67147259</v>
      </c>
      <c r="I24" s="18" t="s">
        <v>567</v>
      </c>
      <c r="J24" s="20" t="s">
        <v>567</v>
      </c>
      <c r="K24" s="18" t="n">
        <v>0.25462848</v>
      </c>
      <c r="L24" s="20" t="n">
        <v>0.25755837</v>
      </c>
      <c r="M24" s="18" t="n">
        <v>0</v>
      </c>
      <c r="N24" s="20" t="n">
        <v>0</v>
      </c>
      <c r="O24" s="18" t="n">
        <v>0</v>
      </c>
      <c r="P24" s="20" t="n">
        <v>0</v>
      </c>
      <c r="Q24" s="18" t="n">
        <v>0</v>
      </c>
      <c r="R24" s="20" t="n">
        <v>0</v>
      </c>
    </row>
    <row r="25" spans="1:18">
      <c r="A25" s="15" t="s">
        <v>585</v>
      </c>
      <c r="B25" s="17" t="n">
        <v>2912</v>
      </c>
      <c r="C25" s="18">
        <f>(2597.0/B25*100)</f>
        <v/>
      </c>
      <c r="D25" s="19" t="n">
        <v>315</v>
      </c>
      <c r="E25" s="18" t="n">
        <v>57.87817186</v>
      </c>
      <c r="F25" s="20" t="n">
        <v>2.86378926</v>
      </c>
      <c r="G25" s="18" t="n">
        <v>41.76998279</v>
      </c>
      <c r="H25" s="20" t="n">
        <v>2.90041602</v>
      </c>
      <c r="I25" s="18" t="s">
        <v>567</v>
      </c>
      <c r="J25" s="20" t="s">
        <v>567</v>
      </c>
      <c r="K25" s="18" t="n">
        <v>0</v>
      </c>
      <c r="L25" s="20" t="n">
        <v>0</v>
      </c>
      <c r="M25" s="18" t="n">
        <v>0</v>
      </c>
      <c r="N25" s="20" t="n">
        <v>0</v>
      </c>
      <c r="O25" s="18" t="n">
        <v>0</v>
      </c>
      <c r="P25" s="20" t="n">
        <v>0</v>
      </c>
      <c r="Q25" s="18" t="n">
        <v>0.35184535</v>
      </c>
      <c r="R25" s="20" t="n">
        <v>0.34811611</v>
      </c>
    </row>
    <row r="26" spans="1:18">
      <c r="A26" s="15" t="s">
        <v>586</v>
      </c>
      <c r="B26" s="17" t="n">
        <v>2450</v>
      </c>
      <c r="C26" s="18">
        <f>(2185.0/B26*100)</f>
        <v/>
      </c>
      <c r="D26" s="19" t="n">
        <v>265</v>
      </c>
      <c r="E26" s="18" t="n">
        <v>67.56229415999999</v>
      </c>
      <c r="F26" s="20" t="n">
        <v>3.29613711</v>
      </c>
      <c r="G26" s="18" t="n">
        <v>32.16077866</v>
      </c>
      <c r="H26" s="20" t="n">
        <v>3.29755213</v>
      </c>
      <c r="I26" s="18" t="s">
        <v>567</v>
      </c>
      <c r="J26" s="20" t="s">
        <v>567</v>
      </c>
      <c r="K26" s="18" t="n">
        <v>0</v>
      </c>
      <c r="L26" s="20" t="n">
        <v>0</v>
      </c>
      <c r="M26" s="18" t="n">
        <v>0</v>
      </c>
      <c r="N26" s="20" t="n">
        <v>0</v>
      </c>
      <c r="O26" s="18" t="n">
        <v>0</v>
      </c>
      <c r="P26" s="20" t="n">
        <v>0</v>
      </c>
      <c r="Q26" s="18" t="n">
        <v>0.27692718</v>
      </c>
      <c r="R26" s="20" t="n">
        <v>0.27202683</v>
      </c>
    </row>
    <row r="27" spans="1:18">
      <c r="A27" s="15" t="s">
        <v>587</v>
      </c>
      <c r="B27" s="17" t="n">
        <v>2616</v>
      </c>
      <c r="C27" s="18">
        <f>(2334.0/B27*100)</f>
        <v/>
      </c>
      <c r="D27" s="19" t="n">
        <v>282</v>
      </c>
      <c r="E27" s="18" t="n">
        <v>60.08723412</v>
      </c>
      <c r="F27" s="20" t="n">
        <v>2.74420012</v>
      </c>
      <c r="G27" s="18" t="n">
        <v>38.15192736</v>
      </c>
      <c r="H27" s="20" t="n">
        <v>2.66263717</v>
      </c>
      <c r="I27" s="18" t="s">
        <v>567</v>
      </c>
      <c r="J27" s="20" t="s">
        <v>567</v>
      </c>
      <c r="K27" s="18" t="n">
        <v>0.34899969</v>
      </c>
      <c r="L27" s="20" t="n">
        <v>0.34274671</v>
      </c>
      <c r="M27" s="18" t="n">
        <v>0</v>
      </c>
      <c r="N27" s="20" t="n">
        <v>0</v>
      </c>
      <c r="O27" s="18" t="n">
        <v>0</v>
      </c>
      <c r="P27" s="20" t="n">
        <v>0</v>
      </c>
      <c r="Q27" s="18" t="n">
        <v>1.41183884</v>
      </c>
      <c r="R27" s="20" t="n">
        <v>0.71093488</v>
      </c>
    </row>
    <row r="28" spans="1:18">
      <c r="A28" s="15" t="s">
        <v>588</v>
      </c>
      <c r="B28" s="17" t="n">
        <v>3765</v>
      </c>
      <c r="C28" s="18">
        <f>(3364.0/B28*100)</f>
        <v/>
      </c>
      <c r="D28" s="19" t="n">
        <v>401</v>
      </c>
      <c r="E28" s="18" t="n">
        <v>64.90331451</v>
      </c>
      <c r="F28" s="20" t="n">
        <v>2.94091482</v>
      </c>
      <c r="G28" s="18" t="n">
        <v>34.25570797</v>
      </c>
      <c r="H28" s="20" t="n">
        <v>2.93358099</v>
      </c>
      <c r="I28" s="18" t="s">
        <v>567</v>
      </c>
      <c r="J28" s="20" t="s">
        <v>567</v>
      </c>
      <c r="K28" s="18" t="n">
        <v>0</v>
      </c>
      <c r="L28" s="20" t="n">
        <v>0</v>
      </c>
      <c r="M28" s="18" t="n">
        <v>0</v>
      </c>
      <c r="N28" s="20" t="n">
        <v>0</v>
      </c>
      <c r="O28" s="18" t="n">
        <v>0</v>
      </c>
      <c r="P28" s="20" t="n">
        <v>0</v>
      </c>
      <c r="Q28" s="18" t="n">
        <v>0.84097752</v>
      </c>
      <c r="R28" s="20" t="n">
        <v>0.63584785</v>
      </c>
    </row>
    <row r="29" spans="1:18">
      <c r="A29" s="15" t="s">
        <v>589</v>
      </c>
      <c r="B29" s="17" t="n">
        <v>2685</v>
      </c>
      <c r="C29" s="18">
        <f>(2385.0/B29*100)</f>
        <v/>
      </c>
      <c r="D29" s="19" t="n">
        <v>300</v>
      </c>
      <c r="E29" s="18" t="n">
        <v>76.14850223000001</v>
      </c>
      <c r="F29" s="20" t="n">
        <v>2.83314835</v>
      </c>
      <c r="G29" s="18" t="n">
        <v>23.85149777</v>
      </c>
      <c r="H29" s="20" t="n">
        <v>2.83314835</v>
      </c>
      <c r="I29" s="18" t="s">
        <v>567</v>
      </c>
      <c r="J29" s="20" t="s">
        <v>567</v>
      </c>
      <c r="K29" s="18" t="n">
        <v>0</v>
      </c>
      <c r="L29" s="20" t="n">
        <v>0</v>
      </c>
      <c r="M29" s="18" t="n">
        <v>0</v>
      </c>
      <c r="N29" s="20" t="n">
        <v>0</v>
      </c>
      <c r="O29" s="18" t="n">
        <v>0</v>
      </c>
      <c r="P29" s="20" t="n">
        <v>0</v>
      </c>
      <c r="Q29" s="18" t="n">
        <v>0</v>
      </c>
      <c r="R29" s="20" t="n">
        <v>0</v>
      </c>
    </row>
    <row r="30" spans="1:18">
      <c r="A30" s="15" t="s">
        <v>590</v>
      </c>
      <c r="B30" s="17" t="n">
        <v>2263</v>
      </c>
      <c r="C30" s="18">
        <f>(2033.0/B30*100)</f>
        <v/>
      </c>
      <c r="D30" s="19" t="n">
        <v>230</v>
      </c>
      <c r="E30" s="18" t="n">
        <v>42.42466502</v>
      </c>
      <c r="F30" s="20" t="n">
        <v>3.36190325</v>
      </c>
      <c r="G30" s="18" t="n">
        <v>57.11981958</v>
      </c>
      <c r="H30" s="20" t="n">
        <v>3.36999734</v>
      </c>
      <c r="I30" s="18" t="s">
        <v>567</v>
      </c>
      <c r="J30" s="20" t="s">
        <v>567</v>
      </c>
      <c r="K30" s="18" t="n">
        <v>0.4555154</v>
      </c>
      <c r="L30" s="20" t="n">
        <v>0.43506997</v>
      </c>
      <c r="M30" s="18" t="n">
        <v>0</v>
      </c>
      <c r="N30" s="20" t="n">
        <v>0</v>
      </c>
      <c r="O30" s="18" t="n">
        <v>0</v>
      </c>
      <c r="P30" s="20" t="n">
        <v>0</v>
      </c>
      <c r="Q30" s="18" t="n">
        <v>0</v>
      </c>
      <c r="R30" s="20" t="n">
        <v>0</v>
      </c>
    </row>
    <row r="31" spans="1:18">
      <c r="A31" s="15" t="s">
        <v>591</v>
      </c>
      <c r="B31" s="17" t="n">
        <v>2750</v>
      </c>
      <c r="C31" s="18">
        <f>(2452.0/B31*100)</f>
        <v/>
      </c>
      <c r="D31" s="19" t="n">
        <v>298</v>
      </c>
      <c r="E31" s="18" t="n">
        <v>60.69030591</v>
      </c>
      <c r="F31" s="20" t="n">
        <v>2.83380178</v>
      </c>
      <c r="G31" s="18" t="n">
        <v>37.40847365</v>
      </c>
      <c r="H31" s="20" t="n">
        <v>2.86688004</v>
      </c>
      <c r="I31" s="18" t="s">
        <v>567</v>
      </c>
      <c r="J31" s="20" t="s">
        <v>567</v>
      </c>
      <c r="K31" s="18" t="n">
        <v>0.33144827</v>
      </c>
      <c r="L31" s="20" t="n">
        <v>0.35927793</v>
      </c>
      <c r="M31" s="18" t="n">
        <v>0</v>
      </c>
      <c r="N31" s="20" t="n">
        <v>0</v>
      </c>
      <c r="O31" s="18" t="n">
        <v>0</v>
      </c>
      <c r="P31" s="20" t="n">
        <v>0</v>
      </c>
      <c r="Q31" s="18" t="n">
        <v>1.56977216</v>
      </c>
      <c r="R31" s="20" t="n">
        <v>0.68221824</v>
      </c>
    </row>
    <row r="32" spans="1:18">
      <c r="A32" s="15" t="s">
        <v>592</v>
      </c>
      <c r="B32" s="17" t="n">
        <v>2269</v>
      </c>
      <c r="C32" s="18">
        <f>(2032.0/B32*100)</f>
        <v/>
      </c>
      <c r="D32" s="19" t="n">
        <v>237</v>
      </c>
      <c r="E32" s="18" t="n">
        <v>40.87550819</v>
      </c>
      <c r="F32" s="20" t="n">
        <v>3.34225246</v>
      </c>
      <c r="G32" s="18" t="n">
        <v>58.75831476</v>
      </c>
      <c r="H32" s="20" t="n">
        <v>3.31063379</v>
      </c>
      <c r="I32" s="18" t="s">
        <v>567</v>
      </c>
      <c r="J32" s="20" t="s">
        <v>567</v>
      </c>
      <c r="K32" s="18" t="n">
        <v>0</v>
      </c>
      <c r="L32" s="20" t="n">
        <v>0</v>
      </c>
      <c r="M32" s="18" t="n">
        <v>0</v>
      </c>
      <c r="N32" s="20" t="n">
        <v>0</v>
      </c>
      <c r="O32" s="18" t="n">
        <v>0</v>
      </c>
      <c r="P32" s="20" t="n">
        <v>0</v>
      </c>
      <c r="Q32" s="18" t="n">
        <v>0.36617705</v>
      </c>
      <c r="R32" s="20" t="n">
        <v>0.35474255</v>
      </c>
    </row>
    <row r="33" spans="1:18">
      <c r="A33" s="15" t="s">
        <v>593</v>
      </c>
      <c r="B33" s="17" t="n">
        <v>3674</v>
      </c>
      <c r="C33" s="18">
        <f>(3293.0/B33*100)</f>
        <v/>
      </c>
      <c r="D33" s="19" t="n">
        <v>381</v>
      </c>
      <c r="E33" s="18" t="n">
        <v>44.86211996</v>
      </c>
      <c r="F33" s="20" t="n">
        <v>2.43013687</v>
      </c>
      <c r="G33" s="18" t="n">
        <v>53.93825405</v>
      </c>
      <c r="H33" s="20" t="n">
        <v>2.38533391</v>
      </c>
      <c r="I33" s="18" t="s">
        <v>567</v>
      </c>
      <c r="J33" s="20" t="s">
        <v>567</v>
      </c>
      <c r="K33" s="18" t="n">
        <v>0</v>
      </c>
      <c r="L33" s="20" t="n">
        <v>0</v>
      </c>
      <c r="M33" s="18" t="n">
        <v>0</v>
      </c>
      <c r="N33" s="20" t="n">
        <v>0</v>
      </c>
      <c r="O33" s="18" t="n">
        <v>0</v>
      </c>
      <c r="P33" s="20" t="n">
        <v>0</v>
      </c>
      <c r="Q33" s="18" t="n">
        <v>1.199626</v>
      </c>
      <c r="R33" s="20" t="n">
        <v>0.59708687</v>
      </c>
    </row>
    <row r="34" spans="1:18">
      <c r="A34" s="15" t="s">
        <v>594</v>
      </c>
      <c r="B34" s="17" t="n">
        <v>3315</v>
      </c>
      <c r="C34" s="18">
        <f>(2955.0/B34*100)</f>
        <v/>
      </c>
      <c r="D34" s="19" t="n">
        <v>360</v>
      </c>
      <c r="E34" s="18" t="n">
        <v>51.6851115</v>
      </c>
      <c r="F34" s="20" t="n">
        <v>3.15622638</v>
      </c>
      <c r="G34" s="18" t="n">
        <v>47.01402354</v>
      </c>
      <c r="H34" s="20" t="n">
        <v>3.28268003</v>
      </c>
      <c r="I34" s="18" t="s">
        <v>567</v>
      </c>
      <c r="J34" s="20" t="s">
        <v>567</v>
      </c>
      <c r="K34" s="18" t="n">
        <v>0</v>
      </c>
      <c r="L34" s="20" t="n">
        <v>0</v>
      </c>
      <c r="M34" s="18" t="n">
        <v>0</v>
      </c>
      <c r="N34" s="20" t="n">
        <v>0</v>
      </c>
      <c r="O34" s="18" t="n">
        <v>0</v>
      </c>
      <c r="P34" s="20" t="n">
        <v>0</v>
      </c>
      <c r="Q34" s="18" t="n">
        <v>1.30086496</v>
      </c>
      <c r="R34" s="20" t="n">
        <v>0.69201863</v>
      </c>
    </row>
    <row r="35" spans="1:18">
      <c r="A35" s="15" t="s">
        <v>595</v>
      </c>
      <c r="B35" s="17" t="n">
        <v>3505</v>
      </c>
      <c r="C35" s="18">
        <f>(3120.0/B35*100)</f>
        <v/>
      </c>
      <c r="D35" s="19" t="n">
        <v>385</v>
      </c>
      <c r="E35" s="18" t="n">
        <v>53.60362917</v>
      </c>
      <c r="F35" s="20" t="n">
        <v>2.85051885</v>
      </c>
      <c r="G35" s="18" t="n">
        <v>45.9848332</v>
      </c>
      <c r="H35" s="20" t="n">
        <v>2.87991524</v>
      </c>
      <c r="I35" s="18" t="s">
        <v>567</v>
      </c>
      <c r="J35" s="20" t="s">
        <v>567</v>
      </c>
      <c r="K35" s="18" t="n">
        <v>0</v>
      </c>
      <c r="L35" s="20" t="n">
        <v>0</v>
      </c>
      <c r="M35" s="18" t="n">
        <v>0</v>
      </c>
      <c r="N35" s="20" t="n">
        <v>0</v>
      </c>
      <c r="O35" s="18" t="n">
        <v>0</v>
      </c>
      <c r="P35" s="20" t="n">
        <v>0</v>
      </c>
      <c r="Q35" s="18" t="n">
        <v>0.41153764</v>
      </c>
      <c r="R35" s="20" t="n">
        <v>0.2449231</v>
      </c>
    </row>
    <row r="36" spans="1:18">
      <c r="A36" s="15" t="s">
        <v>596</v>
      </c>
      <c r="B36" s="17" t="n">
        <v>3332</v>
      </c>
      <c r="C36" s="18">
        <f>(2975.0/B36*100)</f>
        <v/>
      </c>
      <c r="D36" s="19" t="n">
        <v>357</v>
      </c>
      <c r="E36" s="18" t="n">
        <v>39.11878063</v>
      </c>
      <c r="F36" s="20" t="n">
        <v>2.80847334</v>
      </c>
      <c r="G36" s="18" t="n">
        <v>60.03487738</v>
      </c>
      <c r="H36" s="20" t="n">
        <v>2.85649573</v>
      </c>
      <c r="I36" s="18" t="s">
        <v>567</v>
      </c>
      <c r="J36" s="20" t="s">
        <v>567</v>
      </c>
      <c r="K36" s="18" t="n">
        <v>0.84634199</v>
      </c>
      <c r="L36" s="20" t="n">
        <v>0.66573503</v>
      </c>
      <c r="M36" s="18" t="n">
        <v>0</v>
      </c>
      <c r="N36" s="20" t="n">
        <v>0</v>
      </c>
      <c r="O36" s="18" t="n">
        <v>0</v>
      </c>
      <c r="P36" s="20" t="n">
        <v>0</v>
      </c>
      <c r="Q36" s="18" t="n">
        <v>0</v>
      </c>
      <c r="R36" s="20" t="n">
        <v>0</v>
      </c>
    </row>
    <row r="37" spans="1:18">
      <c r="A37" s="15" t="s">
        <v>597</v>
      </c>
      <c r="B37" s="17" t="n">
        <v>2727</v>
      </c>
      <c r="C37" s="18">
        <f>(2423.0/B37*100)</f>
        <v/>
      </c>
      <c r="D37" s="19" t="n">
        <v>304</v>
      </c>
      <c r="E37" s="18" t="n">
        <v>50.80372804</v>
      </c>
      <c r="F37" s="20" t="n">
        <v>2.51565089</v>
      </c>
      <c r="G37" s="18" t="n">
        <v>47.18324934</v>
      </c>
      <c r="H37" s="20" t="n">
        <v>2.58372901</v>
      </c>
      <c r="I37" s="18" t="s">
        <v>567</v>
      </c>
      <c r="J37" s="20" t="s">
        <v>567</v>
      </c>
      <c r="K37" s="18" t="n">
        <v>0.31144432</v>
      </c>
      <c r="L37" s="20" t="n">
        <v>0.31264505</v>
      </c>
      <c r="M37" s="18" t="n">
        <v>0</v>
      </c>
      <c r="N37" s="20" t="n">
        <v>0</v>
      </c>
      <c r="O37" s="18" t="n">
        <v>0</v>
      </c>
      <c r="P37" s="20" t="n">
        <v>0</v>
      </c>
      <c r="Q37" s="18" t="n">
        <v>1.70157829</v>
      </c>
      <c r="R37" s="20" t="n">
        <v>0.75345134</v>
      </c>
    </row>
    <row r="38" spans="1:18">
      <c r="A38" s="15" t="s">
        <v>598</v>
      </c>
      <c r="B38" s="17" t="n">
        <v>3053</v>
      </c>
      <c r="C38" s="18">
        <f>(2721.0/B38*100)</f>
        <v/>
      </c>
      <c r="D38" s="19" t="n">
        <v>332</v>
      </c>
      <c r="E38" s="18" t="n">
        <v>56.74421797</v>
      </c>
      <c r="F38" s="20" t="n">
        <v>3.11664687</v>
      </c>
      <c r="G38" s="18" t="n">
        <v>43.25578203</v>
      </c>
      <c r="H38" s="20" t="n">
        <v>3.11664687</v>
      </c>
      <c r="I38" s="18" t="s">
        <v>567</v>
      </c>
      <c r="J38" s="20" t="s">
        <v>567</v>
      </c>
      <c r="K38" s="18" t="n">
        <v>0</v>
      </c>
      <c r="L38" s="20" t="n">
        <v>0</v>
      </c>
      <c r="M38" s="18" t="n">
        <v>0</v>
      </c>
      <c r="N38" s="20" t="n">
        <v>0</v>
      </c>
      <c r="O38" s="18" t="n">
        <v>0</v>
      </c>
      <c r="P38" s="20" t="n">
        <v>0</v>
      </c>
      <c r="Q38" s="18" t="n">
        <v>0</v>
      </c>
      <c r="R38" s="20" t="n">
        <v>0</v>
      </c>
    </row>
    <row r="39" spans="1:18">
      <c r="A39" s="15" t="s">
        <v>599</v>
      </c>
      <c r="B39" s="17" t="n">
        <v>2957</v>
      </c>
      <c r="C39" s="18">
        <f>(2617.0/B39*100)</f>
        <v/>
      </c>
      <c r="D39" s="19" t="n">
        <v>340</v>
      </c>
      <c r="E39" s="18" t="n">
        <v>56.44914737</v>
      </c>
      <c r="F39" s="20" t="n">
        <v>3.63958246</v>
      </c>
      <c r="G39" s="18" t="n">
        <v>42.13558648</v>
      </c>
      <c r="H39" s="20" t="n">
        <v>3.49170537</v>
      </c>
      <c r="I39" s="18" t="s">
        <v>567</v>
      </c>
      <c r="J39" s="20" t="s">
        <v>567</v>
      </c>
      <c r="K39" s="18" t="n">
        <v>0</v>
      </c>
      <c r="L39" s="20" t="n">
        <v>0</v>
      </c>
      <c r="M39" s="18" t="n">
        <v>0</v>
      </c>
      <c r="N39" s="20" t="n">
        <v>0</v>
      </c>
      <c r="O39" s="18" t="n">
        <v>0</v>
      </c>
      <c r="P39" s="20" t="n">
        <v>0</v>
      </c>
      <c r="Q39" s="18" t="n">
        <v>1.41526615</v>
      </c>
      <c r="R39" s="20" t="n">
        <v>0.80777986</v>
      </c>
    </row>
    <row r="40" spans="1:18">
      <c r="A40" s="15" t="s">
        <v>600</v>
      </c>
      <c r="B40" s="17" t="n">
        <v>7235</v>
      </c>
      <c r="C40" s="18">
        <f>(6425.0/B40*100)</f>
        <v/>
      </c>
      <c r="D40" s="19" t="n">
        <v>810</v>
      </c>
      <c r="E40" s="18" t="n">
        <v>41.93926982</v>
      </c>
      <c r="F40" s="20" t="n">
        <v>2.49031907</v>
      </c>
      <c r="G40" s="18" t="n">
        <v>57.03829543</v>
      </c>
      <c r="H40" s="20" t="n">
        <v>2.50947273</v>
      </c>
      <c r="I40" s="18" t="s">
        <v>567</v>
      </c>
      <c r="J40" s="20" t="s">
        <v>567</v>
      </c>
      <c r="K40" s="18" t="n">
        <v>0.33178493</v>
      </c>
      <c r="L40" s="20" t="n">
        <v>0.44264896</v>
      </c>
      <c r="M40" s="18" t="n">
        <v>0</v>
      </c>
      <c r="N40" s="20" t="n">
        <v>0</v>
      </c>
      <c r="O40" s="18" t="n">
        <v>0</v>
      </c>
      <c r="P40" s="20" t="n">
        <v>0</v>
      </c>
      <c r="Q40" s="18" t="n">
        <v>0.69064982</v>
      </c>
      <c r="R40" s="20" t="n">
        <v>0.38086596</v>
      </c>
    </row>
    <row r="41" spans="1:18">
      <c r="A41" s="15" t="s">
        <v>601</v>
      </c>
      <c r="B41" s="17" t="n">
        <v>2858</v>
      </c>
      <c r="C41" s="18">
        <f>(2561.0/B41*100)</f>
        <v/>
      </c>
      <c r="D41" s="19" t="n">
        <v>297</v>
      </c>
      <c r="E41" s="18" t="n">
        <v>43.23577173</v>
      </c>
      <c r="F41" s="20" t="n">
        <v>2.94171722</v>
      </c>
      <c r="G41" s="18" t="n">
        <v>55.94776395</v>
      </c>
      <c r="H41" s="20" t="n">
        <v>2.96899227</v>
      </c>
      <c r="I41" s="18" t="s">
        <v>567</v>
      </c>
      <c r="J41" s="20" t="s">
        <v>567</v>
      </c>
      <c r="K41" s="18" t="n">
        <v>0.42886965</v>
      </c>
      <c r="L41" s="20" t="n">
        <v>0.43812728</v>
      </c>
      <c r="M41" s="18" t="n">
        <v>0</v>
      </c>
      <c r="N41" s="20" t="n">
        <v>0</v>
      </c>
      <c r="O41" s="18" t="n">
        <v>0</v>
      </c>
      <c r="P41" s="20" t="n">
        <v>0</v>
      </c>
      <c r="Q41" s="18" t="n">
        <v>0.38759468</v>
      </c>
      <c r="R41" s="20" t="n">
        <v>0.3930007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(9926.0/B46*100)</f>
        <v/>
      </c>
      <c r="D46" s="19" t="n">
        <v>1142</v>
      </c>
      <c r="E46" s="18" t="n">
        <v>72.20425661</v>
      </c>
      <c r="F46" s="20" t="n">
        <v>1.54093874</v>
      </c>
      <c r="G46" s="18" t="n">
        <v>24.17188142</v>
      </c>
      <c r="H46" s="20" t="n">
        <v>1.38419416</v>
      </c>
      <c r="I46" s="18" t="s">
        <v>567</v>
      </c>
      <c r="J46" s="20" t="s">
        <v>567</v>
      </c>
      <c r="K46" s="18" t="n">
        <v>1.55966423</v>
      </c>
      <c r="L46" s="20" t="n">
        <v>0.43135117</v>
      </c>
      <c r="M46" s="18" t="n">
        <v>0</v>
      </c>
      <c r="N46" s="20" t="n">
        <v>0</v>
      </c>
      <c r="O46" s="18" t="n">
        <v>0</v>
      </c>
      <c r="P46" s="20" t="n">
        <v>0</v>
      </c>
      <c r="Q46" s="18" t="n">
        <v>2.06419774</v>
      </c>
      <c r="R46" s="20" t="n">
        <v>0.54757668</v>
      </c>
    </row>
    <row r="47" spans="1:18">
      <c r="A47" s="15" t="s">
        <v>607</v>
      </c>
      <c r="B47" s="17" t="n">
        <v>3105</v>
      </c>
      <c r="C47" s="18">
        <f>(2748.0/B47*100)</f>
        <v/>
      </c>
      <c r="D47" s="19" t="n">
        <v>357</v>
      </c>
      <c r="E47" s="18" t="n">
        <v>66.89425803</v>
      </c>
      <c r="F47" s="20" t="n">
        <v>2.99403479</v>
      </c>
      <c r="G47" s="18" t="n">
        <v>29.70917415</v>
      </c>
      <c r="H47" s="20" t="n">
        <v>2.93784246</v>
      </c>
      <c r="I47" s="18" t="s">
        <v>567</v>
      </c>
      <c r="J47" s="20" t="s">
        <v>567</v>
      </c>
      <c r="K47" s="18" t="n">
        <v>0.27367728</v>
      </c>
      <c r="L47" s="20" t="n">
        <v>0.24400771</v>
      </c>
      <c r="M47" s="18" t="n">
        <v>0</v>
      </c>
      <c r="N47" s="20" t="n">
        <v>0</v>
      </c>
      <c r="O47" s="18" t="n">
        <v>0</v>
      </c>
      <c r="P47" s="20" t="n">
        <v>0</v>
      </c>
      <c r="Q47" s="18" t="n">
        <v>3.12289054</v>
      </c>
      <c r="R47" s="20" t="n">
        <v>0.93045541</v>
      </c>
    </row>
    <row r="48" spans="1:18">
      <c r="A48" s="15" t="s">
        <v>608</v>
      </c>
      <c r="B48" s="17" t="n">
        <v>5159</v>
      </c>
      <c r="C48" s="18">
        <f>(4590.0/B48*100)</f>
        <v/>
      </c>
      <c r="D48" s="19" t="n">
        <v>569</v>
      </c>
      <c r="E48" s="18" t="n">
        <v>49.31403413</v>
      </c>
      <c r="F48" s="20" t="n">
        <v>2.94479676</v>
      </c>
      <c r="G48" s="18" t="n">
        <v>49.7842179</v>
      </c>
      <c r="H48" s="20" t="n">
        <v>2.96278386</v>
      </c>
      <c r="I48" s="18" t="s">
        <v>567</v>
      </c>
      <c r="J48" s="20" t="s">
        <v>567</v>
      </c>
      <c r="K48" s="18" t="n">
        <v>0.70727041</v>
      </c>
      <c r="L48" s="20" t="n">
        <v>0.50161502</v>
      </c>
      <c r="M48" s="18" t="n">
        <v>0</v>
      </c>
      <c r="N48" s="20" t="n">
        <v>0</v>
      </c>
      <c r="O48" s="18" t="n">
        <v>0</v>
      </c>
      <c r="P48" s="20" t="n">
        <v>0</v>
      </c>
      <c r="Q48" s="18" t="n">
        <v>0.19447756</v>
      </c>
      <c r="R48" s="20" t="n">
        <v>0.19128563</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(5044.0/B50*100)</f>
        <v/>
      </c>
      <c r="D50" s="19" t="n">
        <v>593</v>
      </c>
      <c r="E50" s="18" t="n">
        <v>61.40312803</v>
      </c>
      <c r="F50" s="20" t="n">
        <v>2.6142544</v>
      </c>
      <c r="G50" s="18" t="n">
        <v>37.40221391</v>
      </c>
      <c r="H50" s="20" t="n">
        <v>2.59400983</v>
      </c>
      <c r="I50" s="18" t="s">
        <v>567</v>
      </c>
      <c r="J50" s="20" t="s">
        <v>567</v>
      </c>
      <c r="K50" s="18" t="n">
        <v>0</v>
      </c>
      <c r="L50" s="20" t="n">
        <v>0</v>
      </c>
      <c r="M50" s="18" t="n">
        <v>0</v>
      </c>
      <c r="N50" s="20" t="n">
        <v>0</v>
      </c>
      <c r="O50" s="18" t="n">
        <v>0</v>
      </c>
      <c r="P50" s="20" t="n">
        <v>0</v>
      </c>
      <c r="Q50" s="18" t="n">
        <v>1.19465806</v>
      </c>
      <c r="R50" s="20" t="n">
        <v>0.62420575</v>
      </c>
    </row>
    <row r="51" spans="1:18">
      <c r="A51" s="15" t="s">
        <v>611</v>
      </c>
      <c r="B51" s="17" t="n">
        <v>3372</v>
      </c>
      <c r="C51" s="18">
        <f>(3043.0/B51*100)</f>
        <v/>
      </c>
      <c r="D51" s="19" t="n">
        <v>329</v>
      </c>
      <c r="E51" s="18" t="n">
        <v>63.48931364</v>
      </c>
      <c r="F51" s="20" t="n">
        <v>2.97140554</v>
      </c>
      <c r="G51" s="18" t="n">
        <v>36.12771766</v>
      </c>
      <c r="H51" s="20" t="n">
        <v>2.91578779</v>
      </c>
      <c r="I51" s="18" t="s">
        <v>567</v>
      </c>
      <c r="J51" s="20" t="s">
        <v>567</v>
      </c>
      <c r="K51" s="18" t="n">
        <v>0</v>
      </c>
      <c r="L51" s="20" t="n">
        <v>0</v>
      </c>
      <c r="M51" s="18" t="n">
        <v>0</v>
      </c>
      <c r="N51" s="20" t="n">
        <v>0</v>
      </c>
      <c r="O51" s="18" t="n">
        <v>0</v>
      </c>
      <c r="P51" s="20" t="n">
        <v>0</v>
      </c>
      <c r="Q51" s="18" t="n">
        <v>0.38296869</v>
      </c>
      <c r="R51" s="20" t="n">
        <v>0.37895336</v>
      </c>
    </row>
    <row r="52" spans="1:18">
      <c r="A52" s="15" t="s">
        <v>612</v>
      </c>
      <c r="B52" s="17" t="n">
        <v>2796</v>
      </c>
      <c r="C52" s="18">
        <f>(2493.0/B52*100)</f>
        <v/>
      </c>
      <c r="D52" s="19" t="n">
        <v>303</v>
      </c>
      <c r="E52" s="18" t="n">
        <v>45.39756808</v>
      </c>
      <c r="F52" s="20" t="n">
        <v>3.10595071</v>
      </c>
      <c r="G52" s="18" t="n">
        <v>53.83984309</v>
      </c>
      <c r="H52" s="20" t="n">
        <v>3.04832825</v>
      </c>
      <c r="I52" s="18" t="s">
        <v>567</v>
      </c>
      <c r="J52" s="20" t="s">
        <v>567</v>
      </c>
      <c r="K52" s="18" t="n">
        <v>0</v>
      </c>
      <c r="L52" s="20" t="n">
        <v>0</v>
      </c>
      <c r="M52" s="18" t="n">
        <v>0</v>
      </c>
      <c r="N52" s="20" t="n">
        <v>0</v>
      </c>
      <c r="O52" s="18" t="n">
        <v>0</v>
      </c>
      <c r="P52" s="20" t="n">
        <v>0</v>
      </c>
      <c r="Q52" s="18" t="n">
        <v>0.76258883</v>
      </c>
      <c r="R52" s="20" t="n">
        <v>0.54377085</v>
      </c>
    </row>
    <row r="53" spans="1:18">
      <c r="A53" s="15" t="s">
        <v>613</v>
      </c>
      <c r="B53" s="17" t="n">
        <v>2811</v>
      </c>
      <c r="C53" s="18">
        <f>(2517.0/B53*100)</f>
        <v/>
      </c>
      <c r="D53" s="19" t="n">
        <v>294</v>
      </c>
      <c r="E53" s="18" t="n">
        <v>72.2635918</v>
      </c>
      <c r="F53" s="20" t="n">
        <v>3.02916868</v>
      </c>
      <c r="G53" s="18" t="n">
        <v>25.94466875</v>
      </c>
      <c r="H53" s="20" t="n">
        <v>2.88711693</v>
      </c>
      <c r="I53" s="18" t="s">
        <v>567</v>
      </c>
      <c r="J53" s="20" t="s">
        <v>567</v>
      </c>
      <c r="K53" s="18" t="n">
        <v>0.33394651</v>
      </c>
      <c r="L53" s="20" t="n">
        <v>0.33321038</v>
      </c>
      <c r="M53" s="18" t="n">
        <v>0</v>
      </c>
      <c r="N53" s="20" t="n">
        <v>0</v>
      </c>
      <c r="O53" s="18" t="n">
        <v>0</v>
      </c>
      <c r="P53" s="20" t="n">
        <v>0</v>
      </c>
      <c r="Q53" s="18" t="n">
        <v>1.45779294</v>
      </c>
      <c r="R53" s="20" t="n">
        <v>0.6630782</v>
      </c>
    </row>
    <row r="54" spans="1:18">
      <c r="A54" s="15" t="s">
        <v>614</v>
      </c>
      <c r="B54" s="17" t="n">
        <v>2266</v>
      </c>
      <c r="C54" s="18">
        <f>(2012.0/B54*100)</f>
        <v/>
      </c>
      <c r="D54" s="19" t="n">
        <v>254</v>
      </c>
      <c r="E54" s="18" t="n">
        <v>61.61458672</v>
      </c>
      <c r="F54" s="20" t="n">
        <v>4.36596026</v>
      </c>
      <c r="G54" s="18" t="n">
        <v>27.68846919</v>
      </c>
      <c r="H54" s="20" t="n">
        <v>3.91101754</v>
      </c>
      <c r="I54" s="18" t="s">
        <v>567</v>
      </c>
      <c r="J54" s="20" t="s">
        <v>567</v>
      </c>
      <c r="K54" s="18" t="n">
        <v>6.20597394</v>
      </c>
      <c r="L54" s="20" t="n">
        <v>1.77298142</v>
      </c>
      <c r="M54" s="18" t="n">
        <v>0</v>
      </c>
      <c r="N54" s="20" t="n">
        <v>0</v>
      </c>
      <c r="O54" s="18" t="n">
        <v>0</v>
      </c>
      <c r="P54" s="20" t="n">
        <v>0</v>
      </c>
      <c r="Q54" s="18" t="n">
        <v>4.49097015</v>
      </c>
      <c r="R54" s="20" t="n">
        <v>1.30996812</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(2388.0/B56*100)</f>
        <v/>
      </c>
      <c r="D56" s="19" t="n">
        <v>296</v>
      </c>
      <c r="E56" s="18" t="n">
        <v>50.76949444</v>
      </c>
      <c r="F56" s="20" t="n">
        <v>3.96792926</v>
      </c>
      <c r="G56" s="18" t="n">
        <v>48.77873206</v>
      </c>
      <c r="H56" s="20" t="n">
        <v>3.82814027</v>
      </c>
      <c r="I56" s="18" t="s">
        <v>567</v>
      </c>
      <c r="J56" s="20" t="s">
        <v>567</v>
      </c>
      <c r="K56" s="18" t="n">
        <v>0.4517735</v>
      </c>
      <c r="L56" s="20" t="n">
        <v>0.45148357</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(2976.0/B61*100)</f>
        <v/>
      </c>
      <c r="D61" s="19" t="n">
        <v>348</v>
      </c>
      <c r="E61" s="18" t="n">
        <v>60.84025937</v>
      </c>
      <c r="F61" s="20" t="n">
        <v>3.18416782</v>
      </c>
      <c r="G61" s="18" t="n">
        <v>38.39801174</v>
      </c>
      <c r="H61" s="20" t="n">
        <v>3.14869379</v>
      </c>
      <c r="I61" s="18" t="s">
        <v>567</v>
      </c>
      <c r="J61" s="20" t="s">
        <v>567</v>
      </c>
      <c r="K61" s="18" t="n">
        <v>0</v>
      </c>
      <c r="L61" s="20" t="n">
        <v>0</v>
      </c>
      <c r="M61" s="18" t="n">
        <v>0</v>
      </c>
      <c r="N61" s="20" t="n">
        <v>0</v>
      </c>
      <c r="O61" s="18" t="n">
        <v>0</v>
      </c>
      <c r="P61" s="20" t="n">
        <v>0</v>
      </c>
      <c r="Q61" s="18" t="n">
        <v>0.76172889</v>
      </c>
      <c r="R61" s="20" t="n">
        <v>0.45751709</v>
      </c>
    </row>
    <row r="62" spans="1:18">
      <c r="A62" s="15" t="s">
        <v>622</v>
      </c>
      <c r="B62" s="17" t="n">
        <v>2246</v>
      </c>
      <c r="C62" s="18">
        <f>(1986.0/B62*100)</f>
        <v/>
      </c>
      <c r="D62" s="19" t="n">
        <v>260</v>
      </c>
      <c r="E62" s="18" t="n">
        <v>54.26969657</v>
      </c>
      <c r="F62" s="20" t="n">
        <v>2.74419289</v>
      </c>
      <c r="G62" s="18" t="n">
        <v>45.73030343</v>
      </c>
      <c r="H62" s="20" t="n">
        <v>2.74419289</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(2575.0/B66*100)</f>
        <v/>
      </c>
      <c r="D66" s="19" t="n">
        <v>319</v>
      </c>
      <c r="E66" s="18" t="n">
        <v>66.62910015999999</v>
      </c>
      <c r="F66" s="20" t="n">
        <v>2.55757722</v>
      </c>
      <c r="G66" s="18" t="n">
        <v>30.02955325</v>
      </c>
      <c r="H66" s="20" t="n">
        <v>2.48127111</v>
      </c>
      <c r="I66" s="18" t="s">
        <v>567</v>
      </c>
      <c r="J66" s="20" t="s">
        <v>567</v>
      </c>
      <c r="K66" s="18" t="n">
        <v>1.03099617</v>
      </c>
      <c r="L66" s="20" t="n">
        <v>0.59408665</v>
      </c>
      <c r="M66" s="18" t="n">
        <v>0</v>
      </c>
      <c r="N66" s="20" t="n">
        <v>0</v>
      </c>
      <c r="O66" s="18" t="n">
        <v>0</v>
      </c>
      <c r="P66" s="20" t="n">
        <v>0</v>
      </c>
      <c r="Q66" s="18" t="n">
        <v>2.31035041</v>
      </c>
      <c r="R66" s="20" t="n">
        <v>0.69353294</v>
      </c>
    </row>
    <row r="67" spans="1:18">
      <c r="A67" s="15" t="s">
        <v>627</v>
      </c>
      <c r="B67" s="17" t="n">
        <v>3511</v>
      </c>
      <c r="C67" s="18">
        <f>(3155.0/B67*100)</f>
        <v/>
      </c>
      <c r="D67" s="19" t="n">
        <v>356</v>
      </c>
      <c r="E67" s="18" t="n">
        <v>64.14029413999999</v>
      </c>
      <c r="F67" s="20" t="n">
        <v>2.53690073</v>
      </c>
      <c r="G67" s="18" t="n">
        <v>35.45270537</v>
      </c>
      <c r="H67" s="20" t="n">
        <v>2.48304256</v>
      </c>
      <c r="I67" s="18" t="s">
        <v>567</v>
      </c>
      <c r="J67" s="20" t="s">
        <v>567</v>
      </c>
      <c r="K67" s="18" t="n">
        <v>0</v>
      </c>
      <c r="L67" s="20" t="n">
        <v>0</v>
      </c>
      <c r="M67" s="18" t="n">
        <v>0</v>
      </c>
      <c r="N67" s="20" t="n">
        <v>0</v>
      </c>
      <c r="O67" s="18" t="n">
        <v>0</v>
      </c>
      <c r="P67" s="20" t="n">
        <v>0</v>
      </c>
      <c r="Q67" s="18" t="n">
        <v>0.4070005</v>
      </c>
      <c r="R67" s="20" t="n">
        <v>0.27850256</v>
      </c>
    </row>
    <row r="68" spans="1:18">
      <c r="A68" s="15" t="s">
        <v>628</v>
      </c>
      <c r="B68" s="17" t="n">
        <v>6049</v>
      </c>
      <c r="C68" s="18">
        <f>(5346.0/B68*100)</f>
        <v/>
      </c>
      <c r="D68" s="19" t="n">
        <v>703</v>
      </c>
      <c r="E68" s="18" t="n">
        <v>62.81177219</v>
      </c>
      <c r="F68" s="20" t="n">
        <v>1.88200372</v>
      </c>
      <c r="G68" s="18" t="n">
        <v>33.7985962</v>
      </c>
      <c r="H68" s="20" t="n">
        <v>1.87212835</v>
      </c>
      <c r="I68" s="18" t="s">
        <v>567</v>
      </c>
      <c r="J68" s="20" t="s">
        <v>567</v>
      </c>
      <c r="K68" s="18" t="n">
        <v>1.24752879</v>
      </c>
      <c r="L68" s="20" t="n">
        <v>0.41678386</v>
      </c>
      <c r="M68" s="18" t="n">
        <v>0</v>
      </c>
      <c r="N68" s="20" t="n">
        <v>0</v>
      </c>
      <c r="O68" s="18" t="n">
        <v>0</v>
      </c>
      <c r="P68" s="20" t="n">
        <v>0</v>
      </c>
      <c r="Q68" s="18" t="n">
        <v>2.14210283</v>
      </c>
      <c r="R68" s="20" t="n">
        <v>0.55534379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(2614.0/B70*100)</f>
        <v/>
      </c>
      <c r="D70" s="19" t="n">
        <v>315</v>
      </c>
      <c r="E70" s="18" t="n">
        <v>66.78252162</v>
      </c>
      <c r="F70" s="20" t="n">
        <v>3.07720501</v>
      </c>
      <c r="G70" s="18" t="n">
        <v>32.77561779</v>
      </c>
      <c r="H70" s="20" t="n">
        <v>2.99185341</v>
      </c>
      <c r="I70" s="18" t="s">
        <v>567</v>
      </c>
      <c r="J70" s="20" t="s">
        <v>567</v>
      </c>
      <c r="K70" s="18" t="n">
        <v>0.21550047</v>
      </c>
      <c r="L70" s="20" t="n">
        <v>0.2159574</v>
      </c>
      <c r="M70" s="18" t="n">
        <v>0</v>
      </c>
      <c r="N70" s="20" t="n">
        <v>0</v>
      </c>
      <c r="O70" s="18" t="n">
        <v>0</v>
      </c>
      <c r="P70" s="20" t="n">
        <v>0</v>
      </c>
      <c r="Q70" s="18" t="n">
        <v>0.22636012</v>
      </c>
      <c r="R70" s="20" t="n">
        <v>0.22755409</v>
      </c>
    </row>
    <row r="71" spans="1:18">
      <c r="A71" s="15" t="s">
        <v>631</v>
      </c>
      <c r="B71" s="17" t="n">
        <v>3142</v>
      </c>
      <c r="C71" s="18">
        <f>(2826.0/B71*100)</f>
        <v/>
      </c>
      <c r="D71" s="19" t="n">
        <v>316</v>
      </c>
      <c r="E71" s="18" t="n">
        <v>50.58490142</v>
      </c>
      <c r="F71" s="20" t="n">
        <v>2.46794084</v>
      </c>
      <c r="G71" s="18" t="n">
        <v>48.94320652</v>
      </c>
      <c r="H71" s="20" t="n">
        <v>2.5294076</v>
      </c>
      <c r="I71" s="18" t="s">
        <v>567</v>
      </c>
      <c r="J71" s="20" t="s">
        <v>567</v>
      </c>
      <c r="K71" s="18" t="n">
        <v>0.47189206</v>
      </c>
      <c r="L71" s="20" t="n">
        <v>0.34259444</v>
      </c>
      <c r="M71" s="18" t="n">
        <v>0</v>
      </c>
      <c r="N71" s="20" t="n">
        <v>0</v>
      </c>
      <c r="O71" s="18" t="n">
        <v>0</v>
      </c>
      <c r="P71" s="20" t="n">
        <v>0</v>
      </c>
      <c r="Q71" s="18" t="n">
        <v>0</v>
      </c>
      <c r="R71" s="20" t="n">
        <v>0</v>
      </c>
    </row>
    <row r="72" spans="1:18">
      <c r="A72" s="15" t="s">
        <v>632</v>
      </c>
      <c r="B72" s="17" t="n">
        <v>3889</v>
      </c>
      <c r="C72" s="18">
        <f>(3460.0/B72*100)</f>
        <v/>
      </c>
      <c r="D72" s="19" t="n">
        <v>429</v>
      </c>
      <c r="E72" s="18" t="n">
        <v>60.42945678</v>
      </c>
      <c r="F72" s="20" t="n">
        <v>2.35852622</v>
      </c>
      <c r="G72" s="18" t="n">
        <v>38.68729924</v>
      </c>
      <c r="H72" s="20" t="n">
        <v>2.28774288</v>
      </c>
      <c r="I72" s="18" t="s">
        <v>567</v>
      </c>
      <c r="J72" s="20" t="s">
        <v>567</v>
      </c>
      <c r="K72" s="18" t="n">
        <v>0.15817116</v>
      </c>
      <c r="L72" s="20" t="n">
        <v>0.16255288</v>
      </c>
      <c r="M72" s="18" t="n">
        <v>0</v>
      </c>
      <c r="N72" s="20" t="n">
        <v>0</v>
      </c>
      <c r="O72" s="18" t="n">
        <v>0</v>
      </c>
      <c r="P72" s="20" t="n">
        <v>0</v>
      </c>
      <c r="Q72" s="18" t="n">
        <v>0.72507281</v>
      </c>
      <c r="R72" s="20" t="n">
        <v>0.42448967</v>
      </c>
    </row>
    <row r="73" spans="1:18">
      <c r="A73" s="15" t="s">
        <v>633</v>
      </c>
      <c r="B73" s="17" t="n">
        <v>3597</v>
      </c>
      <c r="C73" s="18">
        <f>(3187.0/B73*100)</f>
        <v/>
      </c>
      <c r="D73" s="19" t="n">
        <v>410</v>
      </c>
      <c r="E73" s="18" t="n">
        <v>74.85264957</v>
      </c>
      <c r="F73" s="20" t="n">
        <v>2.58442916</v>
      </c>
      <c r="G73" s="18" t="n">
        <v>24.17308556</v>
      </c>
      <c r="H73" s="20" t="n">
        <v>2.54026824</v>
      </c>
      <c r="I73" s="18" t="s">
        <v>567</v>
      </c>
      <c r="J73" s="20" t="s">
        <v>567</v>
      </c>
      <c r="K73" s="18" t="n">
        <v>0.5144496</v>
      </c>
      <c r="L73" s="20" t="n">
        <v>0.38125544</v>
      </c>
      <c r="M73" s="18" t="n">
        <v>0</v>
      </c>
      <c r="N73" s="20" t="n">
        <v>0</v>
      </c>
      <c r="O73" s="18" t="n">
        <v>0</v>
      </c>
      <c r="P73" s="20" t="n">
        <v>0</v>
      </c>
      <c r="Q73" s="18" t="n">
        <v>0.45981527</v>
      </c>
      <c r="R73" s="20" t="n">
        <v>0.36657344</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(2148.0/B75*100)</f>
        <v/>
      </c>
      <c r="D75" s="19" t="n">
        <v>258</v>
      </c>
      <c r="E75" s="18" t="n">
        <v>72.08526397</v>
      </c>
      <c r="F75" s="20" t="n">
        <v>3.02477563</v>
      </c>
      <c r="G75" s="18" t="n">
        <v>25.23854155</v>
      </c>
      <c r="H75" s="20" t="n">
        <v>2.94034263</v>
      </c>
      <c r="I75" s="18" t="s">
        <v>567</v>
      </c>
      <c r="J75" s="20" t="s">
        <v>567</v>
      </c>
      <c r="K75" s="18" t="n">
        <v>1.9084622</v>
      </c>
      <c r="L75" s="20" t="n">
        <v>1.02398455</v>
      </c>
      <c r="M75" s="18" t="n">
        <v>0</v>
      </c>
      <c r="N75" s="20" t="n">
        <v>0</v>
      </c>
      <c r="O75" s="18" t="n">
        <v>0</v>
      </c>
      <c r="P75" s="20" t="n">
        <v>0</v>
      </c>
      <c r="Q75" s="18" t="n">
        <v>0.76773227</v>
      </c>
      <c r="R75" s="20" t="n">
        <v>0.43614413</v>
      </c>
    </row>
    <row r="76" spans="1:18">
      <c r="A76" s="15" t="s">
        <v>636</v>
      </c>
      <c r="B76" s="17" t="n">
        <v>7052</v>
      </c>
      <c r="C76" s="18">
        <f>(6269.0/B76*100)</f>
        <v/>
      </c>
      <c r="D76" s="19" t="n">
        <v>783</v>
      </c>
      <c r="E76" s="18" t="n">
        <v>63.47503864</v>
      </c>
      <c r="F76" s="20" t="n">
        <v>1.80630493</v>
      </c>
      <c r="G76" s="18" t="n">
        <v>33.29515508</v>
      </c>
      <c r="H76" s="20" t="n">
        <v>1.75067185</v>
      </c>
      <c r="I76" s="18" t="s">
        <v>567</v>
      </c>
      <c r="J76" s="20" t="s">
        <v>567</v>
      </c>
      <c r="K76" s="18" t="n">
        <v>0.76093204</v>
      </c>
      <c r="L76" s="20" t="n">
        <v>0.34188821</v>
      </c>
      <c r="M76" s="18" t="n">
        <v>0</v>
      </c>
      <c r="N76" s="20" t="n">
        <v>0</v>
      </c>
      <c r="O76" s="18" t="n">
        <v>0</v>
      </c>
      <c r="P76" s="20" t="n">
        <v>0</v>
      </c>
      <c r="Q76" s="18" t="n">
        <v>2.46887424</v>
      </c>
      <c r="R76" s="20" t="n">
        <v>0.68299866</v>
      </c>
    </row>
    <row r="77" spans="1:18">
      <c r="A77" s="15" t="s">
        <v>637</v>
      </c>
      <c r="B77" s="17" t="n">
        <v>2908</v>
      </c>
      <c r="C77" s="18">
        <f>(2589.0/B77*100)</f>
        <v/>
      </c>
      <c r="D77" s="19" t="n">
        <v>319</v>
      </c>
      <c r="E77" s="18" t="n">
        <v>60.15826184</v>
      </c>
      <c r="F77" s="20" t="n">
        <v>3.01420093</v>
      </c>
      <c r="G77" s="18" t="n">
        <v>36.22280819</v>
      </c>
      <c r="H77" s="20" t="n">
        <v>2.74612818</v>
      </c>
      <c r="I77" s="18" t="s">
        <v>567</v>
      </c>
      <c r="J77" s="20" t="s">
        <v>567</v>
      </c>
      <c r="K77" s="18" t="n">
        <v>1.1516364</v>
      </c>
      <c r="L77" s="20" t="n">
        <v>0.5749954900000001</v>
      </c>
      <c r="M77" s="18" t="n">
        <v>0</v>
      </c>
      <c r="N77" s="20" t="n">
        <v>0</v>
      </c>
      <c r="O77" s="18" t="n">
        <v>0</v>
      </c>
      <c r="P77" s="20" t="n">
        <v>0</v>
      </c>
      <c r="Q77" s="18" t="n">
        <v>2.46729358</v>
      </c>
      <c r="R77" s="20" t="n">
        <v>0.95653082</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(3714.0/B81*100)</f>
        <v/>
      </c>
      <c r="D81" s="19" t="n">
        <v>449</v>
      </c>
      <c r="E81" s="18" t="n">
        <v>58.99696877</v>
      </c>
      <c r="F81" s="20" t="n">
        <v>3.12251798</v>
      </c>
      <c r="G81" s="18" t="n">
        <v>41.00303123</v>
      </c>
      <c r="H81" s="20" t="n">
        <v>3.12251798</v>
      </c>
      <c r="I81" s="18" t="s">
        <v>567</v>
      </c>
      <c r="J81" s="20" t="s">
        <v>567</v>
      </c>
      <c r="K81" s="18" t="n">
        <v>0</v>
      </c>
      <c r="L81" s="20" t="n">
        <v>0</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(6550.0/B7*100)</f>
        <v/>
      </c>
      <c r="D7" s="19" t="n">
        <v>817</v>
      </c>
      <c r="E7" s="18" t="n">
        <v>49.06478878</v>
      </c>
      <c r="F7" s="20" t="n">
        <v>2.04888566</v>
      </c>
      <c r="G7" s="18" t="n">
        <v>49.42822068</v>
      </c>
      <c r="H7" s="20" t="n">
        <v>2.12046407</v>
      </c>
      <c r="I7" s="18" t="s">
        <v>567</v>
      </c>
      <c r="J7" s="20" t="s">
        <v>567</v>
      </c>
      <c r="K7" s="18" t="n">
        <v>0.36041495</v>
      </c>
      <c r="L7" s="20" t="n">
        <v>0.23455738</v>
      </c>
      <c r="M7" s="18" t="n">
        <v>0</v>
      </c>
      <c r="N7" s="20" t="n">
        <v>0</v>
      </c>
      <c r="O7" s="18" t="n">
        <v>0</v>
      </c>
      <c r="P7" s="20" t="n">
        <v>0</v>
      </c>
      <c r="Q7" s="18" t="n">
        <v>1.14657559</v>
      </c>
      <c r="R7" s="20" t="n">
        <v>0.43326658</v>
      </c>
    </row>
    <row r="8" spans="1:18">
      <c r="A8" s="15" t="s">
        <v>568</v>
      </c>
      <c r="B8" s="17" t="n">
        <v>3564</v>
      </c>
      <c r="C8" s="18">
        <f>(3182.0/B8*100)</f>
        <v/>
      </c>
      <c r="D8" s="19" t="n">
        <v>382</v>
      </c>
      <c r="E8" s="18" t="n">
        <v>55.75863294</v>
      </c>
      <c r="F8" s="20" t="n">
        <v>2.60454728</v>
      </c>
      <c r="G8" s="18" t="n">
        <v>43.50513446</v>
      </c>
      <c r="H8" s="20" t="n">
        <v>2.56118782</v>
      </c>
      <c r="I8" s="18" t="s">
        <v>567</v>
      </c>
      <c r="J8" s="20" t="s">
        <v>567</v>
      </c>
      <c r="K8" s="18" t="n">
        <v>0</v>
      </c>
      <c r="L8" s="20" t="n">
        <v>0</v>
      </c>
      <c r="M8" s="18" t="n">
        <v>0</v>
      </c>
      <c r="N8" s="20" t="n">
        <v>0</v>
      </c>
      <c r="O8" s="18" t="n">
        <v>0</v>
      </c>
      <c r="P8" s="20" t="n">
        <v>0</v>
      </c>
      <c r="Q8" s="18" t="n">
        <v>0.7362326</v>
      </c>
      <c r="R8" s="20" t="n">
        <v>0.492147</v>
      </c>
    </row>
    <row r="9" spans="1:18">
      <c r="A9" s="15" t="s">
        <v>569</v>
      </c>
      <c r="B9" s="17" t="n">
        <v>4899</v>
      </c>
      <c r="C9" s="18">
        <f>(4222.0/B9*100)</f>
        <v/>
      </c>
      <c r="D9" s="19" t="n">
        <v>677</v>
      </c>
      <c r="E9" s="18" t="n">
        <v>57.87158726</v>
      </c>
      <c r="F9" s="20" t="n">
        <v>2.28861753</v>
      </c>
      <c r="G9" s="18" t="n">
        <v>39.9951323</v>
      </c>
      <c r="H9" s="20" t="n">
        <v>2.44396233</v>
      </c>
      <c r="I9" s="18" t="s">
        <v>567</v>
      </c>
      <c r="J9" s="20" t="s">
        <v>567</v>
      </c>
      <c r="K9" s="18" t="n">
        <v>1.18967686</v>
      </c>
      <c r="L9" s="20" t="n">
        <v>0.60675583</v>
      </c>
      <c r="M9" s="18" t="n">
        <v>0</v>
      </c>
      <c r="N9" s="20" t="n">
        <v>0</v>
      </c>
      <c r="O9" s="18" t="n">
        <v>0</v>
      </c>
      <c r="P9" s="20" t="n">
        <v>0</v>
      </c>
      <c r="Q9" s="18" t="n">
        <v>0.94360358</v>
      </c>
      <c r="R9" s="20" t="n">
        <v>0.3909003</v>
      </c>
    </row>
    <row r="10" spans="1:18">
      <c r="A10" s="15" t="s">
        <v>570</v>
      </c>
      <c r="B10" s="17" t="n">
        <v>10036</v>
      </c>
      <c r="C10" s="18">
        <f>(8961.0/B10*100)</f>
        <v/>
      </c>
      <c r="D10" s="19" t="n">
        <v>1075</v>
      </c>
      <c r="E10" s="18" t="n">
        <v>50.12359992</v>
      </c>
      <c r="F10" s="20" t="n">
        <v>2.36104394</v>
      </c>
      <c r="G10" s="18" t="n">
        <v>49.01398631</v>
      </c>
      <c r="H10" s="20" t="n">
        <v>2.37782696</v>
      </c>
      <c r="I10" s="18" t="s">
        <v>567</v>
      </c>
      <c r="J10" s="20" t="s">
        <v>567</v>
      </c>
      <c r="K10" s="18" t="n">
        <v>0</v>
      </c>
      <c r="L10" s="20" t="n">
        <v>0</v>
      </c>
      <c r="M10" s="18" t="n">
        <v>0</v>
      </c>
      <c r="N10" s="20" t="n">
        <v>0</v>
      </c>
      <c r="O10" s="18" t="n">
        <v>0</v>
      </c>
      <c r="P10" s="20" t="n">
        <v>0</v>
      </c>
      <c r="Q10" s="18" t="n">
        <v>0.86241376</v>
      </c>
      <c r="R10" s="20" t="n">
        <v>0.39118604</v>
      </c>
    </row>
    <row r="11" spans="1:18">
      <c r="A11" s="15" t="s">
        <v>571</v>
      </c>
      <c r="B11" s="17" t="n">
        <v>3553</v>
      </c>
      <c r="C11" s="18">
        <f>(3138.0/B11*100)</f>
        <v/>
      </c>
      <c r="D11" s="19" t="n">
        <v>415</v>
      </c>
      <c r="E11" s="18" t="n">
        <v>53.22970668</v>
      </c>
      <c r="F11" s="20" t="n">
        <v>2.78069171</v>
      </c>
      <c r="G11" s="18" t="n">
        <v>44.20720808</v>
      </c>
      <c r="H11" s="20" t="n">
        <v>2.71936455</v>
      </c>
      <c r="I11" s="18" t="s">
        <v>567</v>
      </c>
      <c r="J11" s="20" t="s">
        <v>567</v>
      </c>
      <c r="K11" s="18" t="n">
        <v>0.90426208</v>
      </c>
      <c r="L11" s="20" t="n">
        <v>0.49239714</v>
      </c>
      <c r="M11" s="18" t="n">
        <v>0</v>
      </c>
      <c r="N11" s="20" t="n">
        <v>0</v>
      </c>
      <c r="O11" s="18" t="n">
        <v>0</v>
      </c>
      <c r="P11" s="20" t="n">
        <v>0</v>
      </c>
      <c r="Q11" s="18" t="n">
        <v>1.65882316</v>
      </c>
      <c r="R11" s="20" t="n">
        <v>0.68134289</v>
      </c>
    </row>
    <row r="12" spans="1:18">
      <c r="A12" s="15" t="s">
        <v>572</v>
      </c>
      <c r="B12" s="17" t="n">
        <v>3472</v>
      </c>
      <c r="C12" s="18">
        <f>(3015.0/B12*100)</f>
        <v/>
      </c>
      <c r="D12" s="19" t="n">
        <v>457</v>
      </c>
      <c r="E12" s="18" t="n">
        <v>54.94547232</v>
      </c>
      <c r="F12" s="20" t="n">
        <v>3.05881556</v>
      </c>
      <c r="G12" s="18" t="n">
        <v>41.9791989</v>
      </c>
      <c r="H12" s="20" t="n">
        <v>3.21643939</v>
      </c>
      <c r="I12" s="18" t="s">
        <v>567</v>
      </c>
      <c r="J12" s="20" t="s">
        <v>567</v>
      </c>
      <c r="K12" s="18" t="n">
        <v>1.16028708</v>
      </c>
      <c r="L12" s="20" t="n">
        <v>0.65574548</v>
      </c>
      <c r="M12" s="18" t="n">
        <v>0</v>
      </c>
      <c r="N12" s="20" t="n">
        <v>0</v>
      </c>
      <c r="O12" s="18" t="n">
        <v>0</v>
      </c>
      <c r="P12" s="20" t="n">
        <v>0</v>
      </c>
      <c r="Q12" s="18" t="n">
        <v>1.91504169</v>
      </c>
      <c r="R12" s="20" t="n">
        <v>0.88179069</v>
      </c>
    </row>
    <row r="13" spans="1:18">
      <c r="A13" s="15" t="s">
        <v>573</v>
      </c>
      <c r="B13" s="17" t="n">
        <v>3559</v>
      </c>
      <c r="C13" s="18">
        <f>(2982.0/B13*100)</f>
        <v/>
      </c>
      <c r="D13" s="19" t="n">
        <v>577</v>
      </c>
      <c r="E13" s="18" t="n">
        <v>64.45001884</v>
      </c>
      <c r="F13" s="20" t="n">
        <v>2.76349392</v>
      </c>
      <c r="G13" s="18" t="n">
        <v>34.47816019</v>
      </c>
      <c r="H13" s="20" t="n">
        <v>2.7758168</v>
      </c>
      <c r="I13" s="18" t="s">
        <v>567</v>
      </c>
      <c r="J13" s="20" t="s">
        <v>567</v>
      </c>
      <c r="K13" s="18" t="n">
        <v>0.81698715</v>
      </c>
      <c r="L13" s="20" t="n">
        <v>0.33060961</v>
      </c>
      <c r="M13" s="18" t="n">
        <v>0</v>
      </c>
      <c r="N13" s="20" t="n">
        <v>0</v>
      </c>
      <c r="O13" s="18" t="n">
        <v>0</v>
      </c>
      <c r="P13" s="20" t="n">
        <v>0</v>
      </c>
      <c r="Q13" s="18" t="n">
        <v>0.25483382</v>
      </c>
      <c r="R13" s="20" t="n">
        <v>0.13693308</v>
      </c>
    </row>
    <row r="14" spans="1:18">
      <c r="A14" s="15" t="s">
        <v>574</v>
      </c>
      <c r="B14" s="17" t="n">
        <v>2799</v>
      </c>
      <c r="C14" s="18">
        <f>(2488.0/B14*100)</f>
        <v/>
      </c>
      <c r="D14" s="19" t="n">
        <v>311</v>
      </c>
      <c r="E14" s="18" t="n">
        <v>41.27679455</v>
      </c>
      <c r="F14" s="20" t="n">
        <v>2.98958202</v>
      </c>
      <c r="G14" s="18" t="n">
        <v>58.72320545</v>
      </c>
      <c r="H14" s="20" t="n">
        <v>2.98958202</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(2650.0/B15*100)</f>
        <v/>
      </c>
      <c r="D15" s="19" t="n">
        <v>369</v>
      </c>
      <c r="E15" s="18" t="n">
        <v>48.32456701</v>
      </c>
      <c r="F15" s="20" t="n">
        <v>3.2239633</v>
      </c>
      <c r="G15" s="18" t="n">
        <v>49.38291567</v>
      </c>
      <c r="H15" s="20" t="n">
        <v>3.44182177</v>
      </c>
      <c r="I15" s="18" t="s">
        <v>567</v>
      </c>
      <c r="J15" s="20" t="s">
        <v>567</v>
      </c>
      <c r="K15" s="18" t="n">
        <v>0.50498147</v>
      </c>
      <c r="L15" s="20" t="n">
        <v>0.46958085</v>
      </c>
      <c r="M15" s="18" t="n">
        <v>0</v>
      </c>
      <c r="N15" s="20" t="n">
        <v>0</v>
      </c>
      <c r="O15" s="18" t="n">
        <v>0</v>
      </c>
      <c r="P15" s="20" t="n">
        <v>0</v>
      </c>
      <c r="Q15" s="18" t="n">
        <v>1.78753585</v>
      </c>
      <c r="R15" s="20" t="n">
        <v>0.81008992</v>
      </c>
    </row>
    <row r="16" spans="1:18">
      <c r="A16" s="15" t="s">
        <v>576</v>
      </c>
      <c r="B16" s="17" t="n">
        <v>2997</v>
      </c>
      <c r="C16" s="18">
        <f>(2667.0/B16*100)</f>
        <v/>
      </c>
      <c r="D16" s="19" t="n">
        <v>330</v>
      </c>
      <c r="E16" s="18" t="n">
        <v>45.75993892</v>
      </c>
      <c r="F16" s="20" t="n">
        <v>2.99606701</v>
      </c>
      <c r="G16" s="18" t="n">
        <v>52.69978626</v>
      </c>
      <c r="H16" s="20" t="n">
        <v>2.90998644</v>
      </c>
      <c r="I16" s="18" t="s">
        <v>567</v>
      </c>
      <c r="J16" s="20" t="s">
        <v>567</v>
      </c>
      <c r="K16" s="18" t="n">
        <v>0.31572626</v>
      </c>
      <c r="L16" s="20" t="n">
        <v>0.22196333</v>
      </c>
      <c r="M16" s="18" t="n">
        <v>0</v>
      </c>
      <c r="N16" s="20" t="n">
        <v>0</v>
      </c>
      <c r="O16" s="18" t="n">
        <v>0</v>
      </c>
      <c r="P16" s="20" t="n">
        <v>0</v>
      </c>
      <c r="Q16" s="18" t="n">
        <v>1.22454856</v>
      </c>
      <c r="R16" s="20" t="n">
        <v>0.57526413</v>
      </c>
    </row>
    <row r="17" spans="1:18">
      <c r="A17" s="15" t="s">
        <v>577</v>
      </c>
      <c r="B17" s="17" t="n">
        <v>3307</v>
      </c>
      <c r="C17" s="18">
        <f>(2844.0/B17*100)</f>
        <v/>
      </c>
      <c r="D17" s="19" t="n">
        <v>463</v>
      </c>
      <c r="E17" s="18" t="n">
        <v>59.75279749</v>
      </c>
      <c r="F17" s="20" t="n">
        <v>3.05548368</v>
      </c>
      <c r="G17" s="18" t="n">
        <v>35.05508111</v>
      </c>
      <c r="H17" s="20" t="n">
        <v>2.7331343</v>
      </c>
      <c r="I17" s="18" t="s">
        <v>567</v>
      </c>
      <c r="J17" s="20" t="s">
        <v>567</v>
      </c>
      <c r="K17" s="18" t="n">
        <v>1.74713074</v>
      </c>
      <c r="L17" s="20" t="n">
        <v>0.80174111</v>
      </c>
      <c r="M17" s="18" t="n">
        <v>0</v>
      </c>
      <c r="N17" s="20" t="n">
        <v>0</v>
      </c>
      <c r="O17" s="18" t="n">
        <v>0</v>
      </c>
      <c r="P17" s="20" t="n">
        <v>0</v>
      </c>
      <c r="Q17" s="18" t="n">
        <v>3.44499065</v>
      </c>
      <c r="R17" s="20" t="n">
        <v>0.9735143000000001</v>
      </c>
    </row>
    <row r="18" spans="1:18">
      <c r="A18" s="15" t="s">
        <v>578</v>
      </c>
      <c r="B18" s="17" t="n">
        <v>2826</v>
      </c>
      <c r="C18" s="18">
        <f>(2503.0/B18*100)</f>
        <v/>
      </c>
      <c r="D18" s="19" t="n">
        <v>323</v>
      </c>
      <c r="E18" s="18" t="n">
        <v>56.62210519</v>
      </c>
      <c r="F18" s="20" t="n">
        <v>3.22479501</v>
      </c>
      <c r="G18" s="18" t="n">
        <v>41.59296769</v>
      </c>
      <c r="H18" s="20" t="n">
        <v>3.11790537</v>
      </c>
      <c r="I18" s="18" t="s">
        <v>567</v>
      </c>
      <c r="J18" s="20" t="s">
        <v>567</v>
      </c>
      <c r="K18" s="18" t="n">
        <v>0.66384166</v>
      </c>
      <c r="L18" s="20" t="n">
        <v>0.47371675</v>
      </c>
      <c r="M18" s="18" t="n">
        <v>0</v>
      </c>
      <c r="N18" s="20" t="n">
        <v>0</v>
      </c>
      <c r="O18" s="18" t="n">
        <v>0</v>
      </c>
      <c r="P18" s="20" t="n">
        <v>0</v>
      </c>
      <c r="Q18" s="18" t="n">
        <v>1.12108546</v>
      </c>
      <c r="R18" s="20" t="n">
        <v>0.68211394</v>
      </c>
    </row>
    <row r="19" spans="1:18">
      <c r="A19" s="15" t="s">
        <v>579</v>
      </c>
      <c r="B19" s="17" t="n">
        <v>2808</v>
      </c>
      <c r="C19" s="18">
        <f>(2517.0/B19*100)</f>
        <v/>
      </c>
      <c r="D19" s="19" t="n">
        <v>291</v>
      </c>
      <c r="E19" s="18" t="n">
        <v>53.88219044</v>
      </c>
      <c r="F19" s="20" t="n">
        <v>3.6536897</v>
      </c>
      <c r="G19" s="18" t="n">
        <v>44.75246598</v>
      </c>
      <c r="H19" s="20" t="n">
        <v>3.63806384</v>
      </c>
      <c r="I19" s="18" t="s">
        <v>567</v>
      </c>
      <c r="J19" s="20" t="s">
        <v>567</v>
      </c>
      <c r="K19" s="18" t="n">
        <v>0</v>
      </c>
      <c r="L19" s="20" t="n">
        <v>0</v>
      </c>
      <c r="M19" s="18" t="n">
        <v>0</v>
      </c>
      <c r="N19" s="20" t="n">
        <v>0</v>
      </c>
      <c r="O19" s="18" t="n">
        <v>0</v>
      </c>
      <c r="P19" s="20" t="n">
        <v>0</v>
      </c>
      <c r="Q19" s="18" t="n">
        <v>1.36534359</v>
      </c>
      <c r="R19" s="20" t="n">
        <v>0.8580678900000001</v>
      </c>
    </row>
    <row r="20" spans="1:18">
      <c r="A20" s="15" t="s">
        <v>580</v>
      </c>
      <c r="B20" s="17" t="n">
        <v>1630</v>
      </c>
      <c r="C20" s="18">
        <f>(1464.0/B20*100)</f>
        <v/>
      </c>
      <c r="D20" s="19" t="n">
        <v>166</v>
      </c>
      <c r="E20" s="18" t="n">
        <v>60.75125434</v>
      </c>
      <c r="F20" s="20" t="n">
        <v>3.99563093</v>
      </c>
      <c r="G20" s="18" t="n">
        <v>37.93302014</v>
      </c>
      <c r="H20" s="20" t="n">
        <v>4.05551864</v>
      </c>
      <c r="I20" s="18" t="s">
        <v>567</v>
      </c>
      <c r="J20" s="20" t="s">
        <v>567</v>
      </c>
      <c r="K20" s="18" t="n">
        <v>0</v>
      </c>
      <c r="L20" s="20" t="n">
        <v>0</v>
      </c>
      <c r="M20" s="18" t="n">
        <v>0</v>
      </c>
      <c r="N20" s="20" t="n">
        <v>0</v>
      </c>
      <c r="O20" s="18" t="n">
        <v>0</v>
      </c>
      <c r="P20" s="20" t="n">
        <v>0</v>
      </c>
      <c r="Q20" s="18" t="n">
        <v>1.31572551</v>
      </c>
      <c r="R20" s="20" t="n">
        <v>0.92392586</v>
      </c>
    </row>
    <row r="21" spans="1:18">
      <c r="A21" s="15" t="s">
        <v>581</v>
      </c>
      <c r="B21" s="17" t="n">
        <v>2908</v>
      </c>
      <c r="C21" s="18">
        <f>(2606.0/B21*100)</f>
        <v/>
      </c>
      <c r="D21" s="19" t="n">
        <v>302</v>
      </c>
      <c r="E21" s="18" t="n">
        <v>56.04176009</v>
      </c>
      <c r="F21" s="20" t="n">
        <v>3.05456945</v>
      </c>
      <c r="G21" s="18" t="n">
        <v>43.23365882</v>
      </c>
      <c r="H21" s="20" t="n">
        <v>3.15829311</v>
      </c>
      <c r="I21" s="18" t="s">
        <v>567</v>
      </c>
      <c r="J21" s="20" t="s">
        <v>567</v>
      </c>
      <c r="K21" s="18" t="n">
        <v>0</v>
      </c>
      <c r="L21" s="20" t="n">
        <v>0</v>
      </c>
      <c r="M21" s="18" t="n">
        <v>0</v>
      </c>
      <c r="N21" s="20" t="n">
        <v>0</v>
      </c>
      <c r="O21" s="18" t="n">
        <v>0</v>
      </c>
      <c r="P21" s="20" t="n">
        <v>0</v>
      </c>
      <c r="Q21" s="18" t="n">
        <v>0.72458109</v>
      </c>
      <c r="R21" s="20" t="n">
        <v>0.45589044</v>
      </c>
    </row>
    <row r="22" spans="1:18">
      <c r="A22" s="15" t="s">
        <v>582</v>
      </c>
      <c r="B22" s="17" t="n">
        <v>2931</v>
      </c>
      <c r="C22" s="18">
        <f>(2582.0/B22*100)</f>
        <v/>
      </c>
      <c r="D22" s="19" t="n">
        <v>349</v>
      </c>
      <c r="E22" s="18" t="n">
        <v>54.69257956</v>
      </c>
      <c r="F22" s="20" t="n">
        <v>2.75549871</v>
      </c>
      <c r="G22" s="18" t="n">
        <v>43.66622929</v>
      </c>
      <c r="H22" s="20" t="n">
        <v>2.76794859</v>
      </c>
      <c r="I22" s="18" t="s">
        <v>567</v>
      </c>
      <c r="J22" s="20" t="s">
        <v>567</v>
      </c>
      <c r="K22" s="18" t="n">
        <v>0</v>
      </c>
      <c r="L22" s="20" t="n">
        <v>0</v>
      </c>
      <c r="M22" s="18" t="n">
        <v>0</v>
      </c>
      <c r="N22" s="20" t="n">
        <v>0</v>
      </c>
      <c r="O22" s="18" t="n">
        <v>0</v>
      </c>
      <c r="P22" s="20" t="n">
        <v>0</v>
      </c>
      <c r="Q22" s="18" t="n">
        <v>1.64119115</v>
      </c>
      <c r="R22" s="20" t="n">
        <v>0.48387886</v>
      </c>
    </row>
    <row r="23" spans="1:18">
      <c r="A23" s="15" t="s">
        <v>583</v>
      </c>
      <c r="B23" s="17" t="n">
        <v>5791</v>
      </c>
      <c r="C23" s="18">
        <f>(5160.0/B23*100)</f>
        <v/>
      </c>
      <c r="D23" s="19" t="n">
        <v>631</v>
      </c>
      <c r="E23" s="18" t="n">
        <v>37.41637673</v>
      </c>
      <c r="F23" s="20" t="n">
        <v>2.52233502</v>
      </c>
      <c r="G23" s="18" t="n">
        <v>61.8655238</v>
      </c>
      <c r="H23" s="20" t="n">
        <v>2.511825</v>
      </c>
      <c r="I23" s="18" t="s">
        <v>567</v>
      </c>
      <c r="J23" s="20" t="s">
        <v>567</v>
      </c>
      <c r="K23" s="18" t="n">
        <v>0.10793747</v>
      </c>
      <c r="L23" s="20" t="n">
        <v>0.10699458</v>
      </c>
      <c r="M23" s="18" t="n">
        <v>0</v>
      </c>
      <c r="N23" s="20" t="n">
        <v>0</v>
      </c>
      <c r="O23" s="18" t="n">
        <v>0</v>
      </c>
      <c r="P23" s="20" t="n">
        <v>0</v>
      </c>
      <c r="Q23" s="18" t="n">
        <v>0.610162</v>
      </c>
      <c r="R23" s="20" t="n">
        <v>0.36690661</v>
      </c>
    </row>
    <row r="24" spans="1:18">
      <c r="A24" s="15" t="s">
        <v>584</v>
      </c>
      <c r="B24" s="17" t="n">
        <v>3338</v>
      </c>
      <c r="C24" s="18">
        <f>(2959.0/B24*100)</f>
        <v/>
      </c>
      <c r="D24" s="19" t="n">
        <v>379</v>
      </c>
      <c r="E24" s="18" t="n">
        <v>48.28057169</v>
      </c>
      <c r="F24" s="20" t="n">
        <v>3.06206519</v>
      </c>
      <c r="G24" s="18" t="n">
        <v>51.18666658</v>
      </c>
      <c r="H24" s="20" t="n">
        <v>3.10880699</v>
      </c>
      <c r="I24" s="18" t="s">
        <v>567</v>
      </c>
      <c r="J24" s="20" t="s">
        <v>567</v>
      </c>
      <c r="K24" s="18" t="n">
        <v>0.25525835</v>
      </c>
      <c r="L24" s="20" t="n">
        <v>0.25821211</v>
      </c>
      <c r="M24" s="18" t="n">
        <v>0</v>
      </c>
      <c r="N24" s="20" t="n">
        <v>0</v>
      </c>
      <c r="O24" s="18" t="n">
        <v>0</v>
      </c>
      <c r="P24" s="20" t="n">
        <v>0</v>
      </c>
      <c r="Q24" s="18" t="n">
        <v>0.27750338</v>
      </c>
      <c r="R24" s="20" t="n">
        <v>0.26529795</v>
      </c>
    </row>
    <row r="25" spans="1:18">
      <c r="A25" s="15" t="s">
        <v>585</v>
      </c>
      <c r="B25" s="17" t="n">
        <v>2912</v>
      </c>
      <c r="C25" s="18">
        <f>(2597.0/B25*100)</f>
        <v/>
      </c>
      <c r="D25" s="19" t="n">
        <v>315</v>
      </c>
      <c r="E25" s="18" t="n">
        <v>57.82850685</v>
      </c>
      <c r="F25" s="20" t="n">
        <v>2.69119046</v>
      </c>
      <c r="G25" s="18" t="n">
        <v>41.1782506</v>
      </c>
      <c r="H25" s="20" t="n">
        <v>2.48304867</v>
      </c>
      <c r="I25" s="18" t="s">
        <v>567</v>
      </c>
      <c r="J25" s="20" t="s">
        <v>567</v>
      </c>
      <c r="K25" s="18" t="n">
        <v>0</v>
      </c>
      <c r="L25" s="20" t="n">
        <v>0</v>
      </c>
      <c r="M25" s="18" t="n">
        <v>0</v>
      </c>
      <c r="N25" s="20" t="n">
        <v>0</v>
      </c>
      <c r="O25" s="18" t="n">
        <v>0</v>
      </c>
      <c r="P25" s="20" t="n">
        <v>0</v>
      </c>
      <c r="Q25" s="18" t="n">
        <v>0.9932425499999999</v>
      </c>
      <c r="R25" s="20" t="n">
        <v>0.55268903</v>
      </c>
    </row>
    <row r="26" spans="1:18">
      <c r="A26" s="15" t="s">
        <v>586</v>
      </c>
      <c r="B26" s="17" t="n">
        <v>2450</v>
      </c>
      <c r="C26" s="18">
        <f>(2185.0/B26*100)</f>
        <v/>
      </c>
      <c r="D26" s="19" t="n">
        <v>265</v>
      </c>
      <c r="E26" s="18" t="n">
        <v>64.08134157000001</v>
      </c>
      <c r="F26" s="20" t="n">
        <v>3.24240841</v>
      </c>
      <c r="G26" s="18" t="n">
        <v>34.58574527</v>
      </c>
      <c r="H26" s="20" t="n">
        <v>3.29456166</v>
      </c>
      <c r="I26" s="18" t="s">
        <v>567</v>
      </c>
      <c r="J26" s="20" t="s">
        <v>567</v>
      </c>
      <c r="K26" s="18" t="n">
        <v>0</v>
      </c>
      <c r="L26" s="20" t="n">
        <v>0</v>
      </c>
      <c r="M26" s="18" t="n">
        <v>0</v>
      </c>
      <c r="N26" s="20" t="n">
        <v>0</v>
      </c>
      <c r="O26" s="18" t="n">
        <v>0</v>
      </c>
      <c r="P26" s="20" t="n">
        <v>0</v>
      </c>
      <c r="Q26" s="18" t="n">
        <v>1.33291316</v>
      </c>
      <c r="R26" s="20" t="n">
        <v>0.83034788</v>
      </c>
    </row>
    <row r="27" spans="1:18">
      <c r="A27" s="15" t="s">
        <v>587</v>
      </c>
      <c r="B27" s="17" t="n">
        <v>2616</v>
      </c>
      <c r="C27" s="18">
        <f>(2334.0/B27*100)</f>
        <v/>
      </c>
      <c r="D27" s="19" t="n">
        <v>282</v>
      </c>
      <c r="E27" s="18" t="n">
        <v>62.99445728</v>
      </c>
      <c r="F27" s="20" t="n">
        <v>2.94558831</v>
      </c>
      <c r="G27" s="18" t="n">
        <v>34.11572682</v>
      </c>
      <c r="H27" s="20" t="n">
        <v>2.75705476</v>
      </c>
      <c r="I27" s="18" t="s">
        <v>567</v>
      </c>
      <c r="J27" s="20" t="s">
        <v>567</v>
      </c>
      <c r="K27" s="18" t="n">
        <v>0.34899969</v>
      </c>
      <c r="L27" s="20" t="n">
        <v>0.34274671</v>
      </c>
      <c r="M27" s="18" t="n">
        <v>0</v>
      </c>
      <c r="N27" s="20" t="n">
        <v>0</v>
      </c>
      <c r="O27" s="18" t="n">
        <v>0</v>
      </c>
      <c r="P27" s="20" t="n">
        <v>0</v>
      </c>
      <c r="Q27" s="18" t="n">
        <v>2.54081621</v>
      </c>
      <c r="R27" s="20" t="n">
        <v>0.93766816</v>
      </c>
    </row>
    <row r="28" spans="1:18">
      <c r="A28" s="15" t="s">
        <v>588</v>
      </c>
      <c r="B28" s="17" t="n">
        <v>3765</v>
      </c>
      <c r="C28" s="18">
        <f>(3366.0/B28*100)</f>
        <v/>
      </c>
      <c r="D28" s="19" t="n">
        <v>399</v>
      </c>
      <c r="E28" s="18" t="n">
        <v>70.1900523</v>
      </c>
      <c r="F28" s="20" t="n">
        <v>2.45069037</v>
      </c>
      <c r="G28" s="18" t="n">
        <v>28.96219088</v>
      </c>
      <c r="H28" s="20" t="n">
        <v>2.36795161</v>
      </c>
      <c r="I28" s="18" t="s">
        <v>567</v>
      </c>
      <c r="J28" s="20" t="s">
        <v>567</v>
      </c>
      <c r="K28" s="18" t="n">
        <v>0</v>
      </c>
      <c r="L28" s="20" t="n">
        <v>0</v>
      </c>
      <c r="M28" s="18" t="n">
        <v>0</v>
      </c>
      <c r="N28" s="20" t="n">
        <v>0</v>
      </c>
      <c r="O28" s="18" t="n">
        <v>0</v>
      </c>
      <c r="P28" s="20" t="n">
        <v>0</v>
      </c>
      <c r="Q28" s="18" t="n">
        <v>0.84775682</v>
      </c>
      <c r="R28" s="20" t="n">
        <v>0.6421920800000001</v>
      </c>
    </row>
    <row r="29" spans="1:18">
      <c r="A29" s="15" t="s">
        <v>589</v>
      </c>
      <c r="B29" s="17" t="n">
        <v>2685</v>
      </c>
      <c r="C29" s="18">
        <f>(2297.0/B29*100)</f>
        <v/>
      </c>
      <c r="D29" s="19" t="n">
        <v>388</v>
      </c>
      <c r="E29" s="18" t="n">
        <v>61.374967</v>
      </c>
      <c r="F29" s="20" t="n">
        <v>2.67799953</v>
      </c>
      <c r="G29" s="18" t="n">
        <v>37.68783549</v>
      </c>
      <c r="H29" s="20" t="n">
        <v>2.572952</v>
      </c>
      <c r="I29" s="18" t="s">
        <v>567</v>
      </c>
      <c r="J29" s="20" t="s">
        <v>567</v>
      </c>
      <c r="K29" s="18" t="n">
        <v>0.4820356</v>
      </c>
      <c r="L29" s="20" t="n">
        <v>0.31565902</v>
      </c>
      <c r="M29" s="18" t="n">
        <v>0</v>
      </c>
      <c r="N29" s="20" t="n">
        <v>0</v>
      </c>
      <c r="O29" s="18" t="n">
        <v>0</v>
      </c>
      <c r="P29" s="20" t="n">
        <v>0</v>
      </c>
      <c r="Q29" s="18" t="n">
        <v>0.45516191</v>
      </c>
      <c r="R29" s="20" t="n">
        <v>0.32367797</v>
      </c>
    </row>
    <row r="30" spans="1:18">
      <c r="A30" s="15" t="s">
        <v>590</v>
      </c>
      <c r="B30" s="17" t="n">
        <v>2263</v>
      </c>
      <c r="C30" s="18">
        <f>(2033.0/B30*100)</f>
        <v/>
      </c>
      <c r="D30" s="19" t="n">
        <v>230</v>
      </c>
      <c r="E30" s="18" t="n">
        <v>45.41267361</v>
      </c>
      <c r="F30" s="20" t="n">
        <v>3.13122996</v>
      </c>
      <c r="G30" s="18" t="n">
        <v>54.131811</v>
      </c>
      <c r="H30" s="20" t="n">
        <v>3.14823076</v>
      </c>
      <c r="I30" s="18" t="s">
        <v>567</v>
      </c>
      <c r="J30" s="20" t="s">
        <v>567</v>
      </c>
      <c r="K30" s="18" t="n">
        <v>0.4555154</v>
      </c>
      <c r="L30" s="20" t="n">
        <v>0.43506997</v>
      </c>
      <c r="M30" s="18" t="n">
        <v>0</v>
      </c>
      <c r="N30" s="20" t="n">
        <v>0</v>
      </c>
      <c r="O30" s="18" t="n">
        <v>0</v>
      </c>
      <c r="P30" s="20" t="n">
        <v>0</v>
      </c>
      <c r="Q30" s="18" t="n">
        <v>0</v>
      </c>
      <c r="R30" s="20" t="n">
        <v>0</v>
      </c>
    </row>
    <row r="31" spans="1:18">
      <c r="A31" s="15" t="s">
        <v>591</v>
      </c>
      <c r="B31" s="17" t="n">
        <v>2750</v>
      </c>
      <c r="C31" s="18">
        <f>(2453.0/B31*100)</f>
        <v/>
      </c>
      <c r="D31" s="19" t="n">
        <v>297</v>
      </c>
      <c r="E31" s="18" t="n">
        <v>45.3508937</v>
      </c>
      <c r="F31" s="20" t="n">
        <v>2.57545453</v>
      </c>
      <c r="G31" s="18" t="n">
        <v>53.67857461</v>
      </c>
      <c r="H31" s="20" t="n">
        <v>2.58253185</v>
      </c>
      <c r="I31" s="18" t="s">
        <v>567</v>
      </c>
      <c r="J31" s="20" t="s">
        <v>567</v>
      </c>
      <c r="K31" s="18" t="n">
        <v>0.33254355</v>
      </c>
      <c r="L31" s="20" t="n">
        <v>0.36048299</v>
      </c>
      <c r="M31" s="18" t="n">
        <v>0</v>
      </c>
      <c r="N31" s="20" t="n">
        <v>0</v>
      </c>
      <c r="O31" s="18" t="n">
        <v>0</v>
      </c>
      <c r="P31" s="20" t="n">
        <v>0</v>
      </c>
      <c r="Q31" s="18" t="n">
        <v>0.63798814</v>
      </c>
      <c r="R31" s="20" t="n">
        <v>0.41079264</v>
      </c>
    </row>
    <row r="32" spans="1:18">
      <c r="A32" s="15" t="s">
        <v>592</v>
      </c>
      <c r="B32" s="17" t="n">
        <v>2269</v>
      </c>
      <c r="C32" s="18">
        <f>(2032.0/B32*100)</f>
        <v/>
      </c>
      <c r="D32" s="19" t="n">
        <v>237</v>
      </c>
      <c r="E32" s="18" t="n">
        <v>50.92283508</v>
      </c>
      <c r="F32" s="20" t="n">
        <v>3.45229097</v>
      </c>
      <c r="G32" s="18" t="n">
        <v>47.76900707</v>
      </c>
      <c r="H32" s="20" t="n">
        <v>3.68193049</v>
      </c>
      <c r="I32" s="18" t="s">
        <v>567</v>
      </c>
      <c r="J32" s="20" t="s">
        <v>567</v>
      </c>
      <c r="K32" s="18" t="n">
        <v>0</v>
      </c>
      <c r="L32" s="20" t="n">
        <v>0</v>
      </c>
      <c r="M32" s="18" t="n">
        <v>0</v>
      </c>
      <c r="N32" s="20" t="n">
        <v>0</v>
      </c>
      <c r="O32" s="18" t="n">
        <v>0</v>
      </c>
      <c r="P32" s="20" t="n">
        <v>0</v>
      </c>
      <c r="Q32" s="18" t="n">
        <v>1.30815785</v>
      </c>
      <c r="R32" s="20" t="n">
        <v>0.75866323</v>
      </c>
    </row>
    <row r="33" spans="1:18">
      <c r="A33" s="15" t="s">
        <v>593</v>
      </c>
      <c r="B33" s="17" t="n">
        <v>3674</v>
      </c>
      <c r="C33" s="18">
        <f>(3294.0/B33*100)</f>
        <v/>
      </c>
      <c r="D33" s="19" t="n">
        <v>380</v>
      </c>
      <c r="E33" s="18" t="n">
        <v>41.57023998</v>
      </c>
      <c r="F33" s="20" t="n">
        <v>3.0178712</v>
      </c>
      <c r="G33" s="18" t="n">
        <v>56.49457916</v>
      </c>
      <c r="H33" s="20" t="n">
        <v>2.97006222</v>
      </c>
      <c r="I33" s="18" t="s">
        <v>567</v>
      </c>
      <c r="J33" s="20" t="s">
        <v>567</v>
      </c>
      <c r="K33" s="18" t="n">
        <v>0</v>
      </c>
      <c r="L33" s="20" t="n">
        <v>0</v>
      </c>
      <c r="M33" s="18" t="n">
        <v>0</v>
      </c>
      <c r="N33" s="20" t="n">
        <v>0</v>
      </c>
      <c r="O33" s="18" t="n">
        <v>0</v>
      </c>
      <c r="P33" s="20" t="n">
        <v>0</v>
      </c>
      <c r="Q33" s="18" t="n">
        <v>1.93518085</v>
      </c>
      <c r="R33" s="20" t="n">
        <v>0.73328011</v>
      </c>
    </row>
    <row r="34" spans="1:18">
      <c r="A34" s="15" t="s">
        <v>594</v>
      </c>
      <c r="B34" s="17" t="n">
        <v>3315</v>
      </c>
      <c r="C34" s="18">
        <f>(2884.0/B34*100)</f>
        <v/>
      </c>
      <c r="D34" s="19" t="n">
        <v>431</v>
      </c>
      <c r="E34" s="18" t="n">
        <v>60.08443469</v>
      </c>
      <c r="F34" s="20" t="n">
        <v>2.73154499</v>
      </c>
      <c r="G34" s="18" t="n">
        <v>36.74511827</v>
      </c>
      <c r="H34" s="20" t="n">
        <v>2.71122587</v>
      </c>
      <c r="I34" s="18" t="s">
        <v>567</v>
      </c>
      <c r="J34" s="20" t="s">
        <v>567</v>
      </c>
      <c r="K34" s="18" t="n">
        <v>0.57255765</v>
      </c>
      <c r="L34" s="20" t="n">
        <v>0.32604001</v>
      </c>
      <c r="M34" s="18" t="n">
        <v>0</v>
      </c>
      <c r="N34" s="20" t="n">
        <v>0</v>
      </c>
      <c r="O34" s="18" t="n">
        <v>0</v>
      </c>
      <c r="P34" s="20" t="n">
        <v>0</v>
      </c>
      <c r="Q34" s="18" t="n">
        <v>2.59788939</v>
      </c>
      <c r="R34" s="20" t="n">
        <v>0.85673024</v>
      </c>
    </row>
    <row r="35" spans="1:18">
      <c r="A35" s="15" t="s">
        <v>595</v>
      </c>
      <c r="B35" s="17" t="n">
        <v>3505</v>
      </c>
      <c r="C35" s="18">
        <f>(3017.0/B35*100)</f>
        <v/>
      </c>
      <c r="D35" s="19" t="n">
        <v>488</v>
      </c>
      <c r="E35" s="18" t="n">
        <v>33.77227674</v>
      </c>
      <c r="F35" s="20" t="n">
        <v>2.48905054</v>
      </c>
      <c r="G35" s="18" t="n">
        <v>65.67341525000001</v>
      </c>
      <c r="H35" s="20" t="n">
        <v>2.49291746</v>
      </c>
      <c r="I35" s="18" t="s">
        <v>567</v>
      </c>
      <c r="J35" s="20" t="s">
        <v>567</v>
      </c>
      <c r="K35" s="18" t="n">
        <v>0.31727628</v>
      </c>
      <c r="L35" s="20" t="n">
        <v>0.12894182</v>
      </c>
      <c r="M35" s="18" t="n">
        <v>0</v>
      </c>
      <c r="N35" s="20" t="n">
        <v>0</v>
      </c>
      <c r="O35" s="18" t="n">
        <v>0</v>
      </c>
      <c r="P35" s="20" t="n">
        <v>0</v>
      </c>
      <c r="Q35" s="18" t="n">
        <v>0.23703173</v>
      </c>
      <c r="R35" s="20" t="n">
        <v>0.16690776</v>
      </c>
    </row>
    <row r="36" spans="1:18">
      <c r="A36" s="15" t="s">
        <v>596</v>
      </c>
      <c r="B36" s="17" t="n">
        <v>3332</v>
      </c>
      <c r="C36" s="18">
        <f>(2975.0/B36*100)</f>
        <v/>
      </c>
      <c r="D36" s="19" t="n">
        <v>357</v>
      </c>
      <c r="E36" s="18" t="n">
        <v>48.49851527</v>
      </c>
      <c r="F36" s="20" t="n">
        <v>3.14407979</v>
      </c>
      <c r="G36" s="18" t="n">
        <v>49.22157808</v>
      </c>
      <c r="H36" s="20" t="n">
        <v>3.36389044</v>
      </c>
      <c r="I36" s="18" t="s">
        <v>567</v>
      </c>
      <c r="J36" s="20" t="s">
        <v>567</v>
      </c>
      <c r="K36" s="18" t="n">
        <v>0.84634199</v>
      </c>
      <c r="L36" s="20" t="n">
        <v>0.66573503</v>
      </c>
      <c r="M36" s="18" t="n">
        <v>0</v>
      </c>
      <c r="N36" s="20" t="n">
        <v>0</v>
      </c>
      <c r="O36" s="18" t="n">
        <v>0</v>
      </c>
      <c r="P36" s="20" t="n">
        <v>0</v>
      </c>
      <c r="Q36" s="18" t="n">
        <v>1.43356467</v>
      </c>
      <c r="R36" s="20" t="n">
        <v>0.68285083</v>
      </c>
    </row>
    <row r="37" spans="1:18">
      <c r="A37" s="15" t="s">
        <v>597</v>
      </c>
      <c r="B37" s="17" t="n">
        <v>2727</v>
      </c>
      <c r="C37" s="18">
        <f>(2423.0/B37*100)</f>
        <v/>
      </c>
      <c r="D37" s="19" t="n">
        <v>304</v>
      </c>
      <c r="E37" s="18" t="n">
        <v>43.3576963</v>
      </c>
      <c r="F37" s="20" t="n">
        <v>3.14250191</v>
      </c>
      <c r="G37" s="18" t="n">
        <v>55.08102612</v>
      </c>
      <c r="H37" s="20" t="n">
        <v>3.19053584</v>
      </c>
      <c r="I37" s="18" t="s">
        <v>567</v>
      </c>
      <c r="J37" s="20" t="s">
        <v>567</v>
      </c>
      <c r="K37" s="18" t="n">
        <v>0.31144432</v>
      </c>
      <c r="L37" s="20" t="n">
        <v>0.31264505</v>
      </c>
      <c r="M37" s="18" t="n">
        <v>0</v>
      </c>
      <c r="N37" s="20" t="n">
        <v>0</v>
      </c>
      <c r="O37" s="18" t="n">
        <v>0</v>
      </c>
      <c r="P37" s="20" t="n">
        <v>0</v>
      </c>
      <c r="Q37" s="18" t="n">
        <v>1.24983325</v>
      </c>
      <c r="R37" s="20" t="n">
        <v>0.6443916</v>
      </c>
    </row>
    <row r="38" spans="1:18">
      <c r="A38" s="15" t="s">
        <v>598</v>
      </c>
      <c r="B38" s="17" t="n">
        <v>3053</v>
      </c>
      <c r="C38" s="18">
        <f>(2721.0/B38*100)</f>
        <v/>
      </c>
      <c r="D38" s="19" t="n">
        <v>332</v>
      </c>
      <c r="E38" s="18" t="n">
        <v>56.6874547</v>
      </c>
      <c r="F38" s="20" t="n">
        <v>2.86789991</v>
      </c>
      <c r="G38" s="18" t="n">
        <v>42.95538517</v>
      </c>
      <c r="H38" s="20" t="n">
        <v>2.870011</v>
      </c>
      <c r="I38" s="18" t="s">
        <v>567</v>
      </c>
      <c r="J38" s="20" t="s">
        <v>567</v>
      </c>
      <c r="K38" s="18" t="n">
        <v>0</v>
      </c>
      <c r="L38" s="20" t="n">
        <v>0</v>
      </c>
      <c r="M38" s="18" t="n">
        <v>0</v>
      </c>
      <c r="N38" s="20" t="n">
        <v>0</v>
      </c>
      <c r="O38" s="18" t="n">
        <v>0</v>
      </c>
      <c r="P38" s="20" t="n">
        <v>0</v>
      </c>
      <c r="Q38" s="18" t="n">
        <v>0.35716013</v>
      </c>
      <c r="R38" s="20" t="n">
        <v>0.25295225</v>
      </c>
    </row>
    <row r="39" spans="1:18">
      <c r="A39" s="15" t="s">
        <v>599</v>
      </c>
      <c r="B39" s="17" t="n">
        <v>2957</v>
      </c>
      <c r="C39" s="18">
        <f>(2618.0/B39*100)</f>
        <v/>
      </c>
      <c r="D39" s="19" t="n">
        <v>339</v>
      </c>
      <c r="E39" s="18" t="n">
        <v>71.89222673</v>
      </c>
      <c r="F39" s="20" t="n">
        <v>2.94542463</v>
      </c>
      <c r="G39" s="18" t="n">
        <v>27.04129568</v>
      </c>
      <c r="H39" s="20" t="n">
        <v>2.88589629</v>
      </c>
      <c r="I39" s="18" t="s">
        <v>567</v>
      </c>
      <c r="J39" s="20" t="s">
        <v>567</v>
      </c>
      <c r="K39" s="18" t="n">
        <v>0</v>
      </c>
      <c r="L39" s="20" t="n">
        <v>0</v>
      </c>
      <c r="M39" s="18" t="n">
        <v>0</v>
      </c>
      <c r="N39" s="20" t="n">
        <v>0</v>
      </c>
      <c r="O39" s="18" t="n">
        <v>0</v>
      </c>
      <c r="P39" s="20" t="n">
        <v>0</v>
      </c>
      <c r="Q39" s="18" t="n">
        <v>1.06647759</v>
      </c>
      <c r="R39" s="20" t="n">
        <v>0.6439933799999999</v>
      </c>
    </row>
    <row r="40" spans="1:18">
      <c r="A40" s="15" t="s">
        <v>600</v>
      </c>
      <c r="B40" s="17" t="n">
        <v>7235</v>
      </c>
      <c r="C40" s="18">
        <f>(6425.0/B40*100)</f>
        <v/>
      </c>
      <c r="D40" s="19" t="n">
        <v>810</v>
      </c>
      <c r="E40" s="18" t="n">
        <v>51.3383321</v>
      </c>
      <c r="F40" s="20" t="n">
        <v>2.77571819</v>
      </c>
      <c r="G40" s="18" t="n">
        <v>47.04348202</v>
      </c>
      <c r="H40" s="20" t="n">
        <v>2.78456547</v>
      </c>
      <c r="I40" s="18" t="s">
        <v>567</v>
      </c>
      <c r="J40" s="20" t="s">
        <v>567</v>
      </c>
      <c r="K40" s="18" t="n">
        <v>0.33178493</v>
      </c>
      <c r="L40" s="20" t="n">
        <v>0.44264896</v>
      </c>
      <c r="M40" s="18" t="n">
        <v>0</v>
      </c>
      <c r="N40" s="20" t="n">
        <v>0</v>
      </c>
      <c r="O40" s="18" t="n">
        <v>0</v>
      </c>
      <c r="P40" s="20" t="n">
        <v>0</v>
      </c>
      <c r="Q40" s="18" t="n">
        <v>1.28640095</v>
      </c>
      <c r="R40" s="20" t="n">
        <v>0.58716914</v>
      </c>
    </row>
    <row r="41" spans="1:18">
      <c r="A41" s="15" t="s">
        <v>601</v>
      </c>
      <c r="B41" s="17" t="n">
        <v>2858</v>
      </c>
      <c r="C41" s="18">
        <f>(2538.0/B41*100)</f>
        <v/>
      </c>
      <c r="D41" s="19" t="n">
        <v>320</v>
      </c>
      <c r="E41" s="18" t="n">
        <v>58.95381813</v>
      </c>
      <c r="F41" s="20" t="n">
        <v>2.50797962</v>
      </c>
      <c r="G41" s="18" t="n">
        <v>38.61249413</v>
      </c>
      <c r="H41" s="20" t="n">
        <v>2.5172044</v>
      </c>
      <c r="I41" s="18" t="s">
        <v>567</v>
      </c>
      <c r="J41" s="20" t="s">
        <v>567</v>
      </c>
      <c r="K41" s="18" t="n">
        <v>0.82682283</v>
      </c>
      <c r="L41" s="20" t="n">
        <v>0.59849807</v>
      </c>
      <c r="M41" s="18" t="n">
        <v>0</v>
      </c>
      <c r="N41" s="20" t="n">
        <v>0</v>
      </c>
      <c r="O41" s="18" t="n">
        <v>0</v>
      </c>
      <c r="P41" s="20" t="n">
        <v>0</v>
      </c>
      <c r="Q41" s="18" t="n">
        <v>1.6068649</v>
      </c>
      <c r="R41" s="20" t="n">
        <v>0.69761031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(9945.0/B46*100)</f>
        <v/>
      </c>
      <c r="D46" s="19" t="n">
        <v>1123</v>
      </c>
      <c r="E46" s="18" t="n">
        <v>74.18092833999999</v>
      </c>
      <c r="F46" s="20" t="n">
        <v>1.74604684</v>
      </c>
      <c r="G46" s="18" t="n">
        <v>22.08294354</v>
      </c>
      <c r="H46" s="20" t="n">
        <v>1.75125764</v>
      </c>
      <c r="I46" s="18" t="s">
        <v>567</v>
      </c>
      <c r="J46" s="20" t="s">
        <v>567</v>
      </c>
      <c r="K46" s="18" t="n">
        <v>1.59072202</v>
      </c>
      <c r="L46" s="20" t="n">
        <v>0.43621394</v>
      </c>
      <c r="M46" s="18" t="n">
        <v>0</v>
      </c>
      <c r="N46" s="20" t="n">
        <v>0</v>
      </c>
      <c r="O46" s="18" t="n">
        <v>0</v>
      </c>
      <c r="P46" s="20" t="n">
        <v>0</v>
      </c>
      <c r="Q46" s="18" t="n">
        <v>2.1454061</v>
      </c>
      <c r="R46" s="20" t="n">
        <v>0.50633263</v>
      </c>
    </row>
    <row r="47" spans="1:18">
      <c r="A47" s="15" t="s">
        <v>607</v>
      </c>
      <c r="B47" s="17" t="n">
        <v>3105</v>
      </c>
      <c r="C47" s="18">
        <f>(2749.0/B47*100)</f>
        <v/>
      </c>
      <c r="D47" s="19" t="n">
        <v>356</v>
      </c>
      <c r="E47" s="18" t="n">
        <v>53.60990247</v>
      </c>
      <c r="F47" s="20" t="n">
        <v>3.13450486</v>
      </c>
      <c r="G47" s="18" t="n">
        <v>42.44869677</v>
      </c>
      <c r="H47" s="20" t="n">
        <v>2.89849475</v>
      </c>
      <c r="I47" s="18" t="s">
        <v>567</v>
      </c>
      <c r="J47" s="20" t="s">
        <v>567</v>
      </c>
      <c r="K47" s="18" t="n">
        <v>0.27440315</v>
      </c>
      <c r="L47" s="20" t="n">
        <v>0.24466244</v>
      </c>
      <c r="M47" s="18" t="n">
        <v>0</v>
      </c>
      <c r="N47" s="20" t="n">
        <v>0</v>
      </c>
      <c r="O47" s="18" t="n">
        <v>0</v>
      </c>
      <c r="P47" s="20" t="n">
        <v>0</v>
      </c>
      <c r="Q47" s="18" t="n">
        <v>3.66699761</v>
      </c>
      <c r="R47" s="20" t="n">
        <v>1.25795878</v>
      </c>
    </row>
    <row r="48" spans="1:18">
      <c r="A48" s="15" t="s">
        <v>608</v>
      </c>
      <c r="B48" s="17" t="n">
        <v>5159</v>
      </c>
      <c r="C48" s="18">
        <f>(4590.0/B48*100)</f>
        <v/>
      </c>
      <c r="D48" s="19" t="n">
        <v>569</v>
      </c>
      <c r="E48" s="18" t="n">
        <v>34.07041959</v>
      </c>
      <c r="F48" s="20" t="n">
        <v>2.86095893</v>
      </c>
      <c r="G48" s="18" t="n">
        <v>64.70895637</v>
      </c>
      <c r="H48" s="20" t="n">
        <v>2.76295383</v>
      </c>
      <c r="I48" s="18" t="s">
        <v>567</v>
      </c>
      <c r="J48" s="20" t="s">
        <v>567</v>
      </c>
      <c r="K48" s="18" t="n">
        <v>0.70988354</v>
      </c>
      <c r="L48" s="20" t="n">
        <v>0.50159943</v>
      </c>
      <c r="M48" s="18" t="n">
        <v>0</v>
      </c>
      <c r="N48" s="20" t="n">
        <v>0</v>
      </c>
      <c r="O48" s="18" t="n">
        <v>0</v>
      </c>
      <c r="P48" s="20" t="n">
        <v>0</v>
      </c>
      <c r="Q48" s="18" t="n">
        <v>0.51074051</v>
      </c>
      <c r="R48" s="20" t="n">
        <v>0.39331788</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(5046.0/B50*100)</f>
        <v/>
      </c>
      <c r="D50" s="19" t="n">
        <v>591</v>
      </c>
      <c r="E50" s="18" t="n">
        <v>72.13237481</v>
      </c>
      <c r="F50" s="20" t="n">
        <v>2.48790796</v>
      </c>
      <c r="G50" s="18" t="n">
        <v>27.02784408</v>
      </c>
      <c r="H50" s="20" t="n">
        <v>2.42891799</v>
      </c>
      <c r="I50" s="18" t="s">
        <v>567</v>
      </c>
      <c r="J50" s="20" t="s">
        <v>567</v>
      </c>
      <c r="K50" s="18" t="n">
        <v>0.72310067</v>
      </c>
      <c r="L50" s="20" t="n">
        <v>0.67309709</v>
      </c>
      <c r="M50" s="18" t="n">
        <v>0</v>
      </c>
      <c r="N50" s="20" t="n">
        <v>0</v>
      </c>
      <c r="O50" s="18" t="n">
        <v>0</v>
      </c>
      <c r="P50" s="20" t="n">
        <v>0</v>
      </c>
      <c r="Q50" s="18" t="n">
        <v>0.11668044</v>
      </c>
      <c r="R50" s="20" t="n">
        <v>0.08266232</v>
      </c>
    </row>
    <row r="51" spans="1:18">
      <c r="A51" s="15" t="s">
        <v>611</v>
      </c>
      <c r="B51" s="17" t="n">
        <v>3372</v>
      </c>
      <c r="C51" s="18">
        <f>(2685.0/B51*100)</f>
        <v/>
      </c>
      <c r="D51" s="19" t="n">
        <v>687</v>
      </c>
      <c r="E51" s="18" t="n">
        <v>73.17139399</v>
      </c>
      <c r="F51" s="20" t="n">
        <v>1.9659061</v>
      </c>
      <c r="G51" s="18" t="n">
        <v>25.54407549</v>
      </c>
      <c r="H51" s="20" t="n">
        <v>1.84912908</v>
      </c>
      <c r="I51" s="18" t="s">
        <v>567</v>
      </c>
      <c r="J51" s="20" t="s">
        <v>567</v>
      </c>
      <c r="K51" s="18" t="n">
        <v>0.3203345</v>
      </c>
      <c r="L51" s="20" t="n">
        <v>0.22802862</v>
      </c>
      <c r="M51" s="18" t="n">
        <v>0</v>
      </c>
      <c r="N51" s="20" t="n">
        <v>0</v>
      </c>
      <c r="O51" s="18" t="n">
        <v>0</v>
      </c>
      <c r="P51" s="20" t="n">
        <v>0</v>
      </c>
      <c r="Q51" s="18" t="n">
        <v>0.96419602</v>
      </c>
      <c r="R51" s="20" t="n">
        <v>0.36917828</v>
      </c>
    </row>
    <row r="52" spans="1:18">
      <c r="A52" s="15" t="s">
        <v>612</v>
      </c>
      <c r="B52" s="17" t="n">
        <v>2796</v>
      </c>
      <c r="C52" s="18">
        <f>(2493.0/B52*100)</f>
        <v/>
      </c>
      <c r="D52" s="19" t="n">
        <v>303</v>
      </c>
      <c r="E52" s="18" t="n">
        <v>43.9314794</v>
      </c>
      <c r="F52" s="20" t="n">
        <v>3.04773917</v>
      </c>
      <c r="G52" s="18" t="n">
        <v>55.73489774</v>
      </c>
      <c r="H52" s="20" t="n">
        <v>2.95060544</v>
      </c>
      <c r="I52" s="18" t="s">
        <v>567</v>
      </c>
      <c r="J52" s="20" t="s">
        <v>567</v>
      </c>
      <c r="K52" s="18" t="n">
        <v>0</v>
      </c>
      <c r="L52" s="20" t="n">
        <v>0</v>
      </c>
      <c r="M52" s="18" t="n">
        <v>0</v>
      </c>
      <c r="N52" s="20" t="n">
        <v>0</v>
      </c>
      <c r="O52" s="18" t="n">
        <v>0</v>
      </c>
      <c r="P52" s="20" t="n">
        <v>0</v>
      </c>
      <c r="Q52" s="18" t="n">
        <v>0.33362286</v>
      </c>
      <c r="R52" s="20" t="n">
        <v>0.33867302</v>
      </c>
    </row>
    <row r="53" spans="1:18">
      <c r="A53" s="15" t="s">
        <v>613</v>
      </c>
      <c r="B53" s="17" t="n">
        <v>2811</v>
      </c>
      <c r="C53" s="18">
        <f>(2517.0/B53*100)</f>
        <v/>
      </c>
      <c r="D53" s="19" t="n">
        <v>294</v>
      </c>
      <c r="E53" s="18" t="n">
        <v>62.90378966</v>
      </c>
      <c r="F53" s="20" t="n">
        <v>3.07288317</v>
      </c>
      <c r="G53" s="18" t="n">
        <v>34.51274085</v>
      </c>
      <c r="H53" s="20" t="n">
        <v>2.96927508</v>
      </c>
      <c r="I53" s="18" t="s">
        <v>567</v>
      </c>
      <c r="J53" s="20" t="s">
        <v>567</v>
      </c>
      <c r="K53" s="18" t="n">
        <v>0.33394651</v>
      </c>
      <c r="L53" s="20" t="n">
        <v>0.33321038</v>
      </c>
      <c r="M53" s="18" t="n">
        <v>0</v>
      </c>
      <c r="N53" s="20" t="n">
        <v>0</v>
      </c>
      <c r="O53" s="18" t="n">
        <v>0</v>
      </c>
      <c r="P53" s="20" t="n">
        <v>0</v>
      </c>
      <c r="Q53" s="18" t="n">
        <v>2.24952298</v>
      </c>
      <c r="R53" s="20" t="n">
        <v>0.77146377</v>
      </c>
    </row>
    <row r="54" spans="1:18">
      <c r="A54" s="15" t="s">
        <v>614</v>
      </c>
      <c r="B54" s="17" t="n">
        <v>2266</v>
      </c>
      <c r="C54" s="18">
        <f>(2012.0/B54*100)</f>
        <v/>
      </c>
      <c r="D54" s="19" t="n">
        <v>254</v>
      </c>
      <c r="E54" s="18" t="n">
        <v>74.42892096999999</v>
      </c>
      <c r="F54" s="20" t="n">
        <v>3.36454946</v>
      </c>
      <c r="G54" s="18" t="n">
        <v>15.1518298</v>
      </c>
      <c r="H54" s="20" t="n">
        <v>2.94718828</v>
      </c>
      <c r="I54" s="18" t="s">
        <v>567</v>
      </c>
      <c r="J54" s="20" t="s">
        <v>567</v>
      </c>
      <c r="K54" s="18" t="n">
        <v>6.9615363</v>
      </c>
      <c r="L54" s="20" t="n">
        <v>1.84528289</v>
      </c>
      <c r="M54" s="18" t="n">
        <v>0</v>
      </c>
      <c r="N54" s="20" t="n">
        <v>0</v>
      </c>
      <c r="O54" s="18" t="n">
        <v>0</v>
      </c>
      <c r="P54" s="20" t="n">
        <v>0</v>
      </c>
      <c r="Q54" s="18" t="n">
        <v>3.45771293</v>
      </c>
      <c r="R54" s="20" t="n">
        <v>1.25625026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(2388.0/B56*100)</f>
        <v/>
      </c>
      <c r="D56" s="19" t="n">
        <v>296</v>
      </c>
      <c r="E56" s="18" t="n">
        <v>63.8099935</v>
      </c>
      <c r="F56" s="20" t="n">
        <v>2.42382537</v>
      </c>
      <c r="G56" s="18" t="n">
        <v>34.30600051</v>
      </c>
      <c r="H56" s="20" t="n">
        <v>2.42407079</v>
      </c>
      <c r="I56" s="18" t="s">
        <v>567</v>
      </c>
      <c r="J56" s="20" t="s">
        <v>567</v>
      </c>
      <c r="K56" s="18" t="n">
        <v>1.06236896</v>
      </c>
      <c r="L56" s="20" t="n">
        <v>0.83063315</v>
      </c>
      <c r="M56" s="18" t="n">
        <v>0</v>
      </c>
      <c r="N56" s="20" t="n">
        <v>0</v>
      </c>
      <c r="O56" s="18" t="n">
        <v>0</v>
      </c>
      <c r="P56" s="20" t="n">
        <v>0</v>
      </c>
      <c r="Q56" s="18" t="n">
        <v>0.82163704</v>
      </c>
      <c r="R56" s="20" t="n">
        <v>0.5768702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(2976.0/B61*100)</f>
        <v/>
      </c>
      <c r="D61" s="19" t="n">
        <v>348</v>
      </c>
      <c r="E61" s="18" t="n">
        <v>58.76661555</v>
      </c>
      <c r="F61" s="20" t="n">
        <v>3.15474516</v>
      </c>
      <c r="G61" s="18" t="n">
        <v>38.79942752</v>
      </c>
      <c r="H61" s="20" t="n">
        <v>3.11193848</v>
      </c>
      <c r="I61" s="18" t="s">
        <v>567</v>
      </c>
      <c r="J61" s="20" t="s">
        <v>567</v>
      </c>
      <c r="K61" s="18" t="n">
        <v>0</v>
      </c>
      <c r="L61" s="20" t="n">
        <v>0</v>
      </c>
      <c r="M61" s="18" t="n">
        <v>0</v>
      </c>
      <c r="N61" s="20" t="n">
        <v>0</v>
      </c>
      <c r="O61" s="18" t="n">
        <v>0</v>
      </c>
      <c r="P61" s="20" t="n">
        <v>0</v>
      </c>
      <c r="Q61" s="18" t="n">
        <v>2.43395693</v>
      </c>
      <c r="R61" s="20" t="n">
        <v>0.7646864799999999</v>
      </c>
    </row>
    <row r="62" spans="1:18">
      <c r="A62" s="15" t="s">
        <v>622</v>
      </c>
      <c r="B62" s="17" t="n">
        <v>2246</v>
      </c>
      <c r="C62" s="18">
        <f>(1986.0/B62*100)</f>
        <v/>
      </c>
      <c r="D62" s="19" t="n">
        <v>260</v>
      </c>
      <c r="E62" s="18" t="n">
        <v>58.92889579</v>
      </c>
      <c r="F62" s="20" t="n">
        <v>3.22702983</v>
      </c>
      <c r="G62" s="18" t="n">
        <v>41.07110421</v>
      </c>
      <c r="H62" s="20" t="n">
        <v>3.22702983</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(2575.0/B66*100)</f>
        <v/>
      </c>
      <c r="D66" s="19" t="n">
        <v>319</v>
      </c>
      <c r="E66" s="18" t="n">
        <v>63.61176598</v>
      </c>
      <c r="F66" s="20" t="n">
        <v>2.7099119</v>
      </c>
      <c r="G66" s="18" t="n">
        <v>33.08380229</v>
      </c>
      <c r="H66" s="20" t="n">
        <v>2.50563358</v>
      </c>
      <c r="I66" s="18" t="s">
        <v>567</v>
      </c>
      <c r="J66" s="20" t="s">
        <v>567</v>
      </c>
      <c r="K66" s="18" t="n">
        <v>1.30676799</v>
      </c>
      <c r="L66" s="20" t="n">
        <v>0.65375291</v>
      </c>
      <c r="M66" s="18" t="n">
        <v>0</v>
      </c>
      <c r="N66" s="20" t="n">
        <v>0</v>
      </c>
      <c r="O66" s="18" t="n">
        <v>0</v>
      </c>
      <c r="P66" s="20" t="n">
        <v>0</v>
      </c>
      <c r="Q66" s="18" t="n">
        <v>1.99766375</v>
      </c>
      <c r="R66" s="20" t="n">
        <v>0.62925503</v>
      </c>
    </row>
    <row r="67" spans="1:18">
      <c r="A67" s="15" t="s">
        <v>627</v>
      </c>
      <c r="B67" s="17" t="n">
        <v>3511</v>
      </c>
      <c r="C67" s="18">
        <f>(3163.0/B67*100)</f>
        <v/>
      </c>
      <c r="D67" s="19" t="n">
        <v>348</v>
      </c>
      <c r="E67" s="18" t="n">
        <v>73.19948015</v>
      </c>
      <c r="F67" s="20" t="n">
        <v>2.21809969</v>
      </c>
      <c r="G67" s="18" t="n">
        <v>24.78137886</v>
      </c>
      <c r="H67" s="20" t="n">
        <v>2.17164218</v>
      </c>
      <c r="I67" s="18" t="s">
        <v>567</v>
      </c>
      <c r="J67" s="20" t="s">
        <v>567</v>
      </c>
      <c r="K67" s="18" t="n">
        <v>0</v>
      </c>
      <c r="L67" s="20" t="n">
        <v>0</v>
      </c>
      <c r="M67" s="18" t="n">
        <v>0</v>
      </c>
      <c r="N67" s="20" t="n">
        <v>0</v>
      </c>
      <c r="O67" s="18" t="n">
        <v>0</v>
      </c>
      <c r="P67" s="20" t="n">
        <v>0</v>
      </c>
      <c r="Q67" s="18" t="n">
        <v>2.019141</v>
      </c>
      <c r="R67" s="20" t="n">
        <v>0.72212078</v>
      </c>
    </row>
    <row r="68" spans="1:18">
      <c r="A68" s="15" t="s">
        <v>628</v>
      </c>
      <c r="B68" s="17" t="n">
        <v>6049</v>
      </c>
      <c r="C68" s="18">
        <f>(5348.0/B68*100)</f>
        <v/>
      </c>
      <c r="D68" s="19" t="n">
        <v>701</v>
      </c>
      <c r="E68" s="18" t="n">
        <v>58.33930362</v>
      </c>
      <c r="F68" s="20" t="n">
        <v>1.67647603</v>
      </c>
      <c r="G68" s="18" t="n">
        <v>36.73348622</v>
      </c>
      <c r="H68" s="20" t="n">
        <v>1.69649171</v>
      </c>
      <c r="I68" s="18" t="s">
        <v>567</v>
      </c>
      <c r="J68" s="20" t="s">
        <v>567</v>
      </c>
      <c r="K68" s="18" t="n">
        <v>1.65861965</v>
      </c>
      <c r="L68" s="20" t="n">
        <v>0.51363858</v>
      </c>
      <c r="M68" s="18" t="n">
        <v>0</v>
      </c>
      <c r="N68" s="20" t="n">
        <v>0</v>
      </c>
      <c r="O68" s="18" t="n">
        <v>0</v>
      </c>
      <c r="P68" s="20" t="n">
        <v>0</v>
      </c>
      <c r="Q68" s="18" t="n">
        <v>3.26859051</v>
      </c>
      <c r="R68" s="20" t="n">
        <v>0.63473229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(2614.0/B70*100)</f>
        <v/>
      </c>
      <c r="D70" s="19" t="n">
        <v>315</v>
      </c>
      <c r="E70" s="18" t="n">
        <v>51.56087229</v>
      </c>
      <c r="F70" s="20" t="n">
        <v>2.91114807</v>
      </c>
      <c r="G70" s="18" t="n">
        <v>47.49188988</v>
      </c>
      <c r="H70" s="20" t="n">
        <v>2.85646706</v>
      </c>
      <c r="I70" s="18" t="s">
        <v>567</v>
      </c>
      <c r="J70" s="20" t="s">
        <v>567</v>
      </c>
      <c r="K70" s="18" t="n">
        <v>0.21550047</v>
      </c>
      <c r="L70" s="20" t="n">
        <v>0.2159574</v>
      </c>
      <c r="M70" s="18" t="n">
        <v>0</v>
      </c>
      <c r="N70" s="20" t="n">
        <v>0</v>
      </c>
      <c r="O70" s="18" t="n">
        <v>0</v>
      </c>
      <c r="P70" s="20" t="n">
        <v>0</v>
      </c>
      <c r="Q70" s="18" t="n">
        <v>0.7317373700000001</v>
      </c>
      <c r="R70" s="20" t="n">
        <v>0.40416343</v>
      </c>
    </row>
    <row r="71" spans="1:18">
      <c r="A71" s="15" t="s">
        <v>631</v>
      </c>
      <c r="B71" s="17" t="n">
        <v>3142</v>
      </c>
      <c r="C71" s="18">
        <f>(2826.0/B71*100)</f>
        <v/>
      </c>
      <c r="D71" s="19" t="n">
        <v>316</v>
      </c>
      <c r="E71" s="18" t="n">
        <v>39.18072537</v>
      </c>
      <c r="F71" s="20" t="n">
        <v>3.15667572</v>
      </c>
      <c r="G71" s="18" t="n">
        <v>60.06595175</v>
      </c>
      <c r="H71" s="20" t="n">
        <v>3.24675435</v>
      </c>
      <c r="I71" s="18" t="s">
        <v>567</v>
      </c>
      <c r="J71" s="20" t="s">
        <v>567</v>
      </c>
      <c r="K71" s="18" t="n">
        <v>0.47189206</v>
      </c>
      <c r="L71" s="20" t="n">
        <v>0.34259444</v>
      </c>
      <c r="M71" s="18" t="n">
        <v>0</v>
      </c>
      <c r="N71" s="20" t="n">
        <v>0</v>
      </c>
      <c r="O71" s="18" t="n">
        <v>0</v>
      </c>
      <c r="P71" s="20" t="n">
        <v>0</v>
      </c>
      <c r="Q71" s="18" t="n">
        <v>0.28143082</v>
      </c>
      <c r="R71" s="20" t="n">
        <v>0.28464868</v>
      </c>
    </row>
    <row r="72" spans="1:18">
      <c r="A72" s="15" t="s">
        <v>632</v>
      </c>
      <c r="B72" s="17" t="n">
        <v>3889</v>
      </c>
      <c r="C72" s="18">
        <f>(3460.0/B72*100)</f>
        <v/>
      </c>
      <c r="D72" s="19" t="n">
        <v>429</v>
      </c>
      <c r="E72" s="18" t="n">
        <v>55.16832745</v>
      </c>
      <c r="F72" s="20" t="n">
        <v>2.36167528</v>
      </c>
      <c r="G72" s="18" t="n">
        <v>43.85393627</v>
      </c>
      <c r="H72" s="20" t="n">
        <v>2.53854422</v>
      </c>
      <c r="I72" s="18" t="s">
        <v>567</v>
      </c>
      <c r="J72" s="20" t="s">
        <v>567</v>
      </c>
      <c r="K72" s="18" t="n">
        <v>0.15817116</v>
      </c>
      <c r="L72" s="20" t="n">
        <v>0.16255288</v>
      </c>
      <c r="M72" s="18" t="n">
        <v>0</v>
      </c>
      <c r="N72" s="20" t="n">
        <v>0</v>
      </c>
      <c r="O72" s="18" t="n">
        <v>0</v>
      </c>
      <c r="P72" s="20" t="n">
        <v>0</v>
      </c>
      <c r="Q72" s="18" t="n">
        <v>0.81956512</v>
      </c>
      <c r="R72" s="20" t="n">
        <v>0.44977884</v>
      </c>
    </row>
    <row r="73" spans="1:18">
      <c r="A73" s="15" t="s">
        <v>633</v>
      </c>
      <c r="B73" s="17" t="n">
        <v>3597</v>
      </c>
      <c r="C73" s="18">
        <f>(3192.0/B73*100)</f>
        <v/>
      </c>
      <c r="D73" s="19" t="n">
        <v>405</v>
      </c>
      <c r="E73" s="18" t="n">
        <v>71.29185599</v>
      </c>
      <c r="F73" s="20" t="n">
        <v>2.83609023</v>
      </c>
      <c r="G73" s="18" t="n">
        <v>27.75094661</v>
      </c>
      <c r="H73" s="20" t="n">
        <v>2.85945571</v>
      </c>
      <c r="I73" s="18" t="s">
        <v>567</v>
      </c>
      <c r="J73" s="20" t="s">
        <v>567</v>
      </c>
      <c r="K73" s="18" t="n">
        <v>0.52175392</v>
      </c>
      <c r="L73" s="20" t="n">
        <v>0.38674163</v>
      </c>
      <c r="M73" s="18" t="n">
        <v>0</v>
      </c>
      <c r="N73" s="20" t="n">
        <v>0</v>
      </c>
      <c r="O73" s="18" t="n">
        <v>0</v>
      </c>
      <c r="P73" s="20" t="n">
        <v>0</v>
      </c>
      <c r="Q73" s="18" t="n">
        <v>0.43544348</v>
      </c>
      <c r="R73" s="20" t="n">
        <v>0.41166403</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(2149.0/B75*100)</f>
        <v/>
      </c>
      <c r="D75" s="19" t="n">
        <v>257</v>
      </c>
      <c r="E75" s="18" t="n">
        <v>67.89747895000001</v>
      </c>
      <c r="F75" s="20" t="n">
        <v>3.15840214</v>
      </c>
      <c r="G75" s="18" t="n">
        <v>28.48324398</v>
      </c>
      <c r="H75" s="20" t="n">
        <v>2.93198689</v>
      </c>
      <c r="I75" s="18" t="s">
        <v>567</v>
      </c>
      <c r="J75" s="20" t="s">
        <v>567</v>
      </c>
      <c r="K75" s="18" t="n">
        <v>3.36255644</v>
      </c>
      <c r="L75" s="20" t="n">
        <v>1.27574856</v>
      </c>
      <c r="M75" s="18" t="n">
        <v>0</v>
      </c>
      <c r="N75" s="20" t="n">
        <v>0</v>
      </c>
      <c r="O75" s="18" t="n">
        <v>0</v>
      </c>
      <c r="P75" s="20" t="n">
        <v>0</v>
      </c>
      <c r="Q75" s="18" t="n">
        <v>0.25672062</v>
      </c>
      <c r="R75" s="20" t="n">
        <v>0.26084739</v>
      </c>
    </row>
    <row r="76" spans="1:18">
      <c r="A76" s="15" t="s">
        <v>636</v>
      </c>
      <c r="B76" s="17" t="n">
        <v>7052</v>
      </c>
      <c r="C76" s="18">
        <f>(6270.0/B76*100)</f>
        <v/>
      </c>
      <c r="D76" s="19" t="n">
        <v>782</v>
      </c>
      <c r="E76" s="18" t="n">
        <v>54.12283296</v>
      </c>
      <c r="F76" s="20" t="n">
        <v>2.36808898</v>
      </c>
      <c r="G76" s="18" t="n">
        <v>42.6622096</v>
      </c>
      <c r="H76" s="20" t="n">
        <v>2.21171778</v>
      </c>
      <c r="I76" s="18" t="s">
        <v>567</v>
      </c>
      <c r="J76" s="20" t="s">
        <v>567</v>
      </c>
      <c r="K76" s="18" t="n">
        <v>0.76185287</v>
      </c>
      <c r="L76" s="20" t="n">
        <v>0.34232</v>
      </c>
      <c r="M76" s="18" t="n">
        <v>0</v>
      </c>
      <c r="N76" s="20" t="n">
        <v>0</v>
      </c>
      <c r="O76" s="18" t="n">
        <v>0</v>
      </c>
      <c r="P76" s="20" t="n">
        <v>0</v>
      </c>
      <c r="Q76" s="18" t="n">
        <v>2.45310457</v>
      </c>
      <c r="R76" s="20" t="n">
        <v>0.8804753</v>
      </c>
    </row>
    <row r="77" spans="1:18">
      <c r="A77" s="15" t="s">
        <v>637</v>
      </c>
      <c r="B77" s="17" t="n">
        <v>2908</v>
      </c>
      <c r="C77" s="18">
        <f>(2591.0/B77*100)</f>
        <v/>
      </c>
      <c r="D77" s="19" t="n">
        <v>317</v>
      </c>
      <c r="E77" s="18" t="n">
        <v>62.65318291</v>
      </c>
      <c r="F77" s="20" t="n">
        <v>3.19755646</v>
      </c>
      <c r="G77" s="18" t="n">
        <v>33.49376445</v>
      </c>
      <c r="H77" s="20" t="n">
        <v>2.98781504</v>
      </c>
      <c r="I77" s="18" t="s">
        <v>567</v>
      </c>
      <c r="J77" s="20" t="s">
        <v>567</v>
      </c>
      <c r="K77" s="18" t="n">
        <v>1.15984448</v>
      </c>
      <c r="L77" s="20" t="n">
        <v>0.57931914</v>
      </c>
      <c r="M77" s="18" t="n">
        <v>0</v>
      </c>
      <c r="N77" s="20" t="n">
        <v>0</v>
      </c>
      <c r="O77" s="18" t="n">
        <v>0</v>
      </c>
      <c r="P77" s="20" t="n">
        <v>0</v>
      </c>
      <c r="Q77" s="18" t="n">
        <v>2.69320816</v>
      </c>
      <c r="R77" s="20" t="n">
        <v>0.96574106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(3714.0/B81*100)</f>
        <v/>
      </c>
      <c r="D81" s="19" t="n">
        <v>449</v>
      </c>
      <c r="E81" s="18" t="n">
        <v>66.25882016</v>
      </c>
      <c r="F81" s="20" t="n">
        <v>2.70088895</v>
      </c>
      <c r="G81" s="18" t="n">
        <v>32.78435034</v>
      </c>
      <c r="H81" s="20" t="n">
        <v>2.64797361</v>
      </c>
      <c r="I81" s="18" t="s">
        <v>567</v>
      </c>
      <c r="J81" s="20" t="s">
        <v>567</v>
      </c>
      <c r="K81" s="18" t="n">
        <v>0</v>
      </c>
      <c r="L81" s="20" t="n">
        <v>0</v>
      </c>
      <c r="M81" s="18" t="n">
        <v>0</v>
      </c>
      <c r="N81" s="20" t="n">
        <v>0</v>
      </c>
      <c r="O81" s="18" t="n">
        <v>0</v>
      </c>
      <c r="P81" s="20" t="n">
        <v>0</v>
      </c>
      <c r="Q81" s="18" t="n">
        <v>0.9568295</v>
      </c>
      <c r="R81" s="20" t="n">
        <v>0.55482659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(6550.0/B7*100)</f>
        <v/>
      </c>
      <c r="D7" s="19" t="n">
        <v>817</v>
      </c>
      <c r="E7" s="18" t="n">
        <v>75.66243231999999</v>
      </c>
      <c r="F7" s="20" t="n">
        <v>1.81850745</v>
      </c>
      <c r="G7" s="18" t="n">
        <v>22.96482048</v>
      </c>
      <c r="H7" s="20" t="n">
        <v>1.80099854</v>
      </c>
      <c r="I7" s="18" t="s">
        <v>567</v>
      </c>
      <c r="J7" s="20" t="s">
        <v>567</v>
      </c>
      <c r="K7" s="18" t="n">
        <v>0.36041495</v>
      </c>
      <c r="L7" s="20" t="n">
        <v>0.23455738</v>
      </c>
      <c r="M7" s="18" t="n">
        <v>0</v>
      </c>
      <c r="N7" s="20" t="n">
        <v>0</v>
      </c>
      <c r="O7" s="18" t="n">
        <v>0</v>
      </c>
      <c r="P7" s="20" t="n">
        <v>0</v>
      </c>
      <c r="Q7" s="18" t="n">
        <v>1.01233225</v>
      </c>
      <c r="R7" s="20" t="n">
        <v>0.29937398</v>
      </c>
    </row>
    <row r="8" spans="1:18">
      <c r="A8" s="15" t="s">
        <v>568</v>
      </c>
      <c r="B8" s="17" t="n">
        <v>3564</v>
      </c>
      <c r="C8" s="18">
        <f>(3183.0/B8*100)</f>
        <v/>
      </c>
      <c r="D8" s="19" t="n">
        <v>381</v>
      </c>
      <c r="E8" s="18" t="n">
        <v>77.90848827000001</v>
      </c>
      <c r="F8" s="20" t="n">
        <v>2.33508911</v>
      </c>
      <c r="G8" s="18" t="n">
        <v>20.94021747</v>
      </c>
      <c r="H8" s="20" t="n">
        <v>2.47868513</v>
      </c>
      <c r="I8" s="18" t="s">
        <v>567</v>
      </c>
      <c r="J8" s="20" t="s">
        <v>567</v>
      </c>
      <c r="K8" s="18" t="n">
        <v>0</v>
      </c>
      <c r="L8" s="20" t="n">
        <v>0</v>
      </c>
      <c r="M8" s="18" t="n">
        <v>0</v>
      </c>
      <c r="N8" s="20" t="n">
        <v>0</v>
      </c>
      <c r="O8" s="18" t="n">
        <v>0</v>
      </c>
      <c r="P8" s="20" t="n">
        <v>0</v>
      </c>
      <c r="Q8" s="18" t="n">
        <v>1.15129425</v>
      </c>
      <c r="R8" s="20" t="n">
        <v>0.62215944</v>
      </c>
    </row>
    <row r="9" spans="1:18">
      <c r="A9" s="15" t="s">
        <v>569</v>
      </c>
      <c r="B9" s="17" t="n">
        <v>4899</v>
      </c>
      <c r="C9" s="18">
        <f>(4224.0/B9*100)</f>
        <v/>
      </c>
      <c r="D9" s="19" t="n">
        <v>675</v>
      </c>
      <c r="E9" s="18" t="n">
        <v>76.85575099</v>
      </c>
      <c r="F9" s="20" t="n">
        <v>1.80146926</v>
      </c>
      <c r="G9" s="18" t="n">
        <v>19.32975778</v>
      </c>
      <c r="H9" s="20" t="n">
        <v>1.93756746</v>
      </c>
      <c r="I9" s="18" t="s">
        <v>567</v>
      </c>
      <c r="J9" s="20" t="s">
        <v>567</v>
      </c>
      <c r="K9" s="18" t="n">
        <v>2.177293</v>
      </c>
      <c r="L9" s="20" t="n">
        <v>0.8203217900000001</v>
      </c>
      <c r="M9" s="18" t="n">
        <v>0</v>
      </c>
      <c r="N9" s="20" t="n">
        <v>0</v>
      </c>
      <c r="O9" s="18" t="n">
        <v>0</v>
      </c>
      <c r="P9" s="20" t="n">
        <v>0</v>
      </c>
      <c r="Q9" s="18" t="n">
        <v>1.63719824</v>
      </c>
      <c r="R9" s="20" t="n">
        <v>0.56344089</v>
      </c>
    </row>
    <row r="10" spans="1:18">
      <c r="A10" s="15" t="s">
        <v>570</v>
      </c>
      <c r="B10" s="17" t="n">
        <v>10036</v>
      </c>
      <c r="C10" s="18">
        <f>(8963.0/B10*100)</f>
        <v/>
      </c>
      <c r="D10" s="19" t="n">
        <v>1073</v>
      </c>
      <c r="E10" s="18" t="n">
        <v>63.45657313</v>
      </c>
      <c r="F10" s="20" t="n">
        <v>2.37390219</v>
      </c>
      <c r="G10" s="18" t="n">
        <v>35.11165152</v>
      </c>
      <c r="H10" s="20" t="n">
        <v>2.27973048</v>
      </c>
      <c r="I10" s="18" t="s">
        <v>567</v>
      </c>
      <c r="J10" s="20" t="s">
        <v>567</v>
      </c>
      <c r="K10" s="18" t="n">
        <v>0</v>
      </c>
      <c r="L10" s="20" t="n">
        <v>0</v>
      </c>
      <c r="M10" s="18" t="n">
        <v>0</v>
      </c>
      <c r="N10" s="20" t="n">
        <v>0</v>
      </c>
      <c r="O10" s="18" t="n">
        <v>0</v>
      </c>
      <c r="P10" s="20" t="n">
        <v>0</v>
      </c>
      <c r="Q10" s="18" t="n">
        <v>1.43177535</v>
      </c>
      <c r="R10" s="20" t="n">
        <v>0.50837712</v>
      </c>
    </row>
    <row r="11" spans="1:18">
      <c r="A11" s="15" t="s">
        <v>571</v>
      </c>
      <c r="B11" s="17" t="n">
        <v>3553</v>
      </c>
      <c r="C11" s="18">
        <f>(3138.0/B11*100)</f>
        <v/>
      </c>
      <c r="D11" s="19" t="n">
        <v>415</v>
      </c>
      <c r="E11" s="18" t="n">
        <v>70.38861708</v>
      </c>
      <c r="F11" s="20" t="n">
        <v>3.05362843</v>
      </c>
      <c r="G11" s="18" t="n">
        <v>25.51973923</v>
      </c>
      <c r="H11" s="20" t="n">
        <v>3.0615957</v>
      </c>
      <c r="I11" s="18" t="s">
        <v>567</v>
      </c>
      <c r="J11" s="20" t="s">
        <v>567</v>
      </c>
      <c r="K11" s="18" t="n">
        <v>0.90426208</v>
      </c>
      <c r="L11" s="20" t="n">
        <v>0.49239714</v>
      </c>
      <c r="M11" s="18" t="n">
        <v>0</v>
      </c>
      <c r="N11" s="20" t="n">
        <v>0</v>
      </c>
      <c r="O11" s="18" t="n">
        <v>0</v>
      </c>
      <c r="P11" s="20" t="n">
        <v>0</v>
      </c>
      <c r="Q11" s="18" t="n">
        <v>3.18738161</v>
      </c>
      <c r="R11" s="20" t="n">
        <v>1.23761696</v>
      </c>
    </row>
    <row r="12" spans="1:18">
      <c r="A12" s="15" t="s">
        <v>572</v>
      </c>
      <c r="B12" s="17" t="n">
        <v>3472</v>
      </c>
      <c r="C12" s="18">
        <f>(3015.0/B12*100)</f>
        <v/>
      </c>
      <c r="D12" s="19" t="n">
        <v>457</v>
      </c>
      <c r="E12" s="18" t="n">
        <v>75.33550320000001</v>
      </c>
      <c r="F12" s="20" t="n">
        <v>2.18768687</v>
      </c>
      <c r="G12" s="18" t="n">
        <v>22.1676257</v>
      </c>
      <c r="H12" s="20" t="n">
        <v>2.2945588</v>
      </c>
      <c r="I12" s="18" t="s">
        <v>567</v>
      </c>
      <c r="J12" s="20" t="s">
        <v>567</v>
      </c>
      <c r="K12" s="18" t="n">
        <v>1.16028708</v>
      </c>
      <c r="L12" s="20" t="n">
        <v>0.65574548</v>
      </c>
      <c r="M12" s="18" t="n">
        <v>0</v>
      </c>
      <c r="N12" s="20" t="n">
        <v>0</v>
      </c>
      <c r="O12" s="18" t="n">
        <v>0</v>
      </c>
      <c r="P12" s="20" t="n">
        <v>0</v>
      </c>
      <c r="Q12" s="18" t="n">
        <v>1.33658402</v>
      </c>
      <c r="R12" s="20" t="n">
        <v>0.5812108</v>
      </c>
    </row>
    <row r="13" spans="1:18">
      <c r="A13" s="15" t="s">
        <v>573</v>
      </c>
      <c r="B13" s="17" t="n">
        <v>3559</v>
      </c>
      <c r="C13" s="18">
        <f>(2982.0/B13*100)</f>
        <v/>
      </c>
      <c r="D13" s="19" t="n">
        <v>577</v>
      </c>
      <c r="E13" s="18" t="n">
        <v>73.77795297999999</v>
      </c>
      <c r="F13" s="20" t="n">
        <v>2.21882074</v>
      </c>
      <c r="G13" s="18" t="n">
        <v>24.85168106</v>
      </c>
      <c r="H13" s="20" t="n">
        <v>2.27424292</v>
      </c>
      <c r="I13" s="18" t="s">
        <v>567</v>
      </c>
      <c r="J13" s="20" t="s">
        <v>567</v>
      </c>
      <c r="K13" s="18" t="n">
        <v>0.93129722</v>
      </c>
      <c r="L13" s="20" t="n">
        <v>0.28019857</v>
      </c>
      <c r="M13" s="18" t="n">
        <v>0</v>
      </c>
      <c r="N13" s="20" t="n">
        <v>0</v>
      </c>
      <c r="O13" s="18" t="n">
        <v>0</v>
      </c>
      <c r="P13" s="20" t="n">
        <v>0</v>
      </c>
      <c r="Q13" s="18" t="n">
        <v>0.43906874</v>
      </c>
      <c r="R13" s="20" t="n">
        <v>0.17482874</v>
      </c>
    </row>
    <row r="14" spans="1:18">
      <c r="A14" s="15" t="s">
        <v>574</v>
      </c>
      <c r="B14" s="17" t="n">
        <v>2799</v>
      </c>
      <c r="C14" s="18">
        <f>(2488.0/B14*100)</f>
        <v/>
      </c>
      <c r="D14" s="19" t="n">
        <v>311</v>
      </c>
      <c r="E14" s="18" t="n">
        <v>71.84892490999999</v>
      </c>
      <c r="F14" s="20" t="n">
        <v>2.50431884</v>
      </c>
      <c r="G14" s="18" t="n">
        <v>28.15107509</v>
      </c>
      <c r="H14" s="20" t="n">
        <v>2.50431884</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(2650.0/B15*100)</f>
        <v/>
      </c>
      <c r="D15" s="19" t="n">
        <v>369</v>
      </c>
      <c r="E15" s="18" t="n">
        <v>63.57677459</v>
      </c>
      <c r="F15" s="20" t="n">
        <v>2.70359071</v>
      </c>
      <c r="G15" s="18" t="n">
        <v>34.39131238</v>
      </c>
      <c r="H15" s="20" t="n">
        <v>2.66508537</v>
      </c>
      <c r="I15" s="18" t="s">
        <v>567</v>
      </c>
      <c r="J15" s="20" t="s">
        <v>567</v>
      </c>
      <c r="K15" s="18" t="n">
        <v>0.50498147</v>
      </c>
      <c r="L15" s="20" t="n">
        <v>0.46958085</v>
      </c>
      <c r="M15" s="18" t="n">
        <v>0</v>
      </c>
      <c r="N15" s="20" t="n">
        <v>0</v>
      </c>
      <c r="O15" s="18" t="n">
        <v>0</v>
      </c>
      <c r="P15" s="20" t="n">
        <v>0</v>
      </c>
      <c r="Q15" s="18" t="n">
        <v>1.52693156</v>
      </c>
      <c r="R15" s="20" t="n">
        <v>0.77271811</v>
      </c>
    </row>
    <row r="16" spans="1:18">
      <c r="A16" s="15" t="s">
        <v>576</v>
      </c>
      <c r="B16" s="17" t="n">
        <v>2997</v>
      </c>
      <c r="C16" s="18">
        <f>(2667.0/B16*100)</f>
        <v/>
      </c>
      <c r="D16" s="19" t="n">
        <v>330</v>
      </c>
      <c r="E16" s="18" t="n">
        <v>67.13743865000001</v>
      </c>
      <c r="F16" s="20" t="n">
        <v>2.32460154</v>
      </c>
      <c r="G16" s="18" t="n">
        <v>30.60883963</v>
      </c>
      <c r="H16" s="20" t="n">
        <v>2.29942067</v>
      </c>
      <c r="I16" s="18" t="s">
        <v>567</v>
      </c>
      <c r="J16" s="20" t="s">
        <v>567</v>
      </c>
      <c r="K16" s="18" t="n">
        <v>0.31572626</v>
      </c>
      <c r="L16" s="20" t="n">
        <v>0.22196333</v>
      </c>
      <c r="M16" s="18" t="n">
        <v>0</v>
      </c>
      <c r="N16" s="20" t="n">
        <v>0</v>
      </c>
      <c r="O16" s="18" t="n">
        <v>0</v>
      </c>
      <c r="P16" s="20" t="n">
        <v>0</v>
      </c>
      <c r="Q16" s="18" t="n">
        <v>1.93799546</v>
      </c>
      <c r="R16" s="20" t="n">
        <v>0.76614815</v>
      </c>
    </row>
    <row r="17" spans="1:18">
      <c r="A17" s="15" t="s">
        <v>577</v>
      </c>
      <c r="B17" s="17" t="n">
        <v>3307</v>
      </c>
      <c r="C17" s="18">
        <f>(2844.0/B17*100)</f>
        <v/>
      </c>
      <c r="D17" s="19" t="n">
        <v>463</v>
      </c>
      <c r="E17" s="18" t="n">
        <v>69.74934909</v>
      </c>
      <c r="F17" s="20" t="n">
        <v>2.06611219</v>
      </c>
      <c r="G17" s="18" t="n">
        <v>24.45731954</v>
      </c>
      <c r="H17" s="20" t="n">
        <v>2.16324593</v>
      </c>
      <c r="I17" s="18" t="s">
        <v>567</v>
      </c>
      <c r="J17" s="20" t="s">
        <v>567</v>
      </c>
      <c r="K17" s="18" t="n">
        <v>1.74713074</v>
      </c>
      <c r="L17" s="20" t="n">
        <v>0.80174111</v>
      </c>
      <c r="M17" s="18" t="n">
        <v>0</v>
      </c>
      <c r="N17" s="20" t="n">
        <v>0</v>
      </c>
      <c r="O17" s="18" t="n">
        <v>0</v>
      </c>
      <c r="P17" s="20" t="n">
        <v>0</v>
      </c>
      <c r="Q17" s="18" t="n">
        <v>4.04620063</v>
      </c>
      <c r="R17" s="20" t="n">
        <v>0.84281962</v>
      </c>
    </row>
    <row r="18" spans="1:18">
      <c r="A18" s="15" t="s">
        <v>578</v>
      </c>
      <c r="B18" s="17" t="n">
        <v>2826</v>
      </c>
      <c r="C18" s="18">
        <f>(2503.0/B18*100)</f>
        <v/>
      </c>
      <c r="D18" s="19" t="n">
        <v>323</v>
      </c>
      <c r="E18" s="18" t="n">
        <v>82.78919753</v>
      </c>
      <c r="F18" s="20" t="n">
        <v>2.43434334</v>
      </c>
      <c r="G18" s="18" t="n">
        <v>15.17421924</v>
      </c>
      <c r="H18" s="20" t="n">
        <v>2.32960917</v>
      </c>
      <c r="I18" s="18" t="s">
        <v>567</v>
      </c>
      <c r="J18" s="20" t="s">
        <v>567</v>
      </c>
      <c r="K18" s="18" t="n">
        <v>0.66384166</v>
      </c>
      <c r="L18" s="20" t="n">
        <v>0.47371675</v>
      </c>
      <c r="M18" s="18" t="n">
        <v>0</v>
      </c>
      <c r="N18" s="20" t="n">
        <v>0</v>
      </c>
      <c r="O18" s="18" t="n">
        <v>0</v>
      </c>
      <c r="P18" s="20" t="n">
        <v>0</v>
      </c>
      <c r="Q18" s="18" t="n">
        <v>1.37274157</v>
      </c>
      <c r="R18" s="20" t="n">
        <v>0.73172024</v>
      </c>
    </row>
    <row r="19" spans="1:18">
      <c r="A19" s="15" t="s">
        <v>579</v>
      </c>
      <c r="B19" s="17" t="n">
        <v>2808</v>
      </c>
      <c r="C19" s="18">
        <f>(2517.0/B19*100)</f>
        <v/>
      </c>
      <c r="D19" s="19" t="n">
        <v>291</v>
      </c>
      <c r="E19" s="18" t="n">
        <v>0</v>
      </c>
      <c r="F19" s="20" t="n">
        <v>0</v>
      </c>
      <c r="G19" s="18" t="n">
        <v>0</v>
      </c>
      <c r="H19" s="20" t="n">
        <v>0</v>
      </c>
      <c r="I19" s="18" t="s">
        <v>567</v>
      </c>
      <c r="J19" s="20" t="s">
        <v>567</v>
      </c>
      <c r="K19" s="18" t="n">
        <v>0</v>
      </c>
      <c r="L19" s="20" t="n">
        <v>0</v>
      </c>
      <c r="M19" s="18" t="n">
        <v>100</v>
      </c>
      <c r="N19" s="20" t="n">
        <v>0</v>
      </c>
      <c r="O19" s="18" t="n">
        <v>0</v>
      </c>
      <c r="P19" s="20" t="n">
        <v>0</v>
      </c>
      <c r="Q19" s="18" t="n">
        <v>0</v>
      </c>
      <c r="R19" s="20" t="n">
        <v>0</v>
      </c>
    </row>
    <row r="20" spans="1:18">
      <c r="A20" s="15" t="s">
        <v>580</v>
      </c>
      <c r="B20" s="17" t="n">
        <v>1630</v>
      </c>
      <c r="C20" s="18">
        <f>(1463.0/B20*100)</f>
        <v/>
      </c>
      <c r="D20" s="19" t="n">
        <v>167</v>
      </c>
      <c r="E20" s="18" t="n">
        <v>78.63507376</v>
      </c>
      <c r="F20" s="20" t="n">
        <v>3.44415563</v>
      </c>
      <c r="G20" s="18" t="n">
        <v>20.76659464</v>
      </c>
      <c r="H20" s="20" t="n">
        <v>3.43985634</v>
      </c>
      <c r="I20" s="18" t="s">
        <v>567</v>
      </c>
      <c r="J20" s="20" t="s">
        <v>567</v>
      </c>
      <c r="K20" s="18" t="n">
        <v>0</v>
      </c>
      <c r="L20" s="20" t="n">
        <v>0</v>
      </c>
      <c r="M20" s="18" t="n">
        <v>0</v>
      </c>
      <c r="N20" s="20" t="n">
        <v>0</v>
      </c>
      <c r="O20" s="18" t="n">
        <v>0</v>
      </c>
      <c r="P20" s="20" t="n">
        <v>0</v>
      </c>
      <c r="Q20" s="18" t="n">
        <v>0.5983316</v>
      </c>
      <c r="R20" s="20" t="n">
        <v>0.59723694</v>
      </c>
    </row>
    <row r="21" spans="1:18">
      <c r="A21" s="15" t="s">
        <v>581</v>
      </c>
      <c r="B21" s="17" t="n">
        <v>2908</v>
      </c>
      <c r="C21" s="18">
        <f>(2606.0/B21*100)</f>
        <v/>
      </c>
      <c r="D21" s="19" t="n">
        <v>302</v>
      </c>
      <c r="E21" s="18" t="n">
        <v>65.55368437</v>
      </c>
      <c r="F21" s="20" t="n">
        <v>2.8676539</v>
      </c>
      <c r="G21" s="18" t="n">
        <v>34.10921254</v>
      </c>
      <c r="H21" s="20" t="n">
        <v>2.80888756</v>
      </c>
      <c r="I21" s="18" t="s">
        <v>567</v>
      </c>
      <c r="J21" s="20" t="s">
        <v>567</v>
      </c>
      <c r="K21" s="18" t="n">
        <v>0</v>
      </c>
      <c r="L21" s="20" t="n">
        <v>0</v>
      </c>
      <c r="M21" s="18" t="n">
        <v>0</v>
      </c>
      <c r="N21" s="20" t="n">
        <v>0</v>
      </c>
      <c r="O21" s="18" t="n">
        <v>0</v>
      </c>
      <c r="P21" s="20" t="n">
        <v>0</v>
      </c>
      <c r="Q21" s="18" t="n">
        <v>0.33710309</v>
      </c>
      <c r="R21" s="20" t="n">
        <v>0.23698726</v>
      </c>
    </row>
    <row r="22" spans="1:18">
      <c r="A22" s="15" t="s">
        <v>582</v>
      </c>
      <c r="B22" s="17" t="n">
        <v>2931</v>
      </c>
      <c r="C22" s="18">
        <f>(2582.0/B22*100)</f>
        <v/>
      </c>
      <c r="D22" s="19" t="n">
        <v>349</v>
      </c>
      <c r="E22" s="18" t="n">
        <v>71.01559582</v>
      </c>
      <c r="F22" s="20" t="n">
        <v>2.66497521</v>
      </c>
      <c r="G22" s="18" t="n">
        <v>26.41311775</v>
      </c>
      <c r="H22" s="20" t="n">
        <v>2.67532485</v>
      </c>
      <c r="I22" s="18" t="s">
        <v>567</v>
      </c>
      <c r="J22" s="20" t="s">
        <v>567</v>
      </c>
      <c r="K22" s="18" t="n">
        <v>0</v>
      </c>
      <c r="L22" s="20" t="n">
        <v>0</v>
      </c>
      <c r="M22" s="18" t="n">
        <v>0</v>
      </c>
      <c r="N22" s="20" t="n">
        <v>0</v>
      </c>
      <c r="O22" s="18" t="n">
        <v>0</v>
      </c>
      <c r="P22" s="20" t="n">
        <v>0</v>
      </c>
      <c r="Q22" s="18" t="n">
        <v>2.57128644</v>
      </c>
      <c r="R22" s="20" t="n">
        <v>0.6718618</v>
      </c>
    </row>
    <row r="23" spans="1:18">
      <c r="A23" s="15" t="s">
        <v>583</v>
      </c>
      <c r="B23" s="17" t="n">
        <v>5791</v>
      </c>
      <c r="C23" s="18">
        <f>(5160.0/B23*100)</f>
        <v/>
      </c>
      <c r="D23" s="19" t="n">
        <v>631</v>
      </c>
      <c r="E23" s="18" t="n">
        <v>69.98465147</v>
      </c>
      <c r="F23" s="20" t="n">
        <v>2.27746699</v>
      </c>
      <c r="G23" s="18" t="n">
        <v>28.81353854</v>
      </c>
      <c r="H23" s="20" t="n">
        <v>2.23842908</v>
      </c>
      <c r="I23" s="18" t="s">
        <v>567</v>
      </c>
      <c r="J23" s="20" t="s">
        <v>567</v>
      </c>
      <c r="K23" s="18" t="n">
        <v>0.10793747</v>
      </c>
      <c r="L23" s="20" t="n">
        <v>0.10699458</v>
      </c>
      <c r="M23" s="18" t="n">
        <v>0</v>
      </c>
      <c r="N23" s="20" t="n">
        <v>0</v>
      </c>
      <c r="O23" s="18" t="n">
        <v>0</v>
      </c>
      <c r="P23" s="20" t="n">
        <v>0</v>
      </c>
      <c r="Q23" s="18" t="n">
        <v>1.09387253</v>
      </c>
      <c r="R23" s="20" t="n">
        <v>0.49517435</v>
      </c>
    </row>
    <row r="24" spans="1:18">
      <c r="A24" s="15" t="s">
        <v>584</v>
      </c>
      <c r="B24" s="17" t="n">
        <v>3338</v>
      </c>
      <c r="C24" s="18">
        <f>(2959.0/B24*100)</f>
        <v/>
      </c>
      <c r="D24" s="19" t="n">
        <v>379</v>
      </c>
      <c r="E24" s="18" t="n">
        <v>39.78439903</v>
      </c>
      <c r="F24" s="20" t="n">
        <v>2.76806027</v>
      </c>
      <c r="G24" s="18" t="n">
        <v>59.13010556</v>
      </c>
      <c r="H24" s="20" t="n">
        <v>2.89768761</v>
      </c>
      <c r="I24" s="18" t="s">
        <v>567</v>
      </c>
      <c r="J24" s="20" t="s">
        <v>567</v>
      </c>
      <c r="K24" s="18" t="n">
        <v>0.25525835</v>
      </c>
      <c r="L24" s="20" t="n">
        <v>0.25821211</v>
      </c>
      <c r="M24" s="18" t="n">
        <v>0</v>
      </c>
      <c r="N24" s="20" t="n">
        <v>0</v>
      </c>
      <c r="O24" s="18" t="n">
        <v>0</v>
      </c>
      <c r="P24" s="20" t="n">
        <v>0</v>
      </c>
      <c r="Q24" s="18" t="n">
        <v>0.83023706</v>
      </c>
      <c r="R24" s="20" t="n">
        <v>0.4695995</v>
      </c>
    </row>
    <row r="25" spans="1:18">
      <c r="A25" s="15" t="s">
        <v>585</v>
      </c>
      <c r="B25" s="17" t="n">
        <v>2912</v>
      </c>
      <c r="C25" s="18">
        <f>(2597.0/B25*100)</f>
        <v/>
      </c>
      <c r="D25" s="19" t="n">
        <v>315</v>
      </c>
      <c r="E25" s="18" t="n">
        <v>67.30150157</v>
      </c>
      <c r="F25" s="20" t="n">
        <v>2.59699935</v>
      </c>
      <c r="G25" s="18" t="n">
        <v>31.40252352</v>
      </c>
      <c r="H25" s="20" t="n">
        <v>2.45901028</v>
      </c>
      <c r="I25" s="18" t="s">
        <v>567</v>
      </c>
      <c r="J25" s="20" t="s">
        <v>567</v>
      </c>
      <c r="K25" s="18" t="n">
        <v>0</v>
      </c>
      <c r="L25" s="20" t="n">
        <v>0</v>
      </c>
      <c r="M25" s="18" t="n">
        <v>0</v>
      </c>
      <c r="N25" s="20" t="n">
        <v>0</v>
      </c>
      <c r="O25" s="18" t="n">
        <v>0</v>
      </c>
      <c r="P25" s="20" t="n">
        <v>0</v>
      </c>
      <c r="Q25" s="18" t="n">
        <v>1.29597491</v>
      </c>
      <c r="R25" s="20" t="n">
        <v>0.6272716</v>
      </c>
    </row>
    <row r="26" spans="1:18">
      <c r="A26" s="15" t="s">
        <v>586</v>
      </c>
      <c r="B26" s="17" t="n">
        <v>2450</v>
      </c>
      <c r="C26" s="18">
        <f>(2185.0/B26*100)</f>
        <v/>
      </c>
      <c r="D26" s="19" t="n">
        <v>265</v>
      </c>
      <c r="E26" s="18" t="n">
        <v>83.69553913</v>
      </c>
      <c r="F26" s="20" t="n">
        <v>2.07447447</v>
      </c>
      <c r="G26" s="18" t="n">
        <v>16.02753369</v>
      </c>
      <c r="H26" s="20" t="n">
        <v>2.05915788</v>
      </c>
      <c r="I26" s="18" t="s">
        <v>567</v>
      </c>
      <c r="J26" s="20" t="s">
        <v>567</v>
      </c>
      <c r="K26" s="18" t="n">
        <v>0</v>
      </c>
      <c r="L26" s="20" t="n">
        <v>0</v>
      </c>
      <c r="M26" s="18" t="n">
        <v>0</v>
      </c>
      <c r="N26" s="20" t="n">
        <v>0</v>
      </c>
      <c r="O26" s="18" t="n">
        <v>0</v>
      </c>
      <c r="P26" s="20" t="n">
        <v>0</v>
      </c>
      <c r="Q26" s="18" t="n">
        <v>0.27692718</v>
      </c>
      <c r="R26" s="20" t="n">
        <v>0.27202683</v>
      </c>
    </row>
    <row r="27" spans="1:18">
      <c r="A27" s="15" t="s">
        <v>587</v>
      </c>
      <c r="B27" s="17" t="n">
        <v>2616</v>
      </c>
      <c r="C27" s="18">
        <f>(2334.0/B27*100)</f>
        <v/>
      </c>
      <c r="D27" s="19" t="n">
        <v>282</v>
      </c>
      <c r="E27" s="18" t="n">
        <v>75.22376300000001</v>
      </c>
      <c r="F27" s="20" t="n">
        <v>2.41892525</v>
      </c>
      <c r="G27" s="18" t="n">
        <v>21.17036538</v>
      </c>
      <c r="H27" s="20" t="n">
        <v>2.43845432</v>
      </c>
      <c r="I27" s="18" t="s">
        <v>567</v>
      </c>
      <c r="J27" s="20" t="s">
        <v>567</v>
      </c>
      <c r="K27" s="18" t="n">
        <v>0.34899969</v>
      </c>
      <c r="L27" s="20" t="n">
        <v>0.34274671</v>
      </c>
      <c r="M27" s="18" t="n">
        <v>0</v>
      </c>
      <c r="N27" s="20" t="n">
        <v>0</v>
      </c>
      <c r="O27" s="18" t="n">
        <v>0</v>
      </c>
      <c r="P27" s="20" t="n">
        <v>0</v>
      </c>
      <c r="Q27" s="18" t="n">
        <v>3.25687193</v>
      </c>
      <c r="R27" s="20" t="n">
        <v>1.03554727</v>
      </c>
    </row>
    <row r="28" spans="1:18">
      <c r="A28" s="15" t="s">
        <v>588</v>
      </c>
      <c r="B28" s="17" t="n">
        <v>3765</v>
      </c>
      <c r="C28" s="18">
        <f>(3366.0/B28*100)</f>
        <v/>
      </c>
      <c r="D28" s="19" t="n">
        <v>399</v>
      </c>
      <c r="E28" s="18" t="n">
        <v>80.40295908</v>
      </c>
      <c r="F28" s="20" t="n">
        <v>2.34333408</v>
      </c>
      <c r="G28" s="18" t="n">
        <v>18.7492841</v>
      </c>
      <c r="H28" s="20" t="n">
        <v>2.43589453</v>
      </c>
      <c r="I28" s="18" t="s">
        <v>567</v>
      </c>
      <c r="J28" s="20" t="s">
        <v>567</v>
      </c>
      <c r="K28" s="18" t="n">
        <v>0</v>
      </c>
      <c r="L28" s="20" t="n">
        <v>0</v>
      </c>
      <c r="M28" s="18" t="n">
        <v>0</v>
      </c>
      <c r="N28" s="20" t="n">
        <v>0</v>
      </c>
      <c r="O28" s="18" t="n">
        <v>0</v>
      </c>
      <c r="P28" s="20" t="n">
        <v>0</v>
      </c>
      <c r="Q28" s="18" t="n">
        <v>0.84775682</v>
      </c>
      <c r="R28" s="20" t="n">
        <v>0.6421920800000001</v>
      </c>
    </row>
    <row r="29" spans="1:18">
      <c r="A29" s="15" t="s">
        <v>589</v>
      </c>
      <c r="B29" s="17" t="n">
        <v>2685</v>
      </c>
      <c r="C29" s="18">
        <f>(2296.0/B29*100)</f>
        <v/>
      </c>
      <c r="D29" s="19" t="n">
        <v>389</v>
      </c>
      <c r="E29" s="18" t="n">
        <v>65.69283387999999</v>
      </c>
      <c r="F29" s="20" t="n">
        <v>2.7540429</v>
      </c>
      <c r="G29" s="18" t="n">
        <v>32.64748257</v>
      </c>
      <c r="H29" s="20" t="n">
        <v>2.80591357</v>
      </c>
      <c r="I29" s="18" t="s">
        <v>567</v>
      </c>
      <c r="J29" s="20" t="s">
        <v>567</v>
      </c>
      <c r="K29" s="18" t="n">
        <v>0.72378323</v>
      </c>
      <c r="L29" s="20" t="n">
        <v>0.49836119</v>
      </c>
      <c r="M29" s="18" t="n">
        <v>0</v>
      </c>
      <c r="N29" s="20" t="n">
        <v>0</v>
      </c>
      <c r="O29" s="18" t="n">
        <v>0</v>
      </c>
      <c r="P29" s="20" t="n">
        <v>0</v>
      </c>
      <c r="Q29" s="18" t="n">
        <v>0.93590032</v>
      </c>
      <c r="R29" s="20" t="n">
        <v>0.46809947</v>
      </c>
    </row>
    <row r="30" spans="1:18">
      <c r="A30" s="15" t="s">
        <v>590</v>
      </c>
      <c r="B30" s="17" t="n">
        <v>2263</v>
      </c>
      <c r="C30" s="18">
        <f>(2033.0/B30*100)</f>
        <v/>
      </c>
      <c r="D30" s="19" t="n">
        <v>230</v>
      </c>
      <c r="E30" s="18" t="n">
        <v>73.92130289000001</v>
      </c>
      <c r="F30" s="20" t="n">
        <v>3.07222741</v>
      </c>
      <c r="G30" s="18" t="n">
        <v>25.0753306</v>
      </c>
      <c r="H30" s="20" t="n">
        <v>3.07524819</v>
      </c>
      <c r="I30" s="18" t="s">
        <v>567</v>
      </c>
      <c r="J30" s="20" t="s">
        <v>567</v>
      </c>
      <c r="K30" s="18" t="n">
        <v>0.4555154</v>
      </c>
      <c r="L30" s="20" t="n">
        <v>0.43506997</v>
      </c>
      <c r="M30" s="18" t="n">
        <v>0</v>
      </c>
      <c r="N30" s="20" t="n">
        <v>0</v>
      </c>
      <c r="O30" s="18" t="n">
        <v>0</v>
      </c>
      <c r="P30" s="20" t="n">
        <v>0</v>
      </c>
      <c r="Q30" s="18" t="n">
        <v>0.54785112</v>
      </c>
      <c r="R30" s="20" t="n">
        <v>0.5249859099999999</v>
      </c>
    </row>
    <row r="31" spans="1:18">
      <c r="A31" s="15" t="s">
        <v>591</v>
      </c>
      <c r="B31" s="17" t="n">
        <v>2750</v>
      </c>
      <c r="C31" s="18">
        <f>(2453.0/B31*100)</f>
        <v/>
      </c>
      <c r="D31" s="19" t="n">
        <v>297</v>
      </c>
      <c r="E31" s="18" t="n">
        <v>70.30513683</v>
      </c>
      <c r="F31" s="20" t="n">
        <v>2.92236889</v>
      </c>
      <c r="G31" s="18" t="n">
        <v>28.00172655</v>
      </c>
      <c r="H31" s="20" t="n">
        <v>2.91254413</v>
      </c>
      <c r="I31" s="18" t="s">
        <v>567</v>
      </c>
      <c r="J31" s="20" t="s">
        <v>567</v>
      </c>
      <c r="K31" s="18" t="n">
        <v>0.33254355</v>
      </c>
      <c r="L31" s="20" t="n">
        <v>0.36048299</v>
      </c>
      <c r="M31" s="18" t="n">
        <v>0</v>
      </c>
      <c r="N31" s="20" t="n">
        <v>0</v>
      </c>
      <c r="O31" s="18" t="n">
        <v>0</v>
      </c>
      <c r="P31" s="20" t="n">
        <v>0</v>
      </c>
      <c r="Q31" s="18" t="n">
        <v>1.36059308</v>
      </c>
      <c r="R31" s="20" t="n">
        <v>0.64232857</v>
      </c>
    </row>
    <row r="32" spans="1:18">
      <c r="A32" s="15" t="s">
        <v>592</v>
      </c>
      <c r="B32" s="17" t="n">
        <v>2269</v>
      </c>
      <c r="C32" s="18">
        <f>(2032.0/B32*100)</f>
        <v/>
      </c>
      <c r="D32" s="19" t="n">
        <v>237</v>
      </c>
      <c r="E32" s="18" t="n">
        <v>70.16363603000001</v>
      </c>
      <c r="F32" s="20" t="n">
        <v>2.7943818</v>
      </c>
      <c r="G32" s="18" t="n">
        <v>28.52820612</v>
      </c>
      <c r="H32" s="20" t="n">
        <v>2.71645208</v>
      </c>
      <c r="I32" s="18" t="s">
        <v>567</v>
      </c>
      <c r="J32" s="20" t="s">
        <v>567</v>
      </c>
      <c r="K32" s="18" t="n">
        <v>0</v>
      </c>
      <c r="L32" s="20" t="n">
        <v>0</v>
      </c>
      <c r="M32" s="18" t="n">
        <v>0</v>
      </c>
      <c r="N32" s="20" t="n">
        <v>0</v>
      </c>
      <c r="O32" s="18" t="n">
        <v>0</v>
      </c>
      <c r="P32" s="20" t="n">
        <v>0</v>
      </c>
      <c r="Q32" s="18" t="n">
        <v>1.30815785</v>
      </c>
      <c r="R32" s="20" t="n">
        <v>0.75866323</v>
      </c>
    </row>
    <row r="33" spans="1:18">
      <c r="A33" s="15" t="s">
        <v>593</v>
      </c>
      <c r="B33" s="17" t="n">
        <v>3674</v>
      </c>
      <c r="C33" s="18">
        <f>(3294.0/B33*100)</f>
        <v/>
      </c>
      <c r="D33" s="19" t="n">
        <v>380</v>
      </c>
      <c r="E33" s="18" t="n">
        <v>75.96892636</v>
      </c>
      <c r="F33" s="20" t="n">
        <v>2.81852855</v>
      </c>
      <c r="G33" s="18" t="n">
        <v>21.99234428</v>
      </c>
      <c r="H33" s="20" t="n">
        <v>2.74248949</v>
      </c>
      <c r="I33" s="18" t="s">
        <v>567</v>
      </c>
      <c r="J33" s="20" t="s">
        <v>567</v>
      </c>
      <c r="K33" s="18" t="n">
        <v>0</v>
      </c>
      <c r="L33" s="20" t="n">
        <v>0</v>
      </c>
      <c r="M33" s="18" t="n">
        <v>0</v>
      </c>
      <c r="N33" s="20" t="n">
        <v>0</v>
      </c>
      <c r="O33" s="18" t="n">
        <v>0</v>
      </c>
      <c r="P33" s="20" t="n">
        <v>0</v>
      </c>
      <c r="Q33" s="18" t="n">
        <v>2.03872936</v>
      </c>
      <c r="R33" s="20" t="n">
        <v>0.90334708</v>
      </c>
    </row>
    <row r="34" spans="1:18">
      <c r="A34" s="15" t="s">
        <v>594</v>
      </c>
      <c r="B34" s="17" t="n">
        <v>3315</v>
      </c>
      <c r="C34" s="18">
        <f>(2884.0/B34*100)</f>
        <v/>
      </c>
      <c r="D34" s="19" t="n">
        <v>431</v>
      </c>
      <c r="E34" s="18" t="n">
        <v>73.32620156</v>
      </c>
      <c r="F34" s="20" t="n">
        <v>2.2940242</v>
      </c>
      <c r="G34" s="18" t="n">
        <v>23.96930797</v>
      </c>
      <c r="H34" s="20" t="n">
        <v>2.24023986</v>
      </c>
      <c r="I34" s="18" t="s">
        <v>567</v>
      </c>
      <c r="J34" s="20" t="s">
        <v>567</v>
      </c>
      <c r="K34" s="18" t="n">
        <v>0.7533193500000001</v>
      </c>
      <c r="L34" s="20" t="n">
        <v>0.36933354</v>
      </c>
      <c r="M34" s="18" t="n">
        <v>0</v>
      </c>
      <c r="N34" s="20" t="n">
        <v>0</v>
      </c>
      <c r="O34" s="18" t="n">
        <v>0</v>
      </c>
      <c r="P34" s="20" t="n">
        <v>0</v>
      </c>
      <c r="Q34" s="18" t="n">
        <v>1.95117112</v>
      </c>
      <c r="R34" s="20" t="n">
        <v>0.72293102</v>
      </c>
    </row>
    <row r="35" spans="1:18">
      <c r="A35" s="15" t="s">
        <v>595</v>
      </c>
      <c r="B35" s="17" t="n">
        <v>3505</v>
      </c>
      <c r="C35" s="18">
        <f>(3017.0/B35*100)</f>
        <v/>
      </c>
      <c r="D35" s="19" t="n">
        <v>488</v>
      </c>
      <c r="E35" s="18" t="n">
        <v>58.23746304</v>
      </c>
      <c r="F35" s="20" t="n">
        <v>2.83686117</v>
      </c>
      <c r="G35" s="18" t="n">
        <v>41.31717385</v>
      </c>
      <c r="H35" s="20" t="n">
        <v>2.8496452</v>
      </c>
      <c r="I35" s="18" t="s">
        <v>567</v>
      </c>
      <c r="J35" s="20" t="s">
        <v>567</v>
      </c>
      <c r="K35" s="18" t="n">
        <v>0.31727628</v>
      </c>
      <c r="L35" s="20" t="n">
        <v>0.12894182</v>
      </c>
      <c r="M35" s="18" t="n">
        <v>0</v>
      </c>
      <c r="N35" s="20" t="n">
        <v>0</v>
      </c>
      <c r="O35" s="18" t="n">
        <v>0</v>
      </c>
      <c r="P35" s="20" t="n">
        <v>0</v>
      </c>
      <c r="Q35" s="18" t="n">
        <v>0.12808682</v>
      </c>
      <c r="R35" s="20" t="n">
        <v>0.12868539</v>
      </c>
    </row>
    <row r="36" spans="1:18">
      <c r="A36" s="15" t="s">
        <v>596</v>
      </c>
      <c r="B36" s="17" t="n">
        <v>3332</v>
      </c>
      <c r="C36" s="18">
        <f>(2975.0/B36*100)</f>
        <v/>
      </c>
      <c r="D36" s="19" t="n">
        <v>357</v>
      </c>
      <c r="E36" s="18" t="n">
        <v>67.07210927</v>
      </c>
      <c r="F36" s="20" t="n">
        <v>2.46841275</v>
      </c>
      <c r="G36" s="18" t="n">
        <v>30.99115136</v>
      </c>
      <c r="H36" s="20" t="n">
        <v>2.50892925</v>
      </c>
      <c r="I36" s="18" t="s">
        <v>567</v>
      </c>
      <c r="J36" s="20" t="s">
        <v>567</v>
      </c>
      <c r="K36" s="18" t="n">
        <v>0.84634199</v>
      </c>
      <c r="L36" s="20" t="n">
        <v>0.66573503</v>
      </c>
      <c r="M36" s="18" t="n">
        <v>0</v>
      </c>
      <c r="N36" s="20" t="n">
        <v>0</v>
      </c>
      <c r="O36" s="18" t="n">
        <v>0</v>
      </c>
      <c r="P36" s="20" t="n">
        <v>0</v>
      </c>
      <c r="Q36" s="18" t="n">
        <v>1.09039737</v>
      </c>
      <c r="R36" s="20" t="n">
        <v>0.55703119</v>
      </c>
    </row>
    <row r="37" spans="1:18">
      <c r="A37" s="15" t="s">
        <v>597</v>
      </c>
      <c r="B37" s="17" t="n">
        <v>2727</v>
      </c>
      <c r="C37" s="18">
        <f>(2424.0/B37*100)</f>
        <v/>
      </c>
      <c r="D37" s="19" t="n">
        <v>303</v>
      </c>
      <c r="E37" s="18" t="n">
        <v>73.81036176000001</v>
      </c>
      <c r="F37" s="20" t="n">
        <v>2.65374522</v>
      </c>
      <c r="G37" s="18" t="n">
        <v>23.64779239</v>
      </c>
      <c r="H37" s="20" t="n">
        <v>2.47320024</v>
      </c>
      <c r="I37" s="18" t="s">
        <v>567</v>
      </c>
      <c r="J37" s="20" t="s">
        <v>567</v>
      </c>
      <c r="K37" s="18" t="n">
        <v>0.31238269</v>
      </c>
      <c r="L37" s="20" t="n">
        <v>0.31360295</v>
      </c>
      <c r="M37" s="18" t="n">
        <v>0</v>
      </c>
      <c r="N37" s="20" t="n">
        <v>0</v>
      </c>
      <c r="O37" s="18" t="n">
        <v>0</v>
      </c>
      <c r="P37" s="20" t="n">
        <v>0</v>
      </c>
      <c r="Q37" s="18" t="n">
        <v>2.22946317</v>
      </c>
      <c r="R37" s="20" t="n">
        <v>0.86868028</v>
      </c>
    </row>
    <row r="38" spans="1:18">
      <c r="A38" s="15" t="s">
        <v>598</v>
      </c>
      <c r="B38" s="17" t="n">
        <v>3053</v>
      </c>
      <c r="C38" s="18">
        <f>(2721.0/B38*100)</f>
        <v/>
      </c>
      <c r="D38" s="19" t="n">
        <v>332</v>
      </c>
      <c r="E38" s="18" t="n">
        <v>75.86869431</v>
      </c>
      <c r="F38" s="20" t="n">
        <v>2.89295963</v>
      </c>
      <c r="G38" s="18" t="n">
        <v>23.57158353</v>
      </c>
      <c r="H38" s="20" t="n">
        <v>2.89582491</v>
      </c>
      <c r="I38" s="18" t="s">
        <v>567</v>
      </c>
      <c r="J38" s="20" t="s">
        <v>567</v>
      </c>
      <c r="K38" s="18" t="n">
        <v>0</v>
      </c>
      <c r="L38" s="20" t="n">
        <v>0</v>
      </c>
      <c r="M38" s="18" t="n">
        <v>0</v>
      </c>
      <c r="N38" s="20" t="n">
        <v>0</v>
      </c>
      <c r="O38" s="18" t="n">
        <v>0</v>
      </c>
      <c r="P38" s="20" t="n">
        <v>0</v>
      </c>
      <c r="Q38" s="18" t="n">
        <v>0.55972216</v>
      </c>
      <c r="R38" s="20" t="n">
        <v>0.35070979</v>
      </c>
    </row>
    <row r="39" spans="1:18">
      <c r="A39" s="15" t="s">
        <v>599</v>
      </c>
      <c r="B39" s="17" t="n">
        <v>2957</v>
      </c>
      <c r="C39" s="18">
        <f>(2618.0/B39*100)</f>
        <v/>
      </c>
      <c r="D39" s="19" t="n">
        <v>339</v>
      </c>
      <c r="E39" s="18" t="n">
        <v>78.66718122</v>
      </c>
      <c r="F39" s="20" t="n">
        <v>2.50552759</v>
      </c>
      <c r="G39" s="18" t="n">
        <v>20.71441964</v>
      </c>
      <c r="H39" s="20" t="n">
        <v>2.47878112</v>
      </c>
      <c r="I39" s="18" t="s">
        <v>567</v>
      </c>
      <c r="J39" s="20" t="s">
        <v>567</v>
      </c>
      <c r="K39" s="18" t="n">
        <v>0</v>
      </c>
      <c r="L39" s="20" t="n">
        <v>0</v>
      </c>
      <c r="M39" s="18" t="n">
        <v>0</v>
      </c>
      <c r="N39" s="20" t="n">
        <v>0</v>
      </c>
      <c r="O39" s="18" t="n">
        <v>0</v>
      </c>
      <c r="P39" s="20" t="n">
        <v>0</v>
      </c>
      <c r="Q39" s="18" t="n">
        <v>0.61839914</v>
      </c>
      <c r="R39" s="20" t="n">
        <v>0.46286185</v>
      </c>
    </row>
    <row r="40" spans="1:18">
      <c r="A40" s="15" t="s">
        <v>600</v>
      </c>
      <c r="B40" s="17" t="n">
        <v>7235</v>
      </c>
      <c r="C40" s="18">
        <f>(6426.0/B40*100)</f>
        <v/>
      </c>
      <c r="D40" s="19" t="n">
        <v>809</v>
      </c>
      <c r="E40" s="18" t="n">
        <v>68.3537256</v>
      </c>
      <c r="F40" s="20" t="n">
        <v>2.46880704</v>
      </c>
      <c r="G40" s="18" t="n">
        <v>30.70876673</v>
      </c>
      <c r="H40" s="20" t="n">
        <v>2.39454129</v>
      </c>
      <c r="I40" s="18" t="s">
        <v>567</v>
      </c>
      <c r="J40" s="20" t="s">
        <v>567</v>
      </c>
      <c r="K40" s="18" t="n">
        <v>0.33274996</v>
      </c>
      <c r="L40" s="20" t="n">
        <v>0.44389518</v>
      </c>
      <c r="M40" s="18" t="n">
        <v>0</v>
      </c>
      <c r="N40" s="20" t="n">
        <v>0</v>
      </c>
      <c r="O40" s="18" t="n">
        <v>0</v>
      </c>
      <c r="P40" s="20" t="n">
        <v>0</v>
      </c>
      <c r="Q40" s="18" t="n">
        <v>0.60475771</v>
      </c>
      <c r="R40" s="20" t="n">
        <v>0.28974737</v>
      </c>
    </row>
    <row r="41" spans="1:18">
      <c r="A41" s="15" t="s">
        <v>601</v>
      </c>
      <c r="B41" s="17" t="n">
        <v>2858</v>
      </c>
      <c r="C41" s="18">
        <f>(2538.0/B41*100)</f>
        <v/>
      </c>
      <c r="D41" s="19" t="n">
        <v>320</v>
      </c>
      <c r="E41" s="18" t="n">
        <v>70.22238206999999</v>
      </c>
      <c r="F41" s="20" t="n">
        <v>3.07899855</v>
      </c>
      <c r="G41" s="18" t="n">
        <v>27.96216186</v>
      </c>
      <c r="H41" s="20" t="n">
        <v>3.07329779</v>
      </c>
      <c r="I41" s="18" t="s">
        <v>567</v>
      </c>
      <c r="J41" s="20" t="s">
        <v>567</v>
      </c>
      <c r="K41" s="18" t="n">
        <v>0.82682283</v>
      </c>
      <c r="L41" s="20" t="n">
        <v>0.59849807</v>
      </c>
      <c r="M41" s="18" t="n">
        <v>0</v>
      </c>
      <c r="N41" s="20" t="n">
        <v>0</v>
      </c>
      <c r="O41" s="18" t="n">
        <v>0</v>
      </c>
      <c r="P41" s="20" t="n">
        <v>0</v>
      </c>
      <c r="Q41" s="18" t="n">
        <v>0.98863324</v>
      </c>
      <c r="R41" s="20" t="n">
        <v>0.55885235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(9952.0/B46*100)</f>
        <v/>
      </c>
      <c r="D46" s="19" t="n">
        <v>1116</v>
      </c>
      <c r="E46" s="18" t="n">
        <v>77.69857795999999</v>
      </c>
      <c r="F46" s="20" t="n">
        <v>1.66661419</v>
      </c>
      <c r="G46" s="18" t="n">
        <v>18.58110515</v>
      </c>
      <c r="H46" s="20" t="n">
        <v>1.54280214</v>
      </c>
      <c r="I46" s="18" t="s">
        <v>567</v>
      </c>
      <c r="J46" s="20" t="s">
        <v>567</v>
      </c>
      <c r="K46" s="18" t="n">
        <v>1.60234727</v>
      </c>
      <c r="L46" s="20" t="n">
        <v>0.43856665</v>
      </c>
      <c r="M46" s="18" t="n">
        <v>0</v>
      </c>
      <c r="N46" s="20" t="n">
        <v>0</v>
      </c>
      <c r="O46" s="18" t="n">
        <v>0</v>
      </c>
      <c r="P46" s="20" t="n">
        <v>0</v>
      </c>
      <c r="Q46" s="18" t="n">
        <v>2.11796962</v>
      </c>
      <c r="R46" s="20" t="n">
        <v>0.47360522</v>
      </c>
    </row>
    <row r="47" spans="1:18">
      <c r="A47" s="15" t="s">
        <v>607</v>
      </c>
      <c r="B47" s="17" t="n">
        <v>3105</v>
      </c>
      <c r="C47" s="18">
        <f>(2749.0/B47*100)</f>
        <v/>
      </c>
      <c r="D47" s="19" t="n">
        <v>356</v>
      </c>
      <c r="E47" s="18" t="n">
        <v>79.01581372</v>
      </c>
      <c r="F47" s="20" t="n">
        <v>2.21448454</v>
      </c>
      <c r="G47" s="18" t="n">
        <v>17.09401161</v>
      </c>
      <c r="H47" s="20" t="n">
        <v>2.00642122</v>
      </c>
      <c r="I47" s="18" t="s">
        <v>567</v>
      </c>
      <c r="J47" s="20" t="s">
        <v>567</v>
      </c>
      <c r="K47" s="18" t="n">
        <v>0.27440315</v>
      </c>
      <c r="L47" s="20" t="n">
        <v>0.24466244</v>
      </c>
      <c r="M47" s="18" t="n">
        <v>0</v>
      </c>
      <c r="N47" s="20" t="n">
        <v>0</v>
      </c>
      <c r="O47" s="18" t="n">
        <v>0</v>
      </c>
      <c r="P47" s="20" t="n">
        <v>0</v>
      </c>
      <c r="Q47" s="18" t="n">
        <v>3.61577152</v>
      </c>
      <c r="R47" s="20" t="n">
        <v>1.08693277</v>
      </c>
    </row>
    <row r="48" spans="1:18">
      <c r="A48" s="15" t="s">
        <v>608</v>
      </c>
      <c r="B48" s="17" t="n">
        <v>5159</v>
      </c>
      <c r="C48" s="18">
        <f>(4590.0/B48*100)</f>
        <v/>
      </c>
      <c r="D48" s="19" t="n">
        <v>569</v>
      </c>
      <c r="E48" s="18" t="n">
        <v>56.5633871</v>
      </c>
      <c r="F48" s="20" t="n">
        <v>2.84277243</v>
      </c>
      <c r="G48" s="18" t="n">
        <v>41.95774632</v>
      </c>
      <c r="H48" s="20" t="n">
        <v>2.74052529</v>
      </c>
      <c r="I48" s="18" t="s">
        <v>567</v>
      </c>
      <c r="J48" s="20" t="s">
        <v>567</v>
      </c>
      <c r="K48" s="18" t="n">
        <v>0.70988354</v>
      </c>
      <c r="L48" s="20" t="n">
        <v>0.50159943</v>
      </c>
      <c r="M48" s="18" t="n">
        <v>0</v>
      </c>
      <c r="N48" s="20" t="n">
        <v>0</v>
      </c>
      <c r="O48" s="18" t="n">
        <v>0</v>
      </c>
      <c r="P48" s="20" t="n">
        <v>0</v>
      </c>
      <c r="Q48" s="18" t="n">
        <v>0.76898304</v>
      </c>
      <c r="R48" s="20" t="n">
        <v>0.46886446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(5047.0/B50*100)</f>
        <v/>
      </c>
      <c r="D50" s="19" t="n">
        <v>590</v>
      </c>
      <c r="E50" s="18" t="n">
        <v>66.72726108000001</v>
      </c>
      <c r="F50" s="20" t="n">
        <v>2.49431861</v>
      </c>
      <c r="G50" s="18" t="n">
        <v>32.02130648</v>
      </c>
      <c r="H50" s="20" t="n">
        <v>2.58441639</v>
      </c>
      <c r="I50" s="18" t="s">
        <v>567</v>
      </c>
      <c r="J50" s="20" t="s">
        <v>567</v>
      </c>
      <c r="K50" s="18" t="n">
        <v>0.72588838</v>
      </c>
      <c r="L50" s="20" t="n">
        <v>0.6758696</v>
      </c>
      <c r="M50" s="18" t="n">
        <v>0</v>
      </c>
      <c r="N50" s="20" t="n">
        <v>0</v>
      </c>
      <c r="O50" s="18" t="n">
        <v>0</v>
      </c>
      <c r="P50" s="20" t="n">
        <v>0</v>
      </c>
      <c r="Q50" s="18" t="n">
        <v>0.52554407</v>
      </c>
      <c r="R50" s="20" t="n">
        <v>0.36748074</v>
      </c>
    </row>
    <row r="51" spans="1:18">
      <c r="A51" s="15" t="s">
        <v>611</v>
      </c>
      <c r="B51" s="17" t="n">
        <v>3372</v>
      </c>
      <c r="C51" s="18">
        <f>(2685.0/B51*100)</f>
        <v/>
      </c>
      <c r="D51" s="19" t="n">
        <v>687</v>
      </c>
      <c r="E51" s="18" t="n">
        <v>73.69624718</v>
      </c>
      <c r="F51" s="20" t="n">
        <v>1.85046922</v>
      </c>
      <c r="G51" s="18" t="n">
        <v>25.29685538</v>
      </c>
      <c r="H51" s="20" t="n">
        <v>1.8307326</v>
      </c>
      <c r="I51" s="18" t="s">
        <v>567</v>
      </c>
      <c r="J51" s="20" t="s">
        <v>567</v>
      </c>
      <c r="K51" s="18" t="n">
        <v>0.3203345</v>
      </c>
      <c r="L51" s="20" t="n">
        <v>0.22802862</v>
      </c>
      <c r="M51" s="18" t="n">
        <v>0</v>
      </c>
      <c r="N51" s="20" t="n">
        <v>0</v>
      </c>
      <c r="O51" s="18" t="n">
        <v>0</v>
      </c>
      <c r="P51" s="20" t="n">
        <v>0</v>
      </c>
      <c r="Q51" s="18" t="n">
        <v>0.68656294</v>
      </c>
      <c r="R51" s="20" t="n">
        <v>0.3184616</v>
      </c>
    </row>
    <row r="52" spans="1:18">
      <c r="A52" s="15" t="s">
        <v>612</v>
      </c>
      <c r="B52" s="17" t="n">
        <v>2796</v>
      </c>
      <c r="C52" s="18">
        <f>(2493.0/B52*100)</f>
        <v/>
      </c>
      <c r="D52" s="19" t="n">
        <v>303</v>
      </c>
      <c r="E52" s="18" t="n">
        <v>70.55976921</v>
      </c>
      <c r="F52" s="20" t="n">
        <v>2.62245568</v>
      </c>
      <c r="G52" s="18" t="n">
        <v>29.13421693</v>
      </c>
      <c r="H52" s="20" t="n">
        <v>2.60907722</v>
      </c>
      <c r="I52" s="18" t="s">
        <v>567</v>
      </c>
      <c r="J52" s="20" t="s">
        <v>567</v>
      </c>
      <c r="K52" s="18" t="n">
        <v>0</v>
      </c>
      <c r="L52" s="20" t="n">
        <v>0</v>
      </c>
      <c r="M52" s="18" t="n">
        <v>0</v>
      </c>
      <c r="N52" s="20" t="n">
        <v>0</v>
      </c>
      <c r="O52" s="18" t="n">
        <v>0</v>
      </c>
      <c r="P52" s="20" t="n">
        <v>0</v>
      </c>
      <c r="Q52" s="18" t="n">
        <v>0.30601386</v>
      </c>
      <c r="R52" s="20" t="n">
        <v>0.30592221</v>
      </c>
    </row>
    <row r="53" spans="1:18">
      <c r="A53" s="15" t="s">
        <v>613</v>
      </c>
      <c r="B53" s="17" t="n">
        <v>2811</v>
      </c>
      <c r="C53" s="18">
        <f>(2517.0/B53*100)</f>
        <v/>
      </c>
      <c r="D53" s="19" t="n">
        <v>294</v>
      </c>
      <c r="E53" s="18" t="n">
        <v>74.80349665</v>
      </c>
      <c r="F53" s="20" t="n">
        <v>2.52345318</v>
      </c>
      <c r="G53" s="18" t="n">
        <v>23.00997103</v>
      </c>
      <c r="H53" s="20" t="n">
        <v>2.58609128</v>
      </c>
      <c r="I53" s="18" t="s">
        <v>567</v>
      </c>
      <c r="J53" s="20" t="s">
        <v>567</v>
      </c>
      <c r="K53" s="18" t="n">
        <v>0.33394651</v>
      </c>
      <c r="L53" s="20" t="n">
        <v>0.33321038</v>
      </c>
      <c r="M53" s="18" t="n">
        <v>0</v>
      </c>
      <c r="N53" s="20" t="n">
        <v>0</v>
      </c>
      <c r="O53" s="18" t="n">
        <v>0</v>
      </c>
      <c r="P53" s="20" t="n">
        <v>0</v>
      </c>
      <c r="Q53" s="18" t="n">
        <v>1.85258582</v>
      </c>
      <c r="R53" s="20" t="n">
        <v>0.6568119</v>
      </c>
    </row>
    <row r="54" spans="1:18">
      <c r="A54" s="15" t="s">
        <v>614</v>
      </c>
      <c r="B54" s="17" t="n">
        <v>2266</v>
      </c>
      <c r="C54" s="18">
        <f>(2012.0/B54*100)</f>
        <v/>
      </c>
      <c r="D54" s="19" t="n">
        <v>254</v>
      </c>
      <c r="E54" s="18" t="n">
        <v>71.74092596</v>
      </c>
      <c r="F54" s="20" t="n">
        <v>3.29235586</v>
      </c>
      <c r="G54" s="18" t="n">
        <v>15.50284575</v>
      </c>
      <c r="H54" s="20" t="n">
        <v>2.73487134</v>
      </c>
      <c r="I54" s="18" t="s">
        <v>567</v>
      </c>
      <c r="J54" s="20" t="s">
        <v>567</v>
      </c>
      <c r="K54" s="18" t="n">
        <v>7.38603444</v>
      </c>
      <c r="L54" s="20" t="n">
        <v>1.89521758</v>
      </c>
      <c r="M54" s="18" t="n">
        <v>0</v>
      </c>
      <c r="N54" s="20" t="n">
        <v>0</v>
      </c>
      <c r="O54" s="18" t="n">
        <v>0</v>
      </c>
      <c r="P54" s="20" t="n">
        <v>0</v>
      </c>
      <c r="Q54" s="18" t="n">
        <v>5.37019384</v>
      </c>
      <c r="R54" s="20" t="n">
        <v>1.73056334</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(2388.0/B56*100)</f>
        <v/>
      </c>
      <c r="D56" s="19" t="n">
        <v>296</v>
      </c>
      <c r="E56" s="18" t="n">
        <v>68.80102359</v>
      </c>
      <c r="F56" s="20" t="n">
        <v>3.18794666</v>
      </c>
      <c r="G56" s="18" t="n">
        <v>29.73794767</v>
      </c>
      <c r="H56" s="20" t="n">
        <v>2.98474681</v>
      </c>
      <c r="I56" s="18" t="s">
        <v>567</v>
      </c>
      <c r="J56" s="20" t="s">
        <v>567</v>
      </c>
      <c r="K56" s="18" t="n">
        <v>1.06236896</v>
      </c>
      <c r="L56" s="20" t="n">
        <v>0.83063315</v>
      </c>
      <c r="M56" s="18" t="n">
        <v>0</v>
      </c>
      <c r="N56" s="20" t="n">
        <v>0</v>
      </c>
      <c r="O56" s="18" t="n">
        <v>0</v>
      </c>
      <c r="P56" s="20" t="n">
        <v>0</v>
      </c>
      <c r="Q56" s="18" t="n">
        <v>0.39865979</v>
      </c>
      <c r="R56" s="20" t="n">
        <v>0.40241822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(2976.0/B61*100)</f>
        <v/>
      </c>
      <c r="D61" s="19" t="n">
        <v>348</v>
      </c>
      <c r="E61" s="18" t="n">
        <v>68.57648371000001</v>
      </c>
      <c r="F61" s="20" t="n">
        <v>2.82935293</v>
      </c>
      <c r="G61" s="18" t="n">
        <v>29.63046275</v>
      </c>
      <c r="H61" s="20" t="n">
        <v>2.72927045</v>
      </c>
      <c r="I61" s="18" t="s">
        <v>567</v>
      </c>
      <c r="J61" s="20" t="s">
        <v>567</v>
      </c>
      <c r="K61" s="18" t="n">
        <v>0</v>
      </c>
      <c r="L61" s="20" t="n">
        <v>0</v>
      </c>
      <c r="M61" s="18" t="n">
        <v>0</v>
      </c>
      <c r="N61" s="20" t="n">
        <v>0</v>
      </c>
      <c r="O61" s="18" t="n">
        <v>0</v>
      </c>
      <c r="P61" s="20" t="n">
        <v>0</v>
      </c>
      <c r="Q61" s="18" t="n">
        <v>1.79305355</v>
      </c>
      <c r="R61" s="20" t="n">
        <v>0.7249651</v>
      </c>
    </row>
    <row r="62" spans="1:18">
      <c r="A62" s="15" t="s">
        <v>622</v>
      </c>
      <c r="B62" s="17" t="n">
        <v>2246</v>
      </c>
      <c r="C62" s="18">
        <f>(1986.0/B62*100)</f>
        <v/>
      </c>
      <c r="D62" s="19" t="n">
        <v>260</v>
      </c>
      <c r="E62" s="18" t="n">
        <v>70.80857955</v>
      </c>
      <c r="F62" s="20" t="n">
        <v>3.04564749</v>
      </c>
      <c r="G62" s="18" t="n">
        <v>29.19142045</v>
      </c>
      <c r="H62" s="20" t="n">
        <v>3.04564749</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(2575.0/B66*100)</f>
        <v/>
      </c>
      <c r="D66" s="19" t="n">
        <v>319</v>
      </c>
      <c r="E66" s="18" t="n">
        <v>73.96305033</v>
      </c>
      <c r="F66" s="20" t="n">
        <v>2.47814908</v>
      </c>
      <c r="G66" s="18" t="n">
        <v>22.46452165</v>
      </c>
      <c r="H66" s="20" t="n">
        <v>2.40346067</v>
      </c>
      <c r="I66" s="18" t="s">
        <v>567</v>
      </c>
      <c r="J66" s="20" t="s">
        <v>567</v>
      </c>
      <c r="K66" s="18" t="n">
        <v>1.30676799</v>
      </c>
      <c r="L66" s="20" t="n">
        <v>0.65375291</v>
      </c>
      <c r="M66" s="18" t="n">
        <v>0</v>
      </c>
      <c r="N66" s="20" t="n">
        <v>0</v>
      </c>
      <c r="O66" s="18" t="n">
        <v>0</v>
      </c>
      <c r="P66" s="20" t="n">
        <v>0</v>
      </c>
      <c r="Q66" s="18" t="n">
        <v>2.26566003</v>
      </c>
      <c r="R66" s="20" t="n">
        <v>0.82386538</v>
      </c>
    </row>
    <row r="67" spans="1:18">
      <c r="A67" s="15" t="s">
        <v>627</v>
      </c>
      <c r="B67" s="17" t="n">
        <v>3511</v>
      </c>
      <c r="C67" s="18">
        <f>(3164.0/B67*100)</f>
        <v/>
      </c>
      <c r="D67" s="19" t="n">
        <v>347</v>
      </c>
      <c r="E67" s="18" t="n">
        <v>72.85967478000001</v>
      </c>
      <c r="F67" s="20" t="n">
        <v>2.33349466</v>
      </c>
      <c r="G67" s="18" t="n">
        <v>25.96243317</v>
      </c>
      <c r="H67" s="20" t="n">
        <v>2.22069717</v>
      </c>
      <c r="I67" s="18" t="s">
        <v>567</v>
      </c>
      <c r="J67" s="20" t="s">
        <v>567</v>
      </c>
      <c r="K67" s="18" t="n">
        <v>0</v>
      </c>
      <c r="L67" s="20" t="n">
        <v>0</v>
      </c>
      <c r="M67" s="18" t="n">
        <v>0</v>
      </c>
      <c r="N67" s="20" t="n">
        <v>0</v>
      </c>
      <c r="O67" s="18" t="n">
        <v>0</v>
      </c>
      <c r="P67" s="20" t="n">
        <v>0</v>
      </c>
      <c r="Q67" s="18" t="n">
        <v>1.17789205</v>
      </c>
      <c r="R67" s="20" t="n">
        <v>0.54840234</v>
      </c>
    </row>
    <row r="68" spans="1:18">
      <c r="A68" s="15" t="s">
        <v>628</v>
      </c>
      <c r="B68" s="17" t="n">
        <v>6049</v>
      </c>
      <c r="C68" s="18">
        <f>(5347.0/B68*100)</f>
        <v/>
      </c>
      <c r="D68" s="19" t="n">
        <v>702</v>
      </c>
      <c r="E68" s="18" t="n">
        <v>68.02177446</v>
      </c>
      <c r="F68" s="20" t="n">
        <v>1.63241786</v>
      </c>
      <c r="G68" s="18" t="n">
        <v>25.66931544</v>
      </c>
      <c r="H68" s="20" t="n">
        <v>1.70791539</v>
      </c>
      <c r="I68" s="18" t="s">
        <v>567</v>
      </c>
      <c r="J68" s="20" t="s">
        <v>567</v>
      </c>
      <c r="K68" s="18" t="n">
        <v>1.79607767</v>
      </c>
      <c r="L68" s="20" t="n">
        <v>0.5281374599999999</v>
      </c>
      <c r="M68" s="18" t="n">
        <v>0</v>
      </c>
      <c r="N68" s="20" t="n">
        <v>0</v>
      </c>
      <c r="O68" s="18" t="n">
        <v>0</v>
      </c>
      <c r="P68" s="20" t="n">
        <v>0</v>
      </c>
      <c r="Q68" s="18" t="n">
        <v>4.51283243</v>
      </c>
      <c r="R68" s="20" t="n">
        <v>0.85103356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(2614.0/B70*100)</f>
        <v/>
      </c>
      <c r="D70" s="19" t="n">
        <v>315</v>
      </c>
      <c r="E70" s="18" t="n">
        <v>69.68163133</v>
      </c>
      <c r="F70" s="20" t="n">
        <v>2.9315001</v>
      </c>
      <c r="G70" s="18" t="n">
        <v>29.4946919</v>
      </c>
      <c r="H70" s="20" t="n">
        <v>2.95659308</v>
      </c>
      <c r="I70" s="18" t="s">
        <v>567</v>
      </c>
      <c r="J70" s="20" t="s">
        <v>567</v>
      </c>
      <c r="K70" s="18" t="n">
        <v>0.21550047</v>
      </c>
      <c r="L70" s="20" t="n">
        <v>0.2159574</v>
      </c>
      <c r="M70" s="18" t="n">
        <v>0</v>
      </c>
      <c r="N70" s="20" t="n">
        <v>0</v>
      </c>
      <c r="O70" s="18" t="n">
        <v>0</v>
      </c>
      <c r="P70" s="20" t="n">
        <v>0</v>
      </c>
      <c r="Q70" s="18" t="n">
        <v>0.6081763100000001</v>
      </c>
      <c r="R70" s="20" t="n">
        <v>0.455106</v>
      </c>
    </row>
    <row r="71" spans="1:18">
      <c r="A71" s="15" t="s">
        <v>631</v>
      </c>
      <c r="B71" s="17" t="n">
        <v>3142</v>
      </c>
      <c r="C71" s="18">
        <f>(2826.0/B71*100)</f>
        <v/>
      </c>
      <c r="D71" s="19" t="n">
        <v>316</v>
      </c>
      <c r="E71" s="18" t="n">
        <v>60.44735481</v>
      </c>
      <c r="F71" s="20" t="n">
        <v>2.79442909</v>
      </c>
      <c r="G71" s="18" t="n">
        <v>38.45178776</v>
      </c>
      <c r="H71" s="20" t="n">
        <v>2.79097065</v>
      </c>
      <c r="I71" s="18" t="s">
        <v>567</v>
      </c>
      <c r="J71" s="20" t="s">
        <v>567</v>
      </c>
      <c r="K71" s="18" t="n">
        <v>0.47189206</v>
      </c>
      <c r="L71" s="20" t="n">
        <v>0.34259444</v>
      </c>
      <c r="M71" s="18" t="n">
        <v>0</v>
      </c>
      <c r="N71" s="20" t="n">
        <v>0</v>
      </c>
      <c r="O71" s="18" t="n">
        <v>0</v>
      </c>
      <c r="P71" s="20" t="n">
        <v>0</v>
      </c>
      <c r="Q71" s="18" t="n">
        <v>0.62896537</v>
      </c>
      <c r="R71" s="20" t="n">
        <v>0.44568563</v>
      </c>
    </row>
    <row r="72" spans="1:18">
      <c r="A72" s="15" t="s">
        <v>632</v>
      </c>
      <c r="B72" s="17" t="n">
        <v>3889</v>
      </c>
      <c r="C72" s="18">
        <f>(3460.0/B72*100)</f>
        <v/>
      </c>
      <c r="D72" s="19" t="n">
        <v>429</v>
      </c>
      <c r="E72" s="18" t="n">
        <v>55.75579486</v>
      </c>
      <c r="F72" s="20" t="n">
        <v>2.48957474</v>
      </c>
      <c r="G72" s="18" t="n">
        <v>43.59977049</v>
      </c>
      <c r="H72" s="20" t="n">
        <v>2.60563155</v>
      </c>
      <c r="I72" s="18" t="s">
        <v>567</v>
      </c>
      <c r="J72" s="20" t="s">
        <v>567</v>
      </c>
      <c r="K72" s="18" t="n">
        <v>0.15817116</v>
      </c>
      <c r="L72" s="20" t="n">
        <v>0.16255288</v>
      </c>
      <c r="M72" s="18" t="n">
        <v>0</v>
      </c>
      <c r="N72" s="20" t="n">
        <v>0</v>
      </c>
      <c r="O72" s="18" t="n">
        <v>0</v>
      </c>
      <c r="P72" s="20" t="n">
        <v>0</v>
      </c>
      <c r="Q72" s="18" t="n">
        <v>0.48626349</v>
      </c>
      <c r="R72" s="20" t="n">
        <v>0.37323903</v>
      </c>
    </row>
    <row r="73" spans="1:18">
      <c r="A73" s="15" t="s">
        <v>633</v>
      </c>
      <c r="B73" s="17" t="n">
        <v>3597</v>
      </c>
      <c r="C73" s="18">
        <f>(3193.0/B73*100)</f>
        <v/>
      </c>
      <c r="D73" s="19" t="n">
        <v>404</v>
      </c>
      <c r="E73" s="18" t="n">
        <v>75.02858091</v>
      </c>
      <c r="F73" s="20" t="n">
        <v>2.86073402</v>
      </c>
      <c r="G73" s="18" t="n">
        <v>24.03088462</v>
      </c>
      <c r="H73" s="20" t="n">
        <v>2.6812887</v>
      </c>
      <c r="I73" s="18" t="s">
        <v>567</v>
      </c>
      <c r="J73" s="20" t="s">
        <v>567</v>
      </c>
      <c r="K73" s="18" t="n">
        <v>0.52371531</v>
      </c>
      <c r="L73" s="20" t="n">
        <v>0.38820017</v>
      </c>
      <c r="M73" s="18" t="n">
        <v>0</v>
      </c>
      <c r="N73" s="20" t="n">
        <v>0</v>
      </c>
      <c r="O73" s="18" t="n">
        <v>0</v>
      </c>
      <c r="P73" s="20" t="n">
        <v>0</v>
      </c>
      <c r="Q73" s="18" t="n">
        <v>0.41681916</v>
      </c>
      <c r="R73" s="20" t="n">
        <v>0.41309325</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(2148.0/B75*100)</f>
        <v/>
      </c>
      <c r="D75" s="19" t="n">
        <v>258</v>
      </c>
      <c r="E75" s="18" t="n">
        <v>87.16575707</v>
      </c>
      <c r="F75" s="20" t="n">
        <v>2.10088447</v>
      </c>
      <c r="G75" s="18" t="n">
        <v>8.61741733</v>
      </c>
      <c r="H75" s="20" t="n">
        <v>1.70009686</v>
      </c>
      <c r="I75" s="18" t="s">
        <v>567</v>
      </c>
      <c r="J75" s="20" t="s">
        <v>567</v>
      </c>
      <c r="K75" s="18" t="n">
        <v>3.34815469</v>
      </c>
      <c r="L75" s="20" t="n">
        <v>1.27016858</v>
      </c>
      <c r="M75" s="18" t="n">
        <v>0</v>
      </c>
      <c r="N75" s="20" t="n">
        <v>0</v>
      </c>
      <c r="O75" s="18" t="n">
        <v>0</v>
      </c>
      <c r="P75" s="20" t="n">
        <v>0</v>
      </c>
      <c r="Q75" s="18" t="n">
        <v>0.86867091</v>
      </c>
      <c r="R75" s="20" t="n">
        <v>0.57839431</v>
      </c>
    </row>
    <row r="76" spans="1:18">
      <c r="A76" s="15" t="s">
        <v>636</v>
      </c>
      <c r="B76" s="17" t="n">
        <v>7052</v>
      </c>
      <c r="C76" s="18">
        <f>(6270.0/B76*100)</f>
        <v/>
      </c>
      <c r="D76" s="19" t="n">
        <v>782</v>
      </c>
      <c r="E76" s="18" t="n">
        <v>64.538365</v>
      </c>
      <c r="F76" s="20" t="n">
        <v>2.32413415</v>
      </c>
      <c r="G76" s="18" t="n">
        <v>32.30393265</v>
      </c>
      <c r="H76" s="20" t="n">
        <v>2.07127036</v>
      </c>
      <c r="I76" s="18" t="s">
        <v>567</v>
      </c>
      <c r="J76" s="20" t="s">
        <v>567</v>
      </c>
      <c r="K76" s="18" t="n">
        <v>0.76124272</v>
      </c>
      <c r="L76" s="20" t="n">
        <v>0.34202894</v>
      </c>
      <c r="M76" s="18" t="n">
        <v>0</v>
      </c>
      <c r="N76" s="20" t="n">
        <v>0</v>
      </c>
      <c r="O76" s="18" t="n">
        <v>0</v>
      </c>
      <c r="P76" s="20" t="n">
        <v>0</v>
      </c>
      <c r="Q76" s="18" t="n">
        <v>2.39645963</v>
      </c>
      <c r="R76" s="20" t="n">
        <v>0.893201</v>
      </c>
    </row>
    <row r="77" spans="1:18">
      <c r="A77" s="15" t="s">
        <v>637</v>
      </c>
      <c r="B77" s="17" t="n">
        <v>2908</v>
      </c>
      <c r="C77" s="18">
        <f>(2591.0/B77*100)</f>
        <v/>
      </c>
      <c r="D77" s="19" t="n">
        <v>317</v>
      </c>
      <c r="E77" s="18" t="n">
        <v>75.08951574</v>
      </c>
      <c r="F77" s="20" t="n">
        <v>2.38364841</v>
      </c>
      <c r="G77" s="18" t="n">
        <v>20.73730762</v>
      </c>
      <c r="H77" s="20" t="n">
        <v>2.18225578</v>
      </c>
      <c r="I77" s="18" t="s">
        <v>567</v>
      </c>
      <c r="J77" s="20" t="s">
        <v>567</v>
      </c>
      <c r="K77" s="18" t="n">
        <v>1.15984448</v>
      </c>
      <c r="L77" s="20" t="n">
        <v>0.57931914</v>
      </c>
      <c r="M77" s="18" t="n">
        <v>0</v>
      </c>
      <c r="N77" s="20" t="n">
        <v>0</v>
      </c>
      <c r="O77" s="18" t="n">
        <v>0</v>
      </c>
      <c r="P77" s="20" t="n">
        <v>0</v>
      </c>
      <c r="Q77" s="18" t="n">
        <v>3.01333216</v>
      </c>
      <c r="R77" s="20" t="n">
        <v>1.00393582</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(3714.0/B81*100)</f>
        <v/>
      </c>
      <c r="D81" s="19" t="n">
        <v>449</v>
      </c>
      <c r="E81" s="18" t="n">
        <v>70.39000885999999</v>
      </c>
      <c r="F81" s="20" t="n">
        <v>2.64027975</v>
      </c>
      <c r="G81" s="18" t="n">
        <v>29.0003291</v>
      </c>
      <c r="H81" s="20" t="n">
        <v>2.67155561</v>
      </c>
      <c r="I81" s="18" t="s">
        <v>567</v>
      </c>
      <c r="J81" s="20" t="s">
        <v>567</v>
      </c>
      <c r="K81" s="18" t="n">
        <v>0</v>
      </c>
      <c r="L81" s="20" t="n">
        <v>0</v>
      </c>
      <c r="M81" s="18" t="n">
        <v>0</v>
      </c>
      <c r="N81" s="20" t="n">
        <v>0</v>
      </c>
      <c r="O81" s="18" t="n">
        <v>0</v>
      </c>
      <c r="P81" s="20" t="n">
        <v>0</v>
      </c>
      <c r="Q81" s="18" t="n">
        <v>0.60966204</v>
      </c>
      <c r="R81" s="20" t="n">
        <v>0.43502274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(6550.0/B7*100)</f>
        <v/>
      </c>
      <c r="D7" s="19" t="n">
        <v>817</v>
      </c>
      <c r="E7" s="18" t="n">
        <v>23.98816837</v>
      </c>
      <c r="F7" s="20" t="n">
        <v>1.98484027</v>
      </c>
      <c r="G7" s="18" t="n">
        <v>75.09039401</v>
      </c>
      <c r="H7" s="20" t="n">
        <v>2.05196739</v>
      </c>
      <c r="I7" s="18" t="s">
        <v>567</v>
      </c>
      <c r="J7" s="20" t="s">
        <v>567</v>
      </c>
      <c r="K7" s="18" t="n">
        <v>0.36041495</v>
      </c>
      <c r="L7" s="20" t="n">
        <v>0.23455738</v>
      </c>
      <c r="M7" s="18" t="n">
        <v>0</v>
      </c>
      <c r="N7" s="20" t="n">
        <v>0</v>
      </c>
      <c r="O7" s="18" t="n">
        <v>0</v>
      </c>
      <c r="P7" s="20" t="n">
        <v>0</v>
      </c>
      <c r="Q7" s="18" t="n">
        <v>0.56102268</v>
      </c>
      <c r="R7" s="20" t="n">
        <v>0.28489684</v>
      </c>
    </row>
    <row r="8" spans="1:18">
      <c r="A8" s="15" t="s">
        <v>568</v>
      </c>
      <c r="B8" s="17" t="n">
        <v>3564</v>
      </c>
      <c r="C8" s="18">
        <f>(3183.0/B8*100)</f>
        <v/>
      </c>
      <c r="D8" s="19" t="n">
        <v>381</v>
      </c>
      <c r="E8" s="18" t="n">
        <v>33.97177576</v>
      </c>
      <c r="F8" s="20" t="n">
        <v>2.88342692</v>
      </c>
      <c r="G8" s="18" t="n">
        <v>66.02822424</v>
      </c>
      <c r="H8" s="20" t="n">
        <v>2.88342692</v>
      </c>
      <c r="I8" s="18" t="s">
        <v>567</v>
      </c>
      <c r="J8" s="20" t="s">
        <v>567</v>
      </c>
      <c r="K8" s="18" t="n">
        <v>0</v>
      </c>
      <c r="L8" s="20" t="n">
        <v>0</v>
      </c>
      <c r="M8" s="18" t="n">
        <v>0</v>
      </c>
      <c r="N8" s="20" t="n">
        <v>0</v>
      </c>
      <c r="O8" s="18" t="n">
        <v>0</v>
      </c>
      <c r="P8" s="20" t="n">
        <v>0</v>
      </c>
      <c r="Q8" s="18" t="n">
        <v>0</v>
      </c>
      <c r="R8" s="20" t="n">
        <v>0</v>
      </c>
    </row>
    <row r="9" spans="1:18">
      <c r="A9" s="15" t="s">
        <v>569</v>
      </c>
      <c r="B9" s="17" t="n">
        <v>4899</v>
      </c>
      <c r="C9" s="18">
        <f>(4223.0/B9*100)</f>
        <v/>
      </c>
      <c r="D9" s="19" t="n">
        <v>676</v>
      </c>
      <c r="E9" s="18" t="n">
        <v>43.01029957</v>
      </c>
      <c r="F9" s="20" t="n">
        <v>2.19081429</v>
      </c>
      <c r="G9" s="18" t="n">
        <v>54.04983544</v>
      </c>
      <c r="H9" s="20" t="n">
        <v>2.42082636</v>
      </c>
      <c r="I9" s="18" t="s">
        <v>567</v>
      </c>
      <c r="J9" s="20" t="s">
        <v>567</v>
      </c>
      <c r="K9" s="18" t="n">
        <v>2.49163375</v>
      </c>
      <c r="L9" s="20" t="n">
        <v>0.85320039</v>
      </c>
      <c r="M9" s="18" t="n">
        <v>0</v>
      </c>
      <c r="N9" s="20" t="n">
        <v>0</v>
      </c>
      <c r="O9" s="18" t="n">
        <v>0</v>
      </c>
      <c r="P9" s="20" t="n">
        <v>0</v>
      </c>
      <c r="Q9" s="18" t="n">
        <v>0.44823124</v>
      </c>
      <c r="R9" s="20" t="n">
        <v>0.3259266</v>
      </c>
    </row>
    <row r="10" spans="1:18">
      <c r="A10" s="15" t="s">
        <v>570</v>
      </c>
      <c r="B10" s="17" t="n">
        <v>10036</v>
      </c>
      <c r="C10" s="18">
        <f>(8963.0/B10*100)</f>
        <v/>
      </c>
      <c r="D10" s="19" t="n">
        <v>1073</v>
      </c>
      <c r="E10" s="18" t="n">
        <v>23.06529482</v>
      </c>
      <c r="F10" s="20" t="n">
        <v>1.68546878</v>
      </c>
      <c r="G10" s="18" t="n">
        <v>76.21782499</v>
      </c>
      <c r="H10" s="20" t="n">
        <v>1.68200038</v>
      </c>
      <c r="I10" s="18" t="s">
        <v>567</v>
      </c>
      <c r="J10" s="20" t="s">
        <v>567</v>
      </c>
      <c r="K10" s="18" t="n">
        <v>0</v>
      </c>
      <c r="L10" s="20" t="n">
        <v>0</v>
      </c>
      <c r="M10" s="18" t="n">
        <v>0</v>
      </c>
      <c r="N10" s="20" t="n">
        <v>0</v>
      </c>
      <c r="O10" s="18" t="n">
        <v>0</v>
      </c>
      <c r="P10" s="20" t="n">
        <v>0</v>
      </c>
      <c r="Q10" s="18" t="n">
        <v>0.71688019</v>
      </c>
      <c r="R10" s="20" t="n">
        <v>0.27530041</v>
      </c>
    </row>
    <row r="11" spans="1:18">
      <c r="A11" s="15" t="s">
        <v>571</v>
      </c>
      <c r="B11" s="17" t="n">
        <v>3553</v>
      </c>
      <c r="C11" s="18">
        <f>(3138.0/B11*100)</f>
        <v/>
      </c>
      <c r="D11" s="19" t="n">
        <v>415</v>
      </c>
      <c r="E11" s="18" t="n">
        <v>28.59408353</v>
      </c>
      <c r="F11" s="20" t="n">
        <v>2.50178096</v>
      </c>
      <c r="G11" s="18" t="n">
        <v>68.86683404</v>
      </c>
      <c r="H11" s="20" t="n">
        <v>2.54252649</v>
      </c>
      <c r="I11" s="18" t="s">
        <v>567</v>
      </c>
      <c r="J11" s="20" t="s">
        <v>567</v>
      </c>
      <c r="K11" s="18" t="n">
        <v>0.90426208</v>
      </c>
      <c r="L11" s="20" t="n">
        <v>0.49239714</v>
      </c>
      <c r="M11" s="18" t="n">
        <v>0</v>
      </c>
      <c r="N11" s="20" t="n">
        <v>0</v>
      </c>
      <c r="O11" s="18" t="n">
        <v>0</v>
      </c>
      <c r="P11" s="20" t="n">
        <v>0</v>
      </c>
      <c r="Q11" s="18" t="n">
        <v>1.63482036</v>
      </c>
      <c r="R11" s="20" t="n">
        <v>0.79206171</v>
      </c>
    </row>
    <row r="12" spans="1:18">
      <c r="A12" s="15" t="s">
        <v>572</v>
      </c>
      <c r="B12" s="17" t="n">
        <v>3472</v>
      </c>
      <c r="C12" s="18">
        <f>(3016.0/B12*100)</f>
        <v/>
      </c>
      <c r="D12" s="19" t="n">
        <v>456</v>
      </c>
      <c r="E12" s="18" t="n">
        <v>33.9641405</v>
      </c>
      <c r="F12" s="20" t="n">
        <v>3.34748025</v>
      </c>
      <c r="G12" s="18" t="n">
        <v>63.81710154</v>
      </c>
      <c r="H12" s="20" t="n">
        <v>3.69045916</v>
      </c>
      <c r="I12" s="18" t="s">
        <v>567</v>
      </c>
      <c r="J12" s="20" t="s">
        <v>567</v>
      </c>
      <c r="K12" s="18" t="n">
        <v>1.16233466</v>
      </c>
      <c r="L12" s="20" t="n">
        <v>0.65685913</v>
      </c>
      <c r="M12" s="18" t="n">
        <v>0</v>
      </c>
      <c r="N12" s="20" t="n">
        <v>0</v>
      </c>
      <c r="O12" s="18" t="n">
        <v>0</v>
      </c>
      <c r="P12" s="20" t="n">
        <v>0</v>
      </c>
      <c r="Q12" s="18" t="n">
        <v>1.05642329</v>
      </c>
      <c r="R12" s="20" t="n">
        <v>0.5452126900000001</v>
      </c>
    </row>
    <row r="13" spans="1:18">
      <c r="A13" s="15" t="s">
        <v>573</v>
      </c>
      <c r="B13" s="17" t="n">
        <v>3559</v>
      </c>
      <c r="C13" s="18">
        <f>(2982.0/B13*100)</f>
        <v/>
      </c>
      <c r="D13" s="19" t="n">
        <v>577</v>
      </c>
      <c r="E13" s="18" t="n">
        <v>32.67840214</v>
      </c>
      <c r="F13" s="20" t="n">
        <v>2.43950215</v>
      </c>
      <c r="G13" s="18" t="n">
        <v>66.16392279999999</v>
      </c>
      <c r="H13" s="20" t="n">
        <v>2.46466603</v>
      </c>
      <c r="I13" s="18" t="s">
        <v>567</v>
      </c>
      <c r="J13" s="20" t="s">
        <v>567</v>
      </c>
      <c r="K13" s="18" t="n">
        <v>0.93129722</v>
      </c>
      <c r="L13" s="20" t="n">
        <v>0.28019857</v>
      </c>
      <c r="M13" s="18" t="n">
        <v>0</v>
      </c>
      <c r="N13" s="20" t="n">
        <v>0</v>
      </c>
      <c r="O13" s="18" t="n">
        <v>0</v>
      </c>
      <c r="P13" s="20" t="n">
        <v>0</v>
      </c>
      <c r="Q13" s="18" t="n">
        <v>0.22637783</v>
      </c>
      <c r="R13" s="20" t="n">
        <v>0.1314124</v>
      </c>
    </row>
    <row r="14" spans="1:18">
      <c r="A14" s="15" t="s">
        <v>574</v>
      </c>
      <c r="B14" s="17" t="n">
        <v>2799</v>
      </c>
      <c r="C14" s="18">
        <f>(2488.0/B14*100)</f>
        <v/>
      </c>
      <c r="D14" s="19" t="n">
        <v>311</v>
      </c>
      <c r="E14" s="18" t="n">
        <v>19.00636007</v>
      </c>
      <c r="F14" s="20" t="n">
        <v>2.52812857</v>
      </c>
      <c r="G14" s="18" t="n">
        <v>80.99363993</v>
      </c>
      <c r="H14" s="20" t="n">
        <v>2.52812857</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(2650.0/B15*100)</f>
        <v/>
      </c>
      <c r="D15" s="19" t="n">
        <v>369</v>
      </c>
      <c r="E15" s="18" t="n">
        <v>31.47072466</v>
      </c>
      <c r="F15" s="20" t="n">
        <v>2.75239599</v>
      </c>
      <c r="G15" s="18" t="n">
        <v>67.23599072</v>
      </c>
      <c r="H15" s="20" t="n">
        <v>2.76989465</v>
      </c>
      <c r="I15" s="18" t="s">
        <v>567</v>
      </c>
      <c r="J15" s="20" t="s">
        <v>567</v>
      </c>
      <c r="K15" s="18" t="n">
        <v>0.50498147</v>
      </c>
      <c r="L15" s="20" t="n">
        <v>0.46958085</v>
      </c>
      <c r="M15" s="18" t="n">
        <v>0</v>
      </c>
      <c r="N15" s="20" t="n">
        <v>0</v>
      </c>
      <c r="O15" s="18" t="n">
        <v>0</v>
      </c>
      <c r="P15" s="20" t="n">
        <v>0</v>
      </c>
      <c r="Q15" s="18" t="n">
        <v>0.78830316</v>
      </c>
      <c r="R15" s="20" t="n">
        <v>0.45806414</v>
      </c>
    </row>
    <row r="16" spans="1:18">
      <c r="A16" s="15" t="s">
        <v>576</v>
      </c>
      <c r="B16" s="17" t="n">
        <v>2997</v>
      </c>
      <c r="C16" s="18">
        <f>(2667.0/B16*100)</f>
        <v/>
      </c>
      <c r="D16" s="19" t="n">
        <v>330</v>
      </c>
      <c r="E16" s="18" t="n">
        <v>25.57833156</v>
      </c>
      <c r="F16" s="20" t="n">
        <v>2.55793943</v>
      </c>
      <c r="G16" s="18" t="n">
        <v>73.4691301</v>
      </c>
      <c r="H16" s="20" t="n">
        <v>2.65485878</v>
      </c>
      <c r="I16" s="18" t="s">
        <v>567</v>
      </c>
      <c r="J16" s="20" t="s">
        <v>567</v>
      </c>
      <c r="K16" s="18" t="n">
        <v>0.31572626</v>
      </c>
      <c r="L16" s="20" t="n">
        <v>0.22196333</v>
      </c>
      <c r="M16" s="18" t="n">
        <v>0</v>
      </c>
      <c r="N16" s="20" t="n">
        <v>0</v>
      </c>
      <c r="O16" s="18" t="n">
        <v>0</v>
      </c>
      <c r="P16" s="20" t="n">
        <v>0</v>
      </c>
      <c r="Q16" s="18" t="n">
        <v>0.6368120900000001</v>
      </c>
      <c r="R16" s="20" t="n">
        <v>0.45183696</v>
      </c>
    </row>
    <row r="17" spans="1:18">
      <c r="A17" s="15" t="s">
        <v>577</v>
      </c>
      <c r="B17" s="17" t="n">
        <v>3307</v>
      </c>
      <c r="C17" s="18">
        <f>(2844.0/B17*100)</f>
        <v/>
      </c>
      <c r="D17" s="19" t="n">
        <v>463</v>
      </c>
      <c r="E17" s="18" t="n">
        <v>33.95744962</v>
      </c>
      <c r="F17" s="20" t="n">
        <v>2.34618138</v>
      </c>
      <c r="G17" s="18" t="n">
        <v>63.44411404</v>
      </c>
      <c r="H17" s="20" t="n">
        <v>2.79259189</v>
      </c>
      <c r="I17" s="18" t="s">
        <v>567</v>
      </c>
      <c r="J17" s="20" t="s">
        <v>567</v>
      </c>
      <c r="K17" s="18" t="n">
        <v>1.99303858</v>
      </c>
      <c r="L17" s="20" t="n">
        <v>0.9987112500000001</v>
      </c>
      <c r="M17" s="18" t="n">
        <v>0</v>
      </c>
      <c r="N17" s="20" t="n">
        <v>0</v>
      </c>
      <c r="O17" s="18" t="n">
        <v>0</v>
      </c>
      <c r="P17" s="20" t="n">
        <v>0</v>
      </c>
      <c r="Q17" s="18" t="n">
        <v>0.60539776</v>
      </c>
      <c r="R17" s="20" t="n">
        <v>0.27902499</v>
      </c>
    </row>
    <row r="18" spans="1:18">
      <c r="A18" s="15" t="s">
        <v>578</v>
      </c>
      <c r="B18" s="17" t="n">
        <v>2826</v>
      </c>
      <c r="C18" s="18">
        <f>(2503.0/B18*100)</f>
        <v/>
      </c>
      <c r="D18" s="19" t="n">
        <v>323</v>
      </c>
      <c r="E18" s="18" t="n">
        <v>41.83400371</v>
      </c>
      <c r="F18" s="20" t="n">
        <v>3.23656393</v>
      </c>
      <c r="G18" s="18" t="n">
        <v>56.62576521</v>
      </c>
      <c r="H18" s="20" t="n">
        <v>3.13229261</v>
      </c>
      <c r="I18" s="18" t="s">
        <v>567</v>
      </c>
      <c r="J18" s="20" t="s">
        <v>567</v>
      </c>
      <c r="K18" s="18" t="n">
        <v>0.66384166</v>
      </c>
      <c r="L18" s="20" t="n">
        <v>0.47371675</v>
      </c>
      <c r="M18" s="18" t="n">
        <v>0</v>
      </c>
      <c r="N18" s="20" t="n">
        <v>0</v>
      </c>
      <c r="O18" s="18" t="n">
        <v>0</v>
      </c>
      <c r="P18" s="20" t="n">
        <v>0</v>
      </c>
      <c r="Q18" s="18" t="n">
        <v>0.87638942</v>
      </c>
      <c r="R18" s="20" t="n">
        <v>0.6387129499999999</v>
      </c>
    </row>
    <row r="19" spans="1:18">
      <c r="A19" s="15" t="s">
        <v>579</v>
      </c>
      <c r="B19" s="17" t="n">
        <v>2808</v>
      </c>
      <c r="C19" s="18">
        <f>(2517.0/B19*100)</f>
        <v/>
      </c>
      <c r="D19" s="19" t="n">
        <v>291</v>
      </c>
      <c r="E19" s="18" t="n">
        <v>38.1552728</v>
      </c>
      <c r="F19" s="20" t="n">
        <v>3.07572457</v>
      </c>
      <c r="G19" s="18" t="n">
        <v>61.15769078</v>
      </c>
      <c r="H19" s="20" t="n">
        <v>3.05206856</v>
      </c>
      <c r="I19" s="18" t="s">
        <v>567</v>
      </c>
      <c r="J19" s="20" t="s">
        <v>567</v>
      </c>
      <c r="K19" s="18" t="n">
        <v>0</v>
      </c>
      <c r="L19" s="20" t="n">
        <v>0</v>
      </c>
      <c r="M19" s="18" t="n">
        <v>0</v>
      </c>
      <c r="N19" s="20" t="n">
        <v>0</v>
      </c>
      <c r="O19" s="18" t="n">
        <v>0</v>
      </c>
      <c r="P19" s="20" t="n">
        <v>0</v>
      </c>
      <c r="Q19" s="18" t="n">
        <v>0.68703642</v>
      </c>
      <c r="R19" s="20" t="n">
        <v>0.47819724</v>
      </c>
    </row>
    <row r="20" spans="1:18">
      <c r="A20" s="15" t="s">
        <v>580</v>
      </c>
      <c r="B20" s="17" t="n">
        <v>1630</v>
      </c>
      <c r="C20" s="18">
        <f>(1463.0/B20*100)</f>
        <v/>
      </c>
      <c r="D20" s="19" t="n">
        <v>167</v>
      </c>
      <c r="E20" s="18" t="n">
        <v>24.84334475</v>
      </c>
      <c r="F20" s="20" t="n">
        <v>3.56953241</v>
      </c>
      <c r="G20" s="18" t="n">
        <v>74.55832365000001</v>
      </c>
      <c r="H20" s="20" t="n">
        <v>3.57826057</v>
      </c>
      <c r="I20" s="18" t="s">
        <v>567</v>
      </c>
      <c r="J20" s="20" t="s">
        <v>567</v>
      </c>
      <c r="K20" s="18" t="n">
        <v>0</v>
      </c>
      <c r="L20" s="20" t="n">
        <v>0</v>
      </c>
      <c r="M20" s="18" t="n">
        <v>0</v>
      </c>
      <c r="N20" s="20" t="n">
        <v>0</v>
      </c>
      <c r="O20" s="18" t="n">
        <v>0</v>
      </c>
      <c r="P20" s="20" t="n">
        <v>0</v>
      </c>
      <c r="Q20" s="18" t="n">
        <v>0.5983316</v>
      </c>
      <c r="R20" s="20" t="n">
        <v>0.59723694</v>
      </c>
    </row>
    <row r="21" spans="1:18">
      <c r="A21" s="15" t="s">
        <v>581</v>
      </c>
      <c r="B21" s="17" t="n">
        <v>2908</v>
      </c>
      <c r="C21" s="18">
        <f>(2606.0/B21*100)</f>
        <v/>
      </c>
      <c r="D21" s="19" t="n">
        <v>302</v>
      </c>
      <c r="E21" s="18" t="n">
        <v>40.64438131</v>
      </c>
      <c r="F21" s="20" t="n">
        <v>2.84473122</v>
      </c>
      <c r="G21" s="18" t="n">
        <v>59.0185156</v>
      </c>
      <c r="H21" s="20" t="n">
        <v>2.90185395</v>
      </c>
      <c r="I21" s="18" t="s">
        <v>567</v>
      </c>
      <c r="J21" s="20" t="s">
        <v>567</v>
      </c>
      <c r="K21" s="18" t="n">
        <v>0</v>
      </c>
      <c r="L21" s="20" t="n">
        <v>0</v>
      </c>
      <c r="M21" s="18" t="n">
        <v>0</v>
      </c>
      <c r="N21" s="20" t="n">
        <v>0</v>
      </c>
      <c r="O21" s="18" t="n">
        <v>0</v>
      </c>
      <c r="P21" s="20" t="n">
        <v>0</v>
      </c>
      <c r="Q21" s="18" t="n">
        <v>0.33710309</v>
      </c>
      <c r="R21" s="20" t="n">
        <v>0.23698726</v>
      </c>
    </row>
    <row r="22" spans="1:18">
      <c r="A22" s="15" t="s">
        <v>582</v>
      </c>
      <c r="B22" s="17" t="n">
        <v>2931</v>
      </c>
      <c r="C22" s="18">
        <f>(2582.0/B22*100)</f>
        <v/>
      </c>
      <c r="D22" s="19" t="n">
        <v>349</v>
      </c>
      <c r="E22" s="18" t="n">
        <v>38.98659236</v>
      </c>
      <c r="F22" s="20" t="n">
        <v>2.48075943</v>
      </c>
      <c r="G22" s="18" t="n">
        <v>58.91180803</v>
      </c>
      <c r="H22" s="20" t="n">
        <v>2.52555301</v>
      </c>
      <c r="I22" s="18" t="s">
        <v>567</v>
      </c>
      <c r="J22" s="20" t="s">
        <v>567</v>
      </c>
      <c r="K22" s="18" t="n">
        <v>0</v>
      </c>
      <c r="L22" s="20" t="n">
        <v>0</v>
      </c>
      <c r="M22" s="18" t="n">
        <v>0</v>
      </c>
      <c r="N22" s="20" t="n">
        <v>0</v>
      </c>
      <c r="O22" s="18" t="n">
        <v>0</v>
      </c>
      <c r="P22" s="20" t="n">
        <v>0</v>
      </c>
      <c r="Q22" s="18" t="n">
        <v>2.10159961</v>
      </c>
      <c r="R22" s="20" t="n">
        <v>0.5811186699999999</v>
      </c>
    </row>
    <row r="23" spans="1:18">
      <c r="A23" s="15" t="s">
        <v>583</v>
      </c>
      <c r="B23" s="17" t="n">
        <v>5791</v>
      </c>
      <c r="C23" s="18">
        <f>(5160.0/B23*100)</f>
        <v/>
      </c>
      <c r="D23" s="19" t="n">
        <v>631</v>
      </c>
      <c r="E23" s="18" t="n">
        <v>20.81432628</v>
      </c>
      <c r="F23" s="20" t="n">
        <v>2.2004761</v>
      </c>
      <c r="G23" s="18" t="n">
        <v>78.58577123000001</v>
      </c>
      <c r="H23" s="20" t="n">
        <v>2.21346847</v>
      </c>
      <c r="I23" s="18" t="s">
        <v>567</v>
      </c>
      <c r="J23" s="20" t="s">
        <v>567</v>
      </c>
      <c r="K23" s="18" t="n">
        <v>0.10793747</v>
      </c>
      <c r="L23" s="20" t="n">
        <v>0.10699458</v>
      </c>
      <c r="M23" s="18" t="n">
        <v>0</v>
      </c>
      <c r="N23" s="20" t="n">
        <v>0</v>
      </c>
      <c r="O23" s="18" t="n">
        <v>0</v>
      </c>
      <c r="P23" s="20" t="n">
        <v>0</v>
      </c>
      <c r="Q23" s="18" t="n">
        <v>0.49196502</v>
      </c>
      <c r="R23" s="20" t="n">
        <v>0.29326196</v>
      </c>
    </row>
    <row r="24" spans="1:18">
      <c r="A24" s="15" t="s">
        <v>584</v>
      </c>
      <c r="B24" s="17" t="n">
        <v>3338</v>
      </c>
      <c r="C24" s="18">
        <f>(2959.0/B24*100)</f>
        <v/>
      </c>
      <c r="D24" s="19" t="n">
        <v>379</v>
      </c>
      <c r="E24" s="18" t="n">
        <v>23.40512695</v>
      </c>
      <c r="F24" s="20" t="n">
        <v>2.31725136</v>
      </c>
      <c r="G24" s="18" t="n">
        <v>76.3396147</v>
      </c>
      <c r="H24" s="20" t="n">
        <v>2.3491731</v>
      </c>
      <c r="I24" s="18" t="s">
        <v>567</v>
      </c>
      <c r="J24" s="20" t="s">
        <v>567</v>
      </c>
      <c r="K24" s="18" t="n">
        <v>0.25525835</v>
      </c>
      <c r="L24" s="20" t="n">
        <v>0.25821211</v>
      </c>
      <c r="M24" s="18" t="n">
        <v>0</v>
      </c>
      <c r="N24" s="20" t="n">
        <v>0</v>
      </c>
      <c r="O24" s="18" t="n">
        <v>0</v>
      </c>
      <c r="P24" s="20" t="n">
        <v>0</v>
      </c>
      <c r="Q24" s="18" t="n">
        <v>0</v>
      </c>
      <c r="R24" s="20" t="n">
        <v>0</v>
      </c>
    </row>
    <row r="25" spans="1:18">
      <c r="A25" s="15" t="s">
        <v>585</v>
      </c>
      <c r="B25" s="17" t="n">
        <v>2912</v>
      </c>
      <c r="C25" s="18">
        <f>(2597.0/B25*100)</f>
        <v/>
      </c>
      <c r="D25" s="19" t="n">
        <v>315</v>
      </c>
      <c r="E25" s="18" t="n">
        <v>22.87163506</v>
      </c>
      <c r="F25" s="20" t="n">
        <v>2.592088</v>
      </c>
      <c r="G25" s="18" t="n">
        <v>76.17727961</v>
      </c>
      <c r="H25" s="20" t="n">
        <v>2.61136065</v>
      </c>
      <c r="I25" s="18" t="s">
        <v>567</v>
      </c>
      <c r="J25" s="20" t="s">
        <v>567</v>
      </c>
      <c r="K25" s="18" t="n">
        <v>0</v>
      </c>
      <c r="L25" s="20" t="n">
        <v>0</v>
      </c>
      <c r="M25" s="18" t="n">
        <v>0</v>
      </c>
      <c r="N25" s="20" t="n">
        <v>0</v>
      </c>
      <c r="O25" s="18" t="n">
        <v>0</v>
      </c>
      <c r="P25" s="20" t="n">
        <v>0</v>
      </c>
      <c r="Q25" s="18" t="n">
        <v>0.95108532</v>
      </c>
      <c r="R25" s="20" t="n">
        <v>0.54040288</v>
      </c>
    </row>
    <row r="26" spans="1:18">
      <c r="A26" s="15" t="s">
        <v>586</v>
      </c>
      <c r="B26" s="17" t="n">
        <v>2450</v>
      </c>
      <c r="C26" s="18">
        <f>(2185.0/B26*100)</f>
        <v/>
      </c>
      <c r="D26" s="19" t="n">
        <v>265</v>
      </c>
      <c r="E26" s="18" t="n">
        <v>36.02138128</v>
      </c>
      <c r="F26" s="20" t="n">
        <v>3.15418375</v>
      </c>
      <c r="G26" s="18" t="n">
        <v>63.70169153</v>
      </c>
      <c r="H26" s="20" t="n">
        <v>3.15700415</v>
      </c>
      <c r="I26" s="18" t="s">
        <v>567</v>
      </c>
      <c r="J26" s="20" t="s">
        <v>567</v>
      </c>
      <c r="K26" s="18" t="n">
        <v>0</v>
      </c>
      <c r="L26" s="20" t="n">
        <v>0</v>
      </c>
      <c r="M26" s="18" t="n">
        <v>0</v>
      </c>
      <c r="N26" s="20" t="n">
        <v>0</v>
      </c>
      <c r="O26" s="18" t="n">
        <v>0</v>
      </c>
      <c r="P26" s="20" t="n">
        <v>0</v>
      </c>
      <c r="Q26" s="18" t="n">
        <v>0.27692718</v>
      </c>
      <c r="R26" s="20" t="n">
        <v>0.27202683</v>
      </c>
    </row>
    <row r="27" spans="1:18">
      <c r="A27" s="15" t="s">
        <v>587</v>
      </c>
      <c r="B27" s="17" t="n">
        <v>2616</v>
      </c>
      <c r="C27" s="18">
        <f>(2334.0/B27*100)</f>
        <v/>
      </c>
      <c r="D27" s="19" t="n">
        <v>282</v>
      </c>
      <c r="E27" s="18" t="n">
        <v>31.87190372</v>
      </c>
      <c r="F27" s="20" t="n">
        <v>2.69151201</v>
      </c>
      <c r="G27" s="18" t="n">
        <v>65.97402355</v>
      </c>
      <c r="H27" s="20" t="n">
        <v>2.91090257</v>
      </c>
      <c r="I27" s="18" t="s">
        <v>567</v>
      </c>
      <c r="J27" s="20" t="s">
        <v>567</v>
      </c>
      <c r="K27" s="18" t="n">
        <v>0.34899969</v>
      </c>
      <c r="L27" s="20" t="n">
        <v>0.34274671</v>
      </c>
      <c r="M27" s="18" t="n">
        <v>0</v>
      </c>
      <c r="N27" s="20" t="n">
        <v>0</v>
      </c>
      <c r="O27" s="18" t="n">
        <v>0</v>
      </c>
      <c r="P27" s="20" t="n">
        <v>0</v>
      </c>
      <c r="Q27" s="18" t="n">
        <v>1.80507304</v>
      </c>
      <c r="R27" s="20" t="n">
        <v>0.77531523</v>
      </c>
    </row>
    <row r="28" spans="1:18">
      <c r="A28" s="15" t="s">
        <v>588</v>
      </c>
      <c r="B28" s="17" t="n">
        <v>3765</v>
      </c>
      <c r="C28" s="18">
        <f>(3367.0/B28*100)</f>
        <v/>
      </c>
      <c r="D28" s="19" t="n">
        <v>398</v>
      </c>
      <c r="E28" s="18" t="n">
        <v>33.57293952</v>
      </c>
      <c r="F28" s="20" t="n">
        <v>2.29998796</v>
      </c>
      <c r="G28" s="18" t="n">
        <v>65.57754067</v>
      </c>
      <c r="H28" s="20" t="n">
        <v>2.37420187</v>
      </c>
      <c r="I28" s="18" t="s">
        <v>567</v>
      </c>
      <c r="J28" s="20" t="s">
        <v>567</v>
      </c>
      <c r="K28" s="18" t="n">
        <v>0</v>
      </c>
      <c r="L28" s="20" t="n">
        <v>0</v>
      </c>
      <c r="M28" s="18" t="n">
        <v>0</v>
      </c>
      <c r="N28" s="20" t="n">
        <v>0</v>
      </c>
      <c r="O28" s="18" t="n">
        <v>0</v>
      </c>
      <c r="P28" s="20" t="n">
        <v>0</v>
      </c>
      <c r="Q28" s="18" t="n">
        <v>0.84951981</v>
      </c>
      <c r="R28" s="20" t="n">
        <v>0.64346761</v>
      </c>
    </row>
    <row r="29" spans="1:18">
      <c r="A29" s="15" t="s">
        <v>589</v>
      </c>
      <c r="B29" s="17" t="n">
        <v>2685</v>
      </c>
      <c r="C29" s="18">
        <f>(2296.0/B29*100)</f>
        <v/>
      </c>
      <c r="D29" s="19" t="n">
        <v>389</v>
      </c>
      <c r="E29" s="18" t="n">
        <v>51.17562819</v>
      </c>
      <c r="F29" s="20" t="n">
        <v>3.50258308</v>
      </c>
      <c r="G29" s="18" t="n">
        <v>47.83413393</v>
      </c>
      <c r="H29" s="20" t="n">
        <v>3.45547165</v>
      </c>
      <c r="I29" s="18" t="s">
        <v>567</v>
      </c>
      <c r="J29" s="20" t="s">
        <v>567</v>
      </c>
      <c r="K29" s="18" t="n">
        <v>0.72378323</v>
      </c>
      <c r="L29" s="20" t="n">
        <v>0.49836119</v>
      </c>
      <c r="M29" s="18" t="n">
        <v>0</v>
      </c>
      <c r="N29" s="20" t="n">
        <v>0</v>
      </c>
      <c r="O29" s="18" t="n">
        <v>0</v>
      </c>
      <c r="P29" s="20" t="n">
        <v>0</v>
      </c>
      <c r="Q29" s="18" t="n">
        <v>0.26645464</v>
      </c>
      <c r="R29" s="20" t="n">
        <v>0.2573444</v>
      </c>
    </row>
    <row r="30" spans="1:18">
      <c r="A30" s="15" t="s">
        <v>590</v>
      </c>
      <c r="B30" s="17" t="n">
        <v>2263</v>
      </c>
      <c r="C30" s="18">
        <f>(2033.0/B30*100)</f>
        <v/>
      </c>
      <c r="D30" s="19" t="n">
        <v>230</v>
      </c>
      <c r="E30" s="18" t="n">
        <v>16.74754349</v>
      </c>
      <c r="F30" s="20" t="n">
        <v>2.36073874</v>
      </c>
      <c r="G30" s="18" t="n">
        <v>82.24909</v>
      </c>
      <c r="H30" s="20" t="n">
        <v>2.40853255</v>
      </c>
      <c r="I30" s="18" t="s">
        <v>567</v>
      </c>
      <c r="J30" s="20" t="s">
        <v>567</v>
      </c>
      <c r="K30" s="18" t="n">
        <v>0.4555154</v>
      </c>
      <c r="L30" s="20" t="n">
        <v>0.43506997</v>
      </c>
      <c r="M30" s="18" t="n">
        <v>0</v>
      </c>
      <c r="N30" s="20" t="n">
        <v>0</v>
      </c>
      <c r="O30" s="18" t="n">
        <v>0</v>
      </c>
      <c r="P30" s="20" t="n">
        <v>0</v>
      </c>
      <c r="Q30" s="18" t="n">
        <v>0.54785112</v>
      </c>
      <c r="R30" s="20" t="n">
        <v>0.5249859099999999</v>
      </c>
    </row>
    <row r="31" spans="1:18">
      <c r="A31" s="15" t="s">
        <v>591</v>
      </c>
      <c r="B31" s="17" t="n">
        <v>2750</v>
      </c>
      <c r="C31" s="18">
        <f>(2453.0/B31*100)</f>
        <v/>
      </c>
      <c r="D31" s="19" t="n">
        <v>297</v>
      </c>
      <c r="E31" s="18" t="n">
        <v>26.53706819</v>
      </c>
      <c r="F31" s="20" t="n">
        <v>2.70578804</v>
      </c>
      <c r="G31" s="18" t="n">
        <v>72.49240012</v>
      </c>
      <c r="H31" s="20" t="n">
        <v>2.63954745</v>
      </c>
      <c r="I31" s="18" t="s">
        <v>567</v>
      </c>
      <c r="J31" s="20" t="s">
        <v>567</v>
      </c>
      <c r="K31" s="18" t="n">
        <v>0.33254355</v>
      </c>
      <c r="L31" s="20" t="n">
        <v>0.36048299</v>
      </c>
      <c r="M31" s="18" t="n">
        <v>0</v>
      </c>
      <c r="N31" s="20" t="n">
        <v>0</v>
      </c>
      <c r="O31" s="18" t="n">
        <v>0</v>
      </c>
      <c r="P31" s="20" t="n">
        <v>0</v>
      </c>
      <c r="Q31" s="18" t="n">
        <v>0.63798814</v>
      </c>
      <c r="R31" s="20" t="n">
        <v>0.41079264</v>
      </c>
    </row>
    <row r="32" spans="1:18">
      <c r="A32" s="15" t="s">
        <v>592</v>
      </c>
      <c r="B32" s="17" t="n">
        <v>2269</v>
      </c>
      <c r="C32" s="18">
        <f>(2032.0/B32*100)</f>
        <v/>
      </c>
      <c r="D32" s="19" t="n">
        <v>237</v>
      </c>
      <c r="E32" s="18" t="n">
        <v>34.9478399</v>
      </c>
      <c r="F32" s="20" t="n">
        <v>3.46107433</v>
      </c>
      <c r="G32" s="18" t="n">
        <v>63.74400225</v>
      </c>
      <c r="H32" s="20" t="n">
        <v>3.62987463</v>
      </c>
      <c r="I32" s="18" t="s">
        <v>567</v>
      </c>
      <c r="J32" s="20" t="s">
        <v>567</v>
      </c>
      <c r="K32" s="18" t="n">
        <v>0</v>
      </c>
      <c r="L32" s="20" t="n">
        <v>0</v>
      </c>
      <c r="M32" s="18" t="n">
        <v>0</v>
      </c>
      <c r="N32" s="20" t="n">
        <v>0</v>
      </c>
      <c r="O32" s="18" t="n">
        <v>0</v>
      </c>
      <c r="P32" s="20" t="n">
        <v>0</v>
      </c>
      <c r="Q32" s="18" t="n">
        <v>1.30815785</v>
      </c>
      <c r="R32" s="20" t="n">
        <v>0.75866323</v>
      </c>
    </row>
    <row r="33" spans="1:18">
      <c r="A33" s="15" t="s">
        <v>593</v>
      </c>
      <c r="B33" s="17" t="n">
        <v>3674</v>
      </c>
      <c r="C33" s="18">
        <f>(3296.0/B33*100)</f>
        <v/>
      </c>
      <c r="D33" s="19" t="n">
        <v>378</v>
      </c>
      <c r="E33" s="18" t="n">
        <v>17.65552209</v>
      </c>
      <c r="F33" s="20" t="n">
        <v>2.16985226</v>
      </c>
      <c r="G33" s="18" t="n">
        <v>81.19505085</v>
      </c>
      <c r="H33" s="20" t="n">
        <v>2.21908255</v>
      </c>
      <c r="I33" s="18" t="s">
        <v>567</v>
      </c>
      <c r="J33" s="20" t="s">
        <v>567</v>
      </c>
      <c r="K33" s="18" t="n">
        <v>0</v>
      </c>
      <c r="L33" s="20" t="n">
        <v>0</v>
      </c>
      <c r="M33" s="18" t="n">
        <v>0</v>
      </c>
      <c r="N33" s="20" t="n">
        <v>0</v>
      </c>
      <c r="O33" s="18" t="n">
        <v>0</v>
      </c>
      <c r="P33" s="20" t="n">
        <v>0</v>
      </c>
      <c r="Q33" s="18" t="n">
        <v>1.14942707</v>
      </c>
      <c r="R33" s="20" t="n">
        <v>0.612139</v>
      </c>
    </row>
    <row r="34" spans="1:18">
      <c r="A34" s="15" t="s">
        <v>594</v>
      </c>
      <c r="B34" s="17" t="n">
        <v>3315</v>
      </c>
      <c r="C34" s="18">
        <f>(2884.0/B34*100)</f>
        <v/>
      </c>
      <c r="D34" s="19" t="n">
        <v>431</v>
      </c>
      <c r="E34" s="18" t="n">
        <v>41.8477788</v>
      </c>
      <c r="F34" s="20" t="n">
        <v>3.15957513</v>
      </c>
      <c r="G34" s="18" t="n">
        <v>55.3871451</v>
      </c>
      <c r="H34" s="20" t="n">
        <v>3.31718291</v>
      </c>
      <c r="I34" s="18" t="s">
        <v>567</v>
      </c>
      <c r="J34" s="20" t="s">
        <v>567</v>
      </c>
      <c r="K34" s="18" t="n">
        <v>1.3180815</v>
      </c>
      <c r="L34" s="20" t="n">
        <v>0.53912025</v>
      </c>
      <c r="M34" s="18" t="n">
        <v>0</v>
      </c>
      <c r="N34" s="20" t="n">
        <v>0</v>
      </c>
      <c r="O34" s="18" t="n">
        <v>0</v>
      </c>
      <c r="P34" s="20" t="n">
        <v>0</v>
      </c>
      <c r="Q34" s="18" t="n">
        <v>1.4469946</v>
      </c>
      <c r="R34" s="20" t="n">
        <v>0.56622775</v>
      </c>
    </row>
    <row r="35" spans="1:18">
      <c r="A35" s="15" t="s">
        <v>595</v>
      </c>
      <c r="B35" s="17" t="n">
        <v>3505</v>
      </c>
      <c r="C35" s="18">
        <f>(3017.0/B35*100)</f>
        <v/>
      </c>
      <c r="D35" s="19" t="n">
        <v>488</v>
      </c>
      <c r="E35" s="18" t="n">
        <v>31.35539616</v>
      </c>
      <c r="F35" s="20" t="n">
        <v>2.70916095</v>
      </c>
      <c r="G35" s="18" t="n">
        <v>68.1016699</v>
      </c>
      <c r="H35" s="20" t="n">
        <v>2.73836922</v>
      </c>
      <c r="I35" s="18" t="s">
        <v>567</v>
      </c>
      <c r="J35" s="20" t="s">
        <v>567</v>
      </c>
      <c r="K35" s="18" t="n">
        <v>0.41484712</v>
      </c>
      <c r="L35" s="20" t="n">
        <v>0.16391422</v>
      </c>
      <c r="M35" s="18" t="n">
        <v>0</v>
      </c>
      <c r="N35" s="20" t="n">
        <v>0</v>
      </c>
      <c r="O35" s="18" t="n">
        <v>0</v>
      </c>
      <c r="P35" s="20" t="n">
        <v>0</v>
      </c>
      <c r="Q35" s="18" t="n">
        <v>0.12808682</v>
      </c>
      <c r="R35" s="20" t="n">
        <v>0.12868539</v>
      </c>
    </row>
    <row r="36" spans="1:18">
      <c r="A36" s="15" t="s">
        <v>596</v>
      </c>
      <c r="B36" s="17" t="n">
        <v>3332</v>
      </c>
      <c r="C36" s="18">
        <f>(2975.0/B36*100)</f>
        <v/>
      </c>
      <c r="D36" s="19" t="n">
        <v>357</v>
      </c>
      <c r="E36" s="18" t="n">
        <v>19.44396636</v>
      </c>
      <c r="F36" s="20" t="n">
        <v>2.09312253</v>
      </c>
      <c r="G36" s="18" t="n">
        <v>79.38850425</v>
      </c>
      <c r="H36" s="20" t="n">
        <v>2.20271298</v>
      </c>
      <c r="I36" s="18" t="s">
        <v>567</v>
      </c>
      <c r="J36" s="20" t="s">
        <v>567</v>
      </c>
      <c r="K36" s="18" t="n">
        <v>0.84634199</v>
      </c>
      <c r="L36" s="20" t="n">
        <v>0.66573503</v>
      </c>
      <c r="M36" s="18" t="n">
        <v>0</v>
      </c>
      <c r="N36" s="20" t="n">
        <v>0</v>
      </c>
      <c r="O36" s="18" t="n">
        <v>0</v>
      </c>
      <c r="P36" s="20" t="n">
        <v>0</v>
      </c>
      <c r="Q36" s="18" t="n">
        <v>0.3211874</v>
      </c>
      <c r="R36" s="20" t="n">
        <v>0.3362575</v>
      </c>
    </row>
    <row r="37" spans="1:18">
      <c r="A37" s="15" t="s">
        <v>597</v>
      </c>
      <c r="B37" s="17" t="n">
        <v>2727</v>
      </c>
      <c r="C37" s="18">
        <f>(2424.0/B37*100)</f>
        <v/>
      </c>
      <c r="D37" s="19" t="n">
        <v>303</v>
      </c>
      <c r="E37" s="18" t="n">
        <v>24.98227859</v>
      </c>
      <c r="F37" s="20" t="n">
        <v>2.66258657</v>
      </c>
      <c r="G37" s="18" t="n">
        <v>72.87340881</v>
      </c>
      <c r="H37" s="20" t="n">
        <v>2.74663253</v>
      </c>
      <c r="I37" s="18" t="s">
        <v>567</v>
      </c>
      <c r="J37" s="20" t="s">
        <v>567</v>
      </c>
      <c r="K37" s="18" t="n">
        <v>0.31238269</v>
      </c>
      <c r="L37" s="20" t="n">
        <v>0.31360295</v>
      </c>
      <c r="M37" s="18" t="n">
        <v>0</v>
      </c>
      <c r="N37" s="20" t="n">
        <v>0</v>
      </c>
      <c r="O37" s="18" t="n">
        <v>0</v>
      </c>
      <c r="P37" s="20" t="n">
        <v>0</v>
      </c>
      <c r="Q37" s="18" t="n">
        <v>1.83192991</v>
      </c>
      <c r="R37" s="20" t="n">
        <v>0.76017525</v>
      </c>
    </row>
    <row r="38" spans="1:18">
      <c r="A38" s="15" t="s">
        <v>598</v>
      </c>
      <c r="B38" s="17" t="n">
        <v>3053</v>
      </c>
      <c r="C38" s="18">
        <f>(2721.0/B38*100)</f>
        <v/>
      </c>
      <c r="D38" s="19" t="n">
        <v>332</v>
      </c>
      <c r="E38" s="18" t="n">
        <v>27.44511326</v>
      </c>
      <c r="F38" s="20" t="n">
        <v>2.82968524</v>
      </c>
      <c r="G38" s="18" t="n">
        <v>72.48799624</v>
      </c>
      <c r="H38" s="20" t="n">
        <v>2.82823954</v>
      </c>
      <c r="I38" s="18" t="s">
        <v>567</v>
      </c>
      <c r="J38" s="20" t="s">
        <v>567</v>
      </c>
      <c r="K38" s="18" t="n">
        <v>0</v>
      </c>
      <c r="L38" s="20" t="n">
        <v>0</v>
      </c>
      <c r="M38" s="18" t="n">
        <v>0</v>
      </c>
      <c r="N38" s="20" t="n">
        <v>0</v>
      </c>
      <c r="O38" s="18" t="n">
        <v>0</v>
      </c>
      <c r="P38" s="20" t="n">
        <v>0</v>
      </c>
      <c r="Q38" s="18" t="n">
        <v>0.06689050000000001</v>
      </c>
      <c r="R38" s="20" t="n">
        <v>0.06749531</v>
      </c>
    </row>
    <row r="39" spans="1:18">
      <c r="A39" s="15" t="s">
        <v>599</v>
      </c>
      <c r="B39" s="17" t="n">
        <v>2957</v>
      </c>
      <c r="C39" s="18">
        <f>(2618.0/B39*100)</f>
        <v/>
      </c>
      <c r="D39" s="19" t="n">
        <v>339</v>
      </c>
      <c r="E39" s="18" t="n">
        <v>42.73895715</v>
      </c>
      <c r="F39" s="20" t="n">
        <v>2.25902524</v>
      </c>
      <c r="G39" s="18" t="n">
        <v>56.58653333</v>
      </c>
      <c r="H39" s="20" t="n">
        <v>2.35451623</v>
      </c>
      <c r="I39" s="18" t="s">
        <v>567</v>
      </c>
      <c r="J39" s="20" t="s">
        <v>567</v>
      </c>
      <c r="K39" s="18" t="n">
        <v>0</v>
      </c>
      <c r="L39" s="20" t="n">
        <v>0</v>
      </c>
      <c r="M39" s="18" t="n">
        <v>0</v>
      </c>
      <c r="N39" s="20" t="n">
        <v>0</v>
      </c>
      <c r="O39" s="18" t="n">
        <v>0</v>
      </c>
      <c r="P39" s="20" t="n">
        <v>0</v>
      </c>
      <c r="Q39" s="18" t="n">
        <v>0.67450952</v>
      </c>
      <c r="R39" s="20" t="n">
        <v>0.49884555</v>
      </c>
    </row>
    <row r="40" spans="1:18">
      <c r="A40" s="15" t="s">
        <v>600</v>
      </c>
      <c r="B40" s="17" t="n">
        <v>7235</v>
      </c>
      <c r="C40" s="18">
        <f>(6425.0/B40*100)</f>
        <v/>
      </c>
      <c r="D40" s="19" t="n">
        <v>810</v>
      </c>
      <c r="E40" s="18" t="n">
        <v>19.6224174</v>
      </c>
      <c r="F40" s="20" t="n">
        <v>2.11642131</v>
      </c>
      <c r="G40" s="18" t="n">
        <v>79.61420197</v>
      </c>
      <c r="H40" s="20" t="n">
        <v>2.08661839</v>
      </c>
      <c r="I40" s="18" t="s">
        <v>567</v>
      </c>
      <c r="J40" s="20" t="s">
        <v>567</v>
      </c>
      <c r="K40" s="18" t="n">
        <v>0.33178493</v>
      </c>
      <c r="L40" s="20" t="n">
        <v>0.44264896</v>
      </c>
      <c r="M40" s="18" t="n">
        <v>0</v>
      </c>
      <c r="N40" s="20" t="n">
        <v>0</v>
      </c>
      <c r="O40" s="18" t="n">
        <v>0</v>
      </c>
      <c r="P40" s="20" t="n">
        <v>0</v>
      </c>
      <c r="Q40" s="18" t="n">
        <v>0.4315957</v>
      </c>
      <c r="R40" s="20" t="n">
        <v>0.27231465</v>
      </c>
    </row>
    <row r="41" spans="1:18">
      <c r="A41" s="15" t="s">
        <v>601</v>
      </c>
      <c r="B41" s="17" t="n">
        <v>2858</v>
      </c>
      <c r="C41" s="18">
        <f>(2538.0/B41*100)</f>
        <v/>
      </c>
      <c r="D41" s="19" t="n">
        <v>320</v>
      </c>
      <c r="E41" s="18" t="n">
        <v>26.51600626</v>
      </c>
      <c r="F41" s="20" t="n">
        <v>2.88653466</v>
      </c>
      <c r="G41" s="18" t="n">
        <v>72.35529379</v>
      </c>
      <c r="H41" s="20" t="n">
        <v>3.09431205</v>
      </c>
      <c r="I41" s="18" t="s">
        <v>567</v>
      </c>
      <c r="J41" s="20" t="s">
        <v>567</v>
      </c>
      <c r="K41" s="18" t="n">
        <v>0.82682283</v>
      </c>
      <c r="L41" s="20" t="n">
        <v>0.59849807</v>
      </c>
      <c r="M41" s="18" t="n">
        <v>0</v>
      </c>
      <c r="N41" s="20" t="n">
        <v>0</v>
      </c>
      <c r="O41" s="18" t="n">
        <v>0</v>
      </c>
      <c r="P41" s="20" t="n">
        <v>0</v>
      </c>
      <c r="Q41" s="18" t="n">
        <v>0.30187712</v>
      </c>
      <c r="R41" s="20" t="n">
        <v>0.27679852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(9959.0/B46*100)</f>
        <v/>
      </c>
      <c r="D46" s="19" t="n">
        <v>1109</v>
      </c>
      <c r="E46" s="18" t="n">
        <v>58.28278558</v>
      </c>
      <c r="F46" s="20" t="n">
        <v>1.93444835</v>
      </c>
      <c r="G46" s="18" t="n">
        <v>38.46947106</v>
      </c>
      <c r="H46" s="20" t="n">
        <v>2.07734353</v>
      </c>
      <c r="I46" s="18" t="s">
        <v>567</v>
      </c>
      <c r="J46" s="20" t="s">
        <v>567</v>
      </c>
      <c r="K46" s="18" t="n">
        <v>1.6959222</v>
      </c>
      <c r="L46" s="20" t="n">
        <v>0.44491707</v>
      </c>
      <c r="M46" s="18" t="n">
        <v>0</v>
      </c>
      <c r="N46" s="20" t="n">
        <v>0</v>
      </c>
      <c r="O46" s="18" t="n">
        <v>0</v>
      </c>
      <c r="P46" s="20" t="n">
        <v>0</v>
      </c>
      <c r="Q46" s="18" t="n">
        <v>1.55182116</v>
      </c>
      <c r="R46" s="20" t="n">
        <v>0.39464248</v>
      </c>
    </row>
    <row r="47" spans="1:18">
      <c r="A47" s="15" t="s">
        <v>607</v>
      </c>
      <c r="B47" s="17" t="n">
        <v>3105</v>
      </c>
      <c r="C47" s="18">
        <f>(2749.0/B47*100)</f>
        <v/>
      </c>
      <c r="D47" s="19" t="n">
        <v>356</v>
      </c>
      <c r="E47" s="18" t="n">
        <v>38.26391332</v>
      </c>
      <c r="F47" s="20" t="n">
        <v>2.68394528</v>
      </c>
      <c r="G47" s="18" t="n">
        <v>59.77167104</v>
      </c>
      <c r="H47" s="20" t="n">
        <v>2.76270999</v>
      </c>
      <c r="I47" s="18" t="s">
        <v>567</v>
      </c>
      <c r="J47" s="20" t="s">
        <v>567</v>
      </c>
      <c r="K47" s="18" t="n">
        <v>0.27440315</v>
      </c>
      <c r="L47" s="20" t="n">
        <v>0.24466244</v>
      </c>
      <c r="M47" s="18" t="n">
        <v>0</v>
      </c>
      <c r="N47" s="20" t="n">
        <v>0</v>
      </c>
      <c r="O47" s="18" t="n">
        <v>0</v>
      </c>
      <c r="P47" s="20" t="n">
        <v>0</v>
      </c>
      <c r="Q47" s="18" t="n">
        <v>1.69001249</v>
      </c>
      <c r="R47" s="20" t="n">
        <v>0.6700698899999999</v>
      </c>
    </row>
    <row r="48" spans="1:18">
      <c r="A48" s="15" t="s">
        <v>608</v>
      </c>
      <c r="B48" s="17" t="n">
        <v>5159</v>
      </c>
      <c r="C48" s="18">
        <f>(4590.0/B48*100)</f>
        <v/>
      </c>
      <c r="D48" s="19" t="n">
        <v>569</v>
      </c>
      <c r="E48" s="18" t="n">
        <v>26.56046433</v>
      </c>
      <c r="F48" s="20" t="n">
        <v>2.82933058</v>
      </c>
      <c r="G48" s="18" t="n">
        <v>72.21891162999999</v>
      </c>
      <c r="H48" s="20" t="n">
        <v>2.8117762</v>
      </c>
      <c r="I48" s="18" t="s">
        <v>567</v>
      </c>
      <c r="J48" s="20" t="s">
        <v>567</v>
      </c>
      <c r="K48" s="18" t="n">
        <v>0.70988354</v>
      </c>
      <c r="L48" s="20" t="n">
        <v>0.50159943</v>
      </c>
      <c r="M48" s="18" t="n">
        <v>0</v>
      </c>
      <c r="N48" s="20" t="n">
        <v>0</v>
      </c>
      <c r="O48" s="18" t="n">
        <v>0</v>
      </c>
      <c r="P48" s="20" t="n">
        <v>0</v>
      </c>
      <c r="Q48" s="18" t="n">
        <v>0.51074051</v>
      </c>
      <c r="R48" s="20" t="n">
        <v>0.39331788</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(5048.0/B50*100)</f>
        <v/>
      </c>
      <c r="D50" s="19" t="n">
        <v>589</v>
      </c>
      <c r="E50" s="18" t="n">
        <v>46.94491943</v>
      </c>
      <c r="F50" s="20" t="n">
        <v>2.650382</v>
      </c>
      <c r="G50" s="18" t="n">
        <v>50.66289405</v>
      </c>
      <c r="H50" s="20" t="n">
        <v>2.24292165</v>
      </c>
      <c r="I50" s="18" t="s">
        <v>567</v>
      </c>
      <c r="J50" s="20" t="s">
        <v>567</v>
      </c>
      <c r="K50" s="18" t="n">
        <v>0.7271043700000001</v>
      </c>
      <c r="L50" s="20" t="n">
        <v>0.67702843</v>
      </c>
      <c r="M50" s="18" t="n">
        <v>0</v>
      </c>
      <c r="N50" s="20" t="n">
        <v>0</v>
      </c>
      <c r="O50" s="18" t="n">
        <v>0</v>
      </c>
      <c r="P50" s="20" t="n">
        <v>0</v>
      </c>
      <c r="Q50" s="18" t="n">
        <v>1.66508216</v>
      </c>
      <c r="R50" s="20" t="n">
        <v>1.15457249</v>
      </c>
    </row>
    <row r="51" spans="1:18">
      <c r="A51" s="15" t="s">
        <v>611</v>
      </c>
      <c r="B51" s="17" t="n">
        <v>3372</v>
      </c>
      <c r="C51" s="18">
        <f>(2687.0/B51*100)</f>
        <v/>
      </c>
      <c r="D51" s="19" t="n">
        <v>685</v>
      </c>
      <c r="E51" s="18" t="n">
        <v>50.03496261</v>
      </c>
      <c r="F51" s="20" t="n">
        <v>2.26922859</v>
      </c>
      <c r="G51" s="18" t="n">
        <v>49.22267876</v>
      </c>
      <c r="H51" s="20" t="n">
        <v>2.22201992</v>
      </c>
      <c r="I51" s="18" t="s">
        <v>567</v>
      </c>
      <c r="J51" s="20" t="s">
        <v>567</v>
      </c>
      <c r="K51" s="18" t="n">
        <v>0.32142848</v>
      </c>
      <c r="L51" s="20" t="n">
        <v>0.22865167</v>
      </c>
      <c r="M51" s="18" t="n">
        <v>0</v>
      </c>
      <c r="N51" s="20" t="n">
        <v>0</v>
      </c>
      <c r="O51" s="18" t="n">
        <v>0</v>
      </c>
      <c r="P51" s="20" t="n">
        <v>0</v>
      </c>
      <c r="Q51" s="18" t="n">
        <v>0.42093015</v>
      </c>
      <c r="R51" s="20" t="n">
        <v>0.24278181</v>
      </c>
    </row>
    <row r="52" spans="1:18">
      <c r="A52" s="15" t="s">
        <v>612</v>
      </c>
      <c r="B52" s="17" t="n">
        <v>2796</v>
      </c>
      <c r="C52" s="18">
        <f>(2493.0/B52*100)</f>
        <v/>
      </c>
      <c r="D52" s="19" t="n">
        <v>303</v>
      </c>
      <c r="E52" s="18" t="n">
        <v>40.06166877</v>
      </c>
      <c r="F52" s="20" t="n">
        <v>3.26456674</v>
      </c>
      <c r="G52" s="18" t="n">
        <v>59.63231737</v>
      </c>
      <c r="H52" s="20" t="n">
        <v>3.28115622</v>
      </c>
      <c r="I52" s="18" t="s">
        <v>567</v>
      </c>
      <c r="J52" s="20" t="s">
        <v>567</v>
      </c>
      <c r="K52" s="18" t="n">
        <v>0</v>
      </c>
      <c r="L52" s="20" t="n">
        <v>0</v>
      </c>
      <c r="M52" s="18" t="n">
        <v>0</v>
      </c>
      <c r="N52" s="20" t="n">
        <v>0</v>
      </c>
      <c r="O52" s="18" t="n">
        <v>0</v>
      </c>
      <c r="P52" s="20" t="n">
        <v>0</v>
      </c>
      <c r="Q52" s="18" t="n">
        <v>0.30601386</v>
      </c>
      <c r="R52" s="20" t="n">
        <v>0.30592221</v>
      </c>
    </row>
    <row r="53" spans="1:18">
      <c r="A53" s="15" t="s">
        <v>613</v>
      </c>
      <c r="B53" s="17" t="n">
        <v>2811</v>
      </c>
      <c r="C53" s="18">
        <f>(2517.0/B53*100)</f>
        <v/>
      </c>
      <c r="D53" s="19" t="n">
        <v>294</v>
      </c>
      <c r="E53" s="18" t="n">
        <v>50.03060224</v>
      </c>
      <c r="F53" s="20" t="n">
        <v>3.14471089</v>
      </c>
      <c r="G53" s="18" t="n">
        <v>48.52103221</v>
      </c>
      <c r="H53" s="20" t="n">
        <v>3.16749905</v>
      </c>
      <c r="I53" s="18" t="s">
        <v>567</v>
      </c>
      <c r="J53" s="20" t="s">
        <v>567</v>
      </c>
      <c r="K53" s="18" t="n">
        <v>0.33394651</v>
      </c>
      <c r="L53" s="20" t="n">
        <v>0.33321038</v>
      </c>
      <c r="M53" s="18" t="n">
        <v>0</v>
      </c>
      <c r="N53" s="20" t="n">
        <v>0</v>
      </c>
      <c r="O53" s="18" t="n">
        <v>0</v>
      </c>
      <c r="P53" s="20" t="n">
        <v>0</v>
      </c>
      <c r="Q53" s="18" t="n">
        <v>1.11441904</v>
      </c>
      <c r="R53" s="20" t="n">
        <v>0.50535032</v>
      </c>
    </row>
    <row r="54" spans="1:18">
      <c r="A54" s="15" t="s">
        <v>614</v>
      </c>
      <c r="B54" s="17" t="n">
        <v>2266</v>
      </c>
      <c r="C54" s="18">
        <f>(2012.0/B54*100)</f>
        <v/>
      </c>
      <c r="D54" s="19" t="n">
        <v>254</v>
      </c>
      <c r="E54" s="18" t="n">
        <v>66.58149573</v>
      </c>
      <c r="F54" s="20" t="n">
        <v>3.84335228</v>
      </c>
      <c r="G54" s="18" t="n">
        <v>20.75236675</v>
      </c>
      <c r="H54" s="20" t="n">
        <v>3.19568939</v>
      </c>
      <c r="I54" s="18" t="s">
        <v>567</v>
      </c>
      <c r="J54" s="20" t="s">
        <v>567</v>
      </c>
      <c r="K54" s="18" t="n">
        <v>8.186531410000001</v>
      </c>
      <c r="L54" s="20" t="n">
        <v>2.05319377</v>
      </c>
      <c r="M54" s="18" t="n">
        <v>0</v>
      </c>
      <c r="N54" s="20" t="n">
        <v>0</v>
      </c>
      <c r="O54" s="18" t="n">
        <v>0</v>
      </c>
      <c r="P54" s="20" t="n">
        <v>0</v>
      </c>
      <c r="Q54" s="18" t="n">
        <v>4.47960611</v>
      </c>
      <c r="R54" s="20" t="n">
        <v>1.48479318</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(2388.0/B56*100)</f>
        <v/>
      </c>
      <c r="D56" s="19" t="n">
        <v>296</v>
      </c>
      <c r="E56" s="18" t="n">
        <v>24.87325275</v>
      </c>
      <c r="F56" s="20" t="n">
        <v>1.8197676</v>
      </c>
      <c r="G56" s="18" t="n">
        <v>73.6657185</v>
      </c>
      <c r="H56" s="20" t="n">
        <v>2.05621581</v>
      </c>
      <c r="I56" s="18" t="s">
        <v>567</v>
      </c>
      <c r="J56" s="20" t="s">
        <v>567</v>
      </c>
      <c r="K56" s="18" t="n">
        <v>1.06236896</v>
      </c>
      <c r="L56" s="20" t="n">
        <v>0.83063315</v>
      </c>
      <c r="M56" s="18" t="n">
        <v>0</v>
      </c>
      <c r="N56" s="20" t="n">
        <v>0</v>
      </c>
      <c r="O56" s="18" t="n">
        <v>0</v>
      </c>
      <c r="P56" s="20" t="n">
        <v>0</v>
      </c>
      <c r="Q56" s="18" t="n">
        <v>0.39865979</v>
      </c>
      <c r="R56" s="20" t="n">
        <v>0.40241822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(2976.0/B61*100)</f>
        <v/>
      </c>
      <c r="D61" s="19" t="n">
        <v>348</v>
      </c>
      <c r="E61" s="18" t="n">
        <v>38.36718612</v>
      </c>
      <c r="F61" s="20" t="n">
        <v>3.05480772</v>
      </c>
      <c r="G61" s="18" t="n">
        <v>60.29241182</v>
      </c>
      <c r="H61" s="20" t="n">
        <v>3.01247406</v>
      </c>
      <c r="I61" s="18" t="s">
        <v>567</v>
      </c>
      <c r="J61" s="20" t="s">
        <v>567</v>
      </c>
      <c r="K61" s="18" t="n">
        <v>0</v>
      </c>
      <c r="L61" s="20" t="n">
        <v>0</v>
      </c>
      <c r="M61" s="18" t="n">
        <v>0</v>
      </c>
      <c r="N61" s="20" t="n">
        <v>0</v>
      </c>
      <c r="O61" s="18" t="n">
        <v>0</v>
      </c>
      <c r="P61" s="20" t="n">
        <v>0</v>
      </c>
      <c r="Q61" s="18" t="n">
        <v>1.34040206</v>
      </c>
      <c r="R61" s="20" t="n">
        <v>0.67066918</v>
      </c>
    </row>
    <row r="62" spans="1:18">
      <c r="A62" s="15" t="s">
        <v>622</v>
      </c>
      <c r="B62" s="17" t="n">
        <v>2246</v>
      </c>
      <c r="C62" s="18">
        <f>(1986.0/B62*100)</f>
        <v/>
      </c>
      <c r="D62" s="19" t="n">
        <v>260</v>
      </c>
      <c r="E62" s="18" t="n">
        <v>21.59029767</v>
      </c>
      <c r="F62" s="20" t="n">
        <v>2.59522799</v>
      </c>
      <c r="G62" s="18" t="n">
        <v>78.40970233</v>
      </c>
      <c r="H62" s="20" t="n">
        <v>2.59522799</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(2576.0/B66*100)</f>
        <v/>
      </c>
      <c r="D66" s="19" t="n">
        <v>318</v>
      </c>
      <c r="E66" s="18" t="n">
        <v>49.33412632</v>
      </c>
      <c r="F66" s="20" t="n">
        <v>2.82394209</v>
      </c>
      <c r="G66" s="18" t="n">
        <v>47.82662461</v>
      </c>
      <c r="H66" s="20" t="n">
        <v>2.82971777</v>
      </c>
      <c r="I66" s="18" t="s">
        <v>567</v>
      </c>
      <c r="J66" s="20" t="s">
        <v>567</v>
      </c>
      <c r="K66" s="18" t="n">
        <v>1.31093517</v>
      </c>
      <c r="L66" s="20" t="n">
        <v>0.65581924</v>
      </c>
      <c r="M66" s="18" t="n">
        <v>0</v>
      </c>
      <c r="N66" s="20" t="n">
        <v>0</v>
      </c>
      <c r="O66" s="18" t="n">
        <v>0</v>
      </c>
      <c r="P66" s="20" t="n">
        <v>0</v>
      </c>
      <c r="Q66" s="18" t="n">
        <v>1.5283139</v>
      </c>
      <c r="R66" s="20" t="n">
        <v>0.68542709</v>
      </c>
    </row>
    <row r="67" spans="1:18">
      <c r="A67" s="15" t="s">
        <v>627</v>
      </c>
      <c r="B67" s="17" t="n">
        <v>3511</v>
      </c>
      <c r="C67" s="18">
        <f>(3165.0/B67*100)</f>
        <v/>
      </c>
      <c r="D67" s="19" t="n">
        <v>346</v>
      </c>
      <c r="E67" s="18" t="n">
        <v>50.49979084</v>
      </c>
      <c r="F67" s="20" t="n">
        <v>2.87601724</v>
      </c>
      <c r="G67" s="18" t="n">
        <v>48.69269172</v>
      </c>
      <c r="H67" s="20" t="n">
        <v>2.79056531</v>
      </c>
      <c r="I67" s="18" t="s">
        <v>567</v>
      </c>
      <c r="J67" s="20" t="s">
        <v>567</v>
      </c>
      <c r="K67" s="18" t="n">
        <v>0</v>
      </c>
      <c r="L67" s="20" t="n">
        <v>0</v>
      </c>
      <c r="M67" s="18" t="n">
        <v>0</v>
      </c>
      <c r="N67" s="20" t="n">
        <v>0</v>
      </c>
      <c r="O67" s="18" t="n">
        <v>0</v>
      </c>
      <c r="P67" s="20" t="n">
        <v>0</v>
      </c>
      <c r="Q67" s="18" t="n">
        <v>0.80751745</v>
      </c>
      <c r="R67" s="20" t="n">
        <v>0.46848484</v>
      </c>
    </row>
    <row r="68" spans="1:18">
      <c r="A68" s="15" t="s">
        <v>628</v>
      </c>
      <c r="B68" s="17" t="n">
        <v>6049</v>
      </c>
      <c r="C68" s="18">
        <f>(5347.0/B68*100)</f>
        <v/>
      </c>
      <c r="D68" s="19" t="n">
        <v>702</v>
      </c>
      <c r="E68" s="18" t="n">
        <v>42.11431636</v>
      </c>
      <c r="F68" s="20" t="n">
        <v>1.73025868</v>
      </c>
      <c r="G68" s="18" t="n">
        <v>52.16332013</v>
      </c>
      <c r="H68" s="20" t="n">
        <v>1.68252872</v>
      </c>
      <c r="I68" s="18" t="s">
        <v>567</v>
      </c>
      <c r="J68" s="20" t="s">
        <v>567</v>
      </c>
      <c r="K68" s="18" t="n">
        <v>1.79607767</v>
      </c>
      <c r="L68" s="20" t="n">
        <v>0.5281374599999999</v>
      </c>
      <c r="M68" s="18" t="n">
        <v>0</v>
      </c>
      <c r="N68" s="20" t="n">
        <v>0</v>
      </c>
      <c r="O68" s="18" t="n">
        <v>0</v>
      </c>
      <c r="P68" s="20" t="n">
        <v>0</v>
      </c>
      <c r="Q68" s="18" t="n">
        <v>3.92628585</v>
      </c>
      <c r="R68" s="20" t="n">
        <v>0.77956515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(2615.0/B70*100)</f>
        <v/>
      </c>
      <c r="D70" s="19" t="n">
        <v>314</v>
      </c>
      <c r="E70" s="18" t="n">
        <v>24.62127508</v>
      </c>
      <c r="F70" s="20" t="n">
        <v>3.02394508</v>
      </c>
      <c r="G70" s="18" t="n">
        <v>75.16273554</v>
      </c>
      <c r="H70" s="20" t="n">
        <v>3.03103415</v>
      </c>
      <c r="I70" s="18" t="s">
        <v>567</v>
      </c>
      <c r="J70" s="20" t="s">
        <v>567</v>
      </c>
      <c r="K70" s="18" t="n">
        <v>0.21598938</v>
      </c>
      <c r="L70" s="20" t="n">
        <v>0.21645029</v>
      </c>
      <c r="M70" s="18" t="n">
        <v>0</v>
      </c>
      <c r="N70" s="20" t="n">
        <v>0</v>
      </c>
      <c r="O70" s="18" t="n">
        <v>0</v>
      </c>
      <c r="P70" s="20" t="n">
        <v>0</v>
      </c>
      <c r="Q70" s="18" t="n">
        <v>0</v>
      </c>
      <c r="R70" s="20" t="n">
        <v>0</v>
      </c>
    </row>
    <row r="71" spans="1:18">
      <c r="A71" s="15" t="s">
        <v>631</v>
      </c>
      <c r="B71" s="17" t="n">
        <v>3142</v>
      </c>
      <c r="C71" s="18">
        <f>(2826.0/B71*100)</f>
        <v/>
      </c>
      <c r="D71" s="19" t="n">
        <v>316</v>
      </c>
      <c r="E71" s="18" t="n">
        <v>32.77996899</v>
      </c>
      <c r="F71" s="20" t="n">
        <v>2.62912962</v>
      </c>
      <c r="G71" s="18" t="n">
        <v>66.11917357999999</v>
      </c>
      <c r="H71" s="20" t="n">
        <v>2.66627238</v>
      </c>
      <c r="I71" s="18" t="s">
        <v>567</v>
      </c>
      <c r="J71" s="20" t="s">
        <v>567</v>
      </c>
      <c r="K71" s="18" t="n">
        <v>0.47189206</v>
      </c>
      <c r="L71" s="20" t="n">
        <v>0.34259444</v>
      </c>
      <c r="M71" s="18" t="n">
        <v>0</v>
      </c>
      <c r="N71" s="20" t="n">
        <v>0</v>
      </c>
      <c r="O71" s="18" t="n">
        <v>0</v>
      </c>
      <c r="P71" s="20" t="n">
        <v>0</v>
      </c>
      <c r="Q71" s="18" t="n">
        <v>0.62896537</v>
      </c>
      <c r="R71" s="20" t="n">
        <v>0.44568563</v>
      </c>
    </row>
    <row r="72" spans="1:18">
      <c r="A72" s="15" t="s">
        <v>632</v>
      </c>
      <c r="B72" s="17" t="n">
        <v>3889</v>
      </c>
      <c r="C72" s="18">
        <f>(3460.0/B72*100)</f>
        <v/>
      </c>
      <c r="D72" s="19" t="n">
        <v>429</v>
      </c>
      <c r="E72" s="18" t="n">
        <v>33.88920399</v>
      </c>
      <c r="F72" s="20" t="n">
        <v>2.34336415</v>
      </c>
      <c r="G72" s="18" t="n">
        <v>65.46636135</v>
      </c>
      <c r="H72" s="20" t="n">
        <v>2.37340698</v>
      </c>
      <c r="I72" s="18" t="s">
        <v>567</v>
      </c>
      <c r="J72" s="20" t="s">
        <v>567</v>
      </c>
      <c r="K72" s="18" t="n">
        <v>0.15817116</v>
      </c>
      <c r="L72" s="20" t="n">
        <v>0.16255288</v>
      </c>
      <c r="M72" s="18" t="n">
        <v>0</v>
      </c>
      <c r="N72" s="20" t="n">
        <v>0</v>
      </c>
      <c r="O72" s="18" t="n">
        <v>0</v>
      </c>
      <c r="P72" s="20" t="n">
        <v>0</v>
      </c>
      <c r="Q72" s="18" t="n">
        <v>0.48626349</v>
      </c>
      <c r="R72" s="20" t="n">
        <v>0.37323903</v>
      </c>
    </row>
    <row r="73" spans="1:18">
      <c r="A73" s="15" t="s">
        <v>633</v>
      </c>
      <c r="B73" s="17" t="n">
        <v>3597</v>
      </c>
      <c r="C73" s="18">
        <f>(3194.0/B73*100)</f>
        <v/>
      </c>
      <c r="D73" s="19" t="n">
        <v>403</v>
      </c>
      <c r="E73" s="18" t="n">
        <v>44.49801298</v>
      </c>
      <c r="F73" s="20" t="n">
        <v>3.73488682</v>
      </c>
      <c r="G73" s="18" t="n">
        <v>54.62639186</v>
      </c>
      <c r="H73" s="20" t="n">
        <v>3.71269125</v>
      </c>
      <c r="I73" s="18" t="s">
        <v>567</v>
      </c>
      <c r="J73" s="20" t="s">
        <v>567</v>
      </c>
      <c r="K73" s="18" t="n">
        <v>0.52654858</v>
      </c>
      <c r="L73" s="20" t="n">
        <v>0.39025691</v>
      </c>
      <c r="M73" s="18" t="n">
        <v>0</v>
      </c>
      <c r="N73" s="20" t="n">
        <v>0</v>
      </c>
      <c r="O73" s="18" t="n">
        <v>0</v>
      </c>
      <c r="P73" s="20" t="n">
        <v>0</v>
      </c>
      <c r="Q73" s="18" t="n">
        <v>0.34904658</v>
      </c>
      <c r="R73" s="20" t="n">
        <v>0.34756912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(2149.0/B75*100)</f>
        <v/>
      </c>
      <c r="D75" s="19" t="n">
        <v>257</v>
      </c>
      <c r="E75" s="18" t="n">
        <v>70.68910463</v>
      </c>
      <c r="F75" s="20" t="n">
        <v>3.26887326</v>
      </c>
      <c r="G75" s="18" t="n">
        <v>25.55502507</v>
      </c>
      <c r="H75" s="20" t="n">
        <v>3.07221247</v>
      </c>
      <c r="I75" s="18" t="s">
        <v>567</v>
      </c>
      <c r="J75" s="20" t="s">
        <v>567</v>
      </c>
      <c r="K75" s="18" t="n">
        <v>3.36516758</v>
      </c>
      <c r="L75" s="20" t="n">
        <v>1.27608165</v>
      </c>
      <c r="M75" s="18" t="n">
        <v>0</v>
      </c>
      <c r="N75" s="20" t="n">
        <v>0</v>
      </c>
      <c r="O75" s="18" t="n">
        <v>0</v>
      </c>
      <c r="P75" s="20" t="n">
        <v>0</v>
      </c>
      <c r="Q75" s="18" t="n">
        <v>0.39070272</v>
      </c>
      <c r="R75" s="20" t="n">
        <v>0.42823578</v>
      </c>
    </row>
    <row r="76" spans="1:18">
      <c r="A76" s="15" t="s">
        <v>636</v>
      </c>
      <c r="B76" s="17" t="n">
        <v>7052</v>
      </c>
      <c r="C76" s="18">
        <f>(6270.0/B76*100)</f>
        <v/>
      </c>
      <c r="D76" s="19" t="n">
        <v>782</v>
      </c>
      <c r="E76" s="18" t="n">
        <v>38.45966822</v>
      </c>
      <c r="F76" s="20" t="n">
        <v>2.21571171</v>
      </c>
      <c r="G76" s="18" t="n">
        <v>59.09466387</v>
      </c>
      <c r="H76" s="20" t="n">
        <v>2.2814318</v>
      </c>
      <c r="I76" s="18" t="s">
        <v>567</v>
      </c>
      <c r="J76" s="20" t="s">
        <v>567</v>
      </c>
      <c r="K76" s="18" t="n">
        <v>0.76124272</v>
      </c>
      <c r="L76" s="20" t="n">
        <v>0.34202894</v>
      </c>
      <c r="M76" s="18" t="n">
        <v>0</v>
      </c>
      <c r="N76" s="20" t="n">
        <v>0</v>
      </c>
      <c r="O76" s="18" t="n">
        <v>0</v>
      </c>
      <c r="P76" s="20" t="n">
        <v>0</v>
      </c>
      <c r="Q76" s="18" t="n">
        <v>1.68442519</v>
      </c>
      <c r="R76" s="20" t="n">
        <v>0.54351536</v>
      </c>
    </row>
    <row r="77" spans="1:18">
      <c r="A77" s="15" t="s">
        <v>637</v>
      </c>
      <c r="B77" s="17" t="n">
        <v>2908</v>
      </c>
      <c r="C77" s="18">
        <f>(2591.0/B77*100)</f>
        <v/>
      </c>
      <c r="D77" s="19" t="n">
        <v>317</v>
      </c>
      <c r="E77" s="18" t="n">
        <v>47.51294</v>
      </c>
      <c r="F77" s="20" t="n">
        <v>2.94541035</v>
      </c>
      <c r="G77" s="18" t="n">
        <v>49.4704186</v>
      </c>
      <c r="H77" s="20" t="n">
        <v>2.94020259</v>
      </c>
      <c r="I77" s="18" t="s">
        <v>567</v>
      </c>
      <c r="J77" s="20" t="s">
        <v>567</v>
      </c>
      <c r="K77" s="18" t="n">
        <v>1.15984448</v>
      </c>
      <c r="L77" s="20" t="n">
        <v>0.57931914</v>
      </c>
      <c r="M77" s="18" t="n">
        <v>0</v>
      </c>
      <c r="N77" s="20" t="n">
        <v>0</v>
      </c>
      <c r="O77" s="18" t="n">
        <v>0</v>
      </c>
      <c r="P77" s="20" t="n">
        <v>0</v>
      </c>
      <c r="Q77" s="18" t="n">
        <v>1.85679693</v>
      </c>
      <c r="R77" s="20" t="n">
        <v>0.80440729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(3714.0/B81*100)</f>
        <v/>
      </c>
      <c r="D81" s="19" t="n">
        <v>449</v>
      </c>
      <c r="E81" s="18" t="n">
        <v>31.82908401</v>
      </c>
      <c r="F81" s="20" t="n">
        <v>2.59630549</v>
      </c>
      <c r="G81" s="18" t="n">
        <v>67.56125394999999</v>
      </c>
      <c r="H81" s="20" t="n">
        <v>2.58535122</v>
      </c>
      <c r="I81" s="18" t="s">
        <v>567</v>
      </c>
      <c r="J81" s="20" t="s">
        <v>567</v>
      </c>
      <c r="K81" s="18" t="n">
        <v>0</v>
      </c>
      <c r="L81" s="20" t="n">
        <v>0</v>
      </c>
      <c r="M81" s="18" t="n">
        <v>0</v>
      </c>
      <c r="N81" s="20" t="n">
        <v>0</v>
      </c>
      <c r="O81" s="18" t="n">
        <v>0</v>
      </c>
      <c r="P81" s="20" t="n">
        <v>0</v>
      </c>
      <c r="Q81" s="18" t="n">
        <v>0.60966204</v>
      </c>
      <c r="R81" s="20" t="n">
        <v>0.43502274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(6552.0/B7*100)</f>
        <v/>
      </c>
      <c r="D7" s="19" t="n">
        <v>815</v>
      </c>
      <c r="E7" s="18" t="n">
        <v>50.25277028</v>
      </c>
      <c r="F7" s="20" t="n">
        <v>2.14262831</v>
      </c>
      <c r="G7" s="18" t="n">
        <v>49.14974461</v>
      </c>
      <c r="H7" s="20" t="n">
        <v>2.12322263</v>
      </c>
      <c r="I7" s="18" t="s">
        <v>567</v>
      </c>
      <c r="J7" s="20" t="s">
        <v>567</v>
      </c>
      <c r="K7" s="18" t="n">
        <v>0.36107114</v>
      </c>
      <c r="L7" s="20" t="n">
        <v>0.23498669</v>
      </c>
      <c r="M7" s="18" t="n">
        <v>0</v>
      </c>
      <c r="N7" s="20" t="n">
        <v>0</v>
      </c>
      <c r="O7" s="18" t="n">
        <v>0</v>
      </c>
      <c r="P7" s="20" t="n">
        <v>0</v>
      </c>
      <c r="Q7" s="18" t="n">
        <v>0.23641397</v>
      </c>
      <c r="R7" s="20" t="n">
        <v>0.13018673</v>
      </c>
    </row>
    <row r="8" spans="1:18">
      <c r="A8" s="15" t="s">
        <v>568</v>
      </c>
      <c r="B8" s="17" t="n">
        <v>3564</v>
      </c>
      <c r="C8" s="18">
        <f>(3190.0/B8*100)</f>
        <v/>
      </c>
      <c r="D8" s="19" t="n">
        <v>374</v>
      </c>
      <c r="E8" s="18" t="n">
        <v>37.90774207</v>
      </c>
      <c r="F8" s="20" t="n">
        <v>2.70508392</v>
      </c>
      <c r="G8" s="18" t="n">
        <v>60.60065096</v>
      </c>
      <c r="H8" s="20" t="n">
        <v>2.70150727</v>
      </c>
      <c r="I8" s="18" t="s">
        <v>567</v>
      </c>
      <c r="J8" s="20" t="s">
        <v>567</v>
      </c>
      <c r="K8" s="18" t="n">
        <v>0</v>
      </c>
      <c r="L8" s="20" t="n">
        <v>0</v>
      </c>
      <c r="M8" s="18" t="n">
        <v>0</v>
      </c>
      <c r="N8" s="20" t="n">
        <v>0</v>
      </c>
      <c r="O8" s="18" t="n">
        <v>0</v>
      </c>
      <c r="P8" s="20" t="n">
        <v>0</v>
      </c>
      <c r="Q8" s="18" t="n">
        <v>1.49160697</v>
      </c>
      <c r="R8" s="20" t="n">
        <v>0.61678773</v>
      </c>
    </row>
    <row r="9" spans="1:18">
      <c r="A9" s="15" t="s">
        <v>569</v>
      </c>
      <c r="B9" s="17" t="n">
        <v>4899</v>
      </c>
      <c r="C9" s="18">
        <f>(4384.0/B9*100)</f>
        <v/>
      </c>
      <c r="D9" s="19" t="n">
        <v>515</v>
      </c>
      <c r="E9" s="18" t="n">
        <v>38.0753821</v>
      </c>
      <c r="F9" s="20" t="n">
        <v>2.2705321</v>
      </c>
      <c r="G9" s="18" t="n">
        <v>60.85467658</v>
      </c>
      <c r="H9" s="20" t="n">
        <v>2.23740934</v>
      </c>
      <c r="I9" s="18" t="s">
        <v>567</v>
      </c>
      <c r="J9" s="20" t="s">
        <v>567</v>
      </c>
      <c r="K9" s="18" t="n">
        <v>0.35935216</v>
      </c>
      <c r="L9" s="20" t="n">
        <v>0.24732036</v>
      </c>
      <c r="M9" s="18" t="n">
        <v>0</v>
      </c>
      <c r="N9" s="20" t="n">
        <v>0</v>
      </c>
      <c r="O9" s="18" t="n">
        <v>0</v>
      </c>
      <c r="P9" s="20" t="n">
        <v>0</v>
      </c>
      <c r="Q9" s="18" t="n">
        <v>0.7105891600000001</v>
      </c>
      <c r="R9" s="20" t="n">
        <v>0.44657275</v>
      </c>
    </row>
    <row r="10" spans="1:18">
      <c r="A10" s="15" t="s">
        <v>570</v>
      </c>
      <c r="B10" s="17" t="n">
        <v>10036</v>
      </c>
      <c r="C10" s="18">
        <f>(8964.0/B10*100)</f>
        <v/>
      </c>
      <c r="D10" s="19" t="n">
        <v>1072</v>
      </c>
      <c r="E10" s="18" t="n">
        <v>52.69496671</v>
      </c>
      <c r="F10" s="20" t="n">
        <v>2.24387364</v>
      </c>
      <c r="G10" s="18" t="n">
        <v>46.52151242</v>
      </c>
      <c r="H10" s="20" t="n">
        <v>2.31276575</v>
      </c>
      <c r="I10" s="18" t="s">
        <v>567</v>
      </c>
      <c r="J10" s="20" t="s">
        <v>567</v>
      </c>
      <c r="K10" s="18" t="n">
        <v>0.03468574</v>
      </c>
      <c r="L10" s="20" t="n">
        <v>0.03441585</v>
      </c>
      <c r="M10" s="18" t="n">
        <v>0</v>
      </c>
      <c r="N10" s="20" t="n">
        <v>0</v>
      </c>
      <c r="O10" s="18" t="n">
        <v>0</v>
      </c>
      <c r="P10" s="20" t="n">
        <v>0</v>
      </c>
      <c r="Q10" s="18" t="n">
        <v>0.74883513</v>
      </c>
      <c r="R10" s="20" t="n">
        <v>0.4616623</v>
      </c>
    </row>
    <row r="11" spans="1:18">
      <c r="A11" s="15" t="s">
        <v>571</v>
      </c>
      <c r="B11" s="17" t="n">
        <v>3553</v>
      </c>
      <c r="C11" s="18">
        <f>(3141.0/B11*100)</f>
        <v/>
      </c>
      <c r="D11" s="19" t="n">
        <v>412</v>
      </c>
      <c r="E11" s="18" t="n">
        <v>57.14649729</v>
      </c>
      <c r="F11" s="20" t="n">
        <v>3.19899282</v>
      </c>
      <c r="G11" s="18" t="n">
        <v>40.43179582</v>
      </c>
      <c r="H11" s="20" t="n">
        <v>3.47094552</v>
      </c>
      <c r="I11" s="18" t="s">
        <v>567</v>
      </c>
      <c r="J11" s="20" t="s">
        <v>567</v>
      </c>
      <c r="K11" s="18" t="n">
        <v>0.9099585</v>
      </c>
      <c r="L11" s="20" t="n">
        <v>0.49544716</v>
      </c>
      <c r="M11" s="18" t="n">
        <v>0</v>
      </c>
      <c r="N11" s="20" t="n">
        <v>0</v>
      </c>
      <c r="O11" s="18" t="n">
        <v>0</v>
      </c>
      <c r="P11" s="20" t="n">
        <v>0</v>
      </c>
      <c r="Q11" s="18" t="n">
        <v>1.5117484</v>
      </c>
      <c r="R11" s="20" t="n">
        <v>0.70789116</v>
      </c>
    </row>
    <row r="12" spans="1:18">
      <c r="A12" s="15" t="s">
        <v>572</v>
      </c>
      <c r="B12" s="17" t="n">
        <v>3472</v>
      </c>
      <c r="C12" s="18">
        <f>(3060.0/B12*100)</f>
        <v/>
      </c>
      <c r="D12" s="19" t="n">
        <v>412</v>
      </c>
      <c r="E12" s="18" t="n">
        <v>41.00507277</v>
      </c>
      <c r="F12" s="20" t="n">
        <v>3.18032656</v>
      </c>
      <c r="G12" s="18" t="n">
        <v>58.03950576</v>
      </c>
      <c r="H12" s="20" t="n">
        <v>3.12720417</v>
      </c>
      <c r="I12" s="18" t="s">
        <v>567</v>
      </c>
      <c r="J12" s="20" t="s">
        <v>567</v>
      </c>
      <c r="K12" s="18" t="n">
        <v>0</v>
      </c>
      <c r="L12" s="20" t="n">
        <v>0</v>
      </c>
      <c r="M12" s="18" t="n">
        <v>0</v>
      </c>
      <c r="N12" s="20" t="n">
        <v>0</v>
      </c>
      <c r="O12" s="18" t="n">
        <v>0</v>
      </c>
      <c r="P12" s="20" t="n">
        <v>0</v>
      </c>
      <c r="Q12" s="18" t="n">
        <v>0.95542147</v>
      </c>
      <c r="R12" s="20" t="n">
        <v>0.58823844</v>
      </c>
    </row>
    <row r="13" spans="1:18">
      <c r="A13" s="15" t="s">
        <v>573</v>
      </c>
      <c r="B13" s="17" t="n">
        <v>3559</v>
      </c>
      <c r="C13" s="18">
        <f>(3175.0/B13*100)</f>
        <v/>
      </c>
      <c r="D13" s="19" t="n">
        <v>384</v>
      </c>
      <c r="E13" s="18" t="n">
        <v>34.48172565</v>
      </c>
      <c r="F13" s="20" t="n">
        <v>3.11372047</v>
      </c>
      <c r="G13" s="18" t="n">
        <v>65.14381897</v>
      </c>
      <c r="H13" s="20" t="n">
        <v>3.10429247</v>
      </c>
      <c r="I13" s="18" t="s">
        <v>567</v>
      </c>
      <c r="J13" s="20" t="s">
        <v>567</v>
      </c>
      <c r="K13" s="18" t="n">
        <v>0.37445537</v>
      </c>
      <c r="L13" s="20" t="n">
        <v>0.20347353</v>
      </c>
      <c r="M13" s="18" t="n">
        <v>0</v>
      </c>
      <c r="N13" s="20" t="n">
        <v>0</v>
      </c>
      <c r="O13" s="18" t="n">
        <v>0</v>
      </c>
      <c r="P13" s="20" t="n">
        <v>0</v>
      </c>
      <c r="Q13" s="18" t="n">
        <v>0</v>
      </c>
      <c r="R13" s="20" t="n">
        <v>0</v>
      </c>
    </row>
    <row r="14" spans="1:18">
      <c r="A14" s="15" t="s">
        <v>574</v>
      </c>
      <c r="B14" s="17" t="n">
        <v>2799</v>
      </c>
      <c r="C14" s="18">
        <f>(2488.0/B14*100)</f>
        <v/>
      </c>
      <c r="D14" s="19" t="n">
        <v>311</v>
      </c>
      <c r="E14" s="18" t="n">
        <v>33.32772329</v>
      </c>
      <c r="F14" s="20" t="n">
        <v>2.8427245</v>
      </c>
      <c r="G14" s="18" t="n">
        <v>65.58139081</v>
      </c>
      <c r="H14" s="20" t="n">
        <v>2.97241793</v>
      </c>
      <c r="I14" s="18" t="s">
        <v>567</v>
      </c>
      <c r="J14" s="20" t="s">
        <v>567</v>
      </c>
      <c r="K14" s="18" t="n">
        <v>0</v>
      </c>
      <c r="L14" s="20" t="n">
        <v>0</v>
      </c>
      <c r="M14" s="18" t="n">
        <v>0</v>
      </c>
      <c r="N14" s="20" t="n">
        <v>0</v>
      </c>
      <c r="O14" s="18" t="n">
        <v>0</v>
      </c>
      <c r="P14" s="20" t="n">
        <v>0</v>
      </c>
      <c r="Q14" s="18" t="n">
        <v>1.0908859</v>
      </c>
      <c r="R14" s="20" t="n">
        <v>0.89253624</v>
      </c>
    </row>
    <row r="15" spans="1:18">
      <c r="A15" s="15" t="s">
        <v>575</v>
      </c>
      <c r="B15" s="17" t="n">
        <v>3019</v>
      </c>
      <c r="C15" s="18">
        <f>(2669.0/B15*100)</f>
        <v/>
      </c>
      <c r="D15" s="19" t="n">
        <v>350</v>
      </c>
      <c r="E15" s="18" t="n">
        <v>32.44989123</v>
      </c>
      <c r="F15" s="20" t="n">
        <v>2.63431648</v>
      </c>
      <c r="G15" s="18" t="n">
        <v>67.05351086</v>
      </c>
      <c r="H15" s="20" t="n">
        <v>2.53729914</v>
      </c>
      <c r="I15" s="18" t="s">
        <v>567</v>
      </c>
      <c r="J15" s="20" t="s">
        <v>567</v>
      </c>
      <c r="K15" s="18" t="n">
        <v>0.22630203</v>
      </c>
      <c r="L15" s="20" t="n">
        <v>0.22487092</v>
      </c>
      <c r="M15" s="18" t="n">
        <v>0</v>
      </c>
      <c r="N15" s="20" t="n">
        <v>0</v>
      </c>
      <c r="O15" s="18" t="n">
        <v>0</v>
      </c>
      <c r="P15" s="20" t="n">
        <v>0</v>
      </c>
      <c r="Q15" s="18" t="n">
        <v>0.27029588</v>
      </c>
      <c r="R15" s="20" t="n">
        <v>0.27017697</v>
      </c>
    </row>
    <row r="16" spans="1:18">
      <c r="A16" s="15" t="s">
        <v>576</v>
      </c>
      <c r="B16" s="17" t="n">
        <v>2997</v>
      </c>
      <c r="C16" s="18">
        <f>(2667.0/B16*100)</f>
        <v/>
      </c>
      <c r="D16" s="19" t="n">
        <v>330</v>
      </c>
      <c r="E16" s="18" t="n">
        <v>41.63167947</v>
      </c>
      <c r="F16" s="20" t="n">
        <v>2.23805525</v>
      </c>
      <c r="G16" s="18" t="n">
        <v>56.59402493</v>
      </c>
      <c r="H16" s="20" t="n">
        <v>2.30719174</v>
      </c>
      <c r="I16" s="18" t="s">
        <v>567</v>
      </c>
      <c r="J16" s="20" t="s">
        <v>567</v>
      </c>
      <c r="K16" s="18" t="n">
        <v>0.85789295</v>
      </c>
      <c r="L16" s="20" t="n">
        <v>0.49451144</v>
      </c>
      <c r="M16" s="18" t="n">
        <v>0</v>
      </c>
      <c r="N16" s="20" t="n">
        <v>0</v>
      </c>
      <c r="O16" s="18" t="n">
        <v>0</v>
      </c>
      <c r="P16" s="20" t="n">
        <v>0</v>
      </c>
      <c r="Q16" s="18" t="n">
        <v>0.91640265</v>
      </c>
      <c r="R16" s="20" t="n">
        <v>0.53684661</v>
      </c>
    </row>
    <row r="17" spans="1:18">
      <c r="A17" s="15" t="s">
        <v>577</v>
      </c>
      <c r="B17" s="17" t="n">
        <v>3307</v>
      </c>
      <c r="C17" s="18">
        <f>(2927.0/B17*100)</f>
        <v/>
      </c>
      <c r="D17" s="19" t="n">
        <v>380</v>
      </c>
      <c r="E17" s="18" t="n">
        <v>35.89705381</v>
      </c>
      <c r="F17" s="20" t="n">
        <v>2.37654063</v>
      </c>
      <c r="G17" s="18" t="n">
        <v>61.02466485</v>
      </c>
      <c r="H17" s="20" t="n">
        <v>2.57604826</v>
      </c>
      <c r="I17" s="18" t="s">
        <v>567</v>
      </c>
      <c r="J17" s="20" t="s">
        <v>567</v>
      </c>
      <c r="K17" s="18" t="n">
        <v>2.31792627</v>
      </c>
      <c r="L17" s="20" t="n">
        <v>0.9466215100000001</v>
      </c>
      <c r="M17" s="18" t="n">
        <v>0</v>
      </c>
      <c r="N17" s="20" t="n">
        <v>0</v>
      </c>
      <c r="O17" s="18" t="n">
        <v>0</v>
      </c>
      <c r="P17" s="20" t="n">
        <v>0</v>
      </c>
      <c r="Q17" s="18" t="n">
        <v>0.76035508</v>
      </c>
      <c r="R17" s="20" t="n">
        <v>0.44038253</v>
      </c>
    </row>
    <row r="18" spans="1:18">
      <c r="A18" s="15" t="s">
        <v>578</v>
      </c>
      <c r="B18" s="17" t="n">
        <v>2826</v>
      </c>
      <c r="C18" s="18">
        <f>(2504.0/B18*100)</f>
        <v/>
      </c>
      <c r="D18" s="19" t="n">
        <v>322</v>
      </c>
      <c r="E18" s="18" t="n">
        <v>56.18811508</v>
      </c>
      <c r="F18" s="20" t="n">
        <v>2.92633121</v>
      </c>
      <c r="G18" s="18" t="n">
        <v>41.39161707</v>
      </c>
      <c r="H18" s="20" t="n">
        <v>2.71427711</v>
      </c>
      <c r="I18" s="18" t="s">
        <v>567</v>
      </c>
      <c r="J18" s="20" t="s">
        <v>567</v>
      </c>
      <c r="K18" s="18" t="n">
        <v>0.66566968</v>
      </c>
      <c r="L18" s="20" t="n">
        <v>0.47508961</v>
      </c>
      <c r="M18" s="18" t="n">
        <v>0</v>
      </c>
      <c r="N18" s="20" t="n">
        <v>0</v>
      </c>
      <c r="O18" s="18" t="n">
        <v>0</v>
      </c>
      <c r="P18" s="20" t="n">
        <v>0</v>
      </c>
      <c r="Q18" s="18" t="n">
        <v>1.75459817</v>
      </c>
      <c r="R18" s="20" t="n">
        <v>0.79894051</v>
      </c>
    </row>
    <row r="19" spans="1:18">
      <c r="A19" s="15" t="s">
        <v>579</v>
      </c>
      <c r="B19" s="17" t="n">
        <v>2808</v>
      </c>
      <c r="C19" s="18">
        <f>(2517.0/B19*100)</f>
        <v/>
      </c>
      <c r="D19" s="19" t="n">
        <v>291</v>
      </c>
      <c r="E19" s="18" t="n">
        <v>43.22797341</v>
      </c>
      <c r="F19" s="20" t="n">
        <v>3.15858414</v>
      </c>
      <c r="G19" s="18" t="n">
        <v>56.4346314</v>
      </c>
      <c r="H19" s="20" t="n">
        <v>3.14612807</v>
      </c>
      <c r="I19" s="18" t="s">
        <v>567</v>
      </c>
      <c r="J19" s="20" t="s">
        <v>567</v>
      </c>
      <c r="K19" s="18" t="n">
        <v>0</v>
      </c>
      <c r="L19" s="20" t="n">
        <v>0</v>
      </c>
      <c r="M19" s="18" t="n">
        <v>0</v>
      </c>
      <c r="N19" s="20" t="n">
        <v>0</v>
      </c>
      <c r="O19" s="18" t="n">
        <v>0</v>
      </c>
      <c r="P19" s="20" t="n">
        <v>0</v>
      </c>
      <c r="Q19" s="18" t="n">
        <v>0.3373952</v>
      </c>
      <c r="R19" s="20" t="n">
        <v>0.34570427</v>
      </c>
    </row>
    <row r="20" spans="1:18">
      <c r="A20" s="15" t="s">
        <v>580</v>
      </c>
      <c r="B20" s="17" t="n">
        <v>1630</v>
      </c>
      <c r="C20" s="18">
        <f>(1463.0/B20*100)</f>
        <v/>
      </c>
      <c r="D20" s="19" t="n">
        <v>167</v>
      </c>
      <c r="E20" s="18" t="n">
        <v>39.32271577</v>
      </c>
      <c r="F20" s="20" t="n">
        <v>4.31629462</v>
      </c>
      <c r="G20" s="18" t="n">
        <v>60.67728423</v>
      </c>
      <c r="H20" s="20" t="n">
        <v>4.31629462</v>
      </c>
      <c r="I20" s="18" t="s">
        <v>567</v>
      </c>
      <c r="J20" s="20" t="s">
        <v>567</v>
      </c>
      <c r="K20" s="18" t="n">
        <v>0</v>
      </c>
      <c r="L20" s="20" t="n">
        <v>0</v>
      </c>
      <c r="M20" s="18" t="n">
        <v>0</v>
      </c>
      <c r="N20" s="20" t="n">
        <v>0</v>
      </c>
      <c r="O20" s="18" t="n">
        <v>0</v>
      </c>
      <c r="P20" s="20" t="n">
        <v>0</v>
      </c>
      <c r="Q20" s="18" t="n">
        <v>0</v>
      </c>
      <c r="R20" s="20" t="n">
        <v>0</v>
      </c>
    </row>
    <row r="21" spans="1:18">
      <c r="A21" s="15" t="s">
        <v>581</v>
      </c>
      <c r="B21" s="17" t="n">
        <v>2908</v>
      </c>
      <c r="C21" s="18">
        <f>(2606.0/B21*100)</f>
        <v/>
      </c>
      <c r="D21" s="19" t="n">
        <v>302</v>
      </c>
      <c r="E21" s="18" t="n">
        <v>52.2752217</v>
      </c>
      <c r="F21" s="20" t="n">
        <v>3.4913766</v>
      </c>
      <c r="G21" s="18" t="n">
        <v>47.13553585</v>
      </c>
      <c r="H21" s="20" t="n">
        <v>3.47971103</v>
      </c>
      <c r="I21" s="18" t="s">
        <v>567</v>
      </c>
      <c r="J21" s="20" t="s">
        <v>567</v>
      </c>
      <c r="K21" s="18" t="n">
        <v>0</v>
      </c>
      <c r="L21" s="20" t="n">
        <v>0</v>
      </c>
      <c r="M21" s="18" t="n">
        <v>0</v>
      </c>
      <c r="N21" s="20" t="n">
        <v>0</v>
      </c>
      <c r="O21" s="18" t="n">
        <v>0</v>
      </c>
      <c r="P21" s="20" t="n">
        <v>0</v>
      </c>
      <c r="Q21" s="18" t="n">
        <v>0.58924245</v>
      </c>
      <c r="R21" s="20" t="n">
        <v>0.34513471</v>
      </c>
    </row>
    <row r="22" spans="1:18">
      <c r="A22" s="15" t="s">
        <v>582</v>
      </c>
      <c r="B22" s="17" t="n">
        <v>2931</v>
      </c>
      <c r="C22" s="18">
        <f>(2583.0/B22*100)</f>
        <v/>
      </c>
      <c r="D22" s="19" t="n">
        <v>348</v>
      </c>
      <c r="E22" s="18" t="n">
        <v>50.85594716</v>
      </c>
      <c r="F22" s="20" t="n">
        <v>3.01112855</v>
      </c>
      <c r="G22" s="18" t="n">
        <v>48.1408871</v>
      </c>
      <c r="H22" s="20" t="n">
        <v>2.98578277</v>
      </c>
      <c r="I22" s="18" t="s">
        <v>567</v>
      </c>
      <c r="J22" s="20" t="s">
        <v>567</v>
      </c>
      <c r="K22" s="18" t="n">
        <v>0</v>
      </c>
      <c r="L22" s="20" t="n">
        <v>0</v>
      </c>
      <c r="M22" s="18" t="n">
        <v>0</v>
      </c>
      <c r="N22" s="20" t="n">
        <v>0</v>
      </c>
      <c r="O22" s="18" t="n">
        <v>0</v>
      </c>
      <c r="P22" s="20" t="n">
        <v>0</v>
      </c>
      <c r="Q22" s="18" t="n">
        <v>1.00316575</v>
      </c>
      <c r="R22" s="20" t="n">
        <v>0.25573323</v>
      </c>
    </row>
    <row r="23" spans="1:18">
      <c r="A23" s="15" t="s">
        <v>583</v>
      </c>
      <c r="B23" s="17" t="n">
        <v>5791</v>
      </c>
      <c r="C23" s="18">
        <f>(5160.0/B23*100)</f>
        <v/>
      </c>
      <c r="D23" s="19" t="n">
        <v>631</v>
      </c>
      <c r="E23" s="18" t="n">
        <v>39.95136855</v>
      </c>
      <c r="F23" s="20" t="n">
        <v>2.89909319</v>
      </c>
      <c r="G23" s="18" t="n">
        <v>59.32094626</v>
      </c>
      <c r="H23" s="20" t="n">
        <v>2.82233775</v>
      </c>
      <c r="I23" s="18" t="s">
        <v>567</v>
      </c>
      <c r="J23" s="20" t="s">
        <v>567</v>
      </c>
      <c r="K23" s="18" t="n">
        <v>0.10793747</v>
      </c>
      <c r="L23" s="20" t="n">
        <v>0.10699458</v>
      </c>
      <c r="M23" s="18" t="n">
        <v>0</v>
      </c>
      <c r="N23" s="20" t="n">
        <v>0</v>
      </c>
      <c r="O23" s="18" t="n">
        <v>0</v>
      </c>
      <c r="P23" s="20" t="n">
        <v>0</v>
      </c>
      <c r="Q23" s="18" t="n">
        <v>0.61974772</v>
      </c>
      <c r="R23" s="20" t="n">
        <v>0.42751052</v>
      </c>
    </row>
    <row r="24" spans="1:18">
      <c r="A24" s="15" t="s">
        <v>584</v>
      </c>
      <c r="B24" s="17" t="n">
        <v>3338</v>
      </c>
      <c r="C24" s="18">
        <f>(2959.0/B24*100)</f>
        <v/>
      </c>
      <c r="D24" s="19" t="n">
        <v>379</v>
      </c>
      <c r="E24" s="18" t="n">
        <v>41.4465326</v>
      </c>
      <c r="F24" s="20" t="n">
        <v>2.6089854</v>
      </c>
      <c r="G24" s="18" t="n">
        <v>57.76921823</v>
      </c>
      <c r="H24" s="20" t="n">
        <v>2.59606861</v>
      </c>
      <c r="I24" s="18" t="s">
        <v>567</v>
      </c>
      <c r="J24" s="20" t="s">
        <v>567</v>
      </c>
      <c r="K24" s="18" t="n">
        <v>0.7842491700000001</v>
      </c>
      <c r="L24" s="20" t="n">
        <v>0.4594849</v>
      </c>
      <c r="M24" s="18" t="n">
        <v>0</v>
      </c>
      <c r="N24" s="20" t="n">
        <v>0</v>
      </c>
      <c r="O24" s="18" t="n">
        <v>0</v>
      </c>
      <c r="P24" s="20" t="n">
        <v>0</v>
      </c>
      <c r="Q24" s="18" t="n">
        <v>0</v>
      </c>
      <c r="R24" s="20" t="n">
        <v>0</v>
      </c>
    </row>
    <row r="25" spans="1:18">
      <c r="A25" s="15" t="s">
        <v>585</v>
      </c>
      <c r="B25" s="17" t="n">
        <v>2912</v>
      </c>
      <c r="C25" s="18">
        <f>(2597.0/B25*100)</f>
        <v/>
      </c>
      <c r="D25" s="19" t="n">
        <v>315</v>
      </c>
      <c r="E25" s="18" t="n">
        <v>46.53933106</v>
      </c>
      <c r="F25" s="20" t="n">
        <v>3.40146193</v>
      </c>
      <c r="G25" s="18" t="n">
        <v>52.85463118</v>
      </c>
      <c r="H25" s="20" t="n">
        <v>3.27174234</v>
      </c>
      <c r="I25" s="18" t="s">
        <v>567</v>
      </c>
      <c r="J25" s="20" t="s">
        <v>567</v>
      </c>
      <c r="K25" s="18" t="n">
        <v>0</v>
      </c>
      <c r="L25" s="20" t="n">
        <v>0</v>
      </c>
      <c r="M25" s="18" t="n">
        <v>0</v>
      </c>
      <c r="N25" s="20" t="n">
        <v>0</v>
      </c>
      <c r="O25" s="18" t="n">
        <v>0</v>
      </c>
      <c r="P25" s="20" t="n">
        <v>0</v>
      </c>
      <c r="Q25" s="18" t="n">
        <v>0.60603776</v>
      </c>
      <c r="R25" s="20" t="n">
        <v>0.43360966</v>
      </c>
    </row>
    <row r="26" spans="1:18">
      <c r="A26" s="15" t="s">
        <v>586</v>
      </c>
      <c r="B26" s="17" t="n">
        <v>2450</v>
      </c>
      <c r="C26" s="18">
        <f>(2185.0/B26*100)</f>
        <v/>
      </c>
      <c r="D26" s="19" t="n">
        <v>265</v>
      </c>
      <c r="E26" s="18" t="n">
        <v>49.55448343</v>
      </c>
      <c r="F26" s="20" t="n">
        <v>3.2672001</v>
      </c>
      <c r="G26" s="18" t="n">
        <v>49.75224341</v>
      </c>
      <c r="H26" s="20" t="n">
        <v>3.2118713</v>
      </c>
      <c r="I26" s="18" t="s">
        <v>567</v>
      </c>
      <c r="J26" s="20" t="s">
        <v>567</v>
      </c>
      <c r="K26" s="18" t="n">
        <v>0</v>
      </c>
      <c r="L26" s="20" t="n">
        <v>0</v>
      </c>
      <c r="M26" s="18" t="n">
        <v>0</v>
      </c>
      <c r="N26" s="20" t="n">
        <v>0</v>
      </c>
      <c r="O26" s="18" t="n">
        <v>0</v>
      </c>
      <c r="P26" s="20" t="n">
        <v>0</v>
      </c>
      <c r="Q26" s="18" t="n">
        <v>0.6932731600000001</v>
      </c>
      <c r="R26" s="20" t="n">
        <v>0.49526522</v>
      </c>
    </row>
    <row r="27" spans="1:18">
      <c r="A27" s="15" t="s">
        <v>587</v>
      </c>
      <c r="B27" s="17" t="n">
        <v>2616</v>
      </c>
      <c r="C27" s="18">
        <f>(2336.0/B27*100)</f>
        <v/>
      </c>
      <c r="D27" s="19" t="n">
        <v>280</v>
      </c>
      <c r="E27" s="18" t="n">
        <v>46.31361493</v>
      </c>
      <c r="F27" s="20" t="n">
        <v>2.94220353</v>
      </c>
      <c r="G27" s="18" t="n">
        <v>51.54668322</v>
      </c>
      <c r="H27" s="20" t="n">
        <v>2.95684515</v>
      </c>
      <c r="I27" s="18" t="s">
        <v>567</v>
      </c>
      <c r="J27" s="20" t="s">
        <v>567</v>
      </c>
      <c r="K27" s="18" t="n">
        <v>0.72845494</v>
      </c>
      <c r="L27" s="20" t="n">
        <v>0.5137263</v>
      </c>
      <c r="M27" s="18" t="n">
        <v>0</v>
      </c>
      <c r="N27" s="20" t="n">
        <v>0</v>
      </c>
      <c r="O27" s="18" t="n">
        <v>0</v>
      </c>
      <c r="P27" s="20" t="n">
        <v>0</v>
      </c>
      <c r="Q27" s="18" t="n">
        <v>1.41124691</v>
      </c>
      <c r="R27" s="20" t="n">
        <v>0.69589746</v>
      </c>
    </row>
    <row r="28" spans="1:18">
      <c r="A28" s="15" t="s">
        <v>588</v>
      </c>
      <c r="B28" s="17" t="n">
        <v>3765</v>
      </c>
      <c r="C28" s="18">
        <f>(3367.0/B28*100)</f>
        <v/>
      </c>
      <c r="D28" s="19" t="n">
        <v>398</v>
      </c>
      <c r="E28" s="18" t="n">
        <v>69.0148733</v>
      </c>
      <c r="F28" s="20" t="n">
        <v>2.49341319</v>
      </c>
      <c r="G28" s="18" t="n">
        <v>30.23117451</v>
      </c>
      <c r="H28" s="20" t="n">
        <v>2.46107794</v>
      </c>
      <c r="I28" s="18" t="s">
        <v>567</v>
      </c>
      <c r="J28" s="20" t="s">
        <v>567</v>
      </c>
      <c r="K28" s="18" t="n">
        <v>0</v>
      </c>
      <c r="L28" s="20" t="n">
        <v>0</v>
      </c>
      <c r="M28" s="18" t="n">
        <v>0</v>
      </c>
      <c r="N28" s="20" t="n">
        <v>0</v>
      </c>
      <c r="O28" s="18" t="n">
        <v>0</v>
      </c>
      <c r="P28" s="20" t="n">
        <v>0</v>
      </c>
      <c r="Q28" s="18" t="n">
        <v>0.75395219</v>
      </c>
      <c r="R28" s="20" t="n">
        <v>0.58069799</v>
      </c>
    </row>
    <row r="29" spans="1:18">
      <c r="A29" s="15" t="s">
        <v>589</v>
      </c>
      <c r="B29" s="17" t="n">
        <v>2685</v>
      </c>
      <c r="C29" s="18">
        <f>(2385.0/B29*100)</f>
        <v/>
      </c>
      <c r="D29" s="19" t="n">
        <v>300</v>
      </c>
      <c r="E29" s="18" t="n">
        <v>36.89728655</v>
      </c>
      <c r="F29" s="20" t="n">
        <v>2.37868913</v>
      </c>
      <c r="G29" s="18" t="n">
        <v>63.10271345</v>
      </c>
      <c r="H29" s="20" t="n">
        <v>2.37868913</v>
      </c>
      <c r="I29" s="18" t="s">
        <v>567</v>
      </c>
      <c r="J29" s="20" t="s">
        <v>567</v>
      </c>
      <c r="K29" s="18" t="n">
        <v>0</v>
      </c>
      <c r="L29" s="20" t="n">
        <v>0</v>
      </c>
      <c r="M29" s="18" t="n">
        <v>0</v>
      </c>
      <c r="N29" s="20" t="n">
        <v>0</v>
      </c>
      <c r="O29" s="18" t="n">
        <v>0</v>
      </c>
      <c r="P29" s="20" t="n">
        <v>0</v>
      </c>
      <c r="Q29" s="18" t="n">
        <v>0</v>
      </c>
      <c r="R29" s="20" t="n">
        <v>0</v>
      </c>
    </row>
    <row r="30" spans="1:18">
      <c r="A30" s="15" t="s">
        <v>590</v>
      </c>
      <c r="B30" s="17" t="n">
        <v>2263</v>
      </c>
      <c r="C30" s="18">
        <f>(2033.0/B30*100)</f>
        <v/>
      </c>
      <c r="D30" s="19" t="n">
        <v>230</v>
      </c>
      <c r="E30" s="18" t="n">
        <v>47.6109731</v>
      </c>
      <c r="F30" s="20" t="n">
        <v>3.31766373</v>
      </c>
      <c r="G30" s="18" t="n">
        <v>51.93351151</v>
      </c>
      <c r="H30" s="20" t="n">
        <v>3.36139664</v>
      </c>
      <c r="I30" s="18" t="s">
        <v>567</v>
      </c>
      <c r="J30" s="20" t="s">
        <v>567</v>
      </c>
      <c r="K30" s="18" t="n">
        <v>0.4555154</v>
      </c>
      <c r="L30" s="20" t="n">
        <v>0.43506997</v>
      </c>
      <c r="M30" s="18" t="n">
        <v>0</v>
      </c>
      <c r="N30" s="20" t="n">
        <v>0</v>
      </c>
      <c r="O30" s="18" t="n">
        <v>0</v>
      </c>
      <c r="P30" s="20" t="n">
        <v>0</v>
      </c>
      <c r="Q30" s="18" t="n">
        <v>0</v>
      </c>
      <c r="R30" s="20" t="n">
        <v>0</v>
      </c>
    </row>
    <row r="31" spans="1:18">
      <c r="A31" s="15" t="s">
        <v>591</v>
      </c>
      <c r="B31" s="17" t="n">
        <v>2750</v>
      </c>
      <c r="C31" s="18">
        <f>(2452.0/B31*100)</f>
        <v/>
      </c>
      <c r="D31" s="19" t="n">
        <v>298</v>
      </c>
      <c r="E31" s="18" t="n">
        <v>39.51025327</v>
      </c>
      <c r="F31" s="20" t="n">
        <v>2.97231249</v>
      </c>
      <c r="G31" s="18" t="n">
        <v>59.22579007</v>
      </c>
      <c r="H31" s="20" t="n">
        <v>2.84863636</v>
      </c>
      <c r="I31" s="18" t="s">
        <v>567</v>
      </c>
      <c r="J31" s="20" t="s">
        <v>567</v>
      </c>
      <c r="K31" s="18" t="n">
        <v>0.33144827</v>
      </c>
      <c r="L31" s="20" t="n">
        <v>0.35927793</v>
      </c>
      <c r="M31" s="18" t="n">
        <v>0</v>
      </c>
      <c r="N31" s="20" t="n">
        <v>0</v>
      </c>
      <c r="O31" s="18" t="n">
        <v>0</v>
      </c>
      <c r="P31" s="20" t="n">
        <v>0</v>
      </c>
      <c r="Q31" s="18" t="n">
        <v>0.9325084</v>
      </c>
      <c r="R31" s="20" t="n">
        <v>0.53435492</v>
      </c>
    </row>
    <row r="32" spans="1:18">
      <c r="A32" s="15" t="s">
        <v>592</v>
      </c>
      <c r="B32" s="17" t="n">
        <v>2269</v>
      </c>
      <c r="C32" s="18">
        <f>(2032.0/B32*100)</f>
        <v/>
      </c>
      <c r="D32" s="19" t="n">
        <v>237</v>
      </c>
      <c r="E32" s="18" t="n">
        <v>45.44256353</v>
      </c>
      <c r="F32" s="20" t="n">
        <v>3.02271089</v>
      </c>
      <c r="G32" s="18" t="n">
        <v>54.55743647</v>
      </c>
      <c r="H32" s="20" t="n">
        <v>3.02271089</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(3296.0/B33*100)</f>
        <v/>
      </c>
      <c r="D33" s="19" t="n">
        <v>378</v>
      </c>
      <c r="E33" s="18" t="n">
        <v>51.66081473</v>
      </c>
      <c r="F33" s="20" t="n">
        <v>3.10457343</v>
      </c>
      <c r="G33" s="18" t="n">
        <v>47.91430916</v>
      </c>
      <c r="H33" s="20" t="n">
        <v>3.17834041</v>
      </c>
      <c r="I33" s="18" t="s">
        <v>567</v>
      </c>
      <c r="J33" s="20" t="s">
        <v>567</v>
      </c>
      <c r="K33" s="18" t="n">
        <v>0.42487611</v>
      </c>
      <c r="L33" s="20" t="n">
        <v>0.40231296</v>
      </c>
      <c r="M33" s="18" t="n">
        <v>0</v>
      </c>
      <c r="N33" s="20" t="n">
        <v>0</v>
      </c>
      <c r="O33" s="18" t="n">
        <v>0</v>
      </c>
      <c r="P33" s="20" t="n">
        <v>0</v>
      </c>
      <c r="Q33" s="18" t="n">
        <v>0</v>
      </c>
      <c r="R33" s="20" t="n">
        <v>0</v>
      </c>
    </row>
    <row r="34" spans="1:18">
      <c r="A34" s="15" t="s">
        <v>594</v>
      </c>
      <c r="B34" s="17" t="n">
        <v>3315</v>
      </c>
      <c r="C34" s="18">
        <f>(2955.0/B34*100)</f>
        <v/>
      </c>
      <c r="D34" s="19" t="n">
        <v>360</v>
      </c>
      <c r="E34" s="18" t="n">
        <v>41.11745626</v>
      </c>
      <c r="F34" s="20" t="n">
        <v>2.82258905</v>
      </c>
      <c r="G34" s="18" t="n">
        <v>57.89589769</v>
      </c>
      <c r="H34" s="20" t="n">
        <v>2.76694939</v>
      </c>
      <c r="I34" s="18" t="s">
        <v>567</v>
      </c>
      <c r="J34" s="20" t="s">
        <v>567</v>
      </c>
      <c r="K34" s="18" t="n">
        <v>0.27769516</v>
      </c>
      <c r="L34" s="20" t="n">
        <v>0.27490412</v>
      </c>
      <c r="M34" s="18" t="n">
        <v>0</v>
      </c>
      <c r="N34" s="20" t="n">
        <v>0</v>
      </c>
      <c r="O34" s="18" t="n">
        <v>0</v>
      </c>
      <c r="P34" s="20" t="n">
        <v>0</v>
      </c>
      <c r="Q34" s="18" t="n">
        <v>0.7089508799999999</v>
      </c>
      <c r="R34" s="20" t="n">
        <v>0.41111579</v>
      </c>
    </row>
    <row r="35" spans="1:18">
      <c r="A35" s="15" t="s">
        <v>595</v>
      </c>
      <c r="B35" s="17" t="n">
        <v>3505</v>
      </c>
      <c r="C35" s="18">
        <f>(3121.0/B35*100)</f>
        <v/>
      </c>
      <c r="D35" s="19" t="n">
        <v>384</v>
      </c>
      <c r="E35" s="18" t="n">
        <v>31.98717232</v>
      </c>
      <c r="F35" s="20" t="n">
        <v>2.9459061</v>
      </c>
      <c r="G35" s="18" t="n">
        <v>67.6303314</v>
      </c>
      <c r="H35" s="20" t="n">
        <v>2.93227397</v>
      </c>
      <c r="I35" s="18" t="s">
        <v>567</v>
      </c>
      <c r="J35" s="20" t="s">
        <v>567</v>
      </c>
      <c r="K35" s="18" t="n">
        <v>0</v>
      </c>
      <c r="L35" s="20" t="n">
        <v>0</v>
      </c>
      <c r="M35" s="18" t="n">
        <v>0</v>
      </c>
      <c r="N35" s="20" t="n">
        <v>0</v>
      </c>
      <c r="O35" s="18" t="n">
        <v>0</v>
      </c>
      <c r="P35" s="20" t="n">
        <v>0</v>
      </c>
      <c r="Q35" s="18" t="n">
        <v>0.38249628</v>
      </c>
      <c r="R35" s="20" t="n">
        <v>0.27412605</v>
      </c>
    </row>
    <row r="36" spans="1:18">
      <c r="A36" s="15" t="s">
        <v>596</v>
      </c>
      <c r="B36" s="17" t="n">
        <v>3332</v>
      </c>
      <c r="C36" s="18">
        <f>(2975.0/B36*100)</f>
        <v/>
      </c>
      <c r="D36" s="19" t="n">
        <v>357</v>
      </c>
      <c r="E36" s="18" t="n">
        <v>40.53480117</v>
      </c>
      <c r="F36" s="20" t="n">
        <v>2.57039725</v>
      </c>
      <c r="G36" s="18" t="n">
        <v>57.81324602</v>
      </c>
      <c r="H36" s="20" t="n">
        <v>2.46223995</v>
      </c>
      <c r="I36" s="18" t="s">
        <v>567</v>
      </c>
      <c r="J36" s="20" t="s">
        <v>567</v>
      </c>
      <c r="K36" s="18" t="n">
        <v>0.84634199</v>
      </c>
      <c r="L36" s="20" t="n">
        <v>0.66573503</v>
      </c>
      <c r="M36" s="18" t="n">
        <v>0</v>
      </c>
      <c r="N36" s="20" t="n">
        <v>0</v>
      </c>
      <c r="O36" s="18" t="n">
        <v>0</v>
      </c>
      <c r="P36" s="20" t="n">
        <v>0</v>
      </c>
      <c r="Q36" s="18" t="n">
        <v>0.8056108199999999</v>
      </c>
      <c r="R36" s="20" t="n">
        <v>0.22383762</v>
      </c>
    </row>
    <row r="37" spans="1:18">
      <c r="A37" s="15" t="s">
        <v>597</v>
      </c>
      <c r="B37" s="17" t="n">
        <v>2727</v>
      </c>
      <c r="C37" s="18">
        <f>(2425.0/B37*100)</f>
        <v/>
      </c>
      <c r="D37" s="19" t="n">
        <v>302</v>
      </c>
      <c r="E37" s="18" t="n">
        <v>40.17416273</v>
      </c>
      <c r="F37" s="20" t="n">
        <v>2.47780905</v>
      </c>
      <c r="G37" s="18" t="n">
        <v>59.09625515</v>
      </c>
      <c r="H37" s="20" t="n">
        <v>2.47022678</v>
      </c>
      <c r="I37" s="18" t="s">
        <v>567</v>
      </c>
      <c r="J37" s="20" t="s">
        <v>567</v>
      </c>
      <c r="K37" s="18" t="n">
        <v>0.31322515</v>
      </c>
      <c r="L37" s="20" t="n">
        <v>0.31443487</v>
      </c>
      <c r="M37" s="18" t="n">
        <v>0</v>
      </c>
      <c r="N37" s="20" t="n">
        <v>0</v>
      </c>
      <c r="O37" s="18" t="n">
        <v>0</v>
      </c>
      <c r="P37" s="20" t="n">
        <v>0</v>
      </c>
      <c r="Q37" s="18" t="n">
        <v>0.41635696</v>
      </c>
      <c r="R37" s="20" t="n">
        <v>0.37971402</v>
      </c>
    </row>
    <row r="38" spans="1:18">
      <c r="A38" s="15" t="s">
        <v>598</v>
      </c>
      <c r="B38" s="17" t="n">
        <v>3053</v>
      </c>
      <c r="C38" s="18">
        <f>(2721.0/B38*100)</f>
        <v/>
      </c>
      <c r="D38" s="19" t="n">
        <v>332</v>
      </c>
      <c r="E38" s="18" t="n">
        <v>35.0237603</v>
      </c>
      <c r="F38" s="20" t="n">
        <v>3.34218027</v>
      </c>
      <c r="G38" s="18" t="n">
        <v>64.38142946000001</v>
      </c>
      <c r="H38" s="20" t="n">
        <v>3.38447553</v>
      </c>
      <c r="I38" s="18" t="s">
        <v>567</v>
      </c>
      <c r="J38" s="20" t="s">
        <v>567</v>
      </c>
      <c r="K38" s="18" t="n">
        <v>0</v>
      </c>
      <c r="L38" s="20" t="n">
        <v>0</v>
      </c>
      <c r="M38" s="18" t="n">
        <v>0</v>
      </c>
      <c r="N38" s="20" t="n">
        <v>0</v>
      </c>
      <c r="O38" s="18" t="n">
        <v>0</v>
      </c>
      <c r="P38" s="20" t="n">
        <v>0</v>
      </c>
      <c r="Q38" s="18" t="n">
        <v>0.59481024</v>
      </c>
      <c r="R38" s="20" t="n">
        <v>0.6410121</v>
      </c>
    </row>
    <row r="39" spans="1:18">
      <c r="A39" s="15" t="s">
        <v>599</v>
      </c>
      <c r="B39" s="17" t="n">
        <v>2957</v>
      </c>
      <c r="C39" s="18">
        <f>(2618.0/B39*100)</f>
        <v/>
      </c>
      <c r="D39" s="19" t="n">
        <v>339</v>
      </c>
      <c r="E39" s="18" t="n">
        <v>59.9208673</v>
      </c>
      <c r="F39" s="20" t="n">
        <v>2.94765604</v>
      </c>
      <c r="G39" s="18" t="n">
        <v>39.88220549</v>
      </c>
      <c r="H39" s="20" t="n">
        <v>2.91173561</v>
      </c>
      <c r="I39" s="18" t="s">
        <v>567</v>
      </c>
      <c r="J39" s="20" t="s">
        <v>567</v>
      </c>
      <c r="K39" s="18" t="n">
        <v>0</v>
      </c>
      <c r="L39" s="20" t="n">
        <v>0</v>
      </c>
      <c r="M39" s="18" t="n">
        <v>0</v>
      </c>
      <c r="N39" s="20" t="n">
        <v>0</v>
      </c>
      <c r="O39" s="18" t="n">
        <v>0</v>
      </c>
      <c r="P39" s="20" t="n">
        <v>0</v>
      </c>
      <c r="Q39" s="18" t="n">
        <v>0.19692721</v>
      </c>
      <c r="R39" s="20" t="n">
        <v>0.19925227</v>
      </c>
    </row>
    <row r="40" spans="1:18">
      <c r="A40" s="15" t="s">
        <v>600</v>
      </c>
      <c r="B40" s="17" t="n">
        <v>7235</v>
      </c>
      <c r="C40" s="18">
        <f>(6426.0/B40*100)</f>
        <v/>
      </c>
      <c r="D40" s="19" t="n">
        <v>809</v>
      </c>
      <c r="E40" s="18" t="n">
        <v>43.74519613</v>
      </c>
      <c r="F40" s="20" t="n">
        <v>2.72446217</v>
      </c>
      <c r="G40" s="18" t="n">
        <v>55.38478905</v>
      </c>
      <c r="H40" s="20" t="n">
        <v>2.82942594</v>
      </c>
      <c r="I40" s="18" t="s">
        <v>567</v>
      </c>
      <c r="J40" s="20" t="s">
        <v>567</v>
      </c>
      <c r="K40" s="18" t="n">
        <v>0.36901265</v>
      </c>
      <c r="L40" s="20" t="n">
        <v>0.44430171</v>
      </c>
      <c r="M40" s="18" t="n">
        <v>0</v>
      </c>
      <c r="N40" s="20" t="n">
        <v>0</v>
      </c>
      <c r="O40" s="18" t="n">
        <v>0</v>
      </c>
      <c r="P40" s="20" t="n">
        <v>0</v>
      </c>
      <c r="Q40" s="18" t="n">
        <v>0.50100217</v>
      </c>
      <c r="R40" s="20" t="n">
        <v>0.30817761</v>
      </c>
    </row>
    <row r="41" spans="1:18">
      <c r="A41" s="15" t="s">
        <v>601</v>
      </c>
      <c r="B41" s="17" t="n">
        <v>2858</v>
      </c>
      <c r="C41" s="18">
        <f>(2561.0/B41*100)</f>
        <v/>
      </c>
      <c r="D41" s="19" t="n">
        <v>297</v>
      </c>
      <c r="E41" s="18" t="n">
        <v>59.71451987</v>
      </c>
      <c r="F41" s="20" t="n">
        <v>3.14658288</v>
      </c>
      <c r="G41" s="18" t="n">
        <v>39.85661049</v>
      </c>
      <c r="H41" s="20" t="n">
        <v>3.14185258</v>
      </c>
      <c r="I41" s="18" t="s">
        <v>567</v>
      </c>
      <c r="J41" s="20" t="s">
        <v>567</v>
      </c>
      <c r="K41" s="18" t="n">
        <v>0.42886965</v>
      </c>
      <c r="L41" s="20" t="n">
        <v>0.43812728</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(9984.0/B46*100)</f>
        <v/>
      </c>
      <c r="D46" s="19" t="n">
        <v>1084</v>
      </c>
      <c r="E46" s="18" t="n">
        <v>53.14098735</v>
      </c>
      <c r="F46" s="20" t="n">
        <v>1.89316786</v>
      </c>
      <c r="G46" s="18" t="n">
        <v>43.81449266</v>
      </c>
      <c r="H46" s="20" t="n">
        <v>1.90578992</v>
      </c>
      <c r="I46" s="18" t="s">
        <v>567</v>
      </c>
      <c r="J46" s="20" t="s">
        <v>567</v>
      </c>
      <c r="K46" s="18" t="n">
        <v>1.72715199</v>
      </c>
      <c r="L46" s="20" t="n">
        <v>0.45393959</v>
      </c>
      <c r="M46" s="18" t="n">
        <v>0</v>
      </c>
      <c r="N46" s="20" t="n">
        <v>0</v>
      </c>
      <c r="O46" s="18" t="n">
        <v>0</v>
      </c>
      <c r="P46" s="20" t="n">
        <v>0</v>
      </c>
      <c r="Q46" s="18" t="n">
        <v>1.317368</v>
      </c>
      <c r="R46" s="20" t="n">
        <v>0.44731931</v>
      </c>
    </row>
    <row r="47" spans="1:18">
      <c r="A47" s="15" t="s">
        <v>607</v>
      </c>
      <c r="B47" s="17" t="n">
        <v>3105</v>
      </c>
      <c r="C47" s="18">
        <f>(2752.0/B47*100)</f>
        <v/>
      </c>
      <c r="D47" s="19" t="n">
        <v>353</v>
      </c>
      <c r="E47" s="18" t="n">
        <v>54.86339138</v>
      </c>
      <c r="F47" s="20" t="n">
        <v>2.64146645</v>
      </c>
      <c r="G47" s="18" t="n">
        <v>43.11795414</v>
      </c>
      <c r="H47" s="20" t="n">
        <v>2.68594363</v>
      </c>
      <c r="I47" s="18" t="s">
        <v>567</v>
      </c>
      <c r="J47" s="20" t="s">
        <v>567</v>
      </c>
      <c r="K47" s="18" t="n">
        <v>0.82919209</v>
      </c>
      <c r="L47" s="20" t="n">
        <v>0.46483885</v>
      </c>
      <c r="M47" s="18" t="n">
        <v>0</v>
      </c>
      <c r="N47" s="20" t="n">
        <v>0</v>
      </c>
      <c r="O47" s="18" t="n">
        <v>0</v>
      </c>
      <c r="P47" s="20" t="n">
        <v>0</v>
      </c>
      <c r="Q47" s="18" t="n">
        <v>1.18946239</v>
      </c>
      <c r="R47" s="20" t="n">
        <v>0.7769515299999999</v>
      </c>
    </row>
    <row r="48" spans="1:18">
      <c r="A48" s="15" t="s">
        <v>608</v>
      </c>
      <c r="B48" s="17" t="n">
        <v>5159</v>
      </c>
      <c r="C48" s="18">
        <f>(4590.0/B48*100)</f>
        <v/>
      </c>
      <c r="D48" s="19" t="n">
        <v>569</v>
      </c>
      <c r="E48" s="18" t="n">
        <v>35.62035773</v>
      </c>
      <c r="F48" s="20" t="n">
        <v>2.71844414</v>
      </c>
      <c r="G48" s="18" t="n">
        <v>63.42444179</v>
      </c>
      <c r="H48" s="20" t="n">
        <v>2.72165292</v>
      </c>
      <c r="I48" s="18" t="s">
        <v>567</v>
      </c>
      <c r="J48" s="20" t="s">
        <v>567</v>
      </c>
      <c r="K48" s="18" t="n">
        <v>0.70988354</v>
      </c>
      <c r="L48" s="20" t="n">
        <v>0.50159943</v>
      </c>
      <c r="M48" s="18" t="n">
        <v>0</v>
      </c>
      <c r="N48" s="20" t="n">
        <v>0</v>
      </c>
      <c r="O48" s="18" t="n">
        <v>0</v>
      </c>
      <c r="P48" s="20" t="n">
        <v>0</v>
      </c>
      <c r="Q48" s="18" t="n">
        <v>0.24531694</v>
      </c>
      <c r="R48" s="20" t="n">
        <v>0.16996839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(5053.0/B50*100)</f>
        <v/>
      </c>
      <c r="D50" s="19" t="n">
        <v>584</v>
      </c>
      <c r="E50" s="18" t="n">
        <v>65.16658488</v>
      </c>
      <c r="F50" s="20" t="n">
        <v>2.76242176</v>
      </c>
      <c r="G50" s="18" t="n">
        <v>33.83606819</v>
      </c>
      <c r="H50" s="20" t="n">
        <v>2.9043015</v>
      </c>
      <c r="I50" s="18" t="s">
        <v>567</v>
      </c>
      <c r="J50" s="20" t="s">
        <v>567</v>
      </c>
      <c r="K50" s="18" t="n">
        <v>0.73431076</v>
      </c>
      <c r="L50" s="20" t="n">
        <v>0.68362007</v>
      </c>
      <c r="M50" s="18" t="n">
        <v>0</v>
      </c>
      <c r="N50" s="20" t="n">
        <v>0</v>
      </c>
      <c r="O50" s="18" t="n">
        <v>0</v>
      </c>
      <c r="P50" s="20" t="n">
        <v>0</v>
      </c>
      <c r="Q50" s="18" t="n">
        <v>0.26303618</v>
      </c>
      <c r="R50" s="20" t="n">
        <v>0.19595037</v>
      </c>
    </row>
    <row r="51" spans="1:18">
      <c r="A51" s="15" t="s">
        <v>611</v>
      </c>
      <c r="B51" s="17" t="n">
        <v>3372</v>
      </c>
      <c r="C51" s="18">
        <f>(3050.0/B51*100)</f>
        <v/>
      </c>
      <c r="D51" s="19" t="n">
        <v>322</v>
      </c>
      <c r="E51" s="18" t="n">
        <v>66.71146314000001</v>
      </c>
      <c r="F51" s="20" t="n">
        <v>2.61545876</v>
      </c>
      <c r="G51" s="18" t="n">
        <v>32.47145886</v>
      </c>
      <c r="H51" s="20" t="n">
        <v>2.71621091</v>
      </c>
      <c r="I51" s="18" t="s">
        <v>567</v>
      </c>
      <c r="J51" s="20" t="s">
        <v>567</v>
      </c>
      <c r="K51" s="18" t="n">
        <v>0</v>
      </c>
      <c r="L51" s="20" t="n">
        <v>0</v>
      </c>
      <c r="M51" s="18" t="n">
        <v>0</v>
      </c>
      <c r="N51" s="20" t="n">
        <v>0</v>
      </c>
      <c r="O51" s="18" t="n">
        <v>0</v>
      </c>
      <c r="P51" s="20" t="n">
        <v>0</v>
      </c>
      <c r="Q51" s="18" t="n">
        <v>0.817078</v>
      </c>
      <c r="R51" s="20" t="n">
        <v>0.46057183</v>
      </c>
    </row>
    <row r="52" spans="1:18">
      <c r="A52" s="15" t="s">
        <v>612</v>
      </c>
      <c r="B52" s="17" t="n">
        <v>2796</v>
      </c>
      <c r="C52" s="18">
        <f>(2494.0/B52*100)</f>
        <v/>
      </c>
      <c r="D52" s="19" t="n">
        <v>302</v>
      </c>
      <c r="E52" s="18" t="n">
        <v>44.41005244</v>
      </c>
      <c r="F52" s="20" t="n">
        <v>3.26648533</v>
      </c>
      <c r="G52" s="18" t="n">
        <v>55.33735182</v>
      </c>
      <c r="H52" s="20" t="n">
        <v>3.26372095</v>
      </c>
      <c r="I52" s="18" t="s">
        <v>567</v>
      </c>
      <c r="J52" s="20" t="s">
        <v>567</v>
      </c>
      <c r="K52" s="18" t="n">
        <v>0.25259574</v>
      </c>
      <c r="L52" s="20" t="n">
        <v>0.25585562</v>
      </c>
      <c r="M52" s="18" t="n">
        <v>0</v>
      </c>
      <c r="N52" s="20" t="n">
        <v>0</v>
      </c>
      <c r="O52" s="18" t="n">
        <v>0</v>
      </c>
      <c r="P52" s="20" t="n">
        <v>0</v>
      </c>
      <c r="Q52" s="18" t="n">
        <v>0</v>
      </c>
      <c r="R52" s="20" t="n">
        <v>0</v>
      </c>
    </row>
    <row r="53" spans="1:18">
      <c r="A53" s="15" t="s">
        <v>613</v>
      </c>
      <c r="B53" s="17" t="n">
        <v>2811</v>
      </c>
      <c r="C53" s="18">
        <f>(2517.0/B53*100)</f>
        <v/>
      </c>
      <c r="D53" s="19" t="n">
        <v>294</v>
      </c>
      <c r="E53" s="18" t="n">
        <v>53.11716214</v>
      </c>
      <c r="F53" s="20" t="n">
        <v>2.92305162</v>
      </c>
      <c r="G53" s="18" t="n">
        <v>45.38261394</v>
      </c>
      <c r="H53" s="20" t="n">
        <v>2.92424411</v>
      </c>
      <c r="I53" s="18" t="s">
        <v>567</v>
      </c>
      <c r="J53" s="20" t="s">
        <v>567</v>
      </c>
      <c r="K53" s="18" t="n">
        <v>0.58696152</v>
      </c>
      <c r="L53" s="20" t="n">
        <v>0.41965109</v>
      </c>
      <c r="M53" s="18" t="n">
        <v>0</v>
      </c>
      <c r="N53" s="20" t="n">
        <v>0</v>
      </c>
      <c r="O53" s="18" t="n">
        <v>0</v>
      </c>
      <c r="P53" s="20" t="n">
        <v>0</v>
      </c>
      <c r="Q53" s="18" t="n">
        <v>0.9132624</v>
      </c>
      <c r="R53" s="20" t="n">
        <v>0.6459958</v>
      </c>
    </row>
    <row r="54" spans="1:18">
      <c r="A54" s="15" t="s">
        <v>614</v>
      </c>
      <c r="B54" s="17" t="n">
        <v>2266</v>
      </c>
      <c r="C54" s="18">
        <f>(2013.0/B54*100)</f>
        <v/>
      </c>
      <c r="D54" s="19" t="n">
        <v>253</v>
      </c>
      <c r="E54" s="18" t="n">
        <v>72.65489079</v>
      </c>
      <c r="F54" s="20" t="n">
        <v>3.31190687</v>
      </c>
      <c r="G54" s="18" t="n">
        <v>16.12104973</v>
      </c>
      <c r="H54" s="20" t="n">
        <v>2.55951652</v>
      </c>
      <c r="I54" s="18" t="s">
        <v>567</v>
      </c>
      <c r="J54" s="20" t="s">
        <v>567</v>
      </c>
      <c r="K54" s="18" t="n">
        <v>8.891012740000001</v>
      </c>
      <c r="L54" s="20" t="n">
        <v>2.09537943</v>
      </c>
      <c r="M54" s="18" t="n">
        <v>0</v>
      </c>
      <c r="N54" s="20" t="n">
        <v>0</v>
      </c>
      <c r="O54" s="18" t="n">
        <v>0</v>
      </c>
      <c r="P54" s="20" t="n">
        <v>0</v>
      </c>
      <c r="Q54" s="18" t="n">
        <v>2.33304674</v>
      </c>
      <c r="R54" s="20" t="n">
        <v>1.07921244</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(2388.0/B56*100)</f>
        <v/>
      </c>
      <c r="D56" s="19" t="n">
        <v>296</v>
      </c>
      <c r="E56" s="18" t="n">
        <v>36.78221153</v>
      </c>
      <c r="F56" s="20" t="n">
        <v>2.62270575</v>
      </c>
      <c r="G56" s="18" t="n">
        <v>61.91016462</v>
      </c>
      <c r="H56" s="20" t="n">
        <v>2.49954635</v>
      </c>
      <c r="I56" s="18" t="s">
        <v>567</v>
      </c>
      <c r="J56" s="20" t="s">
        <v>567</v>
      </c>
      <c r="K56" s="18" t="n">
        <v>1.06236896</v>
      </c>
      <c r="L56" s="20" t="n">
        <v>0.83063315</v>
      </c>
      <c r="M56" s="18" t="n">
        <v>0</v>
      </c>
      <c r="N56" s="20" t="n">
        <v>0</v>
      </c>
      <c r="O56" s="18" t="n">
        <v>0</v>
      </c>
      <c r="P56" s="20" t="n">
        <v>0</v>
      </c>
      <c r="Q56" s="18" t="n">
        <v>0.2452549</v>
      </c>
      <c r="R56" s="20" t="n">
        <v>0.25941374</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(2976.0/B61*100)</f>
        <v/>
      </c>
      <c r="D61" s="19" t="n">
        <v>348</v>
      </c>
      <c r="E61" s="18" t="n">
        <v>49.77436153</v>
      </c>
      <c r="F61" s="20" t="n">
        <v>3.21343983</v>
      </c>
      <c r="G61" s="18" t="n">
        <v>49.5112291</v>
      </c>
      <c r="H61" s="20" t="n">
        <v>3.13041606</v>
      </c>
      <c r="I61" s="18" t="s">
        <v>567</v>
      </c>
      <c r="J61" s="20" t="s">
        <v>567</v>
      </c>
      <c r="K61" s="18" t="n">
        <v>0</v>
      </c>
      <c r="L61" s="20" t="n">
        <v>0</v>
      </c>
      <c r="M61" s="18" t="n">
        <v>0</v>
      </c>
      <c r="N61" s="20" t="n">
        <v>0</v>
      </c>
      <c r="O61" s="18" t="n">
        <v>0</v>
      </c>
      <c r="P61" s="20" t="n">
        <v>0</v>
      </c>
      <c r="Q61" s="18" t="n">
        <v>0.71440937</v>
      </c>
      <c r="R61" s="20" t="n">
        <v>0.49065254</v>
      </c>
    </row>
    <row r="62" spans="1:18">
      <c r="A62" s="15" t="s">
        <v>622</v>
      </c>
      <c r="B62" s="17" t="n">
        <v>2246</v>
      </c>
      <c r="C62" s="18">
        <f>(1986.0/B62*100)</f>
        <v/>
      </c>
      <c r="D62" s="19" t="n">
        <v>260</v>
      </c>
      <c r="E62" s="18" t="n">
        <v>44.25971036</v>
      </c>
      <c r="F62" s="20" t="n">
        <v>3.05148712</v>
      </c>
      <c r="G62" s="18" t="n">
        <v>55.74028964</v>
      </c>
      <c r="H62" s="20" t="n">
        <v>3.05148712</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(2576.0/B66*100)</f>
        <v/>
      </c>
      <c r="D66" s="19" t="n">
        <v>318</v>
      </c>
      <c r="E66" s="18" t="n">
        <v>56.79752887</v>
      </c>
      <c r="F66" s="20" t="n">
        <v>2.7828541</v>
      </c>
      <c r="G66" s="18" t="n">
        <v>39.78681874</v>
      </c>
      <c r="H66" s="20" t="n">
        <v>2.88242711</v>
      </c>
      <c r="I66" s="18" t="s">
        <v>567</v>
      </c>
      <c r="J66" s="20" t="s">
        <v>567</v>
      </c>
      <c r="K66" s="18" t="n">
        <v>1.31018313</v>
      </c>
      <c r="L66" s="20" t="n">
        <v>0.6557257</v>
      </c>
      <c r="M66" s="18" t="n">
        <v>0</v>
      </c>
      <c r="N66" s="20" t="n">
        <v>0</v>
      </c>
      <c r="O66" s="18" t="n">
        <v>0</v>
      </c>
      <c r="P66" s="20" t="n">
        <v>0</v>
      </c>
      <c r="Q66" s="18" t="n">
        <v>2.10546926</v>
      </c>
      <c r="R66" s="20" t="n">
        <v>0.91526386</v>
      </c>
    </row>
    <row r="67" spans="1:18">
      <c r="A67" s="15" t="s">
        <v>627</v>
      </c>
      <c r="B67" s="17" t="n">
        <v>3511</v>
      </c>
      <c r="C67" s="18">
        <f>(3170.0/B67*100)</f>
        <v/>
      </c>
      <c r="D67" s="19" t="n">
        <v>341</v>
      </c>
      <c r="E67" s="18" t="n">
        <v>62.66640141</v>
      </c>
      <c r="F67" s="20" t="n">
        <v>2.65206001</v>
      </c>
      <c r="G67" s="18" t="n">
        <v>35.02049011</v>
      </c>
      <c r="H67" s="20" t="n">
        <v>2.57404787</v>
      </c>
      <c r="I67" s="18" t="s">
        <v>567</v>
      </c>
      <c r="J67" s="20" t="s">
        <v>567</v>
      </c>
      <c r="K67" s="18" t="n">
        <v>0</v>
      </c>
      <c r="L67" s="20" t="n">
        <v>0</v>
      </c>
      <c r="M67" s="18" t="n">
        <v>0</v>
      </c>
      <c r="N67" s="20" t="n">
        <v>0</v>
      </c>
      <c r="O67" s="18" t="n">
        <v>0</v>
      </c>
      <c r="P67" s="20" t="n">
        <v>0</v>
      </c>
      <c r="Q67" s="18" t="n">
        <v>2.31310848</v>
      </c>
      <c r="R67" s="20" t="n">
        <v>1.00833424</v>
      </c>
    </row>
    <row r="68" spans="1:18">
      <c r="A68" s="15" t="s">
        <v>628</v>
      </c>
      <c r="B68" s="17" t="n">
        <v>6049</v>
      </c>
      <c r="C68" s="18">
        <f>(5347.0/B68*100)</f>
        <v/>
      </c>
      <c r="D68" s="19" t="n">
        <v>702</v>
      </c>
      <c r="E68" s="18" t="n">
        <v>66.29698093</v>
      </c>
      <c r="F68" s="20" t="n">
        <v>1.70978334</v>
      </c>
      <c r="G68" s="18" t="n">
        <v>30.6686496</v>
      </c>
      <c r="H68" s="20" t="n">
        <v>1.7133309</v>
      </c>
      <c r="I68" s="18" t="s">
        <v>567</v>
      </c>
      <c r="J68" s="20" t="s">
        <v>567</v>
      </c>
      <c r="K68" s="18" t="n">
        <v>1.79607767</v>
      </c>
      <c r="L68" s="20" t="n">
        <v>0.5281374599999999</v>
      </c>
      <c r="M68" s="18" t="n">
        <v>0</v>
      </c>
      <c r="N68" s="20" t="n">
        <v>0</v>
      </c>
      <c r="O68" s="18" t="n">
        <v>0</v>
      </c>
      <c r="P68" s="20" t="n">
        <v>0</v>
      </c>
      <c r="Q68" s="18" t="n">
        <v>1.2382918</v>
      </c>
      <c r="R68" s="20" t="n">
        <v>0.40339538</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(2616.0/B70*100)</f>
        <v/>
      </c>
      <c r="D70" s="19" t="n">
        <v>313</v>
      </c>
      <c r="E70" s="18" t="n">
        <v>51.99035214</v>
      </c>
      <c r="F70" s="20" t="n">
        <v>3.18795339</v>
      </c>
      <c r="G70" s="18" t="n">
        <v>47.24182975</v>
      </c>
      <c r="H70" s="20" t="n">
        <v>3.169373</v>
      </c>
      <c r="I70" s="18" t="s">
        <v>567</v>
      </c>
      <c r="J70" s="20" t="s">
        <v>567</v>
      </c>
      <c r="K70" s="18" t="n">
        <v>0.21638285</v>
      </c>
      <c r="L70" s="20" t="n">
        <v>0.21645207</v>
      </c>
      <c r="M70" s="18" t="n">
        <v>0</v>
      </c>
      <c r="N70" s="20" t="n">
        <v>0</v>
      </c>
      <c r="O70" s="18" t="n">
        <v>0</v>
      </c>
      <c r="P70" s="20" t="n">
        <v>0</v>
      </c>
      <c r="Q70" s="18" t="n">
        <v>0.55143526</v>
      </c>
      <c r="R70" s="20" t="n">
        <v>0.54470835</v>
      </c>
    </row>
    <row r="71" spans="1:18">
      <c r="A71" s="15" t="s">
        <v>631</v>
      </c>
      <c r="B71" s="17" t="n">
        <v>3142</v>
      </c>
      <c r="C71" s="18">
        <f>(2826.0/B71*100)</f>
        <v/>
      </c>
      <c r="D71" s="19" t="n">
        <v>316</v>
      </c>
      <c r="E71" s="18" t="n">
        <v>42.0964509</v>
      </c>
      <c r="F71" s="20" t="n">
        <v>2.92790612</v>
      </c>
      <c r="G71" s="18" t="n">
        <v>57.43165704</v>
      </c>
      <c r="H71" s="20" t="n">
        <v>2.94067479</v>
      </c>
      <c r="I71" s="18" t="s">
        <v>567</v>
      </c>
      <c r="J71" s="20" t="s">
        <v>567</v>
      </c>
      <c r="K71" s="18" t="n">
        <v>0.47189206</v>
      </c>
      <c r="L71" s="20" t="n">
        <v>0.34259444</v>
      </c>
      <c r="M71" s="18" t="n">
        <v>0</v>
      </c>
      <c r="N71" s="20" t="n">
        <v>0</v>
      </c>
      <c r="O71" s="18" t="n">
        <v>0</v>
      </c>
      <c r="P71" s="20" t="n">
        <v>0</v>
      </c>
      <c r="Q71" s="18" t="n">
        <v>0</v>
      </c>
      <c r="R71" s="20" t="n">
        <v>0</v>
      </c>
    </row>
    <row r="72" spans="1:18">
      <c r="A72" s="15" t="s">
        <v>632</v>
      </c>
      <c r="B72" s="17" t="n">
        <v>3889</v>
      </c>
      <c r="C72" s="18">
        <f>(3460.0/B72*100)</f>
        <v/>
      </c>
      <c r="D72" s="19" t="n">
        <v>429</v>
      </c>
      <c r="E72" s="18" t="n">
        <v>33.64225301</v>
      </c>
      <c r="F72" s="20" t="n">
        <v>2.271227</v>
      </c>
      <c r="G72" s="18" t="n">
        <v>66.19957582000001</v>
      </c>
      <c r="H72" s="20" t="n">
        <v>2.28277911</v>
      </c>
      <c r="I72" s="18" t="s">
        <v>567</v>
      </c>
      <c r="J72" s="20" t="s">
        <v>567</v>
      </c>
      <c r="K72" s="18" t="n">
        <v>0.15817116</v>
      </c>
      <c r="L72" s="20" t="n">
        <v>0.16255288</v>
      </c>
      <c r="M72" s="18" t="n">
        <v>0</v>
      </c>
      <c r="N72" s="20" t="n">
        <v>0</v>
      </c>
      <c r="O72" s="18" t="n">
        <v>0</v>
      </c>
      <c r="P72" s="20" t="n">
        <v>0</v>
      </c>
      <c r="Q72" s="18" t="n">
        <v>0</v>
      </c>
      <c r="R72" s="20" t="n">
        <v>0</v>
      </c>
    </row>
    <row r="73" spans="1:18">
      <c r="A73" s="15" t="s">
        <v>633</v>
      </c>
      <c r="B73" s="17" t="n">
        <v>3597</v>
      </c>
      <c r="C73" s="18">
        <f>(3193.0/B73*100)</f>
        <v/>
      </c>
      <c r="D73" s="19" t="n">
        <v>404</v>
      </c>
      <c r="E73" s="18" t="n">
        <v>56.64188132</v>
      </c>
      <c r="F73" s="20" t="n">
        <v>2.83396633</v>
      </c>
      <c r="G73" s="18" t="n">
        <v>42.48173479</v>
      </c>
      <c r="H73" s="20" t="n">
        <v>2.74736783</v>
      </c>
      <c r="I73" s="18" t="s">
        <v>567</v>
      </c>
      <c r="J73" s="20" t="s">
        <v>567</v>
      </c>
      <c r="K73" s="18" t="n">
        <v>0.52582494</v>
      </c>
      <c r="L73" s="20" t="n">
        <v>0.38971414</v>
      </c>
      <c r="M73" s="18" t="n">
        <v>0</v>
      </c>
      <c r="N73" s="20" t="n">
        <v>0</v>
      </c>
      <c r="O73" s="18" t="n">
        <v>0</v>
      </c>
      <c r="P73" s="20" t="n">
        <v>0</v>
      </c>
      <c r="Q73" s="18" t="n">
        <v>0.35055894</v>
      </c>
      <c r="R73" s="20" t="n">
        <v>0.34879745</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(2149.0/B75*100)</f>
        <v/>
      </c>
      <c r="D75" s="19" t="n">
        <v>257</v>
      </c>
      <c r="E75" s="18" t="n">
        <v>63.29087076</v>
      </c>
      <c r="F75" s="20" t="n">
        <v>2.8545403</v>
      </c>
      <c r="G75" s="18" t="n">
        <v>30.99017504</v>
      </c>
      <c r="H75" s="20" t="n">
        <v>2.73509486</v>
      </c>
      <c r="I75" s="18" t="s">
        <v>567</v>
      </c>
      <c r="J75" s="20" t="s">
        <v>567</v>
      </c>
      <c r="K75" s="18" t="n">
        <v>3.75048257</v>
      </c>
      <c r="L75" s="20" t="n">
        <v>1.36953211</v>
      </c>
      <c r="M75" s="18" t="n">
        <v>0</v>
      </c>
      <c r="N75" s="20" t="n">
        <v>0</v>
      </c>
      <c r="O75" s="18" t="n">
        <v>0</v>
      </c>
      <c r="P75" s="20" t="n">
        <v>0</v>
      </c>
      <c r="Q75" s="18" t="n">
        <v>1.96847163</v>
      </c>
      <c r="R75" s="20" t="n">
        <v>1.09833382</v>
      </c>
    </row>
    <row r="76" spans="1:18">
      <c r="A76" s="15" t="s">
        <v>636</v>
      </c>
      <c r="B76" s="17" t="n">
        <v>7052</v>
      </c>
      <c r="C76" s="18">
        <f>(6270.0/B76*100)</f>
        <v/>
      </c>
      <c r="D76" s="19" t="n">
        <v>782</v>
      </c>
      <c r="E76" s="18" t="n">
        <v>61.92329597</v>
      </c>
      <c r="F76" s="20" t="n">
        <v>2.08511756</v>
      </c>
      <c r="G76" s="18" t="n">
        <v>36.70977495</v>
      </c>
      <c r="H76" s="20" t="n">
        <v>2.08814842</v>
      </c>
      <c r="I76" s="18" t="s">
        <v>567</v>
      </c>
      <c r="J76" s="20" t="s">
        <v>567</v>
      </c>
      <c r="K76" s="18" t="n">
        <v>0.76124272</v>
      </c>
      <c r="L76" s="20" t="n">
        <v>0.34202894</v>
      </c>
      <c r="M76" s="18" t="n">
        <v>0</v>
      </c>
      <c r="N76" s="20" t="n">
        <v>0</v>
      </c>
      <c r="O76" s="18" t="n">
        <v>0</v>
      </c>
      <c r="P76" s="20" t="n">
        <v>0</v>
      </c>
      <c r="Q76" s="18" t="n">
        <v>0.60568635</v>
      </c>
      <c r="R76" s="20" t="n">
        <v>0.2722665</v>
      </c>
    </row>
    <row r="77" spans="1:18">
      <c r="A77" s="15" t="s">
        <v>637</v>
      </c>
      <c r="B77" s="17" t="n">
        <v>2908</v>
      </c>
      <c r="C77" s="18">
        <f>(2593.0/B77*100)</f>
        <v/>
      </c>
      <c r="D77" s="19" t="n">
        <v>315</v>
      </c>
      <c r="E77" s="18" t="n">
        <v>53.23481706</v>
      </c>
      <c r="F77" s="20" t="n">
        <v>3.09318347</v>
      </c>
      <c r="G77" s="18" t="n">
        <v>44.40881001</v>
      </c>
      <c r="H77" s="20" t="n">
        <v>3.21349064</v>
      </c>
      <c r="I77" s="18" t="s">
        <v>567</v>
      </c>
      <c r="J77" s="20" t="s">
        <v>567</v>
      </c>
      <c r="K77" s="18" t="n">
        <v>1.16996034</v>
      </c>
      <c r="L77" s="20" t="n">
        <v>0.58495438</v>
      </c>
      <c r="M77" s="18" t="n">
        <v>0</v>
      </c>
      <c r="N77" s="20" t="n">
        <v>0</v>
      </c>
      <c r="O77" s="18" t="n">
        <v>0</v>
      </c>
      <c r="P77" s="20" t="n">
        <v>0</v>
      </c>
      <c r="Q77" s="18" t="n">
        <v>1.18641259</v>
      </c>
      <c r="R77" s="20" t="n">
        <v>0.329888</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(3715.0/B81*100)</f>
        <v/>
      </c>
      <c r="D81" s="19" t="n">
        <v>448</v>
      </c>
      <c r="E81" s="18" t="n">
        <v>57.17225049</v>
      </c>
      <c r="F81" s="20" t="n">
        <v>3.0614616</v>
      </c>
      <c r="G81" s="18" t="n">
        <v>42.52187519</v>
      </c>
      <c r="H81" s="20" t="n">
        <v>3.05733149</v>
      </c>
      <c r="I81" s="18" t="s">
        <v>567</v>
      </c>
      <c r="J81" s="20" t="s">
        <v>567</v>
      </c>
      <c r="K81" s="18" t="n">
        <v>0</v>
      </c>
      <c r="L81" s="20" t="n">
        <v>0</v>
      </c>
      <c r="M81" s="18" t="n">
        <v>0</v>
      </c>
      <c r="N81" s="20" t="n">
        <v>0</v>
      </c>
      <c r="O81" s="18" t="n">
        <v>0</v>
      </c>
      <c r="P81" s="20" t="n">
        <v>0</v>
      </c>
      <c r="Q81" s="18" t="n">
        <v>0.30587433</v>
      </c>
      <c r="R81" s="20" t="n">
        <v>0.24148359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(6552.0/B7*100)</f>
        <v/>
      </c>
      <c r="D7" s="19" t="n">
        <v>815</v>
      </c>
      <c r="E7" s="18" t="n">
        <v>33.17879828</v>
      </c>
      <c r="F7" s="20" t="n">
        <v>1.94247278</v>
      </c>
      <c r="G7" s="18" t="n">
        <v>65.77916025</v>
      </c>
      <c r="H7" s="20" t="n">
        <v>1.93771472</v>
      </c>
      <c r="I7" s="18" t="s">
        <v>567</v>
      </c>
      <c r="J7" s="20" t="s">
        <v>567</v>
      </c>
      <c r="K7" s="18" t="n">
        <v>0.36107114</v>
      </c>
      <c r="L7" s="20" t="n">
        <v>0.23498669</v>
      </c>
      <c r="M7" s="18" t="n">
        <v>0</v>
      </c>
      <c r="N7" s="20" t="n">
        <v>0</v>
      </c>
      <c r="O7" s="18" t="n">
        <v>0</v>
      </c>
      <c r="P7" s="20" t="n">
        <v>0</v>
      </c>
      <c r="Q7" s="18" t="n">
        <v>0.68097033</v>
      </c>
      <c r="R7" s="20" t="n">
        <v>0.33671513</v>
      </c>
    </row>
    <row r="8" spans="1:18">
      <c r="A8" s="15" t="s">
        <v>568</v>
      </c>
      <c r="B8" s="17" t="n">
        <v>3564</v>
      </c>
      <c r="C8" s="18">
        <f>(3190.0/B8*100)</f>
        <v/>
      </c>
      <c r="D8" s="19" t="n">
        <v>374</v>
      </c>
      <c r="E8" s="18" t="n">
        <v>35.3672751</v>
      </c>
      <c r="F8" s="20" t="n">
        <v>2.7946194</v>
      </c>
      <c r="G8" s="18" t="n">
        <v>63.64553201</v>
      </c>
      <c r="H8" s="20" t="n">
        <v>2.75257761</v>
      </c>
      <c r="I8" s="18" t="s">
        <v>567</v>
      </c>
      <c r="J8" s="20" t="s">
        <v>567</v>
      </c>
      <c r="K8" s="18" t="n">
        <v>0</v>
      </c>
      <c r="L8" s="20" t="n">
        <v>0</v>
      </c>
      <c r="M8" s="18" t="n">
        <v>0</v>
      </c>
      <c r="N8" s="20" t="n">
        <v>0</v>
      </c>
      <c r="O8" s="18" t="n">
        <v>0</v>
      </c>
      <c r="P8" s="20" t="n">
        <v>0</v>
      </c>
      <c r="Q8" s="18" t="n">
        <v>0.98719289</v>
      </c>
      <c r="R8" s="20" t="n">
        <v>0.55492254</v>
      </c>
    </row>
    <row r="9" spans="1:18">
      <c r="A9" s="15" t="s">
        <v>569</v>
      </c>
      <c r="B9" s="17" t="n">
        <v>4899</v>
      </c>
      <c r="C9" s="18">
        <f>(4384.0/B9*100)</f>
        <v/>
      </c>
      <c r="D9" s="19" t="n">
        <v>515</v>
      </c>
      <c r="E9" s="18" t="n">
        <v>31.70121394</v>
      </c>
      <c r="F9" s="20" t="n">
        <v>2.35554687</v>
      </c>
      <c r="G9" s="18" t="n">
        <v>67.35466771999999</v>
      </c>
      <c r="H9" s="20" t="n">
        <v>2.38428702</v>
      </c>
      <c r="I9" s="18" t="s">
        <v>567</v>
      </c>
      <c r="J9" s="20" t="s">
        <v>567</v>
      </c>
      <c r="K9" s="18" t="n">
        <v>0.35935216</v>
      </c>
      <c r="L9" s="20" t="n">
        <v>0.24732036</v>
      </c>
      <c r="M9" s="18" t="n">
        <v>0</v>
      </c>
      <c r="N9" s="20" t="n">
        <v>0</v>
      </c>
      <c r="O9" s="18" t="n">
        <v>0</v>
      </c>
      <c r="P9" s="20" t="n">
        <v>0</v>
      </c>
      <c r="Q9" s="18" t="n">
        <v>0.58476619</v>
      </c>
      <c r="R9" s="20" t="n">
        <v>0.31073992</v>
      </c>
    </row>
    <row r="10" spans="1:18">
      <c r="A10" s="15" t="s">
        <v>570</v>
      </c>
      <c r="B10" s="17" t="n">
        <v>10036</v>
      </c>
      <c r="C10" s="18">
        <f>(8963.0/B10*100)</f>
        <v/>
      </c>
      <c r="D10" s="19" t="n">
        <v>1073</v>
      </c>
      <c r="E10" s="18" t="n">
        <v>33.41062597</v>
      </c>
      <c r="F10" s="20" t="n">
        <v>2.0638164</v>
      </c>
      <c r="G10" s="18" t="n">
        <v>65.75709079000001</v>
      </c>
      <c r="H10" s="20" t="n">
        <v>2.06807401</v>
      </c>
      <c r="I10" s="18" t="s">
        <v>567</v>
      </c>
      <c r="J10" s="20" t="s">
        <v>567</v>
      </c>
      <c r="K10" s="18" t="n">
        <v>0.03461693</v>
      </c>
      <c r="L10" s="20" t="n">
        <v>0.03434986</v>
      </c>
      <c r="M10" s="18" t="n">
        <v>0</v>
      </c>
      <c r="N10" s="20" t="n">
        <v>0</v>
      </c>
      <c r="O10" s="18" t="n">
        <v>0</v>
      </c>
      <c r="P10" s="20" t="n">
        <v>0</v>
      </c>
      <c r="Q10" s="18" t="n">
        <v>0.79766632</v>
      </c>
      <c r="R10" s="20" t="n">
        <v>0.30269962</v>
      </c>
    </row>
    <row r="11" spans="1:18">
      <c r="A11" s="15" t="s">
        <v>571</v>
      </c>
      <c r="B11" s="17" t="n">
        <v>3553</v>
      </c>
      <c r="C11" s="18">
        <f>(3143.0/B11*100)</f>
        <v/>
      </c>
      <c r="D11" s="19" t="n">
        <v>410</v>
      </c>
      <c r="E11" s="18" t="n">
        <v>37.02097711</v>
      </c>
      <c r="F11" s="20" t="n">
        <v>2.89824714</v>
      </c>
      <c r="G11" s="18" t="n">
        <v>60.31787855</v>
      </c>
      <c r="H11" s="20" t="n">
        <v>3.0244076</v>
      </c>
      <c r="I11" s="18" t="s">
        <v>567</v>
      </c>
      <c r="J11" s="20" t="s">
        <v>567</v>
      </c>
      <c r="K11" s="18" t="n">
        <v>1.00624744</v>
      </c>
      <c r="L11" s="20" t="n">
        <v>0.50682046</v>
      </c>
      <c r="M11" s="18" t="n">
        <v>0</v>
      </c>
      <c r="N11" s="20" t="n">
        <v>0</v>
      </c>
      <c r="O11" s="18" t="n">
        <v>0</v>
      </c>
      <c r="P11" s="20" t="n">
        <v>0</v>
      </c>
      <c r="Q11" s="18" t="n">
        <v>1.6548969</v>
      </c>
      <c r="R11" s="20" t="n">
        <v>0.74322681</v>
      </c>
    </row>
    <row r="12" spans="1:18">
      <c r="A12" s="15" t="s">
        <v>572</v>
      </c>
      <c r="B12" s="17" t="n">
        <v>3472</v>
      </c>
      <c r="C12" s="18">
        <f>(3060.0/B12*100)</f>
        <v/>
      </c>
      <c r="D12" s="19" t="n">
        <v>412</v>
      </c>
      <c r="E12" s="18" t="n">
        <v>35.61090371</v>
      </c>
      <c r="F12" s="20" t="n">
        <v>2.7224716</v>
      </c>
      <c r="G12" s="18" t="n">
        <v>63.12616383</v>
      </c>
      <c r="H12" s="20" t="n">
        <v>2.83217544</v>
      </c>
      <c r="I12" s="18" t="s">
        <v>567</v>
      </c>
      <c r="J12" s="20" t="s">
        <v>567</v>
      </c>
      <c r="K12" s="18" t="n">
        <v>0</v>
      </c>
      <c r="L12" s="20" t="n">
        <v>0</v>
      </c>
      <c r="M12" s="18" t="n">
        <v>0</v>
      </c>
      <c r="N12" s="20" t="n">
        <v>0</v>
      </c>
      <c r="O12" s="18" t="n">
        <v>0</v>
      </c>
      <c r="P12" s="20" t="n">
        <v>0</v>
      </c>
      <c r="Q12" s="18" t="n">
        <v>1.26293246</v>
      </c>
      <c r="R12" s="20" t="n">
        <v>0.63189725</v>
      </c>
    </row>
    <row r="13" spans="1:18">
      <c r="A13" s="15" t="s">
        <v>573</v>
      </c>
      <c r="B13" s="17" t="n">
        <v>3559</v>
      </c>
      <c r="C13" s="18">
        <f>(3175.0/B13*100)</f>
        <v/>
      </c>
      <c r="D13" s="19" t="n">
        <v>384</v>
      </c>
      <c r="E13" s="18" t="n">
        <v>21.94448686</v>
      </c>
      <c r="F13" s="20" t="n">
        <v>2.54083726</v>
      </c>
      <c r="G13" s="18" t="n">
        <v>77.33740023999999</v>
      </c>
      <c r="H13" s="20" t="n">
        <v>2.56626048</v>
      </c>
      <c r="I13" s="18" t="s">
        <v>567</v>
      </c>
      <c r="J13" s="20" t="s">
        <v>567</v>
      </c>
      <c r="K13" s="18" t="n">
        <v>0.43656019</v>
      </c>
      <c r="L13" s="20" t="n">
        <v>0.23607659</v>
      </c>
      <c r="M13" s="18" t="n">
        <v>0</v>
      </c>
      <c r="N13" s="20" t="n">
        <v>0</v>
      </c>
      <c r="O13" s="18" t="n">
        <v>0</v>
      </c>
      <c r="P13" s="20" t="n">
        <v>0</v>
      </c>
      <c r="Q13" s="18" t="n">
        <v>0.2815527</v>
      </c>
      <c r="R13" s="20" t="n">
        <v>0.22027856</v>
      </c>
    </row>
    <row r="14" spans="1:18">
      <c r="A14" s="15" t="s">
        <v>574</v>
      </c>
      <c r="B14" s="17" t="n">
        <v>2799</v>
      </c>
      <c r="C14" s="18">
        <f>(2488.0/B14*100)</f>
        <v/>
      </c>
      <c r="D14" s="19" t="n">
        <v>311</v>
      </c>
      <c r="E14" s="18" t="n">
        <v>21.19672673</v>
      </c>
      <c r="F14" s="20" t="n">
        <v>2.48370304</v>
      </c>
      <c r="G14" s="18" t="n">
        <v>78.50316282999999</v>
      </c>
      <c r="H14" s="20" t="n">
        <v>2.49396199</v>
      </c>
      <c r="I14" s="18" t="s">
        <v>567</v>
      </c>
      <c r="J14" s="20" t="s">
        <v>567</v>
      </c>
      <c r="K14" s="18" t="n">
        <v>0</v>
      </c>
      <c r="L14" s="20" t="n">
        <v>0</v>
      </c>
      <c r="M14" s="18" t="n">
        <v>0</v>
      </c>
      <c r="N14" s="20" t="n">
        <v>0</v>
      </c>
      <c r="O14" s="18" t="n">
        <v>0</v>
      </c>
      <c r="P14" s="20" t="n">
        <v>0</v>
      </c>
      <c r="Q14" s="18" t="n">
        <v>0.30011044</v>
      </c>
      <c r="R14" s="20" t="n">
        <v>0.30919838</v>
      </c>
    </row>
    <row r="15" spans="1:18">
      <c r="A15" s="15" t="s">
        <v>575</v>
      </c>
      <c r="B15" s="17" t="n">
        <v>3019</v>
      </c>
      <c r="C15" s="18">
        <f>(2669.0/B15*100)</f>
        <v/>
      </c>
      <c r="D15" s="19" t="n">
        <v>350</v>
      </c>
      <c r="E15" s="18" t="n">
        <v>35.03869584</v>
      </c>
      <c r="F15" s="20" t="n">
        <v>2.52000177</v>
      </c>
      <c r="G15" s="18" t="n">
        <v>64.4739088</v>
      </c>
      <c r="H15" s="20" t="n">
        <v>2.5193525</v>
      </c>
      <c r="I15" s="18" t="s">
        <v>567</v>
      </c>
      <c r="J15" s="20" t="s">
        <v>567</v>
      </c>
      <c r="K15" s="18" t="n">
        <v>0.48739535</v>
      </c>
      <c r="L15" s="20" t="n">
        <v>0.34617495</v>
      </c>
      <c r="M15" s="18" t="n">
        <v>0</v>
      </c>
      <c r="N15" s="20" t="n">
        <v>0</v>
      </c>
      <c r="O15" s="18" t="n">
        <v>0</v>
      </c>
      <c r="P15" s="20" t="n">
        <v>0</v>
      </c>
      <c r="Q15" s="18" t="n">
        <v>0</v>
      </c>
      <c r="R15" s="20" t="n">
        <v>0</v>
      </c>
    </row>
    <row r="16" spans="1:18">
      <c r="A16" s="15" t="s">
        <v>576</v>
      </c>
      <c r="B16" s="17" t="n">
        <v>2997</v>
      </c>
      <c r="C16" s="18">
        <f>(2667.0/B16*100)</f>
        <v/>
      </c>
      <c r="D16" s="19" t="n">
        <v>330</v>
      </c>
      <c r="E16" s="18" t="n">
        <v>27.30478771</v>
      </c>
      <c r="F16" s="20" t="n">
        <v>2.59804999</v>
      </c>
      <c r="G16" s="18" t="n">
        <v>71.47238167</v>
      </c>
      <c r="H16" s="20" t="n">
        <v>2.63982357</v>
      </c>
      <c r="I16" s="18" t="s">
        <v>567</v>
      </c>
      <c r="J16" s="20" t="s">
        <v>567</v>
      </c>
      <c r="K16" s="18" t="n">
        <v>0.85789295</v>
      </c>
      <c r="L16" s="20" t="n">
        <v>0.49451144</v>
      </c>
      <c r="M16" s="18" t="n">
        <v>0</v>
      </c>
      <c r="N16" s="20" t="n">
        <v>0</v>
      </c>
      <c r="O16" s="18" t="n">
        <v>0</v>
      </c>
      <c r="P16" s="20" t="n">
        <v>0</v>
      </c>
      <c r="Q16" s="18" t="n">
        <v>0.36493767</v>
      </c>
      <c r="R16" s="20" t="n">
        <v>0.361482</v>
      </c>
    </row>
    <row r="17" spans="1:18">
      <c r="A17" s="15" t="s">
        <v>577</v>
      </c>
      <c r="B17" s="17" t="n">
        <v>3307</v>
      </c>
      <c r="C17" s="18">
        <f>(2927.0/B17*100)</f>
        <v/>
      </c>
      <c r="D17" s="19" t="n">
        <v>380</v>
      </c>
      <c r="E17" s="18" t="n">
        <v>30.33470387</v>
      </c>
      <c r="F17" s="20" t="n">
        <v>2.28245685</v>
      </c>
      <c r="G17" s="18" t="n">
        <v>67.10489951</v>
      </c>
      <c r="H17" s="20" t="n">
        <v>2.2757681</v>
      </c>
      <c r="I17" s="18" t="s">
        <v>567</v>
      </c>
      <c r="J17" s="20" t="s">
        <v>567</v>
      </c>
      <c r="K17" s="18" t="n">
        <v>2.31792627</v>
      </c>
      <c r="L17" s="20" t="n">
        <v>0.9466215100000001</v>
      </c>
      <c r="M17" s="18" t="n">
        <v>0</v>
      </c>
      <c r="N17" s="20" t="n">
        <v>0</v>
      </c>
      <c r="O17" s="18" t="n">
        <v>0</v>
      </c>
      <c r="P17" s="20" t="n">
        <v>0</v>
      </c>
      <c r="Q17" s="18" t="n">
        <v>0.24247035</v>
      </c>
      <c r="R17" s="20" t="n">
        <v>0.24305522</v>
      </c>
    </row>
    <row r="18" spans="1:18">
      <c r="A18" s="15" t="s">
        <v>578</v>
      </c>
      <c r="B18" s="17" t="n">
        <v>2826</v>
      </c>
      <c r="C18" s="18">
        <f>(2504.0/B18*100)</f>
        <v/>
      </c>
      <c r="D18" s="19" t="n">
        <v>322</v>
      </c>
      <c r="E18" s="18" t="n">
        <v>36.38436589</v>
      </c>
      <c r="F18" s="20" t="n">
        <v>3.51560975</v>
      </c>
      <c r="G18" s="18" t="n">
        <v>62.08056206</v>
      </c>
      <c r="H18" s="20" t="n">
        <v>3.44614128</v>
      </c>
      <c r="I18" s="18" t="s">
        <v>567</v>
      </c>
      <c r="J18" s="20" t="s">
        <v>567</v>
      </c>
      <c r="K18" s="18" t="n">
        <v>0.66566968</v>
      </c>
      <c r="L18" s="20" t="n">
        <v>0.47508961</v>
      </c>
      <c r="M18" s="18" t="n">
        <v>0</v>
      </c>
      <c r="N18" s="20" t="n">
        <v>0</v>
      </c>
      <c r="O18" s="18" t="n">
        <v>0</v>
      </c>
      <c r="P18" s="20" t="n">
        <v>0</v>
      </c>
      <c r="Q18" s="18" t="n">
        <v>0.86940237</v>
      </c>
      <c r="R18" s="20" t="n">
        <v>0.6290546299999999</v>
      </c>
    </row>
    <row r="19" spans="1:18">
      <c r="A19" s="15" t="s">
        <v>579</v>
      </c>
      <c r="B19" s="17" t="n">
        <v>2808</v>
      </c>
      <c r="C19" s="18">
        <f>(2517.0/B19*100)</f>
        <v/>
      </c>
      <c r="D19" s="19" t="n">
        <v>291</v>
      </c>
      <c r="E19" s="18" t="n">
        <v>29.30238422</v>
      </c>
      <c r="F19" s="20" t="n">
        <v>2.6348414</v>
      </c>
      <c r="G19" s="18" t="n">
        <v>69.43654814999999</v>
      </c>
      <c r="H19" s="20" t="n">
        <v>2.74319524</v>
      </c>
      <c r="I19" s="18" t="s">
        <v>567</v>
      </c>
      <c r="J19" s="20" t="s">
        <v>567</v>
      </c>
      <c r="K19" s="18" t="n">
        <v>0</v>
      </c>
      <c r="L19" s="20" t="n">
        <v>0</v>
      </c>
      <c r="M19" s="18" t="n">
        <v>0</v>
      </c>
      <c r="N19" s="20" t="n">
        <v>0</v>
      </c>
      <c r="O19" s="18" t="n">
        <v>0</v>
      </c>
      <c r="P19" s="20" t="n">
        <v>0</v>
      </c>
      <c r="Q19" s="18" t="n">
        <v>1.26106763</v>
      </c>
      <c r="R19" s="20" t="n">
        <v>0.82595061</v>
      </c>
    </row>
    <row r="20" spans="1:18">
      <c r="A20" s="15" t="s">
        <v>580</v>
      </c>
      <c r="B20" s="17" t="n">
        <v>1630</v>
      </c>
      <c r="C20" s="18">
        <f>(1464.0/B20*100)</f>
        <v/>
      </c>
      <c r="D20" s="19" t="n">
        <v>166</v>
      </c>
      <c r="E20" s="18" t="n">
        <v>32.81015798</v>
      </c>
      <c r="F20" s="20" t="n">
        <v>3.4795211</v>
      </c>
      <c r="G20" s="18" t="n">
        <v>65.77905154</v>
      </c>
      <c r="H20" s="20" t="n">
        <v>3.54637168</v>
      </c>
      <c r="I20" s="18" t="s">
        <v>567</v>
      </c>
      <c r="J20" s="20" t="s">
        <v>567</v>
      </c>
      <c r="K20" s="18" t="n">
        <v>0</v>
      </c>
      <c r="L20" s="20" t="n">
        <v>0</v>
      </c>
      <c r="M20" s="18" t="n">
        <v>0</v>
      </c>
      <c r="N20" s="20" t="n">
        <v>0</v>
      </c>
      <c r="O20" s="18" t="n">
        <v>0</v>
      </c>
      <c r="P20" s="20" t="n">
        <v>0</v>
      </c>
      <c r="Q20" s="18" t="n">
        <v>1.41079048</v>
      </c>
      <c r="R20" s="20" t="n">
        <v>0.98742273</v>
      </c>
    </row>
    <row r="21" spans="1:18">
      <c r="A21" s="15" t="s">
        <v>581</v>
      </c>
      <c r="B21" s="17" t="n">
        <v>2908</v>
      </c>
      <c r="C21" s="18">
        <f>(2606.0/B21*100)</f>
        <v/>
      </c>
      <c r="D21" s="19" t="n">
        <v>302</v>
      </c>
      <c r="E21" s="18" t="n">
        <v>30.26977994</v>
      </c>
      <c r="F21" s="20" t="n">
        <v>2.50743336</v>
      </c>
      <c r="G21" s="18" t="n">
        <v>68.21170895</v>
      </c>
      <c r="H21" s="20" t="n">
        <v>2.7625552</v>
      </c>
      <c r="I21" s="18" t="s">
        <v>567</v>
      </c>
      <c r="J21" s="20" t="s">
        <v>567</v>
      </c>
      <c r="K21" s="18" t="n">
        <v>0</v>
      </c>
      <c r="L21" s="20" t="n">
        <v>0</v>
      </c>
      <c r="M21" s="18" t="n">
        <v>0</v>
      </c>
      <c r="N21" s="20" t="n">
        <v>0</v>
      </c>
      <c r="O21" s="18" t="n">
        <v>0</v>
      </c>
      <c r="P21" s="20" t="n">
        <v>0</v>
      </c>
      <c r="Q21" s="18" t="n">
        <v>1.5185111</v>
      </c>
      <c r="R21" s="20" t="n">
        <v>0.61049339</v>
      </c>
    </row>
    <row r="22" spans="1:18">
      <c r="A22" s="15" t="s">
        <v>582</v>
      </c>
      <c r="B22" s="17" t="n">
        <v>2931</v>
      </c>
      <c r="C22" s="18">
        <f>(2582.0/B22*100)</f>
        <v/>
      </c>
      <c r="D22" s="19" t="n">
        <v>349</v>
      </c>
      <c r="E22" s="18" t="n">
        <v>40.52793546</v>
      </c>
      <c r="F22" s="20" t="n">
        <v>2.82229169</v>
      </c>
      <c r="G22" s="18" t="n">
        <v>57.76314908</v>
      </c>
      <c r="H22" s="20" t="n">
        <v>2.88200524</v>
      </c>
      <c r="I22" s="18" t="s">
        <v>567</v>
      </c>
      <c r="J22" s="20" t="s">
        <v>567</v>
      </c>
      <c r="K22" s="18" t="n">
        <v>0</v>
      </c>
      <c r="L22" s="20" t="n">
        <v>0</v>
      </c>
      <c r="M22" s="18" t="n">
        <v>0</v>
      </c>
      <c r="N22" s="20" t="n">
        <v>0</v>
      </c>
      <c r="O22" s="18" t="n">
        <v>0</v>
      </c>
      <c r="P22" s="20" t="n">
        <v>0</v>
      </c>
      <c r="Q22" s="18" t="n">
        <v>1.70891545</v>
      </c>
      <c r="R22" s="20" t="n">
        <v>0.49138924</v>
      </c>
    </row>
    <row r="23" spans="1:18">
      <c r="A23" s="15" t="s">
        <v>583</v>
      </c>
      <c r="B23" s="17" t="n">
        <v>5791</v>
      </c>
      <c r="C23" s="18">
        <f>(5160.0/B23*100)</f>
        <v/>
      </c>
      <c r="D23" s="19" t="n">
        <v>631</v>
      </c>
      <c r="E23" s="18" t="n">
        <v>45.89388576</v>
      </c>
      <c r="F23" s="20" t="n">
        <v>2.67390118</v>
      </c>
      <c r="G23" s="18" t="n">
        <v>53.46191746</v>
      </c>
      <c r="H23" s="20" t="n">
        <v>2.69160977</v>
      </c>
      <c r="I23" s="18" t="s">
        <v>567</v>
      </c>
      <c r="J23" s="20" t="s">
        <v>567</v>
      </c>
      <c r="K23" s="18" t="n">
        <v>0.10793747</v>
      </c>
      <c r="L23" s="20" t="n">
        <v>0.10699458</v>
      </c>
      <c r="M23" s="18" t="n">
        <v>0</v>
      </c>
      <c r="N23" s="20" t="n">
        <v>0</v>
      </c>
      <c r="O23" s="18" t="n">
        <v>0</v>
      </c>
      <c r="P23" s="20" t="n">
        <v>0</v>
      </c>
      <c r="Q23" s="18" t="n">
        <v>0.53625931</v>
      </c>
      <c r="R23" s="20" t="n">
        <v>0.37591976</v>
      </c>
    </row>
    <row r="24" spans="1:18">
      <c r="A24" s="15" t="s">
        <v>584</v>
      </c>
      <c r="B24" s="17" t="n">
        <v>3338</v>
      </c>
      <c r="C24" s="18">
        <f>(2959.0/B24*100)</f>
        <v/>
      </c>
      <c r="D24" s="19" t="n">
        <v>379</v>
      </c>
      <c r="E24" s="18" t="n">
        <v>42.38701427</v>
      </c>
      <c r="F24" s="20" t="n">
        <v>2.81849389</v>
      </c>
      <c r="G24" s="18" t="n">
        <v>56.06245955</v>
      </c>
      <c r="H24" s="20" t="n">
        <v>2.81140303</v>
      </c>
      <c r="I24" s="18" t="s">
        <v>567</v>
      </c>
      <c r="J24" s="20" t="s">
        <v>567</v>
      </c>
      <c r="K24" s="18" t="n">
        <v>0.7842491700000001</v>
      </c>
      <c r="L24" s="20" t="n">
        <v>0.4594849</v>
      </c>
      <c r="M24" s="18" t="n">
        <v>0</v>
      </c>
      <c r="N24" s="20" t="n">
        <v>0</v>
      </c>
      <c r="O24" s="18" t="n">
        <v>0</v>
      </c>
      <c r="P24" s="20" t="n">
        <v>0</v>
      </c>
      <c r="Q24" s="18" t="n">
        <v>0.76627701</v>
      </c>
      <c r="R24" s="20" t="n">
        <v>0.40823556</v>
      </c>
    </row>
    <row r="25" spans="1:18">
      <c r="A25" s="15" t="s">
        <v>585</v>
      </c>
      <c r="B25" s="17" t="n">
        <v>2912</v>
      </c>
      <c r="C25" s="18">
        <f>(2597.0/B25*100)</f>
        <v/>
      </c>
      <c r="D25" s="19" t="n">
        <v>315</v>
      </c>
      <c r="E25" s="18" t="n">
        <v>41.25556127</v>
      </c>
      <c r="F25" s="20" t="n">
        <v>2.8202033</v>
      </c>
      <c r="G25" s="18" t="n">
        <v>58.74443873</v>
      </c>
      <c r="H25" s="20" t="n">
        <v>2.8202033</v>
      </c>
      <c r="I25" s="18" t="s">
        <v>567</v>
      </c>
      <c r="J25" s="20" t="s">
        <v>567</v>
      </c>
      <c r="K25" s="18" t="n">
        <v>0</v>
      </c>
      <c r="L25" s="20" t="n">
        <v>0</v>
      </c>
      <c r="M25" s="18" t="n">
        <v>0</v>
      </c>
      <c r="N25" s="20" t="n">
        <v>0</v>
      </c>
      <c r="O25" s="18" t="n">
        <v>0</v>
      </c>
      <c r="P25" s="20" t="n">
        <v>0</v>
      </c>
      <c r="Q25" s="18" t="n">
        <v>0</v>
      </c>
      <c r="R25" s="20" t="n">
        <v>0</v>
      </c>
    </row>
    <row r="26" spans="1:18">
      <c r="A26" s="15" t="s">
        <v>586</v>
      </c>
      <c r="B26" s="17" t="n">
        <v>2450</v>
      </c>
      <c r="C26" s="18">
        <f>(2185.0/B26*100)</f>
        <v/>
      </c>
      <c r="D26" s="19" t="n">
        <v>265</v>
      </c>
      <c r="E26" s="18" t="n">
        <v>38.27346487</v>
      </c>
      <c r="F26" s="20" t="n">
        <v>3.3158623</v>
      </c>
      <c r="G26" s="18" t="n">
        <v>61.04221415</v>
      </c>
      <c r="H26" s="20" t="n">
        <v>3.31257168</v>
      </c>
      <c r="I26" s="18" t="s">
        <v>567</v>
      </c>
      <c r="J26" s="20" t="s">
        <v>567</v>
      </c>
      <c r="K26" s="18" t="n">
        <v>0</v>
      </c>
      <c r="L26" s="20" t="n">
        <v>0</v>
      </c>
      <c r="M26" s="18" t="n">
        <v>0</v>
      </c>
      <c r="N26" s="20" t="n">
        <v>0</v>
      </c>
      <c r="O26" s="18" t="n">
        <v>0</v>
      </c>
      <c r="P26" s="20" t="n">
        <v>0</v>
      </c>
      <c r="Q26" s="18" t="n">
        <v>0.68432098</v>
      </c>
      <c r="R26" s="20" t="n">
        <v>0.48215825</v>
      </c>
    </row>
    <row r="27" spans="1:18">
      <c r="A27" s="15" t="s">
        <v>587</v>
      </c>
      <c r="B27" s="17" t="n">
        <v>2616</v>
      </c>
      <c r="C27" s="18">
        <f>(2337.0/B27*100)</f>
        <v/>
      </c>
      <c r="D27" s="19" t="n">
        <v>279</v>
      </c>
      <c r="E27" s="18" t="n">
        <v>27.40757621</v>
      </c>
      <c r="F27" s="20" t="n">
        <v>2.56016116</v>
      </c>
      <c r="G27" s="18" t="n">
        <v>70.77923589</v>
      </c>
      <c r="H27" s="20" t="n">
        <v>2.61010471</v>
      </c>
      <c r="I27" s="18" t="s">
        <v>567</v>
      </c>
      <c r="J27" s="20" t="s">
        <v>567</v>
      </c>
      <c r="K27" s="18" t="n">
        <v>0.73108821</v>
      </c>
      <c r="L27" s="20" t="n">
        <v>0.51560656</v>
      </c>
      <c r="M27" s="18" t="n">
        <v>0</v>
      </c>
      <c r="N27" s="20" t="n">
        <v>0</v>
      </c>
      <c r="O27" s="18" t="n">
        <v>0</v>
      </c>
      <c r="P27" s="20" t="n">
        <v>0</v>
      </c>
      <c r="Q27" s="18" t="n">
        <v>1.08209969</v>
      </c>
      <c r="R27" s="20" t="n">
        <v>0.6160404</v>
      </c>
    </row>
    <row r="28" spans="1:18">
      <c r="A28" s="15" t="s">
        <v>588</v>
      </c>
      <c r="B28" s="17" t="n">
        <v>3765</v>
      </c>
      <c r="C28" s="18">
        <f>(3368.0/B28*100)</f>
        <v/>
      </c>
      <c r="D28" s="19" t="n">
        <v>397</v>
      </c>
      <c r="E28" s="18" t="n">
        <v>49.39445362</v>
      </c>
      <c r="F28" s="20" t="n">
        <v>3.24669858</v>
      </c>
      <c r="G28" s="18" t="n">
        <v>49.3096673</v>
      </c>
      <c r="H28" s="20" t="n">
        <v>3.04905582</v>
      </c>
      <c r="I28" s="18" t="s">
        <v>567</v>
      </c>
      <c r="J28" s="20" t="s">
        <v>567</v>
      </c>
      <c r="K28" s="18" t="n">
        <v>0</v>
      </c>
      <c r="L28" s="20" t="n">
        <v>0</v>
      </c>
      <c r="M28" s="18" t="n">
        <v>0</v>
      </c>
      <c r="N28" s="20" t="n">
        <v>0</v>
      </c>
      <c r="O28" s="18" t="n">
        <v>0</v>
      </c>
      <c r="P28" s="20" t="n">
        <v>0</v>
      </c>
      <c r="Q28" s="18" t="n">
        <v>1.29587909</v>
      </c>
      <c r="R28" s="20" t="n">
        <v>0.72116825</v>
      </c>
    </row>
    <row r="29" spans="1:18">
      <c r="A29" s="15" t="s">
        <v>589</v>
      </c>
      <c r="B29" s="17" t="n">
        <v>2685</v>
      </c>
      <c r="C29" s="18">
        <f>(2385.0/B29*100)</f>
        <v/>
      </c>
      <c r="D29" s="19" t="n">
        <v>300</v>
      </c>
      <c r="E29" s="18" t="n">
        <v>35.80122378</v>
      </c>
      <c r="F29" s="20" t="n">
        <v>2.65307893</v>
      </c>
      <c r="G29" s="18" t="n">
        <v>63.86770464</v>
      </c>
      <c r="H29" s="20" t="n">
        <v>2.68607135</v>
      </c>
      <c r="I29" s="18" t="s">
        <v>567</v>
      </c>
      <c r="J29" s="20" t="s">
        <v>567</v>
      </c>
      <c r="K29" s="18" t="n">
        <v>0</v>
      </c>
      <c r="L29" s="20" t="n">
        <v>0</v>
      </c>
      <c r="M29" s="18" t="n">
        <v>0</v>
      </c>
      <c r="N29" s="20" t="n">
        <v>0</v>
      </c>
      <c r="O29" s="18" t="n">
        <v>0</v>
      </c>
      <c r="P29" s="20" t="n">
        <v>0</v>
      </c>
      <c r="Q29" s="18" t="n">
        <v>0.33107158</v>
      </c>
      <c r="R29" s="20" t="n">
        <v>0.30839288</v>
      </c>
    </row>
    <row r="30" spans="1:18">
      <c r="A30" s="15" t="s">
        <v>590</v>
      </c>
      <c r="B30" s="17" t="n">
        <v>2263</v>
      </c>
      <c r="C30" s="18">
        <f>(2033.0/B30*100)</f>
        <v/>
      </c>
      <c r="D30" s="19" t="n">
        <v>230</v>
      </c>
      <c r="E30" s="18" t="n">
        <v>28.37128886</v>
      </c>
      <c r="F30" s="20" t="n">
        <v>3.34563197</v>
      </c>
      <c r="G30" s="18" t="n">
        <v>70.81258681</v>
      </c>
      <c r="H30" s="20" t="n">
        <v>3.34111483</v>
      </c>
      <c r="I30" s="18" t="s">
        <v>567</v>
      </c>
      <c r="J30" s="20" t="s">
        <v>567</v>
      </c>
      <c r="K30" s="18" t="n">
        <v>0.4555154</v>
      </c>
      <c r="L30" s="20" t="n">
        <v>0.43506997</v>
      </c>
      <c r="M30" s="18" t="n">
        <v>0</v>
      </c>
      <c r="N30" s="20" t="n">
        <v>0</v>
      </c>
      <c r="O30" s="18" t="n">
        <v>0</v>
      </c>
      <c r="P30" s="20" t="n">
        <v>0</v>
      </c>
      <c r="Q30" s="18" t="n">
        <v>0.36060893</v>
      </c>
      <c r="R30" s="20" t="n">
        <v>0.36772886</v>
      </c>
    </row>
    <row r="31" spans="1:18">
      <c r="A31" s="15" t="s">
        <v>591</v>
      </c>
      <c r="B31" s="17" t="n">
        <v>2750</v>
      </c>
      <c r="C31" s="18">
        <f>(2452.0/B31*100)</f>
        <v/>
      </c>
      <c r="D31" s="19" t="n">
        <v>298</v>
      </c>
      <c r="E31" s="18" t="n">
        <v>36.03173758</v>
      </c>
      <c r="F31" s="20" t="n">
        <v>2.76558437</v>
      </c>
      <c r="G31" s="18" t="n">
        <v>61.62578947</v>
      </c>
      <c r="H31" s="20" t="n">
        <v>2.93279459</v>
      </c>
      <c r="I31" s="18" t="s">
        <v>567</v>
      </c>
      <c r="J31" s="20" t="s">
        <v>567</v>
      </c>
      <c r="K31" s="18" t="n">
        <v>0.33144827</v>
      </c>
      <c r="L31" s="20" t="n">
        <v>0.35927793</v>
      </c>
      <c r="M31" s="18" t="n">
        <v>0</v>
      </c>
      <c r="N31" s="20" t="n">
        <v>0</v>
      </c>
      <c r="O31" s="18" t="n">
        <v>0</v>
      </c>
      <c r="P31" s="20" t="n">
        <v>0</v>
      </c>
      <c r="Q31" s="18" t="n">
        <v>2.01102468</v>
      </c>
      <c r="R31" s="20" t="n">
        <v>0.94775277</v>
      </c>
    </row>
    <row r="32" spans="1:18">
      <c r="A32" s="15" t="s">
        <v>592</v>
      </c>
      <c r="B32" s="17" t="n">
        <v>2269</v>
      </c>
      <c r="C32" s="18">
        <f>(2032.0/B32*100)</f>
        <v/>
      </c>
      <c r="D32" s="19" t="n">
        <v>237</v>
      </c>
      <c r="E32" s="18" t="n">
        <v>32.19014061</v>
      </c>
      <c r="F32" s="20" t="n">
        <v>3.21385077</v>
      </c>
      <c r="G32" s="18" t="n">
        <v>67.80985939</v>
      </c>
      <c r="H32" s="20" t="n">
        <v>3.21385077</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(3296.0/B33*100)</f>
        <v/>
      </c>
      <c r="D33" s="19" t="n">
        <v>378</v>
      </c>
      <c r="E33" s="18" t="n">
        <v>35.31468796</v>
      </c>
      <c r="F33" s="20" t="n">
        <v>3.0251703</v>
      </c>
      <c r="G33" s="18" t="n">
        <v>63.90982051</v>
      </c>
      <c r="H33" s="20" t="n">
        <v>3.0226269</v>
      </c>
      <c r="I33" s="18" t="s">
        <v>567</v>
      </c>
      <c r="J33" s="20" t="s">
        <v>567</v>
      </c>
      <c r="K33" s="18" t="n">
        <v>0.42487611</v>
      </c>
      <c r="L33" s="20" t="n">
        <v>0.40231296</v>
      </c>
      <c r="M33" s="18" t="n">
        <v>0</v>
      </c>
      <c r="N33" s="20" t="n">
        <v>0</v>
      </c>
      <c r="O33" s="18" t="n">
        <v>0</v>
      </c>
      <c r="P33" s="20" t="n">
        <v>0</v>
      </c>
      <c r="Q33" s="18" t="n">
        <v>0.35061542</v>
      </c>
      <c r="R33" s="20" t="n">
        <v>0.4207761</v>
      </c>
    </row>
    <row r="34" spans="1:18">
      <c r="A34" s="15" t="s">
        <v>594</v>
      </c>
      <c r="B34" s="17" t="n">
        <v>3315</v>
      </c>
      <c r="C34" s="18">
        <f>(2955.0/B34*100)</f>
        <v/>
      </c>
      <c r="D34" s="19" t="n">
        <v>360</v>
      </c>
      <c r="E34" s="18" t="n">
        <v>33.50758014</v>
      </c>
      <c r="F34" s="20" t="n">
        <v>2.38650211</v>
      </c>
      <c r="G34" s="18" t="n">
        <v>64.8575597</v>
      </c>
      <c r="H34" s="20" t="n">
        <v>2.50045471</v>
      </c>
      <c r="I34" s="18" t="s">
        <v>567</v>
      </c>
      <c r="J34" s="20" t="s">
        <v>567</v>
      </c>
      <c r="K34" s="18" t="n">
        <v>0.5212677</v>
      </c>
      <c r="L34" s="20" t="n">
        <v>0.36325418</v>
      </c>
      <c r="M34" s="18" t="n">
        <v>0</v>
      </c>
      <c r="N34" s="20" t="n">
        <v>0</v>
      </c>
      <c r="O34" s="18" t="n">
        <v>0</v>
      </c>
      <c r="P34" s="20" t="n">
        <v>0</v>
      </c>
      <c r="Q34" s="18" t="n">
        <v>1.11359247</v>
      </c>
      <c r="R34" s="20" t="n">
        <v>0.50165041</v>
      </c>
    </row>
    <row r="35" spans="1:18">
      <c r="A35" s="15" t="s">
        <v>595</v>
      </c>
      <c r="B35" s="17" t="n">
        <v>3505</v>
      </c>
      <c r="C35" s="18">
        <f>(3120.0/B35*100)</f>
        <v/>
      </c>
      <c r="D35" s="19" t="n">
        <v>385</v>
      </c>
      <c r="E35" s="18" t="n">
        <v>21.31859248</v>
      </c>
      <c r="F35" s="20" t="n">
        <v>2.45551352</v>
      </c>
      <c r="G35" s="18" t="n">
        <v>78.30052209999999</v>
      </c>
      <c r="H35" s="20" t="n">
        <v>2.46563029</v>
      </c>
      <c r="I35" s="18" t="s">
        <v>567</v>
      </c>
      <c r="J35" s="20" t="s">
        <v>567</v>
      </c>
      <c r="K35" s="18" t="n">
        <v>0.14501829</v>
      </c>
      <c r="L35" s="20" t="n">
        <v>0.14580398</v>
      </c>
      <c r="M35" s="18" t="n">
        <v>0</v>
      </c>
      <c r="N35" s="20" t="n">
        <v>0</v>
      </c>
      <c r="O35" s="18" t="n">
        <v>0</v>
      </c>
      <c r="P35" s="20" t="n">
        <v>0</v>
      </c>
      <c r="Q35" s="18" t="n">
        <v>0.23586713</v>
      </c>
      <c r="R35" s="20" t="n">
        <v>0.23912781</v>
      </c>
    </row>
    <row r="36" spans="1:18">
      <c r="A36" s="15" t="s">
        <v>596</v>
      </c>
      <c r="B36" s="17" t="n">
        <v>3332</v>
      </c>
      <c r="C36" s="18">
        <f>(2975.0/B36*100)</f>
        <v/>
      </c>
      <c r="D36" s="19" t="n">
        <v>357</v>
      </c>
      <c r="E36" s="18" t="n">
        <v>44.84495223</v>
      </c>
      <c r="F36" s="20" t="n">
        <v>2.2036905</v>
      </c>
      <c r="G36" s="18" t="n">
        <v>53.16584633</v>
      </c>
      <c r="H36" s="20" t="n">
        <v>2.24282824</v>
      </c>
      <c r="I36" s="18" t="s">
        <v>567</v>
      </c>
      <c r="J36" s="20" t="s">
        <v>567</v>
      </c>
      <c r="K36" s="18" t="n">
        <v>1.16151835</v>
      </c>
      <c r="L36" s="20" t="n">
        <v>0.73733065</v>
      </c>
      <c r="M36" s="18" t="n">
        <v>0</v>
      </c>
      <c r="N36" s="20" t="n">
        <v>0</v>
      </c>
      <c r="O36" s="18" t="n">
        <v>0</v>
      </c>
      <c r="P36" s="20" t="n">
        <v>0</v>
      </c>
      <c r="Q36" s="18" t="n">
        <v>0.8276831</v>
      </c>
      <c r="R36" s="20" t="n">
        <v>0.44555803</v>
      </c>
    </row>
    <row r="37" spans="1:18">
      <c r="A37" s="15" t="s">
        <v>597</v>
      </c>
      <c r="B37" s="17" t="n">
        <v>2727</v>
      </c>
      <c r="C37" s="18">
        <f>(2425.0/B37*100)</f>
        <v/>
      </c>
      <c r="D37" s="19" t="n">
        <v>302</v>
      </c>
      <c r="E37" s="18" t="n">
        <v>30.89597829</v>
      </c>
      <c r="F37" s="20" t="n">
        <v>2.51924901</v>
      </c>
      <c r="G37" s="18" t="n">
        <v>68.10543149999999</v>
      </c>
      <c r="H37" s="20" t="n">
        <v>2.56931412</v>
      </c>
      <c r="I37" s="18" t="s">
        <v>567</v>
      </c>
      <c r="J37" s="20" t="s">
        <v>567</v>
      </c>
      <c r="K37" s="18" t="n">
        <v>0.6901992</v>
      </c>
      <c r="L37" s="20" t="n">
        <v>0.5066197</v>
      </c>
      <c r="M37" s="18" t="n">
        <v>0</v>
      </c>
      <c r="N37" s="20" t="n">
        <v>0</v>
      </c>
      <c r="O37" s="18" t="n">
        <v>0</v>
      </c>
      <c r="P37" s="20" t="n">
        <v>0</v>
      </c>
      <c r="Q37" s="18" t="n">
        <v>0.30839101</v>
      </c>
      <c r="R37" s="20" t="n">
        <v>0.30944266</v>
      </c>
    </row>
    <row r="38" spans="1:18">
      <c r="A38" s="15" t="s">
        <v>598</v>
      </c>
      <c r="B38" s="17" t="n">
        <v>3053</v>
      </c>
      <c r="C38" s="18">
        <f>(2721.0/B38*100)</f>
        <v/>
      </c>
      <c r="D38" s="19" t="n">
        <v>332</v>
      </c>
      <c r="E38" s="18" t="n">
        <v>25.51886547</v>
      </c>
      <c r="F38" s="20" t="n">
        <v>3.10931103</v>
      </c>
      <c r="G38" s="18" t="n">
        <v>73.86169481</v>
      </c>
      <c r="H38" s="20" t="n">
        <v>3.18830871</v>
      </c>
      <c r="I38" s="18" t="s">
        <v>567</v>
      </c>
      <c r="J38" s="20" t="s">
        <v>567</v>
      </c>
      <c r="K38" s="18" t="n">
        <v>0.3069432</v>
      </c>
      <c r="L38" s="20" t="n">
        <v>0.31347895</v>
      </c>
      <c r="M38" s="18" t="n">
        <v>0</v>
      </c>
      <c r="N38" s="20" t="n">
        <v>0</v>
      </c>
      <c r="O38" s="18" t="n">
        <v>0</v>
      </c>
      <c r="P38" s="20" t="n">
        <v>0</v>
      </c>
      <c r="Q38" s="18" t="n">
        <v>0.31249653</v>
      </c>
      <c r="R38" s="20" t="n">
        <v>0.29293339</v>
      </c>
    </row>
    <row r="39" spans="1:18">
      <c r="A39" s="15" t="s">
        <v>599</v>
      </c>
      <c r="B39" s="17" t="n">
        <v>2957</v>
      </c>
      <c r="C39" s="18">
        <f>(2618.0/B39*100)</f>
        <v/>
      </c>
      <c r="D39" s="19" t="n">
        <v>339</v>
      </c>
      <c r="E39" s="18" t="n">
        <v>44.25736444</v>
      </c>
      <c r="F39" s="20" t="n">
        <v>3.15225211</v>
      </c>
      <c r="G39" s="18" t="n">
        <v>54.12089951</v>
      </c>
      <c r="H39" s="20" t="n">
        <v>3.12588643</v>
      </c>
      <c r="I39" s="18" t="s">
        <v>567</v>
      </c>
      <c r="J39" s="20" t="s">
        <v>567</v>
      </c>
      <c r="K39" s="18" t="n">
        <v>0</v>
      </c>
      <c r="L39" s="20" t="n">
        <v>0</v>
      </c>
      <c r="M39" s="18" t="n">
        <v>0</v>
      </c>
      <c r="N39" s="20" t="n">
        <v>0</v>
      </c>
      <c r="O39" s="18" t="n">
        <v>0</v>
      </c>
      <c r="P39" s="20" t="n">
        <v>0</v>
      </c>
      <c r="Q39" s="18" t="n">
        <v>1.62173605</v>
      </c>
      <c r="R39" s="20" t="n">
        <v>0.65247672</v>
      </c>
    </row>
    <row r="40" spans="1:18">
      <c r="A40" s="15" t="s">
        <v>600</v>
      </c>
      <c r="B40" s="17" t="n">
        <v>7235</v>
      </c>
      <c r="C40" s="18">
        <f>(6427.0/B40*100)</f>
        <v/>
      </c>
      <c r="D40" s="19" t="n">
        <v>808</v>
      </c>
      <c r="E40" s="18" t="n">
        <v>35.49253719</v>
      </c>
      <c r="F40" s="20" t="n">
        <v>2.6659233</v>
      </c>
      <c r="G40" s="18" t="n">
        <v>63.09735113</v>
      </c>
      <c r="H40" s="20" t="n">
        <v>2.66986658</v>
      </c>
      <c r="I40" s="18" t="s">
        <v>567</v>
      </c>
      <c r="J40" s="20" t="s">
        <v>567</v>
      </c>
      <c r="K40" s="18" t="n">
        <v>0.38494275</v>
      </c>
      <c r="L40" s="20" t="n">
        <v>0.44482123</v>
      </c>
      <c r="M40" s="18" t="n">
        <v>0</v>
      </c>
      <c r="N40" s="20" t="n">
        <v>0</v>
      </c>
      <c r="O40" s="18" t="n">
        <v>0</v>
      </c>
      <c r="P40" s="20" t="n">
        <v>0</v>
      </c>
      <c r="Q40" s="18" t="n">
        <v>1.02516893</v>
      </c>
      <c r="R40" s="20" t="n">
        <v>0.60713375</v>
      </c>
    </row>
    <row r="41" spans="1:18">
      <c r="A41" s="15" t="s">
        <v>601</v>
      </c>
      <c r="B41" s="17" t="n">
        <v>2858</v>
      </c>
      <c r="C41" s="18">
        <f>(2561.0/B41*100)</f>
        <v/>
      </c>
      <c r="D41" s="19" t="n">
        <v>297</v>
      </c>
      <c r="E41" s="18" t="n">
        <v>42.94953098</v>
      </c>
      <c r="F41" s="20" t="n">
        <v>3.24873076</v>
      </c>
      <c r="G41" s="18" t="n">
        <v>56.62159938</v>
      </c>
      <c r="H41" s="20" t="n">
        <v>3.2305686</v>
      </c>
      <c r="I41" s="18" t="s">
        <v>567</v>
      </c>
      <c r="J41" s="20" t="s">
        <v>567</v>
      </c>
      <c r="K41" s="18" t="n">
        <v>0.42886965</v>
      </c>
      <c r="L41" s="20" t="n">
        <v>0.43812728</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(9992.0/B46*100)</f>
        <v/>
      </c>
      <c r="D46" s="19" t="n">
        <v>1076</v>
      </c>
      <c r="E46" s="18" t="n">
        <v>49.77325926</v>
      </c>
      <c r="F46" s="20" t="n">
        <v>1.84642699</v>
      </c>
      <c r="G46" s="18" t="n">
        <v>47.09806836</v>
      </c>
      <c r="H46" s="20" t="n">
        <v>1.98753383</v>
      </c>
      <c r="I46" s="18" t="s">
        <v>567</v>
      </c>
      <c r="J46" s="20" t="s">
        <v>567</v>
      </c>
      <c r="K46" s="18" t="n">
        <v>2.04160002</v>
      </c>
      <c r="L46" s="20" t="n">
        <v>0.51057287</v>
      </c>
      <c r="M46" s="18" t="n">
        <v>0</v>
      </c>
      <c r="N46" s="20" t="n">
        <v>0</v>
      </c>
      <c r="O46" s="18" t="n">
        <v>0</v>
      </c>
      <c r="P46" s="20" t="n">
        <v>0</v>
      </c>
      <c r="Q46" s="18" t="n">
        <v>1.08707236</v>
      </c>
      <c r="R46" s="20" t="n">
        <v>0.38924384</v>
      </c>
    </row>
    <row r="47" spans="1:18">
      <c r="A47" s="15" t="s">
        <v>607</v>
      </c>
      <c r="B47" s="17" t="n">
        <v>3105</v>
      </c>
      <c r="C47" s="18">
        <f>(2753.0/B47*100)</f>
        <v/>
      </c>
      <c r="D47" s="19" t="n">
        <v>352</v>
      </c>
      <c r="E47" s="18" t="n">
        <v>42.44467838</v>
      </c>
      <c r="F47" s="20" t="n">
        <v>2.87089705</v>
      </c>
      <c r="G47" s="18" t="n">
        <v>56.45854308</v>
      </c>
      <c r="H47" s="20" t="n">
        <v>2.95858693</v>
      </c>
      <c r="I47" s="18" t="s">
        <v>567</v>
      </c>
      <c r="J47" s="20" t="s">
        <v>567</v>
      </c>
      <c r="K47" s="18" t="n">
        <v>0.8313434</v>
      </c>
      <c r="L47" s="20" t="n">
        <v>0.466085</v>
      </c>
      <c r="M47" s="18" t="n">
        <v>0</v>
      </c>
      <c r="N47" s="20" t="n">
        <v>0</v>
      </c>
      <c r="O47" s="18" t="n">
        <v>0</v>
      </c>
      <c r="P47" s="20" t="n">
        <v>0</v>
      </c>
      <c r="Q47" s="18" t="n">
        <v>0.26543514</v>
      </c>
      <c r="R47" s="20" t="n">
        <v>0.25659032</v>
      </c>
    </row>
    <row r="48" spans="1:18">
      <c r="A48" s="15" t="s">
        <v>608</v>
      </c>
      <c r="B48" s="17" t="n">
        <v>5159</v>
      </c>
      <c r="C48" s="18">
        <f>(4590.0/B48*100)</f>
        <v/>
      </c>
      <c r="D48" s="19" t="n">
        <v>569</v>
      </c>
      <c r="E48" s="18" t="n">
        <v>40.40648545</v>
      </c>
      <c r="F48" s="20" t="n">
        <v>2.9416485</v>
      </c>
      <c r="G48" s="18" t="n">
        <v>58.25448584</v>
      </c>
      <c r="H48" s="20" t="n">
        <v>2.90296065</v>
      </c>
      <c r="I48" s="18" t="s">
        <v>567</v>
      </c>
      <c r="J48" s="20" t="s">
        <v>567</v>
      </c>
      <c r="K48" s="18" t="n">
        <v>0.70988354</v>
      </c>
      <c r="L48" s="20" t="n">
        <v>0.50159943</v>
      </c>
      <c r="M48" s="18" t="n">
        <v>0</v>
      </c>
      <c r="N48" s="20" t="n">
        <v>0</v>
      </c>
      <c r="O48" s="18" t="n">
        <v>0</v>
      </c>
      <c r="P48" s="20" t="n">
        <v>0</v>
      </c>
      <c r="Q48" s="18" t="n">
        <v>0.62914517</v>
      </c>
      <c r="R48" s="20" t="n">
        <v>0.4608571</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(5055.0/B50*100)</f>
        <v/>
      </c>
      <c r="D50" s="19" t="n">
        <v>582</v>
      </c>
      <c r="E50" s="18" t="n">
        <v>49.57016316</v>
      </c>
      <c r="F50" s="20" t="n">
        <v>2.94692573</v>
      </c>
      <c r="G50" s="18" t="n">
        <v>49.17063251</v>
      </c>
      <c r="H50" s="20" t="n">
        <v>2.94363372</v>
      </c>
      <c r="I50" s="18" t="s">
        <v>567</v>
      </c>
      <c r="J50" s="20" t="s">
        <v>567</v>
      </c>
      <c r="K50" s="18" t="n">
        <v>0.73488863</v>
      </c>
      <c r="L50" s="20" t="n">
        <v>0.6841487000000001</v>
      </c>
      <c r="M50" s="18" t="n">
        <v>0</v>
      </c>
      <c r="N50" s="20" t="n">
        <v>0</v>
      </c>
      <c r="O50" s="18" t="n">
        <v>0</v>
      </c>
      <c r="P50" s="20" t="n">
        <v>0</v>
      </c>
      <c r="Q50" s="18" t="n">
        <v>0.5243157000000001</v>
      </c>
      <c r="R50" s="20" t="n">
        <v>0.38756211</v>
      </c>
    </row>
    <row r="51" spans="1:18">
      <c r="A51" s="15" t="s">
        <v>611</v>
      </c>
      <c r="B51" s="17" t="n">
        <v>3372</v>
      </c>
      <c r="C51" s="18">
        <f>(3051.0/B51*100)</f>
        <v/>
      </c>
      <c r="D51" s="19" t="n">
        <v>321</v>
      </c>
      <c r="E51" s="18" t="n">
        <v>51.42931685</v>
      </c>
      <c r="F51" s="20" t="n">
        <v>2.67207404</v>
      </c>
      <c r="G51" s="18" t="n">
        <v>48.04372318</v>
      </c>
      <c r="H51" s="20" t="n">
        <v>2.69230478</v>
      </c>
      <c r="I51" s="18" t="s">
        <v>567</v>
      </c>
      <c r="J51" s="20" t="s">
        <v>567</v>
      </c>
      <c r="K51" s="18" t="n">
        <v>0</v>
      </c>
      <c r="L51" s="20" t="n">
        <v>0</v>
      </c>
      <c r="M51" s="18" t="n">
        <v>0</v>
      </c>
      <c r="N51" s="20" t="n">
        <v>0</v>
      </c>
      <c r="O51" s="18" t="n">
        <v>0</v>
      </c>
      <c r="P51" s="20" t="n">
        <v>0</v>
      </c>
      <c r="Q51" s="18" t="n">
        <v>0.5269599700000001</v>
      </c>
      <c r="R51" s="20" t="n">
        <v>0.39408185</v>
      </c>
    </row>
    <row r="52" spans="1:18">
      <c r="A52" s="15" t="s">
        <v>612</v>
      </c>
      <c r="B52" s="17" t="n">
        <v>2796</v>
      </c>
      <c r="C52" s="18">
        <f>(2494.0/B52*100)</f>
        <v/>
      </c>
      <c r="D52" s="19" t="n">
        <v>302</v>
      </c>
      <c r="E52" s="18" t="n">
        <v>32.38724793</v>
      </c>
      <c r="F52" s="20" t="n">
        <v>3.03031405</v>
      </c>
      <c r="G52" s="18" t="n">
        <v>66.45805821</v>
      </c>
      <c r="H52" s="20" t="n">
        <v>2.97425148</v>
      </c>
      <c r="I52" s="18" t="s">
        <v>567</v>
      </c>
      <c r="J52" s="20" t="s">
        <v>567</v>
      </c>
      <c r="K52" s="18" t="n">
        <v>0.25259574</v>
      </c>
      <c r="L52" s="20" t="n">
        <v>0.25585562</v>
      </c>
      <c r="M52" s="18" t="n">
        <v>0</v>
      </c>
      <c r="N52" s="20" t="n">
        <v>0</v>
      </c>
      <c r="O52" s="18" t="n">
        <v>0</v>
      </c>
      <c r="P52" s="20" t="n">
        <v>0</v>
      </c>
      <c r="Q52" s="18" t="n">
        <v>0.90209812</v>
      </c>
      <c r="R52" s="20" t="n">
        <v>0.52271046</v>
      </c>
    </row>
    <row r="53" spans="1:18">
      <c r="A53" s="15" t="s">
        <v>613</v>
      </c>
      <c r="B53" s="17" t="n">
        <v>2811</v>
      </c>
      <c r="C53" s="18">
        <f>(2517.0/B53*100)</f>
        <v/>
      </c>
      <c r="D53" s="19" t="n">
        <v>294</v>
      </c>
      <c r="E53" s="18" t="n">
        <v>52.08111728</v>
      </c>
      <c r="F53" s="20" t="n">
        <v>3.16031144</v>
      </c>
      <c r="G53" s="18" t="n">
        <v>46.15975579</v>
      </c>
      <c r="H53" s="20" t="n">
        <v>3.10521112</v>
      </c>
      <c r="I53" s="18" t="s">
        <v>567</v>
      </c>
      <c r="J53" s="20" t="s">
        <v>567</v>
      </c>
      <c r="K53" s="18" t="n">
        <v>0.58696152</v>
      </c>
      <c r="L53" s="20" t="n">
        <v>0.41965109</v>
      </c>
      <c r="M53" s="18" t="n">
        <v>0</v>
      </c>
      <c r="N53" s="20" t="n">
        <v>0</v>
      </c>
      <c r="O53" s="18" t="n">
        <v>0</v>
      </c>
      <c r="P53" s="20" t="n">
        <v>0</v>
      </c>
      <c r="Q53" s="18" t="n">
        <v>1.17216542</v>
      </c>
      <c r="R53" s="20" t="n">
        <v>0.5986893599999999</v>
      </c>
    </row>
    <row r="54" spans="1:18">
      <c r="A54" s="15" t="s">
        <v>614</v>
      </c>
      <c r="B54" s="17" t="n">
        <v>2266</v>
      </c>
      <c r="C54" s="18">
        <f>(2013.0/B54*100)</f>
        <v/>
      </c>
      <c r="D54" s="19" t="n">
        <v>253</v>
      </c>
      <c r="E54" s="18" t="n">
        <v>50.14324573</v>
      </c>
      <c r="F54" s="20" t="n">
        <v>3.85717799</v>
      </c>
      <c r="G54" s="18" t="n">
        <v>39.84175199</v>
      </c>
      <c r="H54" s="20" t="n">
        <v>3.1943512</v>
      </c>
      <c r="I54" s="18" t="s">
        <v>567</v>
      </c>
      <c r="J54" s="20" t="s">
        <v>567</v>
      </c>
      <c r="K54" s="18" t="n">
        <v>8.891012740000001</v>
      </c>
      <c r="L54" s="20" t="n">
        <v>2.09537943</v>
      </c>
      <c r="M54" s="18" t="n">
        <v>0</v>
      </c>
      <c r="N54" s="20" t="n">
        <v>0</v>
      </c>
      <c r="O54" s="18" t="n">
        <v>0</v>
      </c>
      <c r="P54" s="20" t="n">
        <v>0</v>
      </c>
      <c r="Q54" s="18" t="n">
        <v>1.12398954</v>
      </c>
      <c r="R54" s="20" t="n">
        <v>0.82613196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(2388.0/B56*100)</f>
        <v/>
      </c>
      <c r="D56" s="19" t="n">
        <v>296</v>
      </c>
      <c r="E56" s="18" t="n">
        <v>39.34032699</v>
      </c>
      <c r="F56" s="20" t="n">
        <v>3.11248861</v>
      </c>
      <c r="G56" s="18" t="n">
        <v>59.35204916</v>
      </c>
      <c r="H56" s="20" t="n">
        <v>2.81507649</v>
      </c>
      <c r="I56" s="18" t="s">
        <v>567</v>
      </c>
      <c r="J56" s="20" t="s">
        <v>567</v>
      </c>
      <c r="K56" s="18" t="n">
        <v>1.06236896</v>
      </c>
      <c r="L56" s="20" t="n">
        <v>0.83063315</v>
      </c>
      <c r="M56" s="18" t="n">
        <v>0</v>
      </c>
      <c r="N56" s="20" t="n">
        <v>0</v>
      </c>
      <c r="O56" s="18" t="n">
        <v>0</v>
      </c>
      <c r="P56" s="20" t="n">
        <v>0</v>
      </c>
      <c r="Q56" s="18" t="n">
        <v>0.2452549</v>
      </c>
      <c r="R56" s="20" t="n">
        <v>0.25941374</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(2976.0/B61*100)</f>
        <v/>
      </c>
      <c r="D61" s="19" t="n">
        <v>348</v>
      </c>
      <c r="E61" s="18" t="n">
        <v>40.7282612</v>
      </c>
      <c r="F61" s="20" t="n">
        <v>3.18447859</v>
      </c>
      <c r="G61" s="18" t="n">
        <v>59.21072938</v>
      </c>
      <c r="H61" s="20" t="n">
        <v>3.18941629</v>
      </c>
      <c r="I61" s="18" t="s">
        <v>567</v>
      </c>
      <c r="J61" s="20" t="s">
        <v>567</v>
      </c>
      <c r="K61" s="18" t="n">
        <v>0</v>
      </c>
      <c r="L61" s="20" t="n">
        <v>0</v>
      </c>
      <c r="M61" s="18" t="n">
        <v>0</v>
      </c>
      <c r="N61" s="20" t="n">
        <v>0</v>
      </c>
      <c r="O61" s="18" t="n">
        <v>0</v>
      </c>
      <c r="P61" s="20" t="n">
        <v>0</v>
      </c>
      <c r="Q61" s="18" t="n">
        <v>0.06100942</v>
      </c>
      <c r="R61" s="20" t="n">
        <v>0.0611132</v>
      </c>
    </row>
    <row r="62" spans="1:18">
      <c r="A62" s="15" t="s">
        <v>622</v>
      </c>
      <c r="B62" s="17" t="n">
        <v>2246</v>
      </c>
      <c r="C62" s="18">
        <f>(1986.0/B62*100)</f>
        <v/>
      </c>
      <c r="D62" s="19" t="n">
        <v>260</v>
      </c>
      <c r="E62" s="18" t="n">
        <v>33.95092498</v>
      </c>
      <c r="F62" s="20" t="n">
        <v>2.98317866</v>
      </c>
      <c r="G62" s="18" t="n">
        <v>66.04907502</v>
      </c>
      <c r="H62" s="20" t="n">
        <v>2.98317866</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(2576.0/B66*100)</f>
        <v/>
      </c>
      <c r="D66" s="19" t="n">
        <v>318</v>
      </c>
      <c r="E66" s="18" t="n">
        <v>35.26849701</v>
      </c>
      <c r="F66" s="20" t="n">
        <v>2.56997253</v>
      </c>
      <c r="G66" s="18" t="n">
        <v>61.28733029</v>
      </c>
      <c r="H66" s="20" t="n">
        <v>2.63258751</v>
      </c>
      <c r="I66" s="18" t="s">
        <v>567</v>
      </c>
      <c r="J66" s="20" t="s">
        <v>567</v>
      </c>
      <c r="K66" s="18" t="n">
        <v>1.58368067</v>
      </c>
      <c r="L66" s="20" t="n">
        <v>0.71230152</v>
      </c>
      <c r="M66" s="18" t="n">
        <v>0</v>
      </c>
      <c r="N66" s="20" t="n">
        <v>0</v>
      </c>
      <c r="O66" s="18" t="n">
        <v>0</v>
      </c>
      <c r="P66" s="20" t="n">
        <v>0</v>
      </c>
      <c r="Q66" s="18" t="n">
        <v>1.86049203</v>
      </c>
      <c r="R66" s="20" t="n">
        <v>0.77604116</v>
      </c>
    </row>
    <row r="67" spans="1:18">
      <c r="A67" s="15" t="s">
        <v>627</v>
      </c>
      <c r="B67" s="17" t="n">
        <v>3511</v>
      </c>
      <c r="C67" s="18">
        <f>(3174.0/B67*100)</f>
        <v/>
      </c>
      <c r="D67" s="19" t="n">
        <v>337</v>
      </c>
      <c r="E67" s="18" t="n">
        <v>44.74861314</v>
      </c>
      <c r="F67" s="20" t="n">
        <v>2.88379115</v>
      </c>
      <c r="G67" s="18" t="n">
        <v>53.78235487</v>
      </c>
      <c r="H67" s="20" t="n">
        <v>2.7883828</v>
      </c>
      <c r="I67" s="18" t="s">
        <v>567</v>
      </c>
      <c r="J67" s="20" t="s">
        <v>567</v>
      </c>
      <c r="K67" s="18" t="n">
        <v>0</v>
      </c>
      <c r="L67" s="20" t="n">
        <v>0</v>
      </c>
      <c r="M67" s="18" t="n">
        <v>0</v>
      </c>
      <c r="N67" s="20" t="n">
        <v>0</v>
      </c>
      <c r="O67" s="18" t="n">
        <v>0</v>
      </c>
      <c r="P67" s="20" t="n">
        <v>0</v>
      </c>
      <c r="Q67" s="18" t="n">
        <v>1.46903199</v>
      </c>
      <c r="R67" s="20" t="n">
        <v>0.93310972</v>
      </c>
    </row>
    <row r="68" spans="1:18">
      <c r="A68" s="15" t="s">
        <v>628</v>
      </c>
      <c r="B68" s="17" t="n">
        <v>6049</v>
      </c>
      <c r="C68" s="18">
        <f>(5348.0/B68*100)</f>
        <v/>
      </c>
      <c r="D68" s="19" t="n">
        <v>701</v>
      </c>
      <c r="E68" s="18" t="n">
        <v>45.88504568</v>
      </c>
      <c r="F68" s="20" t="n">
        <v>2.03337526</v>
      </c>
      <c r="G68" s="18" t="n">
        <v>51.16171418</v>
      </c>
      <c r="H68" s="20" t="n">
        <v>2.04127454</v>
      </c>
      <c r="I68" s="18" t="s">
        <v>567</v>
      </c>
      <c r="J68" s="20" t="s">
        <v>567</v>
      </c>
      <c r="K68" s="18" t="n">
        <v>1.99073814</v>
      </c>
      <c r="L68" s="20" t="n">
        <v>0.56024551</v>
      </c>
      <c r="M68" s="18" t="n">
        <v>0</v>
      </c>
      <c r="N68" s="20" t="n">
        <v>0</v>
      </c>
      <c r="O68" s="18" t="n">
        <v>0</v>
      </c>
      <c r="P68" s="20" t="n">
        <v>0</v>
      </c>
      <c r="Q68" s="18" t="n">
        <v>0.96250201</v>
      </c>
      <c r="R68" s="20" t="n">
        <v>0.30891507</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(2616.0/B70*100)</f>
        <v/>
      </c>
      <c r="D70" s="19" t="n">
        <v>313</v>
      </c>
      <c r="E70" s="18" t="n">
        <v>37.80128677</v>
      </c>
      <c r="F70" s="20" t="n">
        <v>3.21911568</v>
      </c>
      <c r="G70" s="18" t="n">
        <v>61.18778737</v>
      </c>
      <c r="H70" s="20" t="n">
        <v>3.34734145</v>
      </c>
      <c r="I70" s="18" t="s">
        <v>567</v>
      </c>
      <c r="J70" s="20" t="s">
        <v>567</v>
      </c>
      <c r="K70" s="18" t="n">
        <v>0.21638285</v>
      </c>
      <c r="L70" s="20" t="n">
        <v>0.21645207</v>
      </c>
      <c r="M70" s="18" t="n">
        <v>0</v>
      </c>
      <c r="N70" s="20" t="n">
        <v>0</v>
      </c>
      <c r="O70" s="18" t="n">
        <v>0</v>
      </c>
      <c r="P70" s="20" t="n">
        <v>0</v>
      </c>
      <c r="Q70" s="18" t="n">
        <v>0.79454301</v>
      </c>
      <c r="R70" s="20" t="n">
        <v>0.76833584</v>
      </c>
    </row>
    <row r="71" spans="1:18">
      <c r="A71" s="15" t="s">
        <v>631</v>
      </c>
      <c r="B71" s="17" t="n">
        <v>3142</v>
      </c>
      <c r="C71" s="18">
        <f>(2826.0/B71*100)</f>
        <v/>
      </c>
      <c r="D71" s="19" t="n">
        <v>316</v>
      </c>
      <c r="E71" s="18" t="n">
        <v>41.03492973</v>
      </c>
      <c r="F71" s="20" t="n">
        <v>3.1053142</v>
      </c>
      <c r="G71" s="18" t="n">
        <v>58.49317821</v>
      </c>
      <c r="H71" s="20" t="n">
        <v>3.11524735</v>
      </c>
      <c r="I71" s="18" t="s">
        <v>567</v>
      </c>
      <c r="J71" s="20" t="s">
        <v>567</v>
      </c>
      <c r="K71" s="18" t="n">
        <v>0.47189206</v>
      </c>
      <c r="L71" s="20" t="n">
        <v>0.34259444</v>
      </c>
      <c r="M71" s="18" t="n">
        <v>0</v>
      </c>
      <c r="N71" s="20" t="n">
        <v>0</v>
      </c>
      <c r="O71" s="18" t="n">
        <v>0</v>
      </c>
      <c r="P71" s="20" t="n">
        <v>0</v>
      </c>
      <c r="Q71" s="18" t="n">
        <v>0</v>
      </c>
      <c r="R71" s="20" t="n">
        <v>0</v>
      </c>
    </row>
    <row r="72" spans="1:18">
      <c r="A72" s="15" t="s">
        <v>632</v>
      </c>
      <c r="B72" s="17" t="n">
        <v>3889</v>
      </c>
      <c r="C72" s="18">
        <f>(3460.0/B72*100)</f>
        <v/>
      </c>
      <c r="D72" s="19" t="n">
        <v>429</v>
      </c>
      <c r="E72" s="18" t="n">
        <v>32.77754264</v>
      </c>
      <c r="F72" s="20" t="n">
        <v>2.42418361</v>
      </c>
      <c r="G72" s="18" t="n">
        <v>67.0642862</v>
      </c>
      <c r="H72" s="20" t="n">
        <v>2.42551139</v>
      </c>
      <c r="I72" s="18" t="s">
        <v>567</v>
      </c>
      <c r="J72" s="20" t="s">
        <v>567</v>
      </c>
      <c r="K72" s="18" t="n">
        <v>0.15817116</v>
      </c>
      <c r="L72" s="20" t="n">
        <v>0.16255288</v>
      </c>
      <c r="M72" s="18" t="n">
        <v>0</v>
      </c>
      <c r="N72" s="20" t="n">
        <v>0</v>
      </c>
      <c r="O72" s="18" t="n">
        <v>0</v>
      </c>
      <c r="P72" s="20" t="n">
        <v>0</v>
      </c>
      <c r="Q72" s="18" t="n">
        <v>0</v>
      </c>
      <c r="R72" s="20" t="n">
        <v>0</v>
      </c>
    </row>
    <row r="73" spans="1:18">
      <c r="A73" s="15" t="s">
        <v>633</v>
      </c>
      <c r="B73" s="17" t="n">
        <v>3597</v>
      </c>
      <c r="C73" s="18">
        <f>(3194.0/B73*100)</f>
        <v/>
      </c>
      <c r="D73" s="19" t="n">
        <v>403</v>
      </c>
      <c r="E73" s="18" t="n">
        <v>38.68412723</v>
      </c>
      <c r="F73" s="20" t="n">
        <v>3.3197646</v>
      </c>
      <c r="G73" s="18" t="n">
        <v>60.7899679</v>
      </c>
      <c r="H73" s="20" t="n">
        <v>3.27171395</v>
      </c>
      <c r="I73" s="18" t="s">
        <v>567</v>
      </c>
      <c r="J73" s="20" t="s">
        <v>567</v>
      </c>
      <c r="K73" s="18" t="n">
        <v>0.52590487</v>
      </c>
      <c r="L73" s="20" t="n">
        <v>0.38977506</v>
      </c>
      <c r="M73" s="18" t="n">
        <v>0</v>
      </c>
      <c r="N73" s="20" t="n">
        <v>0</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(2149.0/B75*100)</f>
        <v/>
      </c>
      <c r="D75" s="19" t="n">
        <v>257</v>
      </c>
      <c r="E75" s="18" t="n">
        <v>49.58567222</v>
      </c>
      <c r="F75" s="20" t="n">
        <v>3.40283617</v>
      </c>
      <c r="G75" s="18" t="n">
        <v>44.59560835</v>
      </c>
      <c r="H75" s="20" t="n">
        <v>3.29284662</v>
      </c>
      <c r="I75" s="18" t="s">
        <v>567</v>
      </c>
      <c r="J75" s="20" t="s">
        <v>567</v>
      </c>
      <c r="K75" s="18" t="n">
        <v>3.75048257</v>
      </c>
      <c r="L75" s="20" t="n">
        <v>1.36953211</v>
      </c>
      <c r="M75" s="18" t="n">
        <v>0</v>
      </c>
      <c r="N75" s="20" t="n">
        <v>0</v>
      </c>
      <c r="O75" s="18" t="n">
        <v>0</v>
      </c>
      <c r="P75" s="20" t="n">
        <v>0</v>
      </c>
      <c r="Q75" s="18" t="n">
        <v>2.06823686</v>
      </c>
      <c r="R75" s="20" t="n">
        <v>1.04479118</v>
      </c>
    </row>
    <row r="76" spans="1:18">
      <c r="A76" s="15" t="s">
        <v>636</v>
      </c>
      <c r="B76" s="17" t="n">
        <v>7052</v>
      </c>
      <c r="C76" s="18">
        <f>(6270.0/B76*100)</f>
        <v/>
      </c>
      <c r="D76" s="19" t="n">
        <v>782</v>
      </c>
      <c r="E76" s="18" t="n">
        <v>42.20399802</v>
      </c>
      <c r="F76" s="20" t="n">
        <v>2.29605435</v>
      </c>
      <c r="G76" s="18" t="n">
        <v>55.75688612</v>
      </c>
      <c r="H76" s="20" t="n">
        <v>2.23885225</v>
      </c>
      <c r="I76" s="18" t="s">
        <v>567</v>
      </c>
      <c r="J76" s="20" t="s">
        <v>567</v>
      </c>
      <c r="K76" s="18" t="n">
        <v>0.76124272</v>
      </c>
      <c r="L76" s="20" t="n">
        <v>0.34202894</v>
      </c>
      <c r="M76" s="18" t="n">
        <v>0</v>
      </c>
      <c r="N76" s="20" t="n">
        <v>0</v>
      </c>
      <c r="O76" s="18" t="n">
        <v>0</v>
      </c>
      <c r="P76" s="20" t="n">
        <v>0</v>
      </c>
      <c r="Q76" s="18" t="n">
        <v>1.27787314</v>
      </c>
      <c r="R76" s="20" t="n">
        <v>0.49232871</v>
      </c>
    </row>
    <row r="77" spans="1:18">
      <c r="A77" s="15" t="s">
        <v>637</v>
      </c>
      <c r="B77" s="17" t="n">
        <v>2908</v>
      </c>
      <c r="C77" s="18">
        <f>(2594.0/B77*100)</f>
        <v/>
      </c>
      <c r="D77" s="19" t="n">
        <v>314</v>
      </c>
      <c r="E77" s="18" t="n">
        <v>47.09998222</v>
      </c>
      <c r="F77" s="20" t="n">
        <v>2.71501542</v>
      </c>
      <c r="G77" s="18" t="n">
        <v>50.85543051</v>
      </c>
      <c r="H77" s="20" t="n">
        <v>2.76600756</v>
      </c>
      <c r="I77" s="18" t="s">
        <v>567</v>
      </c>
      <c r="J77" s="20" t="s">
        <v>567</v>
      </c>
      <c r="K77" s="18" t="n">
        <v>1.17314926</v>
      </c>
      <c r="L77" s="20" t="n">
        <v>0.58665842</v>
      </c>
      <c r="M77" s="18" t="n">
        <v>0</v>
      </c>
      <c r="N77" s="20" t="n">
        <v>0</v>
      </c>
      <c r="O77" s="18" t="n">
        <v>0</v>
      </c>
      <c r="P77" s="20" t="n">
        <v>0</v>
      </c>
      <c r="Q77" s="18" t="n">
        <v>0.87143801</v>
      </c>
      <c r="R77" s="20" t="n">
        <v>0.48740058</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(3715.0/B81*100)</f>
        <v/>
      </c>
      <c r="D81" s="19" t="n">
        <v>448</v>
      </c>
      <c r="E81" s="18" t="n">
        <v>45.64941113</v>
      </c>
      <c r="F81" s="20" t="n">
        <v>2.73779247</v>
      </c>
      <c r="G81" s="18" t="n">
        <v>54.33731701</v>
      </c>
      <c r="H81" s="20" t="n">
        <v>2.73474121</v>
      </c>
      <c r="I81" s="18" t="s">
        <v>567</v>
      </c>
      <c r="J81" s="20" t="s">
        <v>567</v>
      </c>
      <c r="K81" s="18" t="n">
        <v>0</v>
      </c>
      <c r="L81" s="20" t="n">
        <v>0</v>
      </c>
      <c r="M81" s="18" t="n">
        <v>0</v>
      </c>
      <c r="N81" s="20" t="n">
        <v>0</v>
      </c>
      <c r="O81" s="18" t="n">
        <v>0</v>
      </c>
      <c r="P81" s="20" t="n">
        <v>0</v>
      </c>
      <c r="Q81" s="18" t="n">
        <v>0.01327186</v>
      </c>
      <c r="R81" s="20" t="n">
        <v>0.0129856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(6552.0/B7*100)</f>
        <v/>
      </c>
      <c r="D7" s="19" t="n">
        <v>815</v>
      </c>
      <c r="E7" s="18" t="n">
        <v>39.24729515</v>
      </c>
      <c r="F7" s="20" t="n">
        <v>2.03541792</v>
      </c>
      <c r="G7" s="18" t="n">
        <v>59.88625688</v>
      </c>
      <c r="H7" s="20" t="n">
        <v>2.0843635</v>
      </c>
      <c r="I7" s="18" t="s">
        <v>567</v>
      </c>
      <c r="J7" s="20" t="s">
        <v>567</v>
      </c>
      <c r="K7" s="18" t="n">
        <v>0.36107114</v>
      </c>
      <c r="L7" s="20" t="n">
        <v>0.23498669</v>
      </c>
      <c r="M7" s="18" t="n">
        <v>0</v>
      </c>
      <c r="N7" s="20" t="n">
        <v>0</v>
      </c>
      <c r="O7" s="18" t="n">
        <v>0</v>
      </c>
      <c r="P7" s="20" t="n">
        <v>0</v>
      </c>
      <c r="Q7" s="18" t="n">
        <v>0.50537683</v>
      </c>
      <c r="R7" s="20" t="n">
        <v>0.3349817</v>
      </c>
    </row>
    <row r="8" spans="1:18">
      <c r="A8" s="15" t="s">
        <v>568</v>
      </c>
      <c r="B8" s="17" t="n">
        <v>3564</v>
      </c>
      <c r="C8" s="18">
        <f>(3190.0/B8*100)</f>
        <v/>
      </c>
      <c r="D8" s="19" t="n">
        <v>374</v>
      </c>
      <c r="E8" s="18" t="n">
        <v>47.75911192</v>
      </c>
      <c r="F8" s="20" t="n">
        <v>3.17021876</v>
      </c>
      <c r="G8" s="18" t="n">
        <v>51.47401497</v>
      </c>
      <c r="H8" s="20" t="n">
        <v>3.17633896</v>
      </c>
      <c r="I8" s="18" t="s">
        <v>567</v>
      </c>
      <c r="J8" s="20" t="s">
        <v>567</v>
      </c>
      <c r="K8" s="18" t="n">
        <v>0</v>
      </c>
      <c r="L8" s="20" t="n">
        <v>0</v>
      </c>
      <c r="M8" s="18" t="n">
        <v>0</v>
      </c>
      <c r="N8" s="20" t="n">
        <v>0</v>
      </c>
      <c r="O8" s="18" t="n">
        <v>0</v>
      </c>
      <c r="P8" s="20" t="n">
        <v>0</v>
      </c>
      <c r="Q8" s="18" t="n">
        <v>0.76687311</v>
      </c>
      <c r="R8" s="20" t="n">
        <v>0.4682149</v>
      </c>
    </row>
    <row r="9" spans="1:18">
      <c r="A9" s="15" t="s">
        <v>569</v>
      </c>
      <c r="B9" s="17" t="n">
        <v>4899</v>
      </c>
      <c r="C9" s="18">
        <f>(4384.0/B9*100)</f>
        <v/>
      </c>
      <c r="D9" s="19" t="n">
        <v>515</v>
      </c>
      <c r="E9" s="18" t="n">
        <v>43.92237585</v>
      </c>
      <c r="F9" s="20" t="n">
        <v>2.40583322</v>
      </c>
      <c r="G9" s="18" t="n">
        <v>55.11778683</v>
      </c>
      <c r="H9" s="20" t="n">
        <v>2.38318894</v>
      </c>
      <c r="I9" s="18" t="s">
        <v>567</v>
      </c>
      <c r="J9" s="20" t="s">
        <v>567</v>
      </c>
      <c r="K9" s="18" t="n">
        <v>0.52149069</v>
      </c>
      <c r="L9" s="20" t="n">
        <v>0.28766229</v>
      </c>
      <c r="M9" s="18" t="n">
        <v>0</v>
      </c>
      <c r="N9" s="20" t="n">
        <v>0</v>
      </c>
      <c r="O9" s="18" t="n">
        <v>0</v>
      </c>
      <c r="P9" s="20" t="n">
        <v>0</v>
      </c>
      <c r="Q9" s="18" t="n">
        <v>0.43834662</v>
      </c>
      <c r="R9" s="20" t="n">
        <v>0.23781798</v>
      </c>
    </row>
    <row r="10" spans="1:18">
      <c r="A10" s="15" t="s">
        <v>570</v>
      </c>
      <c r="B10" s="17" t="n">
        <v>10036</v>
      </c>
      <c r="C10" s="18">
        <f>(8963.0/B10*100)</f>
        <v/>
      </c>
      <c r="D10" s="19" t="n">
        <v>1073</v>
      </c>
      <c r="E10" s="18" t="n">
        <v>46.10521723</v>
      </c>
      <c r="F10" s="20" t="n">
        <v>2.31786558</v>
      </c>
      <c r="G10" s="18" t="n">
        <v>52.86476193</v>
      </c>
      <c r="H10" s="20" t="n">
        <v>2.27891901</v>
      </c>
      <c r="I10" s="18" t="s">
        <v>567</v>
      </c>
      <c r="J10" s="20" t="s">
        <v>567</v>
      </c>
      <c r="K10" s="18" t="n">
        <v>0.21625925</v>
      </c>
      <c r="L10" s="20" t="n">
        <v>0.16914126</v>
      </c>
      <c r="M10" s="18" t="n">
        <v>0</v>
      </c>
      <c r="N10" s="20" t="n">
        <v>0</v>
      </c>
      <c r="O10" s="18" t="n">
        <v>0</v>
      </c>
      <c r="P10" s="20" t="n">
        <v>0</v>
      </c>
      <c r="Q10" s="18" t="n">
        <v>0.81376159</v>
      </c>
      <c r="R10" s="20" t="n">
        <v>0.33853073</v>
      </c>
    </row>
    <row r="11" spans="1:18">
      <c r="A11" s="15" t="s">
        <v>571</v>
      </c>
      <c r="B11" s="17" t="n">
        <v>3553</v>
      </c>
      <c r="C11" s="18">
        <f>(3143.0/B11*100)</f>
        <v/>
      </c>
      <c r="D11" s="19" t="n">
        <v>410</v>
      </c>
      <c r="E11" s="18" t="n">
        <v>56.19669432</v>
      </c>
      <c r="F11" s="20" t="n">
        <v>2.80640033</v>
      </c>
      <c r="G11" s="18" t="n">
        <v>40.94752115</v>
      </c>
      <c r="H11" s="20" t="n">
        <v>2.79728025</v>
      </c>
      <c r="I11" s="18" t="s">
        <v>567</v>
      </c>
      <c r="J11" s="20" t="s">
        <v>567</v>
      </c>
      <c r="K11" s="18" t="n">
        <v>1.00624744</v>
      </c>
      <c r="L11" s="20" t="n">
        <v>0.50682046</v>
      </c>
      <c r="M11" s="18" t="n">
        <v>0</v>
      </c>
      <c r="N11" s="20" t="n">
        <v>0</v>
      </c>
      <c r="O11" s="18" t="n">
        <v>0</v>
      </c>
      <c r="P11" s="20" t="n">
        <v>0</v>
      </c>
      <c r="Q11" s="18" t="n">
        <v>1.84953709</v>
      </c>
      <c r="R11" s="20" t="n">
        <v>0.87630432</v>
      </c>
    </row>
    <row r="12" spans="1:18">
      <c r="A12" s="15" t="s">
        <v>572</v>
      </c>
      <c r="B12" s="17" t="n">
        <v>3472</v>
      </c>
      <c r="C12" s="18">
        <f>(3061.0/B12*100)</f>
        <v/>
      </c>
      <c r="D12" s="19" t="n">
        <v>411</v>
      </c>
      <c r="E12" s="18" t="n">
        <v>43.12485899</v>
      </c>
      <c r="F12" s="20" t="n">
        <v>2.81733998</v>
      </c>
      <c r="G12" s="18" t="n">
        <v>55.95406298</v>
      </c>
      <c r="H12" s="20" t="n">
        <v>2.97858034</v>
      </c>
      <c r="I12" s="18" t="s">
        <v>567</v>
      </c>
      <c r="J12" s="20" t="s">
        <v>567</v>
      </c>
      <c r="K12" s="18" t="n">
        <v>0.43447083</v>
      </c>
      <c r="L12" s="20" t="n">
        <v>0.3015703</v>
      </c>
      <c r="M12" s="18" t="n">
        <v>0</v>
      </c>
      <c r="N12" s="20" t="n">
        <v>0</v>
      </c>
      <c r="O12" s="18" t="n">
        <v>0</v>
      </c>
      <c r="P12" s="20" t="n">
        <v>0</v>
      </c>
      <c r="Q12" s="18" t="n">
        <v>0.48660721</v>
      </c>
      <c r="R12" s="20" t="n">
        <v>0.44870748</v>
      </c>
    </row>
    <row r="13" spans="1:18">
      <c r="A13" s="15" t="s">
        <v>573</v>
      </c>
      <c r="B13" s="17" t="n">
        <v>3559</v>
      </c>
      <c r="C13" s="18">
        <f>(3175.0/B13*100)</f>
        <v/>
      </c>
      <c r="D13" s="19" t="n">
        <v>384</v>
      </c>
      <c r="E13" s="18" t="n">
        <v>40.99428421</v>
      </c>
      <c r="F13" s="20" t="n">
        <v>2.75013268</v>
      </c>
      <c r="G13" s="18" t="n">
        <v>58.56915559</v>
      </c>
      <c r="H13" s="20" t="n">
        <v>2.77056549</v>
      </c>
      <c r="I13" s="18" t="s">
        <v>567</v>
      </c>
      <c r="J13" s="20" t="s">
        <v>567</v>
      </c>
      <c r="K13" s="18" t="n">
        <v>0.43656019</v>
      </c>
      <c r="L13" s="20" t="n">
        <v>0.23607659</v>
      </c>
      <c r="M13" s="18" t="n">
        <v>0</v>
      </c>
      <c r="N13" s="20" t="n">
        <v>0</v>
      </c>
      <c r="O13" s="18" t="n">
        <v>0</v>
      </c>
      <c r="P13" s="20" t="n">
        <v>0</v>
      </c>
      <c r="Q13" s="18" t="n">
        <v>0</v>
      </c>
      <c r="R13" s="20" t="n">
        <v>0</v>
      </c>
    </row>
    <row r="14" spans="1:18">
      <c r="A14" s="15" t="s">
        <v>574</v>
      </c>
      <c r="B14" s="17" t="n">
        <v>2799</v>
      </c>
      <c r="C14" s="18">
        <f>(2488.0/B14*100)</f>
        <v/>
      </c>
      <c r="D14" s="19" t="n">
        <v>311</v>
      </c>
      <c r="E14" s="18" t="n">
        <v>38.93346402</v>
      </c>
      <c r="F14" s="20" t="n">
        <v>2.71534209</v>
      </c>
      <c r="G14" s="18" t="n">
        <v>61.06653598</v>
      </c>
      <c r="H14" s="20" t="n">
        <v>2.71534209</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(2669.0/B15*100)</f>
        <v/>
      </c>
      <c r="D15" s="19" t="n">
        <v>350</v>
      </c>
      <c r="E15" s="18" t="n">
        <v>49.84316099</v>
      </c>
      <c r="F15" s="20" t="n">
        <v>2.72281874</v>
      </c>
      <c r="G15" s="18" t="n">
        <v>49.35688851</v>
      </c>
      <c r="H15" s="20" t="n">
        <v>2.71197945</v>
      </c>
      <c r="I15" s="18" t="s">
        <v>567</v>
      </c>
      <c r="J15" s="20" t="s">
        <v>567</v>
      </c>
      <c r="K15" s="18" t="n">
        <v>0.48739535</v>
      </c>
      <c r="L15" s="20" t="n">
        <v>0.34617495</v>
      </c>
      <c r="M15" s="18" t="n">
        <v>0</v>
      </c>
      <c r="N15" s="20" t="n">
        <v>0</v>
      </c>
      <c r="O15" s="18" t="n">
        <v>0</v>
      </c>
      <c r="P15" s="20" t="n">
        <v>0</v>
      </c>
      <c r="Q15" s="18" t="n">
        <v>0.31255514</v>
      </c>
      <c r="R15" s="20" t="n">
        <v>0.31336705</v>
      </c>
    </row>
    <row r="16" spans="1:18">
      <c r="A16" s="15" t="s">
        <v>576</v>
      </c>
      <c r="B16" s="17" t="n">
        <v>2997</v>
      </c>
      <c r="C16" s="18">
        <f>(2667.0/B16*100)</f>
        <v/>
      </c>
      <c r="D16" s="19" t="n">
        <v>330</v>
      </c>
      <c r="E16" s="18" t="n">
        <v>40.83537174</v>
      </c>
      <c r="F16" s="20" t="n">
        <v>2.97872099</v>
      </c>
      <c r="G16" s="18" t="n">
        <v>57.62586732</v>
      </c>
      <c r="H16" s="20" t="n">
        <v>3.01209725</v>
      </c>
      <c r="I16" s="18" t="s">
        <v>567</v>
      </c>
      <c r="J16" s="20" t="s">
        <v>567</v>
      </c>
      <c r="K16" s="18" t="n">
        <v>1.22103309</v>
      </c>
      <c r="L16" s="20" t="n">
        <v>0.6306615800000001</v>
      </c>
      <c r="M16" s="18" t="n">
        <v>0</v>
      </c>
      <c r="N16" s="20" t="n">
        <v>0</v>
      </c>
      <c r="O16" s="18" t="n">
        <v>0</v>
      </c>
      <c r="P16" s="20" t="n">
        <v>0</v>
      </c>
      <c r="Q16" s="18" t="n">
        <v>0.31772785</v>
      </c>
      <c r="R16" s="20" t="n">
        <v>0.31882583</v>
      </c>
    </row>
    <row r="17" spans="1:18">
      <c r="A17" s="15" t="s">
        <v>577</v>
      </c>
      <c r="B17" s="17" t="n">
        <v>3307</v>
      </c>
      <c r="C17" s="18">
        <f>(2927.0/B17*100)</f>
        <v/>
      </c>
      <c r="D17" s="19" t="n">
        <v>380</v>
      </c>
      <c r="E17" s="18" t="n">
        <v>42.30191253</v>
      </c>
      <c r="F17" s="20" t="n">
        <v>2.69769884</v>
      </c>
      <c r="G17" s="18" t="n">
        <v>54.27317299</v>
      </c>
      <c r="H17" s="20" t="n">
        <v>2.98592295</v>
      </c>
      <c r="I17" s="18" t="s">
        <v>567</v>
      </c>
      <c r="J17" s="20" t="s">
        <v>567</v>
      </c>
      <c r="K17" s="18" t="n">
        <v>2.31792627</v>
      </c>
      <c r="L17" s="20" t="n">
        <v>0.9466215100000001</v>
      </c>
      <c r="M17" s="18" t="n">
        <v>0</v>
      </c>
      <c r="N17" s="20" t="n">
        <v>0</v>
      </c>
      <c r="O17" s="18" t="n">
        <v>0</v>
      </c>
      <c r="P17" s="20" t="n">
        <v>0</v>
      </c>
      <c r="Q17" s="18" t="n">
        <v>1.10698821</v>
      </c>
      <c r="R17" s="20" t="n">
        <v>0.48326727</v>
      </c>
    </row>
    <row r="18" spans="1:18">
      <c r="A18" s="15" t="s">
        <v>578</v>
      </c>
      <c r="B18" s="17" t="n">
        <v>2826</v>
      </c>
      <c r="C18" s="18">
        <f>(2504.0/B18*100)</f>
        <v/>
      </c>
      <c r="D18" s="19" t="n">
        <v>322</v>
      </c>
      <c r="E18" s="18" t="n">
        <v>47.71671311</v>
      </c>
      <c r="F18" s="20" t="n">
        <v>3.24319504</v>
      </c>
      <c r="G18" s="18" t="n">
        <v>51.6176172</v>
      </c>
      <c r="H18" s="20" t="n">
        <v>3.16387514</v>
      </c>
      <c r="I18" s="18" t="s">
        <v>567</v>
      </c>
      <c r="J18" s="20" t="s">
        <v>567</v>
      </c>
      <c r="K18" s="18" t="n">
        <v>0.66566968</v>
      </c>
      <c r="L18" s="20" t="n">
        <v>0.47508961</v>
      </c>
      <c r="M18" s="18" t="n">
        <v>0</v>
      </c>
      <c r="N18" s="20" t="n">
        <v>0</v>
      </c>
      <c r="O18" s="18" t="n">
        <v>0</v>
      </c>
      <c r="P18" s="20" t="n">
        <v>0</v>
      </c>
      <c r="Q18" s="18" t="n">
        <v>0</v>
      </c>
      <c r="R18" s="20" t="n">
        <v>0</v>
      </c>
    </row>
    <row r="19" spans="1:18">
      <c r="A19" s="15" t="s">
        <v>579</v>
      </c>
      <c r="B19" s="17" t="n">
        <v>2808</v>
      </c>
      <c r="C19" s="18">
        <f>(2517.0/B19*100)</f>
        <v/>
      </c>
      <c r="D19" s="19" t="n">
        <v>291</v>
      </c>
      <c r="E19" s="18" t="n">
        <v>40.22435698</v>
      </c>
      <c r="F19" s="20" t="n">
        <v>3.22415061</v>
      </c>
      <c r="G19" s="18" t="n">
        <v>58.64062662</v>
      </c>
      <c r="H19" s="20" t="n">
        <v>3.10894023</v>
      </c>
      <c r="I19" s="18" t="s">
        <v>567</v>
      </c>
      <c r="J19" s="20" t="s">
        <v>567</v>
      </c>
      <c r="K19" s="18" t="n">
        <v>0</v>
      </c>
      <c r="L19" s="20" t="n">
        <v>0</v>
      </c>
      <c r="M19" s="18" t="n">
        <v>0</v>
      </c>
      <c r="N19" s="20" t="n">
        <v>0</v>
      </c>
      <c r="O19" s="18" t="n">
        <v>0</v>
      </c>
      <c r="P19" s="20" t="n">
        <v>0</v>
      </c>
      <c r="Q19" s="18" t="n">
        <v>1.13501639</v>
      </c>
      <c r="R19" s="20" t="n">
        <v>0.8130222</v>
      </c>
    </row>
    <row r="20" spans="1:18">
      <c r="A20" s="15" t="s">
        <v>580</v>
      </c>
      <c r="B20" s="17" t="n">
        <v>1630</v>
      </c>
      <c r="C20" s="18">
        <f>(1464.0/B20*100)</f>
        <v/>
      </c>
      <c r="D20" s="19" t="n">
        <v>166</v>
      </c>
      <c r="E20" s="18" t="n">
        <v>59.67646645</v>
      </c>
      <c r="F20" s="20" t="n">
        <v>3.68591154</v>
      </c>
      <c r="G20" s="18" t="n">
        <v>40.32353355</v>
      </c>
      <c r="H20" s="20" t="n">
        <v>3.68591154</v>
      </c>
      <c r="I20" s="18" t="s">
        <v>567</v>
      </c>
      <c r="J20" s="20" t="s">
        <v>567</v>
      </c>
      <c r="K20" s="18" t="n">
        <v>0</v>
      </c>
      <c r="L20" s="20" t="n">
        <v>0</v>
      </c>
      <c r="M20" s="18" t="n">
        <v>0</v>
      </c>
      <c r="N20" s="20" t="n">
        <v>0</v>
      </c>
      <c r="O20" s="18" t="n">
        <v>0</v>
      </c>
      <c r="P20" s="20" t="n">
        <v>0</v>
      </c>
      <c r="Q20" s="18" t="n">
        <v>0</v>
      </c>
      <c r="R20" s="20" t="n">
        <v>0</v>
      </c>
    </row>
    <row r="21" spans="1:18">
      <c r="A21" s="15" t="s">
        <v>581</v>
      </c>
      <c r="B21" s="17" t="n">
        <v>2908</v>
      </c>
      <c r="C21" s="18">
        <f>(2606.0/B21*100)</f>
        <v/>
      </c>
      <c r="D21" s="19" t="n">
        <v>302</v>
      </c>
      <c r="E21" s="18" t="n">
        <v>44.52687568</v>
      </c>
      <c r="F21" s="20" t="n">
        <v>2.96767968</v>
      </c>
      <c r="G21" s="18" t="n">
        <v>54.63168478</v>
      </c>
      <c r="H21" s="20" t="n">
        <v>2.9491101</v>
      </c>
      <c r="I21" s="18" t="s">
        <v>567</v>
      </c>
      <c r="J21" s="20" t="s">
        <v>567</v>
      </c>
      <c r="K21" s="18" t="n">
        <v>0</v>
      </c>
      <c r="L21" s="20" t="n">
        <v>0</v>
      </c>
      <c r="M21" s="18" t="n">
        <v>0</v>
      </c>
      <c r="N21" s="20" t="n">
        <v>0</v>
      </c>
      <c r="O21" s="18" t="n">
        <v>0</v>
      </c>
      <c r="P21" s="20" t="n">
        <v>0</v>
      </c>
      <c r="Q21" s="18" t="n">
        <v>0.84143953</v>
      </c>
      <c r="R21" s="20" t="n">
        <v>0.46985079</v>
      </c>
    </row>
    <row r="22" spans="1:18">
      <c r="A22" s="15" t="s">
        <v>582</v>
      </c>
      <c r="B22" s="17" t="n">
        <v>2931</v>
      </c>
      <c r="C22" s="18">
        <f>(2584.0/B22*100)</f>
        <v/>
      </c>
      <c r="D22" s="19" t="n">
        <v>347</v>
      </c>
      <c r="E22" s="18" t="n">
        <v>51.71732306</v>
      </c>
      <c r="F22" s="20" t="n">
        <v>2.47550691</v>
      </c>
      <c r="G22" s="18" t="n">
        <v>46.80401559</v>
      </c>
      <c r="H22" s="20" t="n">
        <v>2.51393755</v>
      </c>
      <c r="I22" s="18" t="s">
        <v>567</v>
      </c>
      <c r="J22" s="20" t="s">
        <v>567</v>
      </c>
      <c r="K22" s="18" t="n">
        <v>0</v>
      </c>
      <c r="L22" s="20" t="n">
        <v>0</v>
      </c>
      <c r="M22" s="18" t="n">
        <v>0</v>
      </c>
      <c r="N22" s="20" t="n">
        <v>0</v>
      </c>
      <c r="O22" s="18" t="n">
        <v>0</v>
      </c>
      <c r="P22" s="20" t="n">
        <v>0</v>
      </c>
      <c r="Q22" s="18" t="n">
        <v>1.47866135</v>
      </c>
      <c r="R22" s="20" t="n">
        <v>0.41864081</v>
      </c>
    </row>
    <row r="23" spans="1:18">
      <c r="A23" s="15" t="s">
        <v>583</v>
      </c>
      <c r="B23" s="17" t="n">
        <v>5791</v>
      </c>
      <c r="C23" s="18">
        <f>(5160.0/B23*100)</f>
        <v/>
      </c>
      <c r="D23" s="19" t="n">
        <v>631</v>
      </c>
      <c r="E23" s="18" t="n">
        <v>47.36110352</v>
      </c>
      <c r="F23" s="20" t="n">
        <v>2.75851631</v>
      </c>
      <c r="G23" s="18" t="n">
        <v>52.2656219</v>
      </c>
      <c r="H23" s="20" t="n">
        <v>2.73906777</v>
      </c>
      <c r="I23" s="18" t="s">
        <v>567</v>
      </c>
      <c r="J23" s="20" t="s">
        <v>567</v>
      </c>
      <c r="K23" s="18" t="n">
        <v>0.10793747</v>
      </c>
      <c r="L23" s="20" t="n">
        <v>0.10699458</v>
      </c>
      <c r="M23" s="18" t="n">
        <v>0</v>
      </c>
      <c r="N23" s="20" t="n">
        <v>0</v>
      </c>
      <c r="O23" s="18" t="n">
        <v>0</v>
      </c>
      <c r="P23" s="20" t="n">
        <v>0</v>
      </c>
      <c r="Q23" s="18" t="n">
        <v>0.26533711</v>
      </c>
      <c r="R23" s="20" t="n">
        <v>0.26249551</v>
      </c>
    </row>
    <row r="24" spans="1:18">
      <c r="A24" s="15" t="s">
        <v>584</v>
      </c>
      <c r="B24" s="17" t="n">
        <v>3338</v>
      </c>
      <c r="C24" s="18">
        <f>(2959.0/B24*100)</f>
        <v/>
      </c>
      <c r="D24" s="19" t="n">
        <v>379</v>
      </c>
      <c r="E24" s="18" t="n">
        <v>36.24733106</v>
      </c>
      <c r="F24" s="20" t="n">
        <v>2.38572459</v>
      </c>
      <c r="G24" s="18" t="n">
        <v>62.96841977</v>
      </c>
      <c r="H24" s="20" t="n">
        <v>2.46574072</v>
      </c>
      <c r="I24" s="18" t="s">
        <v>567</v>
      </c>
      <c r="J24" s="20" t="s">
        <v>567</v>
      </c>
      <c r="K24" s="18" t="n">
        <v>0.7842491700000001</v>
      </c>
      <c r="L24" s="20" t="n">
        <v>0.4594849</v>
      </c>
      <c r="M24" s="18" t="n">
        <v>0</v>
      </c>
      <c r="N24" s="20" t="n">
        <v>0</v>
      </c>
      <c r="O24" s="18" t="n">
        <v>0</v>
      </c>
      <c r="P24" s="20" t="n">
        <v>0</v>
      </c>
      <c r="Q24" s="18" t="n">
        <v>0</v>
      </c>
      <c r="R24" s="20" t="n">
        <v>0</v>
      </c>
    </row>
    <row r="25" spans="1:18">
      <c r="A25" s="15" t="s">
        <v>585</v>
      </c>
      <c r="B25" s="17" t="n">
        <v>2912</v>
      </c>
      <c r="C25" s="18">
        <f>(2597.0/B25*100)</f>
        <v/>
      </c>
      <c r="D25" s="19" t="n">
        <v>315</v>
      </c>
      <c r="E25" s="18" t="n">
        <v>34.83940725</v>
      </c>
      <c r="F25" s="20" t="n">
        <v>3.10582814</v>
      </c>
      <c r="G25" s="18" t="n">
        <v>64.83298336999999</v>
      </c>
      <c r="H25" s="20" t="n">
        <v>3.09629926</v>
      </c>
      <c r="I25" s="18" t="s">
        <v>567</v>
      </c>
      <c r="J25" s="20" t="s">
        <v>567</v>
      </c>
      <c r="K25" s="18" t="n">
        <v>0</v>
      </c>
      <c r="L25" s="20" t="n">
        <v>0</v>
      </c>
      <c r="M25" s="18" t="n">
        <v>0</v>
      </c>
      <c r="N25" s="20" t="n">
        <v>0</v>
      </c>
      <c r="O25" s="18" t="n">
        <v>0</v>
      </c>
      <c r="P25" s="20" t="n">
        <v>0</v>
      </c>
      <c r="Q25" s="18" t="n">
        <v>0.32760938</v>
      </c>
      <c r="R25" s="20" t="n">
        <v>0.32559694</v>
      </c>
    </row>
    <row r="26" spans="1:18">
      <c r="A26" s="15" t="s">
        <v>586</v>
      </c>
      <c r="B26" s="17" t="n">
        <v>2450</v>
      </c>
      <c r="C26" s="18">
        <f>(2185.0/B26*100)</f>
        <v/>
      </c>
      <c r="D26" s="19" t="n">
        <v>265</v>
      </c>
      <c r="E26" s="18" t="n">
        <v>47.36393338</v>
      </c>
      <c r="F26" s="20" t="n">
        <v>3.08191023</v>
      </c>
      <c r="G26" s="18" t="n">
        <v>52.63606662</v>
      </c>
      <c r="H26" s="20" t="n">
        <v>3.08191023</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(2337.0/B27*100)</f>
        <v/>
      </c>
      <c r="D27" s="19" t="n">
        <v>279</v>
      </c>
      <c r="E27" s="18" t="n">
        <v>50.2994711</v>
      </c>
      <c r="F27" s="20" t="n">
        <v>2.76602427</v>
      </c>
      <c r="G27" s="18" t="n">
        <v>48.24882795</v>
      </c>
      <c r="H27" s="20" t="n">
        <v>2.74345367</v>
      </c>
      <c r="I27" s="18" t="s">
        <v>567</v>
      </c>
      <c r="J27" s="20" t="s">
        <v>567</v>
      </c>
      <c r="K27" s="18" t="n">
        <v>0.73108821</v>
      </c>
      <c r="L27" s="20" t="n">
        <v>0.51560656</v>
      </c>
      <c r="M27" s="18" t="n">
        <v>0</v>
      </c>
      <c r="N27" s="20" t="n">
        <v>0</v>
      </c>
      <c r="O27" s="18" t="n">
        <v>0</v>
      </c>
      <c r="P27" s="20" t="n">
        <v>0</v>
      </c>
      <c r="Q27" s="18" t="n">
        <v>0.72061274</v>
      </c>
      <c r="R27" s="20" t="n">
        <v>0.5010872200000001</v>
      </c>
    </row>
    <row r="28" spans="1:18">
      <c r="A28" s="15" t="s">
        <v>588</v>
      </c>
      <c r="B28" s="17" t="n">
        <v>3765</v>
      </c>
      <c r="C28" s="18">
        <f>(3371.0/B28*100)</f>
        <v/>
      </c>
      <c r="D28" s="19" t="n">
        <v>394</v>
      </c>
      <c r="E28" s="18" t="n">
        <v>52.99414014</v>
      </c>
      <c r="F28" s="20" t="n">
        <v>2.69765468</v>
      </c>
      <c r="G28" s="18" t="n">
        <v>46.25148531</v>
      </c>
      <c r="H28" s="20" t="n">
        <v>2.65672649</v>
      </c>
      <c r="I28" s="18" t="s">
        <v>567</v>
      </c>
      <c r="J28" s="20" t="s">
        <v>567</v>
      </c>
      <c r="K28" s="18" t="n">
        <v>0</v>
      </c>
      <c r="L28" s="20" t="n">
        <v>0</v>
      </c>
      <c r="M28" s="18" t="n">
        <v>0</v>
      </c>
      <c r="N28" s="20" t="n">
        <v>0</v>
      </c>
      <c r="O28" s="18" t="n">
        <v>0</v>
      </c>
      <c r="P28" s="20" t="n">
        <v>0</v>
      </c>
      <c r="Q28" s="18" t="n">
        <v>0.75437454</v>
      </c>
      <c r="R28" s="20" t="n">
        <v>0.58787932</v>
      </c>
    </row>
    <row r="29" spans="1:18">
      <c r="A29" s="15" t="s">
        <v>589</v>
      </c>
      <c r="B29" s="17" t="n">
        <v>2685</v>
      </c>
      <c r="C29" s="18">
        <f>(2385.0/B29*100)</f>
        <v/>
      </c>
      <c r="D29" s="19" t="n">
        <v>300</v>
      </c>
      <c r="E29" s="18" t="n">
        <v>49.10877062</v>
      </c>
      <c r="F29" s="20" t="n">
        <v>2.76660413</v>
      </c>
      <c r="G29" s="18" t="n">
        <v>50.89122938</v>
      </c>
      <c r="H29" s="20" t="n">
        <v>2.76660413</v>
      </c>
      <c r="I29" s="18" t="s">
        <v>567</v>
      </c>
      <c r="J29" s="20" t="s">
        <v>567</v>
      </c>
      <c r="K29" s="18" t="n">
        <v>0</v>
      </c>
      <c r="L29" s="20" t="n">
        <v>0</v>
      </c>
      <c r="M29" s="18" t="n">
        <v>0</v>
      </c>
      <c r="N29" s="20" t="n">
        <v>0</v>
      </c>
      <c r="O29" s="18" t="n">
        <v>0</v>
      </c>
      <c r="P29" s="20" t="n">
        <v>0</v>
      </c>
      <c r="Q29" s="18" t="n">
        <v>0</v>
      </c>
      <c r="R29" s="20" t="n">
        <v>0</v>
      </c>
    </row>
    <row r="30" spans="1:18">
      <c r="A30" s="15" t="s">
        <v>590</v>
      </c>
      <c r="B30" s="17" t="n">
        <v>2263</v>
      </c>
      <c r="C30" s="18">
        <f>(2033.0/B30*100)</f>
        <v/>
      </c>
      <c r="D30" s="19" t="n">
        <v>230</v>
      </c>
      <c r="E30" s="18" t="n">
        <v>47.28823941</v>
      </c>
      <c r="F30" s="20" t="n">
        <v>3.40908391</v>
      </c>
      <c r="G30" s="18" t="n">
        <v>52.25624519</v>
      </c>
      <c r="H30" s="20" t="n">
        <v>3.36063376</v>
      </c>
      <c r="I30" s="18" t="s">
        <v>567</v>
      </c>
      <c r="J30" s="20" t="s">
        <v>567</v>
      </c>
      <c r="K30" s="18" t="n">
        <v>0.4555154</v>
      </c>
      <c r="L30" s="20" t="n">
        <v>0.43506997</v>
      </c>
      <c r="M30" s="18" t="n">
        <v>0</v>
      </c>
      <c r="N30" s="20" t="n">
        <v>0</v>
      </c>
      <c r="O30" s="18" t="n">
        <v>0</v>
      </c>
      <c r="P30" s="20" t="n">
        <v>0</v>
      </c>
      <c r="Q30" s="18" t="n">
        <v>0</v>
      </c>
      <c r="R30" s="20" t="n">
        <v>0</v>
      </c>
    </row>
    <row r="31" spans="1:18">
      <c r="A31" s="15" t="s">
        <v>591</v>
      </c>
      <c r="B31" s="17" t="n">
        <v>2750</v>
      </c>
      <c r="C31" s="18">
        <f>(2452.0/B31*100)</f>
        <v/>
      </c>
      <c r="D31" s="19" t="n">
        <v>298</v>
      </c>
      <c r="E31" s="18" t="n">
        <v>38.79933387</v>
      </c>
      <c r="F31" s="20" t="n">
        <v>3.03600972</v>
      </c>
      <c r="G31" s="18" t="n">
        <v>59.91168436</v>
      </c>
      <c r="H31" s="20" t="n">
        <v>3.0656455</v>
      </c>
      <c r="I31" s="18" t="s">
        <v>567</v>
      </c>
      <c r="J31" s="20" t="s">
        <v>567</v>
      </c>
      <c r="K31" s="18" t="n">
        <v>0.33144827</v>
      </c>
      <c r="L31" s="20" t="n">
        <v>0.35927793</v>
      </c>
      <c r="M31" s="18" t="n">
        <v>0</v>
      </c>
      <c r="N31" s="20" t="n">
        <v>0</v>
      </c>
      <c r="O31" s="18" t="n">
        <v>0</v>
      </c>
      <c r="P31" s="20" t="n">
        <v>0</v>
      </c>
      <c r="Q31" s="18" t="n">
        <v>0.9575335</v>
      </c>
      <c r="R31" s="20" t="n">
        <v>0.55564384</v>
      </c>
    </row>
    <row r="32" spans="1:18">
      <c r="A32" s="15" t="s">
        <v>592</v>
      </c>
      <c r="B32" s="17" t="n">
        <v>2269</v>
      </c>
      <c r="C32" s="18">
        <f>(2032.0/B32*100)</f>
        <v/>
      </c>
      <c r="D32" s="19" t="n">
        <v>237</v>
      </c>
      <c r="E32" s="18" t="n">
        <v>41.86596888</v>
      </c>
      <c r="F32" s="20" t="n">
        <v>3.29925787</v>
      </c>
      <c r="G32" s="18" t="n">
        <v>57.70450469</v>
      </c>
      <c r="H32" s="20" t="n">
        <v>3.30722676</v>
      </c>
      <c r="I32" s="18" t="s">
        <v>567</v>
      </c>
      <c r="J32" s="20" t="s">
        <v>567</v>
      </c>
      <c r="K32" s="18" t="n">
        <v>0</v>
      </c>
      <c r="L32" s="20" t="n">
        <v>0</v>
      </c>
      <c r="M32" s="18" t="n">
        <v>0</v>
      </c>
      <c r="N32" s="20" t="n">
        <v>0</v>
      </c>
      <c r="O32" s="18" t="n">
        <v>0</v>
      </c>
      <c r="P32" s="20" t="n">
        <v>0</v>
      </c>
      <c r="Q32" s="18" t="n">
        <v>0.42952643</v>
      </c>
      <c r="R32" s="20" t="n">
        <v>0.38999734</v>
      </c>
    </row>
    <row r="33" spans="1:18">
      <c r="A33" s="15" t="s">
        <v>593</v>
      </c>
      <c r="B33" s="17" t="n">
        <v>3674</v>
      </c>
      <c r="C33" s="18">
        <f>(3296.0/B33*100)</f>
        <v/>
      </c>
      <c r="D33" s="19" t="n">
        <v>378</v>
      </c>
      <c r="E33" s="18" t="n">
        <v>40.14392956</v>
      </c>
      <c r="F33" s="20" t="n">
        <v>2.7060701</v>
      </c>
      <c r="G33" s="18" t="n">
        <v>58.62696911</v>
      </c>
      <c r="H33" s="20" t="n">
        <v>2.7897921</v>
      </c>
      <c r="I33" s="18" t="s">
        <v>567</v>
      </c>
      <c r="J33" s="20" t="s">
        <v>567</v>
      </c>
      <c r="K33" s="18" t="n">
        <v>0.42487611</v>
      </c>
      <c r="L33" s="20" t="n">
        <v>0.40231296</v>
      </c>
      <c r="M33" s="18" t="n">
        <v>0</v>
      </c>
      <c r="N33" s="20" t="n">
        <v>0</v>
      </c>
      <c r="O33" s="18" t="n">
        <v>0</v>
      </c>
      <c r="P33" s="20" t="n">
        <v>0</v>
      </c>
      <c r="Q33" s="18" t="n">
        <v>0.80422523</v>
      </c>
      <c r="R33" s="20" t="n">
        <v>0.42887462</v>
      </c>
    </row>
    <row r="34" spans="1:18">
      <c r="A34" s="15" t="s">
        <v>594</v>
      </c>
      <c r="B34" s="17" t="n">
        <v>3315</v>
      </c>
      <c r="C34" s="18">
        <f>(2956.0/B34*100)</f>
        <v/>
      </c>
      <c r="D34" s="19" t="n">
        <v>359</v>
      </c>
      <c r="E34" s="18" t="n">
        <v>47.97206824</v>
      </c>
      <c r="F34" s="20" t="n">
        <v>2.87166239</v>
      </c>
      <c r="G34" s="18" t="n">
        <v>51.29380089</v>
      </c>
      <c r="H34" s="20" t="n">
        <v>2.92829075</v>
      </c>
      <c r="I34" s="18" t="s">
        <v>567</v>
      </c>
      <c r="J34" s="20" t="s">
        <v>567</v>
      </c>
      <c r="K34" s="18" t="n">
        <v>0.52332607</v>
      </c>
      <c r="L34" s="20" t="n">
        <v>0.36463681</v>
      </c>
      <c r="M34" s="18" t="n">
        <v>0</v>
      </c>
      <c r="N34" s="20" t="n">
        <v>0</v>
      </c>
      <c r="O34" s="18" t="n">
        <v>0</v>
      </c>
      <c r="P34" s="20" t="n">
        <v>0</v>
      </c>
      <c r="Q34" s="18" t="n">
        <v>0.2108048</v>
      </c>
      <c r="R34" s="20" t="n">
        <v>0.21283225</v>
      </c>
    </row>
    <row r="35" spans="1:18">
      <c r="A35" s="15" t="s">
        <v>595</v>
      </c>
      <c r="B35" s="17" t="n">
        <v>3505</v>
      </c>
      <c r="C35" s="18">
        <f>(3120.0/B35*100)</f>
        <v/>
      </c>
      <c r="D35" s="19" t="n">
        <v>385</v>
      </c>
      <c r="E35" s="18" t="n">
        <v>32.64190361</v>
      </c>
      <c r="F35" s="20" t="n">
        <v>2.63450487</v>
      </c>
      <c r="G35" s="18" t="n">
        <v>67.2130781</v>
      </c>
      <c r="H35" s="20" t="n">
        <v>2.63811352</v>
      </c>
      <c r="I35" s="18" t="s">
        <v>567</v>
      </c>
      <c r="J35" s="20" t="s">
        <v>567</v>
      </c>
      <c r="K35" s="18" t="n">
        <v>0.14501829</v>
      </c>
      <c r="L35" s="20" t="n">
        <v>0.14580398</v>
      </c>
      <c r="M35" s="18" t="n">
        <v>0</v>
      </c>
      <c r="N35" s="20" t="n">
        <v>0</v>
      </c>
      <c r="O35" s="18" t="n">
        <v>0</v>
      </c>
      <c r="P35" s="20" t="n">
        <v>0</v>
      </c>
      <c r="Q35" s="18" t="n">
        <v>0</v>
      </c>
      <c r="R35" s="20" t="n">
        <v>0</v>
      </c>
    </row>
    <row r="36" spans="1:18">
      <c r="A36" s="15" t="s">
        <v>596</v>
      </c>
      <c r="B36" s="17" t="n">
        <v>3332</v>
      </c>
      <c r="C36" s="18">
        <f>(2975.0/B36*100)</f>
        <v/>
      </c>
      <c r="D36" s="19" t="n">
        <v>357</v>
      </c>
      <c r="E36" s="18" t="n">
        <v>49.27068937</v>
      </c>
      <c r="F36" s="20" t="n">
        <v>2.83895321</v>
      </c>
      <c r="G36" s="18" t="n">
        <v>49.08761249</v>
      </c>
      <c r="H36" s="20" t="n">
        <v>2.85751716</v>
      </c>
      <c r="I36" s="18" t="s">
        <v>567</v>
      </c>
      <c r="J36" s="20" t="s">
        <v>567</v>
      </c>
      <c r="K36" s="18" t="n">
        <v>1.16151835</v>
      </c>
      <c r="L36" s="20" t="n">
        <v>0.73733065</v>
      </c>
      <c r="M36" s="18" t="n">
        <v>0</v>
      </c>
      <c r="N36" s="20" t="n">
        <v>0</v>
      </c>
      <c r="O36" s="18" t="n">
        <v>0</v>
      </c>
      <c r="P36" s="20" t="n">
        <v>0</v>
      </c>
      <c r="Q36" s="18" t="n">
        <v>0.4801798</v>
      </c>
      <c r="R36" s="20" t="n">
        <v>0.23567117</v>
      </c>
    </row>
    <row r="37" spans="1:18">
      <c r="A37" s="15" t="s">
        <v>597</v>
      </c>
      <c r="B37" s="17" t="n">
        <v>2727</v>
      </c>
      <c r="C37" s="18">
        <f>(2426.0/B37*100)</f>
        <v/>
      </c>
      <c r="D37" s="19" t="n">
        <v>301</v>
      </c>
      <c r="E37" s="18" t="n">
        <v>45.64248984</v>
      </c>
      <c r="F37" s="20" t="n">
        <v>2.67368033</v>
      </c>
      <c r="G37" s="18" t="n">
        <v>52.71512286</v>
      </c>
      <c r="H37" s="20" t="n">
        <v>2.77555267</v>
      </c>
      <c r="I37" s="18" t="s">
        <v>567</v>
      </c>
      <c r="J37" s="20" t="s">
        <v>567</v>
      </c>
      <c r="K37" s="18" t="n">
        <v>1.33310806</v>
      </c>
      <c r="L37" s="20" t="n">
        <v>0.70273472</v>
      </c>
      <c r="M37" s="18" t="n">
        <v>0</v>
      </c>
      <c r="N37" s="20" t="n">
        <v>0</v>
      </c>
      <c r="O37" s="18" t="n">
        <v>0</v>
      </c>
      <c r="P37" s="20" t="n">
        <v>0</v>
      </c>
      <c r="Q37" s="18" t="n">
        <v>0.30927924</v>
      </c>
      <c r="R37" s="20" t="n">
        <v>0.31032324</v>
      </c>
    </row>
    <row r="38" spans="1:18">
      <c r="A38" s="15" t="s">
        <v>598</v>
      </c>
      <c r="B38" s="17" t="n">
        <v>3053</v>
      </c>
      <c r="C38" s="18">
        <f>(2721.0/B38*100)</f>
        <v/>
      </c>
      <c r="D38" s="19" t="n">
        <v>332</v>
      </c>
      <c r="E38" s="18" t="n">
        <v>44.66650302</v>
      </c>
      <c r="F38" s="20" t="n">
        <v>3.42618384</v>
      </c>
      <c r="G38" s="18" t="n">
        <v>55.02655379</v>
      </c>
      <c r="H38" s="20" t="n">
        <v>3.45663388</v>
      </c>
      <c r="I38" s="18" t="s">
        <v>567</v>
      </c>
      <c r="J38" s="20" t="s">
        <v>567</v>
      </c>
      <c r="K38" s="18" t="n">
        <v>0.3069432</v>
      </c>
      <c r="L38" s="20" t="n">
        <v>0.31347895</v>
      </c>
      <c r="M38" s="18" t="n">
        <v>0</v>
      </c>
      <c r="N38" s="20" t="n">
        <v>0</v>
      </c>
      <c r="O38" s="18" t="n">
        <v>0</v>
      </c>
      <c r="P38" s="20" t="n">
        <v>0</v>
      </c>
      <c r="Q38" s="18" t="n">
        <v>0</v>
      </c>
      <c r="R38" s="20" t="n">
        <v>0</v>
      </c>
    </row>
    <row r="39" spans="1:18">
      <c r="A39" s="15" t="s">
        <v>599</v>
      </c>
      <c r="B39" s="17" t="n">
        <v>2957</v>
      </c>
      <c r="C39" s="18">
        <f>(2618.0/B39*100)</f>
        <v/>
      </c>
      <c r="D39" s="19" t="n">
        <v>339</v>
      </c>
      <c r="E39" s="18" t="n">
        <v>76.10055432</v>
      </c>
      <c r="F39" s="20" t="n">
        <v>2.95049936</v>
      </c>
      <c r="G39" s="18" t="n">
        <v>22.94950618</v>
      </c>
      <c r="H39" s="20" t="n">
        <v>2.90944079</v>
      </c>
      <c r="I39" s="18" t="s">
        <v>567</v>
      </c>
      <c r="J39" s="20" t="s">
        <v>567</v>
      </c>
      <c r="K39" s="18" t="n">
        <v>0</v>
      </c>
      <c r="L39" s="20" t="n">
        <v>0</v>
      </c>
      <c r="M39" s="18" t="n">
        <v>0</v>
      </c>
      <c r="N39" s="20" t="n">
        <v>0</v>
      </c>
      <c r="O39" s="18" t="n">
        <v>0</v>
      </c>
      <c r="P39" s="20" t="n">
        <v>0</v>
      </c>
      <c r="Q39" s="18" t="n">
        <v>0.9499395</v>
      </c>
      <c r="R39" s="20" t="n">
        <v>0.44689912</v>
      </c>
    </row>
    <row r="40" spans="1:18">
      <c r="A40" s="15" t="s">
        <v>600</v>
      </c>
      <c r="B40" s="17" t="n">
        <v>7235</v>
      </c>
      <c r="C40" s="18">
        <f>(6427.0/B40*100)</f>
        <v/>
      </c>
      <c r="D40" s="19" t="n">
        <v>808</v>
      </c>
      <c r="E40" s="18" t="n">
        <v>42.86143717</v>
      </c>
      <c r="F40" s="20" t="n">
        <v>2.96145101</v>
      </c>
      <c r="G40" s="18" t="n">
        <v>56.26044646</v>
      </c>
      <c r="H40" s="20" t="n">
        <v>3.02686674</v>
      </c>
      <c r="I40" s="18" t="s">
        <v>567</v>
      </c>
      <c r="J40" s="20" t="s">
        <v>567</v>
      </c>
      <c r="K40" s="18" t="n">
        <v>0.38494275</v>
      </c>
      <c r="L40" s="20" t="n">
        <v>0.44482123</v>
      </c>
      <c r="M40" s="18" t="n">
        <v>0</v>
      </c>
      <c r="N40" s="20" t="n">
        <v>0</v>
      </c>
      <c r="O40" s="18" t="n">
        <v>0</v>
      </c>
      <c r="P40" s="20" t="n">
        <v>0</v>
      </c>
      <c r="Q40" s="18" t="n">
        <v>0.49317363</v>
      </c>
      <c r="R40" s="20" t="n">
        <v>0.32901783</v>
      </c>
    </row>
    <row r="41" spans="1:18">
      <c r="A41" s="15" t="s">
        <v>601</v>
      </c>
      <c r="B41" s="17" t="n">
        <v>2858</v>
      </c>
      <c r="C41" s="18">
        <f>(2562.0/B41*100)</f>
        <v/>
      </c>
      <c r="D41" s="19" t="n">
        <v>296</v>
      </c>
      <c r="E41" s="18" t="n">
        <v>50.07727519</v>
      </c>
      <c r="F41" s="20" t="n">
        <v>3.36000528</v>
      </c>
      <c r="G41" s="18" t="n">
        <v>48.79002044</v>
      </c>
      <c r="H41" s="20" t="n">
        <v>3.50760596</v>
      </c>
      <c r="I41" s="18" t="s">
        <v>567</v>
      </c>
      <c r="J41" s="20" t="s">
        <v>567</v>
      </c>
      <c r="K41" s="18" t="n">
        <v>0.43006611</v>
      </c>
      <c r="L41" s="20" t="n">
        <v>0.43936771</v>
      </c>
      <c r="M41" s="18" t="n">
        <v>0</v>
      </c>
      <c r="N41" s="20" t="n">
        <v>0</v>
      </c>
      <c r="O41" s="18" t="n">
        <v>0</v>
      </c>
      <c r="P41" s="20" t="n">
        <v>0</v>
      </c>
      <c r="Q41" s="18" t="n">
        <v>0.70263825</v>
      </c>
      <c r="R41" s="20" t="n">
        <v>0.46325633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(10004.0/B46*100)</f>
        <v/>
      </c>
      <c r="D46" s="19" t="n">
        <v>1064</v>
      </c>
      <c r="E46" s="18" t="n">
        <v>58.02222012</v>
      </c>
      <c r="F46" s="20" t="n">
        <v>1.85595489</v>
      </c>
      <c r="G46" s="18" t="n">
        <v>38.70624995</v>
      </c>
      <c r="H46" s="20" t="n">
        <v>1.97905206</v>
      </c>
      <c r="I46" s="18" t="s">
        <v>567</v>
      </c>
      <c r="J46" s="20" t="s">
        <v>567</v>
      </c>
      <c r="K46" s="18" t="n">
        <v>2.13877383</v>
      </c>
      <c r="L46" s="20" t="n">
        <v>0.53181028</v>
      </c>
      <c r="M46" s="18" t="n">
        <v>0</v>
      </c>
      <c r="N46" s="20" t="n">
        <v>0</v>
      </c>
      <c r="O46" s="18" t="n">
        <v>0</v>
      </c>
      <c r="P46" s="20" t="n">
        <v>0</v>
      </c>
      <c r="Q46" s="18" t="n">
        <v>1.1327561</v>
      </c>
      <c r="R46" s="20" t="n">
        <v>0.4626174</v>
      </c>
    </row>
    <row r="47" spans="1:18">
      <c r="A47" s="15" t="s">
        <v>607</v>
      </c>
      <c r="B47" s="17" t="n">
        <v>3105</v>
      </c>
      <c r="C47" s="18">
        <f>(2754.0/B47*100)</f>
        <v/>
      </c>
      <c r="D47" s="19" t="n">
        <v>351</v>
      </c>
      <c r="E47" s="18" t="n">
        <v>59.40257283</v>
      </c>
      <c r="F47" s="20" t="n">
        <v>3.14624886</v>
      </c>
      <c r="G47" s="18" t="n">
        <v>39.49727159</v>
      </c>
      <c r="H47" s="20" t="n">
        <v>3.0020131</v>
      </c>
      <c r="I47" s="18" t="s">
        <v>567</v>
      </c>
      <c r="J47" s="20" t="s">
        <v>567</v>
      </c>
      <c r="K47" s="18" t="n">
        <v>0.83390315</v>
      </c>
      <c r="L47" s="20" t="n">
        <v>0.46761246</v>
      </c>
      <c r="M47" s="18" t="n">
        <v>0</v>
      </c>
      <c r="N47" s="20" t="n">
        <v>0</v>
      </c>
      <c r="O47" s="18" t="n">
        <v>0</v>
      </c>
      <c r="P47" s="20" t="n">
        <v>0</v>
      </c>
      <c r="Q47" s="18" t="n">
        <v>0.26625243</v>
      </c>
      <c r="R47" s="20" t="n">
        <v>0.25738094</v>
      </c>
    </row>
    <row r="48" spans="1:18">
      <c r="A48" s="15" t="s">
        <v>608</v>
      </c>
      <c r="B48" s="17" t="n">
        <v>5159</v>
      </c>
      <c r="C48" s="18">
        <f>(4590.0/B48*100)</f>
        <v/>
      </c>
      <c r="D48" s="19" t="n">
        <v>569</v>
      </c>
      <c r="E48" s="18" t="n">
        <v>44.76051228</v>
      </c>
      <c r="F48" s="20" t="n">
        <v>2.71538988</v>
      </c>
      <c r="G48" s="18" t="n">
        <v>54.21203468</v>
      </c>
      <c r="H48" s="20" t="n">
        <v>2.63517776</v>
      </c>
      <c r="I48" s="18" t="s">
        <v>567</v>
      </c>
      <c r="J48" s="20" t="s">
        <v>567</v>
      </c>
      <c r="K48" s="18" t="n">
        <v>0.70988354</v>
      </c>
      <c r="L48" s="20" t="n">
        <v>0.50159943</v>
      </c>
      <c r="M48" s="18" t="n">
        <v>0</v>
      </c>
      <c r="N48" s="20" t="n">
        <v>0</v>
      </c>
      <c r="O48" s="18" t="n">
        <v>0</v>
      </c>
      <c r="P48" s="20" t="n">
        <v>0</v>
      </c>
      <c r="Q48" s="18" t="n">
        <v>0.31756951</v>
      </c>
      <c r="R48" s="20" t="n">
        <v>0.34547086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(5059.0/B50*100)</f>
        <v/>
      </c>
      <c r="D50" s="19" t="n">
        <v>578</v>
      </c>
      <c r="E50" s="18" t="n">
        <v>51.17959859</v>
      </c>
      <c r="F50" s="20" t="n">
        <v>2.69268839</v>
      </c>
      <c r="G50" s="18" t="n">
        <v>46.91891908</v>
      </c>
      <c r="H50" s="20" t="n">
        <v>2.8814588</v>
      </c>
      <c r="I50" s="18" t="s">
        <v>567</v>
      </c>
      <c r="J50" s="20" t="s">
        <v>567</v>
      </c>
      <c r="K50" s="18" t="n">
        <v>1.01252184</v>
      </c>
      <c r="L50" s="20" t="n">
        <v>0.74152079</v>
      </c>
      <c r="M50" s="18" t="n">
        <v>0</v>
      </c>
      <c r="N50" s="20" t="n">
        <v>0</v>
      </c>
      <c r="O50" s="18" t="n">
        <v>0</v>
      </c>
      <c r="P50" s="20" t="n">
        <v>0</v>
      </c>
      <c r="Q50" s="18" t="n">
        <v>0.8889604800000001</v>
      </c>
      <c r="R50" s="20" t="n">
        <v>0.46079535</v>
      </c>
    </row>
    <row r="51" spans="1:18">
      <c r="A51" s="15" t="s">
        <v>611</v>
      </c>
      <c r="B51" s="17" t="n">
        <v>3372</v>
      </c>
      <c r="C51" s="18">
        <f>(3051.0/B51*100)</f>
        <v/>
      </c>
      <c r="D51" s="19" t="n">
        <v>321</v>
      </c>
      <c r="E51" s="18" t="n">
        <v>59.92122336</v>
      </c>
      <c r="F51" s="20" t="n">
        <v>2.99894409</v>
      </c>
      <c r="G51" s="18" t="n">
        <v>39.88269533</v>
      </c>
      <c r="H51" s="20" t="n">
        <v>2.94731093</v>
      </c>
      <c r="I51" s="18" t="s">
        <v>567</v>
      </c>
      <c r="J51" s="20" t="s">
        <v>567</v>
      </c>
      <c r="K51" s="18" t="n">
        <v>0</v>
      </c>
      <c r="L51" s="20" t="n">
        <v>0</v>
      </c>
      <c r="M51" s="18" t="n">
        <v>0</v>
      </c>
      <c r="N51" s="20" t="n">
        <v>0</v>
      </c>
      <c r="O51" s="18" t="n">
        <v>0</v>
      </c>
      <c r="P51" s="20" t="n">
        <v>0</v>
      </c>
      <c r="Q51" s="18" t="n">
        <v>0.19608131</v>
      </c>
      <c r="R51" s="20" t="n">
        <v>0.21043247</v>
      </c>
    </row>
    <row r="52" spans="1:18">
      <c r="A52" s="15" t="s">
        <v>612</v>
      </c>
      <c r="B52" s="17" t="n">
        <v>2796</v>
      </c>
      <c r="C52" s="18">
        <f>(2494.0/B52*100)</f>
        <v/>
      </c>
      <c r="D52" s="19" t="n">
        <v>302</v>
      </c>
      <c r="E52" s="18" t="n">
        <v>45.25541962</v>
      </c>
      <c r="F52" s="20" t="n">
        <v>3.36289458</v>
      </c>
      <c r="G52" s="18" t="n">
        <v>54.17698469</v>
      </c>
      <c r="H52" s="20" t="n">
        <v>3.31478037</v>
      </c>
      <c r="I52" s="18" t="s">
        <v>567</v>
      </c>
      <c r="J52" s="20" t="s">
        <v>567</v>
      </c>
      <c r="K52" s="18" t="n">
        <v>0.25259574</v>
      </c>
      <c r="L52" s="20" t="n">
        <v>0.25585562</v>
      </c>
      <c r="M52" s="18" t="n">
        <v>0</v>
      </c>
      <c r="N52" s="20" t="n">
        <v>0</v>
      </c>
      <c r="O52" s="18" t="n">
        <v>0</v>
      </c>
      <c r="P52" s="20" t="n">
        <v>0</v>
      </c>
      <c r="Q52" s="18" t="n">
        <v>0.31499996</v>
      </c>
      <c r="R52" s="20" t="n">
        <v>0.31302472</v>
      </c>
    </row>
    <row r="53" spans="1:18">
      <c r="A53" s="15" t="s">
        <v>613</v>
      </c>
      <c r="B53" s="17" t="n">
        <v>2811</v>
      </c>
      <c r="C53" s="18">
        <f>(2517.0/B53*100)</f>
        <v/>
      </c>
      <c r="D53" s="19" t="n">
        <v>294</v>
      </c>
      <c r="E53" s="18" t="n">
        <v>52.54159436</v>
      </c>
      <c r="F53" s="20" t="n">
        <v>2.94223872</v>
      </c>
      <c r="G53" s="18" t="n">
        <v>46.23149936</v>
      </c>
      <c r="H53" s="20" t="n">
        <v>2.9766318</v>
      </c>
      <c r="I53" s="18" t="s">
        <v>567</v>
      </c>
      <c r="J53" s="20" t="s">
        <v>567</v>
      </c>
      <c r="K53" s="18" t="n">
        <v>0.58696152</v>
      </c>
      <c r="L53" s="20" t="n">
        <v>0.41965109</v>
      </c>
      <c r="M53" s="18" t="n">
        <v>0</v>
      </c>
      <c r="N53" s="20" t="n">
        <v>0</v>
      </c>
      <c r="O53" s="18" t="n">
        <v>0</v>
      </c>
      <c r="P53" s="20" t="n">
        <v>0</v>
      </c>
      <c r="Q53" s="18" t="n">
        <v>0.6399447700000001</v>
      </c>
      <c r="R53" s="20" t="n">
        <v>0.47103915</v>
      </c>
    </row>
    <row r="54" spans="1:18">
      <c r="A54" s="15" t="s">
        <v>614</v>
      </c>
      <c r="B54" s="17" t="n">
        <v>2266</v>
      </c>
      <c r="C54" s="18">
        <f>(2013.0/B54*100)</f>
        <v/>
      </c>
      <c r="D54" s="19" t="n">
        <v>253</v>
      </c>
      <c r="E54" s="18" t="n">
        <v>56.0906083</v>
      </c>
      <c r="F54" s="20" t="n">
        <v>3.65132409</v>
      </c>
      <c r="G54" s="18" t="n">
        <v>33.11201107</v>
      </c>
      <c r="H54" s="20" t="n">
        <v>3.26992969</v>
      </c>
      <c r="I54" s="18" t="s">
        <v>567</v>
      </c>
      <c r="J54" s="20" t="s">
        <v>567</v>
      </c>
      <c r="K54" s="18" t="n">
        <v>9.358858420000001</v>
      </c>
      <c r="L54" s="20" t="n">
        <v>2.1717696</v>
      </c>
      <c r="M54" s="18" t="n">
        <v>0</v>
      </c>
      <c r="N54" s="20" t="n">
        <v>0</v>
      </c>
      <c r="O54" s="18" t="n">
        <v>0</v>
      </c>
      <c r="P54" s="20" t="n">
        <v>0</v>
      </c>
      <c r="Q54" s="18" t="n">
        <v>1.43852221</v>
      </c>
      <c r="R54" s="20" t="n">
        <v>0.9006148</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(2389.0/B56*100)</f>
        <v/>
      </c>
      <c r="D56" s="19" t="n">
        <v>295</v>
      </c>
      <c r="E56" s="18" t="n">
        <v>39.74095981</v>
      </c>
      <c r="F56" s="20" t="n">
        <v>3.59702367</v>
      </c>
      <c r="G56" s="18" t="n">
        <v>58.94762427</v>
      </c>
      <c r="H56" s="20" t="n">
        <v>3.34587639</v>
      </c>
      <c r="I56" s="18" t="s">
        <v>567</v>
      </c>
      <c r="J56" s="20" t="s">
        <v>567</v>
      </c>
      <c r="K56" s="18" t="n">
        <v>1.0654498</v>
      </c>
      <c r="L56" s="20" t="n">
        <v>0.83310616</v>
      </c>
      <c r="M56" s="18" t="n">
        <v>0</v>
      </c>
      <c r="N56" s="20" t="n">
        <v>0</v>
      </c>
      <c r="O56" s="18" t="n">
        <v>0</v>
      </c>
      <c r="P56" s="20" t="n">
        <v>0</v>
      </c>
      <c r="Q56" s="18" t="n">
        <v>0.24596613</v>
      </c>
      <c r="R56" s="20" t="n">
        <v>0.26017923</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(2976.0/B61*100)</f>
        <v/>
      </c>
      <c r="D61" s="19" t="n">
        <v>348</v>
      </c>
      <c r="E61" s="18" t="n">
        <v>51.53678163</v>
      </c>
      <c r="F61" s="20" t="n">
        <v>3.2721557</v>
      </c>
      <c r="G61" s="18" t="n">
        <v>48.40220895</v>
      </c>
      <c r="H61" s="20" t="n">
        <v>3.27284879</v>
      </c>
      <c r="I61" s="18" t="s">
        <v>567</v>
      </c>
      <c r="J61" s="20" t="s">
        <v>567</v>
      </c>
      <c r="K61" s="18" t="n">
        <v>0</v>
      </c>
      <c r="L61" s="20" t="n">
        <v>0</v>
      </c>
      <c r="M61" s="18" t="n">
        <v>0</v>
      </c>
      <c r="N61" s="20" t="n">
        <v>0</v>
      </c>
      <c r="O61" s="18" t="n">
        <v>0</v>
      </c>
      <c r="P61" s="20" t="n">
        <v>0</v>
      </c>
      <c r="Q61" s="18" t="n">
        <v>0.06100942</v>
      </c>
      <c r="R61" s="20" t="n">
        <v>0.0611132</v>
      </c>
    </row>
    <row r="62" spans="1:18">
      <c r="A62" s="15" t="s">
        <v>622</v>
      </c>
      <c r="B62" s="17" t="n">
        <v>2246</v>
      </c>
      <c r="C62" s="18">
        <f>(1986.0/B62*100)</f>
        <v/>
      </c>
      <c r="D62" s="19" t="n">
        <v>260</v>
      </c>
      <c r="E62" s="18" t="n">
        <v>39.26735094</v>
      </c>
      <c r="F62" s="20" t="n">
        <v>3.27366979</v>
      </c>
      <c r="G62" s="18" t="n">
        <v>60.73264906</v>
      </c>
      <c r="H62" s="20" t="n">
        <v>3.27366979</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(2576.0/B66*100)</f>
        <v/>
      </c>
      <c r="D66" s="19" t="n">
        <v>318</v>
      </c>
      <c r="E66" s="18" t="n">
        <v>55.85495533</v>
      </c>
      <c r="F66" s="20" t="n">
        <v>3.09645643</v>
      </c>
      <c r="G66" s="18" t="n">
        <v>40.83996891</v>
      </c>
      <c r="H66" s="20" t="n">
        <v>2.83159097</v>
      </c>
      <c r="I66" s="18" t="s">
        <v>567</v>
      </c>
      <c r="J66" s="20" t="s">
        <v>567</v>
      </c>
      <c r="K66" s="18" t="n">
        <v>1.58368067</v>
      </c>
      <c r="L66" s="20" t="n">
        <v>0.71230152</v>
      </c>
      <c r="M66" s="18" t="n">
        <v>0</v>
      </c>
      <c r="N66" s="20" t="n">
        <v>0</v>
      </c>
      <c r="O66" s="18" t="n">
        <v>0</v>
      </c>
      <c r="P66" s="20" t="n">
        <v>0</v>
      </c>
      <c r="Q66" s="18" t="n">
        <v>1.7213951</v>
      </c>
      <c r="R66" s="20" t="n">
        <v>0.6961914300000001</v>
      </c>
    </row>
    <row r="67" spans="1:18">
      <c r="A67" s="15" t="s">
        <v>627</v>
      </c>
      <c r="B67" s="17" t="n">
        <v>3511</v>
      </c>
      <c r="C67" s="18">
        <f>(3174.0/B67*100)</f>
        <v/>
      </c>
      <c r="D67" s="19" t="n">
        <v>337</v>
      </c>
      <c r="E67" s="18" t="n">
        <v>55.39588502</v>
      </c>
      <c r="F67" s="20" t="n">
        <v>2.49705086</v>
      </c>
      <c r="G67" s="18" t="n">
        <v>43.53812707</v>
      </c>
      <c r="H67" s="20" t="n">
        <v>2.61501559</v>
      </c>
      <c r="I67" s="18" t="s">
        <v>567</v>
      </c>
      <c r="J67" s="20" t="s">
        <v>567</v>
      </c>
      <c r="K67" s="18" t="n">
        <v>0</v>
      </c>
      <c r="L67" s="20" t="n">
        <v>0</v>
      </c>
      <c r="M67" s="18" t="n">
        <v>0</v>
      </c>
      <c r="N67" s="20" t="n">
        <v>0</v>
      </c>
      <c r="O67" s="18" t="n">
        <v>0</v>
      </c>
      <c r="P67" s="20" t="n">
        <v>0</v>
      </c>
      <c r="Q67" s="18" t="n">
        <v>1.06598791</v>
      </c>
      <c r="R67" s="20" t="n">
        <v>0.81901324</v>
      </c>
    </row>
    <row r="68" spans="1:18">
      <c r="A68" s="15" t="s">
        <v>628</v>
      </c>
      <c r="B68" s="17" t="n">
        <v>6049</v>
      </c>
      <c r="C68" s="18">
        <f>(5348.0/B68*100)</f>
        <v/>
      </c>
      <c r="D68" s="19" t="n">
        <v>701</v>
      </c>
      <c r="E68" s="18" t="n">
        <v>57.76368589</v>
      </c>
      <c r="F68" s="20" t="n">
        <v>1.81695915</v>
      </c>
      <c r="G68" s="18" t="n">
        <v>39.21549424</v>
      </c>
      <c r="H68" s="20" t="n">
        <v>1.68332296</v>
      </c>
      <c r="I68" s="18" t="s">
        <v>567</v>
      </c>
      <c r="J68" s="20" t="s">
        <v>567</v>
      </c>
      <c r="K68" s="18" t="n">
        <v>2.46053334</v>
      </c>
      <c r="L68" s="20" t="n">
        <v>0.62339941</v>
      </c>
      <c r="M68" s="18" t="n">
        <v>0</v>
      </c>
      <c r="N68" s="20" t="n">
        <v>0</v>
      </c>
      <c r="O68" s="18" t="n">
        <v>0</v>
      </c>
      <c r="P68" s="20" t="n">
        <v>0</v>
      </c>
      <c r="Q68" s="18" t="n">
        <v>0.56028654</v>
      </c>
      <c r="R68" s="20" t="n">
        <v>0.28060151</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(2620.0/B70*100)</f>
        <v/>
      </c>
      <c r="D70" s="19" t="n">
        <v>309</v>
      </c>
      <c r="E70" s="18" t="n">
        <v>58.28644112</v>
      </c>
      <c r="F70" s="20" t="n">
        <v>2.88396554</v>
      </c>
      <c r="G70" s="18" t="n">
        <v>41.49329472</v>
      </c>
      <c r="H70" s="20" t="n">
        <v>2.86861695</v>
      </c>
      <c r="I70" s="18" t="s">
        <v>567</v>
      </c>
      <c r="J70" s="20" t="s">
        <v>567</v>
      </c>
      <c r="K70" s="18" t="n">
        <v>0.22026415</v>
      </c>
      <c r="L70" s="20" t="n">
        <v>0.22029265</v>
      </c>
      <c r="M70" s="18" t="n">
        <v>0</v>
      </c>
      <c r="N70" s="20" t="n">
        <v>0</v>
      </c>
      <c r="O70" s="18" t="n">
        <v>0</v>
      </c>
      <c r="P70" s="20" t="n">
        <v>0</v>
      </c>
      <c r="Q70" s="18" t="n">
        <v>0</v>
      </c>
      <c r="R70" s="20" t="n">
        <v>0</v>
      </c>
    </row>
    <row r="71" spans="1:18">
      <c r="A71" s="15" t="s">
        <v>631</v>
      </c>
      <c r="B71" s="17" t="n">
        <v>3142</v>
      </c>
      <c r="C71" s="18">
        <f>(2826.0/B71*100)</f>
        <v/>
      </c>
      <c r="D71" s="19" t="n">
        <v>316</v>
      </c>
      <c r="E71" s="18" t="n">
        <v>38.09583492</v>
      </c>
      <c r="F71" s="20" t="n">
        <v>2.81672</v>
      </c>
      <c r="G71" s="18" t="n">
        <v>61.43227302</v>
      </c>
      <c r="H71" s="20" t="n">
        <v>2.86466507</v>
      </c>
      <c r="I71" s="18" t="s">
        <v>567</v>
      </c>
      <c r="J71" s="20" t="s">
        <v>567</v>
      </c>
      <c r="K71" s="18" t="n">
        <v>0.47189206</v>
      </c>
      <c r="L71" s="20" t="n">
        <v>0.34259444</v>
      </c>
      <c r="M71" s="18" t="n">
        <v>0</v>
      </c>
      <c r="N71" s="20" t="n">
        <v>0</v>
      </c>
      <c r="O71" s="18" t="n">
        <v>0</v>
      </c>
      <c r="P71" s="20" t="n">
        <v>0</v>
      </c>
      <c r="Q71" s="18" t="n">
        <v>0</v>
      </c>
      <c r="R71" s="20" t="n">
        <v>0</v>
      </c>
    </row>
    <row r="72" spans="1:18">
      <c r="A72" s="15" t="s">
        <v>632</v>
      </c>
      <c r="B72" s="17" t="n">
        <v>3889</v>
      </c>
      <c r="C72" s="18">
        <f>(3460.0/B72*100)</f>
        <v/>
      </c>
      <c r="D72" s="19" t="n">
        <v>429</v>
      </c>
      <c r="E72" s="18" t="n">
        <v>36.05127134</v>
      </c>
      <c r="F72" s="20" t="n">
        <v>2.72022805</v>
      </c>
      <c r="G72" s="18" t="n">
        <v>63.7905575</v>
      </c>
      <c r="H72" s="20" t="n">
        <v>2.73200064</v>
      </c>
      <c r="I72" s="18" t="s">
        <v>567</v>
      </c>
      <c r="J72" s="20" t="s">
        <v>567</v>
      </c>
      <c r="K72" s="18" t="n">
        <v>0.15817116</v>
      </c>
      <c r="L72" s="20" t="n">
        <v>0.16255288</v>
      </c>
      <c r="M72" s="18" t="n">
        <v>0</v>
      </c>
      <c r="N72" s="20" t="n">
        <v>0</v>
      </c>
      <c r="O72" s="18" t="n">
        <v>0</v>
      </c>
      <c r="P72" s="20" t="n">
        <v>0</v>
      </c>
      <c r="Q72" s="18" t="n">
        <v>0</v>
      </c>
      <c r="R72" s="20" t="n">
        <v>0</v>
      </c>
    </row>
    <row r="73" spans="1:18">
      <c r="A73" s="15" t="s">
        <v>633</v>
      </c>
      <c r="B73" s="17" t="n">
        <v>3597</v>
      </c>
      <c r="C73" s="18">
        <f>(3194.0/B73*100)</f>
        <v/>
      </c>
      <c r="D73" s="19" t="n">
        <v>403</v>
      </c>
      <c r="E73" s="18" t="n">
        <v>55.3943819</v>
      </c>
      <c r="F73" s="20" t="n">
        <v>2.75752923</v>
      </c>
      <c r="G73" s="18" t="n">
        <v>44.05936727</v>
      </c>
      <c r="H73" s="20" t="n">
        <v>2.72507747</v>
      </c>
      <c r="I73" s="18" t="s">
        <v>567</v>
      </c>
      <c r="J73" s="20" t="s">
        <v>567</v>
      </c>
      <c r="K73" s="18" t="n">
        <v>0.52590487</v>
      </c>
      <c r="L73" s="20" t="n">
        <v>0.38977506</v>
      </c>
      <c r="M73" s="18" t="n">
        <v>0</v>
      </c>
      <c r="N73" s="20" t="n">
        <v>0</v>
      </c>
      <c r="O73" s="18" t="n">
        <v>0</v>
      </c>
      <c r="P73" s="20" t="n">
        <v>0</v>
      </c>
      <c r="Q73" s="18" t="n">
        <v>0.02034596</v>
      </c>
      <c r="R73" s="20" t="n">
        <v>0.02053608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(2151.0/B75*100)</f>
        <v/>
      </c>
      <c r="D75" s="19" t="n">
        <v>255</v>
      </c>
      <c r="E75" s="18" t="n">
        <v>65.72366</v>
      </c>
      <c r="F75" s="20" t="n">
        <v>2.95901492</v>
      </c>
      <c r="G75" s="18" t="n">
        <v>30.07641966</v>
      </c>
      <c r="H75" s="20" t="n">
        <v>2.68631313</v>
      </c>
      <c r="I75" s="18" t="s">
        <v>567</v>
      </c>
      <c r="J75" s="20" t="s">
        <v>567</v>
      </c>
      <c r="K75" s="18" t="n">
        <v>4.19992034</v>
      </c>
      <c r="L75" s="20" t="n">
        <v>1.4138037</v>
      </c>
      <c r="M75" s="18" t="n">
        <v>0</v>
      </c>
      <c r="N75" s="20" t="n">
        <v>0</v>
      </c>
      <c r="O75" s="18" t="n">
        <v>0</v>
      </c>
      <c r="P75" s="20" t="n">
        <v>0</v>
      </c>
      <c r="Q75" s="18" t="n">
        <v>0</v>
      </c>
      <c r="R75" s="20" t="n">
        <v>0</v>
      </c>
    </row>
    <row r="76" spans="1:18">
      <c r="A76" s="15" t="s">
        <v>636</v>
      </c>
      <c r="B76" s="17" t="n">
        <v>7052</v>
      </c>
      <c r="C76" s="18">
        <f>(6270.0/B76*100)</f>
        <v/>
      </c>
      <c r="D76" s="19" t="n">
        <v>782</v>
      </c>
      <c r="E76" s="18" t="n">
        <v>51.64896842</v>
      </c>
      <c r="F76" s="20" t="n">
        <v>2.28146028</v>
      </c>
      <c r="G76" s="18" t="n">
        <v>46.98486348</v>
      </c>
      <c r="H76" s="20" t="n">
        <v>2.26964025</v>
      </c>
      <c r="I76" s="18" t="s">
        <v>567</v>
      </c>
      <c r="J76" s="20" t="s">
        <v>567</v>
      </c>
      <c r="K76" s="18" t="n">
        <v>0.81593058</v>
      </c>
      <c r="L76" s="20" t="n">
        <v>0.34576705</v>
      </c>
      <c r="M76" s="18" t="n">
        <v>0</v>
      </c>
      <c r="N76" s="20" t="n">
        <v>0</v>
      </c>
      <c r="O76" s="18" t="n">
        <v>0</v>
      </c>
      <c r="P76" s="20" t="n">
        <v>0</v>
      </c>
      <c r="Q76" s="18" t="n">
        <v>0.55023752</v>
      </c>
      <c r="R76" s="20" t="n">
        <v>0.25311502</v>
      </c>
    </row>
    <row r="77" spans="1:18">
      <c r="A77" s="15" t="s">
        <v>637</v>
      </c>
      <c r="B77" s="17" t="n">
        <v>2908</v>
      </c>
      <c r="C77" s="18">
        <f>(2594.0/B77*100)</f>
        <v/>
      </c>
      <c r="D77" s="19" t="n">
        <v>314</v>
      </c>
      <c r="E77" s="18" t="n">
        <v>51.91159564</v>
      </c>
      <c r="F77" s="20" t="n">
        <v>3.63896107</v>
      </c>
      <c r="G77" s="18" t="n">
        <v>45.39446195</v>
      </c>
      <c r="H77" s="20" t="n">
        <v>3.62285326</v>
      </c>
      <c r="I77" s="18" t="s">
        <v>567</v>
      </c>
      <c r="J77" s="20" t="s">
        <v>567</v>
      </c>
      <c r="K77" s="18" t="n">
        <v>1.17314926</v>
      </c>
      <c r="L77" s="20" t="n">
        <v>0.58665842</v>
      </c>
      <c r="M77" s="18" t="n">
        <v>0</v>
      </c>
      <c r="N77" s="20" t="n">
        <v>0</v>
      </c>
      <c r="O77" s="18" t="n">
        <v>0</v>
      </c>
      <c r="P77" s="20" t="n">
        <v>0</v>
      </c>
      <c r="Q77" s="18" t="n">
        <v>1.52079315</v>
      </c>
      <c r="R77" s="20" t="n">
        <v>0.58915667</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(3716.0/B81*100)</f>
        <v/>
      </c>
      <c r="D81" s="19" t="n">
        <v>447</v>
      </c>
      <c r="E81" s="18" t="n">
        <v>53.00689574</v>
      </c>
      <c r="F81" s="20" t="n">
        <v>3.0387767</v>
      </c>
      <c r="G81" s="18" t="n">
        <v>46.99310426</v>
      </c>
      <c r="H81" s="20" t="n">
        <v>3.0387767</v>
      </c>
      <c r="I81" s="18" t="s">
        <v>567</v>
      </c>
      <c r="J81" s="20" t="s">
        <v>567</v>
      </c>
      <c r="K81" s="18" t="n">
        <v>0</v>
      </c>
      <c r="L81" s="20" t="n">
        <v>0</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(6553.0/B7*100)</f>
        <v/>
      </c>
      <c r="D7" s="19" t="n">
        <v>814</v>
      </c>
      <c r="E7" s="18" t="n">
        <v>42.52123977</v>
      </c>
      <c r="F7" s="20" t="n">
        <v>2.19620933</v>
      </c>
      <c r="G7" s="18" t="n">
        <v>57.06311337</v>
      </c>
      <c r="H7" s="20" t="n">
        <v>2.15043513</v>
      </c>
      <c r="I7" s="18" t="s">
        <v>567</v>
      </c>
      <c r="J7" s="20" t="s">
        <v>567</v>
      </c>
      <c r="K7" s="18" t="n">
        <v>0.41564686</v>
      </c>
      <c r="L7" s="20" t="n">
        <v>0.23767968</v>
      </c>
      <c r="M7" s="18" t="n">
        <v>0</v>
      </c>
      <c r="N7" s="20" t="n">
        <v>0</v>
      </c>
      <c r="O7" s="18" t="n">
        <v>0</v>
      </c>
      <c r="P7" s="20" t="n">
        <v>0</v>
      </c>
      <c r="Q7" s="18" t="n">
        <v>0</v>
      </c>
      <c r="R7" s="20" t="n">
        <v>0</v>
      </c>
    </row>
    <row r="8" spans="1:18">
      <c r="A8" s="15" t="s">
        <v>568</v>
      </c>
      <c r="B8" s="17" t="n">
        <v>3564</v>
      </c>
      <c r="C8" s="18">
        <f>(3190.0/B8*100)</f>
        <v/>
      </c>
      <c r="D8" s="19" t="n">
        <v>374</v>
      </c>
      <c r="E8" s="18" t="n">
        <v>49.52873996</v>
      </c>
      <c r="F8" s="20" t="n">
        <v>3.11764807</v>
      </c>
      <c r="G8" s="18" t="n">
        <v>49.84807774</v>
      </c>
      <c r="H8" s="20" t="n">
        <v>3.10945814</v>
      </c>
      <c r="I8" s="18" t="s">
        <v>567</v>
      </c>
      <c r="J8" s="20" t="s">
        <v>567</v>
      </c>
      <c r="K8" s="18" t="n">
        <v>0.62318231</v>
      </c>
      <c r="L8" s="20" t="n">
        <v>0.59416749</v>
      </c>
      <c r="M8" s="18" t="n">
        <v>0</v>
      </c>
      <c r="N8" s="20" t="n">
        <v>0</v>
      </c>
      <c r="O8" s="18" t="n">
        <v>0</v>
      </c>
      <c r="P8" s="20" t="n">
        <v>0</v>
      </c>
      <c r="Q8" s="18" t="n">
        <v>0</v>
      </c>
      <c r="R8" s="20" t="n">
        <v>0</v>
      </c>
    </row>
    <row r="9" spans="1:18">
      <c r="A9" s="15" t="s">
        <v>569</v>
      </c>
      <c r="B9" s="17" t="n">
        <v>4899</v>
      </c>
      <c r="C9" s="18">
        <f>(4384.0/B9*100)</f>
        <v/>
      </c>
      <c r="D9" s="19" t="n">
        <v>515</v>
      </c>
      <c r="E9" s="18" t="n">
        <v>44.20799764</v>
      </c>
      <c r="F9" s="20" t="n">
        <v>2.43680385</v>
      </c>
      <c r="G9" s="18" t="n">
        <v>54.93498576</v>
      </c>
      <c r="H9" s="20" t="n">
        <v>2.43717697</v>
      </c>
      <c r="I9" s="18" t="s">
        <v>567</v>
      </c>
      <c r="J9" s="20" t="s">
        <v>567</v>
      </c>
      <c r="K9" s="18" t="n">
        <v>0.8570166</v>
      </c>
      <c r="L9" s="20" t="n">
        <v>0.28833863</v>
      </c>
      <c r="M9" s="18" t="n">
        <v>0</v>
      </c>
      <c r="N9" s="20" t="n">
        <v>0</v>
      </c>
      <c r="O9" s="18" t="n">
        <v>0</v>
      </c>
      <c r="P9" s="20" t="n">
        <v>0</v>
      </c>
      <c r="Q9" s="18" t="n">
        <v>0</v>
      </c>
      <c r="R9" s="20" t="n">
        <v>0</v>
      </c>
    </row>
    <row r="10" spans="1:18">
      <c r="A10" s="15" t="s">
        <v>570</v>
      </c>
      <c r="B10" s="17" t="n">
        <v>10036</v>
      </c>
      <c r="C10" s="18">
        <f>(8967.0/B10*100)</f>
        <v/>
      </c>
      <c r="D10" s="19" t="n">
        <v>1069</v>
      </c>
      <c r="E10" s="18" t="n">
        <v>42.26171598</v>
      </c>
      <c r="F10" s="20" t="n">
        <v>2.11978832</v>
      </c>
      <c r="G10" s="18" t="n">
        <v>57.52080147</v>
      </c>
      <c r="H10" s="20" t="n">
        <v>2.1174932</v>
      </c>
      <c r="I10" s="18" t="s">
        <v>567</v>
      </c>
      <c r="J10" s="20" t="s">
        <v>567</v>
      </c>
      <c r="K10" s="18" t="n">
        <v>0.21748254</v>
      </c>
      <c r="L10" s="20" t="n">
        <v>0.17009269</v>
      </c>
      <c r="M10" s="18" t="n">
        <v>0</v>
      </c>
      <c r="N10" s="20" t="n">
        <v>0</v>
      </c>
      <c r="O10" s="18" t="n">
        <v>0</v>
      </c>
      <c r="P10" s="20" t="n">
        <v>0</v>
      </c>
      <c r="Q10" s="18" t="n">
        <v>0</v>
      </c>
      <c r="R10" s="20" t="n">
        <v>0</v>
      </c>
    </row>
    <row r="11" spans="1:18">
      <c r="A11" s="15" t="s">
        <v>571</v>
      </c>
      <c r="B11" s="17" t="n">
        <v>3553</v>
      </c>
      <c r="C11" s="18">
        <f>(3143.0/B11*100)</f>
        <v/>
      </c>
      <c r="D11" s="19" t="n">
        <v>410</v>
      </c>
      <c r="E11" s="18" t="n">
        <v>47.65259992</v>
      </c>
      <c r="F11" s="20" t="n">
        <v>3.24257442</v>
      </c>
      <c r="G11" s="18" t="n">
        <v>50.59399117</v>
      </c>
      <c r="H11" s="20" t="n">
        <v>3.28257456</v>
      </c>
      <c r="I11" s="18" t="s">
        <v>567</v>
      </c>
      <c r="J11" s="20" t="s">
        <v>567</v>
      </c>
      <c r="K11" s="18" t="n">
        <v>1.75340892</v>
      </c>
      <c r="L11" s="20" t="n">
        <v>0.71960951</v>
      </c>
      <c r="M11" s="18" t="n">
        <v>0</v>
      </c>
      <c r="N11" s="20" t="n">
        <v>0</v>
      </c>
      <c r="O11" s="18" t="n">
        <v>0</v>
      </c>
      <c r="P11" s="20" t="n">
        <v>0</v>
      </c>
      <c r="Q11" s="18" t="n">
        <v>0</v>
      </c>
      <c r="R11" s="20" t="n">
        <v>0</v>
      </c>
    </row>
    <row r="12" spans="1:18">
      <c r="A12" s="15" t="s">
        <v>572</v>
      </c>
      <c r="B12" s="17" t="n">
        <v>3472</v>
      </c>
      <c r="C12" s="18">
        <f>(3061.0/B12*100)</f>
        <v/>
      </c>
      <c r="D12" s="19" t="n">
        <v>411</v>
      </c>
      <c r="E12" s="18" t="n">
        <v>40.84923938</v>
      </c>
      <c r="F12" s="20" t="n">
        <v>2.83655942</v>
      </c>
      <c r="G12" s="18" t="n">
        <v>58.60867947</v>
      </c>
      <c r="H12" s="20" t="n">
        <v>2.83562446</v>
      </c>
      <c r="I12" s="18" t="s">
        <v>567</v>
      </c>
      <c r="J12" s="20" t="s">
        <v>567</v>
      </c>
      <c r="K12" s="18" t="n">
        <v>0.54208115</v>
      </c>
      <c r="L12" s="20" t="n">
        <v>0.31848476</v>
      </c>
      <c r="M12" s="18" t="n">
        <v>0</v>
      </c>
      <c r="N12" s="20" t="n">
        <v>0</v>
      </c>
      <c r="O12" s="18" t="n">
        <v>0</v>
      </c>
      <c r="P12" s="20" t="n">
        <v>0</v>
      </c>
      <c r="Q12" s="18" t="n">
        <v>0</v>
      </c>
      <c r="R12" s="20" t="n">
        <v>0</v>
      </c>
    </row>
    <row r="13" spans="1:18">
      <c r="A13" s="15" t="s">
        <v>573</v>
      </c>
      <c r="B13" s="17" t="n">
        <v>3559</v>
      </c>
      <c r="C13" s="18">
        <f>(3175.0/B13*100)</f>
        <v/>
      </c>
      <c r="D13" s="19" t="n">
        <v>384</v>
      </c>
      <c r="E13" s="18" t="n">
        <v>42.66467366</v>
      </c>
      <c r="F13" s="20" t="n">
        <v>3.79275365</v>
      </c>
      <c r="G13" s="18" t="n">
        <v>56.50764173</v>
      </c>
      <c r="H13" s="20" t="n">
        <v>3.79504765</v>
      </c>
      <c r="I13" s="18" t="s">
        <v>567</v>
      </c>
      <c r="J13" s="20" t="s">
        <v>567</v>
      </c>
      <c r="K13" s="18" t="n">
        <v>0.82768461</v>
      </c>
      <c r="L13" s="20" t="n">
        <v>0.37791324</v>
      </c>
      <c r="M13" s="18" t="n">
        <v>0</v>
      </c>
      <c r="N13" s="20" t="n">
        <v>0</v>
      </c>
      <c r="O13" s="18" t="n">
        <v>0</v>
      </c>
      <c r="P13" s="20" t="n">
        <v>0</v>
      </c>
      <c r="Q13" s="18" t="n">
        <v>0</v>
      </c>
      <c r="R13" s="20" t="n">
        <v>0</v>
      </c>
    </row>
    <row r="14" spans="1:18">
      <c r="A14" s="15" t="s">
        <v>574</v>
      </c>
      <c r="B14" s="17" t="n">
        <v>2799</v>
      </c>
      <c r="C14" s="18">
        <f>(2488.0/B14*100)</f>
        <v/>
      </c>
      <c r="D14" s="19" t="n">
        <v>311</v>
      </c>
      <c r="E14" s="18" t="n">
        <v>34.72376339</v>
      </c>
      <c r="F14" s="20" t="n">
        <v>2.72117379</v>
      </c>
      <c r="G14" s="18" t="n">
        <v>65.27623661</v>
      </c>
      <c r="H14" s="20" t="n">
        <v>2.72117379</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(2670.0/B15*100)</f>
        <v/>
      </c>
      <c r="D15" s="19" t="n">
        <v>349</v>
      </c>
      <c r="E15" s="18" t="n">
        <v>31.59024128</v>
      </c>
      <c r="F15" s="20" t="n">
        <v>2.32829753</v>
      </c>
      <c r="G15" s="18" t="n">
        <v>67.67209966999999</v>
      </c>
      <c r="H15" s="20" t="n">
        <v>2.36117156</v>
      </c>
      <c r="I15" s="18" t="s">
        <v>567</v>
      </c>
      <c r="J15" s="20" t="s">
        <v>567</v>
      </c>
      <c r="K15" s="18" t="n">
        <v>0.73765905</v>
      </c>
      <c r="L15" s="20" t="n">
        <v>0.42710698</v>
      </c>
      <c r="M15" s="18" t="n">
        <v>0</v>
      </c>
      <c r="N15" s="20" t="n">
        <v>0</v>
      </c>
      <c r="O15" s="18" t="n">
        <v>0</v>
      </c>
      <c r="P15" s="20" t="n">
        <v>0</v>
      </c>
      <c r="Q15" s="18" t="n">
        <v>0</v>
      </c>
      <c r="R15" s="20" t="n">
        <v>0</v>
      </c>
    </row>
    <row r="16" spans="1:18">
      <c r="A16" s="15" t="s">
        <v>576</v>
      </c>
      <c r="B16" s="17" t="n">
        <v>2997</v>
      </c>
      <c r="C16" s="18">
        <f>(2667.0/B16*100)</f>
        <v/>
      </c>
      <c r="D16" s="19" t="n">
        <v>330</v>
      </c>
      <c r="E16" s="18" t="n">
        <v>33.1420925</v>
      </c>
      <c r="F16" s="20" t="n">
        <v>2.89138959</v>
      </c>
      <c r="G16" s="18" t="n">
        <v>65.26194390000001</v>
      </c>
      <c r="H16" s="20" t="n">
        <v>2.83302136</v>
      </c>
      <c r="I16" s="18" t="s">
        <v>567</v>
      </c>
      <c r="J16" s="20" t="s">
        <v>567</v>
      </c>
      <c r="K16" s="18" t="n">
        <v>1.59596359</v>
      </c>
      <c r="L16" s="20" t="n">
        <v>0.75836306</v>
      </c>
      <c r="M16" s="18" t="n">
        <v>0</v>
      </c>
      <c r="N16" s="20" t="n">
        <v>0</v>
      </c>
      <c r="O16" s="18" t="n">
        <v>0</v>
      </c>
      <c r="P16" s="20" t="n">
        <v>0</v>
      </c>
      <c r="Q16" s="18" t="n">
        <v>0</v>
      </c>
      <c r="R16" s="20" t="n">
        <v>0</v>
      </c>
    </row>
    <row r="17" spans="1:18">
      <c r="A17" s="15" t="s">
        <v>577</v>
      </c>
      <c r="B17" s="17" t="n">
        <v>3307</v>
      </c>
      <c r="C17" s="18">
        <f>(2927.0/B17*100)</f>
        <v/>
      </c>
      <c r="D17" s="19" t="n">
        <v>380</v>
      </c>
      <c r="E17" s="18" t="n">
        <v>43.8897216</v>
      </c>
      <c r="F17" s="20" t="n">
        <v>2.5856453</v>
      </c>
      <c r="G17" s="18" t="n">
        <v>53.53400781</v>
      </c>
      <c r="H17" s="20" t="n">
        <v>2.72113188</v>
      </c>
      <c r="I17" s="18" t="s">
        <v>567</v>
      </c>
      <c r="J17" s="20" t="s">
        <v>567</v>
      </c>
      <c r="K17" s="18" t="n">
        <v>2.57627058</v>
      </c>
      <c r="L17" s="20" t="n">
        <v>0.9757359</v>
      </c>
      <c r="M17" s="18" t="n">
        <v>0</v>
      </c>
      <c r="N17" s="20" t="n">
        <v>0</v>
      </c>
      <c r="O17" s="18" t="n">
        <v>0</v>
      </c>
      <c r="P17" s="20" t="n">
        <v>0</v>
      </c>
      <c r="Q17" s="18" t="n">
        <v>0</v>
      </c>
      <c r="R17" s="20" t="n">
        <v>0</v>
      </c>
    </row>
    <row r="18" spans="1:18">
      <c r="A18" s="15" t="s">
        <v>578</v>
      </c>
      <c r="B18" s="17" t="n">
        <v>2826</v>
      </c>
      <c r="C18" s="18">
        <f>(2503.0/B18*100)</f>
        <v/>
      </c>
      <c r="D18" s="19" t="n">
        <v>323</v>
      </c>
      <c r="E18" s="18" t="n">
        <v>53.9116253</v>
      </c>
      <c r="F18" s="20" t="n">
        <v>3.58956638</v>
      </c>
      <c r="G18" s="18" t="n">
        <v>44.59095985</v>
      </c>
      <c r="H18" s="20" t="n">
        <v>3.60397252</v>
      </c>
      <c r="I18" s="18" t="s">
        <v>567</v>
      </c>
      <c r="J18" s="20" t="s">
        <v>567</v>
      </c>
      <c r="K18" s="18" t="n">
        <v>1.49741485</v>
      </c>
      <c r="L18" s="20" t="n">
        <v>0.67117866</v>
      </c>
      <c r="M18" s="18" t="n">
        <v>0</v>
      </c>
      <c r="N18" s="20" t="n">
        <v>0</v>
      </c>
      <c r="O18" s="18" t="n">
        <v>0</v>
      </c>
      <c r="P18" s="20" t="n">
        <v>0</v>
      </c>
      <c r="Q18" s="18" t="n">
        <v>0</v>
      </c>
      <c r="R18" s="20" t="n">
        <v>0</v>
      </c>
    </row>
    <row r="19" spans="1:18">
      <c r="A19" s="15" t="s">
        <v>579</v>
      </c>
      <c r="B19" s="17" t="n">
        <v>2808</v>
      </c>
      <c r="C19" s="18">
        <f>(2517.0/B19*100)</f>
        <v/>
      </c>
      <c r="D19" s="19" t="n">
        <v>291</v>
      </c>
      <c r="E19" s="18" t="n">
        <v>42.44122582</v>
      </c>
      <c r="F19" s="20" t="n">
        <v>2.78068662</v>
      </c>
      <c r="G19" s="18" t="n">
        <v>56.75879622</v>
      </c>
      <c r="H19" s="20" t="n">
        <v>2.77312083</v>
      </c>
      <c r="I19" s="18" t="s">
        <v>567</v>
      </c>
      <c r="J19" s="20" t="s">
        <v>567</v>
      </c>
      <c r="K19" s="18" t="n">
        <v>0.79997796</v>
      </c>
      <c r="L19" s="20" t="n">
        <v>0.83276319</v>
      </c>
      <c r="M19" s="18" t="n">
        <v>0</v>
      </c>
      <c r="N19" s="20" t="n">
        <v>0</v>
      </c>
      <c r="O19" s="18" t="n">
        <v>0</v>
      </c>
      <c r="P19" s="20" t="n">
        <v>0</v>
      </c>
      <c r="Q19" s="18" t="n">
        <v>0</v>
      </c>
      <c r="R19" s="20" t="n">
        <v>0</v>
      </c>
    </row>
    <row r="20" spans="1:18">
      <c r="A20" s="15" t="s">
        <v>580</v>
      </c>
      <c r="B20" s="17" t="n">
        <v>1630</v>
      </c>
      <c r="C20" s="18">
        <f>(1465.0/B20*100)</f>
        <v/>
      </c>
      <c r="D20" s="19" t="n">
        <v>165</v>
      </c>
      <c r="E20" s="18" t="n">
        <v>46.38331318</v>
      </c>
      <c r="F20" s="20" t="n">
        <v>4.31832643</v>
      </c>
      <c r="G20" s="18" t="n">
        <v>53.61668682</v>
      </c>
      <c r="H20" s="20" t="n">
        <v>4.31832643</v>
      </c>
      <c r="I20" s="18" t="s">
        <v>567</v>
      </c>
      <c r="J20" s="20" t="s">
        <v>567</v>
      </c>
      <c r="K20" s="18" t="n">
        <v>0</v>
      </c>
      <c r="L20" s="20" t="n">
        <v>0</v>
      </c>
      <c r="M20" s="18" t="n">
        <v>0</v>
      </c>
      <c r="N20" s="20" t="n">
        <v>0</v>
      </c>
      <c r="O20" s="18" t="n">
        <v>0</v>
      </c>
      <c r="P20" s="20" t="n">
        <v>0</v>
      </c>
      <c r="Q20" s="18" t="n">
        <v>0</v>
      </c>
      <c r="R20" s="20" t="n">
        <v>0</v>
      </c>
    </row>
    <row r="21" spans="1:18">
      <c r="A21" s="15" t="s">
        <v>581</v>
      </c>
      <c r="B21" s="17" t="n">
        <v>2908</v>
      </c>
      <c r="C21" s="18">
        <f>(2606.0/B21*100)</f>
        <v/>
      </c>
      <c r="D21" s="19" t="n">
        <v>302</v>
      </c>
      <c r="E21" s="18" t="n">
        <v>38.21042824</v>
      </c>
      <c r="F21" s="20" t="n">
        <v>2.96097588</v>
      </c>
      <c r="G21" s="18" t="n">
        <v>61.78957176</v>
      </c>
      <c r="H21" s="20" t="n">
        <v>2.96097588</v>
      </c>
      <c r="I21" s="18" t="s">
        <v>567</v>
      </c>
      <c r="J21" s="20" t="s">
        <v>567</v>
      </c>
      <c r="K21" s="18" t="n">
        <v>0</v>
      </c>
      <c r="L21" s="20" t="n">
        <v>0</v>
      </c>
      <c r="M21" s="18" t="n">
        <v>0</v>
      </c>
      <c r="N21" s="20" t="n">
        <v>0</v>
      </c>
      <c r="O21" s="18" t="n">
        <v>0</v>
      </c>
      <c r="P21" s="20" t="n">
        <v>0</v>
      </c>
      <c r="Q21" s="18" t="n">
        <v>0</v>
      </c>
      <c r="R21" s="20" t="n">
        <v>0</v>
      </c>
    </row>
    <row r="22" spans="1:18">
      <c r="A22" s="15" t="s">
        <v>582</v>
      </c>
      <c r="B22" s="17" t="n">
        <v>2931</v>
      </c>
      <c r="C22" s="18">
        <f>(2584.0/B22*100)</f>
        <v/>
      </c>
      <c r="D22" s="19" t="n">
        <v>347</v>
      </c>
      <c r="E22" s="18" t="n">
        <v>65.2300518</v>
      </c>
      <c r="F22" s="20" t="n">
        <v>2.72297756</v>
      </c>
      <c r="G22" s="18" t="n">
        <v>34.7699482</v>
      </c>
      <c r="H22" s="20" t="n">
        <v>2.72297756</v>
      </c>
      <c r="I22" s="18" t="s">
        <v>567</v>
      </c>
      <c r="J22" s="20" t="s">
        <v>567</v>
      </c>
      <c r="K22" s="18" t="n">
        <v>0</v>
      </c>
      <c r="L22" s="20" t="n">
        <v>0</v>
      </c>
      <c r="M22" s="18" t="n">
        <v>0</v>
      </c>
      <c r="N22" s="20" t="n">
        <v>0</v>
      </c>
      <c r="O22" s="18" t="n">
        <v>0</v>
      </c>
      <c r="P22" s="20" t="n">
        <v>0</v>
      </c>
      <c r="Q22" s="18" t="n">
        <v>0</v>
      </c>
      <c r="R22" s="20" t="n">
        <v>0</v>
      </c>
    </row>
    <row r="23" spans="1:18">
      <c r="A23" s="15" t="s">
        <v>583</v>
      </c>
      <c r="B23" s="17" t="n">
        <v>5791</v>
      </c>
      <c r="C23" s="18">
        <f>(5161.0/B23*100)</f>
        <v/>
      </c>
      <c r="D23" s="19" t="n">
        <v>630</v>
      </c>
      <c r="E23" s="18" t="n">
        <v>33.50200114</v>
      </c>
      <c r="F23" s="20" t="n">
        <v>2.23855276</v>
      </c>
      <c r="G23" s="18" t="n">
        <v>66.29057849</v>
      </c>
      <c r="H23" s="20" t="n">
        <v>2.20608838</v>
      </c>
      <c r="I23" s="18" t="s">
        <v>567</v>
      </c>
      <c r="J23" s="20" t="s">
        <v>567</v>
      </c>
      <c r="K23" s="18" t="n">
        <v>0.20742037</v>
      </c>
      <c r="L23" s="20" t="n">
        <v>0.1469051</v>
      </c>
      <c r="M23" s="18" t="n">
        <v>0</v>
      </c>
      <c r="N23" s="20" t="n">
        <v>0</v>
      </c>
      <c r="O23" s="18" t="n">
        <v>0</v>
      </c>
      <c r="P23" s="20" t="n">
        <v>0</v>
      </c>
      <c r="Q23" s="18" t="n">
        <v>0</v>
      </c>
      <c r="R23" s="20" t="n">
        <v>0</v>
      </c>
    </row>
    <row r="24" spans="1:18">
      <c r="A24" s="15" t="s">
        <v>584</v>
      </c>
      <c r="B24" s="17" t="n">
        <v>3338</v>
      </c>
      <c r="C24" s="18">
        <f>(2959.0/B24*100)</f>
        <v/>
      </c>
      <c r="D24" s="19" t="n">
        <v>379</v>
      </c>
      <c r="E24" s="18" t="n">
        <v>44.08827665</v>
      </c>
      <c r="F24" s="20" t="n">
        <v>2.69857573</v>
      </c>
      <c r="G24" s="18" t="n">
        <v>55.12747418</v>
      </c>
      <c r="H24" s="20" t="n">
        <v>2.73800219</v>
      </c>
      <c r="I24" s="18" t="s">
        <v>567</v>
      </c>
      <c r="J24" s="20" t="s">
        <v>567</v>
      </c>
      <c r="K24" s="18" t="n">
        <v>0.7842491700000001</v>
      </c>
      <c r="L24" s="20" t="n">
        <v>0.4594849</v>
      </c>
      <c r="M24" s="18" t="n">
        <v>0</v>
      </c>
      <c r="N24" s="20" t="n">
        <v>0</v>
      </c>
      <c r="O24" s="18" t="n">
        <v>0</v>
      </c>
      <c r="P24" s="20" t="n">
        <v>0</v>
      </c>
      <c r="Q24" s="18" t="n">
        <v>0</v>
      </c>
      <c r="R24" s="20" t="n">
        <v>0</v>
      </c>
    </row>
    <row r="25" spans="1:18">
      <c r="A25" s="15" t="s">
        <v>585</v>
      </c>
      <c r="B25" s="17" t="n">
        <v>2912</v>
      </c>
      <c r="C25" s="18">
        <f>(2597.0/B25*100)</f>
        <v/>
      </c>
      <c r="D25" s="19" t="n">
        <v>315</v>
      </c>
      <c r="E25" s="18" t="n">
        <v>38.04459464</v>
      </c>
      <c r="F25" s="20" t="n">
        <v>2.78430056</v>
      </c>
      <c r="G25" s="18" t="n">
        <v>61.95540536</v>
      </c>
      <c r="H25" s="20" t="n">
        <v>2.78430056</v>
      </c>
      <c r="I25" s="18" t="s">
        <v>567</v>
      </c>
      <c r="J25" s="20" t="s">
        <v>567</v>
      </c>
      <c r="K25" s="18" t="n">
        <v>0</v>
      </c>
      <c r="L25" s="20" t="n">
        <v>0</v>
      </c>
      <c r="M25" s="18" t="n">
        <v>0</v>
      </c>
      <c r="N25" s="20" t="n">
        <v>0</v>
      </c>
      <c r="O25" s="18" t="n">
        <v>0</v>
      </c>
      <c r="P25" s="20" t="n">
        <v>0</v>
      </c>
      <c r="Q25" s="18" t="n">
        <v>0</v>
      </c>
      <c r="R25" s="20" t="n">
        <v>0</v>
      </c>
    </row>
    <row r="26" spans="1:18">
      <c r="A26" s="15" t="s">
        <v>586</v>
      </c>
      <c r="B26" s="17" t="n">
        <v>2450</v>
      </c>
      <c r="C26" s="18">
        <f>(2185.0/B26*100)</f>
        <v/>
      </c>
      <c r="D26" s="19" t="n">
        <v>265</v>
      </c>
      <c r="E26" s="18" t="n">
        <v>44.60357438</v>
      </c>
      <c r="F26" s="20" t="n">
        <v>2.96089501</v>
      </c>
      <c r="G26" s="18" t="n">
        <v>55.39642562</v>
      </c>
      <c r="H26" s="20" t="n">
        <v>2.96089501</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(2337.0/B27*100)</f>
        <v/>
      </c>
      <c r="D27" s="19" t="n">
        <v>279</v>
      </c>
      <c r="E27" s="18" t="n">
        <v>54.18380398</v>
      </c>
      <c r="F27" s="20" t="n">
        <v>3.38227119</v>
      </c>
      <c r="G27" s="18" t="n">
        <v>43.99137249</v>
      </c>
      <c r="H27" s="20" t="n">
        <v>3.25086379</v>
      </c>
      <c r="I27" s="18" t="s">
        <v>567</v>
      </c>
      <c r="J27" s="20" t="s">
        <v>567</v>
      </c>
      <c r="K27" s="18" t="n">
        <v>1.82482353</v>
      </c>
      <c r="L27" s="20" t="n">
        <v>0.8100346899999999</v>
      </c>
      <c r="M27" s="18" t="n">
        <v>0</v>
      </c>
      <c r="N27" s="20" t="n">
        <v>0</v>
      </c>
      <c r="O27" s="18" t="n">
        <v>0</v>
      </c>
      <c r="P27" s="20" t="n">
        <v>0</v>
      </c>
      <c r="Q27" s="18" t="n">
        <v>0</v>
      </c>
      <c r="R27" s="20" t="n">
        <v>0</v>
      </c>
    </row>
    <row r="28" spans="1:18">
      <c r="A28" s="15" t="s">
        <v>588</v>
      </c>
      <c r="B28" s="17" t="n">
        <v>3765</v>
      </c>
      <c r="C28" s="18">
        <f>(3379.0/B28*100)</f>
        <v/>
      </c>
      <c r="D28" s="19" t="n">
        <v>386</v>
      </c>
      <c r="E28" s="18" t="n">
        <v>74.08617464</v>
      </c>
      <c r="F28" s="20" t="n">
        <v>2.55412472</v>
      </c>
      <c r="G28" s="18" t="n">
        <v>25.91382536</v>
      </c>
      <c r="H28" s="20" t="n">
        <v>2.55412472</v>
      </c>
      <c r="I28" s="18" t="s">
        <v>567</v>
      </c>
      <c r="J28" s="20" t="s">
        <v>567</v>
      </c>
      <c r="K28" s="18" t="n">
        <v>0</v>
      </c>
      <c r="L28" s="20" t="n">
        <v>0</v>
      </c>
      <c r="M28" s="18" t="n">
        <v>0</v>
      </c>
      <c r="N28" s="20" t="n">
        <v>0</v>
      </c>
      <c r="O28" s="18" t="n">
        <v>0</v>
      </c>
      <c r="P28" s="20" t="n">
        <v>0</v>
      </c>
      <c r="Q28" s="18" t="n">
        <v>0</v>
      </c>
      <c r="R28" s="20" t="n">
        <v>0</v>
      </c>
    </row>
    <row r="29" spans="1:18">
      <c r="A29" s="15" t="s">
        <v>589</v>
      </c>
      <c r="B29" s="17" t="n">
        <v>2685</v>
      </c>
      <c r="C29" s="18">
        <f>(2385.0/B29*100)</f>
        <v/>
      </c>
      <c r="D29" s="19" t="n">
        <v>300</v>
      </c>
      <c r="E29" s="18" t="n">
        <v>46.61008348</v>
      </c>
      <c r="F29" s="20" t="n">
        <v>3.11651409</v>
      </c>
      <c r="G29" s="18" t="n">
        <v>53.38991652</v>
      </c>
      <c r="H29" s="20" t="n">
        <v>3.11651409</v>
      </c>
      <c r="I29" s="18" t="s">
        <v>567</v>
      </c>
      <c r="J29" s="20" t="s">
        <v>567</v>
      </c>
      <c r="K29" s="18" t="n">
        <v>0</v>
      </c>
      <c r="L29" s="20" t="n">
        <v>0</v>
      </c>
      <c r="M29" s="18" t="n">
        <v>0</v>
      </c>
      <c r="N29" s="20" t="n">
        <v>0</v>
      </c>
      <c r="O29" s="18" t="n">
        <v>0</v>
      </c>
      <c r="P29" s="20" t="n">
        <v>0</v>
      </c>
      <c r="Q29" s="18" t="n">
        <v>0</v>
      </c>
      <c r="R29" s="20" t="n">
        <v>0</v>
      </c>
    </row>
    <row r="30" spans="1:18">
      <c r="A30" s="15" t="s">
        <v>590</v>
      </c>
      <c r="B30" s="17" t="n">
        <v>2263</v>
      </c>
      <c r="C30" s="18">
        <f>(2034.0/B30*100)</f>
        <v/>
      </c>
      <c r="D30" s="19" t="n">
        <v>229</v>
      </c>
      <c r="E30" s="18" t="n">
        <v>44.03411709</v>
      </c>
      <c r="F30" s="20" t="n">
        <v>3.34016794</v>
      </c>
      <c r="G30" s="18" t="n">
        <v>55.50874335</v>
      </c>
      <c r="H30" s="20" t="n">
        <v>3.4218837</v>
      </c>
      <c r="I30" s="18" t="s">
        <v>567</v>
      </c>
      <c r="J30" s="20" t="s">
        <v>567</v>
      </c>
      <c r="K30" s="18" t="n">
        <v>0.45713957</v>
      </c>
      <c r="L30" s="20" t="n">
        <v>0.43659839</v>
      </c>
      <c r="M30" s="18" t="n">
        <v>0</v>
      </c>
      <c r="N30" s="20" t="n">
        <v>0</v>
      </c>
      <c r="O30" s="18" t="n">
        <v>0</v>
      </c>
      <c r="P30" s="20" t="n">
        <v>0</v>
      </c>
      <c r="Q30" s="18" t="n">
        <v>0</v>
      </c>
      <c r="R30" s="20" t="n">
        <v>0</v>
      </c>
    </row>
    <row r="31" spans="1:18">
      <c r="A31" s="15" t="s">
        <v>591</v>
      </c>
      <c r="B31" s="17" t="n">
        <v>2750</v>
      </c>
      <c r="C31" s="18">
        <f>(2452.0/B31*100)</f>
        <v/>
      </c>
      <c r="D31" s="19" t="n">
        <v>298</v>
      </c>
      <c r="E31" s="18" t="n">
        <v>40.32741357</v>
      </c>
      <c r="F31" s="20" t="n">
        <v>3.09591046</v>
      </c>
      <c r="G31" s="18" t="n">
        <v>59.34113816</v>
      </c>
      <c r="H31" s="20" t="n">
        <v>3.11957051</v>
      </c>
      <c r="I31" s="18" t="s">
        <v>567</v>
      </c>
      <c r="J31" s="20" t="s">
        <v>567</v>
      </c>
      <c r="K31" s="18" t="n">
        <v>0.33144827</v>
      </c>
      <c r="L31" s="20" t="n">
        <v>0.35927793</v>
      </c>
      <c r="M31" s="18" t="n">
        <v>0</v>
      </c>
      <c r="N31" s="20" t="n">
        <v>0</v>
      </c>
      <c r="O31" s="18" t="n">
        <v>0</v>
      </c>
      <c r="P31" s="20" t="n">
        <v>0</v>
      </c>
      <c r="Q31" s="18" t="n">
        <v>0</v>
      </c>
      <c r="R31" s="20" t="n">
        <v>0</v>
      </c>
    </row>
    <row r="32" spans="1:18">
      <c r="A32" s="15" t="s">
        <v>592</v>
      </c>
      <c r="B32" s="17" t="n">
        <v>2269</v>
      </c>
      <c r="C32" s="18">
        <f>(2033.0/B32*100)</f>
        <v/>
      </c>
      <c r="D32" s="19" t="n">
        <v>236</v>
      </c>
      <c r="E32" s="18" t="n">
        <v>32.87088693</v>
      </c>
      <c r="F32" s="20" t="n">
        <v>3.38826821</v>
      </c>
      <c r="G32" s="18" t="n">
        <v>67.12911307</v>
      </c>
      <c r="H32" s="20" t="n">
        <v>3.38826821</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(3296.0/B33*100)</f>
        <v/>
      </c>
      <c r="D33" s="19" t="n">
        <v>378</v>
      </c>
      <c r="E33" s="18" t="n">
        <v>37.88132729</v>
      </c>
      <c r="F33" s="20" t="n">
        <v>2.96466398</v>
      </c>
      <c r="G33" s="18" t="n">
        <v>60.80175334</v>
      </c>
      <c r="H33" s="20" t="n">
        <v>3.04584592</v>
      </c>
      <c r="I33" s="18" t="s">
        <v>567</v>
      </c>
      <c r="J33" s="20" t="s">
        <v>567</v>
      </c>
      <c r="K33" s="18" t="n">
        <v>1.31691938</v>
      </c>
      <c r="L33" s="20" t="n">
        <v>0.73327383</v>
      </c>
      <c r="M33" s="18" t="n">
        <v>0</v>
      </c>
      <c r="N33" s="20" t="n">
        <v>0</v>
      </c>
      <c r="O33" s="18" t="n">
        <v>0</v>
      </c>
      <c r="P33" s="20" t="n">
        <v>0</v>
      </c>
      <c r="Q33" s="18" t="n">
        <v>0</v>
      </c>
      <c r="R33" s="20" t="n">
        <v>0</v>
      </c>
    </row>
    <row r="34" spans="1:18">
      <c r="A34" s="15" t="s">
        <v>594</v>
      </c>
      <c r="B34" s="17" t="n">
        <v>3315</v>
      </c>
      <c r="C34" s="18">
        <f>(2958.0/B34*100)</f>
        <v/>
      </c>
      <c r="D34" s="19" t="n">
        <v>357</v>
      </c>
      <c r="E34" s="18" t="n">
        <v>44.87216916</v>
      </c>
      <c r="F34" s="20" t="n">
        <v>2.88233212</v>
      </c>
      <c r="G34" s="18" t="n">
        <v>53.63947251</v>
      </c>
      <c r="H34" s="20" t="n">
        <v>3.00771616</v>
      </c>
      <c r="I34" s="18" t="s">
        <v>567</v>
      </c>
      <c r="J34" s="20" t="s">
        <v>567</v>
      </c>
      <c r="K34" s="18" t="n">
        <v>1.48835832</v>
      </c>
      <c r="L34" s="20" t="n">
        <v>0.68839287</v>
      </c>
      <c r="M34" s="18" t="n">
        <v>0</v>
      </c>
      <c r="N34" s="20" t="n">
        <v>0</v>
      </c>
      <c r="O34" s="18" t="n">
        <v>0</v>
      </c>
      <c r="P34" s="20" t="n">
        <v>0</v>
      </c>
      <c r="Q34" s="18" t="n">
        <v>0</v>
      </c>
      <c r="R34" s="20" t="n">
        <v>0</v>
      </c>
    </row>
    <row r="35" spans="1:18">
      <c r="A35" s="15" t="s">
        <v>595</v>
      </c>
      <c r="B35" s="17" t="n">
        <v>3505</v>
      </c>
      <c r="C35" s="18">
        <f>(3121.0/B35*100)</f>
        <v/>
      </c>
      <c r="D35" s="19" t="n">
        <v>384</v>
      </c>
      <c r="E35" s="18" t="n">
        <v>29.16739976</v>
      </c>
      <c r="F35" s="20" t="n">
        <v>2.60153852</v>
      </c>
      <c r="G35" s="18" t="n">
        <v>70.50847326</v>
      </c>
      <c r="H35" s="20" t="n">
        <v>2.60391278</v>
      </c>
      <c r="I35" s="18" t="s">
        <v>567</v>
      </c>
      <c r="J35" s="20" t="s">
        <v>567</v>
      </c>
      <c r="K35" s="18" t="n">
        <v>0.32412698</v>
      </c>
      <c r="L35" s="20" t="n">
        <v>0.23201152</v>
      </c>
      <c r="M35" s="18" t="n">
        <v>0</v>
      </c>
      <c r="N35" s="20" t="n">
        <v>0</v>
      </c>
      <c r="O35" s="18" t="n">
        <v>0</v>
      </c>
      <c r="P35" s="20" t="n">
        <v>0</v>
      </c>
      <c r="Q35" s="18" t="n">
        <v>0</v>
      </c>
      <c r="R35" s="20" t="n">
        <v>0</v>
      </c>
    </row>
    <row r="36" spans="1:18">
      <c r="A36" s="15" t="s">
        <v>596</v>
      </c>
      <c r="B36" s="17" t="n">
        <v>3332</v>
      </c>
      <c r="C36" s="18">
        <f>(2976.0/B36*100)</f>
        <v/>
      </c>
      <c r="D36" s="19" t="n">
        <v>356</v>
      </c>
      <c r="E36" s="18" t="n">
        <v>38.0953208</v>
      </c>
      <c r="F36" s="20" t="n">
        <v>2.64280427</v>
      </c>
      <c r="G36" s="18" t="n">
        <v>60.74031946</v>
      </c>
      <c r="H36" s="20" t="n">
        <v>2.72148993</v>
      </c>
      <c r="I36" s="18" t="s">
        <v>567</v>
      </c>
      <c r="J36" s="20" t="s">
        <v>567</v>
      </c>
      <c r="K36" s="18" t="n">
        <v>1.16435974</v>
      </c>
      <c r="L36" s="20" t="n">
        <v>0.73881694</v>
      </c>
      <c r="M36" s="18" t="n">
        <v>0</v>
      </c>
      <c r="N36" s="20" t="n">
        <v>0</v>
      </c>
      <c r="O36" s="18" t="n">
        <v>0</v>
      </c>
      <c r="P36" s="20" t="n">
        <v>0</v>
      </c>
      <c r="Q36" s="18" t="n">
        <v>0</v>
      </c>
      <c r="R36" s="20" t="n">
        <v>0</v>
      </c>
    </row>
    <row r="37" spans="1:18">
      <c r="A37" s="15" t="s">
        <v>597</v>
      </c>
      <c r="B37" s="17" t="n">
        <v>2727</v>
      </c>
      <c r="C37" s="18">
        <f>(2426.0/B37*100)</f>
        <v/>
      </c>
      <c r="D37" s="19" t="n">
        <v>301</v>
      </c>
      <c r="E37" s="18" t="n">
        <v>41.73419882</v>
      </c>
      <c r="F37" s="20" t="n">
        <v>2.59653022</v>
      </c>
      <c r="G37" s="18" t="n">
        <v>55.61608556</v>
      </c>
      <c r="H37" s="20" t="n">
        <v>2.66969654</v>
      </c>
      <c r="I37" s="18" t="s">
        <v>567</v>
      </c>
      <c r="J37" s="20" t="s">
        <v>567</v>
      </c>
      <c r="K37" s="18" t="n">
        <v>2.64971562</v>
      </c>
      <c r="L37" s="20" t="n">
        <v>0.96867246</v>
      </c>
      <c r="M37" s="18" t="n">
        <v>0</v>
      </c>
      <c r="N37" s="20" t="n">
        <v>0</v>
      </c>
      <c r="O37" s="18" t="n">
        <v>0</v>
      </c>
      <c r="P37" s="20" t="n">
        <v>0</v>
      </c>
      <c r="Q37" s="18" t="n">
        <v>0</v>
      </c>
      <c r="R37" s="20" t="n">
        <v>0</v>
      </c>
    </row>
    <row r="38" spans="1:18">
      <c r="A38" s="15" t="s">
        <v>598</v>
      </c>
      <c r="B38" s="17" t="n">
        <v>3053</v>
      </c>
      <c r="C38" s="18">
        <f>(2722.0/B38*100)</f>
        <v/>
      </c>
      <c r="D38" s="19" t="n">
        <v>331</v>
      </c>
      <c r="E38" s="18" t="n">
        <v>40.96666096</v>
      </c>
      <c r="F38" s="20" t="n">
        <v>3.23931226</v>
      </c>
      <c r="G38" s="18" t="n">
        <v>58.42054718</v>
      </c>
      <c r="H38" s="20" t="n">
        <v>3.22599384</v>
      </c>
      <c r="I38" s="18" t="s">
        <v>567</v>
      </c>
      <c r="J38" s="20" t="s">
        <v>567</v>
      </c>
      <c r="K38" s="18" t="n">
        <v>0.61279186</v>
      </c>
      <c r="L38" s="20" t="n">
        <v>0.43942004</v>
      </c>
      <c r="M38" s="18" t="n">
        <v>0</v>
      </c>
      <c r="N38" s="20" t="n">
        <v>0</v>
      </c>
      <c r="O38" s="18" t="n">
        <v>0</v>
      </c>
      <c r="P38" s="20" t="n">
        <v>0</v>
      </c>
      <c r="Q38" s="18" t="n">
        <v>0</v>
      </c>
      <c r="R38" s="20" t="n">
        <v>0</v>
      </c>
    </row>
    <row r="39" spans="1:18">
      <c r="A39" s="15" t="s">
        <v>599</v>
      </c>
      <c r="B39" s="17" t="n">
        <v>2957</v>
      </c>
      <c r="C39" s="18">
        <f>(2618.0/B39*100)</f>
        <v/>
      </c>
      <c r="D39" s="19" t="n">
        <v>339</v>
      </c>
      <c r="E39" s="18" t="n">
        <v>47.06126349</v>
      </c>
      <c r="F39" s="20" t="n">
        <v>3.02225389</v>
      </c>
      <c r="G39" s="18" t="n">
        <v>52.93873651</v>
      </c>
      <c r="H39" s="20" t="n">
        <v>3.02225389</v>
      </c>
      <c r="I39" s="18" t="s">
        <v>567</v>
      </c>
      <c r="J39" s="20" t="s">
        <v>567</v>
      </c>
      <c r="K39" s="18" t="n">
        <v>0</v>
      </c>
      <c r="L39" s="20" t="n">
        <v>0</v>
      </c>
      <c r="M39" s="18" t="n">
        <v>0</v>
      </c>
      <c r="N39" s="20" t="n">
        <v>0</v>
      </c>
      <c r="O39" s="18" t="n">
        <v>0</v>
      </c>
      <c r="P39" s="20" t="n">
        <v>0</v>
      </c>
      <c r="Q39" s="18" t="n">
        <v>0</v>
      </c>
      <c r="R39" s="20" t="n">
        <v>0</v>
      </c>
    </row>
    <row r="40" spans="1:18">
      <c r="A40" s="15" t="s">
        <v>600</v>
      </c>
      <c r="B40" s="17" t="n">
        <v>7235</v>
      </c>
      <c r="C40" s="18">
        <f>(6427.0/B40*100)</f>
        <v/>
      </c>
      <c r="D40" s="19" t="n">
        <v>808</v>
      </c>
      <c r="E40" s="18" t="n">
        <v>40.28167648</v>
      </c>
      <c r="F40" s="20" t="n">
        <v>2.40076024</v>
      </c>
      <c r="G40" s="18" t="n">
        <v>59.30453649</v>
      </c>
      <c r="H40" s="20" t="n">
        <v>2.45664009</v>
      </c>
      <c r="I40" s="18" t="s">
        <v>567</v>
      </c>
      <c r="J40" s="20" t="s">
        <v>567</v>
      </c>
      <c r="K40" s="18" t="n">
        <v>0.41378703</v>
      </c>
      <c r="L40" s="20" t="n">
        <v>0.44560794</v>
      </c>
      <c r="M40" s="18" t="n">
        <v>0</v>
      </c>
      <c r="N40" s="20" t="n">
        <v>0</v>
      </c>
      <c r="O40" s="18" t="n">
        <v>0</v>
      </c>
      <c r="P40" s="20" t="n">
        <v>0</v>
      </c>
      <c r="Q40" s="18" t="n">
        <v>0</v>
      </c>
      <c r="R40" s="20" t="n">
        <v>0</v>
      </c>
    </row>
    <row r="41" spans="1:18">
      <c r="A41" s="15" t="s">
        <v>601</v>
      </c>
      <c r="B41" s="17" t="n">
        <v>2858</v>
      </c>
      <c r="C41" s="18">
        <f>(2562.0/B41*100)</f>
        <v/>
      </c>
      <c r="D41" s="19" t="n">
        <v>296</v>
      </c>
      <c r="E41" s="18" t="n">
        <v>52.76393426</v>
      </c>
      <c r="F41" s="20" t="n">
        <v>2.88557205</v>
      </c>
      <c r="G41" s="18" t="n">
        <v>46.80599963</v>
      </c>
      <c r="H41" s="20" t="n">
        <v>2.9339593</v>
      </c>
      <c r="I41" s="18" t="s">
        <v>567</v>
      </c>
      <c r="J41" s="20" t="s">
        <v>567</v>
      </c>
      <c r="K41" s="18" t="n">
        <v>0.43006611</v>
      </c>
      <c r="L41" s="20" t="n">
        <v>0.43936771</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(10037.0/B46*100)</f>
        <v/>
      </c>
      <c r="D46" s="19" t="n">
        <v>1031</v>
      </c>
      <c r="E46" s="18" t="n">
        <v>61.1411157</v>
      </c>
      <c r="F46" s="20" t="n">
        <v>1.86527356</v>
      </c>
      <c r="G46" s="18" t="n">
        <v>36.31137381</v>
      </c>
      <c r="H46" s="20" t="n">
        <v>1.90467297</v>
      </c>
      <c r="I46" s="18" t="s">
        <v>567</v>
      </c>
      <c r="J46" s="20" t="s">
        <v>567</v>
      </c>
      <c r="K46" s="18" t="n">
        <v>2.54751049</v>
      </c>
      <c r="L46" s="20" t="n">
        <v>0.61803178</v>
      </c>
      <c r="M46" s="18" t="n">
        <v>0</v>
      </c>
      <c r="N46" s="20" t="n">
        <v>0</v>
      </c>
      <c r="O46" s="18" t="n">
        <v>0</v>
      </c>
      <c r="P46" s="20" t="n">
        <v>0</v>
      </c>
      <c r="Q46" s="18" t="n">
        <v>0</v>
      </c>
      <c r="R46" s="20" t="n">
        <v>0</v>
      </c>
    </row>
    <row r="47" spans="1:18">
      <c r="A47" s="15" t="s">
        <v>607</v>
      </c>
      <c r="B47" s="17" t="n">
        <v>3105</v>
      </c>
      <c r="C47" s="18">
        <f>(2758.0/B47*100)</f>
        <v/>
      </c>
      <c r="D47" s="19" t="n">
        <v>347</v>
      </c>
      <c r="E47" s="18" t="n">
        <v>51.11313336</v>
      </c>
      <c r="F47" s="20" t="n">
        <v>2.83731419</v>
      </c>
      <c r="G47" s="18" t="n">
        <v>47.7384283</v>
      </c>
      <c r="H47" s="20" t="n">
        <v>2.62796752</v>
      </c>
      <c r="I47" s="18" t="s">
        <v>567</v>
      </c>
      <c r="J47" s="20" t="s">
        <v>567</v>
      </c>
      <c r="K47" s="18" t="n">
        <v>1.14843834</v>
      </c>
      <c r="L47" s="20" t="n">
        <v>0.64859725</v>
      </c>
      <c r="M47" s="18" t="n">
        <v>0</v>
      </c>
      <c r="N47" s="20" t="n">
        <v>0</v>
      </c>
      <c r="O47" s="18" t="n">
        <v>0</v>
      </c>
      <c r="P47" s="20" t="n">
        <v>0</v>
      </c>
      <c r="Q47" s="18" t="n">
        <v>0</v>
      </c>
      <c r="R47" s="20" t="n">
        <v>0</v>
      </c>
    </row>
    <row r="48" spans="1:18">
      <c r="A48" s="15" t="s">
        <v>608</v>
      </c>
      <c r="B48" s="17" t="n">
        <v>5159</v>
      </c>
      <c r="C48" s="18">
        <f>(4591.0/B48*100)</f>
        <v/>
      </c>
      <c r="D48" s="19" t="n">
        <v>568</v>
      </c>
      <c r="E48" s="18" t="n">
        <v>32.05073061</v>
      </c>
      <c r="F48" s="20" t="n">
        <v>3.12952652</v>
      </c>
      <c r="G48" s="18" t="n">
        <v>66.86612667999999</v>
      </c>
      <c r="H48" s="20" t="n">
        <v>2.95620652</v>
      </c>
      <c r="I48" s="18" t="s">
        <v>567</v>
      </c>
      <c r="J48" s="20" t="s">
        <v>567</v>
      </c>
      <c r="K48" s="18" t="n">
        <v>1.08314271</v>
      </c>
      <c r="L48" s="20" t="n">
        <v>0.61340996</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(5062.0/B50*100)</f>
        <v/>
      </c>
      <c r="D50" s="19" t="n">
        <v>575</v>
      </c>
      <c r="E50" s="18" t="n">
        <v>74.70540133</v>
      </c>
      <c r="F50" s="20" t="n">
        <v>2.09754034</v>
      </c>
      <c r="G50" s="18" t="n">
        <v>24.2770934</v>
      </c>
      <c r="H50" s="20" t="n">
        <v>1.99839171</v>
      </c>
      <c r="I50" s="18" t="s">
        <v>567</v>
      </c>
      <c r="J50" s="20" t="s">
        <v>567</v>
      </c>
      <c r="K50" s="18" t="n">
        <v>1.01750526</v>
      </c>
      <c r="L50" s="20" t="n">
        <v>0.74529844</v>
      </c>
      <c r="M50" s="18" t="n">
        <v>0</v>
      </c>
      <c r="N50" s="20" t="n">
        <v>0</v>
      </c>
      <c r="O50" s="18" t="n">
        <v>0</v>
      </c>
      <c r="P50" s="20" t="n">
        <v>0</v>
      </c>
      <c r="Q50" s="18" t="n">
        <v>0</v>
      </c>
      <c r="R50" s="20" t="n">
        <v>0</v>
      </c>
    </row>
    <row r="51" spans="1:18">
      <c r="A51" s="15" t="s">
        <v>611</v>
      </c>
      <c r="B51" s="17" t="n">
        <v>3372</v>
      </c>
      <c r="C51" s="18">
        <f>(3053.0/B51*100)</f>
        <v/>
      </c>
      <c r="D51" s="19" t="n">
        <v>319</v>
      </c>
      <c r="E51" s="18" t="n">
        <v>74.79931134</v>
      </c>
      <c r="F51" s="20" t="n">
        <v>2.79881025</v>
      </c>
      <c r="G51" s="18" t="n">
        <v>25.20068866</v>
      </c>
      <c r="H51" s="20" t="n">
        <v>2.79881025</v>
      </c>
      <c r="I51" s="18" t="s">
        <v>567</v>
      </c>
      <c r="J51" s="20" t="s">
        <v>567</v>
      </c>
      <c r="K51" s="18" t="n">
        <v>0</v>
      </c>
      <c r="L51" s="20" t="n">
        <v>0</v>
      </c>
      <c r="M51" s="18" t="n">
        <v>0</v>
      </c>
      <c r="N51" s="20" t="n">
        <v>0</v>
      </c>
      <c r="O51" s="18" t="n">
        <v>0</v>
      </c>
      <c r="P51" s="20" t="n">
        <v>0</v>
      </c>
      <c r="Q51" s="18" t="n">
        <v>0</v>
      </c>
      <c r="R51" s="20" t="n">
        <v>0</v>
      </c>
    </row>
    <row r="52" spans="1:18">
      <c r="A52" s="15" t="s">
        <v>612</v>
      </c>
      <c r="B52" s="17" t="n">
        <v>2796</v>
      </c>
      <c r="C52" s="18">
        <f>(2494.0/B52*100)</f>
        <v/>
      </c>
      <c r="D52" s="19" t="n">
        <v>302</v>
      </c>
      <c r="E52" s="18" t="n">
        <v>37.36517282</v>
      </c>
      <c r="F52" s="20" t="n">
        <v>2.68879895</v>
      </c>
      <c r="G52" s="18" t="n">
        <v>62.38223144</v>
      </c>
      <c r="H52" s="20" t="n">
        <v>2.70331391</v>
      </c>
      <c r="I52" s="18" t="s">
        <v>567</v>
      </c>
      <c r="J52" s="20" t="s">
        <v>567</v>
      </c>
      <c r="K52" s="18" t="n">
        <v>0.25259574</v>
      </c>
      <c r="L52" s="20" t="n">
        <v>0.25585562</v>
      </c>
      <c r="M52" s="18" t="n">
        <v>0</v>
      </c>
      <c r="N52" s="20" t="n">
        <v>0</v>
      </c>
      <c r="O52" s="18" t="n">
        <v>0</v>
      </c>
      <c r="P52" s="20" t="n">
        <v>0</v>
      </c>
      <c r="Q52" s="18" t="n">
        <v>0</v>
      </c>
      <c r="R52" s="20" t="n">
        <v>0</v>
      </c>
    </row>
    <row r="53" spans="1:18">
      <c r="A53" s="15" t="s">
        <v>613</v>
      </c>
      <c r="B53" s="17" t="n">
        <v>2811</v>
      </c>
      <c r="C53" s="18">
        <f>(2517.0/B53*100)</f>
        <v/>
      </c>
      <c r="D53" s="19" t="n">
        <v>294</v>
      </c>
      <c r="E53" s="18" t="n">
        <v>60.2621959</v>
      </c>
      <c r="F53" s="20" t="n">
        <v>3.08641147</v>
      </c>
      <c r="G53" s="18" t="n">
        <v>38.16453377</v>
      </c>
      <c r="H53" s="20" t="n">
        <v>3.00666479</v>
      </c>
      <c r="I53" s="18" t="s">
        <v>567</v>
      </c>
      <c r="J53" s="20" t="s">
        <v>567</v>
      </c>
      <c r="K53" s="18" t="n">
        <v>1.57327032</v>
      </c>
      <c r="L53" s="20" t="n">
        <v>0.73513365</v>
      </c>
      <c r="M53" s="18" t="n">
        <v>0</v>
      </c>
      <c r="N53" s="20" t="n">
        <v>0</v>
      </c>
      <c r="O53" s="18" t="n">
        <v>0</v>
      </c>
      <c r="P53" s="20" t="n">
        <v>0</v>
      </c>
      <c r="Q53" s="18" t="n">
        <v>0</v>
      </c>
      <c r="R53" s="20" t="n">
        <v>0</v>
      </c>
    </row>
    <row r="54" spans="1:18">
      <c r="A54" s="15" t="s">
        <v>614</v>
      </c>
      <c r="B54" s="17" t="n">
        <v>2266</v>
      </c>
      <c r="C54" s="18">
        <f>(2013.0/B54*100)</f>
        <v/>
      </c>
      <c r="D54" s="19" t="n">
        <v>253</v>
      </c>
      <c r="E54" s="18" t="n">
        <v>58.79312868</v>
      </c>
      <c r="F54" s="20" t="n">
        <v>4.06377788</v>
      </c>
      <c r="G54" s="18" t="n">
        <v>29.18717387</v>
      </c>
      <c r="H54" s="20" t="n">
        <v>3.49004605</v>
      </c>
      <c r="I54" s="18" t="s">
        <v>567</v>
      </c>
      <c r="J54" s="20" t="s">
        <v>567</v>
      </c>
      <c r="K54" s="18" t="n">
        <v>12.01969745</v>
      </c>
      <c r="L54" s="20" t="n">
        <v>2.79933599</v>
      </c>
      <c r="M54" s="18" t="n">
        <v>0</v>
      </c>
      <c r="N54" s="20" t="n">
        <v>0</v>
      </c>
      <c r="O54" s="18" t="n">
        <v>0</v>
      </c>
      <c r="P54" s="20" t="n">
        <v>0</v>
      </c>
      <c r="Q54" s="18" t="n">
        <v>0</v>
      </c>
      <c r="R54" s="20" t="n">
        <v>0</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(2389.0/B56*100)</f>
        <v/>
      </c>
      <c r="D56" s="19" t="n">
        <v>295</v>
      </c>
      <c r="E56" s="18" t="n">
        <v>24.69169434</v>
      </c>
      <c r="F56" s="20" t="n">
        <v>3.14429654</v>
      </c>
      <c r="G56" s="18" t="n">
        <v>74.24285586000001</v>
      </c>
      <c r="H56" s="20" t="n">
        <v>3.19762011</v>
      </c>
      <c r="I56" s="18" t="s">
        <v>567</v>
      </c>
      <c r="J56" s="20" t="s">
        <v>567</v>
      </c>
      <c r="K56" s="18" t="n">
        <v>1.0654498</v>
      </c>
      <c r="L56" s="20" t="n">
        <v>0.83310616</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(2978.0/B61*100)</f>
        <v/>
      </c>
      <c r="D61" s="19" t="n">
        <v>346</v>
      </c>
      <c r="E61" s="18" t="n">
        <v>48.59341137</v>
      </c>
      <c r="F61" s="20" t="n">
        <v>2.87386243</v>
      </c>
      <c r="G61" s="18" t="n">
        <v>51.40658863</v>
      </c>
      <c r="H61" s="20" t="n">
        <v>2.87386243</v>
      </c>
      <c r="I61" s="18" t="s">
        <v>567</v>
      </c>
      <c r="J61" s="20" t="s">
        <v>567</v>
      </c>
      <c r="K61" s="18" t="n">
        <v>0</v>
      </c>
      <c r="L61" s="20" t="n">
        <v>0</v>
      </c>
      <c r="M61" s="18" t="n">
        <v>0</v>
      </c>
      <c r="N61" s="20" t="n">
        <v>0</v>
      </c>
      <c r="O61" s="18" t="n">
        <v>0</v>
      </c>
      <c r="P61" s="20" t="n">
        <v>0</v>
      </c>
      <c r="Q61" s="18" t="n">
        <v>0</v>
      </c>
      <c r="R61" s="20" t="n">
        <v>0</v>
      </c>
    </row>
    <row r="62" spans="1:18">
      <c r="A62" s="15" t="s">
        <v>622</v>
      </c>
      <c r="B62" s="17" t="n">
        <v>2246</v>
      </c>
      <c r="C62" s="18">
        <f>(1986.0/B62*100)</f>
        <v/>
      </c>
      <c r="D62" s="19" t="n">
        <v>260</v>
      </c>
      <c r="E62" s="18" t="n">
        <v>28.87157978</v>
      </c>
      <c r="F62" s="20" t="n">
        <v>3.25679456</v>
      </c>
      <c r="G62" s="18" t="n">
        <v>71.12842022</v>
      </c>
      <c r="H62" s="20" t="n">
        <v>3.25679456</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(2579.0/B66*100)</f>
        <v/>
      </c>
      <c r="D66" s="19" t="n">
        <v>315</v>
      </c>
      <c r="E66" s="18" t="n">
        <v>58.57724309</v>
      </c>
      <c r="F66" s="20" t="n">
        <v>2.79603508</v>
      </c>
      <c r="G66" s="18" t="n">
        <v>38.84498063</v>
      </c>
      <c r="H66" s="20" t="n">
        <v>2.80210642</v>
      </c>
      <c r="I66" s="18" t="s">
        <v>567</v>
      </c>
      <c r="J66" s="20" t="s">
        <v>567</v>
      </c>
      <c r="K66" s="18" t="n">
        <v>2.57777628</v>
      </c>
      <c r="L66" s="20" t="n">
        <v>0.89546051</v>
      </c>
      <c r="M66" s="18" t="n">
        <v>0</v>
      </c>
      <c r="N66" s="20" t="n">
        <v>0</v>
      </c>
      <c r="O66" s="18" t="n">
        <v>0</v>
      </c>
      <c r="P66" s="20" t="n">
        <v>0</v>
      </c>
      <c r="Q66" s="18" t="n">
        <v>0</v>
      </c>
      <c r="R66" s="20" t="n">
        <v>0</v>
      </c>
    </row>
    <row r="67" spans="1:18">
      <c r="A67" s="15" t="s">
        <v>627</v>
      </c>
      <c r="B67" s="17" t="n">
        <v>3511</v>
      </c>
      <c r="C67" s="18">
        <f>(3182.0/B67*100)</f>
        <v/>
      </c>
      <c r="D67" s="19" t="n">
        <v>329</v>
      </c>
      <c r="E67" s="18" t="n">
        <v>62.23027161</v>
      </c>
      <c r="F67" s="20" t="n">
        <v>2.86744519</v>
      </c>
      <c r="G67" s="18" t="n">
        <v>37.3575272</v>
      </c>
      <c r="H67" s="20" t="n">
        <v>2.8416335</v>
      </c>
      <c r="I67" s="18" t="s">
        <v>567</v>
      </c>
      <c r="J67" s="20" t="s">
        <v>567</v>
      </c>
      <c r="K67" s="18" t="n">
        <v>0.41220119</v>
      </c>
      <c r="L67" s="20" t="n">
        <v>0.40669249</v>
      </c>
      <c r="M67" s="18" t="n">
        <v>0</v>
      </c>
      <c r="N67" s="20" t="n">
        <v>0</v>
      </c>
      <c r="O67" s="18" t="n">
        <v>0</v>
      </c>
      <c r="P67" s="20" t="n">
        <v>0</v>
      </c>
      <c r="Q67" s="18" t="n">
        <v>0</v>
      </c>
      <c r="R67" s="20" t="n">
        <v>0</v>
      </c>
    </row>
    <row r="68" spans="1:18">
      <c r="A68" s="15" t="s">
        <v>628</v>
      </c>
      <c r="B68" s="17" t="n">
        <v>6049</v>
      </c>
      <c r="C68" s="18">
        <f>(5349.0/B68*100)</f>
        <v/>
      </c>
      <c r="D68" s="19" t="n">
        <v>700</v>
      </c>
      <c r="E68" s="18" t="n">
        <v>54.15595075</v>
      </c>
      <c r="F68" s="20" t="n">
        <v>1.81964192</v>
      </c>
      <c r="G68" s="18" t="n">
        <v>42.52913686</v>
      </c>
      <c r="H68" s="20" t="n">
        <v>1.91876559</v>
      </c>
      <c r="I68" s="18" t="s">
        <v>567</v>
      </c>
      <c r="J68" s="20" t="s">
        <v>567</v>
      </c>
      <c r="K68" s="18" t="n">
        <v>3.31491239</v>
      </c>
      <c r="L68" s="20" t="n">
        <v>0.6751859099999999</v>
      </c>
      <c r="M68" s="18" t="n">
        <v>0</v>
      </c>
      <c r="N68" s="20" t="n">
        <v>0</v>
      </c>
      <c r="O68" s="18" t="n">
        <v>0</v>
      </c>
      <c r="P68" s="20" t="n">
        <v>0</v>
      </c>
      <c r="Q68" s="18" t="n">
        <v>0</v>
      </c>
      <c r="R68" s="20" t="n">
        <v>0</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(2622.0/B70*100)</f>
        <v/>
      </c>
      <c r="D70" s="19" t="n">
        <v>307</v>
      </c>
      <c r="E70" s="18" t="n">
        <v>41.78614616</v>
      </c>
      <c r="F70" s="20" t="n">
        <v>2.81834538</v>
      </c>
      <c r="G70" s="18" t="n">
        <v>57.81526552</v>
      </c>
      <c r="H70" s="20" t="n">
        <v>2.77504305</v>
      </c>
      <c r="I70" s="18" t="s">
        <v>567</v>
      </c>
      <c r="J70" s="20" t="s">
        <v>567</v>
      </c>
      <c r="K70" s="18" t="n">
        <v>0.39858832</v>
      </c>
      <c r="L70" s="20" t="n">
        <v>0.2842269</v>
      </c>
      <c r="M70" s="18" t="n">
        <v>0</v>
      </c>
      <c r="N70" s="20" t="n">
        <v>0</v>
      </c>
      <c r="O70" s="18" t="n">
        <v>0</v>
      </c>
      <c r="P70" s="20" t="n">
        <v>0</v>
      </c>
      <c r="Q70" s="18" t="n">
        <v>0</v>
      </c>
      <c r="R70" s="20" t="n">
        <v>0</v>
      </c>
    </row>
    <row r="71" spans="1:18">
      <c r="A71" s="15" t="s">
        <v>631</v>
      </c>
      <c r="B71" s="17" t="n">
        <v>3142</v>
      </c>
      <c r="C71" s="18">
        <f>(2826.0/B71*100)</f>
        <v/>
      </c>
      <c r="D71" s="19" t="n">
        <v>316</v>
      </c>
      <c r="E71" s="18" t="n">
        <v>35.42747635</v>
      </c>
      <c r="F71" s="20" t="n">
        <v>2.70531512</v>
      </c>
      <c r="G71" s="18" t="n">
        <v>64.10063159000001</v>
      </c>
      <c r="H71" s="20" t="n">
        <v>2.73567769</v>
      </c>
      <c r="I71" s="18" t="s">
        <v>567</v>
      </c>
      <c r="J71" s="20" t="s">
        <v>567</v>
      </c>
      <c r="K71" s="18" t="n">
        <v>0.47189206</v>
      </c>
      <c r="L71" s="20" t="n">
        <v>0.34259444</v>
      </c>
      <c r="M71" s="18" t="n">
        <v>0</v>
      </c>
      <c r="N71" s="20" t="n">
        <v>0</v>
      </c>
      <c r="O71" s="18" t="n">
        <v>0</v>
      </c>
      <c r="P71" s="20" t="n">
        <v>0</v>
      </c>
      <c r="Q71" s="18" t="n">
        <v>0</v>
      </c>
      <c r="R71" s="20" t="n">
        <v>0</v>
      </c>
    </row>
    <row r="72" spans="1:18">
      <c r="A72" s="15" t="s">
        <v>632</v>
      </c>
      <c r="B72" s="17" t="n">
        <v>3889</v>
      </c>
      <c r="C72" s="18">
        <f>(3461.0/B72*100)</f>
        <v/>
      </c>
      <c r="D72" s="19" t="n">
        <v>428</v>
      </c>
      <c r="E72" s="18" t="n">
        <v>14.66447971</v>
      </c>
      <c r="F72" s="20" t="n">
        <v>1.78157109</v>
      </c>
      <c r="G72" s="18" t="n">
        <v>85.17705363</v>
      </c>
      <c r="H72" s="20" t="n">
        <v>1.77047434</v>
      </c>
      <c r="I72" s="18" t="s">
        <v>567</v>
      </c>
      <c r="J72" s="20" t="s">
        <v>567</v>
      </c>
      <c r="K72" s="18" t="n">
        <v>0.15846666</v>
      </c>
      <c r="L72" s="20" t="n">
        <v>0.1628593</v>
      </c>
      <c r="M72" s="18" t="n">
        <v>0</v>
      </c>
      <c r="N72" s="20" t="n">
        <v>0</v>
      </c>
      <c r="O72" s="18" t="n">
        <v>0</v>
      </c>
      <c r="P72" s="20" t="n">
        <v>0</v>
      </c>
      <c r="Q72" s="18" t="n">
        <v>0</v>
      </c>
      <c r="R72" s="20" t="n">
        <v>0</v>
      </c>
    </row>
    <row r="73" spans="1:18">
      <c r="A73" s="15" t="s">
        <v>633</v>
      </c>
      <c r="B73" s="17" t="n">
        <v>3597</v>
      </c>
      <c r="C73" s="18">
        <f>(3196.0/B73*100)</f>
        <v/>
      </c>
      <c r="D73" s="19" t="n">
        <v>401</v>
      </c>
      <c r="E73" s="18" t="n">
        <v>53.49315542</v>
      </c>
      <c r="F73" s="20" t="n">
        <v>3.07153233</v>
      </c>
      <c r="G73" s="18" t="n">
        <v>45.97636228</v>
      </c>
      <c r="H73" s="20" t="n">
        <v>3.11790559</v>
      </c>
      <c r="I73" s="18" t="s">
        <v>567</v>
      </c>
      <c r="J73" s="20" t="s">
        <v>567</v>
      </c>
      <c r="K73" s="18" t="n">
        <v>0.5304823</v>
      </c>
      <c r="L73" s="20" t="n">
        <v>0.39328138</v>
      </c>
      <c r="M73" s="18" t="n">
        <v>0</v>
      </c>
      <c r="N73" s="20" t="n">
        <v>0</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(2151.0/B75*100)</f>
        <v/>
      </c>
      <c r="D75" s="19" t="n">
        <v>255</v>
      </c>
      <c r="E75" s="18" t="n">
        <v>60.17291046</v>
      </c>
      <c r="F75" s="20" t="n">
        <v>3.50067353</v>
      </c>
      <c r="G75" s="18" t="n">
        <v>35.6271692</v>
      </c>
      <c r="H75" s="20" t="n">
        <v>3.35867462</v>
      </c>
      <c r="I75" s="18" t="s">
        <v>567</v>
      </c>
      <c r="J75" s="20" t="s">
        <v>567</v>
      </c>
      <c r="K75" s="18" t="n">
        <v>4.19992034</v>
      </c>
      <c r="L75" s="20" t="n">
        <v>1.4138037</v>
      </c>
      <c r="M75" s="18" t="n">
        <v>0</v>
      </c>
      <c r="N75" s="20" t="n">
        <v>0</v>
      </c>
      <c r="O75" s="18" t="n">
        <v>0</v>
      </c>
      <c r="P75" s="20" t="n">
        <v>0</v>
      </c>
      <c r="Q75" s="18" t="n">
        <v>0</v>
      </c>
      <c r="R75" s="20" t="n">
        <v>0</v>
      </c>
    </row>
    <row r="76" spans="1:18">
      <c r="A76" s="15" t="s">
        <v>636</v>
      </c>
      <c r="B76" s="17" t="n">
        <v>7052</v>
      </c>
      <c r="C76" s="18">
        <f>(6271.0/B76*100)</f>
        <v/>
      </c>
      <c r="D76" s="19" t="n">
        <v>781</v>
      </c>
      <c r="E76" s="18" t="n">
        <v>52.75732635</v>
      </c>
      <c r="F76" s="20" t="n">
        <v>2.43706251</v>
      </c>
      <c r="G76" s="18" t="n">
        <v>46.06401299</v>
      </c>
      <c r="H76" s="20" t="n">
        <v>2.35191342</v>
      </c>
      <c r="I76" s="18" t="s">
        <v>567</v>
      </c>
      <c r="J76" s="20" t="s">
        <v>567</v>
      </c>
      <c r="K76" s="18" t="n">
        <v>1.17866066</v>
      </c>
      <c r="L76" s="20" t="n">
        <v>0.40675978</v>
      </c>
      <c r="M76" s="18" t="n">
        <v>0</v>
      </c>
      <c r="N76" s="20" t="n">
        <v>0</v>
      </c>
      <c r="O76" s="18" t="n">
        <v>0</v>
      </c>
      <c r="P76" s="20" t="n">
        <v>0</v>
      </c>
      <c r="Q76" s="18" t="n">
        <v>0</v>
      </c>
      <c r="R76" s="20" t="n">
        <v>0</v>
      </c>
    </row>
    <row r="77" spans="1:18">
      <c r="A77" s="15" t="s">
        <v>637</v>
      </c>
      <c r="B77" s="17" t="n">
        <v>2908</v>
      </c>
      <c r="C77" s="18">
        <f>(2597.0/B77*100)</f>
        <v/>
      </c>
      <c r="D77" s="19" t="n">
        <v>311</v>
      </c>
      <c r="E77" s="18" t="n">
        <v>56.9219791</v>
      </c>
      <c r="F77" s="20" t="n">
        <v>2.83109855</v>
      </c>
      <c r="G77" s="18" t="n">
        <v>41.26912138</v>
      </c>
      <c r="H77" s="20" t="n">
        <v>2.84318634</v>
      </c>
      <c r="I77" s="18" t="s">
        <v>567</v>
      </c>
      <c r="J77" s="20" t="s">
        <v>567</v>
      </c>
      <c r="K77" s="18" t="n">
        <v>1.80889952</v>
      </c>
      <c r="L77" s="20" t="n">
        <v>0.72323531</v>
      </c>
      <c r="M77" s="18" t="n">
        <v>0</v>
      </c>
      <c r="N77" s="20" t="n">
        <v>0</v>
      </c>
      <c r="O77" s="18" t="n">
        <v>0</v>
      </c>
      <c r="P77" s="20" t="n">
        <v>0</v>
      </c>
      <c r="Q77" s="18" t="n">
        <v>0</v>
      </c>
      <c r="R77" s="20" t="n">
        <v>0</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(3716.0/B81*100)</f>
        <v/>
      </c>
      <c r="D81" s="19" t="n">
        <v>447</v>
      </c>
      <c r="E81" s="18" t="n">
        <v>52.50968531</v>
      </c>
      <c r="F81" s="20" t="n">
        <v>3.35612266</v>
      </c>
      <c r="G81" s="18" t="n">
        <v>47.49031469</v>
      </c>
      <c r="H81" s="20" t="n">
        <v>3.35612266</v>
      </c>
      <c r="I81" s="18" t="s">
        <v>567</v>
      </c>
      <c r="J81" s="20" t="s">
        <v>567</v>
      </c>
      <c r="K81" s="18" t="n">
        <v>0</v>
      </c>
      <c r="L81" s="20" t="n">
        <v>0</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(5766.0/B7*100)</f>
        <v/>
      </c>
      <c r="D7" s="19" t="n">
        <v>1601</v>
      </c>
      <c r="E7" s="18" t="n">
        <v>54.8260598</v>
      </c>
      <c r="F7" s="20" t="n">
        <v>1.65063256</v>
      </c>
      <c r="G7" s="18" t="n">
        <v>44.22392925</v>
      </c>
      <c r="H7" s="20" t="n">
        <v>1.58918684</v>
      </c>
      <c r="I7" s="18" t="s">
        <v>567</v>
      </c>
      <c r="J7" s="20" t="s">
        <v>567</v>
      </c>
      <c r="K7" s="18" t="n">
        <v>0.02201584</v>
      </c>
      <c r="L7" s="20" t="n">
        <v>0.01582138</v>
      </c>
      <c r="M7" s="18" t="n">
        <v>0</v>
      </c>
      <c r="N7" s="20" t="n">
        <v>0</v>
      </c>
      <c r="O7" s="18" t="n">
        <v>0</v>
      </c>
      <c r="P7" s="20" t="n">
        <v>0</v>
      </c>
      <c r="Q7" s="18" t="n">
        <v>0.92799511</v>
      </c>
      <c r="R7" s="20" t="n">
        <v>0.29762763</v>
      </c>
    </row>
    <row r="8" spans="1:18">
      <c r="A8" s="15" t="s">
        <v>568</v>
      </c>
      <c r="B8" s="17" t="n">
        <v>3564</v>
      </c>
      <c r="C8" s="18">
        <f>(2771.0/B8*100)</f>
        <v/>
      </c>
      <c r="D8" s="19" t="n">
        <v>793</v>
      </c>
      <c r="E8" s="18" t="n">
        <v>55.93477938</v>
      </c>
      <c r="F8" s="20" t="n">
        <v>2.14198236</v>
      </c>
      <c r="G8" s="18" t="n">
        <v>43.16387542</v>
      </c>
      <c r="H8" s="20" t="n">
        <v>2.09458805</v>
      </c>
      <c r="I8" s="18" t="s">
        <v>567</v>
      </c>
      <c r="J8" s="20" t="s">
        <v>567</v>
      </c>
      <c r="K8" s="18" t="n">
        <v>0</v>
      </c>
      <c r="L8" s="20" t="n">
        <v>0</v>
      </c>
      <c r="M8" s="18" t="n">
        <v>0</v>
      </c>
      <c r="N8" s="20" t="n">
        <v>0</v>
      </c>
      <c r="O8" s="18" t="n">
        <v>0</v>
      </c>
      <c r="P8" s="20" t="n">
        <v>0</v>
      </c>
      <c r="Q8" s="18" t="n">
        <v>0.9013452</v>
      </c>
      <c r="R8" s="20" t="n">
        <v>0.29907186</v>
      </c>
    </row>
    <row r="9" spans="1:18">
      <c r="A9" s="15" t="s">
        <v>569</v>
      </c>
      <c r="B9" s="17" t="n">
        <v>4899</v>
      </c>
      <c r="C9" s="18">
        <f>(3811.0/B9*100)</f>
        <v/>
      </c>
      <c r="D9" s="19" t="n">
        <v>1088</v>
      </c>
      <c r="E9" s="18" t="n">
        <v>59.05067046</v>
      </c>
      <c r="F9" s="20" t="n">
        <v>1.53916693</v>
      </c>
      <c r="G9" s="18" t="n">
        <v>40.38006616</v>
      </c>
      <c r="H9" s="20" t="n">
        <v>1.56787144</v>
      </c>
      <c r="I9" s="18" t="s">
        <v>567</v>
      </c>
      <c r="J9" s="20" t="s">
        <v>567</v>
      </c>
      <c r="K9" s="18" t="n">
        <v>0</v>
      </c>
      <c r="L9" s="20" t="n">
        <v>0</v>
      </c>
      <c r="M9" s="18" t="n">
        <v>0</v>
      </c>
      <c r="N9" s="20" t="n">
        <v>0</v>
      </c>
      <c r="O9" s="18" t="n">
        <v>0</v>
      </c>
      <c r="P9" s="20" t="n">
        <v>0</v>
      </c>
      <c r="Q9" s="18" t="n">
        <v>0.56926337</v>
      </c>
      <c r="R9" s="20" t="n">
        <v>0.2269872</v>
      </c>
    </row>
    <row r="10" spans="1:18">
      <c r="A10" s="15" t="s">
        <v>570</v>
      </c>
      <c r="B10" s="17" t="n">
        <v>10036</v>
      </c>
      <c r="C10" s="18">
        <f>(7876.0/B10*100)</f>
        <v/>
      </c>
      <c r="D10" s="19" t="n">
        <v>2160</v>
      </c>
      <c r="E10" s="18" t="n">
        <v>56.49846728</v>
      </c>
      <c r="F10" s="20" t="n">
        <v>1.43386004</v>
      </c>
      <c r="G10" s="18" t="n">
        <v>42.98380606</v>
      </c>
      <c r="H10" s="20" t="n">
        <v>1.43324573</v>
      </c>
      <c r="I10" s="18" t="s">
        <v>567</v>
      </c>
      <c r="J10" s="20" t="s">
        <v>567</v>
      </c>
      <c r="K10" s="18" t="n">
        <v>0.16317675</v>
      </c>
      <c r="L10" s="20" t="n">
        <v>0.1221871</v>
      </c>
      <c r="M10" s="18" t="n">
        <v>0</v>
      </c>
      <c r="N10" s="20" t="n">
        <v>0</v>
      </c>
      <c r="O10" s="18" t="n">
        <v>0</v>
      </c>
      <c r="P10" s="20" t="n">
        <v>0</v>
      </c>
      <c r="Q10" s="18" t="n">
        <v>0.3545499</v>
      </c>
      <c r="R10" s="20" t="n">
        <v>0.1557371</v>
      </c>
    </row>
    <row r="11" spans="1:18">
      <c r="A11" s="15" t="s">
        <v>571</v>
      </c>
      <c r="B11" s="17" t="n">
        <v>3553</v>
      </c>
      <c r="C11" s="18">
        <f>(2831.0/B11*100)</f>
        <v/>
      </c>
      <c r="D11" s="19" t="n">
        <v>722</v>
      </c>
      <c r="E11" s="18" t="n">
        <v>68.48236484</v>
      </c>
      <c r="F11" s="20" t="n">
        <v>1.92552406</v>
      </c>
      <c r="G11" s="18" t="n">
        <v>30.23418248</v>
      </c>
      <c r="H11" s="20" t="n">
        <v>1.91795082</v>
      </c>
      <c r="I11" s="18" t="s">
        <v>567</v>
      </c>
      <c r="J11" s="20" t="s">
        <v>567</v>
      </c>
      <c r="K11" s="18" t="n">
        <v>0.14925492</v>
      </c>
      <c r="L11" s="20" t="n">
        <v>0.10491084</v>
      </c>
      <c r="M11" s="18" t="n">
        <v>0</v>
      </c>
      <c r="N11" s="20" t="n">
        <v>0</v>
      </c>
      <c r="O11" s="18" t="n">
        <v>0</v>
      </c>
      <c r="P11" s="20" t="n">
        <v>0</v>
      </c>
      <c r="Q11" s="18" t="n">
        <v>1.13419777</v>
      </c>
      <c r="R11" s="20" t="n">
        <v>0.49716696</v>
      </c>
    </row>
    <row r="12" spans="1:18">
      <c r="A12" s="15" t="s">
        <v>572</v>
      </c>
      <c r="B12" s="17" t="n">
        <v>3472</v>
      </c>
      <c r="C12" s="18">
        <f>(2730.0/B12*100)</f>
        <v/>
      </c>
      <c r="D12" s="19" t="n">
        <v>742</v>
      </c>
      <c r="E12" s="18" t="n">
        <v>50.41365767</v>
      </c>
      <c r="F12" s="20" t="n">
        <v>2.25414583</v>
      </c>
      <c r="G12" s="18" t="n">
        <v>49.26814766</v>
      </c>
      <c r="H12" s="20" t="n">
        <v>2.22958103</v>
      </c>
      <c r="I12" s="18" t="s">
        <v>567</v>
      </c>
      <c r="J12" s="20" t="s">
        <v>567</v>
      </c>
      <c r="K12" s="18" t="n">
        <v>0</v>
      </c>
      <c r="L12" s="20" t="n">
        <v>0</v>
      </c>
      <c r="M12" s="18" t="n">
        <v>0</v>
      </c>
      <c r="N12" s="20" t="n">
        <v>0</v>
      </c>
      <c r="O12" s="18" t="n">
        <v>0</v>
      </c>
      <c r="P12" s="20" t="n">
        <v>0</v>
      </c>
      <c r="Q12" s="18" t="n">
        <v>0.31819466</v>
      </c>
      <c r="R12" s="20" t="n">
        <v>0.37073704</v>
      </c>
    </row>
    <row r="13" spans="1:18">
      <c r="A13" s="15" t="s">
        <v>573</v>
      </c>
      <c r="B13" s="17" t="n">
        <v>3559</v>
      </c>
      <c r="C13" s="18">
        <f>(2848.0/B13*100)</f>
        <v/>
      </c>
      <c r="D13" s="19" t="n">
        <v>711</v>
      </c>
      <c r="E13" s="18" t="n">
        <v>44.35905431</v>
      </c>
      <c r="F13" s="20" t="n">
        <v>2.33235557</v>
      </c>
      <c r="G13" s="18" t="n">
        <v>54.02180128</v>
      </c>
      <c r="H13" s="20" t="n">
        <v>2.35211283</v>
      </c>
      <c r="I13" s="18" t="s">
        <v>567</v>
      </c>
      <c r="J13" s="20" t="s">
        <v>567</v>
      </c>
      <c r="K13" s="18" t="n">
        <v>0.34907678</v>
      </c>
      <c r="L13" s="20" t="n">
        <v>0.19165129</v>
      </c>
      <c r="M13" s="18" t="n">
        <v>0</v>
      </c>
      <c r="N13" s="20" t="n">
        <v>0</v>
      </c>
      <c r="O13" s="18" t="n">
        <v>0</v>
      </c>
      <c r="P13" s="20" t="n">
        <v>0</v>
      </c>
      <c r="Q13" s="18" t="n">
        <v>1.27006763</v>
      </c>
      <c r="R13" s="20" t="n">
        <v>0.52072235</v>
      </c>
    </row>
    <row r="14" spans="1:18">
      <c r="A14" s="15" t="s">
        <v>574</v>
      </c>
      <c r="B14" s="17" t="n">
        <v>2799</v>
      </c>
      <c r="C14" s="18">
        <f>(2216.0/B14*100)</f>
        <v/>
      </c>
      <c r="D14" s="19" t="n">
        <v>583</v>
      </c>
      <c r="E14" s="18" t="n">
        <v>52.42877048</v>
      </c>
      <c r="F14" s="20" t="n">
        <v>2.56069023</v>
      </c>
      <c r="G14" s="18" t="n">
        <v>47.15424533</v>
      </c>
      <c r="H14" s="20" t="n">
        <v>2.56964715</v>
      </c>
      <c r="I14" s="18" t="s">
        <v>567</v>
      </c>
      <c r="J14" s="20" t="s">
        <v>567</v>
      </c>
      <c r="K14" s="18" t="n">
        <v>0.14263488</v>
      </c>
      <c r="L14" s="20" t="n">
        <v>0.14332604</v>
      </c>
      <c r="M14" s="18" t="n">
        <v>0</v>
      </c>
      <c r="N14" s="20" t="n">
        <v>0</v>
      </c>
      <c r="O14" s="18" t="n">
        <v>0</v>
      </c>
      <c r="P14" s="20" t="n">
        <v>0</v>
      </c>
      <c r="Q14" s="18" t="n">
        <v>0.27434931</v>
      </c>
      <c r="R14" s="20" t="n">
        <v>0.20323287</v>
      </c>
    </row>
    <row r="15" spans="1:18">
      <c r="A15" s="15" t="s">
        <v>575</v>
      </c>
      <c r="B15" s="17" t="n">
        <v>3019</v>
      </c>
      <c r="C15" s="18">
        <f>(2343.0/B15*100)</f>
        <v/>
      </c>
      <c r="D15" s="19" t="n">
        <v>676</v>
      </c>
      <c r="E15" s="18" t="n">
        <v>39.03196782</v>
      </c>
      <c r="F15" s="20" t="n">
        <v>1.79356143</v>
      </c>
      <c r="G15" s="18" t="n">
        <v>60.81380576</v>
      </c>
      <c r="H15" s="20" t="n">
        <v>1.81381633</v>
      </c>
      <c r="I15" s="18" t="s">
        <v>567</v>
      </c>
      <c r="J15" s="20" t="s">
        <v>567</v>
      </c>
      <c r="K15" s="18" t="n">
        <v>0</v>
      </c>
      <c r="L15" s="20" t="n">
        <v>0</v>
      </c>
      <c r="M15" s="18" t="n">
        <v>0</v>
      </c>
      <c r="N15" s="20" t="n">
        <v>0</v>
      </c>
      <c r="O15" s="18" t="n">
        <v>0</v>
      </c>
      <c r="P15" s="20" t="n">
        <v>0</v>
      </c>
      <c r="Q15" s="18" t="n">
        <v>0.15422642</v>
      </c>
      <c r="R15" s="20" t="n">
        <v>0.166509</v>
      </c>
    </row>
    <row r="16" spans="1:18">
      <c r="A16" s="15" t="s">
        <v>576</v>
      </c>
      <c r="B16" s="17" t="n">
        <v>2997</v>
      </c>
      <c r="C16" s="18">
        <f>(2318.0/B16*100)</f>
        <v/>
      </c>
      <c r="D16" s="19" t="n">
        <v>679</v>
      </c>
      <c r="E16" s="18" t="n">
        <v>58.11585614</v>
      </c>
      <c r="F16" s="20" t="n">
        <v>1.81816056</v>
      </c>
      <c r="G16" s="18" t="n">
        <v>39.56680472</v>
      </c>
      <c r="H16" s="20" t="n">
        <v>1.73180765</v>
      </c>
      <c r="I16" s="18" t="s">
        <v>567</v>
      </c>
      <c r="J16" s="20" t="s">
        <v>567</v>
      </c>
      <c r="K16" s="18" t="n">
        <v>0.46656053</v>
      </c>
      <c r="L16" s="20" t="n">
        <v>0.24930061</v>
      </c>
      <c r="M16" s="18" t="n">
        <v>0</v>
      </c>
      <c r="N16" s="20" t="n">
        <v>0</v>
      </c>
      <c r="O16" s="18" t="n">
        <v>0</v>
      </c>
      <c r="P16" s="20" t="n">
        <v>0</v>
      </c>
      <c r="Q16" s="18" t="n">
        <v>1.85077861</v>
      </c>
      <c r="R16" s="20" t="n">
        <v>0.54796406</v>
      </c>
    </row>
    <row r="17" spans="1:18">
      <c r="A17" s="15" t="s">
        <v>577</v>
      </c>
      <c r="B17" s="17" t="n">
        <v>3307</v>
      </c>
      <c r="C17" s="18">
        <f>(2600.0/B17*100)</f>
        <v/>
      </c>
      <c r="D17" s="19" t="n">
        <v>707</v>
      </c>
      <c r="E17" s="18" t="n">
        <v>58.58503751</v>
      </c>
      <c r="F17" s="20" t="n">
        <v>1.67569397</v>
      </c>
      <c r="G17" s="18" t="n">
        <v>40.75378302</v>
      </c>
      <c r="H17" s="20" t="n">
        <v>1.64399455</v>
      </c>
      <c r="I17" s="18" t="s">
        <v>567</v>
      </c>
      <c r="J17" s="20" t="s">
        <v>567</v>
      </c>
      <c r="K17" s="18" t="n">
        <v>0.14125871</v>
      </c>
      <c r="L17" s="20" t="n">
        <v>0.14137758</v>
      </c>
      <c r="M17" s="18" t="n">
        <v>0</v>
      </c>
      <c r="N17" s="20" t="n">
        <v>0</v>
      </c>
      <c r="O17" s="18" t="n">
        <v>0</v>
      </c>
      <c r="P17" s="20" t="n">
        <v>0</v>
      </c>
      <c r="Q17" s="18" t="n">
        <v>0.51992077</v>
      </c>
      <c r="R17" s="20" t="n">
        <v>0.27315006</v>
      </c>
    </row>
    <row r="18" spans="1:18">
      <c r="A18" s="15" t="s">
        <v>578</v>
      </c>
      <c r="B18" s="17" t="n">
        <v>2826</v>
      </c>
      <c r="C18" s="18">
        <f>(2199.0/B18*100)</f>
        <v/>
      </c>
      <c r="D18" s="19" t="n">
        <v>627</v>
      </c>
      <c r="E18" s="18" t="n">
        <v>56.45862304</v>
      </c>
      <c r="F18" s="20" t="n">
        <v>2.23435571</v>
      </c>
      <c r="G18" s="18" t="n">
        <v>42.58865462</v>
      </c>
      <c r="H18" s="20" t="n">
        <v>2.36140744</v>
      </c>
      <c r="I18" s="18" t="s">
        <v>567</v>
      </c>
      <c r="J18" s="20" t="s">
        <v>567</v>
      </c>
      <c r="K18" s="18" t="n">
        <v>0</v>
      </c>
      <c r="L18" s="20" t="n">
        <v>0</v>
      </c>
      <c r="M18" s="18" t="n">
        <v>0</v>
      </c>
      <c r="N18" s="20" t="n">
        <v>0</v>
      </c>
      <c r="O18" s="18" t="n">
        <v>0</v>
      </c>
      <c r="P18" s="20" t="n">
        <v>0</v>
      </c>
      <c r="Q18" s="18" t="n">
        <v>0.95272234</v>
      </c>
      <c r="R18" s="20" t="n">
        <v>0.55804792</v>
      </c>
    </row>
    <row r="19" spans="1:18">
      <c r="A19" s="15" t="s">
        <v>579</v>
      </c>
      <c r="B19" s="17" t="n">
        <v>2808</v>
      </c>
      <c r="C19" s="18">
        <f>(2215.0/B19*100)</f>
        <v/>
      </c>
      <c r="D19" s="19" t="n">
        <v>593</v>
      </c>
      <c r="E19" s="18" t="n">
        <v>59.46744264</v>
      </c>
      <c r="F19" s="20" t="n">
        <v>2.0825789</v>
      </c>
      <c r="G19" s="18" t="n">
        <v>40.00696471</v>
      </c>
      <c r="H19" s="20" t="n">
        <v>2.04986248</v>
      </c>
      <c r="I19" s="18" t="s">
        <v>567</v>
      </c>
      <c r="J19" s="20" t="s">
        <v>567</v>
      </c>
      <c r="K19" s="18" t="n">
        <v>0</v>
      </c>
      <c r="L19" s="20" t="n">
        <v>0</v>
      </c>
      <c r="M19" s="18" t="n">
        <v>0</v>
      </c>
      <c r="N19" s="20" t="n">
        <v>0</v>
      </c>
      <c r="O19" s="18" t="n">
        <v>0</v>
      </c>
      <c r="P19" s="20" t="n">
        <v>0</v>
      </c>
      <c r="Q19" s="18" t="n">
        <v>0.52559265</v>
      </c>
      <c r="R19" s="20" t="n">
        <v>0.29901132</v>
      </c>
    </row>
    <row r="20" spans="1:18">
      <c r="A20" s="15" t="s">
        <v>580</v>
      </c>
      <c r="B20" s="17" t="n">
        <v>1630</v>
      </c>
      <c r="C20" s="18">
        <f>(1266.0/B20*100)</f>
        <v/>
      </c>
      <c r="D20" s="19" t="n">
        <v>364</v>
      </c>
      <c r="E20" s="18" t="n">
        <v>57.43808536</v>
      </c>
      <c r="F20" s="20" t="n">
        <v>2.60146138</v>
      </c>
      <c r="G20" s="18" t="n">
        <v>41.53372183</v>
      </c>
      <c r="H20" s="20" t="n">
        <v>2.57543045</v>
      </c>
      <c r="I20" s="18" t="s">
        <v>567</v>
      </c>
      <c r="J20" s="20" t="s">
        <v>567</v>
      </c>
      <c r="K20" s="18" t="n">
        <v>0.23320212</v>
      </c>
      <c r="L20" s="20" t="n">
        <v>0.23092805</v>
      </c>
      <c r="M20" s="18" t="n">
        <v>0</v>
      </c>
      <c r="N20" s="20" t="n">
        <v>0</v>
      </c>
      <c r="O20" s="18" t="n">
        <v>0</v>
      </c>
      <c r="P20" s="20" t="n">
        <v>0</v>
      </c>
      <c r="Q20" s="18" t="n">
        <v>0.79499069</v>
      </c>
      <c r="R20" s="20" t="n">
        <v>0.46347469</v>
      </c>
    </row>
    <row r="21" spans="1:18">
      <c r="A21" s="15" t="s">
        <v>581</v>
      </c>
      <c r="B21" s="17" t="n">
        <v>2908</v>
      </c>
      <c r="C21" s="18">
        <f>(2253.0/B21*100)</f>
        <v/>
      </c>
      <c r="D21" s="19" t="n">
        <v>655</v>
      </c>
      <c r="E21" s="18" t="n">
        <v>57.56517747</v>
      </c>
      <c r="F21" s="20" t="n">
        <v>1.94755144</v>
      </c>
      <c r="G21" s="18" t="n">
        <v>41.06380756</v>
      </c>
      <c r="H21" s="20" t="n">
        <v>1.8984723</v>
      </c>
      <c r="I21" s="18" t="s">
        <v>567</v>
      </c>
      <c r="J21" s="20" t="s">
        <v>567</v>
      </c>
      <c r="K21" s="18" t="n">
        <v>0</v>
      </c>
      <c r="L21" s="20" t="n">
        <v>0</v>
      </c>
      <c r="M21" s="18" t="n">
        <v>0</v>
      </c>
      <c r="N21" s="20" t="n">
        <v>0</v>
      </c>
      <c r="O21" s="18" t="n">
        <v>0</v>
      </c>
      <c r="P21" s="20" t="n">
        <v>0</v>
      </c>
      <c r="Q21" s="18" t="n">
        <v>1.37101496</v>
      </c>
      <c r="R21" s="20" t="n">
        <v>0.49342267</v>
      </c>
    </row>
    <row r="22" spans="1:18">
      <c r="A22" s="15" t="s">
        <v>582</v>
      </c>
      <c r="B22" s="17" t="n">
        <v>2931</v>
      </c>
      <c r="C22" s="18">
        <f>(2295.0/B22*100)</f>
        <v/>
      </c>
      <c r="D22" s="19" t="n">
        <v>636</v>
      </c>
      <c r="E22" s="18" t="n">
        <v>56.42419788</v>
      </c>
      <c r="F22" s="20" t="n">
        <v>2.0922936</v>
      </c>
      <c r="G22" s="18" t="n">
        <v>42.68987526</v>
      </c>
      <c r="H22" s="20" t="n">
        <v>2.00955573</v>
      </c>
      <c r="I22" s="18" t="s">
        <v>567</v>
      </c>
      <c r="J22" s="20" t="s">
        <v>567</v>
      </c>
      <c r="K22" s="18" t="n">
        <v>0</v>
      </c>
      <c r="L22" s="20" t="n">
        <v>0</v>
      </c>
      <c r="M22" s="18" t="n">
        <v>0</v>
      </c>
      <c r="N22" s="20" t="n">
        <v>0</v>
      </c>
      <c r="O22" s="18" t="n">
        <v>0</v>
      </c>
      <c r="P22" s="20" t="n">
        <v>0</v>
      </c>
      <c r="Q22" s="18" t="n">
        <v>0.88592686</v>
      </c>
      <c r="R22" s="20" t="n">
        <v>0.41207696</v>
      </c>
    </row>
    <row r="23" spans="1:18">
      <c r="A23" s="15" t="s">
        <v>583</v>
      </c>
      <c r="B23" s="17" t="n">
        <v>5791</v>
      </c>
      <c r="C23" s="18">
        <f>(4467.0/B23*100)</f>
        <v/>
      </c>
      <c r="D23" s="19" t="n">
        <v>1324</v>
      </c>
      <c r="E23" s="18" t="n">
        <v>52.45069187</v>
      </c>
      <c r="F23" s="20" t="n">
        <v>1.82776126</v>
      </c>
      <c r="G23" s="18" t="n">
        <v>46.47132458</v>
      </c>
      <c r="H23" s="20" t="n">
        <v>1.83856088</v>
      </c>
      <c r="I23" s="18" t="s">
        <v>567</v>
      </c>
      <c r="J23" s="20" t="s">
        <v>567</v>
      </c>
      <c r="K23" s="18" t="n">
        <v>0</v>
      </c>
      <c r="L23" s="20" t="n">
        <v>0</v>
      </c>
      <c r="M23" s="18" t="n">
        <v>0</v>
      </c>
      <c r="N23" s="20" t="n">
        <v>0</v>
      </c>
      <c r="O23" s="18" t="n">
        <v>0</v>
      </c>
      <c r="P23" s="20" t="n">
        <v>0</v>
      </c>
      <c r="Q23" s="18" t="n">
        <v>1.07798354</v>
      </c>
      <c r="R23" s="20" t="n">
        <v>0.31258837</v>
      </c>
    </row>
    <row r="24" spans="1:18">
      <c r="A24" s="15" t="s">
        <v>584</v>
      </c>
      <c r="B24" s="17" t="n">
        <v>3338</v>
      </c>
      <c r="C24" s="18">
        <f>(2606.0/B24*100)</f>
        <v/>
      </c>
      <c r="D24" s="19" t="n">
        <v>732</v>
      </c>
      <c r="E24" s="18" t="n">
        <v>28.47130496</v>
      </c>
      <c r="F24" s="20" t="n">
        <v>1.60319946</v>
      </c>
      <c r="G24" s="18" t="n">
        <v>71.1416862</v>
      </c>
      <c r="H24" s="20" t="n">
        <v>1.62071279</v>
      </c>
      <c r="I24" s="18" t="s">
        <v>567</v>
      </c>
      <c r="J24" s="20" t="s">
        <v>567</v>
      </c>
      <c r="K24" s="18" t="n">
        <v>0</v>
      </c>
      <c r="L24" s="20" t="n">
        <v>0</v>
      </c>
      <c r="M24" s="18" t="n">
        <v>0</v>
      </c>
      <c r="N24" s="20" t="n">
        <v>0</v>
      </c>
      <c r="O24" s="18" t="n">
        <v>0</v>
      </c>
      <c r="P24" s="20" t="n">
        <v>0</v>
      </c>
      <c r="Q24" s="18" t="n">
        <v>0.38700885</v>
      </c>
      <c r="R24" s="20" t="n">
        <v>0.21747368</v>
      </c>
    </row>
    <row r="25" spans="1:18">
      <c r="A25" s="15" t="s">
        <v>585</v>
      </c>
      <c r="B25" s="17" t="n">
        <v>2912</v>
      </c>
      <c r="C25" s="18">
        <f>(2282.0/B25*100)</f>
        <v/>
      </c>
      <c r="D25" s="19" t="n">
        <v>630</v>
      </c>
      <c r="E25" s="18" t="n">
        <v>19.16709996</v>
      </c>
      <c r="F25" s="20" t="n">
        <v>1.51349952</v>
      </c>
      <c r="G25" s="18" t="n">
        <v>80.49468754</v>
      </c>
      <c r="H25" s="20" t="n">
        <v>1.541622</v>
      </c>
      <c r="I25" s="18" t="s">
        <v>567</v>
      </c>
      <c r="J25" s="20" t="s">
        <v>567</v>
      </c>
      <c r="K25" s="18" t="n">
        <v>0</v>
      </c>
      <c r="L25" s="20" t="n">
        <v>0</v>
      </c>
      <c r="M25" s="18" t="n">
        <v>0</v>
      </c>
      <c r="N25" s="20" t="n">
        <v>0</v>
      </c>
      <c r="O25" s="18" t="n">
        <v>0</v>
      </c>
      <c r="P25" s="20" t="n">
        <v>0</v>
      </c>
      <c r="Q25" s="18" t="n">
        <v>0.3382125</v>
      </c>
      <c r="R25" s="20" t="n">
        <v>0.23833351</v>
      </c>
    </row>
    <row r="26" spans="1:18">
      <c r="A26" s="15" t="s">
        <v>586</v>
      </c>
      <c r="B26" s="17" t="n">
        <v>2450</v>
      </c>
      <c r="C26" s="18">
        <f>(1917.0/B26*100)</f>
        <v/>
      </c>
      <c r="D26" s="19" t="n">
        <v>533</v>
      </c>
      <c r="E26" s="18" t="n">
        <v>49.98147941</v>
      </c>
      <c r="F26" s="20" t="n">
        <v>2.46394202</v>
      </c>
      <c r="G26" s="18" t="n">
        <v>49.20529399</v>
      </c>
      <c r="H26" s="20" t="n">
        <v>2.33666887</v>
      </c>
      <c r="I26" s="18" t="s">
        <v>567</v>
      </c>
      <c r="J26" s="20" t="s">
        <v>567</v>
      </c>
      <c r="K26" s="18" t="n">
        <v>0</v>
      </c>
      <c r="L26" s="20" t="n">
        <v>0</v>
      </c>
      <c r="M26" s="18" t="n">
        <v>0</v>
      </c>
      <c r="N26" s="20" t="n">
        <v>0</v>
      </c>
      <c r="O26" s="18" t="n">
        <v>0</v>
      </c>
      <c r="P26" s="20" t="n">
        <v>0</v>
      </c>
      <c r="Q26" s="18" t="n">
        <v>0.8132266</v>
      </c>
      <c r="R26" s="20" t="n">
        <v>0.46295836</v>
      </c>
    </row>
    <row r="27" spans="1:18">
      <c r="A27" s="15" t="s">
        <v>587</v>
      </c>
      <c r="B27" s="17" t="n">
        <v>2616</v>
      </c>
      <c r="C27" s="18">
        <f>(1976.0/B27*100)</f>
        <v/>
      </c>
      <c r="D27" s="19" t="n">
        <v>640</v>
      </c>
      <c r="E27" s="18" t="n">
        <v>60.48769826</v>
      </c>
      <c r="F27" s="20" t="n">
        <v>1.75111315</v>
      </c>
      <c r="G27" s="18" t="n">
        <v>38.55480643</v>
      </c>
      <c r="H27" s="20" t="n">
        <v>1.79529572</v>
      </c>
      <c r="I27" s="18" t="s">
        <v>567</v>
      </c>
      <c r="J27" s="20" t="s">
        <v>567</v>
      </c>
      <c r="K27" s="18" t="n">
        <v>0.31903791</v>
      </c>
      <c r="L27" s="20" t="n">
        <v>0.22476306</v>
      </c>
      <c r="M27" s="18" t="n">
        <v>0</v>
      </c>
      <c r="N27" s="20" t="n">
        <v>0</v>
      </c>
      <c r="O27" s="18" t="n">
        <v>0</v>
      </c>
      <c r="P27" s="20" t="n">
        <v>0</v>
      </c>
      <c r="Q27" s="18" t="n">
        <v>0.63845739</v>
      </c>
      <c r="R27" s="20" t="n">
        <v>0.3144531</v>
      </c>
    </row>
    <row r="28" spans="1:18">
      <c r="A28" s="15" t="s">
        <v>588</v>
      </c>
      <c r="B28" s="17" t="n">
        <v>3765</v>
      </c>
      <c r="C28" s="18">
        <f>(2956.0/B28*100)</f>
        <v/>
      </c>
      <c r="D28" s="19" t="n">
        <v>809</v>
      </c>
      <c r="E28" s="18" t="n">
        <v>71.39182753999999</v>
      </c>
      <c r="F28" s="20" t="n">
        <v>1.541322</v>
      </c>
      <c r="G28" s="18" t="n">
        <v>27.46811788</v>
      </c>
      <c r="H28" s="20" t="n">
        <v>1.59238841</v>
      </c>
      <c r="I28" s="18" t="s">
        <v>567</v>
      </c>
      <c r="J28" s="20" t="s">
        <v>567</v>
      </c>
      <c r="K28" s="18" t="n">
        <v>0</v>
      </c>
      <c r="L28" s="20" t="n">
        <v>0</v>
      </c>
      <c r="M28" s="18" t="n">
        <v>0</v>
      </c>
      <c r="N28" s="20" t="n">
        <v>0</v>
      </c>
      <c r="O28" s="18" t="n">
        <v>0</v>
      </c>
      <c r="P28" s="20" t="n">
        <v>0</v>
      </c>
      <c r="Q28" s="18" t="n">
        <v>1.14005458</v>
      </c>
      <c r="R28" s="20" t="n">
        <v>0.31911784</v>
      </c>
    </row>
    <row r="29" spans="1:18">
      <c r="A29" s="15" t="s">
        <v>589</v>
      </c>
      <c r="B29" s="17" t="n">
        <v>2685</v>
      </c>
      <c r="C29" s="18">
        <f>(2150.0/B29*100)</f>
        <v/>
      </c>
      <c r="D29" s="19" t="n">
        <v>535</v>
      </c>
      <c r="E29" s="18" t="n">
        <v>56.392974</v>
      </c>
      <c r="F29" s="20" t="n">
        <v>2.24885607</v>
      </c>
      <c r="G29" s="18" t="n">
        <v>43.15945502</v>
      </c>
      <c r="H29" s="20" t="n">
        <v>2.20295763</v>
      </c>
      <c r="I29" s="18" t="s">
        <v>567</v>
      </c>
      <c r="J29" s="20" t="s">
        <v>567</v>
      </c>
      <c r="K29" s="18" t="n">
        <v>0</v>
      </c>
      <c r="L29" s="20" t="n">
        <v>0</v>
      </c>
      <c r="M29" s="18" t="n">
        <v>0</v>
      </c>
      <c r="N29" s="20" t="n">
        <v>0</v>
      </c>
      <c r="O29" s="18" t="n">
        <v>0</v>
      </c>
      <c r="P29" s="20" t="n">
        <v>0</v>
      </c>
      <c r="Q29" s="18" t="n">
        <v>0.44757098</v>
      </c>
      <c r="R29" s="20" t="n">
        <v>0.29560629</v>
      </c>
    </row>
    <row r="30" spans="1:18">
      <c r="A30" s="15" t="s">
        <v>590</v>
      </c>
      <c r="B30" s="17" t="n">
        <v>2263</v>
      </c>
      <c r="C30" s="18">
        <f>(1744.0/B30*100)</f>
        <v/>
      </c>
      <c r="D30" s="19" t="n">
        <v>519</v>
      </c>
      <c r="E30" s="18" t="n">
        <v>52.3765251</v>
      </c>
      <c r="F30" s="20" t="n">
        <v>2.23104531</v>
      </c>
      <c r="G30" s="18" t="n">
        <v>46.44988296</v>
      </c>
      <c r="H30" s="20" t="n">
        <v>2.19681251</v>
      </c>
      <c r="I30" s="18" t="s">
        <v>567</v>
      </c>
      <c r="J30" s="20" t="s">
        <v>567</v>
      </c>
      <c r="K30" s="18" t="n">
        <v>0.1735835</v>
      </c>
      <c r="L30" s="20" t="n">
        <v>0.17724416</v>
      </c>
      <c r="M30" s="18" t="n">
        <v>0</v>
      </c>
      <c r="N30" s="20" t="n">
        <v>0</v>
      </c>
      <c r="O30" s="18" t="n">
        <v>0</v>
      </c>
      <c r="P30" s="20" t="n">
        <v>0</v>
      </c>
      <c r="Q30" s="18" t="n">
        <v>1.00000844</v>
      </c>
      <c r="R30" s="20" t="n">
        <v>0.35945851</v>
      </c>
    </row>
    <row r="31" spans="1:18">
      <c r="A31" s="15" t="s">
        <v>591</v>
      </c>
      <c r="B31" s="17" t="n">
        <v>2750</v>
      </c>
      <c r="C31" s="18">
        <f>(2119.0/B31*100)</f>
        <v/>
      </c>
      <c r="D31" s="19" t="n">
        <v>631</v>
      </c>
      <c r="E31" s="18" t="n">
        <v>52.36283173</v>
      </c>
      <c r="F31" s="20" t="n">
        <v>1.85189134</v>
      </c>
      <c r="G31" s="18" t="n">
        <v>45.94873813</v>
      </c>
      <c r="H31" s="20" t="n">
        <v>1.86790903</v>
      </c>
      <c r="I31" s="18" t="s">
        <v>567</v>
      </c>
      <c r="J31" s="20" t="s">
        <v>567</v>
      </c>
      <c r="K31" s="18" t="n">
        <v>0.45493801</v>
      </c>
      <c r="L31" s="20" t="n">
        <v>0.25561227</v>
      </c>
      <c r="M31" s="18" t="n">
        <v>0</v>
      </c>
      <c r="N31" s="20" t="n">
        <v>0</v>
      </c>
      <c r="O31" s="18" t="n">
        <v>0</v>
      </c>
      <c r="P31" s="20" t="n">
        <v>0</v>
      </c>
      <c r="Q31" s="18" t="n">
        <v>1.23349213</v>
      </c>
      <c r="R31" s="20" t="n">
        <v>0.47627288</v>
      </c>
    </row>
    <row r="32" spans="1:18">
      <c r="A32" s="15" t="s">
        <v>592</v>
      </c>
      <c r="B32" s="17" t="n">
        <v>2269</v>
      </c>
      <c r="C32" s="18">
        <f>(1747.0/B32*100)</f>
        <v/>
      </c>
      <c r="D32" s="19" t="n">
        <v>522</v>
      </c>
      <c r="E32" s="18" t="n">
        <v>49.26596304</v>
      </c>
      <c r="F32" s="20" t="n">
        <v>2.17374973</v>
      </c>
      <c r="G32" s="18" t="n">
        <v>50.054513</v>
      </c>
      <c r="H32" s="20" t="n">
        <v>2.14212744</v>
      </c>
      <c r="I32" s="18" t="s">
        <v>567</v>
      </c>
      <c r="J32" s="20" t="s">
        <v>567</v>
      </c>
      <c r="K32" s="18" t="n">
        <v>0</v>
      </c>
      <c r="L32" s="20" t="n">
        <v>0</v>
      </c>
      <c r="M32" s="18" t="n">
        <v>0</v>
      </c>
      <c r="N32" s="20" t="n">
        <v>0</v>
      </c>
      <c r="O32" s="18" t="n">
        <v>0</v>
      </c>
      <c r="P32" s="20" t="n">
        <v>0</v>
      </c>
      <c r="Q32" s="18" t="n">
        <v>0.67952396</v>
      </c>
      <c r="R32" s="20" t="n">
        <v>0.35730591</v>
      </c>
    </row>
    <row r="33" spans="1:18">
      <c r="A33" s="15" t="s">
        <v>593</v>
      </c>
      <c r="B33" s="17" t="n">
        <v>3674</v>
      </c>
      <c r="C33" s="18">
        <f>(2868.0/B33*100)</f>
        <v/>
      </c>
      <c r="D33" s="19" t="n">
        <v>806</v>
      </c>
      <c r="E33" s="18" t="n">
        <v>53.11260728</v>
      </c>
      <c r="F33" s="20" t="n">
        <v>2.42897697</v>
      </c>
      <c r="G33" s="18" t="n">
        <v>46.34261263</v>
      </c>
      <c r="H33" s="20" t="n">
        <v>2.40165844</v>
      </c>
      <c r="I33" s="18" t="s">
        <v>567</v>
      </c>
      <c r="J33" s="20" t="s">
        <v>567</v>
      </c>
      <c r="K33" s="18" t="n">
        <v>0</v>
      </c>
      <c r="L33" s="20" t="n">
        <v>0</v>
      </c>
      <c r="M33" s="18" t="n">
        <v>0</v>
      </c>
      <c r="N33" s="20" t="n">
        <v>0</v>
      </c>
      <c r="O33" s="18" t="n">
        <v>0</v>
      </c>
      <c r="P33" s="20" t="n">
        <v>0</v>
      </c>
      <c r="Q33" s="18" t="n">
        <v>0.54478008</v>
      </c>
      <c r="R33" s="20" t="n">
        <v>0.36994701</v>
      </c>
    </row>
    <row r="34" spans="1:18">
      <c r="A34" s="15" t="s">
        <v>594</v>
      </c>
      <c r="B34" s="17" t="n">
        <v>3315</v>
      </c>
      <c r="C34" s="18">
        <f>(2599.0/B34*100)</f>
        <v/>
      </c>
      <c r="D34" s="19" t="n">
        <v>716</v>
      </c>
      <c r="E34" s="18" t="n">
        <v>56.62315642</v>
      </c>
      <c r="F34" s="20" t="n">
        <v>1.62043055</v>
      </c>
      <c r="G34" s="18" t="n">
        <v>42.76640111</v>
      </c>
      <c r="H34" s="20" t="n">
        <v>1.68718546</v>
      </c>
      <c r="I34" s="18" t="s">
        <v>567</v>
      </c>
      <c r="J34" s="20" t="s">
        <v>567</v>
      </c>
      <c r="K34" s="18" t="n">
        <v>0</v>
      </c>
      <c r="L34" s="20" t="n">
        <v>0</v>
      </c>
      <c r="M34" s="18" t="n">
        <v>0</v>
      </c>
      <c r="N34" s="20" t="n">
        <v>0</v>
      </c>
      <c r="O34" s="18" t="n">
        <v>0</v>
      </c>
      <c r="P34" s="20" t="n">
        <v>0</v>
      </c>
      <c r="Q34" s="18" t="n">
        <v>0.61044247</v>
      </c>
      <c r="R34" s="20" t="n">
        <v>0.30410556</v>
      </c>
    </row>
    <row r="35" spans="1:18">
      <c r="A35" s="15" t="s">
        <v>595</v>
      </c>
      <c r="B35" s="17" t="n">
        <v>3505</v>
      </c>
      <c r="C35" s="18">
        <f>(2723.0/B35*100)</f>
        <v/>
      </c>
      <c r="D35" s="19" t="n">
        <v>782</v>
      </c>
      <c r="E35" s="18" t="n">
        <v>38.52954243</v>
      </c>
      <c r="F35" s="20" t="n">
        <v>1.98860416</v>
      </c>
      <c r="G35" s="18" t="n">
        <v>61.18519048</v>
      </c>
      <c r="H35" s="20" t="n">
        <v>1.98323643</v>
      </c>
      <c r="I35" s="18" t="s">
        <v>567</v>
      </c>
      <c r="J35" s="20" t="s">
        <v>567</v>
      </c>
      <c r="K35" s="18" t="n">
        <v>0.11319984</v>
      </c>
      <c r="L35" s="20" t="n">
        <v>0.07996328</v>
      </c>
      <c r="M35" s="18" t="n">
        <v>0</v>
      </c>
      <c r="N35" s="20" t="n">
        <v>0</v>
      </c>
      <c r="O35" s="18" t="n">
        <v>0</v>
      </c>
      <c r="P35" s="20" t="n">
        <v>0</v>
      </c>
      <c r="Q35" s="18" t="n">
        <v>0.17206725</v>
      </c>
      <c r="R35" s="20" t="n">
        <v>0.11641646</v>
      </c>
    </row>
    <row r="36" spans="1:18">
      <c r="A36" s="15" t="s">
        <v>596</v>
      </c>
      <c r="B36" s="17" t="n">
        <v>3332</v>
      </c>
      <c r="C36" s="18">
        <f>(2630.0/B36*100)</f>
        <v/>
      </c>
      <c r="D36" s="19" t="n">
        <v>702</v>
      </c>
      <c r="E36" s="18" t="n">
        <v>62.68613256</v>
      </c>
      <c r="F36" s="20" t="n">
        <v>1.89251662</v>
      </c>
      <c r="G36" s="18" t="n">
        <v>35.9531</v>
      </c>
      <c r="H36" s="20" t="n">
        <v>1.84919258</v>
      </c>
      <c r="I36" s="18" t="s">
        <v>567</v>
      </c>
      <c r="J36" s="20" t="s">
        <v>567</v>
      </c>
      <c r="K36" s="18" t="n">
        <v>0</v>
      </c>
      <c r="L36" s="20" t="n">
        <v>0</v>
      </c>
      <c r="M36" s="18" t="n">
        <v>0</v>
      </c>
      <c r="N36" s="20" t="n">
        <v>0</v>
      </c>
      <c r="O36" s="18" t="n">
        <v>0</v>
      </c>
      <c r="P36" s="20" t="n">
        <v>0</v>
      </c>
      <c r="Q36" s="18" t="n">
        <v>1.36076744</v>
      </c>
      <c r="R36" s="20" t="n">
        <v>0.43604313</v>
      </c>
    </row>
    <row r="37" spans="1:18">
      <c r="A37" s="15" t="s">
        <v>597</v>
      </c>
      <c r="B37" s="17" t="n">
        <v>2727</v>
      </c>
      <c r="C37" s="18">
        <f>(2144.0/B37*100)</f>
        <v/>
      </c>
      <c r="D37" s="19" t="n">
        <v>583</v>
      </c>
      <c r="E37" s="18" t="n">
        <v>50.65508625</v>
      </c>
      <c r="F37" s="20" t="n">
        <v>2.18843521</v>
      </c>
      <c r="G37" s="18" t="n">
        <v>48.69660979</v>
      </c>
      <c r="H37" s="20" t="n">
        <v>2.14367949</v>
      </c>
      <c r="I37" s="18" t="s">
        <v>567</v>
      </c>
      <c r="J37" s="20" t="s">
        <v>567</v>
      </c>
      <c r="K37" s="18" t="n">
        <v>0.1474625</v>
      </c>
      <c r="L37" s="20" t="n">
        <v>0.20875818</v>
      </c>
      <c r="M37" s="18" t="n">
        <v>0</v>
      </c>
      <c r="N37" s="20" t="n">
        <v>0</v>
      </c>
      <c r="O37" s="18" t="n">
        <v>0</v>
      </c>
      <c r="P37" s="20" t="n">
        <v>0</v>
      </c>
      <c r="Q37" s="18" t="n">
        <v>0.50084146</v>
      </c>
      <c r="R37" s="20" t="n">
        <v>0.30138814</v>
      </c>
    </row>
    <row r="38" spans="1:18">
      <c r="A38" s="15" t="s">
        <v>598</v>
      </c>
      <c r="B38" s="17" t="n">
        <v>3053</v>
      </c>
      <c r="C38" s="18">
        <f>(2396.0/B38*100)</f>
        <v/>
      </c>
      <c r="D38" s="19" t="n">
        <v>657</v>
      </c>
      <c r="E38" s="18" t="n">
        <v>53.90478834</v>
      </c>
      <c r="F38" s="20" t="n">
        <v>2.08646545</v>
      </c>
      <c r="G38" s="18" t="n">
        <v>45.90898668</v>
      </c>
      <c r="H38" s="20" t="n">
        <v>2.10083283</v>
      </c>
      <c r="I38" s="18" t="s">
        <v>567</v>
      </c>
      <c r="J38" s="20" t="s">
        <v>567</v>
      </c>
      <c r="K38" s="18" t="n">
        <v>0</v>
      </c>
      <c r="L38" s="20" t="n">
        <v>0</v>
      </c>
      <c r="M38" s="18" t="n">
        <v>0</v>
      </c>
      <c r="N38" s="20" t="n">
        <v>0</v>
      </c>
      <c r="O38" s="18" t="n">
        <v>0</v>
      </c>
      <c r="P38" s="20" t="n">
        <v>0</v>
      </c>
      <c r="Q38" s="18" t="n">
        <v>0.18622498</v>
      </c>
      <c r="R38" s="20" t="n">
        <v>0.18430527</v>
      </c>
    </row>
    <row r="39" spans="1:18">
      <c r="A39" s="15" t="s">
        <v>599</v>
      </c>
      <c r="B39" s="17" t="n">
        <v>2957</v>
      </c>
      <c r="C39" s="18">
        <f>(2320.0/B39*100)</f>
        <v/>
      </c>
      <c r="D39" s="19" t="n">
        <v>637</v>
      </c>
      <c r="E39" s="18" t="n">
        <v>53.36002283</v>
      </c>
      <c r="F39" s="20" t="n">
        <v>2.51936429</v>
      </c>
      <c r="G39" s="18" t="n">
        <v>45.89162075</v>
      </c>
      <c r="H39" s="20" t="n">
        <v>2.46895055</v>
      </c>
      <c r="I39" s="18" t="s">
        <v>567</v>
      </c>
      <c r="J39" s="20" t="s">
        <v>567</v>
      </c>
      <c r="K39" s="18" t="n">
        <v>0.63297025</v>
      </c>
      <c r="L39" s="20" t="n">
        <v>0.26599727</v>
      </c>
      <c r="M39" s="18" t="n">
        <v>0</v>
      </c>
      <c r="N39" s="20" t="n">
        <v>0</v>
      </c>
      <c r="O39" s="18" t="n">
        <v>0</v>
      </c>
      <c r="P39" s="20" t="n">
        <v>0</v>
      </c>
      <c r="Q39" s="18" t="n">
        <v>0.11538617</v>
      </c>
      <c r="R39" s="20" t="n">
        <v>0.16390621</v>
      </c>
    </row>
    <row r="40" spans="1:18">
      <c r="A40" s="15" t="s">
        <v>600</v>
      </c>
      <c r="B40" s="17" t="n">
        <v>7235</v>
      </c>
      <c r="C40" s="18">
        <f>(5650.0/B40*100)</f>
        <v/>
      </c>
      <c r="D40" s="19" t="n">
        <v>1585</v>
      </c>
      <c r="E40" s="18" t="n">
        <v>56.63166389</v>
      </c>
      <c r="F40" s="20" t="n">
        <v>2.15531017</v>
      </c>
      <c r="G40" s="18" t="n">
        <v>42.68966676</v>
      </c>
      <c r="H40" s="20" t="n">
        <v>2.13595724</v>
      </c>
      <c r="I40" s="18" t="s">
        <v>567</v>
      </c>
      <c r="J40" s="20" t="s">
        <v>567</v>
      </c>
      <c r="K40" s="18" t="n">
        <v>0</v>
      </c>
      <c r="L40" s="20" t="n">
        <v>0</v>
      </c>
      <c r="M40" s="18" t="n">
        <v>0</v>
      </c>
      <c r="N40" s="20" t="n">
        <v>0</v>
      </c>
      <c r="O40" s="18" t="n">
        <v>0</v>
      </c>
      <c r="P40" s="20" t="n">
        <v>0</v>
      </c>
      <c r="Q40" s="18" t="n">
        <v>0.6786693499999999</v>
      </c>
      <c r="R40" s="20" t="n">
        <v>0.28513737</v>
      </c>
    </row>
    <row r="41" spans="1:18">
      <c r="A41" s="15" t="s">
        <v>601</v>
      </c>
      <c r="B41" s="17" t="n">
        <v>2858</v>
      </c>
      <c r="C41" s="18">
        <f>(2263.0/B41*100)</f>
        <v/>
      </c>
      <c r="D41" s="19" t="n">
        <v>595</v>
      </c>
      <c r="E41" s="18" t="n">
        <v>54.76510335</v>
      </c>
      <c r="F41" s="20" t="n">
        <v>1.94359619</v>
      </c>
      <c r="G41" s="18" t="n">
        <v>44.84660964</v>
      </c>
      <c r="H41" s="20" t="n">
        <v>1.96598905</v>
      </c>
      <c r="I41" s="18" t="s">
        <v>567</v>
      </c>
      <c r="J41" s="20" t="s">
        <v>567</v>
      </c>
      <c r="K41" s="18" t="n">
        <v>0</v>
      </c>
      <c r="L41" s="20" t="n">
        <v>0</v>
      </c>
      <c r="M41" s="18" t="n">
        <v>0</v>
      </c>
      <c r="N41" s="20" t="n">
        <v>0</v>
      </c>
      <c r="O41" s="18" t="n">
        <v>0</v>
      </c>
      <c r="P41" s="20" t="n">
        <v>0</v>
      </c>
      <c r="Q41" s="18" t="n">
        <v>0.38828701</v>
      </c>
      <c r="R41" s="20" t="n">
        <v>0.25015196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(8742.0/B46*100)</f>
        <v/>
      </c>
      <c r="D46" s="19" t="n">
        <v>2326</v>
      </c>
      <c r="E46" s="18" t="n">
        <v>72.03838395</v>
      </c>
      <c r="F46" s="20" t="n">
        <v>1.51180645</v>
      </c>
      <c r="G46" s="18" t="n">
        <v>25.99761865</v>
      </c>
      <c r="H46" s="20" t="n">
        <v>1.47229192</v>
      </c>
      <c r="I46" s="18" t="s">
        <v>567</v>
      </c>
      <c r="J46" s="20" t="s">
        <v>567</v>
      </c>
      <c r="K46" s="18" t="n">
        <v>0.42627874</v>
      </c>
      <c r="L46" s="20" t="n">
        <v>0.18682052</v>
      </c>
      <c r="M46" s="18" t="n">
        <v>0</v>
      </c>
      <c r="N46" s="20" t="n">
        <v>0</v>
      </c>
      <c r="O46" s="18" t="n">
        <v>0</v>
      </c>
      <c r="P46" s="20" t="n">
        <v>0</v>
      </c>
      <c r="Q46" s="18" t="n">
        <v>1.53771867</v>
      </c>
      <c r="R46" s="20" t="n">
        <v>0.30114754</v>
      </c>
    </row>
    <row r="47" spans="1:18">
      <c r="A47" s="15" t="s">
        <v>607</v>
      </c>
      <c r="B47" s="17" t="n">
        <v>3105</v>
      </c>
      <c r="C47" s="18">
        <f>(2460.0/B47*100)</f>
        <v/>
      </c>
      <c r="D47" s="19" t="n">
        <v>645</v>
      </c>
      <c r="E47" s="18" t="n">
        <v>58.24998805</v>
      </c>
      <c r="F47" s="20" t="n">
        <v>2.46544645</v>
      </c>
      <c r="G47" s="18" t="n">
        <v>40.68350749</v>
      </c>
      <c r="H47" s="20" t="n">
        <v>2.46921505</v>
      </c>
      <c r="I47" s="18" t="s">
        <v>567</v>
      </c>
      <c r="J47" s="20" t="s">
        <v>567</v>
      </c>
      <c r="K47" s="18" t="n">
        <v>0</v>
      </c>
      <c r="L47" s="20" t="n">
        <v>0</v>
      </c>
      <c r="M47" s="18" t="n">
        <v>0</v>
      </c>
      <c r="N47" s="20" t="n">
        <v>0</v>
      </c>
      <c r="O47" s="18" t="n">
        <v>0</v>
      </c>
      <c r="P47" s="20" t="n">
        <v>0</v>
      </c>
      <c r="Q47" s="18" t="n">
        <v>1.06650446</v>
      </c>
      <c r="R47" s="20" t="n">
        <v>0.40423579</v>
      </c>
    </row>
    <row r="48" spans="1:18">
      <c r="A48" s="15" t="s">
        <v>608</v>
      </c>
      <c r="B48" s="17" t="n">
        <v>5159</v>
      </c>
      <c r="C48" s="18">
        <f>(4021.0/B48*100)</f>
        <v/>
      </c>
      <c r="D48" s="19" t="n">
        <v>1138</v>
      </c>
      <c r="E48" s="18" t="n">
        <v>20.13229975</v>
      </c>
      <c r="F48" s="20" t="n">
        <v>1.60849374</v>
      </c>
      <c r="G48" s="18" t="n">
        <v>78.76490751</v>
      </c>
      <c r="H48" s="20" t="n">
        <v>1.69508391</v>
      </c>
      <c r="I48" s="18" t="s">
        <v>567</v>
      </c>
      <c r="J48" s="20" t="s">
        <v>567</v>
      </c>
      <c r="K48" s="18" t="n">
        <v>0.42052798</v>
      </c>
      <c r="L48" s="20" t="n">
        <v>0.24150428</v>
      </c>
      <c r="M48" s="18" t="n">
        <v>0</v>
      </c>
      <c r="N48" s="20" t="n">
        <v>0</v>
      </c>
      <c r="O48" s="18" t="n">
        <v>0</v>
      </c>
      <c r="P48" s="20" t="n">
        <v>0</v>
      </c>
      <c r="Q48" s="18" t="n">
        <v>0.68226476</v>
      </c>
      <c r="R48" s="20" t="n">
        <v>0.36175682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(4423.0/B50*100)</f>
        <v/>
      </c>
      <c r="D50" s="19" t="n">
        <v>1214</v>
      </c>
      <c r="E50" s="18" t="n">
        <v>77.29114199</v>
      </c>
      <c r="F50" s="20" t="n">
        <v>1.51861197</v>
      </c>
      <c r="G50" s="18" t="n">
        <v>20.91346809</v>
      </c>
      <c r="H50" s="20" t="n">
        <v>1.40541515</v>
      </c>
      <c r="I50" s="18" t="s">
        <v>567</v>
      </c>
      <c r="J50" s="20" t="s">
        <v>567</v>
      </c>
      <c r="K50" s="18" t="n">
        <v>0.3022975</v>
      </c>
      <c r="L50" s="20" t="n">
        <v>0.30124138</v>
      </c>
      <c r="M50" s="18" t="n">
        <v>0</v>
      </c>
      <c r="N50" s="20" t="n">
        <v>0</v>
      </c>
      <c r="O50" s="18" t="n">
        <v>0</v>
      </c>
      <c r="P50" s="20" t="n">
        <v>0</v>
      </c>
      <c r="Q50" s="18" t="n">
        <v>1.49309243</v>
      </c>
      <c r="R50" s="20" t="n">
        <v>0.49467999</v>
      </c>
    </row>
    <row r="51" spans="1:18">
      <c r="A51" s="15" t="s">
        <v>611</v>
      </c>
      <c r="B51" s="17" t="n">
        <v>3372</v>
      </c>
      <c r="C51" s="18">
        <f>(2732.0/B51*100)</f>
        <v/>
      </c>
      <c r="D51" s="19" t="n">
        <v>640</v>
      </c>
      <c r="E51" s="18" t="n">
        <v>77.87361873</v>
      </c>
      <c r="F51" s="20" t="n">
        <v>1.63035729</v>
      </c>
      <c r="G51" s="18" t="n">
        <v>19.60675293</v>
      </c>
      <c r="H51" s="20" t="n">
        <v>1.64619037</v>
      </c>
      <c r="I51" s="18" t="s">
        <v>567</v>
      </c>
      <c r="J51" s="20" t="s">
        <v>567</v>
      </c>
      <c r="K51" s="18" t="n">
        <v>0.2280876</v>
      </c>
      <c r="L51" s="20" t="n">
        <v>0.20437451</v>
      </c>
      <c r="M51" s="18" t="n">
        <v>0</v>
      </c>
      <c r="N51" s="20" t="n">
        <v>0</v>
      </c>
      <c r="O51" s="18" t="n">
        <v>0</v>
      </c>
      <c r="P51" s="20" t="n">
        <v>0</v>
      </c>
      <c r="Q51" s="18" t="n">
        <v>2.29154074</v>
      </c>
      <c r="R51" s="20" t="n">
        <v>0.70998903</v>
      </c>
    </row>
    <row r="52" spans="1:18">
      <c r="A52" s="15" t="s">
        <v>612</v>
      </c>
      <c r="B52" s="17" t="n">
        <v>2796</v>
      </c>
      <c r="C52" s="18">
        <f>(2142.0/B52*100)</f>
        <v/>
      </c>
      <c r="D52" s="19" t="n">
        <v>654</v>
      </c>
      <c r="E52" s="18" t="n">
        <v>62.64035452</v>
      </c>
      <c r="F52" s="20" t="n">
        <v>1.96730838</v>
      </c>
      <c r="G52" s="18" t="n">
        <v>36.62342023</v>
      </c>
      <c r="H52" s="20" t="n">
        <v>1.91154069</v>
      </c>
      <c r="I52" s="18" t="s">
        <v>567</v>
      </c>
      <c r="J52" s="20" t="s">
        <v>567</v>
      </c>
      <c r="K52" s="18" t="n">
        <v>0</v>
      </c>
      <c r="L52" s="20" t="n">
        <v>0</v>
      </c>
      <c r="M52" s="18" t="n">
        <v>0</v>
      </c>
      <c r="N52" s="20" t="n">
        <v>0</v>
      </c>
      <c r="O52" s="18" t="n">
        <v>0</v>
      </c>
      <c r="P52" s="20" t="n">
        <v>0</v>
      </c>
      <c r="Q52" s="18" t="n">
        <v>0.73622526</v>
      </c>
      <c r="R52" s="20" t="n">
        <v>0.33599586</v>
      </c>
    </row>
    <row r="53" spans="1:18">
      <c r="A53" s="15" t="s">
        <v>613</v>
      </c>
      <c r="B53" s="17" t="n">
        <v>2811</v>
      </c>
      <c r="C53" s="18">
        <f>(2208.0/B53*100)</f>
        <v/>
      </c>
      <c r="D53" s="19" t="n">
        <v>603</v>
      </c>
      <c r="E53" s="18" t="n">
        <v>54.9405407</v>
      </c>
      <c r="F53" s="20" t="n">
        <v>2.0925023</v>
      </c>
      <c r="G53" s="18" t="n">
        <v>43.06164291</v>
      </c>
      <c r="H53" s="20" t="n">
        <v>2.03699606</v>
      </c>
      <c r="I53" s="18" t="s">
        <v>567</v>
      </c>
      <c r="J53" s="20" t="s">
        <v>567</v>
      </c>
      <c r="K53" s="18" t="n">
        <v>0.1175277</v>
      </c>
      <c r="L53" s="20" t="n">
        <v>0.11770808</v>
      </c>
      <c r="M53" s="18" t="n">
        <v>0</v>
      </c>
      <c r="N53" s="20" t="n">
        <v>0</v>
      </c>
      <c r="O53" s="18" t="n">
        <v>0</v>
      </c>
      <c r="P53" s="20" t="n">
        <v>0</v>
      </c>
      <c r="Q53" s="18" t="n">
        <v>1.88028869</v>
      </c>
      <c r="R53" s="20" t="n">
        <v>0.59694804</v>
      </c>
    </row>
    <row r="54" spans="1:18">
      <c r="A54" s="15" t="s">
        <v>614</v>
      </c>
      <c r="B54" s="17" t="n">
        <v>2266</v>
      </c>
      <c r="C54" s="18">
        <f>(1740.0/B54*100)</f>
        <v/>
      </c>
      <c r="D54" s="19" t="n">
        <v>526</v>
      </c>
      <c r="E54" s="18" t="n">
        <v>84.42131454</v>
      </c>
      <c r="F54" s="20" t="n">
        <v>1.67851005</v>
      </c>
      <c r="G54" s="18" t="n">
        <v>10.93083536</v>
      </c>
      <c r="H54" s="20" t="n">
        <v>1.50650122</v>
      </c>
      <c r="I54" s="18" t="s">
        <v>567</v>
      </c>
      <c r="J54" s="20" t="s">
        <v>567</v>
      </c>
      <c r="K54" s="18" t="n">
        <v>2.23711605</v>
      </c>
      <c r="L54" s="20" t="n">
        <v>0.76689658</v>
      </c>
      <c r="M54" s="18" t="n">
        <v>0</v>
      </c>
      <c r="N54" s="20" t="n">
        <v>0</v>
      </c>
      <c r="O54" s="18" t="n">
        <v>0</v>
      </c>
      <c r="P54" s="20" t="n">
        <v>0</v>
      </c>
      <c r="Q54" s="18" t="n">
        <v>2.41073405</v>
      </c>
      <c r="R54" s="20" t="n">
        <v>0.63932737</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(2064.0/B56*100)</f>
        <v/>
      </c>
      <c r="D56" s="19" t="n">
        <v>620</v>
      </c>
      <c r="E56" s="18" t="n">
        <v>49.82438502</v>
      </c>
      <c r="F56" s="20" t="n">
        <v>2.34170086</v>
      </c>
      <c r="G56" s="18" t="n">
        <v>49.8600902</v>
      </c>
      <c r="H56" s="20" t="n">
        <v>2.35598025</v>
      </c>
      <c r="I56" s="18" t="s">
        <v>567</v>
      </c>
      <c r="J56" s="20" t="s">
        <v>567</v>
      </c>
      <c r="K56" s="18" t="n">
        <v>0</v>
      </c>
      <c r="L56" s="20" t="n">
        <v>0</v>
      </c>
      <c r="M56" s="18" t="n">
        <v>0</v>
      </c>
      <c r="N56" s="20" t="n">
        <v>0</v>
      </c>
      <c r="O56" s="18" t="n">
        <v>0</v>
      </c>
      <c r="P56" s="20" t="n">
        <v>0</v>
      </c>
      <c r="Q56" s="18" t="n">
        <v>0.31552478</v>
      </c>
      <c r="R56" s="20" t="n">
        <v>0.21795105</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(2593.0/B61*100)</f>
        <v/>
      </c>
      <c r="D61" s="19" t="n">
        <v>731</v>
      </c>
      <c r="E61" s="18" t="n">
        <v>52.56316561</v>
      </c>
      <c r="F61" s="20" t="n">
        <v>1.73436543</v>
      </c>
      <c r="G61" s="18" t="n">
        <v>46.46751509</v>
      </c>
      <c r="H61" s="20" t="n">
        <v>1.80970417</v>
      </c>
      <c r="I61" s="18" t="s">
        <v>567</v>
      </c>
      <c r="J61" s="20" t="s">
        <v>567</v>
      </c>
      <c r="K61" s="18" t="n">
        <v>0</v>
      </c>
      <c r="L61" s="20" t="n">
        <v>0</v>
      </c>
      <c r="M61" s="18" t="n">
        <v>0</v>
      </c>
      <c r="N61" s="20" t="n">
        <v>0</v>
      </c>
      <c r="O61" s="18" t="n">
        <v>0</v>
      </c>
      <c r="P61" s="20" t="n">
        <v>0</v>
      </c>
      <c r="Q61" s="18" t="n">
        <v>0.9693193</v>
      </c>
      <c r="R61" s="20" t="n">
        <v>0.44802089</v>
      </c>
    </row>
    <row r="62" spans="1:18">
      <c r="A62" s="15" t="s">
        <v>622</v>
      </c>
      <c r="B62" s="17" t="n">
        <v>2246</v>
      </c>
      <c r="C62" s="18">
        <f>(1789.0/B62*100)</f>
        <v/>
      </c>
      <c r="D62" s="19" t="n">
        <v>457</v>
      </c>
      <c r="E62" s="18" t="n">
        <v>39.66039513</v>
      </c>
      <c r="F62" s="20" t="n">
        <v>2.12140155</v>
      </c>
      <c r="G62" s="18" t="n">
        <v>60.10556547</v>
      </c>
      <c r="H62" s="20" t="n">
        <v>2.14921702</v>
      </c>
      <c r="I62" s="18" t="s">
        <v>567</v>
      </c>
      <c r="J62" s="20" t="s">
        <v>567</v>
      </c>
      <c r="K62" s="18" t="n">
        <v>0</v>
      </c>
      <c r="L62" s="20" t="n">
        <v>0</v>
      </c>
      <c r="M62" s="18" t="n">
        <v>0</v>
      </c>
      <c r="N62" s="20" t="n">
        <v>0</v>
      </c>
      <c r="O62" s="18" t="n">
        <v>0</v>
      </c>
      <c r="P62" s="20" t="n">
        <v>0</v>
      </c>
      <c r="Q62" s="18" t="n">
        <v>0.23403939</v>
      </c>
      <c r="R62" s="20" t="n">
        <v>0.23438673</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(2232.0/B66*100)</f>
        <v/>
      </c>
      <c r="D66" s="19" t="n">
        <v>662</v>
      </c>
      <c r="E66" s="18" t="n">
        <v>68.86003558</v>
      </c>
      <c r="F66" s="20" t="n">
        <v>2.09221985</v>
      </c>
      <c r="G66" s="18" t="n">
        <v>29.50018666</v>
      </c>
      <c r="H66" s="20" t="n">
        <v>1.97844733</v>
      </c>
      <c r="I66" s="18" t="s">
        <v>567</v>
      </c>
      <c r="J66" s="20" t="s">
        <v>567</v>
      </c>
      <c r="K66" s="18" t="n">
        <v>0.1480372</v>
      </c>
      <c r="L66" s="20" t="n">
        <v>0.14670188</v>
      </c>
      <c r="M66" s="18" t="n">
        <v>0</v>
      </c>
      <c r="N66" s="20" t="n">
        <v>0</v>
      </c>
      <c r="O66" s="18" t="n">
        <v>0</v>
      </c>
      <c r="P66" s="20" t="n">
        <v>0</v>
      </c>
      <c r="Q66" s="18" t="n">
        <v>1.49174056</v>
      </c>
      <c r="R66" s="20" t="n">
        <v>0.47487624</v>
      </c>
    </row>
    <row r="67" spans="1:18">
      <c r="A67" s="15" t="s">
        <v>627</v>
      </c>
      <c r="B67" s="17" t="n">
        <v>3511</v>
      </c>
      <c r="C67" s="18">
        <f>(2751.0/B67*100)</f>
        <v/>
      </c>
      <c r="D67" s="19" t="n">
        <v>760</v>
      </c>
      <c r="E67" s="18" t="n">
        <v>75.52152280999999</v>
      </c>
      <c r="F67" s="20" t="n">
        <v>2.02270762</v>
      </c>
      <c r="G67" s="18" t="n">
        <v>23.64276837</v>
      </c>
      <c r="H67" s="20" t="n">
        <v>2.00002253</v>
      </c>
      <c r="I67" s="18" t="s">
        <v>567</v>
      </c>
      <c r="J67" s="20" t="s">
        <v>567</v>
      </c>
      <c r="K67" s="18" t="n">
        <v>0</v>
      </c>
      <c r="L67" s="20" t="n">
        <v>0</v>
      </c>
      <c r="M67" s="18" t="n">
        <v>0</v>
      </c>
      <c r="N67" s="20" t="n">
        <v>0</v>
      </c>
      <c r="O67" s="18" t="n">
        <v>0</v>
      </c>
      <c r="P67" s="20" t="n">
        <v>0</v>
      </c>
      <c r="Q67" s="18" t="n">
        <v>0.83570882</v>
      </c>
      <c r="R67" s="20" t="n">
        <v>0.32415784</v>
      </c>
    </row>
    <row r="68" spans="1:18">
      <c r="A68" s="15" t="s">
        <v>628</v>
      </c>
      <c r="B68" s="17" t="n">
        <v>6049</v>
      </c>
      <c r="C68" s="18">
        <f>(4714.0/B68*100)</f>
        <v/>
      </c>
      <c r="D68" s="19" t="n">
        <v>1335</v>
      </c>
      <c r="E68" s="18" t="n">
        <v>67.07736791000001</v>
      </c>
      <c r="F68" s="20" t="n">
        <v>1.20860935</v>
      </c>
      <c r="G68" s="18" t="n">
        <v>30.60539641</v>
      </c>
      <c r="H68" s="20" t="n">
        <v>1.27848063</v>
      </c>
      <c r="I68" s="18" t="s">
        <v>567</v>
      </c>
      <c r="J68" s="20" t="s">
        <v>567</v>
      </c>
      <c r="K68" s="18" t="n">
        <v>0.29211793</v>
      </c>
      <c r="L68" s="20" t="n">
        <v>0.14481494</v>
      </c>
      <c r="M68" s="18" t="n">
        <v>0</v>
      </c>
      <c r="N68" s="20" t="n">
        <v>0</v>
      </c>
      <c r="O68" s="18" t="n">
        <v>0</v>
      </c>
      <c r="P68" s="20" t="n">
        <v>0</v>
      </c>
      <c r="Q68" s="18" t="n">
        <v>2.02511775</v>
      </c>
      <c r="R68" s="20" t="n">
        <v>0.35194637</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(2319.0/B70*100)</f>
        <v/>
      </c>
      <c r="D70" s="19" t="n">
        <v>610</v>
      </c>
      <c r="E70" s="18" t="n">
        <v>53.59408221</v>
      </c>
      <c r="F70" s="20" t="n">
        <v>2.60247209</v>
      </c>
      <c r="G70" s="18" t="n">
        <v>45.4896498</v>
      </c>
      <c r="H70" s="20" t="n">
        <v>2.7970349</v>
      </c>
      <c r="I70" s="18" t="s">
        <v>567</v>
      </c>
      <c r="J70" s="20" t="s">
        <v>567</v>
      </c>
      <c r="K70" s="18" t="n">
        <v>0</v>
      </c>
      <c r="L70" s="20" t="n">
        <v>0</v>
      </c>
      <c r="M70" s="18" t="n">
        <v>0</v>
      </c>
      <c r="N70" s="20" t="n">
        <v>0</v>
      </c>
      <c r="O70" s="18" t="n">
        <v>0</v>
      </c>
      <c r="P70" s="20" t="n">
        <v>0</v>
      </c>
      <c r="Q70" s="18" t="n">
        <v>0.91626799</v>
      </c>
      <c r="R70" s="20" t="n">
        <v>0.43344169</v>
      </c>
    </row>
    <row r="71" spans="1:18">
      <c r="A71" s="15" t="s">
        <v>631</v>
      </c>
      <c r="B71" s="17" t="n">
        <v>3142</v>
      </c>
      <c r="C71" s="18">
        <f>(2464.0/B71*100)</f>
        <v/>
      </c>
      <c r="D71" s="19" t="n">
        <v>678</v>
      </c>
      <c r="E71" s="18" t="n">
        <v>39.19228288</v>
      </c>
      <c r="F71" s="20" t="n">
        <v>1.97411239</v>
      </c>
      <c r="G71" s="18" t="n">
        <v>60.24071621</v>
      </c>
      <c r="H71" s="20" t="n">
        <v>2.02340781</v>
      </c>
      <c r="I71" s="18" t="s">
        <v>567</v>
      </c>
      <c r="J71" s="20" t="s">
        <v>567</v>
      </c>
      <c r="K71" s="18" t="n">
        <v>0.20476804</v>
      </c>
      <c r="L71" s="20" t="n">
        <v>0.14818341</v>
      </c>
      <c r="M71" s="18" t="n">
        <v>0</v>
      </c>
      <c r="N71" s="20" t="n">
        <v>0</v>
      </c>
      <c r="O71" s="18" t="n">
        <v>0</v>
      </c>
      <c r="P71" s="20" t="n">
        <v>0</v>
      </c>
      <c r="Q71" s="18" t="n">
        <v>0.36223287</v>
      </c>
      <c r="R71" s="20" t="n">
        <v>0.17712818</v>
      </c>
    </row>
    <row r="72" spans="1:18">
      <c r="A72" s="15" t="s">
        <v>632</v>
      </c>
      <c r="B72" s="17" t="n">
        <v>3889</v>
      </c>
      <c r="C72" s="18">
        <f>(3011.0/B72*100)</f>
        <v/>
      </c>
      <c r="D72" s="19" t="n">
        <v>878</v>
      </c>
      <c r="E72" s="18" t="n">
        <v>35.77241351</v>
      </c>
      <c r="F72" s="20" t="n">
        <v>2.15992873</v>
      </c>
      <c r="G72" s="18" t="n">
        <v>64.07410745999999</v>
      </c>
      <c r="H72" s="20" t="n">
        <v>2.15971788</v>
      </c>
      <c r="I72" s="18" t="s">
        <v>567</v>
      </c>
      <c r="J72" s="20" t="s">
        <v>567</v>
      </c>
      <c r="K72" s="18" t="n">
        <v>0.07739488999999999</v>
      </c>
      <c r="L72" s="20" t="n">
        <v>0.07962594000000001</v>
      </c>
      <c r="M72" s="18" t="n">
        <v>0</v>
      </c>
      <c r="N72" s="20" t="n">
        <v>0</v>
      </c>
      <c r="O72" s="18" t="n">
        <v>0</v>
      </c>
      <c r="P72" s="20" t="n">
        <v>0</v>
      </c>
      <c r="Q72" s="18" t="n">
        <v>0.07608413999999999</v>
      </c>
      <c r="R72" s="20" t="n">
        <v>0.07590263999999999</v>
      </c>
    </row>
    <row r="73" spans="1:18">
      <c r="A73" s="15" t="s">
        <v>633</v>
      </c>
      <c r="B73" s="17" t="n">
        <v>3597</v>
      </c>
      <c r="C73" s="18">
        <f>(2778.0/B73*100)</f>
        <v/>
      </c>
      <c r="D73" s="19" t="n">
        <v>819</v>
      </c>
      <c r="E73" s="18" t="n">
        <v>56.13692334</v>
      </c>
      <c r="F73" s="20" t="n">
        <v>2.04576461</v>
      </c>
      <c r="G73" s="18" t="n">
        <v>42.54315456</v>
      </c>
      <c r="H73" s="20" t="n">
        <v>2.03873852</v>
      </c>
      <c r="I73" s="18" t="s">
        <v>567</v>
      </c>
      <c r="J73" s="20" t="s">
        <v>567</v>
      </c>
      <c r="K73" s="18" t="n">
        <v>0</v>
      </c>
      <c r="L73" s="20" t="n">
        <v>0</v>
      </c>
      <c r="M73" s="18" t="n">
        <v>0</v>
      </c>
      <c r="N73" s="20" t="n">
        <v>0</v>
      </c>
      <c r="O73" s="18" t="n">
        <v>0</v>
      </c>
      <c r="P73" s="20" t="n">
        <v>0</v>
      </c>
      <c r="Q73" s="18" t="n">
        <v>1.31992211</v>
      </c>
      <c r="R73" s="20" t="n">
        <v>0.45162508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(1905.0/B75*100)</f>
        <v/>
      </c>
      <c r="D75" s="19" t="n">
        <v>501</v>
      </c>
      <c r="E75" s="18" t="n">
        <v>70.41471694000001</v>
      </c>
      <c r="F75" s="20" t="n">
        <v>1.97423521</v>
      </c>
      <c r="G75" s="18" t="n">
        <v>27.78131699</v>
      </c>
      <c r="H75" s="20" t="n">
        <v>1.92041203</v>
      </c>
      <c r="I75" s="18" t="s">
        <v>567</v>
      </c>
      <c r="J75" s="20" t="s">
        <v>567</v>
      </c>
      <c r="K75" s="18" t="n">
        <v>0.10582365</v>
      </c>
      <c r="L75" s="20" t="n">
        <v>0.1039631</v>
      </c>
      <c r="M75" s="18" t="n">
        <v>0</v>
      </c>
      <c r="N75" s="20" t="n">
        <v>0</v>
      </c>
      <c r="O75" s="18" t="n">
        <v>0</v>
      </c>
      <c r="P75" s="20" t="n">
        <v>0</v>
      </c>
      <c r="Q75" s="18" t="n">
        <v>1.69814241</v>
      </c>
      <c r="R75" s="20" t="n">
        <v>0.55101024</v>
      </c>
    </row>
    <row r="76" spans="1:18">
      <c r="A76" s="15" t="s">
        <v>636</v>
      </c>
      <c r="B76" s="17" t="n">
        <v>7052</v>
      </c>
      <c r="C76" s="18">
        <f>(5531.0/B76*100)</f>
        <v/>
      </c>
      <c r="D76" s="19" t="n">
        <v>1521</v>
      </c>
      <c r="E76" s="18" t="n">
        <v>65.94912148</v>
      </c>
      <c r="F76" s="20" t="n">
        <v>1.46614673</v>
      </c>
      <c r="G76" s="18" t="n">
        <v>32.3395798</v>
      </c>
      <c r="H76" s="20" t="n">
        <v>1.53292461</v>
      </c>
      <c r="I76" s="18" t="s">
        <v>567</v>
      </c>
      <c r="J76" s="20" t="s">
        <v>567</v>
      </c>
      <c r="K76" s="18" t="n">
        <v>0.14926006</v>
      </c>
      <c r="L76" s="20" t="n">
        <v>0.10009692</v>
      </c>
      <c r="M76" s="18" t="n">
        <v>0</v>
      </c>
      <c r="N76" s="20" t="n">
        <v>0</v>
      </c>
      <c r="O76" s="18" t="n">
        <v>0</v>
      </c>
      <c r="P76" s="20" t="n">
        <v>0</v>
      </c>
      <c r="Q76" s="18" t="n">
        <v>1.56203866</v>
      </c>
      <c r="R76" s="20" t="n">
        <v>0.42195518</v>
      </c>
    </row>
    <row r="77" spans="1:18">
      <c r="A77" s="15" t="s">
        <v>637</v>
      </c>
      <c r="B77" s="17" t="n">
        <v>2908</v>
      </c>
      <c r="C77" s="18">
        <f>(2258.0/B77*100)</f>
        <v/>
      </c>
      <c r="D77" s="19" t="n">
        <v>650</v>
      </c>
      <c r="E77" s="18" t="n">
        <v>68.25785621</v>
      </c>
      <c r="F77" s="20" t="n">
        <v>1.97236972</v>
      </c>
      <c r="G77" s="18" t="n">
        <v>30.37750228</v>
      </c>
      <c r="H77" s="20" t="n">
        <v>1.99682083</v>
      </c>
      <c r="I77" s="18" t="s">
        <v>567</v>
      </c>
      <c r="J77" s="20" t="s">
        <v>567</v>
      </c>
      <c r="K77" s="18" t="n">
        <v>0.54541153</v>
      </c>
      <c r="L77" s="20" t="n">
        <v>0.28515032</v>
      </c>
      <c r="M77" s="18" t="n">
        <v>0</v>
      </c>
      <c r="N77" s="20" t="n">
        <v>0</v>
      </c>
      <c r="O77" s="18" t="n">
        <v>0</v>
      </c>
      <c r="P77" s="20" t="n">
        <v>0</v>
      </c>
      <c r="Q77" s="18" t="n">
        <v>0.81922997</v>
      </c>
      <c r="R77" s="20" t="n">
        <v>0.41277277</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(3207.0/B81*100)</f>
        <v/>
      </c>
      <c r="D81" s="19" t="n">
        <v>956</v>
      </c>
      <c r="E81" s="18" t="n">
        <v>61.70398444</v>
      </c>
      <c r="F81" s="20" t="n">
        <v>1.77579186</v>
      </c>
      <c r="G81" s="18" t="n">
        <v>37.66881467</v>
      </c>
      <c r="H81" s="20" t="n">
        <v>1.76975869</v>
      </c>
      <c r="I81" s="18" t="s">
        <v>567</v>
      </c>
      <c r="J81" s="20" t="s">
        <v>567</v>
      </c>
      <c r="K81" s="18" t="n">
        <v>0.13940178</v>
      </c>
      <c r="L81" s="20" t="n">
        <v>0.14351889</v>
      </c>
      <c r="M81" s="18" t="n">
        <v>0</v>
      </c>
      <c r="N81" s="20" t="n">
        <v>0</v>
      </c>
      <c r="O81" s="18" t="n">
        <v>0</v>
      </c>
      <c r="P81" s="20" t="n">
        <v>0</v>
      </c>
      <c r="Q81" s="18" t="n">
        <v>0.4877991</v>
      </c>
      <c r="R81" s="20" t="n">
        <v>0.28262729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(5764.0/B7*100)</f>
        <v/>
      </c>
      <c r="D7" s="19" t="n">
        <v>1603</v>
      </c>
      <c r="E7" s="18" t="n">
        <v>14.61523432</v>
      </c>
      <c r="F7" s="20" t="n">
        <v>1.05319605</v>
      </c>
      <c r="G7" s="18" t="n">
        <v>82.34316035000001</v>
      </c>
      <c r="H7" s="20" t="n">
        <v>1.20228229</v>
      </c>
      <c r="I7" s="18" t="s">
        <v>567</v>
      </c>
      <c r="J7" s="20" t="s">
        <v>567</v>
      </c>
      <c r="K7" s="18" t="n">
        <v>0.05459702</v>
      </c>
      <c r="L7" s="20" t="n">
        <v>0.03592943</v>
      </c>
      <c r="M7" s="18" t="n">
        <v>0</v>
      </c>
      <c r="N7" s="20" t="n">
        <v>0</v>
      </c>
      <c r="O7" s="18" t="n">
        <v>0</v>
      </c>
      <c r="P7" s="20" t="n">
        <v>0</v>
      </c>
      <c r="Q7" s="18" t="n">
        <v>2.98700831</v>
      </c>
      <c r="R7" s="20" t="n">
        <v>0.53540203</v>
      </c>
    </row>
    <row r="8" spans="1:18">
      <c r="A8" s="15" t="s">
        <v>568</v>
      </c>
      <c r="B8" s="17" t="n">
        <v>3564</v>
      </c>
      <c r="C8" s="18">
        <f>(2771.0/B8*100)</f>
        <v/>
      </c>
      <c r="D8" s="19" t="n">
        <v>793</v>
      </c>
      <c r="E8" s="18" t="n">
        <v>20.90933731</v>
      </c>
      <c r="F8" s="20" t="n">
        <v>1.55385662</v>
      </c>
      <c r="G8" s="18" t="n">
        <v>75.54402481</v>
      </c>
      <c r="H8" s="20" t="n">
        <v>1.62159978</v>
      </c>
      <c r="I8" s="18" t="s">
        <v>567</v>
      </c>
      <c r="J8" s="20" t="s">
        <v>567</v>
      </c>
      <c r="K8" s="18" t="n">
        <v>0</v>
      </c>
      <c r="L8" s="20" t="n">
        <v>0</v>
      </c>
      <c r="M8" s="18" t="n">
        <v>0</v>
      </c>
      <c r="N8" s="20" t="n">
        <v>0</v>
      </c>
      <c r="O8" s="18" t="n">
        <v>0</v>
      </c>
      <c r="P8" s="20" t="n">
        <v>0</v>
      </c>
      <c r="Q8" s="18" t="n">
        <v>3.54663787</v>
      </c>
      <c r="R8" s="20" t="n">
        <v>0.64408943</v>
      </c>
    </row>
    <row r="9" spans="1:18">
      <c r="A9" s="15" t="s">
        <v>569</v>
      </c>
      <c r="B9" s="17" t="n">
        <v>4899</v>
      </c>
      <c r="C9" s="18">
        <f>(3812.0/B9*100)</f>
        <v/>
      </c>
      <c r="D9" s="19" t="n">
        <v>1087</v>
      </c>
      <c r="E9" s="18" t="n">
        <v>20.58879503</v>
      </c>
      <c r="F9" s="20" t="n">
        <v>1.41385835</v>
      </c>
      <c r="G9" s="18" t="n">
        <v>76.85778921000001</v>
      </c>
      <c r="H9" s="20" t="n">
        <v>1.55209781</v>
      </c>
      <c r="I9" s="18" t="s">
        <v>567</v>
      </c>
      <c r="J9" s="20" t="s">
        <v>567</v>
      </c>
      <c r="K9" s="18" t="n">
        <v>0</v>
      </c>
      <c r="L9" s="20" t="n">
        <v>0</v>
      </c>
      <c r="M9" s="18" t="n">
        <v>0</v>
      </c>
      <c r="N9" s="20" t="n">
        <v>0</v>
      </c>
      <c r="O9" s="18" t="n">
        <v>0</v>
      </c>
      <c r="P9" s="20" t="n">
        <v>0</v>
      </c>
      <c r="Q9" s="18" t="n">
        <v>2.55341576</v>
      </c>
      <c r="R9" s="20" t="n">
        <v>0.55695029</v>
      </c>
    </row>
    <row r="10" spans="1:18">
      <c r="A10" s="15" t="s">
        <v>570</v>
      </c>
      <c r="B10" s="17" t="n">
        <v>10036</v>
      </c>
      <c r="C10" s="18">
        <f>(7876.0/B10*100)</f>
        <v/>
      </c>
      <c r="D10" s="19" t="n">
        <v>2160</v>
      </c>
      <c r="E10" s="18" t="n">
        <v>19.0548041</v>
      </c>
      <c r="F10" s="20" t="n">
        <v>1.29985828</v>
      </c>
      <c r="G10" s="18" t="n">
        <v>77.95417078</v>
      </c>
      <c r="H10" s="20" t="n">
        <v>1.36138918</v>
      </c>
      <c r="I10" s="18" t="s">
        <v>567</v>
      </c>
      <c r="J10" s="20" t="s">
        <v>567</v>
      </c>
      <c r="K10" s="18" t="n">
        <v>0.16317675</v>
      </c>
      <c r="L10" s="20" t="n">
        <v>0.1221871</v>
      </c>
      <c r="M10" s="18" t="n">
        <v>0</v>
      </c>
      <c r="N10" s="20" t="n">
        <v>0</v>
      </c>
      <c r="O10" s="18" t="n">
        <v>0</v>
      </c>
      <c r="P10" s="20" t="n">
        <v>0</v>
      </c>
      <c r="Q10" s="18" t="n">
        <v>2.82784837</v>
      </c>
      <c r="R10" s="20" t="n">
        <v>0.46145842</v>
      </c>
    </row>
    <row r="11" spans="1:18">
      <c r="A11" s="15" t="s">
        <v>571</v>
      </c>
      <c r="B11" s="17" t="n">
        <v>3553</v>
      </c>
      <c r="C11" s="18">
        <f>(2833.0/B11*100)</f>
        <v/>
      </c>
      <c r="D11" s="19" t="n">
        <v>720</v>
      </c>
      <c r="E11" s="18" t="n">
        <v>25.6702119</v>
      </c>
      <c r="F11" s="20" t="n">
        <v>1.78237127</v>
      </c>
      <c r="G11" s="18" t="n">
        <v>69.01158135999999</v>
      </c>
      <c r="H11" s="20" t="n">
        <v>1.80735882</v>
      </c>
      <c r="I11" s="18" t="s">
        <v>567</v>
      </c>
      <c r="J11" s="20" t="s">
        <v>567</v>
      </c>
      <c r="K11" s="18" t="n">
        <v>0.14972146</v>
      </c>
      <c r="L11" s="20" t="n">
        <v>0.10523664</v>
      </c>
      <c r="M11" s="18" t="n">
        <v>0</v>
      </c>
      <c r="N11" s="20" t="n">
        <v>0</v>
      </c>
      <c r="O11" s="18" t="n">
        <v>0</v>
      </c>
      <c r="P11" s="20" t="n">
        <v>0</v>
      </c>
      <c r="Q11" s="18" t="n">
        <v>5.16848528</v>
      </c>
      <c r="R11" s="20" t="n">
        <v>0.91958136</v>
      </c>
    </row>
    <row r="12" spans="1:18">
      <c r="A12" s="15" t="s">
        <v>572</v>
      </c>
      <c r="B12" s="17" t="n">
        <v>3472</v>
      </c>
      <c r="C12" s="18">
        <f>(2732.0/B12*100)</f>
        <v/>
      </c>
      <c r="D12" s="19" t="n">
        <v>740</v>
      </c>
      <c r="E12" s="18" t="n">
        <v>20.55081568</v>
      </c>
      <c r="F12" s="20" t="n">
        <v>1.59046935</v>
      </c>
      <c r="G12" s="18" t="n">
        <v>76.85717828</v>
      </c>
      <c r="H12" s="20" t="n">
        <v>1.56618747</v>
      </c>
      <c r="I12" s="18" t="s">
        <v>567</v>
      </c>
      <c r="J12" s="20" t="s">
        <v>567</v>
      </c>
      <c r="K12" s="18" t="n">
        <v>0</v>
      </c>
      <c r="L12" s="20" t="n">
        <v>0</v>
      </c>
      <c r="M12" s="18" t="n">
        <v>0</v>
      </c>
      <c r="N12" s="20" t="n">
        <v>0</v>
      </c>
      <c r="O12" s="18" t="n">
        <v>0</v>
      </c>
      <c r="P12" s="20" t="n">
        <v>0</v>
      </c>
      <c r="Q12" s="18" t="n">
        <v>2.59200604</v>
      </c>
      <c r="R12" s="20" t="n">
        <v>0.5077111</v>
      </c>
    </row>
    <row r="13" spans="1:18">
      <c r="A13" s="15" t="s">
        <v>573</v>
      </c>
      <c r="B13" s="17" t="n">
        <v>3559</v>
      </c>
      <c r="C13" s="18">
        <f>(2848.0/B13*100)</f>
        <v/>
      </c>
      <c r="D13" s="19" t="n">
        <v>711</v>
      </c>
      <c r="E13" s="18" t="n">
        <v>18.38806388</v>
      </c>
      <c r="F13" s="20" t="n">
        <v>1.72104278</v>
      </c>
      <c r="G13" s="18" t="n">
        <v>79.69723589</v>
      </c>
      <c r="H13" s="20" t="n">
        <v>1.82598491</v>
      </c>
      <c r="I13" s="18" t="s">
        <v>567</v>
      </c>
      <c r="J13" s="20" t="s">
        <v>567</v>
      </c>
      <c r="K13" s="18" t="n">
        <v>0.34907678</v>
      </c>
      <c r="L13" s="20" t="n">
        <v>0.19165129</v>
      </c>
      <c r="M13" s="18" t="n">
        <v>0</v>
      </c>
      <c r="N13" s="20" t="n">
        <v>0</v>
      </c>
      <c r="O13" s="18" t="n">
        <v>0</v>
      </c>
      <c r="P13" s="20" t="n">
        <v>0</v>
      </c>
      <c r="Q13" s="18" t="n">
        <v>1.56562345</v>
      </c>
      <c r="R13" s="20" t="n">
        <v>0.49361189</v>
      </c>
    </row>
    <row r="14" spans="1:18">
      <c r="A14" s="15" t="s">
        <v>574</v>
      </c>
      <c r="B14" s="17" t="n">
        <v>2799</v>
      </c>
      <c r="C14" s="18">
        <f>(2216.0/B14*100)</f>
        <v/>
      </c>
      <c r="D14" s="19" t="n">
        <v>583</v>
      </c>
      <c r="E14" s="18" t="n">
        <v>21.3388154</v>
      </c>
      <c r="F14" s="20" t="n">
        <v>1.91251424</v>
      </c>
      <c r="G14" s="18" t="n">
        <v>77.57435099</v>
      </c>
      <c r="H14" s="20" t="n">
        <v>1.90967459</v>
      </c>
      <c r="I14" s="18" t="s">
        <v>567</v>
      </c>
      <c r="J14" s="20" t="s">
        <v>567</v>
      </c>
      <c r="K14" s="18" t="n">
        <v>0.14263488</v>
      </c>
      <c r="L14" s="20" t="n">
        <v>0.14332604</v>
      </c>
      <c r="M14" s="18" t="n">
        <v>0</v>
      </c>
      <c r="N14" s="20" t="n">
        <v>0</v>
      </c>
      <c r="O14" s="18" t="n">
        <v>0</v>
      </c>
      <c r="P14" s="20" t="n">
        <v>0</v>
      </c>
      <c r="Q14" s="18" t="n">
        <v>0.94419873</v>
      </c>
      <c r="R14" s="20" t="n">
        <v>0.35697814</v>
      </c>
    </row>
    <row r="15" spans="1:18">
      <c r="A15" s="15" t="s">
        <v>575</v>
      </c>
      <c r="B15" s="17" t="n">
        <v>3019</v>
      </c>
      <c r="C15" s="18">
        <f>(2343.0/B15*100)</f>
        <v/>
      </c>
      <c r="D15" s="19" t="n">
        <v>676</v>
      </c>
      <c r="E15" s="18" t="n">
        <v>21.53578783</v>
      </c>
      <c r="F15" s="20" t="n">
        <v>1.69166923</v>
      </c>
      <c r="G15" s="18" t="n">
        <v>76.4670538</v>
      </c>
      <c r="H15" s="20" t="n">
        <v>1.65517687</v>
      </c>
      <c r="I15" s="18" t="s">
        <v>567</v>
      </c>
      <c r="J15" s="20" t="s">
        <v>567</v>
      </c>
      <c r="K15" s="18" t="n">
        <v>0</v>
      </c>
      <c r="L15" s="20" t="n">
        <v>0</v>
      </c>
      <c r="M15" s="18" t="n">
        <v>0</v>
      </c>
      <c r="N15" s="20" t="n">
        <v>0</v>
      </c>
      <c r="O15" s="18" t="n">
        <v>0</v>
      </c>
      <c r="P15" s="20" t="n">
        <v>0</v>
      </c>
      <c r="Q15" s="18" t="n">
        <v>1.99715836</v>
      </c>
      <c r="R15" s="20" t="n">
        <v>0.48063014</v>
      </c>
    </row>
    <row r="16" spans="1:18">
      <c r="A16" s="15" t="s">
        <v>576</v>
      </c>
      <c r="B16" s="17" t="n">
        <v>2997</v>
      </c>
      <c r="C16" s="18">
        <f>(2316.0/B16*100)</f>
        <v/>
      </c>
      <c r="D16" s="19" t="n">
        <v>681</v>
      </c>
      <c r="E16" s="18" t="n">
        <v>19.58740698</v>
      </c>
      <c r="F16" s="20" t="n">
        <v>1.38372911</v>
      </c>
      <c r="G16" s="18" t="n">
        <v>75.40483748</v>
      </c>
      <c r="H16" s="20" t="n">
        <v>1.47369952</v>
      </c>
      <c r="I16" s="18" t="s">
        <v>567</v>
      </c>
      <c r="J16" s="20" t="s">
        <v>567</v>
      </c>
      <c r="K16" s="18" t="n">
        <v>0.59985929</v>
      </c>
      <c r="L16" s="20" t="n">
        <v>0.27651332</v>
      </c>
      <c r="M16" s="18" t="n">
        <v>0</v>
      </c>
      <c r="N16" s="20" t="n">
        <v>0</v>
      </c>
      <c r="O16" s="18" t="n">
        <v>0</v>
      </c>
      <c r="P16" s="20" t="n">
        <v>0</v>
      </c>
      <c r="Q16" s="18" t="n">
        <v>4.40789624</v>
      </c>
      <c r="R16" s="20" t="n">
        <v>0.8339926</v>
      </c>
    </row>
    <row r="17" spans="1:18">
      <c r="A17" s="15" t="s">
        <v>577</v>
      </c>
      <c r="B17" s="17" t="n">
        <v>3307</v>
      </c>
      <c r="C17" s="18">
        <f>(2600.0/B17*100)</f>
        <v/>
      </c>
      <c r="D17" s="19" t="n">
        <v>707</v>
      </c>
      <c r="E17" s="18" t="n">
        <v>21.25624824</v>
      </c>
      <c r="F17" s="20" t="n">
        <v>1.9871361</v>
      </c>
      <c r="G17" s="18" t="n">
        <v>76.23744333</v>
      </c>
      <c r="H17" s="20" t="n">
        <v>2.03084327</v>
      </c>
      <c r="I17" s="18" t="s">
        <v>567</v>
      </c>
      <c r="J17" s="20" t="s">
        <v>567</v>
      </c>
      <c r="K17" s="18" t="n">
        <v>0.14125871</v>
      </c>
      <c r="L17" s="20" t="n">
        <v>0.14137758</v>
      </c>
      <c r="M17" s="18" t="n">
        <v>0</v>
      </c>
      <c r="N17" s="20" t="n">
        <v>0</v>
      </c>
      <c r="O17" s="18" t="n">
        <v>0</v>
      </c>
      <c r="P17" s="20" t="n">
        <v>0</v>
      </c>
      <c r="Q17" s="18" t="n">
        <v>2.36504972</v>
      </c>
      <c r="R17" s="20" t="n">
        <v>0.57284542</v>
      </c>
    </row>
    <row r="18" spans="1:18">
      <c r="A18" s="15" t="s">
        <v>578</v>
      </c>
      <c r="B18" s="17" t="n">
        <v>2826</v>
      </c>
      <c r="C18" s="18">
        <f>(2199.0/B18*100)</f>
        <v/>
      </c>
      <c r="D18" s="19" t="n">
        <v>627</v>
      </c>
      <c r="E18" s="18" t="n">
        <v>28.12364413</v>
      </c>
      <c r="F18" s="20" t="n">
        <v>2.08732337</v>
      </c>
      <c r="G18" s="18" t="n">
        <v>67.80827096</v>
      </c>
      <c r="H18" s="20" t="n">
        <v>2.03396804</v>
      </c>
      <c r="I18" s="18" t="s">
        <v>567</v>
      </c>
      <c r="J18" s="20" t="s">
        <v>567</v>
      </c>
      <c r="K18" s="18" t="n">
        <v>0</v>
      </c>
      <c r="L18" s="20" t="n">
        <v>0</v>
      </c>
      <c r="M18" s="18" t="n">
        <v>0</v>
      </c>
      <c r="N18" s="20" t="n">
        <v>0</v>
      </c>
      <c r="O18" s="18" t="n">
        <v>0</v>
      </c>
      <c r="P18" s="20" t="n">
        <v>0</v>
      </c>
      <c r="Q18" s="18" t="n">
        <v>4.06808491</v>
      </c>
      <c r="R18" s="20" t="n">
        <v>0.92211308</v>
      </c>
    </row>
    <row r="19" spans="1:18">
      <c r="A19" s="15" t="s">
        <v>579</v>
      </c>
      <c r="B19" s="17" t="n">
        <v>2808</v>
      </c>
      <c r="C19" s="18">
        <f>(2215.0/B19*100)</f>
        <v/>
      </c>
      <c r="D19" s="19" t="n">
        <v>593</v>
      </c>
      <c r="E19" s="18" t="n">
        <v>26.03737479</v>
      </c>
      <c r="F19" s="20" t="n">
        <v>2.05987476</v>
      </c>
      <c r="G19" s="18" t="n">
        <v>68.54538241</v>
      </c>
      <c r="H19" s="20" t="n">
        <v>2.24455372</v>
      </c>
      <c r="I19" s="18" t="s">
        <v>567</v>
      </c>
      <c r="J19" s="20" t="s">
        <v>567</v>
      </c>
      <c r="K19" s="18" t="n">
        <v>0</v>
      </c>
      <c r="L19" s="20" t="n">
        <v>0</v>
      </c>
      <c r="M19" s="18" t="n">
        <v>0</v>
      </c>
      <c r="N19" s="20" t="n">
        <v>0</v>
      </c>
      <c r="O19" s="18" t="n">
        <v>0</v>
      </c>
      <c r="P19" s="20" t="n">
        <v>0</v>
      </c>
      <c r="Q19" s="18" t="n">
        <v>5.41724279</v>
      </c>
      <c r="R19" s="20" t="n">
        <v>1.25502381</v>
      </c>
    </row>
    <row r="20" spans="1:18">
      <c r="A20" s="15" t="s">
        <v>580</v>
      </c>
      <c r="B20" s="17" t="n">
        <v>1630</v>
      </c>
      <c r="C20" s="18">
        <f>(1265.0/B20*100)</f>
        <v/>
      </c>
      <c r="D20" s="19" t="n">
        <v>365</v>
      </c>
      <c r="E20" s="18" t="n">
        <v>26.14811883</v>
      </c>
      <c r="F20" s="20" t="n">
        <v>2.4086415</v>
      </c>
      <c r="G20" s="18" t="n">
        <v>69.60338842</v>
      </c>
      <c r="H20" s="20" t="n">
        <v>2.48480193</v>
      </c>
      <c r="I20" s="18" t="s">
        <v>567</v>
      </c>
      <c r="J20" s="20" t="s">
        <v>567</v>
      </c>
      <c r="K20" s="18" t="n">
        <v>0.23257939</v>
      </c>
      <c r="L20" s="20" t="n">
        <v>0.23030887</v>
      </c>
      <c r="M20" s="18" t="n">
        <v>0</v>
      </c>
      <c r="N20" s="20" t="n">
        <v>0</v>
      </c>
      <c r="O20" s="18" t="n">
        <v>0</v>
      </c>
      <c r="P20" s="20" t="n">
        <v>0</v>
      </c>
      <c r="Q20" s="18" t="n">
        <v>4.01591336</v>
      </c>
      <c r="R20" s="20" t="n">
        <v>1.15639868</v>
      </c>
    </row>
    <row r="21" spans="1:18">
      <c r="A21" s="15" t="s">
        <v>581</v>
      </c>
      <c r="B21" s="17" t="n">
        <v>2908</v>
      </c>
      <c r="C21" s="18">
        <f>(2253.0/B21*100)</f>
        <v/>
      </c>
      <c r="D21" s="19" t="n">
        <v>655</v>
      </c>
      <c r="E21" s="18" t="n">
        <v>20.2185133</v>
      </c>
      <c r="F21" s="20" t="n">
        <v>1.7715905</v>
      </c>
      <c r="G21" s="18" t="n">
        <v>77.50224747999999</v>
      </c>
      <c r="H21" s="20" t="n">
        <v>1.90412258</v>
      </c>
      <c r="I21" s="18" t="s">
        <v>567</v>
      </c>
      <c r="J21" s="20" t="s">
        <v>567</v>
      </c>
      <c r="K21" s="18" t="n">
        <v>0</v>
      </c>
      <c r="L21" s="20" t="n">
        <v>0</v>
      </c>
      <c r="M21" s="18" t="n">
        <v>0</v>
      </c>
      <c r="N21" s="20" t="n">
        <v>0</v>
      </c>
      <c r="O21" s="18" t="n">
        <v>0</v>
      </c>
      <c r="P21" s="20" t="n">
        <v>0</v>
      </c>
      <c r="Q21" s="18" t="n">
        <v>2.27923923</v>
      </c>
      <c r="R21" s="20" t="n">
        <v>0.64314379</v>
      </c>
    </row>
    <row r="22" spans="1:18">
      <c r="A22" s="15" t="s">
        <v>582</v>
      </c>
      <c r="B22" s="17" t="n">
        <v>2931</v>
      </c>
      <c r="C22" s="18">
        <f>(2295.0/B22*100)</f>
        <v/>
      </c>
      <c r="D22" s="19" t="n">
        <v>636</v>
      </c>
      <c r="E22" s="18" t="n">
        <v>26.23867332</v>
      </c>
      <c r="F22" s="20" t="n">
        <v>1.47960476</v>
      </c>
      <c r="G22" s="18" t="n">
        <v>69.50998226</v>
      </c>
      <c r="H22" s="20" t="n">
        <v>1.44798149</v>
      </c>
      <c r="I22" s="18" t="s">
        <v>567</v>
      </c>
      <c r="J22" s="20" t="s">
        <v>567</v>
      </c>
      <c r="K22" s="18" t="n">
        <v>0</v>
      </c>
      <c r="L22" s="20" t="n">
        <v>0</v>
      </c>
      <c r="M22" s="18" t="n">
        <v>0</v>
      </c>
      <c r="N22" s="20" t="n">
        <v>0</v>
      </c>
      <c r="O22" s="18" t="n">
        <v>0</v>
      </c>
      <c r="P22" s="20" t="n">
        <v>0</v>
      </c>
      <c r="Q22" s="18" t="n">
        <v>4.25134442</v>
      </c>
      <c r="R22" s="20" t="n">
        <v>0.85687002</v>
      </c>
    </row>
    <row r="23" spans="1:18">
      <c r="A23" s="15" t="s">
        <v>583</v>
      </c>
      <c r="B23" s="17" t="n">
        <v>5791</v>
      </c>
      <c r="C23" s="18">
        <f>(4469.0/B23*100)</f>
        <v/>
      </c>
      <c r="D23" s="19" t="n">
        <v>1322</v>
      </c>
      <c r="E23" s="18" t="n">
        <v>23.93248878</v>
      </c>
      <c r="F23" s="20" t="n">
        <v>1.81129846</v>
      </c>
      <c r="G23" s="18" t="n">
        <v>72.42848420999999</v>
      </c>
      <c r="H23" s="20" t="n">
        <v>1.78935548</v>
      </c>
      <c r="I23" s="18" t="s">
        <v>567</v>
      </c>
      <c r="J23" s="20" t="s">
        <v>567</v>
      </c>
      <c r="K23" s="18" t="n">
        <v>0</v>
      </c>
      <c r="L23" s="20" t="n">
        <v>0</v>
      </c>
      <c r="M23" s="18" t="n">
        <v>0</v>
      </c>
      <c r="N23" s="20" t="n">
        <v>0</v>
      </c>
      <c r="O23" s="18" t="n">
        <v>0</v>
      </c>
      <c r="P23" s="20" t="n">
        <v>0</v>
      </c>
      <c r="Q23" s="18" t="n">
        <v>3.63902701</v>
      </c>
      <c r="R23" s="20" t="n">
        <v>1.03437714</v>
      </c>
    </row>
    <row r="24" spans="1:18">
      <c r="A24" s="15" t="s">
        <v>584</v>
      </c>
      <c r="B24" s="17" t="n">
        <v>3338</v>
      </c>
      <c r="C24" s="18">
        <f>(2606.0/B24*100)</f>
        <v/>
      </c>
      <c r="D24" s="19" t="n">
        <v>732</v>
      </c>
      <c r="E24" s="18" t="n">
        <v>24.89934214</v>
      </c>
      <c r="F24" s="20" t="n">
        <v>1.77397512</v>
      </c>
      <c r="G24" s="18" t="n">
        <v>74.17489869000001</v>
      </c>
      <c r="H24" s="20" t="n">
        <v>1.84908863</v>
      </c>
      <c r="I24" s="18" t="s">
        <v>567</v>
      </c>
      <c r="J24" s="20" t="s">
        <v>567</v>
      </c>
      <c r="K24" s="18" t="n">
        <v>0</v>
      </c>
      <c r="L24" s="20" t="n">
        <v>0</v>
      </c>
      <c r="M24" s="18" t="n">
        <v>0</v>
      </c>
      <c r="N24" s="20" t="n">
        <v>0</v>
      </c>
      <c r="O24" s="18" t="n">
        <v>0</v>
      </c>
      <c r="P24" s="20" t="n">
        <v>0</v>
      </c>
      <c r="Q24" s="18" t="n">
        <v>0.92575917</v>
      </c>
      <c r="R24" s="20" t="n">
        <v>0.35880302</v>
      </c>
    </row>
    <row r="25" spans="1:18">
      <c r="A25" s="15" t="s">
        <v>585</v>
      </c>
      <c r="B25" s="17" t="n">
        <v>2912</v>
      </c>
      <c r="C25" s="18">
        <f>(2282.0/B25*100)</f>
        <v/>
      </c>
      <c r="D25" s="19" t="n">
        <v>630</v>
      </c>
      <c r="E25" s="18" t="n">
        <v>28.77892169</v>
      </c>
      <c r="F25" s="20" t="n">
        <v>2.18583332</v>
      </c>
      <c r="G25" s="18" t="n">
        <v>68.7110004</v>
      </c>
      <c r="H25" s="20" t="n">
        <v>2.41992303</v>
      </c>
      <c r="I25" s="18" t="s">
        <v>567</v>
      </c>
      <c r="J25" s="20" t="s">
        <v>567</v>
      </c>
      <c r="K25" s="18" t="n">
        <v>0</v>
      </c>
      <c r="L25" s="20" t="n">
        <v>0</v>
      </c>
      <c r="M25" s="18" t="n">
        <v>0</v>
      </c>
      <c r="N25" s="20" t="n">
        <v>0</v>
      </c>
      <c r="O25" s="18" t="n">
        <v>0</v>
      </c>
      <c r="P25" s="20" t="n">
        <v>0</v>
      </c>
      <c r="Q25" s="18" t="n">
        <v>2.51007791</v>
      </c>
      <c r="R25" s="20" t="n">
        <v>0.66529648</v>
      </c>
    </row>
    <row r="26" spans="1:18">
      <c r="A26" s="15" t="s">
        <v>586</v>
      </c>
      <c r="B26" s="17" t="n">
        <v>2450</v>
      </c>
      <c r="C26" s="18">
        <f>(1917.0/B26*100)</f>
        <v/>
      </c>
      <c r="D26" s="19" t="n">
        <v>533</v>
      </c>
      <c r="E26" s="18" t="n">
        <v>23.67383937</v>
      </c>
      <c r="F26" s="20" t="n">
        <v>2.02888334</v>
      </c>
      <c r="G26" s="18" t="n">
        <v>73.75435226</v>
      </c>
      <c r="H26" s="20" t="n">
        <v>1.94505859</v>
      </c>
      <c r="I26" s="18" t="s">
        <v>567</v>
      </c>
      <c r="J26" s="20" t="s">
        <v>567</v>
      </c>
      <c r="K26" s="18" t="n">
        <v>0</v>
      </c>
      <c r="L26" s="20" t="n">
        <v>0</v>
      </c>
      <c r="M26" s="18" t="n">
        <v>0</v>
      </c>
      <c r="N26" s="20" t="n">
        <v>0</v>
      </c>
      <c r="O26" s="18" t="n">
        <v>0</v>
      </c>
      <c r="P26" s="20" t="n">
        <v>0</v>
      </c>
      <c r="Q26" s="18" t="n">
        <v>2.57180836</v>
      </c>
      <c r="R26" s="20" t="n">
        <v>0.7050683599999999</v>
      </c>
    </row>
    <row r="27" spans="1:18">
      <c r="A27" s="15" t="s">
        <v>587</v>
      </c>
      <c r="B27" s="17" t="n">
        <v>2616</v>
      </c>
      <c r="C27" s="18">
        <f>(1976.0/B27*100)</f>
        <v/>
      </c>
      <c r="D27" s="19" t="n">
        <v>640</v>
      </c>
      <c r="E27" s="18" t="n">
        <v>26.22249045</v>
      </c>
      <c r="F27" s="20" t="n">
        <v>1.82238284</v>
      </c>
      <c r="G27" s="18" t="n">
        <v>70.1955876</v>
      </c>
      <c r="H27" s="20" t="n">
        <v>1.9493611</v>
      </c>
      <c r="I27" s="18" t="s">
        <v>567</v>
      </c>
      <c r="J27" s="20" t="s">
        <v>567</v>
      </c>
      <c r="K27" s="18" t="n">
        <v>0.31903791</v>
      </c>
      <c r="L27" s="20" t="n">
        <v>0.22476306</v>
      </c>
      <c r="M27" s="18" t="n">
        <v>0</v>
      </c>
      <c r="N27" s="20" t="n">
        <v>0</v>
      </c>
      <c r="O27" s="18" t="n">
        <v>0</v>
      </c>
      <c r="P27" s="20" t="n">
        <v>0</v>
      </c>
      <c r="Q27" s="18" t="n">
        <v>3.26288403</v>
      </c>
      <c r="R27" s="20" t="n">
        <v>0.74381951</v>
      </c>
    </row>
    <row r="28" spans="1:18">
      <c r="A28" s="15" t="s">
        <v>588</v>
      </c>
      <c r="B28" s="17" t="n">
        <v>3765</v>
      </c>
      <c r="C28" s="18">
        <f>(2957.0/B28*100)</f>
        <v/>
      </c>
      <c r="D28" s="19" t="n">
        <v>808</v>
      </c>
      <c r="E28" s="18" t="n">
        <v>27.12641695</v>
      </c>
      <c r="F28" s="20" t="n">
        <v>1.73679492</v>
      </c>
      <c r="G28" s="18" t="n">
        <v>65.04773607</v>
      </c>
      <c r="H28" s="20" t="n">
        <v>2.02098514</v>
      </c>
      <c r="I28" s="18" t="s">
        <v>567</v>
      </c>
      <c r="J28" s="20" t="s">
        <v>567</v>
      </c>
      <c r="K28" s="18" t="n">
        <v>0</v>
      </c>
      <c r="L28" s="20" t="n">
        <v>0</v>
      </c>
      <c r="M28" s="18" t="n">
        <v>0</v>
      </c>
      <c r="N28" s="20" t="n">
        <v>0</v>
      </c>
      <c r="O28" s="18" t="n">
        <v>0</v>
      </c>
      <c r="P28" s="20" t="n">
        <v>0</v>
      </c>
      <c r="Q28" s="18" t="n">
        <v>7.82584698</v>
      </c>
      <c r="R28" s="20" t="n">
        <v>1.01924239</v>
      </c>
    </row>
    <row r="29" spans="1:18">
      <c r="A29" s="15" t="s">
        <v>589</v>
      </c>
      <c r="B29" s="17" t="n">
        <v>2685</v>
      </c>
      <c r="C29" s="18">
        <f>(2150.0/B29*100)</f>
        <v/>
      </c>
      <c r="D29" s="19" t="n">
        <v>535</v>
      </c>
      <c r="E29" s="18" t="n">
        <v>22.7694616</v>
      </c>
      <c r="F29" s="20" t="n">
        <v>1.65005029</v>
      </c>
      <c r="G29" s="18" t="n">
        <v>75.1925564</v>
      </c>
      <c r="H29" s="20" t="n">
        <v>1.74210999</v>
      </c>
      <c r="I29" s="18" t="s">
        <v>567</v>
      </c>
      <c r="J29" s="20" t="s">
        <v>567</v>
      </c>
      <c r="K29" s="18" t="n">
        <v>0.13821088</v>
      </c>
      <c r="L29" s="20" t="n">
        <v>0.18954404</v>
      </c>
      <c r="M29" s="18" t="n">
        <v>0</v>
      </c>
      <c r="N29" s="20" t="n">
        <v>0</v>
      </c>
      <c r="O29" s="18" t="n">
        <v>0</v>
      </c>
      <c r="P29" s="20" t="n">
        <v>0</v>
      </c>
      <c r="Q29" s="18" t="n">
        <v>1.89977112</v>
      </c>
      <c r="R29" s="20" t="n">
        <v>0.64599411</v>
      </c>
    </row>
    <row r="30" spans="1:18">
      <c r="A30" s="15" t="s">
        <v>590</v>
      </c>
      <c r="B30" s="17" t="n">
        <v>2263</v>
      </c>
      <c r="C30" s="18">
        <f>(1744.0/B30*100)</f>
        <v/>
      </c>
      <c r="D30" s="19" t="n">
        <v>519</v>
      </c>
      <c r="E30" s="18" t="n">
        <v>16.08172893</v>
      </c>
      <c r="F30" s="20" t="n">
        <v>1.44844992</v>
      </c>
      <c r="G30" s="18" t="n">
        <v>80.52783281000001</v>
      </c>
      <c r="H30" s="20" t="n">
        <v>1.8432972</v>
      </c>
      <c r="I30" s="18" t="s">
        <v>567</v>
      </c>
      <c r="J30" s="20" t="s">
        <v>567</v>
      </c>
      <c r="K30" s="18" t="n">
        <v>0.1735835</v>
      </c>
      <c r="L30" s="20" t="n">
        <v>0.17724416</v>
      </c>
      <c r="M30" s="18" t="n">
        <v>0</v>
      </c>
      <c r="N30" s="20" t="n">
        <v>0</v>
      </c>
      <c r="O30" s="18" t="n">
        <v>0</v>
      </c>
      <c r="P30" s="20" t="n">
        <v>0</v>
      </c>
      <c r="Q30" s="18" t="n">
        <v>3.21685475</v>
      </c>
      <c r="R30" s="20" t="n">
        <v>0.92291422</v>
      </c>
    </row>
    <row r="31" spans="1:18">
      <c r="A31" s="15" t="s">
        <v>591</v>
      </c>
      <c r="B31" s="17" t="n">
        <v>2750</v>
      </c>
      <c r="C31" s="18">
        <f>(2119.0/B31*100)</f>
        <v/>
      </c>
      <c r="D31" s="19" t="n">
        <v>631</v>
      </c>
      <c r="E31" s="18" t="n">
        <v>28.8961269</v>
      </c>
      <c r="F31" s="20" t="n">
        <v>1.90768147</v>
      </c>
      <c r="G31" s="18" t="n">
        <v>68.01055835</v>
      </c>
      <c r="H31" s="20" t="n">
        <v>2.09474257</v>
      </c>
      <c r="I31" s="18" t="s">
        <v>567</v>
      </c>
      <c r="J31" s="20" t="s">
        <v>567</v>
      </c>
      <c r="K31" s="18" t="n">
        <v>0.45493801</v>
      </c>
      <c r="L31" s="20" t="n">
        <v>0.25561227</v>
      </c>
      <c r="M31" s="18" t="n">
        <v>0</v>
      </c>
      <c r="N31" s="20" t="n">
        <v>0</v>
      </c>
      <c r="O31" s="18" t="n">
        <v>0</v>
      </c>
      <c r="P31" s="20" t="n">
        <v>0</v>
      </c>
      <c r="Q31" s="18" t="n">
        <v>2.63837674</v>
      </c>
      <c r="R31" s="20" t="n">
        <v>0.7135321100000001</v>
      </c>
    </row>
    <row r="32" spans="1:18">
      <c r="A32" s="15" t="s">
        <v>592</v>
      </c>
      <c r="B32" s="17" t="n">
        <v>2269</v>
      </c>
      <c r="C32" s="18">
        <f>(1747.0/B32*100)</f>
        <v/>
      </c>
      <c r="D32" s="19" t="n">
        <v>522</v>
      </c>
      <c r="E32" s="18" t="n">
        <v>23.00765533</v>
      </c>
      <c r="F32" s="20" t="n">
        <v>1.92751889</v>
      </c>
      <c r="G32" s="18" t="n">
        <v>75.48065076</v>
      </c>
      <c r="H32" s="20" t="n">
        <v>1.79156453</v>
      </c>
      <c r="I32" s="18" t="s">
        <v>567</v>
      </c>
      <c r="J32" s="20" t="s">
        <v>567</v>
      </c>
      <c r="K32" s="18" t="n">
        <v>0</v>
      </c>
      <c r="L32" s="20" t="n">
        <v>0</v>
      </c>
      <c r="M32" s="18" t="n">
        <v>0</v>
      </c>
      <c r="N32" s="20" t="n">
        <v>0</v>
      </c>
      <c r="O32" s="18" t="n">
        <v>0</v>
      </c>
      <c r="P32" s="20" t="n">
        <v>0</v>
      </c>
      <c r="Q32" s="18" t="n">
        <v>1.51169391</v>
      </c>
      <c r="R32" s="20" t="n">
        <v>0.55543337</v>
      </c>
    </row>
    <row r="33" spans="1:18">
      <c r="A33" s="15" t="s">
        <v>593</v>
      </c>
      <c r="B33" s="17" t="n">
        <v>3674</v>
      </c>
      <c r="C33" s="18">
        <f>(2868.0/B33*100)</f>
        <v/>
      </c>
      <c r="D33" s="19" t="n">
        <v>806</v>
      </c>
      <c r="E33" s="18" t="n">
        <v>18.43761138</v>
      </c>
      <c r="F33" s="20" t="n">
        <v>1.6948174</v>
      </c>
      <c r="G33" s="18" t="n">
        <v>80.60365366000001</v>
      </c>
      <c r="H33" s="20" t="n">
        <v>1.75375395</v>
      </c>
      <c r="I33" s="18" t="s">
        <v>567</v>
      </c>
      <c r="J33" s="20" t="s">
        <v>567</v>
      </c>
      <c r="K33" s="18" t="n">
        <v>0</v>
      </c>
      <c r="L33" s="20" t="n">
        <v>0</v>
      </c>
      <c r="M33" s="18" t="n">
        <v>0</v>
      </c>
      <c r="N33" s="20" t="n">
        <v>0</v>
      </c>
      <c r="O33" s="18" t="n">
        <v>0</v>
      </c>
      <c r="P33" s="20" t="n">
        <v>0</v>
      </c>
      <c r="Q33" s="18" t="n">
        <v>0.95873495</v>
      </c>
      <c r="R33" s="20" t="n">
        <v>0.39750918</v>
      </c>
    </row>
    <row r="34" spans="1:18">
      <c r="A34" s="15" t="s">
        <v>594</v>
      </c>
      <c r="B34" s="17" t="n">
        <v>3315</v>
      </c>
      <c r="C34" s="18">
        <f>(2599.0/B34*100)</f>
        <v/>
      </c>
      <c r="D34" s="19" t="n">
        <v>716</v>
      </c>
      <c r="E34" s="18" t="n">
        <v>28.15656852</v>
      </c>
      <c r="F34" s="20" t="n">
        <v>1.72089431</v>
      </c>
      <c r="G34" s="18" t="n">
        <v>67.01203665</v>
      </c>
      <c r="H34" s="20" t="n">
        <v>1.84500494</v>
      </c>
      <c r="I34" s="18" t="s">
        <v>567</v>
      </c>
      <c r="J34" s="20" t="s">
        <v>567</v>
      </c>
      <c r="K34" s="18" t="n">
        <v>0</v>
      </c>
      <c r="L34" s="20" t="n">
        <v>0</v>
      </c>
      <c r="M34" s="18" t="n">
        <v>0</v>
      </c>
      <c r="N34" s="20" t="n">
        <v>0</v>
      </c>
      <c r="O34" s="18" t="n">
        <v>0</v>
      </c>
      <c r="P34" s="20" t="n">
        <v>0</v>
      </c>
      <c r="Q34" s="18" t="n">
        <v>4.83139483</v>
      </c>
      <c r="R34" s="20" t="n">
        <v>0.95472714</v>
      </c>
    </row>
    <row r="35" spans="1:18">
      <c r="A35" s="15" t="s">
        <v>595</v>
      </c>
      <c r="B35" s="17" t="n">
        <v>3505</v>
      </c>
      <c r="C35" s="18">
        <f>(2723.0/B35*100)</f>
        <v/>
      </c>
      <c r="D35" s="19" t="n">
        <v>782</v>
      </c>
      <c r="E35" s="18" t="n">
        <v>22.12719434</v>
      </c>
      <c r="F35" s="20" t="n">
        <v>1.63903183</v>
      </c>
      <c r="G35" s="18" t="n">
        <v>75.22657024</v>
      </c>
      <c r="H35" s="20" t="n">
        <v>1.67807022</v>
      </c>
      <c r="I35" s="18" t="s">
        <v>567</v>
      </c>
      <c r="J35" s="20" t="s">
        <v>567</v>
      </c>
      <c r="K35" s="18" t="n">
        <v>0.11319984</v>
      </c>
      <c r="L35" s="20" t="n">
        <v>0.07996328</v>
      </c>
      <c r="M35" s="18" t="n">
        <v>0</v>
      </c>
      <c r="N35" s="20" t="n">
        <v>0</v>
      </c>
      <c r="O35" s="18" t="n">
        <v>0</v>
      </c>
      <c r="P35" s="20" t="n">
        <v>0</v>
      </c>
      <c r="Q35" s="18" t="n">
        <v>2.53303558</v>
      </c>
      <c r="R35" s="20" t="n">
        <v>0.53788436</v>
      </c>
    </row>
    <row r="36" spans="1:18">
      <c r="A36" s="15" t="s">
        <v>596</v>
      </c>
      <c r="B36" s="17" t="n">
        <v>3332</v>
      </c>
      <c r="C36" s="18">
        <f>(2631.0/B36*100)</f>
        <v/>
      </c>
      <c r="D36" s="19" t="n">
        <v>701</v>
      </c>
      <c r="E36" s="18" t="n">
        <v>22.67758904</v>
      </c>
      <c r="F36" s="20" t="n">
        <v>1.87936676</v>
      </c>
      <c r="G36" s="18" t="n">
        <v>72.10317989000001</v>
      </c>
      <c r="H36" s="20" t="n">
        <v>2.03373324</v>
      </c>
      <c r="I36" s="18" t="s">
        <v>567</v>
      </c>
      <c r="J36" s="20" t="s">
        <v>567</v>
      </c>
      <c r="K36" s="18" t="n">
        <v>0</v>
      </c>
      <c r="L36" s="20" t="n">
        <v>0</v>
      </c>
      <c r="M36" s="18" t="n">
        <v>0</v>
      </c>
      <c r="N36" s="20" t="n">
        <v>0</v>
      </c>
      <c r="O36" s="18" t="n">
        <v>0</v>
      </c>
      <c r="P36" s="20" t="n">
        <v>0</v>
      </c>
      <c r="Q36" s="18" t="n">
        <v>5.21923107</v>
      </c>
      <c r="R36" s="20" t="n">
        <v>0.76855957</v>
      </c>
    </row>
    <row r="37" spans="1:18">
      <c r="A37" s="15" t="s">
        <v>597</v>
      </c>
      <c r="B37" s="17" t="n">
        <v>2727</v>
      </c>
      <c r="C37" s="18">
        <f>(2144.0/B37*100)</f>
        <v/>
      </c>
      <c r="D37" s="19" t="n">
        <v>583</v>
      </c>
      <c r="E37" s="18" t="n">
        <v>23.31578097</v>
      </c>
      <c r="F37" s="20" t="n">
        <v>1.86298261</v>
      </c>
      <c r="G37" s="18" t="n">
        <v>73.29154391</v>
      </c>
      <c r="H37" s="20" t="n">
        <v>1.8505192</v>
      </c>
      <c r="I37" s="18" t="s">
        <v>567</v>
      </c>
      <c r="J37" s="20" t="s">
        <v>567</v>
      </c>
      <c r="K37" s="18" t="n">
        <v>0.1474625</v>
      </c>
      <c r="L37" s="20" t="n">
        <v>0.20875818</v>
      </c>
      <c r="M37" s="18" t="n">
        <v>0</v>
      </c>
      <c r="N37" s="20" t="n">
        <v>0</v>
      </c>
      <c r="O37" s="18" t="n">
        <v>0</v>
      </c>
      <c r="P37" s="20" t="n">
        <v>0</v>
      </c>
      <c r="Q37" s="18" t="n">
        <v>3.24521262</v>
      </c>
      <c r="R37" s="20" t="n">
        <v>0.66068195</v>
      </c>
    </row>
    <row r="38" spans="1:18">
      <c r="A38" s="15" t="s">
        <v>598</v>
      </c>
      <c r="B38" s="17" t="n">
        <v>3053</v>
      </c>
      <c r="C38" s="18">
        <f>(2396.0/B38*100)</f>
        <v/>
      </c>
      <c r="D38" s="19" t="n">
        <v>657</v>
      </c>
      <c r="E38" s="18" t="n">
        <v>16.14989616</v>
      </c>
      <c r="F38" s="20" t="n">
        <v>1.66360017</v>
      </c>
      <c r="G38" s="18" t="n">
        <v>81.68284667</v>
      </c>
      <c r="H38" s="20" t="n">
        <v>1.80960631</v>
      </c>
      <c r="I38" s="18" t="s">
        <v>567</v>
      </c>
      <c r="J38" s="20" t="s">
        <v>567</v>
      </c>
      <c r="K38" s="18" t="n">
        <v>0</v>
      </c>
      <c r="L38" s="20" t="n">
        <v>0</v>
      </c>
      <c r="M38" s="18" t="n">
        <v>0</v>
      </c>
      <c r="N38" s="20" t="n">
        <v>0</v>
      </c>
      <c r="O38" s="18" t="n">
        <v>0</v>
      </c>
      <c r="P38" s="20" t="n">
        <v>0</v>
      </c>
      <c r="Q38" s="18" t="n">
        <v>2.16725717</v>
      </c>
      <c r="R38" s="20" t="n">
        <v>0.6471128</v>
      </c>
    </row>
    <row r="39" spans="1:18">
      <c r="A39" s="15" t="s">
        <v>599</v>
      </c>
      <c r="B39" s="17" t="n">
        <v>2957</v>
      </c>
      <c r="C39" s="18">
        <f>(2319.0/B39*100)</f>
        <v/>
      </c>
      <c r="D39" s="19" t="n">
        <v>638</v>
      </c>
      <c r="E39" s="18" t="n">
        <v>28.72747109</v>
      </c>
      <c r="F39" s="20" t="n">
        <v>1.74506546</v>
      </c>
      <c r="G39" s="18" t="n">
        <v>67.76450122999999</v>
      </c>
      <c r="H39" s="20" t="n">
        <v>1.84763076</v>
      </c>
      <c r="I39" s="18" t="s">
        <v>567</v>
      </c>
      <c r="J39" s="20" t="s">
        <v>567</v>
      </c>
      <c r="K39" s="18" t="n">
        <v>0.63206096</v>
      </c>
      <c r="L39" s="20" t="n">
        <v>0.26562693</v>
      </c>
      <c r="M39" s="18" t="n">
        <v>0</v>
      </c>
      <c r="N39" s="20" t="n">
        <v>0</v>
      </c>
      <c r="O39" s="18" t="n">
        <v>0</v>
      </c>
      <c r="P39" s="20" t="n">
        <v>0</v>
      </c>
      <c r="Q39" s="18" t="n">
        <v>2.87596673</v>
      </c>
      <c r="R39" s="20" t="n">
        <v>0.62417484</v>
      </c>
    </row>
    <row r="40" spans="1:18">
      <c r="A40" s="15" t="s">
        <v>600</v>
      </c>
      <c r="B40" s="17" t="n">
        <v>7235</v>
      </c>
      <c r="C40" s="18">
        <f>(5648.0/B40*100)</f>
        <v/>
      </c>
      <c r="D40" s="19" t="n">
        <v>1587</v>
      </c>
      <c r="E40" s="18" t="n">
        <v>15.82326509</v>
      </c>
      <c r="F40" s="20" t="n">
        <v>1.4582774</v>
      </c>
      <c r="G40" s="18" t="n">
        <v>81.45074673000001</v>
      </c>
      <c r="H40" s="20" t="n">
        <v>1.57911438</v>
      </c>
      <c r="I40" s="18" t="s">
        <v>567</v>
      </c>
      <c r="J40" s="20" t="s">
        <v>567</v>
      </c>
      <c r="K40" s="18" t="n">
        <v>0</v>
      </c>
      <c r="L40" s="20" t="n">
        <v>0</v>
      </c>
      <c r="M40" s="18" t="n">
        <v>0</v>
      </c>
      <c r="N40" s="20" t="n">
        <v>0</v>
      </c>
      <c r="O40" s="18" t="n">
        <v>0</v>
      </c>
      <c r="P40" s="20" t="n">
        <v>0</v>
      </c>
      <c r="Q40" s="18" t="n">
        <v>2.72598818</v>
      </c>
      <c r="R40" s="20" t="n">
        <v>0.65419169</v>
      </c>
    </row>
    <row r="41" spans="1:18">
      <c r="A41" s="15" t="s">
        <v>601</v>
      </c>
      <c r="B41" s="17" t="n">
        <v>2858</v>
      </c>
      <c r="C41" s="18">
        <f>(2264.0/B41*100)</f>
        <v/>
      </c>
      <c r="D41" s="19" t="n">
        <v>594</v>
      </c>
      <c r="E41" s="18" t="n">
        <v>21.28515192</v>
      </c>
      <c r="F41" s="20" t="n">
        <v>1.90591216</v>
      </c>
      <c r="G41" s="18" t="n">
        <v>75.42385179999999</v>
      </c>
      <c r="H41" s="20" t="n">
        <v>2.11995913</v>
      </c>
      <c r="I41" s="18" t="s">
        <v>567</v>
      </c>
      <c r="J41" s="20" t="s">
        <v>567</v>
      </c>
      <c r="K41" s="18" t="n">
        <v>0</v>
      </c>
      <c r="L41" s="20" t="n">
        <v>0</v>
      </c>
      <c r="M41" s="18" t="n">
        <v>0</v>
      </c>
      <c r="N41" s="20" t="n">
        <v>0</v>
      </c>
      <c r="O41" s="18" t="n">
        <v>0</v>
      </c>
      <c r="P41" s="20" t="n">
        <v>0</v>
      </c>
      <c r="Q41" s="18" t="n">
        <v>3.29099628</v>
      </c>
      <c r="R41" s="20" t="n">
        <v>0.76145053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(8759.0/B46*100)</f>
        <v/>
      </c>
      <c r="D46" s="19" t="n">
        <v>2309</v>
      </c>
      <c r="E46" s="18" t="n">
        <v>32.37568679</v>
      </c>
      <c r="F46" s="20" t="n">
        <v>1.45937814</v>
      </c>
      <c r="G46" s="18" t="n">
        <v>57.81945756</v>
      </c>
      <c r="H46" s="20" t="n">
        <v>1.45576506</v>
      </c>
      <c r="I46" s="18" t="s">
        <v>567</v>
      </c>
      <c r="J46" s="20" t="s">
        <v>567</v>
      </c>
      <c r="K46" s="18" t="n">
        <v>0.51382094</v>
      </c>
      <c r="L46" s="20" t="n">
        <v>0.19571016</v>
      </c>
      <c r="M46" s="18" t="n">
        <v>0</v>
      </c>
      <c r="N46" s="20" t="n">
        <v>0</v>
      </c>
      <c r="O46" s="18" t="n">
        <v>0</v>
      </c>
      <c r="P46" s="20" t="n">
        <v>0</v>
      </c>
      <c r="Q46" s="18" t="n">
        <v>9.291034700000001</v>
      </c>
      <c r="R46" s="20" t="n">
        <v>0.88511781</v>
      </c>
    </row>
    <row r="47" spans="1:18">
      <c r="A47" s="15" t="s">
        <v>607</v>
      </c>
      <c r="B47" s="17" t="n">
        <v>3105</v>
      </c>
      <c r="C47" s="18">
        <f>(2462.0/B47*100)</f>
        <v/>
      </c>
      <c r="D47" s="19" t="n">
        <v>643</v>
      </c>
      <c r="E47" s="18" t="n">
        <v>32.77497223</v>
      </c>
      <c r="F47" s="20" t="n">
        <v>1.98357263</v>
      </c>
      <c r="G47" s="18" t="n">
        <v>58.89776993</v>
      </c>
      <c r="H47" s="20" t="n">
        <v>2.40044191</v>
      </c>
      <c r="I47" s="18" t="s">
        <v>567</v>
      </c>
      <c r="J47" s="20" t="s">
        <v>567</v>
      </c>
      <c r="K47" s="18" t="n">
        <v>0.16192935</v>
      </c>
      <c r="L47" s="20" t="n">
        <v>0.18455702</v>
      </c>
      <c r="M47" s="18" t="n">
        <v>0</v>
      </c>
      <c r="N47" s="20" t="n">
        <v>0</v>
      </c>
      <c r="O47" s="18" t="n">
        <v>0</v>
      </c>
      <c r="P47" s="20" t="n">
        <v>0</v>
      </c>
      <c r="Q47" s="18" t="n">
        <v>8.16532849</v>
      </c>
      <c r="R47" s="20" t="n">
        <v>1.52433298</v>
      </c>
    </row>
    <row r="48" spans="1:18">
      <c r="A48" s="15" t="s">
        <v>608</v>
      </c>
      <c r="B48" s="17" t="n">
        <v>5159</v>
      </c>
      <c r="C48" s="18">
        <f>(4021.0/B48*100)</f>
        <v/>
      </c>
      <c r="D48" s="19" t="n">
        <v>1138</v>
      </c>
      <c r="E48" s="18" t="n">
        <v>23.64588421</v>
      </c>
      <c r="F48" s="20" t="n">
        <v>1.9457514</v>
      </c>
      <c r="G48" s="18" t="n">
        <v>73.21905833</v>
      </c>
      <c r="H48" s="20" t="n">
        <v>1.89890136</v>
      </c>
      <c r="I48" s="18" t="s">
        <v>567</v>
      </c>
      <c r="J48" s="20" t="s">
        <v>567</v>
      </c>
      <c r="K48" s="18" t="n">
        <v>0.42052798</v>
      </c>
      <c r="L48" s="20" t="n">
        <v>0.24150428</v>
      </c>
      <c r="M48" s="18" t="n">
        <v>0</v>
      </c>
      <c r="N48" s="20" t="n">
        <v>0</v>
      </c>
      <c r="O48" s="18" t="n">
        <v>0</v>
      </c>
      <c r="P48" s="20" t="n">
        <v>0</v>
      </c>
      <c r="Q48" s="18" t="n">
        <v>2.71452948</v>
      </c>
      <c r="R48" s="20" t="n">
        <v>0.64257955</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(4426.0/B50*100)</f>
        <v/>
      </c>
      <c r="D50" s="19" t="n">
        <v>1211</v>
      </c>
      <c r="E50" s="18" t="n">
        <v>33.87955638</v>
      </c>
      <c r="F50" s="20" t="n">
        <v>1.69254813</v>
      </c>
      <c r="G50" s="18" t="n">
        <v>58.83517915</v>
      </c>
      <c r="H50" s="20" t="n">
        <v>2.05094398</v>
      </c>
      <c r="I50" s="18" t="s">
        <v>567</v>
      </c>
      <c r="J50" s="20" t="s">
        <v>567</v>
      </c>
      <c r="K50" s="18" t="n">
        <v>0.3036999</v>
      </c>
      <c r="L50" s="20" t="n">
        <v>0.30264864</v>
      </c>
      <c r="M50" s="18" t="n">
        <v>0</v>
      </c>
      <c r="N50" s="20" t="n">
        <v>0</v>
      </c>
      <c r="O50" s="18" t="n">
        <v>0</v>
      </c>
      <c r="P50" s="20" t="n">
        <v>0</v>
      </c>
      <c r="Q50" s="18" t="n">
        <v>6.98156458</v>
      </c>
      <c r="R50" s="20" t="n">
        <v>1.06647933</v>
      </c>
    </row>
    <row r="51" spans="1:18">
      <c r="A51" s="15" t="s">
        <v>611</v>
      </c>
      <c r="B51" s="17" t="n">
        <v>3372</v>
      </c>
      <c r="C51" s="18">
        <f>(2733.0/B51*100)</f>
        <v/>
      </c>
      <c r="D51" s="19" t="n">
        <v>639</v>
      </c>
      <c r="E51" s="18" t="n">
        <v>34.42924493</v>
      </c>
      <c r="F51" s="20" t="n">
        <v>1.73460555</v>
      </c>
      <c r="G51" s="18" t="n">
        <v>59.05859709</v>
      </c>
      <c r="H51" s="20" t="n">
        <v>1.97194623</v>
      </c>
      <c r="I51" s="18" t="s">
        <v>567</v>
      </c>
      <c r="J51" s="20" t="s">
        <v>567</v>
      </c>
      <c r="K51" s="18" t="n">
        <v>0.22860092</v>
      </c>
      <c r="L51" s="20" t="n">
        <v>0.20528129</v>
      </c>
      <c r="M51" s="18" t="n">
        <v>0</v>
      </c>
      <c r="N51" s="20" t="n">
        <v>0</v>
      </c>
      <c r="O51" s="18" t="n">
        <v>0</v>
      </c>
      <c r="P51" s="20" t="n">
        <v>0</v>
      </c>
      <c r="Q51" s="18" t="n">
        <v>6.28355706</v>
      </c>
      <c r="R51" s="20" t="n">
        <v>1.08518929</v>
      </c>
    </row>
    <row r="52" spans="1:18">
      <c r="A52" s="15" t="s">
        <v>612</v>
      </c>
      <c r="B52" s="17" t="n">
        <v>2796</v>
      </c>
      <c r="C52" s="18">
        <f>(2142.0/B52*100)</f>
        <v/>
      </c>
      <c r="D52" s="19" t="n">
        <v>654</v>
      </c>
      <c r="E52" s="18" t="n">
        <v>23.27901376</v>
      </c>
      <c r="F52" s="20" t="n">
        <v>1.64030821</v>
      </c>
      <c r="G52" s="18" t="n">
        <v>72.13363852000001</v>
      </c>
      <c r="H52" s="20" t="n">
        <v>1.84210766</v>
      </c>
      <c r="I52" s="18" t="s">
        <v>567</v>
      </c>
      <c r="J52" s="20" t="s">
        <v>567</v>
      </c>
      <c r="K52" s="18" t="n">
        <v>0</v>
      </c>
      <c r="L52" s="20" t="n">
        <v>0</v>
      </c>
      <c r="M52" s="18" t="n">
        <v>0</v>
      </c>
      <c r="N52" s="20" t="n">
        <v>0</v>
      </c>
      <c r="O52" s="18" t="n">
        <v>0</v>
      </c>
      <c r="P52" s="20" t="n">
        <v>0</v>
      </c>
      <c r="Q52" s="18" t="n">
        <v>4.58734772</v>
      </c>
      <c r="R52" s="20" t="n">
        <v>0.8185935600000001</v>
      </c>
    </row>
    <row r="53" spans="1:18">
      <c r="A53" s="15" t="s">
        <v>613</v>
      </c>
      <c r="B53" s="17" t="n">
        <v>2811</v>
      </c>
      <c r="C53" s="18">
        <f>(2209.0/B53*100)</f>
        <v/>
      </c>
      <c r="D53" s="19" t="n">
        <v>602</v>
      </c>
      <c r="E53" s="18" t="n">
        <v>26.83146875</v>
      </c>
      <c r="F53" s="20" t="n">
        <v>1.70576396</v>
      </c>
      <c r="G53" s="18" t="n">
        <v>66.25235807999999</v>
      </c>
      <c r="H53" s="20" t="n">
        <v>1.86193349</v>
      </c>
      <c r="I53" s="18" t="s">
        <v>567</v>
      </c>
      <c r="J53" s="20" t="s">
        <v>567</v>
      </c>
      <c r="K53" s="18" t="n">
        <v>0.11773077</v>
      </c>
      <c r="L53" s="20" t="n">
        <v>0.11791293</v>
      </c>
      <c r="M53" s="18" t="n">
        <v>0</v>
      </c>
      <c r="N53" s="20" t="n">
        <v>0</v>
      </c>
      <c r="O53" s="18" t="n">
        <v>0</v>
      </c>
      <c r="P53" s="20" t="n">
        <v>0</v>
      </c>
      <c r="Q53" s="18" t="n">
        <v>6.7984424</v>
      </c>
      <c r="R53" s="20" t="n">
        <v>1.03852783</v>
      </c>
    </row>
    <row r="54" spans="1:18">
      <c r="A54" s="15" t="s">
        <v>614</v>
      </c>
      <c r="B54" s="17" t="n">
        <v>2266</v>
      </c>
      <c r="C54" s="18">
        <f>(1740.0/B54*100)</f>
        <v/>
      </c>
      <c r="D54" s="19" t="n">
        <v>526</v>
      </c>
      <c r="E54" s="18" t="n">
        <v>36.80496608</v>
      </c>
      <c r="F54" s="20" t="n">
        <v>2.16606589</v>
      </c>
      <c r="G54" s="18" t="n">
        <v>40.73323197</v>
      </c>
      <c r="H54" s="20" t="n">
        <v>2.68692633</v>
      </c>
      <c r="I54" s="18" t="s">
        <v>567</v>
      </c>
      <c r="J54" s="20" t="s">
        <v>567</v>
      </c>
      <c r="K54" s="18" t="n">
        <v>3.37246878</v>
      </c>
      <c r="L54" s="20" t="n">
        <v>1.01280852</v>
      </c>
      <c r="M54" s="18" t="n">
        <v>0</v>
      </c>
      <c r="N54" s="20" t="n">
        <v>0</v>
      </c>
      <c r="O54" s="18" t="n">
        <v>0</v>
      </c>
      <c r="P54" s="20" t="n">
        <v>0</v>
      </c>
      <c r="Q54" s="18" t="n">
        <v>19.08933317</v>
      </c>
      <c r="R54" s="20" t="n">
        <v>1.93049539</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(2064.0/B56*100)</f>
        <v/>
      </c>
      <c r="D56" s="19" t="n">
        <v>620</v>
      </c>
      <c r="E56" s="18" t="n">
        <v>23.22772926</v>
      </c>
      <c r="F56" s="20" t="n">
        <v>2.0114314</v>
      </c>
      <c r="G56" s="18" t="n">
        <v>75.17871909</v>
      </c>
      <c r="H56" s="20" t="n">
        <v>2.02883388</v>
      </c>
      <c r="I56" s="18" t="s">
        <v>567</v>
      </c>
      <c r="J56" s="20" t="s">
        <v>567</v>
      </c>
      <c r="K56" s="18" t="n">
        <v>0</v>
      </c>
      <c r="L56" s="20" t="n">
        <v>0</v>
      </c>
      <c r="M56" s="18" t="n">
        <v>0</v>
      </c>
      <c r="N56" s="20" t="n">
        <v>0</v>
      </c>
      <c r="O56" s="18" t="n">
        <v>0</v>
      </c>
      <c r="P56" s="20" t="n">
        <v>0</v>
      </c>
      <c r="Q56" s="18" t="n">
        <v>1.59355166</v>
      </c>
      <c r="R56" s="20" t="n">
        <v>0.48406863</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(2593.0/B61*100)</f>
        <v/>
      </c>
      <c r="D61" s="19" t="n">
        <v>731</v>
      </c>
      <c r="E61" s="18" t="n">
        <v>26.29156565</v>
      </c>
      <c r="F61" s="20" t="n">
        <v>1.94495985</v>
      </c>
      <c r="G61" s="18" t="n">
        <v>70.53098993</v>
      </c>
      <c r="H61" s="20" t="n">
        <v>2.01677616</v>
      </c>
      <c r="I61" s="18" t="s">
        <v>567</v>
      </c>
      <c r="J61" s="20" t="s">
        <v>567</v>
      </c>
      <c r="K61" s="18" t="n">
        <v>0</v>
      </c>
      <c r="L61" s="20" t="n">
        <v>0</v>
      </c>
      <c r="M61" s="18" t="n">
        <v>0</v>
      </c>
      <c r="N61" s="20" t="n">
        <v>0</v>
      </c>
      <c r="O61" s="18" t="n">
        <v>0</v>
      </c>
      <c r="P61" s="20" t="n">
        <v>0</v>
      </c>
      <c r="Q61" s="18" t="n">
        <v>3.17744442</v>
      </c>
      <c r="R61" s="20" t="n">
        <v>0.68068138</v>
      </c>
    </row>
    <row r="62" spans="1:18">
      <c r="A62" s="15" t="s">
        <v>622</v>
      </c>
      <c r="B62" s="17" t="n">
        <v>2246</v>
      </c>
      <c r="C62" s="18">
        <f>(1789.0/B62*100)</f>
        <v/>
      </c>
      <c r="D62" s="19" t="n">
        <v>457</v>
      </c>
      <c r="E62" s="18" t="n">
        <v>21.66592965</v>
      </c>
      <c r="F62" s="20" t="n">
        <v>1.85390396</v>
      </c>
      <c r="G62" s="18" t="n">
        <v>77.66057143</v>
      </c>
      <c r="H62" s="20" t="n">
        <v>1.87878702</v>
      </c>
      <c r="I62" s="18" t="s">
        <v>567</v>
      </c>
      <c r="J62" s="20" t="s">
        <v>567</v>
      </c>
      <c r="K62" s="18" t="n">
        <v>0</v>
      </c>
      <c r="L62" s="20" t="n">
        <v>0</v>
      </c>
      <c r="M62" s="18" t="n">
        <v>0</v>
      </c>
      <c r="N62" s="20" t="n">
        <v>0</v>
      </c>
      <c r="O62" s="18" t="n">
        <v>0</v>
      </c>
      <c r="P62" s="20" t="n">
        <v>0</v>
      </c>
      <c r="Q62" s="18" t="n">
        <v>0.67349892</v>
      </c>
      <c r="R62" s="20" t="n">
        <v>0.38529726</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(2232.0/B66*100)</f>
        <v/>
      </c>
      <c r="D66" s="19" t="n">
        <v>662</v>
      </c>
      <c r="E66" s="18" t="n">
        <v>40.14180967</v>
      </c>
      <c r="F66" s="20" t="n">
        <v>2.23026517</v>
      </c>
      <c r="G66" s="18" t="n">
        <v>50.8667895</v>
      </c>
      <c r="H66" s="20" t="n">
        <v>2.13050203</v>
      </c>
      <c r="I66" s="18" t="s">
        <v>567</v>
      </c>
      <c r="J66" s="20" t="s">
        <v>567</v>
      </c>
      <c r="K66" s="18" t="n">
        <v>0.28107963</v>
      </c>
      <c r="L66" s="20" t="n">
        <v>0.19796957</v>
      </c>
      <c r="M66" s="18" t="n">
        <v>0</v>
      </c>
      <c r="N66" s="20" t="n">
        <v>0</v>
      </c>
      <c r="O66" s="18" t="n">
        <v>0</v>
      </c>
      <c r="P66" s="20" t="n">
        <v>0</v>
      </c>
      <c r="Q66" s="18" t="n">
        <v>8.710321199999999</v>
      </c>
      <c r="R66" s="20" t="n">
        <v>1.1072538</v>
      </c>
    </row>
    <row r="67" spans="1:18">
      <c r="A67" s="15" t="s">
        <v>627</v>
      </c>
      <c r="B67" s="17" t="n">
        <v>3511</v>
      </c>
      <c r="C67" s="18">
        <f>(2754.0/B67*100)</f>
        <v/>
      </c>
      <c r="D67" s="19" t="n">
        <v>757</v>
      </c>
      <c r="E67" s="18" t="n">
        <v>40.06507065</v>
      </c>
      <c r="F67" s="20" t="n">
        <v>1.92127638</v>
      </c>
      <c r="G67" s="18" t="n">
        <v>52.13288485</v>
      </c>
      <c r="H67" s="20" t="n">
        <v>1.88757776</v>
      </c>
      <c r="I67" s="18" t="s">
        <v>567</v>
      </c>
      <c r="J67" s="20" t="s">
        <v>567</v>
      </c>
      <c r="K67" s="18" t="n">
        <v>0</v>
      </c>
      <c r="L67" s="20" t="n">
        <v>0</v>
      </c>
      <c r="M67" s="18" t="n">
        <v>0</v>
      </c>
      <c r="N67" s="20" t="n">
        <v>0</v>
      </c>
      <c r="O67" s="18" t="n">
        <v>0</v>
      </c>
      <c r="P67" s="20" t="n">
        <v>0</v>
      </c>
      <c r="Q67" s="18" t="n">
        <v>7.80204449</v>
      </c>
      <c r="R67" s="20" t="n">
        <v>1.09420692</v>
      </c>
    </row>
    <row r="68" spans="1:18">
      <c r="A68" s="15" t="s">
        <v>628</v>
      </c>
      <c r="B68" s="17" t="n">
        <v>6049</v>
      </c>
      <c r="C68" s="18">
        <f>(4714.0/B68*100)</f>
        <v/>
      </c>
      <c r="D68" s="19" t="n">
        <v>1335</v>
      </c>
      <c r="E68" s="18" t="n">
        <v>35.15840358</v>
      </c>
      <c r="F68" s="20" t="n">
        <v>1.31748466</v>
      </c>
      <c r="G68" s="18" t="n">
        <v>57.1587925</v>
      </c>
      <c r="H68" s="20" t="n">
        <v>1.3387874</v>
      </c>
      <c r="I68" s="18" t="s">
        <v>567</v>
      </c>
      <c r="J68" s="20" t="s">
        <v>567</v>
      </c>
      <c r="K68" s="18" t="n">
        <v>0.29211793</v>
      </c>
      <c r="L68" s="20" t="n">
        <v>0.14481494</v>
      </c>
      <c r="M68" s="18" t="n">
        <v>0</v>
      </c>
      <c r="N68" s="20" t="n">
        <v>0</v>
      </c>
      <c r="O68" s="18" t="n">
        <v>0</v>
      </c>
      <c r="P68" s="20" t="n">
        <v>0</v>
      </c>
      <c r="Q68" s="18" t="n">
        <v>7.39068599</v>
      </c>
      <c r="R68" s="20" t="n">
        <v>0.6711276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(2318.0/B70*100)</f>
        <v/>
      </c>
      <c r="D70" s="19" t="n">
        <v>611</v>
      </c>
      <c r="E70" s="18" t="n">
        <v>27.96356585</v>
      </c>
      <c r="F70" s="20" t="n">
        <v>2.4041602</v>
      </c>
      <c r="G70" s="18" t="n">
        <v>67.87170838</v>
      </c>
      <c r="H70" s="20" t="n">
        <v>2.53801336</v>
      </c>
      <c r="I70" s="18" t="s">
        <v>567</v>
      </c>
      <c r="J70" s="20" t="s">
        <v>567</v>
      </c>
      <c r="K70" s="18" t="n">
        <v>0</v>
      </c>
      <c r="L70" s="20" t="n">
        <v>0</v>
      </c>
      <c r="M70" s="18" t="n">
        <v>0</v>
      </c>
      <c r="N70" s="20" t="n">
        <v>0</v>
      </c>
      <c r="O70" s="18" t="n">
        <v>0</v>
      </c>
      <c r="P70" s="20" t="n">
        <v>0</v>
      </c>
      <c r="Q70" s="18" t="n">
        <v>4.16472577</v>
      </c>
      <c r="R70" s="20" t="n">
        <v>0.90336683</v>
      </c>
    </row>
    <row r="71" spans="1:18">
      <c r="A71" s="15" t="s">
        <v>631</v>
      </c>
      <c r="B71" s="17" t="n">
        <v>3142</v>
      </c>
      <c r="C71" s="18">
        <f>(2463.0/B71*100)</f>
        <v/>
      </c>
      <c r="D71" s="19" t="n">
        <v>679</v>
      </c>
      <c r="E71" s="18" t="n">
        <v>13.91593857</v>
      </c>
      <c r="F71" s="20" t="n">
        <v>1.228283</v>
      </c>
      <c r="G71" s="18" t="n">
        <v>85.29501888999999</v>
      </c>
      <c r="H71" s="20" t="n">
        <v>1.25320336</v>
      </c>
      <c r="I71" s="18" t="s">
        <v>567</v>
      </c>
      <c r="J71" s="20" t="s">
        <v>567</v>
      </c>
      <c r="K71" s="18" t="n">
        <v>0.20461134</v>
      </c>
      <c r="L71" s="20" t="n">
        <v>0.14803532</v>
      </c>
      <c r="M71" s="18" t="n">
        <v>0</v>
      </c>
      <c r="N71" s="20" t="n">
        <v>0</v>
      </c>
      <c r="O71" s="18" t="n">
        <v>0</v>
      </c>
      <c r="P71" s="20" t="n">
        <v>0</v>
      </c>
      <c r="Q71" s="18" t="n">
        <v>0.5844312</v>
      </c>
      <c r="R71" s="20" t="n">
        <v>0.27430107</v>
      </c>
    </row>
    <row r="72" spans="1:18">
      <c r="A72" s="15" t="s">
        <v>632</v>
      </c>
      <c r="B72" s="17" t="n">
        <v>3889</v>
      </c>
      <c r="C72" s="18">
        <f>(3011.0/B72*100)</f>
        <v/>
      </c>
      <c r="D72" s="19" t="n">
        <v>878</v>
      </c>
      <c r="E72" s="18" t="n">
        <v>17.88064572</v>
      </c>
      <c r="F72" s="20" t="n">
        <v>1.32423297</v>
      </c>
      <c r="G72" s="18" t="n">
        <v>81.11014892</v>
      </c>
      <c r="H72" s="20" t="n">
        <v>1.40826154</v>
      </c>
      <c r="I72" s="18" t="s">
        <v>567</v>
      </c>
      <c r="J72" s="20" t="s">
        <v>567</v>
      </c>
      <c r="K72" s="18" t="n">
        <v>0.16040264</v>
      </c>
      <c r="L72" s="20" t="n">
        <v>0.11597302</v>
      </c>
      <c r="M72" s="18" t="n">
        <v>0</v>
      </c>
      <c r="N72" s="20" t="n">
        <v>0</v>
      </c>
      <c r="O72" s="18" t="n">
        <v>0</v>
      </c>
      <c r="P72" s="20" t="n">
        <v>0</v>
      </c>
      <c r="Q72" s="18" t="n">
        <v>0.84880271</v>
      </c>
      <c r="R72" s="20" t="n">
        <v>0.33992356</v>
      </c>
    </row>
    <row r="73" spans="1:18">
      <c r="A73" s="15" t="s">
        <v>633</v>
      </c>
      <c r="B73" s="17" t="n">
        <v>3597</v>
      </c>
      <c r="C73" s="18">
        <f>(2779.0/B73*100)</f>
        <v/>
      </c>
      <c r="D73" s="19" t="n">
        <v>818</v>
      </c>
      <c r="E73" s="18" t="n">
        <v>28.79877472</v>
      </c>
      <c r="F73" s="20" t="n">
        <v>2.03034609</v>
      </c>
      <c r="G73" s="18" t="n">
        <v>65.32553829</v>
      </c>
      <c r="H73" s="20" t="n">
        <v>2.21920861</v>
      </c>
      <c r="I73" s="18" t="s">
        <v>567</v>
      </c>
      <c r="J73" s="20" t="s">
        <v>567</v>
      </c>
      <c r="K73" s="18" t="n">
        <v>0</v>
      </c>
      <c r="L73" s="20" t="n">
        <v>0</v>
      </c>
      <c r="M73" s="18" t="n">
        <v>0</v>
      </c>
      <c r="N73" s="20" t="n">
        <v>0</v>
      </c>
      <c r="O73" s="18" t="n">
        <v>0</v>
      </c>
      <c r="P73" s="20" t="n">
        <v>0</v>
      </c>
      <c r="Q73" s="18" t="n">
        <v>5.87568699</v>
      </c>
      <c r="R73" s="20" t="n">
        <v>1.09754536</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(1905.0/B75*100)</f>
        <v/>
      </c>
      <c r="D75" s="19" t="n">
        <v>501</v>
      </c>
      <c r="E75" s="18" t="n">
        <v>37.31959331</v>
      </c>
      <c r="F75" s="20" t="n">
        <v>2.5543074</v>
      </c>
      <c r="G75" s="18" t="n">
        <v>54.70114366</v>
      </c>
      <c r="H75" s="20" t="n">
        <v>2.61240166</v>
      </c>
      <c r="I75" s="18" t="s">
        <v>567</v>
      </c>
      <c r="J75" s="20" t="s">
        <v>567</v>
      </c>
      <c r="K75" s="18" t="n">
        <v>0.28613523</v>
      </c>
      <c r="L75" s="20" t="n">
        <v>0.21477584</v>
      </c>
      <c r="M75" s="18" t="n">
        <v>0</v>
      </c>
      <c r="N75" s="20" t="n">
        <v>0</v>
      </c>
      <c r="O75" s="18" t="n">
        <v>0</v>
      </c>
      <c r="P75" s="20" t="n">
        <v>0</v>
      </c>
      <c r="Q75" s="18" t="n">
        <v>7.6931278</v>
      </c>
      <c r="R75" s="20" t="n">
        <v>1.30118849</v>
      </c>
    </row>
    <row r="76" spans="1:18">
      <c r="A76" s="15" t="s">
        <v>636</v>
      </c>
      <c r="B76" s="17" t="n">
        <v>7052</v>
      </c>
      <c r="C76" s="18">
        <f>(5531.0/B76*100)</f>
        <v/>
      </c>
      <c r="D76" s="19" t="n">
        <v>1521</v>
      </c>
      <c r="E76" s="18" t="n">
        <v>34.02723808</v>
      </c>
      <c r="F76" s="20" t="n">
        <v>1.49063112</v>
      </c>
      <c r="G76" s="18" t="n">
        <v>60.75562403</v>
      </c>
      <c r="H76" s="20" t="n">
        <v>1.41815581</v>
      </c>
      <c r="I76" s="18" t="s">
        <v>567</v>
      </c>
      <c r="J76" s="20" t="s">
        <v>567</v>
      </c>
      <c r="K76" s="18" t="n">
        <v>0.23952239</v>
      </c>
      <c r="L76" s="20" t="n">
        <v>0.138278</v>
      </c>
      <c r="M76" s="18" t="n">
        <v>0</v>
      </c>
      <c r="N76" s="20" t="n">
        <v>0</v>
      </c>
      <c r="O76" s="18" t="n">
        <v>0</v>
      </c>
      <c r="P76" s="20" t="n">
        <v>0</v>
      </c>
      <c r="Q76" s="18" t="n">
        <v>4.9776155</v>
      </c>
      <c r="R76" s="20" t="n">
        <v>0.71136344</v>
      </c>
    </row>
    <row r="77" spans="1:18">
      <c r="A77" s="15" t="s">
        <v>637</v>
      </c>
      <c r="B77" s="17" t="n">
        <v>2908</v>
      </c>
      <c r="C77" s="18">
        <f>(2259.0/B77*100)</f>
        <v/>
      </c>
      <c r="D77" s="19" t="n">
        <v>649</v>
      </c>
      <c r="E77" s="18" t="n">
        <v>30.94445354</v>
      </c>
      <c r="F77" s="20" t="n">
        <v>1.98759981</v>
      </c>
      <c r="G77" s="18" t="n">
        <v>63.48627252</v>
      </c>
      <c r="H77" s="20" t="n">
        <v>2.15661687</v>
      </c>
      <c r="I77" s="18" t="s">
        <v>567</v>
      </c>
      <c r="J77" s="20" t="s">
        <v>567</v>
      </c>
      <c r="K77" s="18" t="n">
        <v>0.5460881</v>
      </c>
      <c r="L77" s="20" t="n">
        <v>0.28551503</v>
      </c>
      <c r="M77" s="18" t="n">
        <v>0</v>
      </c>
      <c r="N77" s="20" t="n">
        <v>0</v>
      </c>
      <c r="O77" s="18" t="n">
        <v>0</v>
      </c>
      <c r="P77" s="20" t="n">
        <v>0</v>
      </c>
      <c r="Q77" s="18" t="n">
        <v>5.02318584</v>
      </c>
      <c r="R77" s="20" t="n">
        <v>0.9212864200000001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(3207.0/B81*100)</f>
        <v/>
      </c>
      <c r="D81" s="19" t="n">
        <v>956</v>
      </c>
      <c r="E81" s="18" t="n">
        <v>21.51076728</v>
      </c>
      <c r="F81" s="20" t="n">
        <v>1.88640589</v>
      </c>
      <c r="G81" s="18" t="n">
        <v>74.64369430000001</v>
      </c>
      <c r="H81" s="20" t="n">
        <v>1.82406365</v>
      </c>
      <c r="I81" s="18" t="s">
        <v>567</v>
      </c>
      <c r="J81" s="20" t="s">
        <v>567</v>
      </c>
      <c r="K81" s="18" t="n">
        <v>0.13940178</v>
      </c>
      <c r="L81" s="20" t="n">
        <v>0.14351889</v>
      </c>
      <c r="M81" s="18" t="n">
        <v>0</v>
      </c>
      <c r="N81" s="20" t="n">
        <v>0</v>
      </c>
      <c r="O81" s="18" t="n">
        <v>0</v>
      </c>
      <c r="P81" s="20" t="n">
        <v>0</v>
      </c>
      <c r="Q81" s="18" t="n">
        <v>3.70613663</v>
      </c>
      <c r="R81" s="20" t="n">
        <v>0.84913088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(5764.0/B7*100)</f>
        <v/>
      </c>
      <c r="D7" s="19" t="n">
        <v>1603</v>
      </c>
      <c r="E7" s="18" t="n">
        <v>31.60709518</v>
      </c>
      <c r="F7" s="20" t="n">
        <v>1.51642404</v>
      </c>
      <c r="G7" s="18" t="n">
        <v>67.73652443</v>
      </c>
      <c r="H7" s="20" t="n">
        <v>1.51715455</v>
      </c>
      <c r="I7" s="18" t="s">
        <v>567</v>
      </c>
      <c r="J7" s="20" t="s">
        <v>567</v>
      </c>
      <c r="K7" s="18" t="n">
        <v>0.05459702</v>
      </c>
      <c r="L7" s="20" t="n">
        <v>0.03592943</v>
      </c>
      <c r="M7" s="18" t="n">
        <v>0</v>
      </c>
      <c r="N7" s="20" t="n">
        <v>0</v>
      </c>
      <c r="O7" s="18" t="n">
        <v>0</v>
      </c>
      <c r="P7" s="20" t="n">
        <v>0</v>
      </c>
      <c r="Q7" s="18" t="n">
        <v>0.60178337</v>
      </c>
      <c r="R7" s="20" t="n">
        <v>0.21528295</v>
      </c>
    </row>
    <row r="8" spans="1:18">
      <c r="A8" s="15" t="s">
        <v>568</v>
      </c>
      <c r="B8" s="17" t="n">
        <v>3564</v>
      </c>
      <c r="C8" s="18">
        <f>(2772.0/B8*100)</f>
        <v/>
      </c>
      <c r="D8" s="19" t="n">
        <v>792</v>
      </c>
      <c r="E8" s="18" t="n">
        <v>39.14616036</v>
      </c>
      <c r="F8" s="20" t="n">
        <v>1.74553828</v>
      </c>
      <c r="G8" s="18" t="n">
        <v>59.83305663</v>
      </c>
      <c r="H8" s="20" t="n">
        <v>1.66759541</v>
      </c>
      <c r="I8" s="18" t="s">
        <v>567</v>
      </c>
      <c r="J8" s="20" t="s">
        <v>567</v>
      </c>
      <c r="K8" s="18" t="n">
        <v>0</v>
      </c>
      <c r="L8" s="20" t="n">
        <v>0</v>
      </c>
      <c r="M8" s="18" t="n">
        <v>0</v>
      </c>
      <c r="N8" s="20" t="n">
        <v>0</v>
      </c>
      <c r="O8" s="18" t="n">
        <v>0</v>
      </c>
      <c r="P8" s="20" t="n">
        <v>0</v>
      </c>
      <c r="Q8" s="18" t="n">
        <v>1.02078301</v>
      </c>
      <c r="R8" s="20" t="n">
        <v>0.31401144</v>
      </c>
    </row>
    <row r="9" spans="1:18">
      <c r="A9" s="15" t="s">
        <v>569</v>
      </c>
      <c r="B9" s="17" t="n">
        <v>4899</v>
      </c>
      <c r="C9" s="18">
        <f>(3812.0/B9*100)</f>
        <v/>
      </c>
      <c r="D9" s="19" t="n">
        <v>1087</v>
      </c>
      <c r="E9" s="18" t="n">
        <v>39.48629815</v>
      </c>
      <c r="F9" s="20" t="n">
        <v>1.82535363</v>
      </c>
      <c r="G9" s="18" t="n">
        <v>60.29189121</v>
      </c>
      <c r="H9" s="20" t="n">
        <v>1.79788053</v>
      </c>
      <c r="I9" s="18" t="s">
        <v>567</v>
      </c>
      <c r="J9" s="20" t="s">
        <v>567</v>
      </c>
      <c r="K9" s="18" t="n">
        <v>0</v>
      </c>
      <c r="L9" s="20" t="n">
        <v>0</v>
      </c>
      <c r="M9" s="18" t="n">
        <v>0</v>
      </c>
      <c r="N9" s="20" t="n">
        <v>0</v>
      </c>
      <c r="O9" s="18" t="n">
        <v>0</v>
      </c>
      <c r="P9" s="20" t="n">
        <v>0</v>
      </c>
      <c r="Q9" s="18" t="n">
        <v>0.22181063</v>
      </c>
      <c r="R9" s="20" t="n">
        <v>0.15371264</v>
      </c>
    </row>
    <row r="10" spans="1:18">
      <c r="A10" s="15" t="s">
        <v>570</v>
      </c>
      <c r="B10" s="17" t="n">
        <v>10036</v>
      </c>
      <c r="C10" s="18">
        <f>(7876.0/B10*100)</f>
        <v/>
      </c>
      <c r="D10" s="19" t="n">
        <v>2160</v>
      </c>
      <c r="E10" s="18" t="n">
        <v>31.58593869</v>
      </c>
      <c r="F10" s="20" t="n">
        <v>1.50974036</v>
      </c>
      <c r="G10" s="18" t="n">
        <v>67.36440648999999</v>
      </c>
      <c r="H10" s="20" t="n">
        <v>1.52066552</v>
      </c>
      <c r="I10" s="18" t="s">
        <v>567</v>
      </c>
      <c r="J10" s="20" t="s">
        <v>567</v>
      </c>
      <c r="K10" s="18" t="n">
        <v>0.16317675</v>
      </c>
      <c r="L10" s="20" t="n">
        <v>0.1221871</v>
      </c>
      <c r="M10" s="18" t="n">
        <v>0</v>
      </c>
      <c r="N10" s="20" t="n">
        <v>0</v>
      </c>
      <c r="O10" s="18" t="n">
        <v>0</v>
      </c>
      <c r="P10" s="20" t="n">
        <v>0</v>
      </c>
      <c r="Q10" s="18" t="n">
        <v>0.88647806</v>
      </c>
      <c r="R10" s="20" t="n">
        <v>0.32665309</v>
      </c>
    </row>
    <row r="11" spans="1:18">
      <c r="A11" s="15" t="s">
        <v>571</v>
      </c>
      <c r="B11" s="17" t="n">
        <v>3553</v>
      </c>
      <c r="C11" s="18">
        <f>(2834.0/B11*100)</f>
        <v/>
      </c>
      <c r="D11" s="19" t="n">
        <v>719</v>
      </c>
      <c r="E11" s="18" t="n">
        <v>46.12375589</v>
      </c>
      <c r="F11" s="20" t="n">
        <v>2.18190337</v>
      </c>
      <c r="G11" s="18" t="n">
        <v>52.05582091</v>
      </c>
      <c r="H11" s="20" t="n">
        <v>2.20063865</v>
      </c>
      <c r="I11" s="18" t="s">
        <v>567</v>
      </c>
      <c r="J11" s="20" t="s">
        <v>567</v>
      </c>
      <c r="K11" s="18" t="n">
        <v>0.14993622</v>
      </c>
      <c r="L11" s="20" t="n">
        <v>0.10538384</v>
      </c>
      <c r="M11" s="18" t="n">
        <v>0</v>
      </c>
      <c r="N11" s="20" t="n">
        <v>0</v>
      </c>
      <c r="O11" s="18" t="n">
        <v>0</v>
      </c>
      <c r="P11" s="20" t="n">
        <v>0</v>
      </c>
      <c r="Q11" s="18" t="n">
        <v>1.67048699</v>
      </c>
      <c r="R11" s="20" t="n">
        <v>0.54888025</v>
      </c>
    </row>
    <row r="12" spans="1:18">
      <c r="A12" s="15" t="s">
        <v>572</v>
      </c>
      <c r="B12" s="17" t="n">
        <v>3472</v>
      </c>
      <c r="C12" s="18">
        <f>(2730.0/B12*100)</f>
        <v/>
      </c>
      <c r="D12" s="19" t="n">
        <v>742</v>
      </c>
      <c r="E12" s="18" t="n">
        <v>43.56705245</v>
      </c>
      <c r="F12" s="20" t="n">
        <v>2.08071787</v>
      </c>
      <c r="G12" s="18" t="n">
        <v>56.28656107</v>
      </c>
      <c r="H12" s="20" t="n">
        <v>2.08722831</v>
      </c>
      <c r="I12" s="18" t="s">
        <v>567</v>
      </c>
      <c r="J12" s="20" t="s">
        <v>567</v>
      </c>
      <c r="K12" s="18" t="n">
        <v>0</v>
      </c>
      <c r="L12" s="20" t="n">
        <v>0</v>
      </c>
      <c r="M12" s="18" t="n">
        <v>0</v>
      </c>
      <c r="N12" s="20" t="n">
        <v>0</v>
      </c>
      <c r="O12" s="18" t="n">
        <v>0</v>
      </c>
      <c r="P12" s="20" t="n">
        <v>0</v>
      </c>
      <c r="Q12" s="18" t="n">
        <v>0.14638648</v>
      </c>
      <c r="R12" s="20" t="n">
        <v>0.14283925</v>
      </c>
    </row>
    <row r="13" spans="1:18">
      <c r="A13" s="15" t="s">
        <v>573</v>
      </c>
      <c r="B13" s="17" t="n">
        <v>3559</v>
      </c>
      <c r="C13" s="18">
        <f>(2848.0/B13*100)</f>
        <v/>
      </c>
      <c r="D13" s="19" t="n">
        <v>711</v>
      </c>
      <c r="E13" s="18" t="n">
        <v>29.68502895</v>
      </c>
      <c r="F13" s="20" t="n">
        <v>2.08941166</v>
      </c>
      <c r="G13" s="18" t="n">
        <v>68.38989877</v>
      </c>
      <c r="H13" s="20" t="n">
        <v>2.07419484</v>
      </c>
      <c r="I13" s="18" t="s">
        <v>567</v>
      </c>
      <c r="J13" s="20" t="s">
        <v>567</v>
      </c>
      <c r="K13" s="18" t="n">
        <v>0.34907678</v>
      </c>
      <c r="L13" s="20" t="n">
        <v>0.19165129</v>
      </c>
      <c r="M13" s="18" t="n">
        <v>0</v>
      </c>
      <c r="N13" s="20" t="n">
        <v>0</v>
      </c>
      <c r="O13" s="18" t="n">
        <v>0</v>
      </c>
      <c r="P13" s="20" t="n">
        <v>0</v>
      </c>
      <c r="Q13" s="18" t="n">
        <v>1.57599549</v>
      </c>
      <c r="R13" s="20" t="n">
        <v>0.56713271</v>
      </c>
    </row>
    <row r="14" spans="1:18">
      <c r="A14" s="15" t="s">
        <v>574</v>
      </c>
      <c r="B14" s="17" t="n">
        <v>2799</v>
      </c>
      <c r="C14" s="18">
        <f>(2216.0/B14*100)</f>
        <v/>
      </c>
      <c r="D14" s="19" t="n">
        <v>583</v>
      </c>
      <c r="E14" s="18" t="n">
        <v>35.83640871</v>
      </c>
      <c r="F14" s="20" t="n">
        <v>1.82867305</v>
      </c>
      <c r="G14" s="18" t="n">
        <v>63.59036905</v>
      </c>
      <c r="H14" s="20" t="n">
        <v>1.86092701</v>
      </c>
      <c r="I14" s="18" t="s">
        <v>567</v>
      </c>
      <c r="J14" s="20" t="s">
        <v>567</v>
      </c>
      <c r="K14" s="18" t="n">
        <v>0.14263488</v>
      </c>
      <c r="L14" s="20" t="n">
        <v>0.14332604</v>
      </c>
      <c r="M14" s="18" t="n">
        <v>0</v>
      </c>
      <c r="N14" s="20" t="n">
        <v>0</v>
      </c>
      <c r="O14" s="18" t="n">
        <v>0</v>
      </c>
      <c r="P14" s="20" t="n">
        <v>0</v>
      </c>
      <c r="Q14" s="18" t="n">
        <v>0.43058736</v>
      </c>
      <c r="R14" s="20" t="n">
        <v>0.25946217</v>
      </c>
    </row>
    <row r="15" spans="1:18">
      <c r="A15" s="15" t="s">
        <v>575</v>
      </c>
      <c r="B15" s="17" t="n">
        <v>3019</v>
      </c>
      <c r="C15" s="18">
        <f>(2343.0/B15*100)</f>
        <v/>
      </c>
      <c r="D15" s="19" t="n">
        <v>676</v>
      </c>
      <c r="E15" s="18" t="n">
        <v>38.94171383</v>
      </c>
      <c r="F15" s="20" t="n">
        <v>2.11177097</v>
      </c>
      <c r="G15" s="18" t="n">
        <v>60.9183893</v>
      </c>
      <c r="H15" s="20" t="n">
        <v>2.10656026</v>
      </c>
      <c r="I15" s="18" t="s">
        <v>567</v>
      </c>
      <c r="J15" s="20" t="s">
        <v>567</v>
      </c>
      <c r="K15" s="18" t="n">
        <v>0</v>
      </c>
      <c r="L15" s="20" t="n">
        <v>0</v>
      </c>
      <c r="M15" s="18" t="n">
        <v>0</v>
      </c>
      <c r="N15" s="20" t="n">
        <v>0</v>
      </c>
      <c r="O15" s="18" t="n">
        <v>0</v>
      </c>
      <c r="P15" s="20" t="n">
        <v>0</v>
      </c>
      <c r="Q15" s="18" t="n">
        <v>0.13989687</v>
      </c>
      <c r="R15" s="20" t="n">
        <v>0.1404368</v>
      </c>
    </row>
    <row r="16" spans="1:18">
      <c r="A16" s="15" t="s">
        <v>576</v>
      </c>
      <c r="B16" s="17" t="n">
        <v>2997</v>
      </c>
      <c r="C16" s="18">
        <f>(2316.0/B16*100)</f>
        <v/>
      </c>
      <c r="D16" s="19" t="n">
        <v>681</v>
      </c>
      <c r="E16" s="18" t="n">
        <v>45.68398545</v>
      </c>
      <c r="F16" s="20" t="n">
        <v>1.71215273</v>
      </c>
      <c r="G16" s="18" t="n">
        <v>52.3084765</v>
      </c>
      <c r="H16" s="20" t="n">
        <v>1.73070252</v>
      </c>
      <c r="I16" s="18" t="s">
        <v>567</v>
      </c>
      <c r="J16" s="20" t="s">
        <v>567</v>
      </c>
      <c r="K16" s="18" t="n">
        <v>0.59985929</v>
      </c>
      <c r="L16" s="20" t="n">
        <v>0.27651332</v>
      </c>
      <c r="M16" s="18" t="n">
        <v>0</v>
      </c>
      <c r="N16" s="20" t="n">
        <v>0</v>
      </c>
      <c r="O16" s="18" t="n">
        <v>0</v>
      </c>
      <c r="P16" s="20" t="n">
        <v>0</v>
      </c>
      <c r="Q16" s="18" t="n">
        <v>1.40767875</v>
      </c>
      <c r="R16" s="20" t="n">
        <v>0.483581</v>
      </c>
    </row>
    <row r="17" spans="1:18">
      <c r="A17" s="15" t="s">
        <v>577</v>
      </c>
      <c r="B17" s="17" t="n">
        <v>3307</v>
      </c>
      <c r="C17" s="18">
        <f>(2600.0/B17*100)</f>
        <v/>
      </c>
      <c r="D17" s="19" t="n">
        <v>707</v>
      </c>
      <c r="E17" s="18" t="n">
        <v>32.19320856</v>
      </c>
      <c r="F17" s="20" t="n">
        <v>1.7990652</v>
      </c>
      <c r="G17" s="18" t="n">
        <v>67.20222635</v>
      </c>
      <c r="H17" s="20" t="n">
        <v>1.80541513</v>
      </c>
      <c r="I17" s="18" t="s">
        <v>567</v>
      </c>
      <c r="J17" s="20" t="s">
        <v>567</v>
      </c>
      <c r="K17" s="18" t="n">
        <v>0.14125871</v>
      </c>
      <c r="L17" s="20" t="n">
        <v>0.14137758</v>
      </c>
      <c r="M17" s="18" t="n">
        <v>0</v>
      </c>
      <c r="N17" s="20" t="n">
        <v>0</v>
      </c>
      <c r="O17" s="18" t="n">
        <v>0</v>
      </c>
      <c r="P17" s="20" t="n">
        <v>0</v>
      </c>
      <c r="Q17" s="18" t="n">
        <v>0.46330638</v>
      </c>
      <c r="R17" s="20" t="n">
        <v>0.22791993</v>
      </c>
    </row>
    <row r="18" spans="1:18">
      <c r="A18" s="15" t="s">
        <v>578</v>
      </c>
      <c r="B18" s="17" t="n">
        <v>2826</v>
      </c>
      <c r="C18" s="18">
        <f>(2199.0/B18*100)</f>
        <v/>
      </c>
      <c r="D18" s="19" t="n">
        <v>627</v>
      </c>
      <c r="E18" s="18" t="n">
        <v>52.7820812</v>
      </c>
      <c r="F18" s="20" t="n">
        <v>2.27185174</v>
      </c>
      <c r="G18" s="18" t="n">
        <v>46.59578908</v>
      </c>
      <c r="H18" s="20" t="n">
        <v>2.29211943</v>
      </c>
      <c r="I18" s="18" t="s">
        <v>567</v>
      </c>
      <c r="J18" s="20" t="s">
        <v>567</v>
      </c>
      <c r="K18" s="18" t="n">
        <v>0</v>
      </c>
      <c r="L18" s="20" t="n">
        <v>0</v>
      </c>
      <c r="M18" s="18" t="n">
        <v>0</v>
      </c>
      <c r="N18" s="20" t="n">
        <v>0</v>
      </c>
      <c r="O18" s="18" t="n">
        <v>0</v>
      </c>
      <c r="P18" s="20" t="n">
        <v>0</v>
      </c>
      <c r="Q18" s="18" t="n">
        <v>0.62212972</v>
      </c>
      <c r="R18" s="20" t="n">
        <v>0.34529595</v>
      </c>
    </row>
    <row r="19" spans="1:18">
      <c r="A19" s="15" t="s">
        <v>579</v>
      </c>
      <c r="B19" s="17" t="n">
        <v>2808</v>
      </c>
      <c r="C19" s="18">
        <f>(2215.0/B19*100)</f>
        <v/>
      </c>
      <c r="D19" s="19" t="n">
        <v>593</v>
      </c>
      <c r="E19" s="18" t="n">
        <v>43.14165109</v>
      </c>
      <c r="F19" s="20" t="n">
        <v>2.94468839</v>
      </c>
      <c r="G19" s="18" t="n">
        <v>56.55851668</v>
      </c>
      <c r="H19" s="20" t="n">
        <v>2.91764725</v>
      </c>
      <c r="I19" s="18" t="s">
        <v>567</v>
      </c>
      <c r="J19" s="20" t="s">
        <v>567</v>
      </c>
      <c r="K19" s="18" t="n">
        <v>0</v>
      </c>
      <c r="L19" s="20" t="n">
        <v>0</v>
      </c>
      <c r="M19" s="18" t="n">
        <v>0</v>
      </c>
      <c r="N19" s="20" t="n">
        <v>0</v>
      </c>
      <c r="O19" s="18" t="n">
        <v>0</v>
      </c>
      <c r="P19" s="20" t="n">
        <v>0</v>
      </c>
      <c r="Q19" s="18" t="n">
        <v>0.29983223</v>
      </c>
      <c r="R19" s="20" t="n">
        <v>0.21412034</v>
      </c>
    </row>
    <row r="20" spans="1:18">
      <c r="A20" s="15" t="s">
        <v>580</v>
      </c>
      <c r="B20" s="17" t="n">
        <v>1630</v>
      </c>
      <c r="C20" s="18">
        <f>(1265.0/B20*100)</f>
        <v/>
      </c>
      <c r="D20" s="19" t="n">
        <v>365</v>
      </c>
      <c r="E20" s="18" t="n">
        <v>46.76123205</v>
      </c>
      <c r="F20" s="20" t="n">
        <v>2.85318718</v>
      </c>
      <c r="G20" s="18" t="n">
        <v>51.75042502</v>
      </c>
      <c r="H20" s="20" t="n">
        <v>2.71324634</v>
      </c>
      <c r="I20" s="18" t="s">
        <v>567</v>
      </c>
      <c r="J20" s="20" t="s">
        <v>567</v>
      </c>
      <c r="K20" s="18" t="n">
        <v>0.23257939</v>
      </c>
      <c r="L20" s="20" t="n">
        <v>0.23030887</v>
      </c>
      <c r="M20" s="18" t="n">
        <v>0</v>
      </c>
      <c r="N20" s="20" t="n">
        <v>0</v>
      </c>
      <c r="O20" s="18" t="n">
        <v>0</v>
      </c>
      <c r="P20" s="20" t="n">
        <v>0</v>
      </c>
      <c r="Q20" s="18" t="n">
        <v>1.25576355</v>
      </c>
      <c r="R20" s="20" t="n">
        <v>0.75359477</v>
      </c>
    </row>
    <row r="21" spans="1:18">
      <c r="A21" s="15" t="s">
        <v>581</v>
      </c>
      <c r="B21" s="17" t="n">
        <v>2908</v>
      </c>
      <c r="C21" s="18">
        <f>(2253.0/B21*100)</f>
        <v/>
      </c>
      <c r="D21" s="19" t="n">
        <v>655</v>
      </c>
      <c r="E21" s="18" t="n">
        <v>34.42980135</v>
      </c>
      <c r="F21" s="20" t="n">
        <v>1.92379107</v>
      </c>
      <c r="G21" s="18" t="n">
        <v>64.90347599</v>
      </c>
      <c r="H21" s="20" t="n">
        <v>1.94593745</v>
      </c>
      <c r="I21" s="18" t="s">
        <v>567</v>
      </c>
      <c r="J21" s="20" t="s">
        <v>567</v>
      </c>
      <c r="K21" s="18" t="n">
        <v>0</v>
      </c>
      <c r="L21" s="20" t="n">
        <v>0</v>
      </c>
      <c r="M21" s="18" t="n">
        <v>0</v>
      </c>
      <c r="N21" s="20" t="n">
        <v>0</v>
      </c>
      <c r="O21" s="18" t="n">
        <v>0</v>
      </c>
      <c r="P21" s="20" t="n">
        <v>0</v>
      </c>
      <c r="Q21" s="18" t="n">
        <v>0.66672265</v>
      </c>
      <c r="R21" s="20" t="n">
        <v>0.37518379</v>
      </c>
    </row>
    <row r="22" spans="1:18">
      <c r="A22" s="15" t="s">
        <v>582</v>
      </c>
      <c r="B22" s="17" t="n">
        <v>2931</v>
      </c>
      <c r="C22" s="18">
        <f>(2295.0/B22*100)</f>
        <v/>
      </c>
      <c r="D22" s="19" t="n">
        <v>636</v>
      </c>
      <c r="E22" s="18" t="n">
        <v>42.12638325</v>
      </c>
      <c r="F22" s="20" t="n">
        <v>2.34692102</v>
      </c>
      <c r="G22" s="18" t="n">
        <v>56.65094838</v>
      </c>
      <c r="H22" s="20" t="n">
        <v>2.38255509</v>
      </c>
      <c r="I22" s="18" t="s">
        <v>567</v>
      </c>
      <c r="J22" s="20" t="s">
        <v>567</v>
      </c>
      <c r="K22" s="18" t="n">
        <v>0.16483753</v>
      </c>
      <c r="L22" s="20" t="n">
        <v>0.16213416</v>
      </c>
      <c r="M22" s="18" t="n">
        <v>0</v>
      </c>
      <c r="N22" s="20" t="n">
        <v>0</v>
      </c>
      <c r="O22" s="18" t="n">
        <v>0</v>
      </c>
      <c r="P22" s="20" t="n">
        <v>0</v>
      </c>
      <c r="Q22" s="18" t="n">
        <v>1.05783084</v>
      </c>
      <c r="R22" s="20" t="n">
        <v>0.44540701</v>
      </c>
    </row>
    <row r="23" spans="1:18">
      <c r="A23" s="15" t="s">
        <v>583</v>
      </c>
      <c r="B23" s="17" t="n">
        <v>5791</v>
      </c>
      <c r="C23" s="18">
        <f>(4471.0/B23*100)</f>
        <v/>
      </c>
      <c r="D23" s="19" t="n">
        <v>1320</v>
      </c>
      <c r="E23" s="18" t="n">
        <v>34.13706007</v>
      </c>
      <c r="F23" s="20" t="n">
        <v>1.96080659</v>
      </c>
      <c r="G23" s="18" t="n">
        <v>64.71593885</v>
      </c>
      <c r="H23" s="20" t="n">
        <v>2.02796775</v>
      </c>
      <c r="I23" s="18" t="s">
        <v>567</v>
      </c>
      <c r="J23" s="20" t="s">
        <v>567</v>
      </c>
      <c r="K23" s="18" t="n">
        <v>0</v>
      </c>
      <c r="L23" s="20" t="n">
        <v>0</v>
      </c>
      <c r="M23" s="18" t="n">
        <v>0</v>
      </c>
      <c r="N23" s="20" t="n">
        <v>0</v>
      </c>
      <c r="O23" s="18" t="n">
        <v>0</v>
      </c>
      <c r="P23" s="20" t="n">
        <v>0</v>
      </c>
      <c r="Q23" s="18" t="n">
        <v>1.14700108</v>
      </c>
      <c r="R23" s="20" t="n">
        <v>0.43797113</v>
      </c>
    </row>
    <row r="24" spans="1:18">
      <c r="A24" s="15" t="s">
        <v>584</v>
      </c>
      <c r="B24" s="17" t="n">
        <v>3338</v>
      </c>
      <c r="C24" s="18">
        <f>(2607.0/B24*100)</f>
        <v/>
      </c>
      <c r="D24" s="19" t="n">
        <v>731</v>
      </c>
      <c r="E24" s="18" t="n">
        <v>29.92823584</v>
      </c>
      <c r="F24" s="20" t="n">
        <v>1.68161543</v>
      </c>
      <c r="G24" s="18" t="n">
        <v>69.82809041</v>
      </c>
      <c r="H24" s="20" t="n">
        <v>1.6691447</v>
      </c>
      <c r="I24" s="18" t="s">
        <v>567</v>
      </c>
      <c r="J24" s="20" t="s">
        <v>567</v>
      </c>
      <c r="K24" s="18" t="n">
        <v>0</v>
      </c>
      <c r="L24" s="20" t="n">
        <v>0</v>
      </c>
      <c r="M24" s="18" t="n">
        <v>0</v>
      </c>
      <c r="N24" s="20" t="n">
        <v>0</v>
      </c>
      <c r="O24" s="18" t="n">
        <v>0</v>
      </c>
      <c r="P24" s="20" t="n">
        <v>0</v>
      </c>
      <c r="Q24" s="18" t="n">
        <v>0.24367375</v>
      </c>
      <c r="R24" s="20" t="n">
        <v>0.15318621</v>
      </c>
    </row>
    <row r="25" spans="1:18">
      <c r="A25" s="15" t="s">
        <v>585</v>
      </c>
      <c r="B25" s="17" t="n">
        <v>2912</v>
      </c>
      <c r="C25" s="18">
        <f>(2282.0/B25*100)</f>
        <v/>
      </c>
      <c r="D25" s="19" t="n">
        <v>630</v>
      </c>
      <c r="E25" s="18" t="n">
        <v>28.60050282</v>
      </c>
      <c r="F25" s="20" t="n">
        <v>1.90927955</v>
      </c>
      <c r="G25" s="18" t="n">
        <v>71.07883866</v>
      </c>
      <c r="H25" s="20" t="n">
        <v>1.89642216</v>
      </c>
      <c r="I25" s="18" t="s">
        <v>567</v>
      </c>
      <c r="J25" s="20" t="s">
        <v>567</v>
      </c>
      <c r="K25" s="18" t="n">
        <v>0</v>
      </c>
      <c r="L25" s="20" t="n">
        <v>0</v>
      </c>
      <c r="M25" s="18" t="n">
        <v>0</v>
      </c>
      <c r="N25" s="20" t="n">
        <v>0</v>
      </c>
      <c r="O25" s="18" t="n">
        <v>0</v>
      </c>
      <c r="P25" s="20" t="n">
        <v>0</v>
      </c>
      <c r="Q25" s="18" t="n">
        <v>0.32065852</v>
      </c>
      <c r="R25" s="20" t="n">
        <v>0.22691814</v>
      </c>
    </row>
    <row r="26" spans="1:18">
      <c r="A26" s="15" t="s">
        <v>586</v>
      </c>
      <c r="B26" s="17" t="n">
        <v>2450</v>
      </c>
      <c r="C26" s="18">
        <f>(1917.0/B26*100)</f>
        <v/>
      </c>
      <c r="D26" s="19" t="n">
        <v>533</v>
      </c>
      <c r="E26" s="18" t="n">
        <v>56.76813112</v>
      </c>
      <c r="F26" s="20" t="n">
        <v>2.20046555</v>
      </c>
      <c r="G26" s="18" t="n">
        <v>42.81027221</v>
      </c>
      <c r="H26" s="20" t="n">
        <v>2.19416354</v>
      </c>
      <c r="I26" s="18" t="s">
        <v>567</v>
      </c>
      <c r="J26" s="20" t="s">
        <v>567</v>
      </c>
      <c r="K26" s="18" t="n">
        <v>0</v>
      </c>
      <c r="L26" s="20" t="n">
        <v>0</v>
      </c>
      <c r="M26" s="18" t="n">
        <v>0</v>
      </c>
      <c r="N26" s="20" t="n">
        <v>0</v>
      </c>
      <c r="O26" s="18" t="n">
        <v>0</v>
      </c>
      <c r="P26" s="20" t="n">
        <v>0</v>
      </c>
      <c r="Q26" s="18" t="n">
        <v>0.42159667</v>
      </c>
      <c r="R26" s="20" t="n">
        <v>0.24414264</v>
      </c>
    </row>
    <row r="27" spans="1:18">
      <c r="A27" s="15" t="s">
        <v>587</v>
      </c>
      <c r="B27" s="17" t="n">
        <v>2616</v>
      </c>
      <c r="C27" s="18">
        <f>(1977.0/B27*100)</f>
        <v/>
      </c>
      <c r="D27" s="19" t="n">
        <v>639</v>
      </c>
      <c r="E27" s="18" t="n">
        <v>42.55995391</v>
      </c>
      <c r="F27" s="20" t="n">
        <v>1.93550713</v>
      </c>
      <c r="G27" s="18" t="n">
        <v>56.34960045</v>
      </c>
      <c r="H27" s="20" t="n">
        <v>1.93920959</v>
      </c>
      <c r="I27" s="18" t="s">
        <v>567</v>
      </c>
      <c r="J27" s="20" t="s">
        <v>567</v>
      </c>
      <c r="K27" s="18" t="n">
        <v>0.31953364</v>
      </c>
      <c r="L27" s="20" t="n">
        <v>0.2251109</v>
      </c>
      <c r="M27" s="18" t="n">
        <v>0</v>
      </c>
      <c r="N27" s="20" t="n">
        <v>0</v>
      </c>
      <c r="O27" s="18" t="n">
        <v>0</v>
      </c>
      <c r="P27" s="20" t="n">
        <v>0</v>
      </c>
      <c r="Q27" s="18" t="n">
        <v>0.77091199</v>
      </c>
      <c r="R27" s="20" t="n">
        <v>0.34072163</v>
      </c>
    </row>
    <row r="28" spans="1:18">
      <c r="A28" s="15" t="s">
        <v>588</v>
      </c>
      <c r="B28" s="17" t="n">
        <v>3765</v>
      </c>
      <c r="C28" s="18">
        <f>(2958.0/B28*100)</f>
        <v/>
      </c>
      <c r="D28" s="19" t="n">
        <v>807</v>
      </c>
      <c r="E28" s="18" t="n">
        <v>59.07726506</v>
      </c>
      <c r="F28" s="20" t="n">
        <v>1.74908704</v>
      </c>
      <c r="G28" s="18" t="n">
        <v>39.46141558</v>
      </c>
      <c r="H28" s="20" t="n">
        <v>1.79442506</v>
      </c>
      <c r="I28" s="18" t="s">
        <v>567</v>
      </c>
      <c r="J28" s="20" t="s">
        <v>567</v>
      </c>
      <c r="K28" s="18" t="n">
        <v>0</v>
      </c>
      <c r="L28" s="20" t="n">
        <v>0</v>
      </c>
      <c r="M28" s="18" t="n">
        <v>0</v>
      </c>
      <c r="N28" s="20" t="n">
        <v>0</v>
      </c>
      <c r="O28" s="18" t="n">
        <v>0</v>
      </c>
      <c r="P28" s="20" t="n">
        <v>0</v>
      </c>
      <c r="Q28" s="18" t="n">
        <v>1.46131937</v>
      </c>
      <c r="R28" s="20" t="n">
        <v>0.4768354</v>
      </c>
    </row>
    <row r="29" spans="1:18">
      <c r="A29" s="15" t="s">
        <v>589</v>
      </c>
      <c r="B29" s="17" t="n">
        <v>2685</v>
      </c>
      <c r="C29" s="18">
        <f>(2150.0/B29*100)</f>
        <v/>
      </c>
      <c r="D29" s="19" t="n">
        <v>535</v>
      </c>
      <c r="E29" s="18" t="n">
        <v>38.07340724</v>
      </c>
      <c r="F29" s="20" t="n">
        <v>2.22502941</v>
      </c>
      <c r="G29" s="18" t="n">
        <v>61.20583533</v>
      </c>
      <c r="H29" s="20" t="n">
        <v>2.18503712</v>
      </c>
      <c r="I29" s="18" t="s">
        <v>567</v>
      </c>
      <c r="J29" s="20" t="s">
        <v>567</v>
      </c>
      <c r="K29" s="18" t="n">
        <v>0.13821088</v>
      </c>
      <c r="L29" s="20" t="n">
        <v>0.18954404</v>
      </c>
      <c r="M29" s="18" t="n">
        <v>0</v>
      </c>
      <c r="N29" s="20" t="n">
        <v>0</v>
      </c>
      <c r="O29" s="18" t="n">
        <v>0</v>
      </c>
      <c r="P29" s="20" t="n">
        <v>0</v>
      </c>
      <c r="Q29" s="18" t="n">
        <v>0.58254655</v>
      </c>
      <c r="R29" s="20" t="n">
        <v>0.33657243</v>
      </c>
    </row>
    <row r="30" spans="1:18">
      <c r="A30" s="15" t="s">
        <v>590</v>
      </c>
      <c r="B30" s="17" t="n">
        <v>2263</v>
      </c>
      <c r="C30" s="18">
        <f>(1744.0/B30*100)</f>
        <v/>
      </c>
      <c r="D30" s="19" t="n">
        <v>519</v>
      </c>
      <c r="E30" s="18" t="n">
        <v>29.23502458</v>
      </c>
      <c r="F30" s="20" t="n">
        <v>2.07670217</v>
      </c>
      <c r="G30" s="18" t="n">
        <v>68.68683822</v>
      </c>
      <c r="H30" s="20" t="n">
        <v>2.1127018</v>
      </c>
      <c r="I30" s="18" t="s">
        <v>567</v>
      </c>
      <c r="J30" s="20" t="s">
        <v>567</v>
      </c>
      <c r="K30" s="18" t="n">
        <v>0.1735835</v>
      </c>
      <c r="L30" s="20" t="n">
        <v>0.17724416</v>
      </c>
      <c r="M30" s="18" t="n">
        <v>0</v>
      </c>
      <c r="N30" s="20" t="n">
        <v>0</v>
      </c>
      <c r="O30" s="18" t="n">
        <v>0</v>
      </c>
      <c r="P30" s="20" t="n">
        <v>0</v>
      </c>
      <c r="Q30" s="18" t="n">
        <v>1.9045537</v>
      </c>
      <c r="R30" s="20" t="n">
        <v>0.63650397</v>
      </c>
    </row>
    <row r="31" spans="1:18">
      <c r="A31" s="15" t="s">
        <v>591</v>
      </c>
      <c r="B31" s="17" t="n">
        <v>2750</v>
      </c>
      <c r="C31" s="18">
        <f>(2119.0/B31*100)</f>
        <v/>
      </c>
      <c r="D31" s="19" t="n">
        <v>631</v>
      </c>
      <c r="E31" s="18" t="n">
        <v>37.74328953</v>
      </c>
      <c r="F31" s="20" t="n">
        <v>1.6986677</v>
      </c>
      <c r="G31" s="18" t="n">
        <v>60.52292322</v>
      </c>
      <c r="H31" s="20" t="n">
        <v>1.82730442</v>
      </c>
      <c r="I31" s="18" t="s">
        <v>567</v>
      </c>
      <c r="J31" s="20" t="s">
        <v>567</v>
      </c>
      <c r="K31" s="18" t="n">
        <v>0.45493801</v>
      </c>
      <c r="L31" s="20" t="n">
        <v>0.25561227</v>
      </c>
      <c r="M31" s="18" t="n">
        <v>0</v>
      </c>
      <c r="N31" s="20" t="n">
        <v>0</v>
      </c>
      <c r="O31" s="18" t="n">
        <v>0</v>
      </c>
      <c r="P31" s="20" t="n">
        <v>0</v>
      </c>
      <c r="Q31" s="18" t="n">
        <v>1.27884924</v>
      </c>
      <c r="R31" s="20" t="n">
        <v>0.53116512</v>
      </c>
    </row>
    <row r="32" spans="1:18">
      <c r="A32" s="15" t="s">
        <v>592</v>
      </c>
      <c r="B32" s="17" t="n">
        <v>2269</v>
      </c>
      <c r="C32" s="18">
        <f>(1747.0/B32*100)</f>
        <v/>
      </c>
      <c r="D32" s="19" t="n">
        <v>522</v>
      </c>
      <c r="E32" s="18" t="n">
        <v>36.12637629</v>
      </c>
      <c r="F32" s="20" t="n">
        <v>1.91629513</v>
      </c>
      <c r="G32" s="18" t="n">
        <v>63.41102219</v>
      </c>
      <c r="H32" s="20" t="n">
        <v>1.90010673</v>
      </c>
      <c r="I32" s="18" t="s">
        <v>567</v>
      </c>
      <c r="J32" s="20" t="s">
        <v>567</v>
      </c>
      <c r="K32" s="18" t="n">
        <v>0</v>
      </c>
      <c r="L32" s="20" t="n">
        <v>0</v>
      </c>
      <c r="M32" s="18" t="n">
        <v>0</v>
      </c>
      <c r="N32" s="20" t="n">
        <v>0</v>
      </c>
      <c r="O32" s="18" t="n">
        <v>0</v>
      </c>
      <c r="P32" s="20" t="n">
        <v>0</v>
      </c>
      <c r="Q32" s="18" t="n">
        <v>0.46260152</v>
      </c>
      <c r="R32" s="20" t="n">
        <v>0.30141393</v>
      </c>
    </row>
    <row r="33" spans="1:18">
      <c r="A33" s="15" t="s">
        <v>593</v>
      </c>
      <c r="B33" s="17" t="n">
        <v>3674</v>
      </c>
      <c r="C33" s="18">
        <f>(2868.0/B33*100)</f>
        <v/>
      </c>
      <c r="D33" s="19" t="n">
        <v>806</v>
      </c>
      <c r="E33" s="18" t="n">
        <v>32.39449034</v>
      </c>
      <c r="F33" s="20" t="n">
        <v>2.26571848</v>
      </c>
      <c r="G33" s="18" t="n">
        <v>67.60550966</v>
      </c>
      <c r="H33" s="20" t="n">
        <v>2.26571848</v>
      </c>
      <c r="I33" s="18" t="s">
        <v>567</v>
      </c>
      <c r="J33" s="20" t="s">
        <v>567</v>
      </c>
      <c r="K33" s="18" t="n">
        <v>0</v>
      </c>
      <c r="L33" s="20" t="n">
        <v>0</v>
      </c>
      <c r="M33" s="18" t="n">
        <v>0</v>
      </c>
      <c r="N33" s="20" t="n">
        <v>0</v>
      </c>
      <c r="O33" s="18" t="n">
        <v>0</v>
      </c>
      <c r="P33" s="20" t="n">
        <v>0</v>
      </c>
      <c r="Q33" s="18" t="n">
        <v>0</v>
      </c>
      <c r="R33" s="20" t="n">
        <v>0</v>
      </c>
    </row>
    <row r="34" spans="1:18">
      <c r="A34" s="15" t="s">
        <v>594</v>
      </c>
      <c r="B34" s="17" t="n">
        <v>3315</v>
      </c>
      <c r="C34" s="18">
        <f>(2599.0/B34*100)</f>
        <v/>
      </c>
      <c r="D34" s="19" t="n">
        <v>716</v>
      </c>
      <c r="E34" s="18" t="n">
        <v>54.56178931</v>
      </c>
      <c r="F34" s="20" t="n">
        <v>2.13864182</v>
      </c>
      <c r="G34" s="18" t="n">
        <v>44.4675661</v>
      </c>
      <c r="H34" s="20" t="n">
        <v>2.07478168</v>
      </c>
      <c r="I34" s="18" t="s">
        <v>567</v>
      </c>
      <c r="J34" s="20" t="s">
        <v>567</v>
      </c>
      <c r="K34" s="18" t="n">
        <v>0</v>
      </c>
      <c r="L34" s="20" t="n">
        <v>0</v>
      </c>
      <c r="M34" s="18" t="n">
        <v>0</v>
      </c>
      <c r="N34" s="20" t="n">
        <v>0</v>
      </c>
      <c r="O34" s="18" t="n">
        <v>0</v>
      </c>
      <c r="P34" s="20" t="n">
        <v>0</v>
      </c>
      <c r="Q34" s="18" t="n">
        <v>0.97064459</v>
      </c>
      <c r="R34" s="20" t="n">
        <v>0.40905904</v>
      </c>
    </row>
    <row r="35" spans="1:18">
      <c r="A35" s="15" t="s">
        <v>595</v>
      </c>
      <c r="B35" s="17" t="n">
        <v>3505</v>
      </c>
      <c r="C35" s="18">
        <f>(2723.0/B35*100)</f>
        <v/>
      </c>
      <c r="D35" s="19" t="n">
        <v>782</v>
      </c>
      <c r="E35" s="18" t="n">
        <v>43.43967669</v>
      </c>
      <c r="F35" s="20" t="n">
        <v>2.17853053</v>
      </c>
      <c r="G35" s="18" t="n">
        <v>56.26026581</v>
      </c>
      <c r="H35" s="20" t="n">
        <v>2.17233572</v>
      </c>
      <c r="I35" s="18" t="s">
        <v>567</v>
      </c>
      <c r="J35" s="20" t="s">
        <v>567</v>
      </c>
      <c r="K35" s="18" t="n">
        <v>0.11319984</v>
      </c>
      <c r="L35" s="20" t="n">
        <v>0.07996328</v>
      </c>
      <c r="M35" s="18" t="n">
        <v>0</v>
      </c>
      <c r="N35" s="20" t="n">
        <v>0</v>
      </c>
      <c r="O35" s="18" t="n">
        <v>0</v>
      </c>
      <c r="P35" s="20" t="n">
        <v>0</v>
      </c>
      <c r="Q35" s="18" t="n">
        <v>0.18685767</v>
      </c>
      <c r="R35" s="20" t="n">
        <v>0.10925395</v>
      </c>
    </row>
    <row r="36" spans="1:18">
      <c r="A36" s="15" t="s">
        <v>596</v>
      </c>
      <c r="B36" s="17" t="n">
        <v>3332</v>
      </c>
      <c r="C36" s="18">
        <f>(2632.0/B36*100)</f>
        <v/>
      </c>
      <c r="D36" s="19" t="n">
        <v>700</v>
      </c>
      <c r="E36" s="18" t="n">
        <v>34.84803838</v>
      </c>
      <c r="F36" s="20" t="n">
        <v>1.76476072</v>
      </c>
      <c r="G36" s="18" t="n">
        <v>64.55701684</v>
      </c>
      <c r="H36" s="20" t="n">
        <v>1.80778328</v>
      </c>
      <c r="I36" s="18" t="s">
        <v>567</v>
      </c>
      <c r="J36" s="20" t="s">
        <v>567</v>
      </c>
      <c r="K36" s="18" t="n">
        <v>0</v>
      </c>
      <c r="L36" s="20" t="n">
        <v>0</v>
      </c>
      <c r="M36" s="18" t="n">
        <v>0</v>
      </c>
      <c r="N36" s="20" t="n">
        <v>0</v>
      </c>
      <c r="O36" s="18" t="n">
        <v>0</v>
      </c>
      <c r="P36" s="20" t="n">
        <v>0</v>
      </c>
      <c r="Q36" s="18" t="n">
        <v>0.59494479</v>
      </c>
      <c r="R36" s="20" t="n">
        <v>0.18548367</v>
      </c>
    </row>
    <row r="37" spans="1:18">
      <c r="A37" s="15" t="s">
        <v>597</v>
      </c>
      <c r="B37" s="17" t="n">
        <v>2727</v>
      </c>
      <c r="C37" s="18">
        <f>(2144.0/B37*100)</f>
        <v/>
      </c>
      <c r="D37" s="19" t="n">
        <v>583</v>
      </c>
      <c r="E37" s="18" t="n">
        <v>45.48670172</v>
      </c>
      <c r="F37" s="20" t="n">
        <v>2.39258722</v>
      </c>
      <c r="G37" s="18" t="n">
        <v>53.67196598</v>
      </c>
      <c r="H37" s="20" t="n">
        <v>2.44142914</v>
      </c>
      <c r="I37" s="18" t="s">
        <v>567</v>
      </c>
      <c r="J37" s="20" t="s">
        <v>567</v>
      </c>
      <c r="K37" s="18" t="n">
        <v>0.1474625</v>
      </c>
      <c r="L37" s="20" t="n">
        <v>0.20875818</v>
      </c>
      <c r="M37" s="18" t="n">
        <v>0</v>
      </c>
      <c r="N37" s="20" t="n">
        <v>0</v>
      </c>
      <c r="O37" s="18" t="n">
        <v>0</v>
      </c>
      <c r="P37" s="20" t="n">
        <v>0</v>
      </c>
      <c r="Q37" s="18" t="n">
        <v>0.6938698</v>
      </c>
      <c r="R37" s="20" t="n">
        <v>0.36217973</v>
      </c>
    </row>
    <row r="38" spans="1:18">
      <c r="A38" s="15" t="s">
        <v>598</v>
      </c>
      <c r="B38" s="17" t="n">
        <v>3053</v>
      </c>
      <c r="C38" s="18">
        <f>(2396.0/B38*100)</f>
        <v/>
      </c>
      <c r="D38" s="19" t="n">
        <v>657</v>
      </c>
      <c r="E38" s="18" t="n">
        <v>39.65949023</v>
      </c>
      <c r="F38" s="20" t="n">
        <v>2.16846943</v>
      </c>
      <c r="G38" s="18" t="n">
        <v>60.20540634</v>
      </c>
      <c r="H38" s="20" t="n">
        <v>2.18260014</v>
      </c>
      <c r="I38" s="18" t="s">
        <v>567</v>
      </c>
      <c r="J38" s="20" t="s">
        <v>567</v>
      </c>
      <c r="K38" s="18" t="n">
        <v>0</v>
      </c>
      <c r="L38" s="20" t="n">
        <v>0</v>
      </c>
      <c r="M38" s="18" t="n">
        <v>0</v>
      </c>
      <c r="N38" s="20" t="n">
        <v>0</v>
      </c>
      <c r="O38" s="18" t="n">
        <v>0</v>
      </c>
      <c r="P38" s="20" t="n">
        <v>0</v>
      </c>
      <c r="Q38" s="18" t="n">
        <v>0.13510343</v>
      </c>
      <c r="R38" s="20" t="n">
        <v>0.12803343</v>
      </c>
    </row>
    <row r="39" spans="1:18">
      <c r="A39" s="15" t="s">
        <v>599</v>
      </c>
      <c r="B39" s="17" t="n">
        <v>2957</v>
      </c>
      <c r="C39" s="18">
        <f>(2319.0/B39*100)</f>
        <v/>
      </c>
      <c r="D39" s="19" t="n">
        <v>638</v>
      </c>
      <c r="E39" s="18" t="n">
        <v>47.8341792</v>
      </c>
      <c r="F39" s="20" t="n">
        <v>2.38766921</v>
      </c>
      <c r="G39" s="18" t="n">
        <v>51.22491982</v>
      </c>
      <c r="H39" s="20" t="n">
        <v>2.38928869</v>
      </c>
      <c r="I39" s="18" t="s">
        <v>567</v>
      </c>
      <c r="J39" s="20" t="s">
        <v>567</v>
      </c>
      <c r="K39" s="18" t="n">
        <v>0.63206096</v>
      </c>
      <c r="L39" s="20" t="n">
        <v>0.26562693</v>
      </c>
      <c r="M39" s="18" t="n">
        <v>0</v>
      </c>
      <c r="N39" s="20" t="n">
        <v>0</v>
      </c>
      <c r="O39" s="18" t="n">
        <v>0</v>
      </c>
      <c r="P39" s="20" t="n">
        <v>0</v>
      </c>
      <c r="Q39" s="18" t="n">
        <v>0.30884003</v>
      </c>
      <c r="R39" s="20" t="n">
        <v>0.19235083</v>
      </c>
    </row>
    <row r="40" spans="1:18">
      <c r="A40" s="15" t="s">
        <v>600</v>
      </c>
      <c r="B40" s="17" t="n">
        <v>7235</v>
      </c>
      <c r="C40" s="18">
        <f>(5648.0/B40*100)</f>
        <v/>
      </c>
      <c r="D40" s="19" t="n">
        <v>1587</v>
      </c>
      <c r="E40" s="18" t="n">
        <v>31.9495133</v>
      </c>
      <c r="F40" s="20" t="n">
        <v>1.8653475</v>
      </c>
      <c r="G40" s="18" t="n">
        <v>67.19617701999999</v>
      </c>
      <c r="H40" s="20" t="n">
        <v>1.8519645</v>
      </c>
      <c r="I40" s="18" t="s">
        <v>567</v>
      </c>
      <c r="J40" s="20" t="s">
        <v>567</v>
      </c>
      <c r="K40" s="18" t="n">
        <v>0</v>
      </c>
      <c r="L40" s="20" t="n">
        <v>0</v>
      </c>
      <c r="M40" s="18" t="n">
        <v>0</v>
      </c>
      <c r="N40" s="20" t="n">
        <v>0</v>
      </c>
      <c r="O40" s="18" t="n">
        <v>0</v>
      </c>
      <c r="P40" s="20" t="n">
        <v>0</v>
      </c>
      <c r="Q40" s="18" t="n">
        <v>0.85430969</v>
      </c>
      <c r="R40" s="20" t="n">
        <v>0.42662075</v>
      </c>
    </row>
    <row r="41" spans="1:18">
      <c r="A41" s="15" t="s">
        <v>601</v>
      </c>
      <c r="B41" s="17" t="n">
        <v>2858</v>
      </c>
      <c r="C41" s="18">
        <f>(2263.0/B41*100)</f>
        <v/>
      </c>
      <c r="D41" s="19" t="n">
        <v>595</v>
      </c>
      <c r="E41" s="18" t="n">
        <v>28.41487699</v>
      </c>
      <c r="F41" s="20" t="n">
        <v>2.02825569</v>
      </c>
      <c r="G41" s="18" t="n">
        <v>71.35383806</v>
      </c>
      <c r="H41" s="20" t="n">
        <v>2.04598956</v>
      </c>
      <c r="I41" s="18" t="s">
        <v>567</v>
      </c>
      <c r="J41" s="20" t="s">
        <v>567</v>
      </c>
      <c r="K41" s="18" t="n">
        <v>0</v>
      </c>
      <c r="L41" s="20" t="n">
        <v>0</v>
      </c>
      <c r="M41" s="18" t="n">
        <v>0</v>
      </c>
      <c r="N41" s="20" t="n">
        <v>0</v>
      </c>
      <c r="O41" s="18" t="n">
        <v>0</v>
      </c>
      <c r="P41" s="20" t="n">
        <v>0</v>
      </c>
      <c r="Q41" s="18" t="n">
        <v>0.23128495</v>
      </c>
      <c r="R41" s="20" t="n">
        <v>0.19635102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(8786.0/B46*100)</f>
        <v/>
      </c>
      <c r="D46" s="19" t="n">
        <v>2282</v>
      </c>
      <c r="E46" s="18" t="n">
        <v>54.07326691</v>
      </c>
      <c r="F46" s="20" t="n">
        <v>1.35617517</v>
      </c>
      <c r="G46" s="18" t="n">
        <v>43.90507645</v>
      </c>
      <c r="H46" s="20" t="n">
        <v>1.34463511</v>
      </c>
      <c r="I46" s="18" t="s">
        <v>567</v>
      </c>
      <c r="J46" s="20" t="s">
        <v>567</v>
      </c>
      <c r="K46" s="18" t="n">
        <v>0.51848573</v>
      </c>
      <c r="L46" s="20" t="n">
        <v>0.19746144</v>
      </c>
      <c r="M46" s="18" t="n">
        <v>0</v>
      </c>
      <c r="N46" s="20" t="n">
        <v>0</v>
      </c>
      <c r="O46" s="18" t="n">
        <v>0</v>
      </c>
      <c r="P46" s="20" t="n">
        <v>0</v>
      </c>
      <c r="Q46" s="18" t="n">
        <v>1.50317092</v>
      </c>
      <c r="R46" s="20" t="n">
        <v>0.35890713</v>
      </c>
    </row>
    <row r="47" spans="1:18">
      <c r="A47" s="15" t="s">
        <v>607</v>
      </c>
      <c r="B47" s="17" t="n">
        <v>3105</v>
      </c>
      <c r="C47" s="18">
        <f>(2463.0/B47*100)</f>
        <v/>
      </c>
      <c r="D47" s="19" t="n">
        <v>642</v>
      </c>
      <c r="E47" s="18" t="n">
        <v>50.70874712</v>
      </c>
      <c r="F47" s="20" t="n">
        <v>2.59492957</v>
      </c>
      <c r="G47" s="18" t="n">
        <v>47.95034928</v>
      </c>
      <c r="H47" s="20" t="n">
        <v>2.52582073</v>
      </c>
      <c r="I47" s="18" t="s">
        <v>567</v>
      </c>
      <c r="J47" s="20" t="s">
        <v>567</v>
      </c>
      <c r="K47" s="18" t="n">
        <v>0.16211857</v>
      </c>
      <c r="L47" s="20" t="n">
        <v>0.18477703</v>
      </c>
      <c r="M47" s="18" t="n">
        <v>0</v>
      </c>
      <c r="N47" s="20" t="n">
        <v>0</v>
      </c>
      <c r="O47" s="18" t="n">
        <v>0</v>
      </c>
      <c r="P47" s="20" t="n">
        <v>0</v>
      </c>
      <c r="Q47" s="18" t="n">
        <v>1.17878503</v>
      </c>
      <c r="R47" s="20" t="n">
        <v>0.41238252</v>
      </c>
    </row>
    <row r="48" spans="1:18">
      <c r="A48" s="15" t="s">
        <v>608</v>
      </c>
      <c r="B48" s="17" t="n">
        <v>5159</v>
      </c>
      <c r="C48" s="18">
        <f>(4021.0/B48*100)</f>
        <v/>
      </c>
      <c r="D48" s="19" t="n">
        <v>1138</v>
      </c>
      <c r="E48" s="18" t="n">
        <v>60.72625829</v>
      </c>
      <c r="F48" s="20" t="n">
        <v>1.83109984</v>
      </c>
      <c r="G48" s="18" t="n">
        <v>38.36704705</v>
      </c>
      <c r="H48" s="20" t="n">
        <v>1.72442465</v>
      </c>
      <c r="I48" s="18" t="s">
        <v>567</v>
      </c>
      <c r="J48" s="20" t="s">
        <v>567</v>
      </c>
      <c r="K48" s="18" t="n">
        <v>0.42052798</v>
      </c>
      <c r="L48" s="20" t="n">
        <v>0.24150428</v>
      </c>
      <c r="M48" s="18" t="n">
        <v>0</v>
      </c>
      <c r="N48" s="20" t="n">
        <v>0</v>
      </c>
      <c r="O48" s="18" t="n">
        <v>0</v>
      </c>
      <c r="P48" s="20" t="n">
        <v>0</v>
      </c>
      <c r="Q48" s="18" t="n">
        <v>0.48616668</v>
      </c>
      <c r="R48" s="20" t="n">
        <v>0.25850318</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(4425.0/B50*100)</f>
        <v/>
      </c>
      <c r="D50" s="19" t="n">
        <v>1212</v>
      </c>
      <c r="E50" s="18" t="n">
        <v>48.97040451</v>
      </c>
      <c r="F50" s="20" t="n">
        <v>2.44594124</v>
      </c>
      <c r="G50" s="18" t="n">
        <v>49.4572455</v>
      </c>
      <c r="H50" s="20" t="n">
        <v>2.54147676</v>
      </c>
      <c r="I50" s="18" t="s">
        <v>567</v>
      </c>
      <c r="J50" s="20" t="s">
        <v>567</v>
      </c>
      <c r="K50" s="18" t="n">
        <v>0.49762086</v>
      </c>
      <c r="L50" s="20" t="n">
        <v>0.33018494</v>
      </c>
      <c r="M50" s="18" t="n">
        <v>0</v>
      </c>
      <c r="N50" s="20" t="n">
        <v>0</v>
      </c>
      <c r="O50" s="18" t="n">
        <v>0</v>
      </c>
      <c r="P50" s="20" t="n">
        <v>0</v>
      </c>
      <c r="Q50" s="18" t="n">
        <v>1.07472913</v>
      </c>
      <c r="R50" s="20" t="n">
        <v>0.44036288</v>
      </c>
    </row>
    <row r="51" spans="1:18">
      <c r="A51" s="15" t="s">
        <v>611</v>
      </c>
      <c r="B51" s="17" t="n">
        <v>3372</v>
      </c>
      <c r="C51" s="18">
        <f>(2733.0/B51*100)</f>
        <v/>
      </c>
      <c r="D51" s="19" t="n">
        <v>639</v>
      </c>
      <c r="E51" s="18" t="n">
        <v>52.68073527</v>
      </c>
      <c r="F51" s="20" t="n">
        <v>2.0185332</v>
      </c>
      <c r="G51" s="18" t="n">
        <v>46.26660146</v>
      </c>
      <c r="H51" s="20" t="n">
        <v>1.92784037</v>
      </c>
      <c r="I51" s="18" t="s">
        <v>567</v>
      </c>
      <c r="J51" s="20" t="s">
        <v>567</v>
      </c>
      <c r="K51" s="18" t="n">
        <v>0.2287534</v>
      </c>
      <c r="L51" s="20" t="n">
        <v>0.20495831</v>
      </c>
      <c r="M51" s="18" t="n">
        <v>0</v>
      </c>
      <c r="N51" s="20" t="n">
        <v>0</v>
      </c>
      <c r="O51" s="18" t="n">
        <v>0</v>
      </c>
      <c r="P51" s="20" t="n">
        <v>0</v>
      </c>
      <c r="Q51" s="18" t="n">
        <v>0.82390987</v>
      </c>
      <c r="R51" s="20" t="n">
        <v>0.46458049</v>
      </c>
    </row>
    <row r="52" spans="1:18">
      <c r="A52" s="15" t="s">
        <v>612</v>
      </c>
      <c r="B52" s="17" t="n">
        <v>2796</v>
      </c>
      <c r="C52" s="18">
        <f>(2142.0/B52*100)</f>
        <v/>
      </c>
      <c r="D52" s="19" t="n">
        <v>654</v>
      </c>
      <c r="E52" s="18" t="n">
        <v>47.3267243</v>
      </c>
      <c r="F52" s="20" t="n">
        <v>1.75023152</v>
      </c>
      <c r="G52" s="18" t="n">
        <v>52.2803206</v>
      </c>
      <c r="H52" s="20" t="n">
        <v>1.74517123</v>
      </c>
      <c r="I52" s="18" t="s">
        <v>567</v>
      </c>
      <c r="J52" s="20" t="s">
        <v>567</v>
      </c>
      <c r="K52" s="18" t="n">
        <v>0</v>
      </c>
      <c r="L52" s="20" t="n">
        <v>0</v>
      </c>
      <c r="M52" s="18" t="n">
        <v>0</v>
      </c>
      <c r="N52" s="20" t="n">
        <v>0</v>
      </c>
      <c r="O52" s="18" t="n">
        <v>0</v>
      </c>
      <c r="P52" s="20" t="n">
        <v>0</v>
      </c>
      <c r="Q52" s="18" t="n">
        <v>0.39295511</v>
      </c>
      <c r="R52" s="20" t="n">
        <v>0.26296691</v>
      </c>
    </row>
    <row r="53" spans="1:18">
      <c r="A53" s="15" t="s">
        <v>613</v>
      </c>
      <c r="B53" s="17" t="n">
        <v>2811</v>
      </c>
      <c r="C53" s="18">
        <f>(2209.0/B53*100)</f>
        <v/>
      </c>
      <c r="D53" s="19" t="n">
        <v>602</v>
      </c>
      <c r="E53" s="18" t="n">
        <v>56.23816602</v>
      </c>
      <c r="F53" s="20" t="n">
        <v>2.10671984</v>
      </c>
      <c r="G53" s="18" t="n">
        <v>40.83030356</v>
      </c>
      <c r="H53" s="20" t="n">
        <v>1.92459863</v>
      </c>
      <c r="I53" s="18" t="s">
        <v>567</v>
      </c>
      <c r="J53" s="20" t="s">
        <v>567</v>
      </c>
      <c r="K53" s="18" t="n">
        <v>0.11773077</v>
      </c>
      <c r="L53" s="20" t="n">
        <v>0.11791293</v>
      </c>
      <c r="M53" s="18" t="n">
        <v>0</v>
      </c>
      <c r="N53" s="20" t="n">
        <v>0</v>
      </c>
      <c r="O53" s="18" t="n">
        <v>0</v>
      </c>
      <c r="P53" s="20" t="n">
        <v>0</v>
      </c>
      <c r="Q53" s="18" t="n">
        <v>2.81379964</v>
      </c>
      <c r="R53" s="20" t="n">
        <v>0.73246434</v>
      </c>
    </row>
    <row r="54" spans="1:18">
      <c r="A54" s="15" t="s">
        <v>614</v>
      </c>
      <c r="B54" s="17" t="n">
        <v>2266</v>
      </c>
      <c r="C54" s="18">
        <f>(1740.0/B54*100)</f>
        <v/>
      </c>
      <c r="D54" s="19" t="n">
        <v>526</v>
      </c>
      <c r="E54" s="18" t="n">
        <v>72.00152550999999</v>
      </c>
      <c r="F54" s="20" t="n">
        <v>2.69669299</v>
      </c>
      <c r="G54" s="18" t="n">
        <v>22.06073684</v>
      </c>
      <c r="H54" s="20" t="n">
        <v>2.62098621</v>
      </c>
      <c r="I54" s="18" t="s">
        <v>567</v>
      </c>
      <c r="J54" s="20" t="s">
        <v>567</v>
      </c>
      <c r="K54" s="18" t="n">
        <v>3.57747798</v>
      </c>
      <c r="L54" s="20" t="n">
        <v>1.03420848</v>
      </c>
      <c r="M54" s="18" t="n">
        <v>0</v>
      </c>
      <c r="N54" s="20" t="n">
        <v>0</v>
      </c>
      <c r="O54" s="18" t="n">
        <v>0</v>
      </c>
      <c r="P54" s="20" t="n">
        <v>0</v>
      </c>
      <c r="Q54" s="18" t="n">
        <v>2.36025966</v>
      </c>
      <c r="R54" s="20" t="n">
        <v>0.6580755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(2064.0/B56*100)</f>
        <v/>
      </c>
      <c r="D56" s="19" t="n">
        <v>620</v>
      </c>
      <c r="E56" s="18" t="n">
        <v>23.68086437</v>
      </c>
      <c r="F56" s="20" t="n">
        <v>1.51907911</v>
      </c>
      <c r="G56" s="18" t="n">
        <v>76.00361085</v>
      </c>
      <c r="H56" s="20" t="n">
        <v>1.59679074</v>
      </c>
      <c r="I56" s="18" t="s">
        <v>567</v>
      </c>
      <c r="J56" s="20" t="s">
        <v>567</v>
      </c>
      <c r="K56" s="18" t="n">
        <v>0</v>
      </c>
      <c r="L56" s="20" t="n">
        <v>0</v>
      </c>
      <c r="M56" s="18" t="n">
        <v>0</v>
      </c>
      <c r="N56" s="20" t="n">
        <v>0</v>
      </c>
      <c r="O56" s="18" t="n">
        <v>0</v>
      </c>
      <c r="P56" s="20" t="n">
        <v>0</v>
      </c>
      <c r="Q56" s="18" t="n">
        <v>0.31552478</v>
      </c>
      <c r="R56" s="20" t="n">
        <v>0.21795105</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(2593.0/B61*100)</f>
        <v/>
      </c>
      <c r="D61" s="19" t="n">
        <v>731</v>
      </c>
      <c r="E61" s="18" t="n">
        <v>46.52754177</v>
      </c>
      <c r="F61" s="20" t="n">
        <v>2.1384749</v>
      </c>
      <c r="G61" s="18" t="n">
        <v>53.03465117</v>
      </c>
      <c r="H61" s="20" t="n">
        <v>2.09825536</v>
      </c>
      <c r="I61" s="18" t="s">
        <v>567</v>
      </c>
      <c r="J61" s="20" t="s">
        <v>567</v>
      </c>
      <c r="K61" s="18" t="n">
        <v>0</v>
      </c>
      <c r="L61" s="20" t="n">
        <v>0</v>
      </c>
      <c r="M61" s="18" t="n">
        <v>0</v>
      </c>
      <c r="N61" s="20" t="n">
        <v>0</v>
      </c>
      <c r="O61" s="18" t="n">
        <v>0</v>
      </c>
      <c r="P61" s="20" t="n">
        <v>0</v>
      </c>
      <c r="Q61" s="18" t="n">
        <v>0.43780707</v>
      </c>
      <c r="R61" s="20" t="n">
        <v>0.26270185</v>
      </c>
    </row>
    <row r="62" spans="1:18">
      <c r="A62" s="15" t="s">
        <v>622</v>
      </c>
      <c r="B62" s="17" t="n">
        <v>2246</v>
      </c>
      <c r="C62" s="18">
        <f>(1789.0/B62*100)</f>
        <v/>
      </c>
      <c r="D62" s="19" t="n">
        <v>457</v>
      </c>
      <c r="E62" s="18" t="n">
        <v>27.35189248</v>
      </c>
      <c r="F62" s="20" t="n">
        <v>2.03645747</v>
      </c>
      <c r="G62" s="18" t="n">
        <v>72.64810752</v>
      </c>
      <c r="H62" s="20" t="n">
        <v>2.03645747</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(2233.0/B66*100)</f>
        <v/>
      </c>
      <c r="D66" s="19" t="n">
        <v>661</v>
      </c>
      <c r="E66" s="18" t="n">
        <v>64.02082016</v>
      </c>
      <c r="F66" s="20" t="n">
        <v>1.8666632</v>
      </c>
      <c r="G66" s="18" t="n">
        <v>34.54893038</v>
      </c>
      <c r="H66" s="20" t="n">
        <v>1.84105744</v>
      </c>
      <c r="I66" s="18" t="s">
        <v>567</v>
      </c>
      <c r="J66" s="20" t="s">
        <v>567</v>
      </c>
      <c r="K66" s="18" t="n">
        <v>0.28151768</v>
      </c>
      <c r="L66" s="20" t="n">
        <v>0.19827124</v>
      </c>
      <c r="M66" s="18" t="n">
        <v>0</v>
      </c>
      <c r="N66" s="20" t="n">
        <v>0</v>
      </c>
      <c r="O66" s="18" t="n">
        <v>0</v>
      </c>
      <c r="P66" s="20" t="n">
        <v>0</v>
      </c>
      <c r="Q66" s="18" t="n">
        <v>1.14873178</v>
      </c>
      <c r="R66" s="20" t="n">
        <v>0.42365523</v>
      </c>
    </row>
    <row r="67" spans="1:18">
      <c r="A67" s="15" t="s">
        <v>627</v>
      </c>
      <c r="B67" s="17" t="n">
        <v>3511</v>
      </c>
      <c r="C67" s="18">
        <f>(2756.0/B67*100)</f>
        <v/>
      </c>
      <c r="D67" s="19" t="n">
        <v>755</v>
      </c>
      <c r="E67" s="18" t="n">
        <v>60.35624331</v>
      </c>
      <c r="F67" s="20" t="n">
        <v>1.95497255</v>
      </c>
      <c r="G67" s="18" t="n">
        <v>38.68441293</v>
      </c>
      <c r="H67" s="20" t="n">
        <v>1.9882245</v>
      </c>
      <c r="I67" s="18" t="s">
        <v>567</v>
      </c>
      <c r="J67" s="20" t="s">
        <v>567</v>
      </c>
      <c r="K67" s="18" t="n">
        <v>0.17350028</v>
      </c>
      <c r="L67" s="20" t="n">
        <v>0.17352659</v>
      </c>
      <c r="M67" s="18" t="n">
        <v>0</v>
      </c>
      <c r="N67" s="20" t="n">
        <v>0</v>
      </c>
      <c r="O67" s="18" t="n">
        <v>0</v>
      </c>
      <c r="P67" s="20" t="n">
        <v>0</v>
      </c>
      <c r="Q67" s="18" t="n">
        <v>0.78584348</v>
      </c>
      <c r="R67" s="20" t="n">
        <v>0.32533111</v>
      </c>
    </row>
    <row r="68" spans="1:18">
      <c r="A68" s="15" t="s">
        <v>628</v>
      </c>
      <c r="B68" s="17" t="n">
        <v>6049</v>
      </c>
      <c r="C68" s="18">
        <f>(4714.0/B68*100)</f>
        <v/>
      </c>
      <c r="D68" s="19" t="n">
        <v>1335</v>
      </c>
      <c r="E68" s="18" t="n">
        <v>60.06606928</v>
      </c>
      <c r="F68" s="20" t="n">
        <v>1.4630116</v>
      </c>
      <c r="G68" s="18" t="n">
        <v>37.55084212</v>
      </c>
      <c r="H68" s="20" t="n">
        <v>1.39067557</v>
      </c>
      <c r="I68" s="18" t="s">
        <v>567</v>
      </c>
      <c r="J68" s="20" t="s">
        <v>567</v>
      </c>
      <c r="K68" s="18" t="n">
        <v>0.37455443</v>
      </c>
      <c r="L68" s="20" t="n">
        <v>0.16691997</v>
      </c>
      <c r="M68" s="18" t="n">
        <v>0</v>
      </c>
      <c r="N68" s="20" t="n">
        <v>0</v>
      </c>
      <c r="O68" s="18" t="n">
        <v>0</v>
      </c>
      <c r="P68" s="20" t="n">
        <v>0</v>
      </c>
      <c r="Q68" s="18" t="n">
        <v>2.00853417</v>
      </c>
      <c r="R68" s="20" t="n">
        <v>0.35400623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(2318.0/B70*100)</f>
        <v/>
      </c>
      <c r="D70" s="19" t="n">
        <v>611</v>
      </c>
      <c r="E70" s="18" t="n">
        <v>60.23247062</v>
      </c>
      <c r="F70" s="20" t="n">
        <v>2.31261655</v>
      </c>
      <c r="G70" s="18" t="n">
        <v>38.82625317</v>
      </c>
      <c r="H70" s="20" t="n">
        <v>2.22097348</v>
      </c>
      <c r="I70" s="18" t="s">
        <v>567</v>
      </c>
      <c r="J70" s="20" t="s">
        <v>567</v>
      </c>
      <c r="K70" s="18" t="n">
        <v>0</v>
      </c>
      <c r="L70" s="20" t="n">
        <v>0</v>
      </c>
      <c r="M70" s="18" t="n">
        <v>0</v>
      </c>
      <c r="N70" s="20" t="n">
        <v>0</v>
      </c>
      <c r="O70" s="18" t="n">
        <v>0</v>
      </c>
      <c r="P70" s="20" t="n">
        <v>0</v>
      </c>
      <c r="Q70" s="18" t="n">
        <v>0.9412762099999999</v>
      </c>
      <c r="R70" s="20" t="n">
        <v>0.30571063</v>
      </c>
    </row>
    <row r="71" spans="1:18">
      <c r="A71" s="15" t="s">
        <v>631</v>
      </c>
      <c r="B71" s="17" t="n">
        <v>3142</v>
      </c>
      <c r="C71" s="18">
        <f>(2463.0/B71*100)</f>
        <v/>
      </c>
      <c r="D71" s="19" t="n">
        <v>679</v>
      </c>
      <c r="E71" s="18" t="n">
        <v>33.12595387</v>
      </c>
      <c r="F71" s="20" t="n">
        <v>2.06774774</v>
      </c>
      <c r="G71" s="18" t="n">
        <v>66.49157176999999</v>
      </c>
      <c r="H71" s="20" t="n">
        <v>2.07879461</v>
      </c>
      <c r="I71" s="18" t="s">
        <v>567</v>
      </c>
      <c r="J71" s="20" t="s">
        <v>567</v>
      </c>
      <c r="K71" s="18" t="n">
        <v>0.20461134</v>
      </c>
      <c r="L71" s="20" t="n">
        <v>0.14803532</v>
      </c>
      <c r="M71" s="18" t="n">
        <v>0</v>
      </c>
      <c r="N71" s="20" t="n">
        <v>0</v>
      </c>
      <c r="O71" s="18" t="n">
        <v>0</v>
      </c>
      <c r="P71" s="20" t="n">
        <v>0</v>
      </c>
      <c r="Q71" s="18" t="n">
        <v>0.17786302</v>
      </c>
      <c r="R71" s="20" t="n">
        <v>0.12761899</v>
      </c>
    </row>
    <row r="72" spans="1:18">
      <c r="A72" s="15" t="s">
        <v>632</v>
      </c>
      <c r="B72" s="17" t="n">
        <v>3889</v>
      </c>
      <c r="C72" s="18">
        <f>(3011.0/B72*100)</f>
        <v/>
      </c>
      <c r="D72" s="19" t="n">
        <v>878</v>
      </c>
      <c r="E72" s="18" t="n">
        <v>33.67144381</v>
      </c>
      <c r="F72" s="20" t="n">
        <v>1.68411913</v>
      </c>
      <c r="G72" s="18" t="n">
        <v>65.83266673999999</v>
      </c>
      <c r="H72" s="20" t="n">
        <v>1.67895389</v>
      </c>
      <c r="I72" s="18" t="s">
        <v>567</v>
      </c>
      <c r="J72" s="20" t="s">
        <v>567</v>
      </c>
      <c r="K72" s="18" t="n">
        <v>0.16040264</v>
      </c>
      <c r="L72" s="20" t="n">
        <v>0.11597302</v>
      </c>
      <c r="M72" s="18" t="n">
        <v>0</v>
      </c>
      <c r="N72" s="20" t="n">
        <v>0</v>
      </c>
      <c r="O72" s="18" t="n">
        <v>0</v>
      </c>
      <c r="P72" s="20" t="n">
        <v>0</v>
      </c>
      <c r="Q72" s="18" t="n">
        <v>0.33548681</v>
      </c>
      <c r="R72" s="20" t="n">
        <v>0.15524941</v>
      </c>
    </row>
    <row r="73" spans="1:18">
      <c r="A73" s="15" t="s">
        <v>633</v>
      </c>
      <c r="B73" s="17" t="n">
        <v>3597</v>
      </c>
      <c r="C73" s="18">
        <f>(2780.0/B73*100)</f>
        <v/>
      </c>
      <c r="D73" s="19" t="n">
        <v>817</v>
      </c>
      <c r="E73" s="18" t="n">
        <v>46.4466828</v>
      </c>
      <c r="F73" s="20" t="n">
        <v>2.24833753</v>
      </c>
      <c r="G73" s="18" t="n">
        <v>53.34163939</v>
      </c>
      <c r="H73" s="20" t="n">
        <v>2.2347797</v>
      </c>
      <c r="I73" s="18" t="s">
        <v>567</v>
      </c>
      <c r="J73" s="20" t="s">
        <v>567</v>
      </c>
      <c r="K73" s="18" t="n">
        <v>0</v>
      </c>
      <c r="L73" s="20" t="n">
        <v>0</v>
      </c>
      <c r="M73" s="18" t="n">
        <v>0</v>
      </c>
      <c r="N73" s="20" t="n">
        <v>0</v>
      </c>
      <c r="O73" s="18" t="n">
        <v>0</v>
      </c>
      <c r="P73" s="20" t="n">
        <v>0</v>
      </c>
      <c r="Q73" s="18" t="n">
        <v>0.21167781</v>
      </c>
      <c r="R73" s="20" t="n">
        <v>0.2105401</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(1906.0/B75*100)</f>
        <v/>
      </c>
      <c r="D75" s="19" t="n">
        <v>500</v>
      </c>
      <c r="E75" s="18" t="n">
        <v>73.10235796000001</v>
      </c>
      <c r="F75" s="20" t="n">
        <v>2.01018291</v>
      </c>
      <c r="G75" s="18" t="n">
        <v>24.42246016</v>
      </c>
      <c r="H75" s="20" t="n">
        <v>1.97651953</v>
      </c>
      <c r="I75" s="18" t="s">
        <v>567</v>
      </c>
      <c r="J75" s="20" t="s">
        <v>567</v>
      </c>
      <c r="K75" s="18" t="n">
        <v>0.28699776</v>
      </c>
      <c r="L75" s="20" t="n">
        <v>0.21552277</v>
      </c>
      <c r="M75" s="18" t="n">
        <v>0</v>
      </c>
      <c r="N75" s="20" t="n">
        <v>0</v>
      </c>
      <c r="O75" s="18" t="n">
        <v>0</v>
      </c>
      <c r="P75" s="20" t="n">
        <v>0</v>
      </c>
      <c r="Q75" s="18" t="n">
        <v>2.18818413</v>
      </c>
      <c r="R75" s="20" t="n">
        <v>0.65714231</v>
      </c>
    </row>
    <row r="76" spans="1:18">
      <c r="A76" s="15" t="s">
        <v>636</v>
      </c>
      <c r="B76" s="17" t="n">
        <v>7052</v>
      </c>
      <c r="C76" s="18">
        <f>(5531.0/B76*100)</f>
        <v/>
      </c>
      <c r="D76" s="19" t="n">
        <v>1521</v>
      </c>
      <c r="E76" s="18" t="n">
        <v>53.50807483</v>
      </c>
      <c r="F76" s="20" t="n">
        <v>1.94244357</v>
      </c>
      <c r="G76" s="18" t="n">
        <v>45.28892127</v>
      </c>
      <c r="H76" s="20" t="n">
        <v>1.93397228</v>
      </c>
      <c r="I76" s="18" t="s">
        <v>567</v>
      </c>
      <c r="J76" s="20" t="s">
        <v>567</v>
      </c>
      <c r="K76" s="18" t="n">
        <v>0.23952239</v>
      </c>
      <c r="L76" s="20" t="n">
        <v>0.138278</v>
      </c>
      <c r="M76" s="18" t="n">
        <v>0</v>
      </c>
      <c r="N76" s="20" t="n">
        <v>0</v>
      </c>
      <c r="O76" s="18" t="n">
        <v>0</v>
      </c>
      <c r="P76" s="20" t="n">
        <v>0</v>
      </c>
      <c r="Q76" s="18" t="n">
        <v>0.96348151</v>
      </c>
      <c r="R76" s="20" t="n">
        <v>0.30884821</v>
      </c>
    </row>
    <row r="77" spans="1:18">
      <c r="A77" s="15" t="s">
        <v>637</v>
      </c>
      <c r="B77" s="17" t="n">
        <v>2908</v>
      </c>
      <c r="C77" s="18">
        <f>(2259.0/B77*100)</f>
        <v/>
      </c>
      <c r="D77" s="19" t="n">
        <v>649</v>
      </c>
      <c r="E77" s="18" t="n">
        <v>45.16234488</v>
      </c>
      <c r="F77" s="20" t="n">
        <v>1.88558799</v>
      </c>
      <c r="G77" s="18" t="n">
        <v>53.3243492</v>
      </c>
      <c r="H77" s="20" t="n">
        <v>1.84423699</v>
      </c>
      <c r="I77" s="18" t="s">
        <v>567</v>
      </c>
      <c r="J77" s="20" t="s">
        <v>567</v>
      </c>
      <c r="K77" s="18" t="n">
        <v>0.5460881</v>
      </c>
      <c r="L77" s="20" t="n">
        <v>0.28551503</v>
      </c>
      <c r="M77" s="18" t="n">
        <v>0</v>
      </c>
      <c r="N77" s="20" t="n">
        <v>0</v>
      </c>
      <c r="O77" s="18" t="n">
        <v>0</v>
      </c>
      <c r="P77" s="20" t="n">
        <v>0</v>
      </c>
      <c r="Q77" s="18" t="n">
        <v>0.96721782</v>
      </c>
      <c r="R77" s="20" t="n">
        <v>0.37150738</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(3207.0/B81*100)</f>
        <v/>
      </c>
      <c r="D81" s="19" t="n">
        <v>956</v>
      </c>
      <c r="E81" s="18" t="n">
        <v>39.89609938</v>
      </c>
      <c r="F81" s="20" t="n">
        <v>2.13338217</v>
      </c>
      <c r="G81" s="18" t="n">
        <v>59.65959183</v>
      </c>
      <c r="H81" s="20" t="n">
        <v>2.14998863</v>
      </c>
      <c r="I81" s="18" t="s">
        <v>567</v>
      </c>
      <c r="J81" s="20" t="s">
        <v>567</v>
      </c>
      <c r="K81" s="18" t="n">
        <v>0.13940178</v>
      </c>
      <c r="L81" s="20" t="n">
        <v>0.14351889</v>
      </c>
      <c r="M81" s="18" t="n">
        <v>0</v>
      </c>
      <c r="N81" s="20" t="n">
        <v>0</v>
      </c>
      <c r="O81" s="18" t="n">
        <v>0</v>
      </c>
      <c r="P81" s="20" t="n">
        <v>0</v>
      </c>
      <c r="Q81" s="18" t="n">
        <v>0.30490701</v>
      </c>
      <c r="R81" s="20" t="n">
        <v>0.21677747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753</v>
      </c>
    </row>
    <row customHeight="1" ht="30" r="4" spans="1:20">
      <c r="A4" s="6" t="n"/>
      <c r="B4" s="7" t="s">
        <v>551</v>
      </c>
      <c r="C4" s="7" t="s">
        <v>552</v>
      </c>
      <c r="D4" s="8" t="s">
        <v>551</v>
      </c>
      <c r="E4" s="9" t="s">
        <v>662</v>
      </c>
      <c r="F4" s="10" t="n"/>
      <c r="G4" s="9" t="s">
        <v>754</v>
      </c>
      <c r="H4" s="10" t="n"/>
      <c r="I4" s="9" t="s">
        <v>663</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7367</v>
      </c>
      <c r="C7" s="18">
        <f>(5766.0/B7*100)</f>
        <v/>
      </c>
      <c r="D7" s="19" t="n">
        <v>1601</v>
      </c>
      <c r="E7" s="18" t="n">
        <v>24.34900629</v>
      </c>
      <c r="F7" s="20" t="n">
        <v>1.39753445</v>
      </c>
      <c r="G7" s="18" t="n">
        <v>53.06068271</v>
      </c>
      <c r="H7" s="20" t="n">
        <v>1.51315595</v>
      </c>
      <c r="I7" s="18" t="n">
        <v>20.74165705</v>
      </c>
      <c r="J7" s="20" t="n">
        <v>1.31033179</v>
      </c>
      <c r="K7" s="18" t="s">
        <v>567</v>
      </c>
      <c r="L7" s="20" t="s">
        <v>567</v>
      </c>
      <c r="M7" s="18" t="n">
        <v>0.05464799</v>
      </c>
      <c r="N7" s="20" t="n">
        <v>0.03596204</v>
      </c>
      <c r="O7" s="18" t="n">
        <v>0</v>
      </c>
      <c r="P7" s="20" t="n">
        <v>0</v>
      </c>
      <c r="Q7" s="18" t="n">
        <v>0</v>
      </c>
      <c r="R7" s="20" t="n">
        <v>0</v>
      </c>
      <c r="S7" s="18" t="n">
        <v>1.79400596</v>
      </c>
      <c r="T7" s="20" t="n">
        <v>0.36462553</v>
      </c>
    </row>
    <row r="8" spans="1:20">
      <c r="A8" s="15" t="s">
        <v>568</v>
      </c>
      <c r="B8" s="17" t="n">
        <v>3564</v>
      </c>
      <c r="C8" s="18">
        <f>(2772.0/B8*100)</f>
        <v/>
      </c>
      <c r="D8" s="19" t="n">
        <v>792</v>
      </c>
      <c r="E8" s="18" t="n">
        <v>22.17536895</v>
      </c>
      <c r="F8" s="20" t="n">
        <v>1.46066382</v>
      </c>
      <c r="G8" s="18" t="n">
        <v>42.71289217</v>
      </c>
      <c r="H8" s="20" t="n">
        <v>1.81017713</v>
      </c>
      <c r="I8" s="18" t="n">
        <v>33.86923595</v>
      </c>
      <c r="J8" s="20" t="n">
        <v>2.16427127</v>
      </c>
      <c r="K8" s="18" t="s">
        <v>567</v>
      </c>
      <c r="L8" s="20" t="s">
        <v>567</v>
      </c>
      <c r="M8" s="18" t="n">
        <v>0</v>
      </c>
      <c r="N8" s="20" t="n">
        <v>0</v>
      </c>
      <c r="O8" s="18" t="n">
        <v>0</v>
      </c>
      <c r="P8" s="20" t="n">
        <v>0</v>
      </c>
      <c r="Q8" s="18" t="n">
        <v>0</v>
      </c>
      <c r="R8" s="20" t="n">
        <v>0</v>
      </c>
      <c r="S8" s="18" t="n">
        <v>1.24250294</v>
      </c>
      <c r="T8" s="20" t="n">
        <v>0.40084906</v>
      </c>
    </row>
    <row r="9" spans="1:20">
      <c r="A9" s="15" t="s">
        <v>569</v>
      </c>
      <c r="B9" s="17" t="n">
        <v>4899</v>
      </c>
      <c r="C9" s="18">
        <f>(3814.0/B9*100)</f>
        <v/>
      </c>
      <c r="D9" s="19" t="n">
        <v>1085</v>
      </c>
      <c r="E9" s="18" t="n">
        <v>26.56239503</v>
      </c>
      <c r="F9" s="20" t="n">
        <v>1.41631437</v>
      </c>
      <c r="G9" s="18" t="n">
        <v>29.41069616</v>
      </c>
      <c r="H9" s="20" t="n">
        <v>1.76303811</v>
      </c>
      <c r="I9" s="18" t="n">
        <v>43.1899644</v>
      </c>
      <c r="J9" s="20" t="n">
        <v>1.51919226</v>
      </c>
      <c r="K9" s="18" t="s">
        <v>567</v>
      </c>
      <c r="L9" s="20" t="s">
        <v>567</v>
      </c>
      <c r="M9" s="18" t="n">
        <v>0</v>
      </c>
      <c r="N9" s="20" t="n">
        <v>0</v>
      </c>
      <c r="O9" s="18" t="n">
        <v>0</v>
      </c>
      <c r="P9" s="20" t="n">
        <v>0</v>
      </c>
      <c r="Q9" s="18" t="n">
        <v>0</v>
      </c>
      <c r="R9" s="20" t="n">
        <v>0</v>
      </c>
      <c r="S9" s="18" t="n">
        <v>0.83694441</v>
      </c>
      <c r="T9" s="20" t="n">
        <v>0.27929264</v>
      </c>
    </row>
    <row r="10" spans="1:20">
      <c r="A10" s="15" t="s">
        <v>570</v>
      </c>
      <c r="B10" s="17" t="n">
        <v>10036</v>
      </c>
      <c r="C10" s="18">
        <f>(7880.0/B10*100)</f>
        <v/>
      </c>
      <c r="D10" s="19" t="n">
        <v>2156</v>
      </c>
      <c r="E10" s="18" t="n">
        <v>18.3220356</v>
      </c>
      <c r="F10" s="20" t="n">
        <v>1.15195159</v>
      </c>
      <c r="G10" s="18" t="n">
        <v>47.98678107</v>
      </c>
      <c r="H10" s="20" t="n">
        <v>1.49813703</v>
      </c>
      <c r="I10" s="18" t="n">
        <v>32.73316958</v>
      </c>
      <c r="J10" s="20" t="n">
        <v>1.5044645</v>
      </c>
      <c r="K10" s="18" t="s">
        <v>567</v>
      </c>
      <c r="L10" s="20" t="s">
        <v>567</v>
      </c>
      <c r="M10" s="18" t="n">
        <v>0.16341956</v>
      </c>
      <c r="N10" s="20" t="n">
        <v>0.12236224</v>
      </c>
      <c r="O10" s="18" t="n">
        <v>0</v>
      </c>
      <c r="P10" s="20" t="n">
        <v>0</v>
      </c>
      <c r="Q10" s="18" t="n">
        <v>0</v>
      </c>
      <c r="R10" s="20" t="n">
        <v>0</v>
      </c>
      <c r="S10" s="18" t="n">
        <v>0.79459418</v>
      </c>
      <c r="T10" s="20" t="n">
        <v>0.2966317</v>
      </c>
    </row>
    <row r="11" spans="1:20">
      <c r="A11" s="15" t="s">
        <v>571</v>
      </c>
      <c r="B11" s="17" t="n">
        <v>3553</v>
      </c>
      <c r="C11" s="18">
        <f>(2837.0/B11*100)</f>
        <v/>
      </c>
      <c r="D11" s="19" t="n">
        <v>716</v>
      </c>
      <c r="E11" s="18" t="n">
        <v>27.89251188</v>
      </c>
      <c r="F11" s="20" t="n">
        <v>2.02100923</v>
      </c>
      <c r="G11" s="18" t="n">
        <v>34.87170834</v>
      </c>
      <c r="H11" s="20" t="n">
        <v>1.95455038</v>
      </c>
      <c r="I11" s="18" t="n">
        <v>33.98745821</v>
      </c>
      <c r="J11" s="20" t="n">
        <v>2.32187409</v>
      </c>
      <c r="K11" s="18" t="s">
        <v>567</v>
      </c>
      <c r="L11" s="20" t="s">
        <v>567</v>
      </c>
      <c r="M11" s="18" t="n">
        <v>0.1504842</v>
      </c>
      <c r="N11" s="20" t="n">
        <v>0.10576886</v>
      </c>
      <c r="O11" s="18" t="n">
        <v>0</v>
      </c>
      <c r="P11" s="20" t="n">
        <v>0</v>
      </c>
      <c r="Q11" s="18" t="n">
        <v>0</v>
      </c>
      <c r="R11" s="20" t="n">
        <v>0</v>
      </c>
      <c r="S11" s="18" t="n">
        <v>3.09783737</v>
      </c>
      <c r="T11" s="20" t="n">
        <v>0.84644467</v>
      </c>
    </row>
    <row r="12" spans="1:20">
      <c r="A12" s="15" t="s">
        <v>572</v>
      </c>
      <c r="B12" s="17" t="n">
        <v>3472</v>
      </c>
      <c r="C12" s="18">
        <f>(2731.0/B12*100)</f>
        <v/>
      </c>
      <c r="D12" s="19" t="n">
        <v>741</v>
      </c>
      <c r="E12" s="18" t="n">
        <v>30.04555305</v>
      </c>
      <c r="F12" s="20" t="n">
        <v>1.71255788</v>
      </c>
      <c r="G12" s="18" t="n">
        <v>51.36606648</v>
      </c>
      <c r="H12" s="20" t="n">
        <v>1.99482182</v>
      </c>
      <c r="I12" s="18" t="n">
        <v>17.88419511</v>
      </c>
      <c r="J12" s="20" t="n">
        <v>1.63216637</v>
      </c>
      <c r="K12" s="18" t="s">
        <v>567</v>
      </c>
      <c r="L12" s="20" t="s">
        <v>567</v>
      </c>
      <c r="M12" s="18" t="n">
        <v>0</v>
      </c>
      <c r="N12" s="20" t="n">
        <v>0</v>
      </c>
      <c r="O12" s="18" t="n">
        <v>0</v>
      </c>
      <c r="P12" s="20" t="n">
        <v>0</v>
      </c>
      <c r="Q12" s="18" t="n">
        <v>0</v>
      </c>
      <c r="R12" s="20" t="n">
        <v>0</v>
      </c>
      <c r="S12" s="18" t="n">
        <v>0.70418536</v>
      </c>
      <c r="T12" s="20" t="n">
        <v>0.33327741</v>
      </c>
    </row>
    <row r="13" spans="1:20">
      <c r="A13" s="15" t="s">
        <v>573</v>
      </c>
      <c r="B13" s="17" t="n">
        <v>3559</v>
      </c>
      <c r="C13" s="18">
        <f>(2851.0/B13*100)</f>
        <v/>
      </c>
      <c r="D13" s="19" t="n">
        <v>708</v>
      </c>
      <c r="E13" s="18" t="n">
        <v>19.64801381</v>
      </c>
      <c r="F13" s="20" t="n">
        <v>1.81953362</v>
      </c>
      <c r="G13" s="18" t="n">
        <v>66.47231931</v>
      </c>
      <c r="H13" s="20" t="n">
        <v>2.31433038</v>
      </c>
      <c r="I13" s="18" t="n">
        <v>12.78107269</v>
      </c>
      <c r="J13" s="20" t="n">
        <v>1.42547841</v>
      </c>
      <c r="K13" s="18" t="s">
        <v>567</v>
      </c>
      <c r="L13" s="20" t="s">
        <v>567</v>
      </c>
      <c r="M13" s="18" t="n">
        <v>0.34981706</v>
      </c>
      <c r="N13" s="20" t="n">
        <v>0.19204437</v>
      </c>
      <c r="O13" s="18" t="n">
        <v>0</v>
      </c>
      <c r="P13" s="20" t="n">
        <v>0</v>
      </c>
      <c r="Q13" s="18" t="n">
        <v>0</v>
      </c>
      <c r="R13" s="20" t="n">
        <v>0</v>
      </c>
      <c r="S13" s="18" t="n">
        <v>0.74877713</v>
      </c>
      <c r="T13" s="20" t="n">
        <v>0.34263845</v>
      </c>
    </row>
    <row r="14" spans="1:20">
      <c r="A14" s="15" t="s">
        <v>574</v>
      </c>
      <c r="B14" s="17" t="n">
        <v>2799</v>
      </c>
      <c r="C14" s="18">
        <f>(2216.0/B14*100)</f>
        <v/>
      </c>
      <c r="D14" s="19" t="n">
        <v>583</v>
      </c>
      <c r="E14" s="18" t="n">
        <v>22.36697108</v>
      </c>
      <c r="F14" s="20" t="n">
        <v>1.97595131</v>
      </c>
      <c r="G14" s="18" t="n">
        <v>14.44295441</v>
      </c>
      <c r="H14" s="20" t="n">
        <v>1.52023592</v>
      </c>
      <c r="I14" s="18" t="n">
        <v>62.62625166</v>
      </c>
      <c r="J14" s="20" t="n">
        <v>2.04571302</v>
      </c>
      <c r="K14" s="18" t="s">
        <v>567</v>
      </c>
      <c r="L14" s="20" t="s">
        <v>567</v>
      </c>
      <c r="M14" s="18" t="n">
        <v>0.14263488</v>
      </c>
      <c r="N14" s="20" t="n">
        <v>0.14332604</v>
      </c>
      <c r="O14" s="18" t="n">
        <v>0</v>
      </c>
      <c r="P14" s="20" t="n">
        <v>0</v>
      </c>
      <c r="Q14" s="18" t="n">
        <v>0</v>
      </c>
      <c r="R14" s="20" t="n">
        <v>0</v>
      </c>
      <c r="S14" s="18" t="n">
        <v>0.42118797</v>
      </c>
      <c r="T14" s="20" t="n">
        <v>0.24823817</v>
      </c>
    </row>
    <row r="15" spans="1:20">
      <c r="A15" s="15" t="s">
        <v>575</v>
      </c>
      <c r="B15" s="17" t="n">
        <v>3019</v>
      </c>
      <c r="C15" s="18">
        <f>(2343.0/B15*100)</f>
        <v/>
      </c>
      <c r="D15" s="19" t="n">
        <v>676</v>
      </c>
      <c r="E15" s="18" t="n">
        <v>15.27944344</v>
      </c>
      <c r="F15" s="20" t="n">
        <v>1.51447267</v>
      </c>
      <c r="G15" s="18" t="n">
        <v>27.42856631</v>
      </c>
      <c r="H15" s="20" t="n">
        <v>1.5989569</v>
      </c>
      <c r="I15" s="18" t="n">
        <v>56.84449646</v>
      </c>
      <c r="J15" s="20" t="n">
        <v>1.81572503</v>
      </c>
      <c r="K15" s="18" t="s">
        <v>567</v>
      </c>
      <c r="L15" s="20" t="s">
        <v>567</v>
      </c>
      <c r="M15" s="18" t="n">
        <v>0</v>
      </c>
      <c r="N15" s="20" t="n">
        <v>0</v>
      </c>
      <c r="O15" s="18" t="n">
        <v>0</v>
      </c>
      <c r="P15" s="20" t="n">
        <v>0</v>
      </c>
      <c r="Q15" s="18" t="n">
        <v>0</v>
      </c>
      <c r="R15" s="20" t="n">
        <v>0</v>
      </c>
      <c r="S15" s="18" t="n">
        <v>0.44749379</v>
      </c>
      <c r="T15" s="20" t="n">
        <v>0.24756641</v>
      </c>
    </row>
    <row r="16" spans="1:20">
      <c r="A16" s="15" t="s">
        <v>576</v>
      </c>
      <c r="B16" s="17" t="n">
        <v>2997</v>
      </c>
      <c r="C16" s="18">
        <f>(2317.0/B16*100)</f>
        <v/>
      </c>
      <c r="D16" s="19" t="n">
        <v>680</v>
      </c>
      <c r="E16" s="18" t="n">
        <v>36.2313217</v>
      </c>
      <c r="F16" s="20" t="n">
        <v>1.96588</v>
      </c>
      <c r="G16" s="18" t="n">
        <v>33.30089595</v>
      </c>
      <c r="H16" s="20" t="n">
        <v>1.66359385</v>
      </c>
      <c r="I16" s="18" t="n">
        <v>27.27926229</v>
      </c>
      <c r="J16" s="20" t="n">
        <v>1.9660628</v>
      </c>
      <c r="K16" s="18" t="s">
        <v>567</v>
      </c>
      <c r="L16" s="20" t="s">
        <v>567</v>
      </c>
      <c r="M16" s="18" t="n">
        <v>0.6007907</v>
      </c>
      <c r="N16" s="20" t="n">
        <v>0.27697586</v>
      </c>
      <c r="O16" s="18" t="n">
        <v>0</v>
      </c>
      <c r="P16" s="20" t="n">
        <v>0</v>
      </c>
      <c r="Q16" s="18" t="n">
        <v>0</v>
      </c>
      <c r="R16" s="20" t="n">
        <v>0</v>
      </c>
      <c r="S16" s="18" t="n">
        <v>2.58772936</v>
      </c>
      <c r="T16" s="20" t="n">
        <v>0.52870954</v>
      </c>
    </row>
    <row r="17" spans="1:20">
      <c r="A17" s="15" t="s">
        <v>577</v>
      </c>
      <c r="B17" s="17" t="n">
        <v>3307</v>
      </c>
      <c r="C17" s="18">
        <f>(2601.0/B17*100)</f>
        <v/>
      </c>
      <c r="D17" s="19" t="n">
        <v>706</v>
      </c>
      <c r="E17" s="18" t="n">
        <v>20.93979303</v>
      </c>
      <c r="F17" s="20" t="n">
        <v>1.90500594</v>
      </c>
      <c r="G17" s="18" t="n">
        <v>39.55069897</v>
      </c>
      <c r="H17" s="20" t="n">
        <v>1.91537489</v>
      </c>
      <c r="I17" s="18" t="n">
        <v>38.19749435</v>
      </c>
      <c r="J17" s="20" t="n">
        <v>2.38069508</v>
      </c>
      <c r="K17" s="18" t="s">
        <v>567</v>
      </c>
      <c r="L17" s="20" t="s">
        <v>567</v>
      </c>
      <c r="M17" s="18" t="n">
        <v>0.31305701</v>
      </c>
      <c r="N17" s="20" t="n">
        <v>0.23857234</v>
      </c>
      <c r="O17" s="18" t="n">
        <v>0</v>
      </c>
      <c r="P17" s="20" t="n">
        <v>0</v>
      </c>
      <c r="Q17" s="18" t="n">
        <v>0</v>
      </c>
      <c r="R17" s="20" t="n">
        <v>0</v>
      </c>
      <c r="S17" s="18" t="n">
        <v>0.99895664</v>
      </c>
      <c r="T17" s="20" t="n">
        <v>0.30685709</v>
      </c>
    </row>
    <row r="18" spans="1:20">
      <c r="A18" s="15" t="s">
        <v>578</v>
      </c>
      <c r="B18" s="17" t="n">
        <v>2826</v>
      </c>
      <c r="C18" s="18">
        <f>(2201.0/B18*100)</f>
        <v/>
      </c>
      <c r="D18" s="19" t="n">
        <v>625</v>
      </c>
      <c r="E18" s="18" t="n">
        <v>28.41065279</v>
      </c>
      <c r="F18" s="20" t="n">
        <v>2.00395005</v>
      </c>
      <c r="G18" s="18" t="n">
        <v>30.87852069</v>
      </c>
      <c r="H18" s="20" t="n">
        <v>1.89919202</v>
      </c>
      <c r="I18" s="18" t="n">
        <v>38.34803218</v>
      </c>
      <c r="J18" s="20" t="n">
        <v>1.92172946</v>
      </c>
      <c r="K18" s="18" t="s">
        <v>567</v>
      </c>
      <c r="L18" s="20" t="s">
        <v>567</v>
      </c>
      <c r="M18" s="18" t="n">
        <v>0.12071058</v>
      </c>
      <c r="N18" s="20" t="n">
        <v>0.12159921</v>
      </c>
      <c r="O18" s="18" t="n">
        <v>0</v>
      </c>
      <c r="P18" s="20" t="n">
        <v>0</v>
      </c>
      <c r="Q18" s="18" t="n">
        <v>0</v>
      </c>
      <c r="R18" s="20" t="n">
        <v>0</v>
      </c>
      <c r="S18" s="18" t="n">
        <v>2.24208376</v>
      </c>
      <c r="T18" s="20" t="n">
        <v>0.66020461</v>
      </c>
    </row>
    <row r="19" spans="1:20">
      <c r="A19" s="15" t="s">
        <v>579</v>
      </c>
      <c r="B19" s="17" t="n">
        <v>2808</v>
      </c>
      <c r="C19" s="18">
        <f>(2215.0/B19*100)</f>
        <v/>
      </c>
      <c r="D19" s="19" t="n">
        <v>593</v>
      </c>
      <c r="E19" s="18" t="n">
        <v>20.91582935</v>
      </c>
      <c r="F19" s="20" t="n">
        <v>1.66244837</v>
      </c>
      <c r="G19" s="18" t="n">
        <v>53.59299852</v>
      </c>
      <c r="H19" s="20" t="n">
        <v>2.01886321</v>
      </c>
      <c r="I19" s="18" t="n">
        <v>23.38877885</v>
      </c>
      <c r="J19" s="20" t="n">
        <v>2.13035801</v>
      </c>
      <c r="K19" s="18" t="s">
        <v>567</v>
      </c>
      <c r="L19" s="20" t="s">
        <v>567</v>
      </c>
      <c r="M19" s="18" t="n">
        <v>0</v>
      </c>
      <c r="N19" s="20" t="n">
        <v>0</v>
      </c>
      <c r="O19" s="18" t="n">
        <v>0</v>
      </c>
      <c r="P19" s="20" t="n">
        <v>0</v>
      </c>
      <c r="Q19" s="18" t="n">
        <v>0</v>
      </c>
      <c r="R19" s="20" t="n">
        <v>0</v>
      </c>
      <c r="S19" s="18" t="n">
        <v>2.10239328</v>
      </c>
      <c r="T19" s="20" t="n">
        <v>0.95307978</v>
      </c>
    </row>
    <row r="20" spans="1:20">
      <c r="A20" s="15" t="s">
        <v>580</v>
      </c>
      <c r="B20" s="17" t="n">
        <v>1630</v>
      </c>
      <c r="C20" s="18">
        <f>(1266.0/B20*100)</f>
        <v/>
      </c>
      <c r="D20" s="19" t="n">
        <v>364</v>
      </c>
      <c r="E20" s="18" t="n">
        <v>21.64930428</v>
      </c>
      <c r="F20" s="20" t="n">
        <v>2.09521468</v>
      </c>
      <c r="G20" s="18" t="n">
        <v>21.6820165</v>
      </c>
      <c r="H20" s="20" t="n">
        <v>2.04968947</v>
      </c>
      <c r="I20" s="18" t="n">
        <v>53.26208303</v>
      </c>
      <c r="J20" s="20" t="n">
        <v>2.63566464</v>
      </c>
      <c r="K20" s="18" t="s">
        <v>567</v>
      </c>
      <c r="L20" s="20" t="s">
        <v>567</v>
      </c>
      <c r="M20" s="18" t="n">
        <v>0.23315907</v>
      </c>
      <c r="N20" s="20" t="n">
        <v>0.23089433</v>
      </c>
      <c r="O20" s="18" t="n">
        <v>0</v>
      </c>
      <c r="P20" s="20" t="n">
        <v>0</v>
      </c>
      <c r="Q20" s="18" t="n">
        <v>0</v>
      </c>
      <c r="R20" s="20" t="n">
        <v>0</v>
      </c>
      <c r="S20" s="18" t="n">
        <v>3.17343712</v>
      </c>
      <c r="T20" s="20" t="n">
        <v>1.0362116</v>
      </c>
    </row>
    <row r="21" spans="1:20">
      <c r="A21" s="15" t="s">
        <v>581</v>
      </c>
      <c r="B21" s="17" t="n">
        <v>2908</v>
      </c>
      <c r="C21" s="18">
        <f>(2254.0/B21*100)</f>
        <v/>
      </c>
      <c r="D21" s="19" t="n">
        <v>654</v>
      </c>
      <c r="E21" s="18" t="n">
        <v>25.49741246</v>
      </c>
      <c r="F21" s="20" t="n">
        <v>1.82038688</v>
      </c>
      <c r="G21" s="18" t="n">
        <v>52.87673703</v>
      </c>
      <c r="H21" s="20" t="n">
        <v>2.24046511</v>
      </c>
      <c r="I21" s="18" t="n">
        <v>20.85341002</v>
      </c>
      <c r="J21" s="20" t="n">
        <v>1.73373672</v>
      </c>
      <c r="K21" s="18" t="s">
        <v>567</v>
      </c>
      <c r="L21" s="20" t="s">
        <v>567</v>
      </c>
      <c r="M21" s="18" t="n">
        <v>0</v>
      </c>
      <c r="N21" s="20" t="n">
        <v>0</v>
      </c>
      <c r="O21" s="18" t="n">
        <v>0</v>
      </c>
      <c r="P21" s="20" t="n">
        <v>0</v>
      </c>
      <c r="Q21" s="18" t="n">
        <v>0</v>
      </c>
      <c r="R21" s="20" t="n">
        <v>0</v>
      </c>
      <c r="S21" s="18" t="n">
        <v>0.77244049</v>
      </c>
      <c r="T21" s="20" t="n">
        <v>0.3486142</v>
      </c>
    </row>
    <row r="22" spans="1:20">
      <c r="A22" s="15" t="s">
        <v>582</v>
      </c>
      <c r="B22" s="17" t="n">
        <v>2931</v>
      </c>
      <c r="C22" s="18">
        <f>(2296.0/B22*100)</f>
        <v/>
      </c>
      <c r="D22" s="19" t="n">
        <v>635</v>
      </c>
      <c r="E22" s="18" t="n">
        <v>27.97142287</v>
      </c>
      <c r="F22" s="20" t="n">
        <v>1.75719981</v>
      </c>
      <c r="G22" s="18" t="n">
        <v>36.5905458</v>
      </c>
      <c r="H22" s="20" t="n">
        <v>1.87053435</v>
      </c>
      <c r="I22" s="18" t="n">
        <v>32.56084326</v>
      </c>
      <c r="J22" s="20" t="n">
        <v>1.96680219</v>
      </c>
      <c r="K22" s="18" t="s">
        <v>567</v>
      </c>
      <c r="L22" s="20" t="s">
        <v>567</v>
      </c>
      <c r="M22" s="18" t="n">
        <v>0.35647418</v>
      </c>
      <c r="N22" s="20" t="n">
        <v>0.23402097</v>
      </c>
      <c r="O22" s="18" t="n">
        <v>0</v>
      </c>
      <c r="P22" s="20" t="n">
        <v>0</v>
      </c>
      <c r="Q22" s="18" t="n">
        <v>0</v>
      </c>
      <c r="R22" s="20" t="n">
        <v>0</v>
      </c>
      <c r="S22" s="18" t="n">
        <v>2.5207139</v>
      </c>
      <c r="T22" s="20" t="n">
        <v>0.69066114</v>
      </c>
    </row>
    <row r="23" spans="1:20">
      <c r="A23" s="15" t="s">
        <v>583</v>
      </c>
      <c r="B23" s="17" t="n">
        <v>5791</v>
      </c>
      <c r="C23" s="18">
        <f>(4473.0/B23*100)</f>
        <v/>
      </c>
      <c r="D23" s="19" t="n">
        <v>1318</v>
      </c>
      <c r="E23" s="18" t="n">
        <v>31.76361021</v>
      </c>
      <c r="F23" s="20" t="n">
        <v>1.74477243</v>
      </c>
      <c r="G23" s="18" t="n">
        <v>35.66429959</v>
      </c>
      <c r="H23" s="20" t="n">
        <v>1.94231858</v>
      </c>
      <c r="I23" s="18" t="n">
        <v>30.4766104</v>
      </c>
      <c r="J23" s="20" t="n">
        <v>1.86872191</v>
      </c>
      <c r="K23" s="18" t="s">
        <v>567</v>
      </c>
      <c r="L23" s="20" t="s">
        <v>567</v>
      </c>
      <c r="M23" s="18" t="n">
        <v>0</v>
      </c>
      <c r="N23" s="20" t="n">
        <v>0</v>
      </c>
      <c r="O23" s="18" t="n">
        <v>0</v>
      </c>
      <c r="P23" s="20" t="n">
        <v>0</v>
      </c>
      <c r="Q23" s="18" t="n">
        <v>0</v>
      </c>
      <c r="R23" s="20" t="n">
        <v>0</v>
      </c>
      <c r="S23" s="18" t="n">
        <v>2.0954798</v>
      </c>
      <c r="T23" s="20" t="n">
        <v>0.65120581</v>
      </c>
    </row>
    <row r="24" spans="1:20">
      <c r="A24" s="15" t="s">
        <v>584</v>
      </c>
      <c r="B24" s="17" t="n">
        <v>3338</v>
      </c>
      <c r="C24" s="18">
        <f>(2607.0/B24*100)</f>
        <v/>
      </c>
      <c r="D24" s="19" t="n">
        <v>731</v>
      </c>
      <c r="E24" s="18" t="n">
        <v>17.85237656</v>
      </c>
      <c r="F24" s="20" t="n">
        <v>1.548425</v>
      </c>
      <c r="G24" s="18" t="n">
        <v>8.886859039999999</v>
      </c>
      <c r="H24" s="20" t="n">
        <v>0.99704737</v>
      </c>
      <c r="I24" s="18" t="n">
        <v>73.00722082999999</v>
      </c>
      <c r="J24" s="20" t="n">
        <v>1.81578402</v>
      </c>
      <c r="K24" s="18" t="s">
        <v>567</v>
      </c>
      <c r="L24" s="20" t="s">
        <v>567</v>
      </c>
      <c r="M24" s="18" t="n">
        <v>0</v>
      </c>
      <c r="N24" s="20" t="n">
        <v>0</v>
      </c>
      <c r="O24" s="18" t="n">
        <v>0</v>
      </c>
      <c r="P24" s="20" t="n">
        <v>0</v>
      </c>
      <c r="Q24" s="18" t="n">
        <v>0</v>
      </c>
      <c r="R24" s="20" t="n">
        <v>0</v>
      </c>
      <c r="S24" s="18" t="n">
        <v>0.25354357</v>
      </c>
      <c r="T24" s="20" t="n">
        <v>0.1789141</v>
      </c>
    </row>
    <row r="25" spans="1:20">
      <c r="A25" s="15" t="s">
        <v>585</v>
      </c>
      <c r="B25" s="17" t="n">
        <v>2912</v>
      </c>
      <c r="C25" s="18">
        <f>(2282.0/B25*100)</f>
        <v/>
      </c>
      <c r="D25" s="19" t="n">
        <v>630</v>
      </c>
      <c r="E25" s="18" t="n">
        <v>0</v>
      </c>
      <c r="F25" s="20" t="n">
        <v>0</v>
      </c>
      <c r="G25" s="18" t="n">
        <v>0</v>
      </c>
      <c r="H25" s="20" t="n">
        <v>0</v>
      </c>
      <c r="I25" s="18" t="n">
        <v>0</v>
      </c>
      <c r="J25" s="20" t="n">
        <v>0</v>
      </c>
      <c r="K25" s="18" t="s">
        <v>567</v>
      </c>
      <c r="L25" s="20" t="s">
        <v>567</v>
      </c>
      <c r="M25" s="18" t="n">
        <v>0</v>
      </c>
      <c r="N25" s="20" t="n">
        <v>0</v>
      </c>
      <c r="O25" s="18" t="n">
        <v>100</v>
      </c>
      <c r="P25" s="20" t="n">
        <v>0</v>
      </c>
      <c r="Q25" s="18" t="n">
        <v>0</v>
      </c>
      <c r="R25" s="20" t="n">
        <v>0</v>
      </c>
      <c r="S25" s="18" t="n">
        <v>0</v>
      </c>
      <c r="T25" s="20" t="n">
        <v>0</v>
      </c>
    </row>
    <row r="26" spans="1:20">
      <c r="A26" s="15" t="s">
        <v>586</v>
      </c>
      <c r="B26" s="17" t="n">
        <v>2450</v>
      </c>
      <c r="C26" s="18">
        <f>(1918.0/B26*100)</f>
        <v/>
      </c>
      <c r="D26" s="19" t="n">
        <v>532</v>
      </c>
      <c r="E26" s="18" t="n">
        <v>23.03897736</v>
      </c>
      <c r="F26" s="20" t="n">
        <v>2.02482047</v>
      </c>
      <c r="G26" s="18" t="n">
        <v>26.83886724</v>
      </c>
      <c r="H26" s="20" t="n">
        <v>2.0492847</v>
      </c>
      <c r="I26" s="18" t="n">
        <v>25.56187737</v>
      </c>
      <c r="J26" s="20" t="n">
        <v>1.99003364</v>
      </c>
      <c r="K26" s="18" t="s">
        <v>567</v>
      </c>
      <c r="L26" s="20" t="s">
        <v>567</v>
      </c>
      <c r="M26" s="18" t="n">
        <v>0</v>
      </c>
      <c r="N26" s="20" t="n">
        <v>0</v>
      </c>
      <c r="O26" s="18" t="n">
        <v>23.54868671</v>
      </c>
      <c r="P26" s="20" t="n">
        <v>2.12995163</v>
      </c>
      <c r="Q26" s="18" t="n">
        <v>0</v>
      </c>
      <c r="R26" s="20" t="n">
        <v>0</v>
      </c>
      <c r="S26" s="18" t="n">
        <v>1.01159133</v>
      </c>
      <c r="T26" s="20" t="n">
        <v>0.48855056</v>
      </c>
    </row>
    <row r="27" spans="1:20">
      <c r="A27" s="15" t="s">
        <v>587</v>
      </c>
      <c r="B27" s="17" t="n">
        <v>2616</v>
      </c>
      <c r="C27" s="18">
        <f>(1980.0/B27*100)</f>
        <v/>
      </c>
      <c r="D27" s="19" t="n">
        <v>636</v>
      </c>
      <c r="E27" s="18" t="n">
        <v>29.92003236</v>
      </c>
      <c r="F27" s="20" t="n">
        <v>1.78964052</v>
      </c>
      <c r="G27" s="18" t="n">
        <v>37.31139465</v>
      </c>
      <c r="H27" s="20" t="n">
        <v>1.9788074</v>
      </c>
      <c r="I27" s="18" t="n">
        <v>31.49716486</v>
      </c>
      <c r="J27" s="20" t="n">
        <v>2.03703193</v>
      </c>
      <c r="K27" s="18" t="s">
        <v>567</v>
      </c>
      <c r="L27" s="20" t="s">
        <v>567</v>
      </c>
      <c r="M27" s="18" t="n">
        <v>0.32106138</v>
      </c>
      <c r="N27" s="20" t="n">
        <v>0.22619518</v>
      </c>
      <c r="O27" s="18" t="n">
        <v>0</v>
      </c>
      <c r="P27" s="20" t="n">
        <v>0</v>
      </c>
      <c r="Q27" s="18" t="n">
        <v>0</v>
      </c>
      <c r="R27" s="20" t="n">
        <v>0</v>
      </c>
      <c r="S27" s="18" t="n">
        <v>0.95034676</v>
      </c>
      <c r="T27" s="20" t="n">
        <v>0.3812814</v>
      </c>
    </row>
    <row r="28" spans="1:20">
      <c r="A28" s="15" t="s">
        <v>588</v>
      </c>
      <c r="B28" s="17" t="n">
        <v>3765</v>
      </c>
      <c r="C28" s="18">
        <f>(2967.0/B28*100)</f>
        <v/>
      </c>
      <c r="D28" s="19" t="n">
        <v>798</v>
      </c>
      <c r="E28" s="18" t="n">
        <v>42.3368347</v>
      </c>
      <c r="F28" s="20" t="n">
        <v>2.28171547</v>
      </c>
      <c r="G28" s="18" t="n">
        <v>32.37179973</v>
      </c>
      <c r="H28" s="20" t="n">
        <v>2.00275036</v>
      </c>
      <c r="I28" s="18" t="n">
        <v>23.03043677</v>
      </c>
      <c r="J28" s="20" t="n">
        <v>1.7488809</v>
      </c>
      <c r="K28" s="18" t="s">
        <v>567</v>
      </c>
      <c r="L28" s="20" t="s">
        <v>567</v>
      </c>
      <c r="M28" s="18" t="n">
        <v>0</v>
      </c>
      <c r="N28" s="20" t="n">
        <v>0</v>
      </c>
      <c r="O28" s="18" t="n">
        <v>0</v>
      </c>
      <c r="P28" s="20" t="n">
        <v>0</v>
      </c>
      <c r="Q28" s="18" t="n">
        <v>0</v>
      </c>
      <c r="R28" s="20" t="n">
        <v>0</v>
      </c>
      <c r="S28" s="18" t="n">
        <v>2.2609288</v>
      </c>
      <c r="T28" s="20" t="n">
        <v>0.65321939</v>
      </c>
    </row>
    <row r="29" spans="1:20">
      <c r="A29" s="15" t="s">
        <v>589</v>
      </c>
      <c r="B29" s="17" t="n">
        <v>2685</v>
      </c>
      <c r="C29" s="18">
        <f>(2151.0/B29*100)</f>
        <v/>
      </c>
      <c r="D29" s="19" t="n">
        <v>534</v>
      </c>
      <c r="E29" s="18" t="n">
        <v>35.04049881</v>
      </c>
      <c r="F29" s="20" t="n">
        <v>2.0452049</v>
      </c>
      <c r="G29" s="18" t="n">
        <v>38.66550398</v>
      </c>
      <c r="H29" s="20" t="n">
        <v>2.26404223</v>
      </c>
      <c r="I29" s="18" t="n">
        <v>24.83780935</v>
      </c>
      <c r="J29" s="20" t="n">
        <v>1.90049079</v>
      </c>
      <c r="K29" s="18" t="s">
        <v>567</v>
      </c>
      <c r="L29" s="20" t="s">
        <v>567</v>
      </c>
      <c r="M29" s="18" t="n">
        <v>0.13856694</v>
      </c>
      <c r="N29" s="20" t="n">
        <v>0.19002285</v>
      </c>
      <c r="O29" s="18" t="n">
        <v>0</v>
      </c>
      <c r="P29" s="20" t="n">
        <v>0</v>
      </c>
      <c r="Q29" s="18" t="n">
        <v>0</v>
      </c>
      <c r="R29" s="20" t="n">
        <v>0</v>
      </c>
      <c r="S29" s="18" t="n">
        <v>1.31762092</v>
      </c>
      <c r="T29" s="20" t="n">
        <v>0.49140439</v>
      </c>
    </row>
    <row r="30" spans="1:20">
      <c r="A30" s="15" t="s">
        <v>590</v>
      </c>
      <c r="B30" s="17" t="n">
        <v>2263</v>
      </c>
      <c r="C30" s="18">
        <f>(1744.0/B30*100)</f>
        <v/>
      </c>
      <c r="D30" s="19" t="n">
        <v>519</v>
      </c>
      <c r="E30" s="18" t="n">
        <v>26.27272843</v>
      </c>
      <c r="F30" s="20" t="n">
        <v>1.63650626</v>
      </c>
      <c r="G30" s="18" t="n">
        <v>55.09667568</v>
      </c>
      <c r="H30" s="20" t="n">
        <v>2.53702663</v>
      </c>
      <c r="I30" s="18" t="n">
        <v>16.34232163</v>
      </c>
      <c r="J30" s="20" t="n">
        <v>1.78615058</v>
      </c>
      <c r="K30" s="18" t="s">
        <v>567</v>
      </c>
      <c r="L30" s="20" t="s">
        <v>567</v>
      </c>
      <c r="M30" s="18" t="n">
        <v>0.1735835</v>
      </c>
      <c r="N30" s="20" t="n">
        <v>0.17724416</v>
      </c>
      <c r="O30" s="18" t="n">
        <v>0</v>
      </c>
      <c r="P30" s="20" t="n">
        <v>0</v>
      </c>
      <c r="Q30" s="18" t="n">
        <v>0</v>
      </c>
      <c r="R30" s="20" t="n">
        <v>0</v>
      </c>
      <c r="S30" s="18" t="n">
        <v>2.11469075</v>
      </c>
      <c r="T30" s="20" t="n">
        <v>0.6954960100000001</v>
      </c>
    </row>
    <row r="31" spans="1:20">
      <c r="A31" s="15" t="s">
        <v>591</v>
      </c>
      <c r="B31" s="17" t="n">
        <v>2750</v>
      </c>
      <c r="C31" s="18">
        <f>(2119.0/B31*100)</f>
        <v/>
      </c>
      <c r="D31" s="19" t="n">
        <v>631</v>
      </c>
      <c r="E31" s="18" t="n">
        <v>27.06258096</v>
      </c>
      <c r="F31" s="20" t="n">
        <v>1.74321407</v>
      </c>
      <c r="G31" s="18" t="n">
        <v>51.11304215</v>
      </c>
      <c r="H31" s="20" t="n">
        <v>2.274066</v>
      </c>
      <c r="I31" s="18" t="n">
        <v>19.78013949</v>
      </c>
      <c r="J31" s="20" t="n">
        <v>1.62629096</v>
      </c>
      <c r="K31" s="18" t="s">
        <v>567</v>
      </c>
      <c r="L31" s="20" t="s">
        <v>567</v>
      </c>
      <c r="M31" s="18" t="n">
        <v>0.45493801</v>
      </c>
      <c r="N31" s="20" t="n">
        <v>0.25561227</v>
      </c>
      <c r="O31" s="18" t="n">
        <v>0</v>
      </c>
      <c r="P31" s="20" t="n">
        <v>0</v>
      </c>
      <c r="Q31" s="18" t="n">
        <v>0</v>
      </c>
      <c r="R31" s="20" t="n">
        <v>0</v>
      </c>
      <c r="S31" s="18" t="n">
        <v>1.58929938</v>
      </c>
      <c r="T31" s="20" t="n">
        <v>0.61533502</v>
      </c>
    </row>
    <row r="32" spans="1:20">
      <c r="A32" s="15" t="s">
        <v>592</v>
      </c>
      <c r="B32" s="17" t="n">
        <v>2269</v>
      </c>
      <c r="C32" s="18">
        <f>(1747.0/B32*100)</f>
        <v/>
      </c>
      <c r="D32" s="19" t="n">
        <v>522</v>
      </c>
      <c r="E32" s="18" t="n">
        <v>20.26444737</v>
      </c>
      <c r="F32" s="20" t="n">
        <v>1.63765389</v>
      </c>
      <c r="G32" s="18" t="n">
        <v>32.20440237</v>
      </c>
      <c r="H32" s="20" t="n">
        <v>2.01007091</v>
      </c>
      <c r="I32" s="18" t="n">
        <v>47.17993246</v>
      </c>
      <c r="J32" s="20" t="n">
        <v>2.64325667</v>
      </c>
      <c r="K32" s="18" t="s">
        <v>567</v>
      </c>
      <c r="L32" s="20" t="s">
        <v>567</v>
      </c>
      <c r="M32" s="18" t="n">
        <v>0</v>
      </c>
      <c r="N32" s="20" t="n">
        <v>0</v>
      </c>
      <c r="O32" s="18" t="n">
        <v>0</v>
      </c>
      <c r="P32" s="20" t="n">
        <v>0</v>
      </c>
      <c r="Q32" s="18" t="n">
        <v>0</v>
      </c>
      <c r="R32" s="20" t="n">
        <v>0</v>
      </c>
      <c r="S32" s="18" t="n">
        <v>0.35121781</v>
      </c>
      <c r="T32" s="20" t="n">
        <v>0.25010216</v>
      </c>
    </row>
    <row r="33" spans="1:20">
      <c r="A33" s="15" t="s">
        <v>593</v>
      </c>
      <c r="B33" s="17" t="n">
        <v>3674</v>
      </c>
      <c r="C33" s="18">
        <f>(2869.0/B33*100)</f>
        <v/>
      </c>
      <c r="D33" s="19" t="n">
        <v>805</v>
      </c>
      <c r="E33" s="18" t="n">
        <v>25.60735603</v>
      </c>
      <c r="F33" s="20" t="n">
        <v>1.87842804</v>
      </c>
      <c r="G33" s="18" t="n">
        <v>30.79021176</v>
      </c>
      <c r="H33" s="20" t="n">
        <v>2.05713523</v>
      </c>
      <c r="I33" s="18" t="n">
        <v>43.01391048</v>
      </c>
      <c r="J33" s="20" t="n">
        <v>2.51250673</v>
      </c>
      <c r="K33" s="18" t="s">
        <v>567</v>
      </c>
      <c r="L33" s="20" t="s">
        <v>567</v>
      </c>
      <c r="M33" s="18" t="n">
        <v>0.01801776</v>
      </c>
      <c r="N33" s="20" t="n">
        <v>0.01278989</v>
      </c>
      <c r="O33" s="18" t="n">
        <v>0</v>
      </c>
      <c r="P33" s="20" t="n">
        <v>0</v>
      </c>
      <c r="Q33" s="18" t="n">
        <v>0</v>
      </c>
      <c r="R33" s="20" t="n">
        <v>0</v>
      </c>
      <c r="S33" s="18" t="n">
        <v>0.57050398</v>
      </c>
      <c r="T33" s="20" t="n">
        <v>0.28497041</v>
      </c>
    </row>
    <row r="34" spans="1:20">
      <c r="A34" s="15" t="s">
        <v>594</v>
      </c>
      <c r="B34" s="17" t="n">
        <v>3315</v>
      </c>
      <c r="C34" s="18">
        <f>(2599.0/B34*100)</f>
        <v/>
      </c>
      <c r="D34" s="19" t="n">
        <v>716</v>
      </c>
      <c r="E34" s="18" t="n">
        <v>38.04293962</v>
      </c>
      <c r="F34" s="20" t="n">
        <v>1.6821841</v>
      </c>
      <c r="G34" s="18" t="n">
        <v>40.53250566</v>
      </c>
      <c r="H34" s="20" t="n">
        <v>2.07683385</v>
      </c>
      <c r="I34" s="18" t="n">
        <v>19.63873949</v>
      </c>
      <c r="J34" s="20" t="n">
        <v>1.59377612</v>
      </c>
      <c r="K34" s="18" t="s">
        <v>567</v>
      </c>
      <c r="L34" s="20" t="s">
        <v>567</v>
      </c>
      <c r="M34" s="18" t="n">
        <v>0</v>
      </c>
      <c r="N34" s="20" t="n">
        <v>0</v>
      </c>
      <c r="O34" s="18" t="n">
        <v>0</v>
      </c>
      <c r="P34" s="20" t="n">
        <v>0</v>
      </c>
      <c r="Q34" s="18" t="n">
        <v>0</v>
      </c>
      <c r="R34" s="20" t="n">
        <v>0</v>
      </c>
      <c r="S34" s="18" t="n">
        <v>1.78581524</v>
      </c>
      <c r="T34" s="20" t="n">
        <v>0.59356957</v>
      </c>
    </row>
    <row r="35" spans="1:20">
      <c r="A35" s="15" t="s">
        <v>595</v>
      </c>
      <c r="B35" s="17" t="n">
        <v>3505</v>
      </c>
      <c r="C35" s="18">
        <f>(2724.0/B35*100)</f>
        <v/>
      </c>
      <c r="D35" s="19" t="n">
        <v>781</v>
      </c>
      <c r="E35" s="18" t="n">
        <v>16.96580806</v>
      </c>
      <c r="F35" s="20" t="n">
        <v>1.57568547</v>
      </c>
      <c r="G35" s="18" t="n">
        <v>37.1421666</v>
      </c>
      <c r="H35" s="20" t="n">
        <v>2.15981439</v>
      </c>
      <c r="I35" s="18" t="n">
        <v>44.93828375</v>
      </c>
      <c r="J35" s="20" t="n">
        <v>2.13109549</v>
      </c>
      <c r="K35" s="18" t="s">
        <v>567</v>
      </c>
      <c r="L35" s="20" t="s">
        <v>567</v>
      </c>
      <c r="M35" s="18" t="n">
        <v>0.11327509</v>
      </c>
      <c r="N35" s="20" t="n">
        <v>0.08001525</v>
      </c>
      <c r="O35" s="18" t="n">
        <v>0</v>
      </c>
      <c r="P35" s="20" t="n">
        <v>0</v>
      </c>
      <c r="Q35" s="18" t="n">
        <v>0</v>
      </c>
      <c r="R35" s="20" t="n">
        <v>0</v>
      </c>
      <c r="S35" s="18" t="n">
        <v>0.8404665</v>
      </c>
      <c r="T35" s="20" t="n">
        <v>0.28901186</v>
      </c>
    </row>
    <row r="36" spans="1:20">
      <c r="A36" s="15" t="s">
        <v>596</v>
      </c>
      <c r="B36" s="17" t="n">
        <v>3332</v>
      </c>
      <c r="C36" s="18">
        <f>(2633.0/B36*100)</f>
        <v/>
      </c>
      <c r="D36" s="19" t="n">
        <v>699</v>
      </c>
      <c r="E36" s="18" t="n">
        <v>25.5395828</v>
      </c>
      <c r="F36" s="20" t="n">
        <v>1.97521527</v>
      </c>
      <c r="G36" s="18" t="n">
        <v>32.95653824</v>
      </c>
      <c r="H36" s="20" t="n">
        <v>2.07882329</v>
      </c>
      <c r="I36" s="18" t="n">
        <v>38.7856728</v>
      </c>
      <c r="J36" s="20" t="n">
        <v>1.93727248</v>
      </c>
      <c r="K36" s="18" t="s">
        <v>567</v>
      </c>
      <c r="L36" s="20" t="s">
        <v>567</v>
      </c>
      <c r="M36" s="18" t="n">
        <v>0.24420068</v>
      </c>
      <c r="N36" s="20" t="n">
        <v>0.23992618</v>
      </c>
      <c r="O36" s="18" t="n">
        <v>0</v>
      </c>
      <c r="P36" s="20" t="n">
        <v>0</v>
      </c>
      <c r="Q36" s="18" t="n">
        <v>0</v>
      </c>
      <c r="R36" s="20" t="n">
        <v>0</v>
      </c>
      <c r="S36" s="18" t="n">
        <v>2.47400548</v>
      </c>
      <c r="T36" s="20" t="n">
        <v>0.6043024</v>
      </c>
    </row>
    <row r="37" spans="1:20">
      <c r="A37" s="15" t="s">
        <v>597</v>
      </c>
      <c r="B37" s="17" t="n">
        <v>2727</v>
      </c>
      <c r="C37" s="18">
        <f>(2148.0/B37*100)</f>
        <v/>
      </c>
      <c r="D37" s="19" t="n">
        <v>579</v>
      </c>
      <c r="E37" s="18" t="n">
        <v>25.34904702</v>
      </c>
      <c r="F37" s="20" t="n">
        <v>1.81119055</v>
      </c>
      <c r="G37" s="18" t="n">
        <v>54.59492208</v>
      </c>
      <c r="H37" s="20" t="n">
        <v>2.06846567</v>
      </c>
      <c r="I37" s="18" t="n">
        <v>18.70654589</v>
      </c>
      <c r="J37" s="20" t="n">
        <v>1.76814428</v>
      </c>
      <c r="K37" s="18" t="s">
        <v>567</v>
      </c>
      <c r="L37" s="20" t="s">
        <v>567</v>
      </c>
      <c r="M37" s="18" t="n">
        <v>0.14825606</v>
      </c>
      <c r="N37" s="20" t="n">
        <v>0.2098875</v>
      </c>
      <c r="O37" s="18" t="n">
        <v>0</v>
      </c>
      <c r="P37" s="20" t="n">
        <v>0</v>
      </c>
      <c r="Q37" s="18" t="n">
        <v>0</v>
      </c>
      <c r="R37" s="20" t="n">
        <v>0</v>
      </c>
      <c r="S37" s="18" t="n">
        <v>1.20122894</v>
      </c>
      <c r="T37" s="20" t="n">
        <v>0.45848244</v>
      </c>
    </row>
    <row r="38" spans="1:20">
      <c r="A38" s="15" t="s">
        <v>598</v>
      </c>
      <c r="B38" s="17" t="n">
        <v>3053</v>
      </c>
      <c r="C38" s="18">
        <f>(2402.0/B38*100)</f>
        <v/>
      </c>
      <c r="D38" s="19" t="n">
        <v>651</v>
      </c>
      <c r="E38" s="18" t="n">
        <v>26.77319996</v>
      </c>
      <c r="F38" s="20" t="n">
        <v>2.0056187</v>
      </c>
      <c r="G38" s="18" t="n">
        <v>35.68928794</v>
      </c>
      <c r="H38" s="20" t="n">
        <v>2.13721348</v>
      </c>
      <c r="I38" s="18" t="n">
        <v>36.91920848</v>
      </c>
      <c r="J38" s="20" t="n">
        <v>2.35039846</v>
      </c>
      <c r="K38" s="18" t="s">
        <v>567</v>
      </c>
      <c r="L38" s="20" t="s">
        <v>567</v>
      </c>
      <c r="M38" s="18" t="n">
        <v>0</v>
      </c>
      <c r="N38" s="20" t="n">
        <v>0</v>
      </c>
      <c r="O38" s="18" t="n">
        <v>0</v>
      </c>
      <c r="P38" s="20" t="n">
        <v>0</v>
      </c>
      <c r="Q38" s="18" t="n">
        <v>0</v>
      </c>
      <c r="R38" s="20" t="n">
        <v>0</v>
      </c>
      <c r="S38" s="18" t="n">
        <v>0.61830361</v>
      </c>
      <c r="T38" s="20" t="n">
        <v>0.35936768</v>
      </c>
    </row>
    <row r="39" spans="1:20">
      <c r="A39" s="15" t="s">
        <v>599</v>
      </c>
      <c r="B39" s="17" t="n">
        <v>2957</v>
      </c>
      <c r="C39" s="18">
        <f>(2320.0/B39*100)</f>
        <v/>
      </c>
      <c r="D39" s="19" t="n">
        <v>637</v>
      </c>
      <c r="E39" s="18" t="n">
        <v>34.37850034</v>
      </c>
      <c r="F39" s="20" t="n">
        <v>2.1308295</v>
      </c>
      <c r="G39" s="18" t="n">
        <v>33.63805209</v>
      </c>
      <c r="H39" s="20" t="n">
        <v>1.81159744</v>
      </c>
      <c r="I39" s="18" t="n">
        <v>30.5065507</v>
      </c>
      <c r="J39" s="20" t="n">
        <v>2.33847123</v>
      </c>
      <c r="K39" s="18" t="s">
        <v>567</v>
      </c>
      <c r="L39" s="20" t="s">
        <v>567</v>
      </c>
      <c r="M39" s="18" t="n">
        <v>0.63401906</v>
      </c>
      <c r="N39" s="20" t="n">
        <v>0.26643816</v>
      </c>
      <c r="O39" s="18" t="n">
        <v>0</v>
      </c>
      <c r="P39" s="20" t="n">
        <v>0</v>
      </c>
      <c r="Q39" s="18" t="n">
        <v>0</v>
      </c>
      <c r="R39" s="20" t="n">
        <v>0</v>
      </c>
      <c r="S39" s="18" t="n">
        <v>0.8428778099999999</v>
      </c>
      <c r="T39" s="20" t="n">
        <v>0.31289506</v>
      </c>
    </row>
    <row r="40" spans="1:20">
      <c r="A40" s="15" t="s">
        <v>600</v>
      </c>
      <c r="B40" s="17" t="n">
        <v>7235</v>
      </c>
      <c r="C40" s="18">
        <f>(5649.0/B40*100)</f>
        <v/>
      </c>
      <c r="D40" s="19" t="n">
        <v>1586</v>
      </c>
      <c r="E40" s="18" t="n">
        <v>22.09537386</v>
      </c>
      <c r="F40" s="20" t="n">
        <v>1.61821462</v>
      </c>
      <c r="G40" s="18" t="n">
        <v>45.91519043</v>
      </c>
      <c r="H40" s="20" t="n">
        <v>2.06004013</v>
      </c>
      <c r="I40" s="18" t="n">
        <v>30.84770318</v>
      </c>
      <c r="J40" s="20" t="n">
        <v>1.98413816</v>
      </c>
      <c r="K40" s="18" t="s">
        <v>567</v>
      </c>
      <c r="L40" s="20" t="s">
        <v>567</v>
      </c>
      <c r="M40" s="18" t="n">
        <v>0.01105255</v>
      </c>
      <c r="N40" s="20" t="n">
        <v>0.01104911</v>
      </c>
      <c r="O40" s="18" t="n">
        <v>0</v>
      </c>
      <c r="P40" s="20" t="n">
        <v>0</v>
      </c>
      <c r="Q40" s="18" t="n">
        <v>0</v>
      </c>
      <c r="R40" s="20" t="n">
        <v>0</v>
      </c>
      <c r="S40" s="18" t="n">
        <v>1.13067998</v>
      </c>
      <c r="T40" s="20" t="n">
        <v>0.438497</v>
      </c>
    </row>
    <row r="41" spans="1:20">
      <c r="A41" s="15" t="s">
        <v>601</v>
      </c>
      <c r="B41" s="17" t="n">
        <v>2858</v>
      </c>
      <c r="C41" s="18">
        <f>(2264.0/B41*100)</f>
        <v/>
      </c>
      <c r="D41" s="19" t="n">
        <v>594</v>
      </c>
      <c r="E41" s="18" t="n">
        <v>18.61003763</v>
      </c>
      <c r="F41" s="20" t="n">
        <v>1.74978412</v>
      </c>
      <c r="G41" s="18" t="n">
        <v>52.66961119</v>
      </c>
      <c r="H41" s="20" t="n">
        <v>2.25904504</v>
      </c>
      <c r="I41" s="18" t="n">
        <v>27.88882078</v>
      </c>
      <c r="J41" s="20" t="n">
        <v>1.96186376</v>
      </c>
      <c r="K41" s="18" t="s">
        <v>567</v>
      </c>
      <c r="L41" s="20" t="s">
        <v>567</v>
      </c>
      <c r="M41" s="18" t="n">
        <v>0</v>
      </c>
      <c r="N41" s="20" t="n">
        <v>0</v>
      </c>
      <c r="O41" s="18" t="n">
        <v>0</v>
      </c>
      <c r="P41" s="20" t="n">
        <v>0</v>
      </c>
      <c r="Q41" s="18" t="n">
        <v>0</v>
      </c>
      <c r="R41" s="20" t="n">
        <v>0</v>
      </c>
      <c r="S41" s="18" t="n">
        <v>0.8315304</v>
      </c>
      <c r="T41" s="20" t="n">
        <v>0.34571132</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11068</v>
      </c>
      <c r="C46" s="18">
        <f>(8823.0/B46*100)</f>
        <v/>
      </c>
      <c r="D46" s="19" t="n">
        <v>2245</v>
      </c>
      <c r="E46" s="18" t="n">
        <v>36.84994914</v>
      </c>
      <c r="F46" s="20" t="n">
        <v>1.44250122</v>
      </c>
      <c r="G46" s="18" t="n">
        <v>31.97435304</v>
      </c>
      <c r="H46" s="20" t="n">
        <v>1.30293009</v>
      </c>
      <c r="I46" s="18" t="n">
        <v>24.13141732</v>
      </c>
      <c r="J46" s="20" t="n">
        <v>1.25655001</v>
      </c>
      <c r="K46" s="18" t="s">
        <v>567</v>
      </c>
      <c r="L46" s="20" t="s">
        <v>567</v>
      </c>
      <c r="M46" s="18" t="n">
        <v>0.65237086</v>
      </c>
      <c r="N46" s="20" t="n">
        <v>0.2128633</v>
      </c>
      <c r="O46" s="18" t="n">
        <v>0</v>
      </c>
      <c r="P46" s="20" t="n">
        <v>0</v>
      </c>
      <c r="Q46" s="18" t="n">
        <v>0</v>
      </c>
      <c r="R46" s="20" t="n">
        <v>0</v>
      </c>
      <c r="S46" s="18" t="n">
        <v>6.39190964</v>
      </c>
      <c r="T46" s="20" t="n">
        <v>0.69599073</v>
      </c>
    </row>
    <row r="47" spans="1:20">
      <c r="A47" s="15" t="s">
        <v>607</v>
      </c>
      <c r="B47" s="17" t="n">
        <v>3105</v>
      </c>
      <c r="C47" s="18">
        <f>(2466.0/B47*100)</f>
        <v/>
      </c>
      <c r="D47" s="19" t="n">
        <v>639</v>
      </c>
      <c r="E47" s="18" t="n">
        <v>34.17577549</v>
      </c>
      <c r="F47" s="20" t="n">
        <v>2.14953825</v>
      </c>
      <c r="G47" s="18" t="n">
        <v>25.91415617</v>
      </c>
      <c r="H47" s="20" t="n">
        <v>1.62407535</v>
      </c>
      <c r="I47" s="18" t="n">
        <v>35.58807077</v>
      </c>
      <c r="J47" s="20" t="n">
        <v>2.16192744</v>
      </c>
      <c r="K47" s="18" t="s">
        <v>567</v>
      </c>
      <c r="L47" s="20" t="s">
        <v>567</v>
      </c>
      <c r="M47" s="18" t="n">
        <v>0.16288053</v>
      </c>
      <c r="N47" s="20" t="n">
        <v>0.18566286</v>
      </c>
      <c r="O47" s="18" t="n">
        <v>0</v>
      </c>
      <c r="P47" s="20" t="n">
        <v>0</v>
      </c>
      <c r="Q47" s="18" t="n">
        <v>0</v>
      </c>
      <c r="R47" s="20" t="n">
        <v>0</v>
      </c>
      <c r="S47" s="18" t="n">
        <v>4.15911704</v>
      </c>
      <c r="T47" s="20" t="n">
        <v>0.86542259</v>
      </c>
    </row>
    <row r="48" spans="1:20">
      <c r="A48" s="15" t="s">
        <v>608</v>
      </c>
      <c r="B48" s="17" t="n">
        <v>5159</v>
      </c>
      <c r="C48" s="18">
        <f>(4022.0/B48*100)</f>
        <v/>
      </c>
      <c r="D48" s="19" t="n">
        <v>1137</v>
      </c>
      <c r="E48" s="18" t="n">
        <v>17.46061031</v>
      </c>
      <c r="F48" s="20" t="n">
        <v>1.66073829</v>
      </c>
      <c r="G48" s="18" t="n">
        <v>34.50056044</v>
      </c>
      <c r="H48" s="20" t="n">
        <v>2.06874909</v>
      </c>
      <c r="I48" s="18" t="n">
        <v>46.9783066</v>
      </c>
      <c r="J48" s="20" t="n">
        <v>1.804483</v>
      </c>
      <c r="K48" s="18" t="s">
        <v>567</v>
      </c>
      <c r="L48" s="20" t="s">
        <v>567</v>
      </c>
      <c r="M48" s="18" t="n">
        <v>0.42081179</v>
      </c>
      <c r="N48" s="20" t="n">
        <v>0.24167307</v>
      </c>
      <c r="O48" s="18" t="n">
        <v>0</v>
      </c>
      <c r="P48" s="20" t="n">
        <v>0</v>
      </c>
      <c r="Q48" s="18" t="n">
        <v>0</v>
      </c>
      <c r="R48" s="20" t="n">
        <v>0</v>
      </c>
      <c r="S48" s="18" t="n">
        <v>0.63971086</v>
      </c>
      <c r="T48" s="20" t="n">
        <v>0.28708777</v>
      </c>
    </row>
    <row r="49" spans="1:20">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5637</v>
      </c>
      <c r="C50" s="18">
        <f>(4429.0/B50*100)</f>
        <v/>
      </c>
      <c r="D50" s="19" t="n">
        <v>1208</v>
      </c>
      <c r="E50" s="18" t="n">
        <v>41.914354</v>
      </c>
      <c r="F50" s="20" t="n">
        <v>2.09342889</v>
      </c>
      <c r="G50" s="18" t="n">
        <v>33.02526213</v>
      </c>
      <c r="H50" s="20" t="n">
        <v>1.65911817</v>
      </c>
      <c r="I50" s="18" t="n">
        <v>19.73470033</v>
      </c>
      <c r="J50" s="20" t="n">
        <v>1.43027892</v>
      </c>
      <c r="K50" s="18" t="s">
        <v>567</v>
      </c>
      <c r="L50" s="20" t="s">
        <v>567</v>
      </c>
      <c r="M50" s="18" t="n">
        <v>0.70529418</v>
      </c>
      <c r="N50" s="20" t="n">
        <v>0.38763026</v>
      </c>
      <c r="O50" s="18" t="n">
        <v>0</v>
      </c>
      <c r="P50" s="20" t="n">
        <v>0</v>
      </c>
      <c r="Q50" s="18" t="n">
        <v>0</v>
      </c>
      <c r="R50" s="20" t="n">
        <v>0</v>
      </c>
      <c r="S50" s="18" t="n">
        <v>4.62038937</v>
      </c>
      <c r="T50" s="20" t="n">
        <v>0.89636102</v>
      </c>
    </row>
    <row r="51" spans="1:20">
      <c r="A51" s="15" t="s">
        <v>611</v>
      </c>
      <c r="B51" s="17" t="n">
        <v>3372</v>
      </c>
      <c r="C51" s="18">
        <f>(2738.0/B51*100)</f>
        <v/>
      </c>
      <c r="D51" s="19" t="n">
        <v>634</v>
      </c>
      <c r="E51" s="18" t="n">
        <v>45.1760869</v>
      </c>
      <c r="F51" s="20" t="n">
        <v>2.14640592</v>
      </c>
      <c r="G51" s="18" t="n">
        <v>37.8958435</v>
      </c>
      <c r="H51" s="20" t="n">
        <v>2.16051842</v>
      </c>
      <c r="I51" s="18" t="n">
        <v>14.26141953</v>
      </c>
      <c r="J51" s="20" t="n">
        <v>1.77925909</v>
      </c>
      <c r="K51" s="18" t="s">
        <v>567</v>
      </c>
      <c r="L51" s="20" t="s">
        <v>567</v>
      </c>
      <c r="M51" s="18" t="n">
        <v>0.33817706</v>
      </c>
      <c r="N51" s="20" t="n">
        <v>0.2210389</v>
      </c>
      <c r="O51" s="18" t="n">
        <v>0</v>
      </c>
      <c r="P51" s="20" t="n">
        <v>0</v>
      </c>
      <c r="Q51" s="18" t="n">
        <v>0</v>
      </c>
      <c r="R51" s="20" t="n">
        <v>0</v>
      </c>
      <c r="S51" s="18" t="n">
        <v>2.32847302</v>
      </c>
      <c r="T51" s="20" t="n">
        <v>0.70671742</v>
      </c>
    </row>
    <row r="52" spans="1:20">
      <c r="A52" s="15" t="s">
        <v>612</v>
      </c>
      <c r="B52" s="17" t="n">
        <v>2796</v>
      </c>
      <c r="C52" s="18">
        <f>(2142.0/B52*100)</f>
        <v/>
      </c>
      <c r="D52" s="19" t="n">
        <v>654</v>
      </c>
      <c r="E52" s="18" t="n">
        <v>21.96857489</v>
      </c>
      <c r="F52" s="20" t="n">
        <v>1.7429131</v>
      </c>
      <c r="G52" s="18" t="n">
        <v>45.48032006</v>
      </c>
      <c r="H52" s="20" t="n">
        <v>2.00939329</v>
      </c>
      <c r="I52" s="18" t="n">
        <v>30.84863015</v>
      </c>
      <c r="J52" s="20" t="n">
        <v>1.9142951</v>
      </c>
      <c r="K52" s="18" t="s">
        <v>567</v>
      </c>
      <c r="L52" s="20" t="s">
        <v>567</v>
      </c>
      <c r="M52" s="18" t="n">
        <v>0</v>
      </c>
      <c r="N52" s="20" t="n">
        <v>0</v>
      </c>
      <c r="O52" s="18" t="n">
        <v>0</v>
      </c>
      <c r="P52" s="20" t="n">
        <v>0</v>
      </c>
      <c r="Q52" s="18" t="n">
        <v>0</v>
      </c>
      <c r="R52" s="20" t="n">
        <v>0</v>
      </c>
      <c r="S52" s="18" t="n">
        <v>1.70247489</v>
      </c>
      <c r="T52" s="20" t="n">
        <v>0.47155385</v>
      </c>
    </row>
    <row r="53" spans="1:20">
      <c r="A53" s="15" t="s">
        <v>613</v>
      </c>
      <c r="B53" s="17" t="n">
        <v>2811</v>
      </c>
      <c r="C53" s="18">
        <f>(2209.0/B53*100)</f>
        <v/>
      </c>
      <c r="D53" s="19" t="n">
        <v>602</v>
      </c>
      <c r="E53" s="18" t="n">
        <v>41.08805669</v>
      </c>
      <c r="F53" s="20" t="n">
        <v>1.98362632</v>
      </c>
      <c r="G53" s="18" t="n">
        <v>31.46266427</v>
      </c>
      <c r="H53" s="20" t="n">
        <v>1.90007382</v>
      </c>
      <c r="I53" s="18" t="n">
        <v>24.63953175</v>
      </c>
      <c r="J53" s="20" t="n">
        <v>1.8225903</v>
      </c>
      <c r="K53" s="18" t="s">
        <v>567</v>
      </c>
      <c r="L53" s="20" t="s">
        <v>567</v>
      </c>
      <c r="M53" s="18" t="n">
        <v>0.11773077</v>
      </c>
      <c r="N53" s="20" t="n">
        <v>0.11791293</v>
      </c>
      <c r="O53" s="18" t="n">
        <v>0</v>
      </c>
      <c r="P53" s="20" t="n">
        <v>0</v>
      </c>
      <c r="Q53" s="18" t="n">
        <v>0</v>
      </c>
      <c r="R53" s="20" t="n">
        <v>0</v>
      </c>
      <c r="S53" s="18" t="n">
        <v>2.69201653</v>
      </c>
      <c r="T53" s="20" t="n">
        <v>0.71787881</v>
      </c>
    </row>
    <row r="54" spans="1:20">
      <c r="A54" s="15" t="s">
        <v>614</v>
      </c>
      <c r="B54" s="17" t="n">
        <v>2266</v>
      </c>
      <c r="C54" s="18">
        <f>(1740.0/B54*100)</f>
        <v/>
      </c>
      <c r="D54" s="19" t="n">
        <v>526</v>
      </c>
      <c r="E54" s="18" t="n">
        <v>41.51191858</v>
      </c>
      <c r="F54" s="20" t="n">
        <v>2.36251709</v>
      </c>
      <c r="G54" s="18" t="n">
        <v>28.86050174</v>
      </c>
      <c r="H54" s="20" t="n">
        <v>2.50633246</v>
      </c>
      <c r="I54" s="18" t="n">
        <v>11.98773779</v>
      </c>
      <c r="J54" s="20" t="n">
        <v>1.59326318</v>
      </c>
      <c r="K54" s="18" t="s">
        <v>567</v>
      </c>
      <c r="L54" s="20" t="s">
        <v>567</v>
      </c>
      <c r="M54" s="18" t="n">
        <v>4.95742186</v>
      </c>
      <c r="N54" s="20" t="n">
        <v>1.0816254</v>
      </c>
      <c r="O54" s="18" t="n">
        <v>0</v>
      </c>
      <c r="P54" s="20" t="n">
        <v>0</v>
      </c>
      <c r="Q54" s="18" t="n">
        <v>0</v>
      </c>
      <c r="R54" s="20" t="n">
        <v>0</v>
      </c>
      <c r="S54" s="18" t="n">
        <v>12.68242002</v>
      </c>
      <c r="T54" s="20" t="n">
        <v>1.70118419</v>
      </c>
    </row>
    <row r="55" spans="1:20">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2684</v>
      </c>
      <c r="C56" s="18">
        <f>(2066.0/B56*100)</f>
        <v/>
      </c>
      <c r="D56" s="19" t="n">
        <v>618</v>
      </c>
      <c r="E56" s="18" t="n">
        <v>14.18989053</v>
      </c>
      <c r="F56" s="20" t="n">
        <v>1.67124591</v>
      </c>
      <c r="G56" s="18" t="n">
        <v>19.01742506</v>
      </c>
      <c r="H56" s="20" t="n">
        <v>1.59230836</v>
      </c>
      <c r="I56" s="18" t="n">
        <v>66.3046835</v>
      </c>
      <c r="J56" s="20" t="n">
        <v>2.36596182</v>
      </c>
      <c r="K56" s="18" t="s">
        <v>567</v>
      </c>
      <c r="L56" s="20" t="s">
        <v>567</v>
      </c>
      <c r="M56" s="18" t="n">
        <v>0</v>
      </c>
      <c r="N56" s="20" t="n">
        <v>0</v>
      </c>
      <c r="O56" s="18" t="n">
        <v>0</v>
      </c>
      <c r="P56" s="20" t="n">
        <v>0</v>
      </c>
      <c r="Q56" s="18" t="n">
        <v>0</v>
      </c>
      <c r="R56" s="20" t="n">
        <v>0</v>
      </c>
      <c r="S56" s="18" t="n">
        <v>0.48800091</v>
      </c>
      <c r="T56" s="20" t="n">
        <v>0.24007444</v>
      </c>
    </row>
    <row r="57" spans="1:20">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3324</v>
      </c>
      <c r="C61" s="18">
        <f>(2593.0/B61*100)</f>
        <v/>
      </c>
      <c r="D61" s="19" t="n">
        <v>731</v>
      </c>
      <c r="E61" s="18" t="n">
        <v>22.48082352</v>
      </c>
      <c r="F61" s="20" t="n">
        <v>1.65217364</v>
      </c>
      <c r="G61" s="18" t="n">
        <v>28.13929241</v>
      </c>
      <c r="H61" s="20" t="n">
        <v>1.65528627</v>
      </c>
      <c r="I61" s="18" t="n">
        <v>48.25175087</v>
      </c>
      <c r="J61" s="20" t="n">
        <v>1.89860195</v>
      </c>
      <c r="K61" s="18" t="s">
        <v>567</v>
      </c>
      <c r="L61" s="20" t="s">
        <v>567</v>
      </c>
      <c r="M61" s="18" t="n">
        <v>0</v>
      </c>
      <c r="N61" s="20" t="n">
        <v>0</v>
      </c>
      <c r="O61" s="18" t="n">
        <v>0</v>
      </c>
      <c r="P61" s="20" t="n">
        <v>0</v>
      </c>
      <c r="Q61" s="18" t="n">
        <v>0</v>
      </c>
      <c r="R61" s="20" t="n">
        <v>0</v>
      </c>
      <c r="S61" s="18" t="n">
        <v>1.1281332</v>
      </c>
      <c r="T61" s="20" t="n">
        <v>0.47063674</v>
      </c>
    </row>
    <row r="62" spans="1:20">
      <c r="A62" s="15" t="s">
        <v>622</v>
      </c>
      <c r="B62" s="17" t="n">
        <v>2246</v>
      </c>
      <c r="C62" s="18">
        <f>(1790.0/B62*100)</f>
        <v/>
      </c>
      <c r="D62" s="19" t="n">
        <v>456</v>
      </c>
      <c r="E62" s="18" t="n">
        <v>16.48397113</v>
      </c>
      <c r="F62" s="20" t="n">
        <v>1.66870521</v>
      </c>
      <c r="G62" s="18" t="n">
        <v>27.04131688</v>
      </c>
      <c r="H62" s="20" t="n">
        <v>2.13050015</v>
      </c>
      <c r="I62" s="18" t="n">
        <v>56.47471199</v>
      </c>
      <c r="J62" s="20" t="n">
        <v>2.01551992</v>
      </c>
      <c r="K62" s="18" t="s">
        <v>567</v>
      </c>
      <c r="L62" s="20" t="s">
        <v>567</v>
      </c>
      <c r="M62" s="18" t="n">
        <v>0</v>
      </c>
      <c r="N62" s="20" t="n">
        <v>0</v>
      </c>
      <c r="O62" s="18" t="n">
        <v>0</v>
      </c>
      <c r="P62" s="20" t="n">
        <v>0</v>
      </c>
      <c r="Q62" s="18" t="n">
        <v>0</v>
      </c>
      <c r="R62" s="20" t="n">
        <v>0</v>
      </c>
      <c r="S62" s="18" t="n">
        <v>0</v>
      </c>
      <c r="T62" s="20" t="n">
        <v>0</v>
      </c>
    </row>
    <row r="63" spans="1:20">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2894</v>
      </c>
      <c r="C66" s="18">
        <f>(2234.0/B66*100)</f>
        <v/>
      </c>
      <c r="D66" s="19" t="n">
        <v>660</v>
      </c>
      <c r="E66" s="18" t="n">
        <v>32.32437949</v>
      </c>
      <c r="F66" s="20" t="n">
        <v>1.92005203</v>
      </c>
      <c r="G66" s="18" t="n">
        <v>33.11434334</v>
      </c>
      <c r="H66" s="20" t="n">
        <v>1.80782224</v>
      </c>
      <c r="I66" s="18" t="n">
        <v>27.89497975</v>
      </c>
      <c r="J66" s="20" t="n">
        <v>1.87368418</v>
      </c>
      <c r="K66" s="18" t="s">
        <v>567</v>
      </c>
      <c r="L66" s="20" t="s">
        <v>567</v>
      </c>
      <c r="M66" s="18" t="n">
        <v>0.28208857</v>
      </c>
      <c r="N66" s="20" t="n">
        <v>0.19866179</v>
      </c>
      <c r="O66" s="18" t="n">
        <v>0</v>
      </c>
      <c r="P66" s="20" t="n">
        <v>0</v>
      </c>
      <c r="Q66" s="18" t="n">
        <v>0</v>
      </c>
      <c r="R66" s="20" t="n">
        <v>0</v>
      </c>
      <c r="S66" s="18" t="n">
        <v>6.38420885</v>
      </c>
      <c r="T66" s="20" t="n">
        <v>1.01009877</v>
      </c>
    </row>
    <row r="67" spans="1:20">
      <c r="A67" s="15" t="s">
        <v>627</v>
      </c>
      <c r="B67" s="17" t="n">
        <v>3511</v>
      </c>
      <c r="C67" s="18">
        <f>(2766.0/B67*100)</f>
        <v/>
      </c>
      <c r="D67" s="19" t="n">
        <v>745</v>
      </c>
      <c r="E67" s="18" t="n">
        <v>44.54714407</v>
      </c>
      <c r="F67" s="20" t="n">
        <v>1.95242603</v>
      </c>
      <c r="G67" s="18" t="n">
        <v>31.78561562</v>
      </c>
      <c r="H67" s="20" t="n">
        <v>1.71210047</v>
      </c>
      <c r="I67" s="18" t="n">
        <v>20.63392815</v>
      </c>
      <c r="J67" s="20" t="n">
        <v>1.62423887</v>
      </c>
      <c r="K67" s="18" t="s">
        <v>567</v>
      </c>
      <c r="L67" s="20" t="s">
        <v>567</v>
      </c>
      <c r="M67" s="18" t="n">
        <v>0.17572865</v>
      </c>
      <c r="N67" s="20" t="n">
        <v>0.17574524</v>
      </c>
      <c r="O67" s="18" t="n">
        <v>0</v>
      </c>
      <c r="P67" s="20" t="n">
        <v>0</v>
      </c>
      <c r="Q67" s="18" t="n">
        <v>0</v>
      </c>
      <c r="R67" s="20" t="n">
        <v>0</v>
      </c>
      <c r="S67" s="18" t="n">
        <v>2.85758352</v>
      </c>
      <c r="T67" s="20" t="n">
        <v>0.68315741</v>
      </c>
    </row>
    <row r="68" spans="1:20">
      <c r="A68" s="15" t="s">
        <v>628</v>
      </c>
      <c r="B68" s="17" t="n">
        <v>6049</v>
      </c>
      <c r="C68" s="18">
        <f>(4715.0/B68*100)</f>
        <v/>
      </c>
      <c r="D68" s="19" t="n">
        <v>1334</v>
      </c>
      <c r="E68" s="18" t="n">
        <v>30.90956973</v>
      </c>
      <c r="F68" s="20" t="n">
        <v>1.34530296</v>
      </c>
      <c r="G68" s="18" t="n">
        <v>29.7095136</v>
      </c>
      <c r="H68" s="20" t="n">
        <v>1.22649114</v>
      </c>
      <c r="I68" s="18" t="n">
        <v>33.715625</v>
      </c>
      <c r="J68" s="20" t="n">
        <v>1.3723172</v>
      </c>
      <c r="K68" s="18" t="s">
        <v>567</v>
      </c>
      <c r="L68" s="20" t="s">
        <v>567</v>
      </c>
      <c r="M68" s="18" t="n">
        <v>0.59087305</v>
      </c>
      <c r="N68" s="20" t="n">
        <v>0.20958078</v>
      </c>
      <c r="O68" s="18" t="n">
        <v>0</v>
      </c>
      <c r="P68" s="20" t="n">
        <v>0</v>
      </c>
      <c r="Q68" s="18" t="n">
        <v>0</v>
      </c>
      <c r="R68" s="20" t="n">
        <v>0</v>
      </c>
      <c r="S68" s="18" t="n">
        <v>5.07441863</v>
      </c>
      <c r="T68" s="20" t="n">
        <v>0.51436866</v>
      </c>
    </row>
    <row r="69" spans="1:20">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2929</v>
      </c>
      <c r="C70" s="18">
        <f>(2319.0/B70*100)</f>
        <v/>
      </c>
      <c r="D70" s="19" t="n">
        <v>610</v>
      </c>
      <c r="E70" s="18" t="n">
        <v>50.59536472</v>
      </c>
      <c r="F70" s="20" t="n">
        <v>2.30400463</v>
      </c>
      <c r="G70" s="18" t="n">
        <v>15.85601602</v>
      </c>
      <c r="H70" s="20" t="n">
        <v>1.55061672</v>
      </c>
      <c r="I70" s="18" t="n">
        <v>31.25327109</v>
      </c>
      <c r="J70" s="20" t="n">
        <v>2.83509276</v>
      </c>
      <c r="K70" s="18" t="s">
        <v>567</v>
      </c>
      <c r="L70" s="20" t="s">
        <v>567</v>
      </c>
      <c r="M70" s="18" t="n">
        <v>0</v>
      </c>
      <c r="N70" s="20" t="n">
        <v>0</v>
      </c>
      <c r="O70" s="18" t="n">
        <v>0</v>
      </c>
      <c r="P70" s="20" t="n">
        <v>0</v>
      </c>
      <c r="Q70" s="18" t="n">
        <v>0</v>
      </c>
      <c r="R70" s="20" t="n">
        <v>0</v>
      </c>
      <c r="S70" s="18" t="n">
        <v>2.29534816</v>
      </c>
      <c r="T70" s="20" t="n">
        <v>0.77987007</v>
      </c>
    </row>
    <row r="71" spans="1:20">
      <c r="A71" s="15" t="s">
        <v>631</v>
      </c>
      <c r="B71" s="17" t="n">
        <v>3142</v>
      </c>
      <c r="C71" s="18">
        <f>(2464.0/B71*100)</f>
        <v/>
      </c>
      <c r="D71" s="19" t="n">
        <v>678</v>
      </c>
      <c r="E71" s="18" t="n">
        <v>14.35664851</v>
      </c>
      <c r="F71" s="20" t="n">
        <v>1.38324664</v>
      </c>
      <c r="G71" s="18" t="n">
        <v>31.96228779</v>
      </c>
      <c r="H71" s="20" t="n">
        <v>2.04932574</v>
      </c>
      <c r="I71" s="18" t="n">
        <v>52.97934288</v>
      </c>
      <c r="J71" s="20" t="n">
        <v>2.00020488</v>
      </c>
      <c r="K71" s="18" t="s">
        <v>567</v>
      </c>
      <c r="L71" s="20" t="s">
        <v>567</v>
      </c>
      <c r="M71" s="18" t="n">
        <v>0.20512873</v>
      </c>
      <c r="N71" s="20" t="n">
        <v>0.14838806</v>
      </c>
      <c r="O71" s="18" t="n">
        <v>0</v>
      </c>
      <c r="P71" s="20" t="n">
        <v>0</v>
      </c>
      <c r="Q71" s="18" t="n">
        <v>0</v>
      </c>
      <c r="R71" s="20" t="n">
        <v>0</v>
      </c>
      <c r="S71" s="18" t="n">
        <v>0.49659209</v>
      </c>
      <c r="T71" s="20" t="n">
        <v>0.25889726</v>
      </c>
    </row>
    <row r="72" spans="1:20">
      <c r="A72" s="15" t="s">
        <v>632</v>
      </c>
      <c r="B72" s="17" t="n">
        <v>3889</v>
      </c>
      <c r="C72" s="18">
        <f>(3011.0/B72*100)</f>
        <v/>
      </c>
      <c r="D72" s="19" t="n">
        <v>878</v>
      </c>
      <c r="E72" s="18" t="n">
        <v>11.50369507</v>
      </c>
      <c r="F72" s="20" t="n">
        <v>1.47586786</v>
      </c>
      <c r="G72" s="18" t="n">
        <v>13.23109767</v>
      </c>
      <c r="H72" s="20" t="n">
        <v>1.27407768</v>
      </c>
      <c r="I72" s="18" t="n">
        <v>74.85376642</v>
      </c>
      <c r="J72" s="20" t="n">
        <v>1.72315604</v>
      </c>
      <c r="K72" s="18" t="s">
        <v>567</v>
      </c>
      <c r="L72" s="20" t="s">
        <v>567</v>
      </c>
      <c r="M72" s="18" t="n">
        <v>0.16040264</v>
      </c>
      <c r="N72" s="20" t="n">
        <v>0.11597302</v>
      </c>
      <c r="O72" s="18" t="n">
        <v>0</v>
      </c>
      <c r="P72" s="20" t="n">
        <v>0</v>
      </c>
      <c r="Q72" s="18" t="n">
        <v>0</v>
      </c>
      <c r="R72" s="20" t="n">
        <v>0</v>
      </c>
      <c r="S72" s="18" t="n">
        <v>0.25103819</v>
      </c>
      <c r="T72" s="20" t="n">
        <v>0.14721635</v>
      </c>
    </row>
    <row r="73" spans="1:20">
      <c r="A73" s="15" t="s">
        <v>633</v>
      </c>
      <c r="B73" s="17" t="n">
        <v>3597</v>
      </c>
      <c r="C73" s="18">
        <f>(2781.0/B73*100)</f>
        <v/>
      </c>
      <c r="D73" s="19" t="n">
        <v>816</v>
      </c>
      <c r="E73" s="18" t="n">
        <v>23.83067154</v>
      </c>
      <c r="F73" s="20" t="n">
        <v>1.86676084</v>
      </c>
      <c r="G73" s="18" t="n">
        <v>21.15845624</v>
      </c>
      <c r="H73" s="20" t="n">
        <v>2.20957723</v>
      </c>
      <c r="I73" s="18" t="n">
        <v>51.57419374</v>
      </c>
      <c r="J73" s="20" t="n">
        <v>3.01239004</v>
      </c>
      <c r="K73" s="18" t="s">
        <v>567</v>
      </c>
      <c r="L73" s="20" t="s">
        <v>567</v>
      </c>
      <c r="M73" s="18" t="n">
        <v>0</v>
      </c>
      <c r="N73" s="20" t="n">
        <v>0</v>
      </c>
      <c r="O73" s="18" t="n">
        <v>0</v>
      </c>
      <c r="P73" s="20" t="n">
        <v>0</v>
      </c>
      <c r="Q73" s="18" t="n">
        <v>0</v>
      </c>
      <c r="R73" s="20" t="n">
        <v>0</v>
      </c>
      <c r="S73" s="18" t="n">
        <v>3.43667848</v>
      </c>
      <c r="T73" s="20" t="n">
        <v>0.81301324</v>
      </c>
    </row>
    <row r="74" spans="1:20">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2406</v>
      </c>
      <c r="C75" s="18">
        <f>(1909.0/B75*100)</f>
        <v/>
      </c>
      <c r="D75" s="19" t="n">
        <v>497</v>
      </c>
      <c r="E75" s="18" t="n">
        <v>41.35067505</v>
      </c>
      <c r="F75" s="20" t="n">
        <v>2.27334179</v>
      </c>
      <c r="G75" s="18" t="n">
        <v>33.24938686</v>
      </c>
      <c r="H75" s="20" t="n">
        <v>2.02587943</v>
      </c>
      <c r="I75" s="18" t="n">
        <v>22.24877189</v>
      </c>
      <c r="J75" s="20" t="n">
        <v>2.17354686</v>
      </c>
      <c r="K75" s="18" t="s">
        <v>567</v>
      </c>
      <c r="L75" s="20" t="s">
        <v>567</v>
      </c>
      <c r="M75" s="18" t="n">
        <v>0.307671</v>
      </c>
      <c r="N75" s="20" t="n">
        <v>0.21756671</v>
      </c>
      <c r="O75" s="18" t="n">
        <v>0</v>
      </c>
      <c r="P75" s="20" t="n">
        <v>0</v>
      </c>
      <c r="Q75" s="18" t="n">
        <v>0</v>
      </c>
      <c r="R75" s="20" t="n">
        <v>0</v>
      </c>
      <c r="S75" s="18" t="n">
        <v>2.84349519</v>
      </c>
      <c r="T75" s="20" t="n">
        <v>0.84868313</v>
      </c>
    </row>
    <row r="76" spans="1:20">
      <c r="A76" s="15" t="s">
        <v>636</v>
      </c>
      <c r="B76" s="17" t="n">
        <v>7052</v>
      </c>
      <c r="C76" s="18">
        <f>(5530.0/B76*100)</f>
        <v/>
      </c>
      <c r="D76" s="19" t="n">
        <v>1522</v>
      </c>
      <c r="E76" s="18" t="n">
        <v>34.22804611</v>
      </c>
      <c r="F76" s="20" t="n">
        <v>1.61835426</v>
      </c>
      <c r="G76" s="18" t="n">
        <v>30.85743478</v>
      </c>
      <c r="H76" s="20" t="n">
        <v>1.46342344</v>
      </c>
      <c r="I76" s="18" t="n">
        <v>32.36774867</v>
      </c>
      <c r="J76" s="20" t="n">
        <v>1.539134</v>
      </c>
      <c r="K76" s="18" t="s">
        <v>567</v>
      </c>
      <c r="L76" s="20" t="s">
        <v>567</v>
      </c>
      <c r="M76" s="18" t="n">
        <v>0.35740037</v>
      </c>
      <c r="N76" s="20" t="n">
        <v>0.15703994</v>
      </c>
      <c r="O76" s="18" t="n">
        <v>0</v>
      </c>
      <c r="P76" s="20" t="n">
        <v>0</v>
      </c>
      <c r="Q76" s="18" t="n">
        <v>0</v>
      </c>
      <c r="R76" s="20" t="n">
        <v>0</v>
      </c>
      <c r="S76" s="18" t="n">
        <v>2.18937007</v>
      </c>
      <c r="T76" s="20" t="n">
        <v>0.36322912</v>
      </c>
    </row>
    <row r="77" spans="1:20">
      <c r="A77" s="15" t="s">
        <v>637</v>
      </c>
      <c r="B77" s="17" t="n">
        <v>2908</v>
      </c>
      <c r="C77" s="18">
        <f>(2259.0/B77*100)</f>
        <v/>
      </c>
      <c r="D77" s="19" t="n">
        <v>649</v>
      </c>
      <c r="E77" s="18" t="n">
        <v>31.91747192</v>
      </c>
      <c r="F77" s="20" t="n">
        <v>1.83537897</v>
      </c>
      <c r="G77" s="18" t="n">
        <v>36.34878896</v>
      </c>
      <c r="H77" s="20" t="n">
        <v>2.1163233</v>
      </c>
      <c r="I77" s="18" t="n">
        <v>28.25091774</v>
      </c>
      <c r="J77" s="20" t="n">
        <v>2.00825434</v>
      </c>
      <c r="K77" s="18" t="s">
        <v>567</v>
      </c>
      <c r="L77" s="20" t="s">
        <v>567</v>
      </c>
      <c r="M77" s="18" t="n">
        <v>0.71448657</v>
      </c>
      <c r="N77" s="20" t="n">
        <v>0.33038894</v>
      </c>
      <c r="O77" s="18" t="n">
        <v>0</v>
      </c>
      <c r="P77" s="20" t="n">
        <v>0</v>
      </c>
      <c r="Q77" s="18" t="n">
        <v>0</v>
      </c>
      <c r="R77" s="20" t="n">
        <v>0</v>
      </c>
      <c r="S77" s="18" t="n">
        <v>2.76833481</v>
      </c>
      <c r="T77" s="20" t="n">
        <v>0.73615131</v>
      </c>
    </row>
    <row r="78" spans="1:20">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4163</v>
      </c>
      <c r="C81" s="18">
        <f>(3207.0/B81*100)</f>
        <v/>
      </c>
      <c r="D81" s="19" t="n">
        <v>956</v>
      </c>
      <c r="E81" s="18" t="n">
        <v>26.11573374</v>
      </c>
      <c r="F81" s="20" t="n">
        <v>1.71126455</v>
      </c>
      <c r="G81" s="18" t="n">
        <v>39.34706194</v>
      </c>
      <c r="H81" s="20" t="n">
        <v>2.10013497</v>
      </c>
      <c r="I81" s="18" t="n">
        <v>33.21089196</v>
      </c>
      <c r="J81" s="20" t="n">
        <v>2.19599903</v>
      </c>
      <c r="K81" s="18" t="s">
        <v>567</v>
      </c>
      <c r="L81" s="20" t="s">
        <v>567</v>
      </c>
      <c r="M81" s="18" t="n">
        <v>0.13940178</v>
      </c>
      <c r="N81" s="20" t="n">
        <v>0.14351889</v>
      </c>
      <c r="O81" s="18" t="n">
        <v>0</v>
      </c>
      <c r="P81" s="20" t="n">
        <v>0</v>
      </c>
      <c r="Q81" s="18" t="n">
        <v>0</v>
      </c>
      <c r="R81" s="20" t="n">
        <v>0</v>
      </c>
      <c r="S81" s="18" t="n">
        <v>1.18691058</v>
      </c>
      <c r="T81" s="20" t="n">
        <v>0.45791707</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(5767.0/B7*100)</f>
        <v/>
      </c>
      <c r="D7" s="19" t="n">
        <v>1600</v>
      </c>
      <c r="E7" s="18" t="n">
        <v>25.22491302</v>
      </c>
      <c r="F7" s="20" t="n">
        <v>1.14007218</v>
      </c>
      <c r="G7" s="18" t="n">
        <v>71.39389016</v>
      </c>
      <c r="H7" s="20" t="n">
        <v>1.16694586</v>
      </c>
      <c r="I7" s="18" t="s">
        <v>567</v>
      </c>
      <c r="J7" s="20" t="s">
        <v>567</v>
      </c>
      <c r="K7" s="18" t="n">
        <v>0.08054441</v>
      </c>
      <c r="L7" s="20" t="n">
        <v>0.04563476</v>
      </c>
      <c r="M7" s="18" t="n">
        <v>0</v>
      </c>
      <c r="N7" s="20" t="n">
        <v>0</v>
      </c>
      <c r="O7" s="18" t="n">
        <v>0</v>
      </c>
      <c r="P7" s="20" t="n">
        <v>0</v>
      </c>
      <c r="Q7" s="18" t="n">
        <v>3.30065241</v>
      </c>
      <c r="R7" s="20" t="n">
        <v>0.47371924</v>
      </c>
    </row>
    <row r="8" spans="1:18">
      <c r="A8" s="15" t="s">
        <v>568</v>
      </c>
      <c r="B8" s="17" t="n">
        <v>3564</v>
      </c>
      <c r="C8" s="18">
        <f>(2773.0/B8*100)</f>
        <v/>
      </c>
      <c r="D8" s="19" t="n">
        <v>791</v>
      </c>
      <c r="E8" s="18" t="n">
        <v>25.20308439</v>
      </c>
      <c r="F8" s="20" t="n">
        <v>1.78697031</v>
      </c>
      <c r="G8" s="18" t="n">
        <v>69.47627730000001</v>
      </c>
      <c r="H8" s="20" t="n">
        <v>1.83379185</v>
      </c>
      <c r="I8" s="18" t="s">
        <v>567</v>
      </c>
      <c r="J8" s="20" t="s">
        <v>567</v>
      </c>
      <c r="K8" s="18" t="n">
        <v>0</v>
      </c>
      <c r="L8" s="20" t="n">
        <v>0</v>
      </c>
      <c r="M8" s="18" t="n">
        <v>0</v>
      </c>
      <c r="N8" s="20" t="n">
        <v>0</v>
      </c>
      <c r="O8" s="18" t="n">
        <v>0</v>
      </c>
      <c r="P8" s="20" t="n">
        <v>0</v>
      </c>
      <c r="Q8" s="18" t="n">
        <v>5.3206383</v>
      </c>
      <c r="R8" s="20" t="n">
        <v>1.07864752</v>
      </c>
    </row>
    <row r="9" spans="1:18">
      <c r="A9" s="15" t="s">
        <v>569</v>
      </c>
      <c r="B9" s="17" t="n">
        <v>4899</v>
      </c>
      <c r="C9" s="18">
        <f>(3817.0/B9*100)</f>
        <v/>
      </c>
      <c r="D9" s="19" t="n">
        <v>1082</v>
      </c>
      <c r="E9" s="18" t="n">
        <v>23.20183431</v>
      </c>
      <c r="F9" s="20" t="n">
        <v>1.29675976</v>
      </c>
      <c r="G9" s="18" t="n">
        <v>73.74778116</v>
      </c>
      <c r="H9" s="20" t="n">
        <v>1.51674966</v>
      </c>
      <c r="I9" s="18" t="s">
        <v>567</v>
      </c>
      <c r="J9" s="20" t="s">
        <v>567</v>
      </c>
      <c r="K9" s="18" t="n">
        <v>0.09143062</v>
      </c>
      <c r="L9" s="20" t="n">
        <v>0.09064984</v>
      </c>
      <c r="M9" s="18" t="n">
        <v>0</v>
      </c>
      <c r="N9" s="20" t="n">
        <v>0</v>
      </c>
      <c r="O9" s="18" t="n">
        <v>0</v>
      </c>
      <c r="P9" s="20" t="n">
        <v>0</v>
      </c>
      <c r="Q9" s="18" t="n">
        <v>2.9589539</v>
      </c>
      <c r="R9" s="20" t="n">
        <v>0.56623227</v>
      </c>
    </row>
    <row r="10" spans="1:18">
      <c r="A10" s="15" t="s">
        <v>570</v>
      </c>
      <c r="B10" s="17" t="n">
        <v>10036</v>
      </c>
      <c r="C10" s="18">
        <f>(7880.0/B10*100)</f>
        <v/>
      </c>
      <c r="D10" s="19" t="n">
        <v>2156</v>
      </c>
      <c r="E10" s="18" t="n">
        <v>22.90052018</v>
      </c>
      <c r="F10" s="20" t="n">
        <v>1.24735992</v>
      </c>
      <c r="G10" s="18" t="n">
        <v>74.17472063</v>
      </c>
      <c r="H10" s="20" t="n">
        <v>1.18350939</v>
      </c>
      <c r="I10" s="18" t="s">
        <v>567</v>
      </c>
      <c r="J10" s="20" t="s">
        <v>567</v>
      </c>
      <c r="K10" s="18" t="n">
        <v>0.16310328</v>
      </c>
      <c r="L10" s="20" t="n">
        <v>0.12213427</v>
      </c>
      <c r="M10" s="18" t="n">
        <v>0</v>
      </c>
      <c r="N10" s="20" t="n">
        <v>0</v>
      </c>
      <c r="O10" s="18" t="n">
        <v>0</v>
      </c>
      <c r="P10" s="20" t="n">
        <v>0</v>
      </c>
      <c r="Q10" s="18" t="n">
        <v>2.76165591</v>
      </c>
      <c r="R10" s="20" t="n">
        <v>0.57718067</v>
      </c>
    </row>
    <row r="11" spans="1:18">
      <c r="A11" s="15" t="s">
        <v>571</v>
      </c>
      <c r="B11" s="17" t="n">
        <v>3553</v>
      </c>
      <c r="C11" s="18">
        <f>(2839.0/B11*100)</f>
        <v/>
      </c>
      <c r="D11" s="19" t="n">
        <v>714</v>
      </c>
      <c r="E11" s="18" t="n">
        <v>23.87830341</v>
      </c>
      <c r="F11" s="20" t="n">
        <v>1.98526968</v>
      </c>
      <c r="G11" s="18" t="n">
        <v>68.32310748</v>
      </c>
      <c r="H11" s="20" t="n">
        <v>2.1694881</v>
      </c>
      <c r="I11" s="18" t="s">
        <v>567</v>
      </c>
      <c r="J11" s="20" t="s">
        <v>567</v>
      </c>
      <c r="K11" s="18" t="n">
        <v>0.15078467</v>
      </c>
      <c r="L11" s="20" t="n">
        <v>0.10597627</v>
      </c>
      <c r="M11" s="18" t="n">
        <v>0</v>
      </c>
      <c r="N11" s="20" t="n">
        <v>0</v>
      </c>
      <c r="O11" s="18" t="n">
        <v>0</v>
      </c>
      <c r="P11" s="20" t="n">
        <v>0</v>
      </c>
      <c r="Q11" s="18" t="n">
        <v>7.64780444</v>
      </c>
      <c r="R11" s="20" t="n">
        <v>1.11186883</v>
      </c>
    </row>
    <row r="12" spans="1:18">
      <c r="A12" s="15" t="s">
        <v>572</v>
      </c>
      <c r="B12" s="17" t="n">
        <v>3472</v>
      </c>
      <c r="C12" s="18">
        <f>(2732.0/B12*100)</f>
        <v/>
      </c>
      <c r="D12" s="19" t="n">
        <v>740</v>
      </c>
      <c r="E12" s="18" t="n">
        <v>27.25129016</v>
      </c>
      <c r="F12" s="20" t="n">
        <v>1.94107483</v>
      </c>
      <c r="G12" s="18" t="n">
        <v>69.40944245999999</v>
      </c>
      <c r="H12" s="20" t="n">
        <v>2.08899589</v>
      </c>
      <c r="I12" s="18" t="s">
        <v>567</v>
      </c>
      <c r="J12" s="20" t="s">
        <v>567</v>
      </c>
      <c r="K12" s="18" t="n">
        <v>0</v>
      </c>
      <c r="L12" s="20" t="n">
        <v>0</v>
      </c>
      <c r="M12" s="18" t="n">
        <v>0</v>
      </c>
      <c r="N12" s="20" t="n">
        <v>0</v>
      </c>
      <c r="O12" s="18" t="n">
        <v>0</v>
      </c>
      <c r="P12" s="20" t="n">
        <v>0</v>
      </c>
      <c r="Q12" s="18" t="n">
        <v>3.33926739</v>
      </c>
      <c r="R12" s="20" t="n">
        <v>0.67482273</v>
      </c>
    </row>
    <row r="13" spans="1:18">
      <c r="A13" s="15" t="s">
        <v>573</v>
      </c>
      <c r="B13" s="17" t="n">
        <v>3559</v>
      </c>
      <c r="C13" s="18">
        <f>(2851.0/B13*100)</f>
        <v/>
      </c>
      <c r="D13" s="19" t="n">
        <v>708</v>
      </c>
      <c r="E13" s="18" t="n">
        <v>30.34943401</v>
      </c>
      <c r="F13" s="20" t="n">
        <v>1.86696934</v>
      </c>
      <c r="G13" s="18" t="n">
        <v>67.82445491</v>
      </c>
      <c r="H13" s="20" t="n">
        <v>1.88779115</v>
      </c>
      <c r="I13" s="18" t="s">
        <v>567</v>
      </c>
      <c r="J13" s="20" t="s">
        <v>567</v>
      </c>
      <c r="K13" s="18" t="n">
        <v>0.34981706</v>
      </c>
      <c r="L13" s="20" t="n">
        <v>0.19204437</v>
      </c>
      <c r="M13" s="18" t="n">
        <v>0</v>
      </c>
      <c r="N13" s="20" t="n">
        <v>0</v>
      </c>
      <c r="O13" s="18" t="n">
        <v>0</v>
      </c>
      <c r="P13" s="20" t="n">
        <v>0</v>
      </c>
      <c r="Q13" s="18" t="n">
        <v>1.47629402</v>
      </c>
      <c r="R13" s="20" t="n">
        <v>0.47507227</v>
      </c>
    </row>
    <row r="14" spans="1:18">
      <c r="A14" s="15" t="s">
        <v>574</v>
      </c>
      <c r="B14" s="17" t="n">
        <v>2799</v>
      </c>
      <c r="C14" s="18">
        <f>(2216.0/B14*100)</f>
        <v/>
      </c>
      <c r="D14" s="19" t="n">
        <v>583</v>
      </c>
      <c r="E14" s="18" t="n">
        <v>21.26025637</v>
      </c>
      <c r="F14" s="20" t="n">
        <v>1.81210343</v>
      </c>
      <c r="G14" s="18" t="n">
        <v>77.04468246</v>
      </c>
      <c r="H14" s="20" t="n">
        <v>1.8880763</v>
      </c>
      <c r="I14" s="18" t="s">
        <v>567</v>
      </c>
      <c r="J14" s="20" t="s">
        <v>567</v>
      </c>
      <c r="K14" s="18" t="n">
        <v>0.14263488</v>
      </c>
      <c r="L14" s="20" t="n">
        <v>0.14332604</v>
      </c>
      <c r="M14" s="18" t="n">
        <v>0</v>
      </c>
      <c r="N14" s="20" t="n">
        <v>0</v>
      </c>
      <c r="O14" s="18" t="n">
        <v>0</v>
      </c>
      <c r="P14" s="20" t="n">
        <v>0</v>
      </c>
      <c r="Q14" s="18" t="n">
        <v>1.55242629</v>
      </c>
      <c r="R14" s="20" t="n">
        <v>0.63651943</v>
      </c>
    </row>
    <row r="15" spans="1:18">
      <c r="A15" s="15" t="s">
        <v>575</v>
      </c>
      <c r="B15" s="17" t="n">
        <v>3019</v>
      </c>
      <c r="C15" s="18">
        <f>(2343.0/B15*100)</f>
        <v/>
      </c>
      <c r="D15" s="19" t="n">
        <v>676</v>
      </c>
      <c r="E15" s="18" t="n">
        <v>28.16032178</v>
      </c>
      <c r="F15" s="20" t="n">
        <v>1.71841943</v>
      </c>
      <c r="G15" s="18" t="n">
        <v>68.36677852</v>
      </c>
      <c r="H15" s="20" t="n">
        <v>1.91057535</v>
      </c>
      <c r="I15" s="18" t="s">
        <v>567</v>
      </c>
      <c r="J15" s="20" t="s">
        <v>567</v>
      </c>
      <c r="K15" s="18" t="n">
        <v>0</v>
      </c>
      <c r="L15" s="20" t="n">
        <v>0</v>
      </c>
      <c r="M15" s="18" t="n">
        <v>0</v>
      </c>
      <c r="N15" s="20" t="n">
        <v>0</v>
      </c>
      <c r="O15" s="18" t="n">
        <v>0</v>
      </c>
      <c r="P15" s="20" t="n">
        <v>0</v>
      </c>
      <c r="Q15" s="18" t="n">
        <v>3.47289969</v>
      </c>
      <c r="R15" s="20" t="n">
        <v>0.70715115</v>
      </c>
    </row>
    <row r="16" spans="1:18">
      <c r="A16" s="15" t="s">
        <v>576</v>
      </c>
      <c r="B16" s="17" t="n">
        <v>2997</v>
      </c>
      <c r="C16" s="18">
        <f>(2318.0/B16*100)</f>
        <v/>
      </c>
      <c r="D16" s="19" t="n">
        <v>679</v>
      </c>
      <c r="E16" s="18" t="n">
        <v>24.35797008</v>
      </c>
      <c r="F16" s="20" t="n">
        <v>1.83355432</v>
      </c>
      <c r="G16" s="18" t="n">
        <v>68.28015190000001</v>
      </c>
      <c r="H16" s="20" t="n">
        <v>2.07340461</v>
      </c>
      <c r="I16" s="18" t="s">
        <v>567</v>
      </c>
      <c r="J16" s="20" t="s">
        <v>567</v>
      </c>
      <c r="K16" s="18" t="n">
        <v>0.60171137</v>
      </c>
      <c r="L16" s="20" t="n">
        <v>0.27739103</v>
      </c>
      <c r="M16" s="18" t="n">
        <v>0</v>
      </c>
      <c r="N16" s="20" t="n">
        <v>0</v>
      </c>
      <c r="O16" s="18" t="n">
        <v>0</v>
      </c>
      <c r="P16" s="20" t="n">
        <v>0</v>
      </c>
      <c r="Q16" s="18" t="n">
        <v>6.76016664</v>
      </c>
      <c r="R16" s="20" t="n">
        <v>1.13080432</v>
      </c>
    </row>
    <row r="17" spans="1:18">
      <c r="A17" s="15" t="s">
        <v>577</v>
      </c>
      <c r="B17" s="17" t="n">
        <v>3307</v>
      </c>
      <c r="C17" s="18">
        <f>(2602.0/B17*100)</f>
        <v/>
      </c>
      <c r="D17" s="19" t="n">
        <v>705</v>
      </c>
      <c r="E17" s="18" t="n">
        <v>25.03750465</v>
      </c>
      <c r="F17" s="20" t="n">
        <v>2.05482044</v>
      </c>
      <c r="G17" s="18" t="n">
        <v>70.27104905</v>
      </c>
      <c r="H17" s="20" t="n">
        <v>2.15826734</v>
      </c>
      <c r="I17" s="18" t="s">
        <v>567</v>
      </c>
      <c r="J17" s="20" t="s">
        <v>567</v>
      </c>
      <c r="K17" s="18" t="n">
        <v>0.31350465</v>
      </c>
      <c r="L17" s="20" t="n">
        <v>0.23891116</v>
      </c>
      <c r="M17" s="18" t="n">
        <v>0</v>
      </c>
      <c r="N17" s="20" t="n">
        <v>0</v>
      </c>
      <c r="O17" s="18" t="n">
        <v>0</v>
      </c>
      <c r="P17" s="20" t="n">
        <v>0</v>
      </c>
      <c r="Q17" s="18" t="n">
        <v>4.37794165</v>
      </c>
      <c r="R17" s="20" t="n">
        <v>0.7958939900000001</v>
      </c>
    </row>
    <row r="18" spans="1:18">
      <c r="A18" s="15" t="s">
        <v>578</v>
      </c>
      <c r="B18" s="17" t="n">
        <v>2826</v>
      </c>
      <c r="C18" s="18">
        <f>(2200.0/B18*100)</f>
        <v/>
      </c>
      <c r="D18" s="19" t="n">
        <v>626</v>
      </c>
      <c r="E18" s="18" t="n">
        <v>28.83550809</v>
      </c>
      <c r="F18" s="20" t="n">
        <v>2.23276117</v>
      </c>
      <c r="G18" s="18" t="n">
        <v>64.8831898</v>
      </c>
      <c r="H18" s="20" t="n">
        <v>2.43877671</v>
      </c>
      <c r="I18" s="18" t="s">
        <v>567</v>
      </c>
      <c r="J18" s="20" t="s">
        <v>567</v>
      </c>
      <c r="K18" s="18" t="n">
        <v>0.12052401</v>
      </c>
      <c r="L18" s="20" t="n">
        <v>0.12141084</v>
      </c>
      <c r="M18" s="18" t="n">
        <v>0</v>
      </c>
      <c r="N18" s="20" t="n">
        <v>0</v>
      </c>
      <c r="O18" s="18" t="n">
        <v>0</v>
      </c>
      <c r="P18" s="20" t="n">
        <v>0</v>
      </c>
      <c r="Q18" s="18" t="n">
        <v>6.1607781</v>
      </c>
      <c r="R18" s="20" t="n">
        <v>1.11885091</v>
      </c>
    </row>
    <row r="19" spans="1:18">
      <c r="A19" s="15" t="s">
        <v>579</v>
      </c>
      <c r="B19" s="17" t="n">
        <v>2808</v>
      </c>
      <c r="C19" s="18">
        <f>(2215.0/B19*100)</f>
        <v/>
      </c>
      <c r="D19" s="19" t="n">
        <v>593</v>
      </c>
      <c r="E19" s="18" t="n">
        <v>28.70489078</v>
      </c>
      <c r="F19" s="20" t="n">
        <v>2.30467304</v>
      </c>
      <c r="G19" s="18" t="n">
        <v>66.809561</v>
      </c>
      <c r="H19" s="20" t="n">
        <v>2.40491933</v>
      </c>
      <c r="I19" s="18" t="s">
        <v>567</v>
      </c>
      <c r="J19" s="20" t="s">
        <v>567</v>
      </c>
      <c r="K19" s="18" t="n">
        <v>0</v>
      </c>
      <c r="L19" s="20" t="n">
        <v>0</v>
      </c>
      <c r="M19" s="18" t="n">
        <v>0</v>
      </c>
      <c r="N19" s="20" t="n">
        <v>0</v>
      </c>
      <c r="O19" s="18" t="n">
        <v>0</v>
      </c>
      <c r="P19" s="20" t="n">
        <v>0</v>
      </c>
      <c r="Q19" s="18" t="n">
        <v>4.48554821</v>
      </c>
      <c r="R19" s="20" t="n">
        <v>1.01880427</v>
      </c>
    </row>
    <row r="20" spans="1:18">
      <c r="A20" s="15" t="s">
        <v>580</v>
      </c>
      <c r="B20" s="17" t="n">
        <v>1630</v>
      </c>
      <c r="C20" s="18">
        <f>(1267.0/B20*100)</f>
        <v/>
      </c>
      <c r="D20" s="19" t="n">
        <v>363</v>
      </c>
      <c r="E20" s="18" t="n">
        <v>33.94807123</v>
      </c>
      <c r="F20" s="20" t="n">
        <v>2.61981386</v>
      </c>
      <c r="G20" s="18" t="n">
        <v>59.80119208</v>
      </c>
      <c r="H20" s="20" t="n">
        <v>2.69423219</v>
      </c>
      <c r="I20" s="18" t="s">
        <v>567</v>
      </c>
      <c r="J20" s="20" t="s">
        <v>567</v>
      </c>
      <c r="K20" s="18" t="n">
        <v>0.23372998</v>
      </c>
      <c r="L20" s="20" t="n">
        <v>0.23144716</v>
      </c>
      <c r="M20" s="18" t="n">
        <v>0</v>
      </c>
      <c r="N20" s="20" t="n">
        <v>0</v>
      </c>
      <c r="O20" s="18" t="n">
        <v>0</v>
      </c>
      <c r="P20" s="20" t="n">
        <v>0</v>
      </c>
      <c r="Q20" s="18" t="n">
        <v>6.01700671</v>
      </c>
      <c r="R20" s="20" t="n">
        <v>1.36218318</v>
      </c>
    </row>
    <row r="21" spans="1:18">
      <c r="A21" s="15" t="s">
        <v>581</v>
      </c>
      <c r="B21" s="17" t="n">
        <v>2908</v>
      </c>
      <c r="C21" s="18">
        <f>(2254.0/B21*100)</f>
        <v/>
      </c>
      <c r="D21" s="19" t="n">
        <v>654</v>
      </c>
      <c r="E21" s="18" t="n">
        <v>28.64567166</v>
      </c>
      <c r="F21" s="20" t="n">
        <v>1.94978586</v>
      </c>
      <c r="G21" s="18" t="n">
        <v>67.85056277</v>
      </c>
      <c r="H21" s="20" t="n">
        <v>2.2081231</v>
      </c>
      <c r="I21" s="18" t="s">
        <v>567</v>
      </c>
      <c r="J21" s="20" t="s">
        <v>567</v>
      </c>
      <c r="K21" s="18" t="n">
        <v>0</v>
      </c>
      <c r="L21" s="20" t="n">
        <v>0</v>
      </c>
      <c r="M21" s="18" t="n">
        <v>0</v>
      </c>
      <c r="N21" s="20" t="n">
        <v>0</v>
      </c>
      <c r="O21" s="18" t="n">
        <v>0</v>
      </c>
      <c r="P21" s="20" t="n">
        <v>0</v>
      </c>
      <c r="Q21" s="18" t="n">
        <v>3.50376557</v>
      </c>
      <c r="R21" s="20" t="n">
        <v>0.7671019100000001</v>
      </c>
    </row>
    <row r="22" spans="1:18">
      <c r="A22" s="15" t="s">
        <v>582</v>
      </c>
      <c r="B22" s="17" t="n">
        <v>2931</v>
      </c>
      <c r="C22" s="18">
        <f>(2296.0/B22*100)</f>
        <v/>
      </c>
      <c r="D22" s="19" t="n">
        <v>635</v>
      </c>
      <c r="E22" s="18" t="n">
        <v>29.18470316</v>
      </c>
      <c r="F22" s="20" t="n">
        <v>1.81819856</v>
      </c>
      <c r="G22" s="18" t="n">
        <v>64.08390803</v>
      </c>
      <c r="H22" s="20" t="n">
        <v>2.41207913</v>
      </c>
      <c r="I22" s="18" t="s">
        <v>567</v>
      </c>
      <c r="J22" s="20" t="s">
        <v>567</v>
      </c>
      <c r="K22" s="18" t="n">
        <v>0.35647418</v>
      </c>
      <c r="L22" s="20" t="n">
        <v>0.23402097</v>
      </c>
      <c r="M22" s="18" t="n">
        <v>0</v>
      </c>
      <c r="N22" s="20" t="n">
        <v>0</v>
      </c>
      <c r="O22" s="18" t="n">
        <v>0</v>
      </c>
      <c r="P22" s="20" t="n">
        <v>0</v>
      </c>
      <c r="Q22" s="18" t="n">
        <v>6.37491463</v>
      </c>
      <c r="R22" s="20" t="n">
        <v>0.92828669</v>
      </c>
    </row>
    <row r="23" spans="1:18">
      <c r="A23" s="15" t="s">
        <v>583</v>
      </c>
      <c r="B23" s="17" t="n">
        <v>5791</v>
      </c>
      <c r="C23" s="18">
        <f>(4473.0/B23*100)</f>
        <v/>
      </c>
      <c r="D23" s="19" t="n">
        <v>1318</v>
      </c>
      <c r="E23" s="18" t="n">
        <v>24.4933295</v>
      </c>
      <c r="F23" s="20" t="n">
        <v>1.93675784</v>
      </c>
      <c r="G23" s="18" t="n">
        <v>70.39812531</v>
      </c>
      <c r="H23" s="20" t="n">
        <v>2.05403025</v>
      </c>
      <c r="I23" s="18" t="s">
        <v>567</v>
      </c>
      <c r="J23" s="20" t="s">
        <v>567</v>
      </c>
      <c r="K23" s="18" t="n">
        <v>0.14514192</v>
      </c>
      <c r="L23" s="20" t="n">
        <v>0.14684362</v>
      </c>
      <c r="M23" s="18" t="n">
        <v>0</v>
      </c>
      <c r="N23" s="20" t="n">
        <v>0</v>
      </c>
      <c r="O23" s="18" t="n">
        <v>0</v>
      </c>
      <c r="P23" s="20" t="n">
        <v>0</v>
      </c>
      <c r="Q23" s="18" t="n">
        <v>4.96340328</v>
      </c>
      <c r="R23" s="20" t="n">
        <v>1.15532501</v>
      </c>
    </row>
    <row r="24" spans="1:18">
      <c r="A24" s="15" t="s">
        <v>584</v>
      </c>
      <c r="B24" s="17" t="n">
        <v>3338</v>
      </c>
      <c r="C24" s="18">
        <f>(2606.0/B24*100)</f>
        <v/>
      </c>
      <c r="D24" s="19" t="n">
        <v>732</v>
      </c>
      <c r="E24" s="18" t="n">
        <v>18.91731001</v>
      </c>
      <c r="F24" s="20" t="n">
        <v>1.8457851</v>
      </c>
      <c r="G24" s="18" t="n">
        <v>79.42322788</v>
      </c>
      <c r="H24" s="20" t="n">
        <v>1.90260489</v>
      </c>
      <c r="I24" s="18" t="s">
        <v>567</v>
      </c>
      <c r="J24" s="20" t="s">
        <v>567</v>
      </c>
      <c r="K24" s="18" t="n">
        <v>0</v>
      </c>
      <c r="L24" s="20" t="n">
        <v>0</v>
      </c>
      <c r="M24" s="18" t="n">
        <v>0</v>
      </c>
      <c r="N24" s="20" t="n">
        <v>0</v>
      </c>
      <c r="O24" s="18" t="n">
        <v>0</v>
      </c>
      <c r="P24" s="20" t="n">
        <v>0</v>
      </c>
      <c r="Q24" s="18" t="n">
        <v>1.65946211</v>
      </c>
      <c r="R24" s="20" t="n">
        <v>0.41309005</v>
      </c>
    </row>
    <row r="25" spans="1:18">
      <c r="A25" s="15" t="s">
        <v>585</v>
      </c>
      <c r="B25" s="17" t="n">
        <v>2912</v>
      </c>
      <c r="C25" s="18">
        <f>(2282.0/B25*100)</f>
        <v/>
      </c>
      <c r="D25" s="19" t="n">
        <v>630</v>
      </c>
      <c r="E25" s="18" t="n">
        <v>27.49986304</v>
      </c>
      <c r="F25" s="20" t="n">
        <v>2.00584171</v>
      </c>
      <c r="G25" s="18" t="n">
        <v>69.60893</v>
      </c>
      <c r="H25" s="20" t="n">
        <v>2.13608228</v>
      </c>
      <c r="I25" s="18" t="s">
        <v>567</v>
      </c>
      <c r="J25" s="20" t="s">
        <v>567</v>
      </c>
      <c r="K25" s="18" t="n">
        <v>0</v>
      </c>
      <c r="L25" s="20" t="n">
        <v>0</v>
      </c>
      <c r="M25" s="18" t="n">
        <v>0</v>
      </c>
      <c r="N25" s="20" t="n">
        <v>0</v>
      </c>
      <c r="O25" s="18" t="n">
        <v>0</v>
      </c>
      <c r="P25" s="20" t="n">
        <v>0</v>
      </c>
      <c r="Q25" s="18" t="n">
        <v>2.89120696</v>
      </c>
      <c r="R25" s="20" t="n">
        <v>0.74580378</v>
      </c>
    </row>
    <row r="26" spans="1:18">
      <c r="A26" s="15" t="s">
        <v>586</v>
      </c>
      <c r="B26" s="17" t="n">
        <v>2450</v>
      </c>
      <c r="C26" s="18">
        <f>(1920.0/B26*100)</f>
        <v/>
      </c>
      <c r="D26" s="19" t="n">
        <v>530</v>
      </c>
      <c r="E26" s="18" t="n">
        <v>32.95719392</v>
      </c>
      <c r="F26" s="20" t="n">
        <v>2.0851831</v>
      </c>
      <c r="G26" s="18" t="n">
        <v>63.33016099</v>
      </c>
      <c r="H26" s="20" t="n">
        <v>2.23794048</v>
      </c>
      <c r="I26" s="18" t="s">
        <v>567</v>
      </c>
      <c r="J26" s="20" t="s">
        <v>567</v>
      </c>
      <c r="K26" s="18" t="n">
        <v>0</v>
      </c>
      <c r="L26" s="20" t="n">
        <v>0</v>
      </c>
      <c r="M26" s="18" t="n">
        <v>0</v>
      </c>
      <c r="N26" s="20" t="n">
        <v>0</v>
      </c>
      <c r="O26" s="18" t="n">
        <v>0</v>
      </c>
      <c r="P26" s="20" t="n">
        <v>0</v>
      </c>
      <c r="Q26" s="18" t="n">
        <v>3.71264509</v>
      </c>
      <c r="R26" s="20" t="n">
        <v>0.81817849</v>
      </c>
    </row>
    <row r="27" spans="1:18">
      <c r="A27" s="15" t="s">
        <v>587</v>
      </c>
      <c r="B27" s="17" t="n">
        <v>2616</v>
      </c>
      <c r="C27" s="18">
        <f>(1979.0/B27*100)</f>
        <v/>
      </c>
      <c r="D27" s="19" t="n">
        <v>637</v>
      </c>
      <c r="E27" s="18" t="n">
        <v>29.83260295</v>
      </c>
      <c r="F27" s="20" t="n">
        <v>1.82601444</v>
      </c>
      <c r="G27" s="18" t="n">
        <v>63.80522053</v>
      </c>
      <c r="H27" s="20" t="n">
        <v>1.75481341</v>
      </c>
      <c r="I27" s="18" t="s">
        <v>567</v>
      </c>
      <c r="J27" s="20" t="s">
        <v>567</v>
      </c>
      <c r="K27" s="18" t="n">
        <v>0.32048677</v>
      </c>
      <c r="L27" s="20" t="n">
        <v>0.22578353</v>
      </c>
      <c r="M27" s="18" t="n">
        <v>0</v>
      </c>
      <c r="N27" s="20" t="n">
        <v>0</v>
      </c>
      <c r="O27" s="18" t="n">
        <v>0</v>
      </c>
      <c r="P27" s="20" t="n">
        <v>0</v>
      </c>
      <c r="Q27" s="18" t="n">
        <v>6.04168975</v>
      </c>
      <c r="R27" s="20" t="n">
        <v>0.94566118</v>
      </c>
    </row>
    <row r="28" spans="1:18">
      <c r="A28" s="15" t="s">
        <v>588</v>
      </c>
      <c r="B28" s="17" t="n">
        <v>3765</v>
      </c>
      <c r="C28" s="18">
        <f>(2969.0/B28*100)</f>
        <v/>
      </c>
      <c r="D28" s="19" t="n">
        <v>796</v>
      </c>
      <c r="E28" s="18" t="n">
        <v>39.17473598</v>
      </c>
      <c r="F28" s="20" t="n">
        <v>2.27555466</v>
      </c>
      <c r="G28" s="18" t="n">
        <v>53.34295187</v>
      </c>
      <c r="H28" s="20" t="n">
        <v>2.18207584</v>
      </c>
      <c r="I28" s="18" t="s">
        <v>567</v>
      </c>
      <c r="J28" s="20" t="s">
        <v>567</v>
      </c>
      <c r="K28" s="18" t="n">
        <v>0.18682481</v>
      </c>
      <c r="L28" s="20" t="n">
        <v>0.14092533</v>
      </c>
      <c r="M28" s="18" t="n">
        <v>0</v>
      </c>
      <c r="N28" s="20" t="n">
        <v>0</v>
      </c>
      <c r="O28" s="18" t="n">
        <v>0</v>
      </c>
      <c r="P28" s="20" t="n">
        <v>0</v>
      </c>
      <c r="Q28" s="18" t="n">
        <v>7.29548735</v>
      </c>
      <c r="R28" s="20" t="n">
        <v>1.20461008</v>
      </c>
    </row>
    <row r="29" spans="1:18">
      <c r="A29" s="15" t="s">
        <v>589</v>
      </c>
      <c r="B29" s="17" t="n">
        <v>2685</v>
      </c>
      <c r="C29" s="18">
        <f>(2150.0/B29*100)</f>
        <v/>
      </c>
      <c r="D29" s="19" t="n">
        <v>535</v>
      </c>
      <c r="E29" s="18" t="n">
        <v>23.99147761</v>
      </c>
      <c r="F29" s="20" t="n">
        <v>1.92821144</v>
      </c>
      <c r="G29" s="18" t="n">
        <v>72.28985849999999</v>
      </c>
      <c r="H29" s="20" t="n">
        <v>1.88051267</v>
      </c>
      <c r="I29" s="18" t="s">
        <v>567</v>
      </c>
      <c r="J29" s="20" t="s">
        <v>567</v>
      </c>
      <c r="K29" s="18" t="n">
        <v>0.13821088</v>
      </c>
      <c r="L29" s="20" t="n">
        <v>0.18954404</v>
      </c>
      <c r="M29" s="18" t="n">
        <v>0</v>
      </c>
      <c r="N29" s="20" t="n">
        <v>0</v>
      </c>
      <c r="O29" s="18" t="n">
        <v>0</v>
      </c>
      <c r="P29" s="20" t="n">
        <v>0</v>
      </c>
      <c r="Q29" s="18" t="n">
        <v>3.58045301</v>
      </c>
      <c r="R29" s="20" t="n">
        <v>0.92310816</v>
      </c>
    </row>
    <row r="30" spans="1:18">
      <c r="A30" s="15" t="s">
        <v>590</v>
      </c>
      <c r="B30" s="17" t="n">
        <v>2263</v>
      </c>
      <c r="C30" s="18">
        <f>(1744.0/B30*100)</f>
        <v/>
      </c>
      <c r="D30" s="19" t="n">
        <v>519</v>
      </c>
      <c r="E30" s="18" t="n">
        <v>25.2826391</v>
      </c>
      <c r="F30" s="20" t="n">
        <v>2.14054674</v>
      </c>
      <c r="G30" s="18" t="n">
        <v>71.58865006000001</v>
      </c>
      <c r="H30" s="20" t="n">
        <v>2.27633274</v>
      </c>
      <c r="I30" s="18" t="s">
        <v>567</v>
      </c>
      <c r="J30" s="20" t="s">
        <v>567</v>
      </c>
      <c r="K30" s="18" t="n">
        <v>0.52513557</v>
      </c>
      <c r="L30" s="20" t="n">
        <v>0.30283975</v>
      </c>
      <c r="M30" s="18" t="n">
        <v>0</v>
      </c>
      <c r="N30" s="20" t="n">
        <v>0</v>
      </c>
      <c r="O30" s="18" t="n">
        <v>0</v>
      </c>
      <c r="P30" s="20" t="n">
        <v>0</v>
      </c>
      <c r="Q30" s="18" t="n">
        <v>2.60357527</v>
      </c>
      <c r="R30" s="20" t="n">
        <v>0.72040063</v>
      </c>
    </row>
    <row r="31" spans="1:18">
      <c r="A31" s="15" t="s">
        <v>591</v>
      </c>
      <c r="B31" s="17" t="n">
        <v>2750</v>
      </c>
      <c r="C31" s="18">
        <f>(2119.0/B31*100)</f>
        <v/>
      </c>
      <c r="D31" s="19" t="n">
        <v>631</v>
      </c>
      <c r="E31" s="18" t="n">
        <v>28.38526316</v>
      </c>
      <c r="F31" s="20" t="n">
        <v>1.81945997</v>
      </c>
      <c r="G31" s="18" t="n">
        <v>67.07216425</v>
      </c>
      <c r="H31" s="20" t="n">
        <v>2.20877548</v>
      </c>
      <c r="I31" s="18" t="s">
        <v>567</v>
      </c>
      <c r="J31" s="20" t="s">
        <v>567</v>
      </c>
      <c r="K31" s="18" t="n">
        <v>0.45493801</v>
      </c>
      <c r="L31" s="20" t="n">
        <v>0.25561227</v>
      </c>
      <c r="M31" s="18" t="n">
        <v>0</v>
      </c>
      <c r="N31" s="20" t="n">
        <v>0</v>
      </c>
      <c r="O31" s="18" t="n">
        <v>0</v>
      </c>
      <c r="P31" s="20" t="n">
        <v>0</v>
      </c>
      <c r="Q31" s="18" t="n">
        <v>4.08763457</v>
      </c>
      <c r="R31" s="20" t="n">
        <v>0.9473587</v>
      </c>
    </row>
    <row r="32" spans="1:18">
      <c r="A32" s="15" t="s">
        <v>592</v>
      </c>
      <c r="B32" s="17" t="n">
        <v>2269</v>
      </c>
      <c r="C32" s="18">
        <f>(1748.0/B32*100)</f>
        <v/>
      </c>
      <c r="D32" s="19" t="n">
        <v>521</v>
      </c>
      <c r="E32" s="18" t="n">
        <v>28.0262749</v>
      </c>
      <c r="F32" s="20" t="n">
        <v>1.53201</v>
      </c>
      <c r="G32" s="18" t="n">
        <v>68.77466866</v>
      </c>
      <c r="H32" s="20" t="n">
        <v>1.74488141</v>
      </c>
      <c r="I32" s="18" t="s">
        <v>567</v>
      </c>
      <c r="J32" s="20" t="s">
        <v>567</v>
      </c>
      <c r="K32" s="18" t="n">
        <v>0</v>
      </c>
      <c r="L32" s="20" t="n">
        <v>0</v>
      </c>
      <c r="M32" s="18" t="n">
        <v>0</v>
      </c>
      <c r="N32" s="20" t="n">
        <v>0</v>
      </c>
      <c r="O32" s="18" t="n">
        <v>0</v>
      </c>
      <c r="P32" s="20" t="n">
        <v>0</v>
      </c>
      <c r="Q32" s="18" t="n">
        <v>3.19905644</v>
      </c>
      <c r="R32" s="20" t="n">
        <v>0.83718874</v>
      </c>
    </row>
    <row r="33" spans="1:18">
      <c r="A33" s="15" t="s">
        <v>593</v>
      </c>
      <c r="B33" s="17" t="n">
        <v>3674</v>
      </c>
      <c r="C33" s="18">
        <f>(2870.0/B33*100)</f>
        <v/>
      </c>
      <c r="D33" s="19" t="n">
        <v>804</v>
      </c>
      <c r="E33" s="18" t="n">
        <v>24.98532315</v>
      </c>
      <c r="F33" s="20" t="n">
        <v>1.7286814</v>
      </c>
      <c r="G33" s="18" t="n">
        <v>73.09909632999999</v>
      </c>
      <c r="H33" s="20" t="n">
        <v>1.74106262</v>
      </c>
      <c r="I33" s="18" t="s">
        <v>567</v>
      </c>
      <c r="J33" s="20" t="s">
        <v>567</v>
      </c>
      <c r="K33" s="18" t="n">
        <v>0.01804259</v>
      </c>
      <c r="L33" s="20" t="n">
        <v>0.01280742</v>
      </c>
      <c r="M33" s="18" t="n">
        <v>0</v>
      </c>
      <c r="N33" s="20" t="n">
        <v>0</v>
      </c>
      <c r="O33" s="18" t="n">
        <v>0</v>
      </c>
      <c r="P33" s="20" t="n">
        <v>0</v>
      </c>
      <c r="Q33" s="18" t="n">
        <v>1.89753793</v>
      </c>
      <c r="R33" s="20" t="n">
        <v>0.40652667</v>
      </c>
    </row>
    <row r="34" spans="1:18">
      <c r="A34" s="15" t="s">
        <v>594</v>
      </c>
      <c r="B34" s="17" t="n">
        <v>3315</v>
      </c>
      <c r="C34" s="18">
        <f>(2603.0/B34*100)</f>
        <v/>
      </c>
      <c r="D34" s="19" t="n">
        <v>712</v>
      </c>
      <c r="E34" s="18" t="n">
        <v>33.12902006</v>
      </c>
      <c r="F34" s="20" t="n">
        <v>2.01166911</v>
      </c>
      <c r="G34" s="18" t="n">
        <v>62.52735226</v>
      </c>
      <c r="H34" s="20" t="n">
        <v>1.98044667</v>
      </c>
      <c r="I34" s="18" t="s">
        <v>567</v>
      </c>
      <c r="J34" s="20" t="s">
        <v>567</v>
      </c>
      <c r="K34" s="18" t="n">
        <v>0</v>
      </c>
      <c r="L34" s="20" t="n">
        <v>0</v>
      </c>
      <c r="M34" s="18" t="n">
        <v>0</v>
      </c>
      <c r="N34" s="20" t="n">
        <v>0</v>
      </c>
      <c r="O34" s="18" t="n">
        <v>0</v>
      </c>
      <c r="P34" s="20" t="n">
        <v>0</v>
      </c>
      <c r="Q34" s="18" t="n">
        <v>4.34362768</v>
      </c>
      <c r="R34" s="20" t="n">
        <v>0.83049368</v>
      </c>
    </row>
    <row r="35" spans="1:18">
      <c r="A35" s="15" t="s">
        <v>595</v>
      </c>
      <c r="B35" s="17" t="n">
        <v>3505</v>
      </c>
      <c r="C35" s="18">
        <f>(2724.0/B35*100)</f>
        <v/>
      </c>
      <c r="D35" s="19" t="n">
        <v>781</v>
      </c>
      <c r="E35" s="18" t="n">
        <v>30.69090294</v>
      </c>
      <c r="F35" s="20" t="n">
        <v>1.92912576</v>
      </c>
      <c r="G35" s="18" t="n">
        <v>66.28769558</v>
      </c>
      <c r="H35" s="20" t="n">
        <v>1.94479213</v>
      </c>
      <c r="I35" s="18" t="s">
        <v>567</v>
      </c>
      <c r="J35" s="20" t="s">
        <v>567</v>
      </c>
      <c r="K35" s="18" t="n">
        <v>0.16776677</v>
      </c>
      <c r="L35" s="20" t="n">
        <v>0.09720032000000001</v>
      </c>
      <c r="M35" s="18" t="n">
        <v>0</v>
      </c>
      <c r="N35" s="20" t="n">
        <v>0</v>
      </c>
      <c r="O35" s="18" t="n">
        <v>0</v>
      </c>
      <c r="P35" s="20" t="n">
        <v>0</v>
      </c>
      <c r="Q35" s="18" t="n">
        <v>2.85363472</v>
      </c>
      <c r="R35" s="20" t="n">
        <v>0.53321967</v>
      </c>
    </row>
    <row r="36" spans="1:18">
      <c r="A36" s="15" t="s">
        <v>596</v>
      </c>
      <c r="B36" s="17" t="n">
        <v>3332</v>
      </c>
      <c r="C36" s="18">
        <f>(2632.0/B36*100)</f>
        <v/>
      </c>
      <c r="D36" s="19" t="n">
        <v>700</v>
      </c>
      <c r="E36" s="18" t="n">
        <v>22.03567761</v>
      </c>
      <c r="F36" s="20" t="n">
        <v>1.60613156</v>
      </c>
      <c r="G36" s="18" t="n">
        <v>73.41014231</v>
      </c>
      <c r="H36" s="20" t="n">
        <v>1.91763512</v>
      </c>
      <c r="I36" s="18" t="s">
        <v>567</v>
      </c>
      <c r="J36" s="20" t="s">
        <v>567</v>
      </c>
      <c r="K36" s="18" t="n">
        <v>0.24400335</v>
      </c>
      <c r="L36" s="20" t="n">
        <v>0.23973184</v>
      </c>
      <c r="M36" s="18" t="n">
        <v>0</v>
      </c>
      <c r="N36" s="20" t="n">
        <v>0</v>
      </c>
      <c r="O36" s="18" t="n">
        <v>0</v>
      </c>
      <c r="P36" s="20" t="n">
        <v>0</v>
      </c>
      <c r="Q36" s="18" t="n">
        <v>4.31017673</v>
      </c>
      <c r="R36" s="20" t="n">
        <v>0.91686842</v>
      </c>
    </row>
    <row r="37" spans="1:18">
      <c r="A37" s="15" t="s">
        <v>597</v>
      </c>
      <c r="B37" s="17" t="n">
        <v>2727</v>
      </c>
      <c r="C37" s="18">
        <f>(2146.0/B37*100)</f>
        <v/>
      </c>
      <c r="D37" s="19" t="n">
        <v>581</v>
      </c>
      <c r="E37" s="18" t="n">
        <v>32.13542844</v>
      </c>
      <c r="F37" s="20" t="n">
        <v>2.13548568</v>
      </c>
      <c r="G37" s="18" t="n">
        <v>60.60996183</v>
      </c>
      <c r="H37" s="20" t="n">
        <v>2.43887274</v>
      </c>
      <c r="I37" s="18" t="s">
        <v>567</v>
      </c>
      <c r="J37" s="20" t="s">
        <v>567</v>
      </c>
      <c r="K37" s="18" t="n">
        <v>0.14786235</v>
      </c>
      <c r="L37" s="20" t="n">
        <v>0.20932786</v>
      </c>
      <c r="M37" s="18" t="n">
        <v>0</v>
      </c>
      <c r="N37" s="20" t="n">
        <v>0</v>
      </c>
      <c r="O37" s="18" t="n">
        <v>0</v>
      </c>
      <c r="P37" s="20" t="n">
        <v>0</v>
      </c>
      <c r="Q37" s="18" t="n">
        <v>7.10674737</v>
      </c>
      <c r="R37" s="20" t="n">
        <v>1.313579</v>
      </c>
    </row>
    <row r="38" spans="1:18">
      <c r="A38" s="15" t="s">
        <v>598</v>
      </c>
      <c r="B38" s="17" t="n">
        <v>3053</v>
      </c>
      <c r="C38" s="18">
        <f>(2403.0/B38*100)</f>
        <v/>
      </c>
      <c r="D38" s="19" t="n">
        <v>650</v>
      </c>
      <c r="E38" s="18" t="n">
        <v>29.09336234</v>
      </c>
      <c r="F38" s="20" t="n">
        <v>2.00899224</v>
      </c>
      <c r="G38" s="18" t="n">
        <v>65.51400169</v>
      </c>
      <c r="H38" s="20" t="n">
        <v>2.22943944</v>
      </c>
      <c r="I38" s="18" t="s">
        <v>567</v>
      </c>
      <c r="J38" s="20" t="s">
        <v>567</v>
      </c>
      <c r="K38" s="18" t="n">
        <v>0</v>
      </c>
      <c r="L38" s="20" t="n">
        <v>0</v>
      </c>
      <c r="M38" s="18" t="n">
        <v>0</v>
      </c>
      <c r="N38" s="20" t="n">
        <v>0</v>
      </c>
      <c r="O38" s="18" t="n">
        <v>0</v>
      </c>
      <c r="P38" s="20" t="n">
        <v>0</v>
      </c>
      <c r="Q38" s="18" t="n">
        <v>5.39263598</v>
      </c>
      <c r="R38" s="20" t="n">
        <v>0.86411026</v>
      </c>
    </row>
    <row r="39" spans="1:18">
      <c r="A39" s="15" t="s">
        <v>599</v>
      </c>
      <c r="B39" s="17" t="n">
        <v>2957</v>
      </c>
      <c r="C39" s="18">
        <f>(2320.0/B39*100)</f>
        <v/>
      </c>
      <c r="D39" s="19" t="n">
        <v>637</v>
      </c>
      <c r="E39" s="18" t="n">
        <v>45.71110494</v>
      </c>
      <c r="F39" s="20" t="n">
        <v>2.6776381</v>
      </c>
      <c r="G39" s="18" t="n">
        <v>48.34783207</v>
      </c>
      <c r="H39" s="20" t="n">
        <v>2.53061976</v>
      </c>
      <c r="I39" s="18" t="s">
        <v>567</v>
      </c>
      <c r="J39" s="20" t="s">
        <v>567</v>
      </c>
      <c r="K39" s="18" t="n">
        <v>0.63401906</v>
      </c>
      <c r="L39" s="20" t="n">
        <v>0.26643816</v>
      </c>
      <c r="M39" s="18" t="n">
        <v>0</v>
      </c>
      <c r="N39" s="20" t="n">
        <v>0</v>
      </c>
      <c r="O39" s="18" t="n">
        <v>0</v>
      </c>
      <c r="P39" s="20" t="n">
        <v>0</v>
      </c>
      <c r="Q39" s="18" t="n">
        <v>5.30704393</v>
      </c>
      <c r="R39" s="20" t="n">
        <v>0.89127057</v>
      </c>
    </row>
    <row r="40" spans="1:18">
      <c r="A40" s="15" t="s">
        <v>600</v>
      </c>
      <c r="B40" s="17" t="n">
        <v>7235</v>
      </c>
      <c r="C40" s="18">
        <f>(5648.0/B40*100)</f>
        <v/>
      </c>
      <c r="D40" s="19" t="n">
        <v>1587</v>
      </c>
      <c r="E40" s="18" t="n">
        <v>24.74736579</v>
      </c>
      <c r="F40" s="20" t="n">
        <v>1.54253866</v>
      </c>
      <c r="G40" s="18" t="n">
        <v>71.13882134000001</v>
      </c>
      <c r="H40" s="20" t="n">
        <v>1.55745484</v>
      </c>
      <c r="I40" s="18" t="s">
        <v>567</v>
      </c>
      <c r="J40" s="20" t="s">
        <v>567</v>
      </c>
      <c r="K40" s="18" t="n">
        <v>0.03346273</v>
      </c>
      <c r="L40" s="20" t="n">
        <v>0.02475299</v>
      </c>
      <c r="M40" s="18" t="n">
        <v>0</v>
      </c>
      <c r="N40" s="20" t="n">
        <v>0</v>
      </c>
      <c r="O40" s="18" t="n">
        <v>0</v>
      </c>
      <c r="P40" s="20" t="n">
        <v>0</v>
      </c>
      <c r="Q40" s="18" t="n">
        <v>4.08035014</v>
      </c>
      <c r="R40" s="20" t="n">
        <v>0.70674317</v>
      </c>
    </row>
    <row r="41" spans="1:18">
      <c r="A41" s="15" t="s">
        <v>601</v>
      </c>
      <c r="B41" s="17" t="n">
        <v>2858</v>
      </c>
      <c r="C41" s="18">
        <f>(2264.0/B41*100)</f>
        <v/>
      </c>
      <c r="D41" s="19" t="n">
        <v>594</v>
      </c>
      <c r="E41" s="18" t="n">
        <v>26.08568318</v>
      </c>
      <c r="F41" s="20" t="n">
        <v>1.54845976</v>
      </c>
      <c r="G41" s="18" t="n">
        <v>72.06767951</v>
      </c>
      <c r="H41" s="20" t="n">
        <v>1.61919891</v>
      </c>
      <c r="I41" s="18" t="s">
        <v>567</v>
      </c>
      <c r="J41" s="20" t="s">
        <v>567</v>
      </c>
      <c r="K41" s="18" t="n">
        <v>0</v>
      </c>
      <c r="L41" s="20" t="n">
        <v>0</v>
      </c>
      <c r="M41" s="18" t="n">
        <v>0</v>
      </c>
      <c r="N41" s="20" t="n">
        <v>0</v>
      </c>
      <c r="O41" s="18" t="n">
        <v>0</v>
      </c>
      <c r="P41" s="20" t="n">
        <v>0</v>
      </c>
      <c r="Q41" s="18" t="n">
        <v>1.84663732</v>
      </c>
      <c r="R41" s="20" t="n">
        <v>0.62350761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(8867.0/B46*100)</f>
        <v/>
      </c>
      <c r="D46" s="19" t="n">
        <v>2201</v>
      </c>
      <c r="E46" s="18" t="n">
        <v>34.16757542</v>
      </c>
      <c r="F46" s="20" t="n">
        <v>1.5383768</v>
      </c>
      <c r="G46" s="18" t="n">
        <v>52.75993656</v>
      </c>
      <c r="H46" s="20" t="n">
        <v>1.71261055</v>
      </c>
      <c r="I46" s="18" t="s">
        <v>567</v>
      </c>
      <c r="J46" s="20" t="s">
        <v>567</v>
      </c>
      <c r="K46" s="18" t="n">
        <v>0.95570477</v>
      </c>
      <c r="L46" s="20" t="n">
        <v>0.32881889</v>
      </c>
      <c r="M46" s="18" t="n">
        <v>0</v>
      </c>
      <c r="N46" s="20" t="n">
        <v>0</v>
      </c>
      <c r="O46" s="18" t="n">
        <v>0</v>
      </c>
      <c r="P46" s="20" t="n">
        <v>0</v>
      </c>
      <c r="Q46" s="18" t="n">
        <v>12.11678325</v>
      </c>
      <c r="R46" s="20" t="n">
        <v>0.97843123</v>
      </c>
    </row>
    <row r="47" spans="1:18">
      <c r="A47" s="15" t="s">
        <v>607</v>
      </c>
      <c r="B47" s="17" t="n">
        <v>3105</v>
      </c>
      <c r="C47" s="18">
        <f>(2467.0/B47*100)</f>
        <v/>
      </c>
      <c r="D47" s="19" t="n">
        <v>638</v>
      </c>
      <c r="E47" s="18" t="n">
        <v>32.71622703</v>
      </c>
      <c r="F47" s="20" t="n">
        <v>2.0038676</v>
      </c>
      <c r="G47" s="18" t="n">
        <v>56.72973943</v>
      </c>
      <c r="H47" s="20" t="n">
        <v>2.74376644</v>
      </c>
      <c r="I47" s="18" t="s">
        <v>567</v>
      </c>
      <c r="J47" s="20" t="s">
        <v>567</v>
      </c>
      <c r="K47" s="18" t="n">
        <v>0.31444253</v>
      </c>
      <c r="L47" s="20" t="n">
        <v>0.24258599</v>
      </c>
      <c r="M47" s="18" t="n">
        <v>0</v>
      </c>
      <c r="N47" s="20" t="n">
        <v>0</v>
      </c>
      <c r="O47" s="18" t="n">
        <v>0</v>
      </c>
      <c r="P47" s="20" t="n">
        <v>0</v>
      </c>
      <c r="Q47" s="18" t="n">
        <v>10.23959102</v>
      </c>
      <c r="R47" s="20" t="n">
        <v>1.44712729</v>
      </c>
    </row>
    <row r="48" spans="1:18">
      <c r="A48" s="15" t="s">
        <v>608</v>
      </c>
      <c r="B48" s="17" t="n">
        <v>5159</v>
      </c>
      <c r="C48" s="18">
        <f>(4023.0/B48*100)</f>
        <v/>
      </c>
      <c r="D48" s="19" t="n">
        <v>1136</v>
      </c>
      <c r="E48" s="18" t="n">
        <v>17.33097466</v>
      </c>
      <c r="F48" s="20" t="n">
        <v>1.40359042</v>
      </c>
      <c r="G48" s="18" t="n">
        <v>78.91802149999999</v>
      </c>
      <c r="H48" s="20" t="n">
        <v>1.54775151</v>
      </c>
      <c r="I48" s="18" t="s">
        <v>567</v>
      </c>
      <c r="J48" s="20" t="s">
        <v>567</v>
      </c>
      <c r="K48" s="18" t="n">
        <v>0.42076501</v>
      </c>
      <c r="L48" s="20" t="n">
        <v>0.24164845</v>
      </c>
      <c r="M48" s="18" t="n">
        <v>0</v>
      </c>
      <c r="N48" s="20" t="n">
        <v>0</v>
      </c>
      <c r="O48" s="18" t="n">
        <v>0</v>
      </c>
      <c r="P48" s="20" t="n">
        <v>0</v>
      </c>
      <c r="Q48" s="18" t="n">
        <v>3.33023883</v>
      </c>
      <c r="R48" s="20" t="n">
        <v>0.56774695</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(4432.0/B50*100)</f>
        <v/>
      </c>
      <c r="D50" s="19" t="n">
        <v>1205</v>
      </c>
      <c r="E50" s="18" t="n">
        <v>34.80585575</v>
      </c>
      <c r="F50" s="20" t="n">
        <v>1.66017423</v>
      </c>
      <c r="G50" s="18" t="n">
        <v>56.08276939</v>
      </c>
      <c r="H50" s="20" t="n">
        <v>1.9429587</v>
      </c>
      <c r="I50" s="18" t="s">
        <v>567</v>
      </c>
      <c r="J50" s="20" t="s">
        <v>567</v>
      </c>
      <c r="K50" s="18" t="n">
        <v>0.72928309</v>
      </c>
      <c r="L50" s="20" t="n">
        <v>0.39023827</v>
      </c>
      <c r="M50" s="18" t="n">
        <v>0</v>
      </c>
      <c r="N50" s="20" t="n">
        <v>0</v>
      </c>
      <c r="O50" s="18" t="n">
        <v>0</v>
      </c>
      <c r="P50" s="20" t="n">
        <v>0</v>
      </c>
      <c r="Q50" s="18" t="n">
        <v>8.382091770000001</v>
      </c>
      <c r="R50" s="20" t="n">
        <v>1.37429744</v>
      </c>
    </row>
    <row r="51" spans="1:18">
      <c r="A51" s="15" t="s">
        <v>611</v>
      </c>
      <c r="B51" s="17" t="n">
        <v>3372</v>
      </c>
      <c r="C51" s="18">
        <f>(2741.0/B51*100)</f>
        <v/>
      </c>
      <c r="D51" s="19" t="n">
        <v>631</v>
      </c>
      <c r="E51" s="18" t="n">
        <v>31.70047441</v>
      </c>
      <c r="F51" s="20" t="n">
        <v>2.20702279</v>
      </c>
      <c r="G51" s="18" t="n">
        <v>60.1636181</v>
      </c>
      <c r="H51" s="20" t="n">
        <v>2.4383639</v>
      </c>
      <c r="I51" s="18" t="s">
        <v>567</v>
      </c>
      <c r="J51" s="20" t="s">
        <v>567</v>
      </c>
      <c r="K51" s="18" t="n">
        <v>0.53926277</v>
      </c>
      <c r="L51" s="20" t="n">
        <v>0.29902532</v>
      </c>
      <c r="M51" s="18" t="n">
        <v>0</v>
      </c>
      <c r="N51" s="20" t="n">
        <v>0</v>
      </c>
      <c r="O51" s="18" t="n">
        <v>0</v>
      </c>
      <c r="P51" s="20" t="n">
        <v>0</v>
      </c>
      <c r="Q51" s="18" t="n">
        <v>7.59664472</v>
      </c>
      <c r="R51" s="20" t="n">
        <v>1.22399381</v>
      </c>
    </row>
    <row r="52" spans="1:18">
      <c r="A52" s="15" t="s">
        <v>612</v>
      </c>
      <c r="B52" s="17" t="n">
        <v>2796</v>
      </c>
      <c r="C52" s="18">
        <f>(2142.0/B52*100)</f>
        <v/>
      </c>
      <c r="D52" s="19" t="n">
        <v>654</v>
      </c>
      <c r="E52" s="18" t="n">
        <v>28.21233779</v>
      </c>
      <c r="F52" s="20" t="n">
        <v>1.83725485</v>
      </c>
      <c r="G52" s="18" t="n">
        <v>67.55845591000001</v>
      </c>
      <c r="H52" s="20" t="n">
        <v>2.0154356</v>
      </c>
      <c r="I52" s="18" t="s">
        <v>567</v>
      </c>
      <c r="J52" s="20" t="s">
        <v>567</v>
      </c>
      <c r="K52" s="18" t="n">
        <v>0</v>
      </c>
      <c r="L52" s="20" t="n">
        <v>0</v>
      </c>
      <c r="M52" s="18" t="n">
        <v>0</v>
      </c>
      <c r="N52" s="20" t="n">
        <v>0</v>
      </c>
      <c r="O52" s="18" t="n">
        <v>0</v>
      </c>
      <c r="P52" s="20" t="n">
        <v>0</v>
      </c>
      <c r="Q52" s="18" t="n">
        <v>4.2292063</v>
      </c>
      <c r="R52" s="20" t="n">
        <v>0.74658382</v>
      </c>
    </row>
    <row r="53" spans="1:18">
      <c r="A53" s="15" t="s">
        <v>613</v>
      </c>
      <c r="B53" s="17" t="n">
        <v>2811</v>
      </c>
      <c r="C53" s="18">
        <f>(2209.0/B53*100)</f>
        <v/>
      </c>
      <c r="D53" s="19" t="n">
        <v>602</v>
      </c>
      <c r="E53" s="18" t="n">
        <v>35.41203257</v>
      </c>
      <c r="F53" s="20" t="n">
        <v>2.11931357</v>
      </c>
      <c r="G53" s="18" t="n">
        <v>53.88583434</v>
      </c>
      <c r="H53" s="20" t="n">
        <v>2.47965131</v>
      </c>
      <c r="I53" s="18" t="s">
        <v>567</v>
      </c>
      <c r="J53" s="20" t="s">
        <v>567</v>
      </c>
      <c r="K53" s="18" t="n">
        <v>0.11773077</v>
      </c>
      <c r="L53" s="20" t="n">
        <v>0.11791293</v>
      </c>
      <c r="M53" s="18" t="n">
        <v>0</v>
      </c>
      <c r="N53" s="20" t="n">
        <v>0</v>
      </c>
      <c r="O53" s="18" t="n">
        <v>0</v>
      </c>
      <c r="P53" s="20" t="n">
        <v>0</v>
      </c>
      <c r="Q53" s="18" t="n">
        <v>10.58440231</v>
      </c>
      <c r="R53" s="20" t="n">
        <v>1.32409535</v>
      </c>
    </row>
    <row r="54" spans="1:18">
      <c r="A54" s="15" t="s">
        <v>614</v>
      </c>
      <c r="B54" s="17" t="n">
        <v>2266</v>
      </c>
      <c r="C54" s="18">
        <f>(1740.0/B54*100)</f>
        <v/>
      </c>
      <c r="D54" s="19" t="n">
        <v>526</v>
      </c>
      <c r="E54" s="18" t="n">
        <v>36.91961466</v>
      </c>
      <c r="F54" s="20" t="n">
        <v>2.12414937</v>
      </c>
      <c r="G54" s="18" t="n">
        <v>30.60360244</v>
      </c>
      <c r="H54" s="20" t="n">
        <v>2.3890803</v>
      </c>
      <c r="I54" s="18" t="s">
        <v>567</v>
      </c>
      <c r="J54" s="20" t="s">
        <v>567</v>
      </c>
      <c r="K54" s="18" t="n">
        <v>6.67160776</v>
      </c>
      <c r="L54" s="20" t="n">
        <v>1.24153491</v>
      </c>
      <c r="M54" s="18" t="n">
        <v>0</v>
      </c>
      <c r="N54" s="20" t="n">
        <v>0</v>
      </c>
      <c r="O54" s="18" t="n">
        <v>0</v>
      </c>
      <c r="P54" s="20" t="n">
        <v>0</v>
      </c>
      <c r="Q54" s="18" t="n">
        <v>25.80517514</v>
      </c>
      <c r="R54" s="20" t="n">
        <v>1.9450477</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(2063.0/B56*100)</f>
        <v/>
      </c>
      <c r="D56" s="19" t="n">
        <v>621</v>
      </c>
      <c r="E56" s="18" t="n">
        <v>20.12796907</v>
      </c>
      <c r="F56" s="20" t="n">
        <v>1.66714243</v>
      </c>
      <c r="G56" s="18" t="n">
        <v>78.3363463</v>
      </c>
      <c r="H56" s="20" t="n">
        <v>1.76198437</v>
      </c>
      <c r="I56" s="18" t="s">
        <v>567</v>
      </c>
      <c r="J56" s="20" t="s">
        <v>567</v>
      </c>
      <c r="K56" s="18" t="n">
        <v>0</v>
      </c>
      <c r="L56" s="20" t="n">
        <v>0</v>
      </c>
      <c r="M56" s="18" t="n">
        <v>0</v>
      </c>
      <c r="N56" s="20" t="n">
        <v>0</v>
      </c>
      <c r="O56" s="18" t="n">
        <v>0</v>
      </c>
      <c r="P56" s="20" t="n">
        <v>0</v>
      </c>
      <c r="Q56" s="18" t="n">
        <v>1.53568463</v>
      </c>
      <c r="R56" s="20" t="n">
        <v>0.55558763</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(2592.0/B61*100)</f>
        <v/>
      </c>
      <c r="D61" s="19" t="n">
        <v>732</v>
      </c>
      <c r="E61" s="18" t="n">
        <v>27.80948017</v>
      </c>
      <c r="F61" s="20" t="n">
        <v>1.97985041</v>
      </c>
      <c r="G61" s="18" t="n">
        <v>66.82383299999999</v>
      </c>
      <c r="H61" s="20" t="n">
        <v>2.18698318</v>
      </c>
      <c r="I61" s="18" t="s">
        <v>567</v>
      </c>
      <c r="J61" s="20" t="s">
        <v>567</v>
      </c>
      <c r="K61" s="18" t="n">
        <v>0</v>
      </c>
      <c r="L61" s="20" t="n">
        <v>0</v>
      </c>
      <c r="M61" s="18" t="n">
        <v>0</v>
      </c>
      <c r="N61" s="20" t="n">
        <v>0</v>
      </c>
      <c r="O61" s="18" t="n">
        <v>0</v>
      </c>
      <c r="P61" s="20" t="n">
        <v>0</v>
      </c>
      <c r="Q61" s="18" t="n">
        <v>5.36668684</v>
      </c>
      <c r="R61" s="20" t="n">
        <v>0.79124525</v>
      </c>
    </row>
    <row r="62" spans="1:18">
      <c r="A62" s="15" t="s">
        <v>622</v>
      </c>
      <c r="B62" s="17" t="n">
        <v>2246</v>
      </c>
      <c r="C62" s="18">
        <f>(1790.0/B62*100)</f>
        <v/>
      </c>
      <c r="D62" s="19" t="n">
        <v>456</v>
      </c>
      <c r="E62" s="18" t="n">
        <v>19.74917632</v>
      </c>
      <c r="F62" s="20" t="n">
        <v>1.73466467</v>
      </c>
      <c r="G62" s="18" t="n">
        <v>79.81009417</v>
      </c>
      <c r="H62" s="20" t="n">
        <v>1.75020193</v>
      </c>
      <c r="I62" s="18" t="s">
        <v>567</v>
      </c>
      <c r="J62" s="20" t="s">
        <v>567</v>
      </c>
      <c r="K62" s="18" t="n">
        <v>0</v>
      </c>
      <c r="L62" s="20" t="n">
        <v>0</v>
      </c>
      <c r="M62" s="18" t="n">
        <v>0</v>
      </c>
      <c r="N62" s="20" t="n">
        <v>0</v>
      </c>
      <c r="O62" s="18" t="n">
        <v>0</v>
      </c>
      <c r="P62" s="20" t="n">
        <v>0</v>
      </c>
      <c r="Q62" s="18" t="n">
        <v>0.44072951</v>
      </c>
      <c r="R62" s="20" t="n">
        <v>0.31454699</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(2236.0/B66*100)</f>
        <v/>
      </c>
      <c r="D66" s="19" t="n">
        <v>658</v>
      </c>
      <c r="E66" s="18" t="n">
        <v>32.93538436</v>
      </c>
      <c r="F66" s="20" t="n">
        <v>2.09065207</v>
      </c>
      <c r="G66" s="18" t="n">
        <v>51.91900608</v>
      </c>
      <c r="H66" s="20" t="n">
        <v>2.00117927</v>
      </c>
      <c r="I66" s="18" t="s">
        <v>567</v>
      </c>
      <c r="J66" s="20" t="s">
        <v>567</v>
      </c>
      <c r="K66" s="18" t="n">
        <v>0.42147163</v>
      </c>
      <c r="L66" s="20" t="n">
        <v>0.24169513</v>
      </c>
      <c r="M66" s="18" t="n">
        <v>0</v>
      </c>
      <c r="N66" s="20" t="n">
        <v>0</v>
      </c>
      <c r="O66" s="18" t="n">
        <v>0</v>
      </c>
      <c r="P66" s="20" t="n">
        <v>0</v>
      </c>
      <c r="Q66" s="18" t="n">
        <v>14.72413793</v>
      </c>
      <c r="R66" s="20" t="n">
        <v>1.29040116</v>
      </c>
    </row>
    <row r="67" spans="1:18">
      <c r="A67" s="15" t="s">
        <v>627</v>
      </c>
      <c r="B67" s="17" t="n">
        <v>3511</v>
      </c>
      <c r="C67" s="18">
        <f>(2776.0/B67*100)</f>
        <v/>
      </c>
      <c r="D67" s="19" t="n">
        <v>735</v>
      </c>
      <c r="E67" s="18" t="n">
        <v>37.04088475</v>
      </c>
      <c r="F67" s="20" t="n">
        <v>2.23760073</v>
      </c>
      <c r="G67" s="18" t="n">
        <v>54.41148561</v>
      </c>
      <c r="H67" s="20" t="n">
        <v>2.45090702</v>
      </c>
      <c r="I67" s="18" t="s">
        <v>567</v>
      </c>
      <c r="J67" s="20" t="s">
        <v>567</v>
      </c>
      <c r="K67" s="18" t="n">
        <v>0.17812176</v>
      </c>
      <c r="L67" s="20" t="n">
        <v>0.17783199</v>
      </c>
      <c r="M67" s="18" t="n">
        <v>0</v>
      </c>
      <c r="N67" s="20" t="n">
        <v>0</v>
      </c>
      <c r="O67" s="18" t="n">
        <v>0</v>
      </c>
      <c r="P67" s="20" t="n">
        <v>0</v>
      </c>
      <c r="Q67" s="18" t="n">
        <v>8.36950788</v>
      </c>
      <c r="R67" s="20" t="n">
        <v>1.20036125</v>
      </c>
    </row>
    <row r="68" spans="1:18">
      <c r="A68" s="15" t="s">
        <v>628</v>
      </c>
      <c r="B68" s="17" t="n">
        <v>6049</v>
      </c>
      <c r="C68" s="18">
        <f>(4714.0/B68*100)</f>
        <v/>
      </c>
      <c r="D68" s="19" t="n">
        <v>1335</v>
      </c>
      <c r="E68" s="18" t="n">
        <v>38.99001612</v>
      </c>
      <c r="F68" s="20" t="n">
        <v>1.36454353</v>
      </c>
      <c r="G68" s="18" t="n">
        <v>46.3098495</v>
      </c>
      <c r="H68" s="20" t="n">
        <v>1.33233692</v>
      </c>
      <c r="I68" s="18" t="s">
        <v>567</v>
      </c>
      <c r="J68" s="20" t="s">
        <v>567</v>
      </c>
      <c r="K68" s="18" t="n">
        <v>1.02222811</v>
      </c>
      <c r="L68" s="20" t="n">
        <v>0.27363108</v>
      </c>
      <c r="M68" s="18" t="n">
        <v>0</v>
      </c>
      <c r="N68" s="20" t="n">
        <v>0</v>
      </c>
      <c r="O68" s="18" t="n">
        <v>0</v>
      </c>
      <c r="P68" s="20" t="n">
        <v>0</v>
      </c>
      <c r="Q68" s="18" t="n">
        <v>13.67790627</v>
      </c>
      <c r="R68" s="20" t="n">
        <v>0.99989141</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(2320.0/B70*100)</f>
        <v/>
      </c>
      <c r="D70" s="19" t="n">
        <v>609</v>
      </c>
      <c r="E70" s="18" t="n">
        <v>27.25413053</v>
      </c>
      <c r="F70" s="20" t="n">
        <v>1.76956777</v>
      </c>
      <c r="G70" s="18" t="n">
        <v>67.07584506000001</v>
      </c>
      <c r="H70" s="20" t="n">
        <v>2.00530987</v>
      </c>
      <c r="I70" s="18" t="s">
        <v>567</v>
      </c>
      <c r="J70" s="20" t="s">
        <v>567</v>
      </c>
      <c r="K70" s="18" t="n">
        <v>0</v>
      </c>
      <c r="L70" s="20" t="n">
        <v>0</v>
      </c>
      <c r="M70" s="18" t="n">
        <v>0</v>
      </c>
      <c r="N70" s="20" t="n">
        <v>0</v>
      </c>
      <c r="O70" s="18" t="n">
        <v>0</v>
      </c>
      <c r="P70" s="20" t="n">
        <v>0</v>
      </c>
      <c r="Q70" s="18" t="n">
        <v>5.67002441</v>
      </c>
      <c r="R70" s="20" t="n">
        <v>1.34241599</v>
      </c>
    </row>
    <row r="71" spans="1:18">
      <c r="A71" s="15" t="s">
        <v>631</v>
      </c>
      <c r="B71" s="17" t="n">
        <v>3142</v>
      </c>
      <c r="C71" s="18">
        <f>(2464.0/B71*100)</f>
        <v/>
      </c>
      <c r="D71" s="19" t="n">
        <v>678</v>
      </c>
      <c r="E71" s="18" t="n">
        <v>18.34123153</v>
      </c>
      <c r="F71" s="20" t="n">
        <v>1.56661612</v>
      </c>
      <c r="G71" s="18" t="n">
        <v>79.70896116</v>
      </c>
      <c r="H71" s="20" t="n">
        <v>1.63798224</v>
      </c>
      <c r="I71" s="18" t="s">
        <v>567</v>
      </c>
      <c r="J71" s="20" t="s">
        <v>567</v>
      </c>
      <c r="K71" s="18" t="n">
        <v>0.20512873</v>
      </c>
      <c r="L71" s="20" t="n">
        <v>0.14838806</v>
      </c>
      <c r="M71" s="18" t="n">
        <v>0</v>
      </c>
      <c r="N71" s="20" t="n">
        <v>0</v>
      </c>
      <c r="O71" s="18" t="n">
        <v>0</v>
      </c>
      <c r="P71" s="20" t="n">
        <v>0</v>
      </c>
      <c r="Q71" s="18" t="n">
        <v>1.74467858</v>
      </c>
      <c r="R71" s="20" t="n">
        <v>0.45221894</v>
      </c>
    </row>
    <row r="72" spans="1:18">
      <c r="A72" s="15" t="s">
        <v>632</v>
      </c>
      <c r="B72" s="17" t="n">
        <v>3889</v>
      </c>
      <c r="C72" s="18">
        <f>(3012.0/B72*100)</f>
        <v/>
      </c>
      <c r="D72" s="19" t="n">
        <v>877</v>
      </c>
      <c r="E72" s="18" t="n">
        <v>21.52758389</v>
      </c>
      <c r="F72" s="20" t="n">
        <v>1.5220316</v>
      </c>
      <c r="G72" s="18" t="n">
        <v>76.78388544000001</v>
      </c>
      <c r="H72" s="20" t="n">
        <v>1.51140185</v>
      </c>
      <c r="I72" s="18" t="s">
        <v>567</v>
      </c>
      <c r="J72" s="20" t="s">
        <v>567</v>
      </c>
      <c r="K72" s="18" t="n">
        <v>0.1606601</v>
      </c>
      <c r="L72" s="20" t="n">
        <v>0.11616013</v>
      </c>
      <c r="M72" s="18" t="n">
        <v>0</v>
      </c>
      <c r="N72" s="20" t="n">
        <v>0</v>
      </c>
      <c r="O72" s="18" t="n">
        <v>0</v>
      </c>
      <c r="P72" s="20" t="n">
        <v>0</v>
      </c>
      <c r="Q72" s="18" t="n">
        <v>1.52787056</v>
      </c>
      <c r="R72" s="20" t="n">
        <v>0.32338886</v>
      </c>
    </row>
    <row r="73" spans="1:18">
      <c r="A73" s="15" t="s">
        <v>633</v>
      </c>
      <c r="B73" s="17" t="n">
        <v>3597</v>
      </c>
      <c r="C73" s="18">
        <f>(2782.0/B73*100)</f>
        <v/>
      </c>
      <c r="D73" s="19" t="n">
        <v>815</v>
      </c>
      <c r="E73" s="18" t="n">
        <v>33.60190309</v>
      </c>
      <c r="F73" s="20" t="n">
        <v>2.41498317</v>
      </c>
      <c r="G73" s="18" t="n">
        <v>62.62643027</v>
      </c>
      <c r="H73" s="20" t="n">
        <v>2.39076117</v>
      </c>
      <c r="I73" s="18" t="s">
        <v>567</v>
      </c>
      <c r="J73" s="20" t="s">
        <v>567</v>
      </c>
      <c r="K73" s="18" t="n">
        <v>0</v>
      </c>
      <c r="L73" s="20" t="n">
        <v>0</v>
      </c>
      <c r="M73" s="18" t="n">
        <v>0</v>
      </c>
      <c r="N73" s="20" t="n">
        <v>0</v>
      </c>
      <c r="O73" s="18" t="n">
        <v>0</v>
      </c>
      <c r="P73" s="20" t="n">
        <v>0</v>
      </c>
      <c r="Q73" s="18" t="n">
        <v>3.77166664</v>
      </c>
      <c r="R73" s="20" t="n">
        <v>0.8313592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(1909.0/B75*100)</f>
        <v/>
      </c>
      <c r="D75" s="19" t="n">
        <v>497</v>
      </c>
      <c r="E75" s="18" t="n">
        <v>42.33134321</v>
      </c>
      <c r="F75" s="20" t="n">
        <v>2.50401558</v>
      </c>
      <c r="G75" s="18" t="n">
        <v>44.73436153</v>
      </c>
      <c r="H75" s="20" t="n">
        <v>2.54423695</v>
      </c>
      <c r="I75" s="18" t="s">
        <v>567</v>
      </c>
      <c r="J75" s="20" t="s">
        <v>567</v>
      </c>
      <c r="K75" s="18" t="n">
        <v>0.48160717</v>
      </c>
      <c r="L75" s="20" t="n">
        <v>0.26916322</v>
      </c>
      <c r="M75" s="18" t="n">
        <v>0</v>
      </c>
      <c r="N75" s="20" t="n">
        <v>0</v>
      </c>
      <c r="O75" s="18" t="n">
        <v>0</v>
      </c>
      <c r="P75" s="20" t="n">
        <v>0</v>
      </c>
      <c r="Q75" s="18" t="n">
        <v>12.4526881</v>
      </c>
      <c r="R75" s="20" t="n">
        <v>1.66049211</v>
      </c>
    </row>
    <row r="76" spans="1:18">
      <c r="A76" s="15" t="s">
        <v>636</v>
      </c>
      <c r="B76" s="17" t="n">
        <v>7052</v>
      </c>
      <c r="C76" s="18">
        <f>(5528.0/B76*100)</f>
        <v/>
      </c>
      <c r="D76" s="19" t="n">
        <v>1524</v>
      </c>
      <c r="E76" s="18" t="n">
        <v>39.47020063</v>
      </c>
      <c r="F76" s="20" t="n">
        <v>1.88459776</v>
      </c>
      <c r="G76" s="18" t="n">
        <v>51.88149707</v>
      </c>
      <c r="H76" s="20" t="n">
        <v>1.88268019</v>
      </c>
      <c r="I76" s="18" t="s">
        <v>567</v>
      </c>
      <c r="J76" s="20" t="s">
        <v>567</v>
      </c>
      <c r="K76" s="18" t="n">
        <v>0.41885361</v>
      </c>
      <c r="L76" s="20" t="n">
        <v>0.16247119</v>
      </c>
      <c r="M76" s="18" t="n">
        <v>0</v>
      </c>
      <c r="N76" s="20" t="n">
        <v>0</v>
      </c>
      <c r="O76" s="18" t="n">
        <v>0</v>
      </c>
      <c r="P76" s="20" t="n">
        <v>0</v>
      </c>
      <c r="Q76" s="18" t="n">
        <v>8.22944869</v>
      </c>
      <c r="R76" s="20" t="n">
        <v>0.93817142</v>
      </c>
    </row>
    <row r="77" spans="1:18">
      <c r="A77" s="15" t="s">
        <v>637</v>
      </c>
      <c r="B77" s="17" t="n">
        <v>2908</v>
      </c>
      <c r="C77" s="18">
        <f>(2260.0/B77*100)</f>
        <v/>
      </c>
      <c r="D77" s="19" t="n">
        <v>648</v>
      </c>
      <c r="E77" s="18" t="n">
        <v>30.77429818</v>
      </c>
      <c r="F77" s="20" t="n">
        <v>1.96706522</v>
      </c>
      <c r="G77" s="18" t="n">
        <v>61.17610294</v>
      </c>
      <c r="H77" s="20" t="n">
        <v>1.96543859</v>
      </c>
      <c r="I77" s="18" t="s">
        <v>567</v>
      </c>
      <c r="J77" s="20" t="s">
        <v>567</v>
      </c>
      <c r="K77" s="18" t="n">
        <v>0.87582899</v>
      </c>
      <c r="L77" s="20" t="n">
        <v>0.36919424</v>
      </c>
      <c r="M77" s="18" t="n">
        <v>0</v>
      </c>
      <c r="N77" s="20" t="n">
        <v>0</v>
      </c>
      <c r="O77" s="18" t="n">
        <v>0</v>
      </c>
      <c r="P77" s="20" t="n">
        <v>0</v>
      </c>
      <c r="Q77" s="18" t="n">
        <v>7.17376989</v>
      </c>
      <c r="R77" s="20" t="n">
        <v>1.26748216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(3207.0/B81*100)</f>
        <v/>
      </c>
      <c r="D81" s="19" t="n">
        <v>956</v>
      </c>
      <c r="E81" s="18" t="n">
        <v>25.34861204</v>
      </c>
      <c r="F81" s="20" t="n">
        <v>1.45384678</v>
      </c>
      <c r="G81" s="18" t="n">
        <v>73.13626807</v>
      </c>
      <c r="H81" s="20" t="n">
        <v>1.51025985</v>
      </c>
      <c r="I81" s="18" t="s">
        <v>567</v>
      </c>
      <c r="J81" s="20" t="s">
        <v>567</v>
      </c>
      <c r="K81" s="18" t="n">
        <v>0.13940916</v>
      </c>
      <c r="L81" s="20" t="n">
        <v>0.14352024</v>
      </c>
      <c r="M81" s="18" t="n">
        <v>0</v>
      </c>
      <c r="N81" s="20" t="n">
        <v>0</v>
      </c>
      <c r="O81" s="18" t="n">
        <v>0</v>
      </c>
      <c r="P81" s="20" t="n">
        <v>0</v>
      </c>
      <c r="Q81" s="18" t="n">
        <v>1.37571073</v>
      </c>
      <c r="R81" s="20" t="n">
        <v>0.37562737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(5770.0/B7*100)</f>
        <v/>
      </c>
      <c r="D7" s="19" t="n">
        <v>1597</v>
      </c>
      <c r="E7" s="18" t="n">
        <v>50.04465658</v>
      </c>
      <c r="F7" s="20" t="n">
        <v>1.47020025</v>
      </c>
      <c r="G7" s="18" t="n">
        <v>47.69805679</v>
      </c>
      <c r="H7" s="20" t="n">
        <v>1.4875199</v>
      </c>
      <c r="I7" s="18" t="s">
        <v>567</v>
      </c>
      <c r="J7" s="20" t="s">
        <v>567</v>
      </c>
      <c r="K7" s="18" t="n">
        <v>0.13974055</v>
      </c>
      <c r="L7" s="20" t="n">
        <v>0.07933806</v>
      </c>
      <c r="M7" s="18" t="n">
        <v>0.12472424</v>
      </c>
      <c r="N7" s="20" t="n">
        <v>0.1113781</v>
      </c>
      <c r="O7" s="18" t="n">
        <v>0</v>
      </c>
      <c r="P7" s="20" t="n">
        <v>0</v>
      </c>
      <c r="Q7" s="18" t="n">
        <v>1.99282184</v>
      </c>
      <c r="R7" s="20" t="n">
        <v>0.37075915</v>
      </c>
    </row>
    <row r="8" spans="1:18">
      <c r="A8" s="15" t="s">
        <v>568</v>
      </c>
      <c r="B8" s="17" t="n">
        <v>3564</v>
      </c>
      <c r="C8" s="18">
        <f>(2773.0/B8*100)</f>
        <v/>
      </c>
      <c r="D8" s="19" t="n">
        <v>791</v>
      </c>
      <c r="E8" s="18" t="n">
        <v>56.11571113</v>
      </c>
      <c r="F8" s="20" t="n">
        <v>1.86506603</v>
      </c>
      <c r="G8" s="18" t="n">
        <v>40.16225189</v>
      </c>
      <c r="H8" s="20" t="n">
        <v>1.76873721</v>
      </c>
      <c r="I8" s="18" t="s">
        <v>567</v>
      </c>
      <c r="J8" s="20" t="s">
        <v>567</v>
      </c>
      <c r="K8" s="18" t="n">
        <v>0</v>
      </c>
      <c r="L8" s="20" t="n">
        <v>0</v>
      </c>
      <c r="M8" s="18" t="n">
        <v>0</v>
      </c>
      <c r="N8" s="20" t="n">
        <v>0</v>
      </c>
      <c r="O8" s="18" t="n">
        <v>0</v>
      </c>
      <c r="P8" s="20" t="n">
        <v>0</v>
      </c>
      <c r="Q8" s="18" t="n">
        <v>3.72203698</v>
      </c>
      <c r="R8" s="20" t="n">
        <v>0.85461435</v>
      </c>
    </row>
    <row r="9" spans="1:18">
      <c r="A9" s="15" t="s">
        <v>569</v>
      </c>
      <c r="B9" s="17" t="n">
        <v>4899</v>
      </c>
      <c r="C9" s="18">
        <f>(3826.0/B9*100)</f>
        <v/>
      </c>
      <c r="D9" s="19" t="n">
        <v>1073</v>
      </c>
      <c r="E9" s="18" t="n">
        <v>43.81576724</v>
      </c>
      <c r="F9" s="20" t="n">
        <v>1.61169207</v>
      </c>
      <c r="G9" s="18" t="n">
        <v>53.42377229</v>
      </c>
      <c r="H9" s="20" t="n">
        <v>1.6977804</v>
      </c>
      <c r="I9" s="18" t="s">
        <v>567</v>
      </c>
      <c r="J9" s="20" t="s">
        <v>567</v>
      </c>
      <c r="K9" s="18" t="n">
        <v>0.09215284</v>
      </c>
      <c r="L9" s="20" t="n">
        <v>0.09135857999999999</v>
      </c>
      <c r="M9" s="18" t="n">
        <v>0.36186539</v>
      </c>
      <c r="N9" s="20" t="n">
        <v>0.1768853</v>
      </c>
      <c r="O9" s="18" t="n">
        <v>0</v>
      </c>
      <c r="P9" s="20" t="n">
        <v>0</v>
      </c>
      <c r="Q9" s="18" t="n">
        <v>2.30644223</v>
      </c>
      <c r="R9" s="20" t="n">
        <v>0.52081921</v>
      </c>
    </row>
    <row r="10" spans="1:18">
      <c r="A10" s="15" t="s">
        <v>570</v>
      </c>
      <c r="B10" s="17" t="n">
        <v>10036</v>
      </c>
      <c r="C10" s="18">
        <f>(7886.0/B10*100)</f>
        <v/>
      </c>
      <c r="D10" s="19" t="n">
        <v>2150</v>
      </c>
      <c r="E10" s="18" t="n">
        <v>43.26781852</v>
      </c>
      <c r="F10" s="20" t="n">
        <v>1.48411568</v>
      </c>
      <c r="G10" s="18" t="n">
        <v>55.18079725</v>
      </c>
      <c r="H10" s="20" t="n">
        <v>1.45457964</v>
      </c>
      <c r="I10" s="18" t="s">
        <v>567</v>
      </c>
      <c r="J10" s="20" t="s">
        <v>567</v>
      </c>
      <c r="K10" s="18" t="n">
        <v>0.16367102</v>
      </c>
      <c r="L10" s="20" t="n">
        <v>0.12257188</v>
      </c>
      <c r="M10" s="18" t="n">
        <v>0.00599521</v>
      </c>
      <c r="N10" s="20" t="n">
        <v>0.00571895</v>
      </c>
      <c r="O10" s="18" t="n">
        <v>0</v>
      </c>
      <c r="P10" s="20" t="n">
        <v>0</v>
      </c>
      <c r="Q10" s="18" t="n">
        <v>1.38171801</v>
      </c>
      <c r="R10" s="20" t="n">
        <v>0.30622699</v>
      </c>
    </row>
    <row r="11" spans="1:18">
      <c r="A11" s="15" t="s">
        <v>571</v>
      </c>
      <c r="B11" s="17" t="n">
        <v>3553</v>
      </c>
      <c r="C11" s="18">
        <f>(2843.0/B11*100)</f>
        <v/>
      </c>
      <c r="D11" s="19" t="n">
        <v>710</v>
      </c>
      <c r="E11" s="18" t="n">
        <v>62.92769351</v>
      </c>
      <c r="F11" s="20" t="n">
        <v>2.31154187</v>
      </c>
      <c r="G11" s="18" t="n">
        <v>32.39540849</v>
      </c>
      <c r="H11" s="20" t="n">
        <v>1.99889793</v>
      </c>
      <c r="I11" s="18" t="s">
        <v>567</v>
      </c>
      <c r="J11" s="20" t="s">
        <v>567</v>
      </c>
      <c r="K11" s="18" t="n">
        <v>0.35844453</v>
      </c>
      <c r="L11" s="20" t="n">
        <v>0.22916297</v>
      </c>
      <c r="M11" s="18" t="n">
        <v>0</v>
      </c>
      <c r="N11" s="20" t="n">
        <v>0</v>
      </c>
      <c r="O11" s="18" t="n">
        <v>0</v>
      </c>
      <c r="P11" s="20" t="n">
        <v>0</v>
      </c>
      <c r="Q11" s="18" t="n">
        <v>4.31845347</v>
      </c>
      <c r="R11" s="20" t="n">
        <v>0.93029906</v>
      </c>
    </row>
    <row r="12" spans="1:18">
      <c r="A12" s="15" t="s">
        <v>572</v>
      </c>
      <c r="B12" s="17" t="n">
        <v>3472</v>
      </c>
      <c r="C12" s="18">
        <f>(2733.0/B12*100)</f>
        <v/>
      </c>
      <c r="D12" s="19" t="n">
        <v>739</v>
      </c>
      <c r="E12" s="18" t="n">
        <v>63.27853946</v>
      </c>
      <c r="F12" s="20" t="n">
        <v>1.91642618</v>
      </c>
      <c r="G12" s="18" t="n">
        <v>36.21595001</v>
      </c>
      <c r="H12" s="20" t="n">
        <v>1.92470791</v>
      </c>
      <c r="I12" s="18" t="s">
        <v>567</v>
      </c>
      <c r="J12" s="20" t="s">
        <v>567</v>
      </c>
      <c r="K12" s="18" t="n">
        <v>0</v>
      </c>
      <c r="L12" s="20" t="n">
        <v>0</v>
      </c>
      <c r="M12" s="18" t="n">
        <v>0</v>
      </c>
      <c r="N12" s="20" t="n">
        <v>0</v>
      </c>
      <c r="O12" s="18" t="n">
        <v>0</v>
      </c>
      <c r="P12" s="20" t="n">
        <v>0</v>
      </c>
      <c r="Q12" s="18" t="n">
        <v>0.50551052</v>
      </c>
      <c r="R12" s="20" t="n">
        <v>0.20969341</v>
      </c>
    </row>
    <row r="13" spans="1:18">
      <c r="A13" s="15" t="s">
        <v>573</v>
      </c>
      <c r="B13" s="17" t="n">
        <v>3559</v>
      </c>
      <c r="C13" s="18">
        <f>(2854.0/B13*100)</f>
        <v/>
      </c>
      <c r="D13" s="19" t="n">
        <v>705</v>
      </c>
      <c r="E13" s="18" t="n">
        <v>54.9548836</v>
      </c>
      <c r="F13" s="20" t="n">
        <v>1.97010056</v>
      </c>
      <c r="G13" s="18" t="n">
        <v>41.97043985</v>
      </c>
      <c r="H13" s="20" t="n">
        <v>1.80596205</v>
      </c>
      <c r="I13" s="18" t="s">
        <v>567</v>
      </c>
      <c r="J13" s="20" t="s">
        <v>567</v>
      </c>
      <c r="K13" s="18" t="n">
        <v>0.65676388</v>
      </c>
      <c r="L13" s="20" t="n">
        <v>0.37792189</v>
      </c>
      <c r="M13" s="18" t="n">
        <v>0.13152923</v>
      </c>
      <c r="N13" s="20" t="n">
        <v>0.13324117</v>
      </c>
      <c r="O13" s="18" t="n">
        <v>0</v>
      </c>
      <c r="P13" s="20" t="n">
        <v>0</v>
      </c>
      <c r="Q13" s="18" t="n">
        <v>2.28638344</v>
      </c>
      <c r="R13" s="20" t="n">
        <v>0.52106779</v>
      </c>
    </row>
    <row r="14" spans="1:18">
      <c r="A14" s="15" t="s">
        <v>574</v>
      </c>
      <c r="B14" s="17" t="n">
        <v>2799</v>
      </c>
      <c r="C14" s="18">
        <f>(2217.0/B14*100)</f>
        <v/>
      </c>
      <c r="D14" s="19" t="n">
        <v>582</v>
      </c>
      <c r="E14" s="18" t="n">
        <v>45.89372995</v>
      </c>
      <c r="F14" s="20" t="n">
        <v>2.35520043</v>
      </c>
      <c r="G14" s="18" t="n">
        <v>52.97239537</v>
      </c>
      <c r="H14" s="20" t="n">
        <v>2.35640129</v>
      </c>
      <c r="I14" s="18" t="s">
        <v>567</v>
      </c>
      <c r="J14" s="20" t="s">
        <v>567</v>
      </c>
      <c r="K14" s="18" t="n">
        <v>0.14282353</v>
      </c>
      <c r="L14" s="20" t="n">
        <v>0.14351735</v>
      </c>
      <c r="M14" s="18" t="n">
        <v>0</v>
      </c>
      <c r="N14" s="20" t="n">
        <v>0</v>
      </c>
      <c r="O14" s="18" t="n">
        <v>0</v>
      </c>
      <c r="P14" s="20" t="n">
        <v>0</v>
      </c>
      <c r="Q14" s="18" t="n">
        <v>0.99105116</v>
      </c>
      <c r="R14" s="20" t="n">
        <v>0.48595647</v>
      </c>
    </row>
    <row r="15" spans="1:18">
      <c r="A15" s="15" t="s">
        <v>575</v>
      </c>
      <c r="B15" s="17" t="n">
        <v>3019</v>
      </c>
      <c r="C15" s="18">
        <f>(2344.0/B15*100)</f>
        <v/>
      </c>
      <c r="D15" s="19" t="n">
        <v>675</v>
      </c>
      <c r="E15" s="18" t="n">
        <v>63.21004135</v>
      </c>
      <c r="F15" s="20" t="n">
        <v>1.71321727</v>
      </c>
      <c r="G15" s="18" t="n">
        <v>35.42765448</v>
      </c>
      <c r="H15" s="20" t="n">
        <v>1.68254908</v>
      </c>
      <c r="I15" s="18" t="s">
        <v>567</v>
      </c>
      <c r="J15" s="20" t="s">
        <v>567</v>
      </c>
      <c r="K15" s="18" t="n">
        <v>0</v>
      </c>
      <c r="L15" s="20" t="n">
        <v>0</v>
      </c>
      <c r="M15" s="18" t="n">
        <v>0</v>
      </c>
      <c r="N15" s="20" t="n">
        <v>0</v>
      </c>
      <c r="O15" s="18" t="n">
        <v>0</v>
      </c>
      <c r="P15" s="20" t="n">
        <v>0</v>
      </c>
      <c r="Q15" s="18" t="n">
        <v>1.36230416</v>
      </c>
      <c r="R15" s="20" t="n">
        <v>0.4692775</v>
      </c>
    </row>
    <row r="16" spans="1:18">
      <c r="A16" s="15" t="s">
        <v>576</v>
      </c>
      <c r="B16" s="17" t="n">
        <v>2997</v>
      </c>
      <c r="C16" s="18">
        <f>(2321.0/B16*100)</f>
        <v/>
      </c>
      <c r="D16" s="19" t="n">
        <v>676</v>
      </c>
      <c r="E16" s="18" t="n">
        <v>50.88848639</v>
      </c>
      <c r="F16" s="20" t="n">
        <v>1.84378302</v>
      </c>
      <c r="G16" s="18" t="n">
        <v>46.20487891</v>
      </c>
      <c r="H16" s="20" t="n">
        <v>1.89515929</v>
      </c>
      <c r="I16" s="18" t="s">
        <v>567</v>
      </c>
      <c r="J16" s="20" t="s">
        <v>567</v>
      </c>
      <c r="K16" s="18" t="n">
        <v>0.60418567</v>
      </c>
      <c r="L16" s="20" t="n">
        <v>0.27838288</v>
      </c>
      <c r="M16" s="18" t="n">
        <v>0</v>
      </c>
      <c r="N16" s="20" t="n">
        <v>0</v>
      </c>
      <c r="O16" s="18" t="n">
        <v>0</v>
      </c>
      <c r="P16" s="20" t="n">
        <v>0</v>
      </c>
      <c r="Q16" s="18" t="n">
        <v>2.30244903</v>
      </c>
      <c r="R16" s="20" t="n">
        <v>0.55661056</v>
      </c>
    </row>
    <row r="17" spans="1:18">
      <c r="A17" s="15" t="s">
        <v>577</v>
      </c>
      <c r="B17" s="17" t="n">
        <v>3307</v>
      </c>
      <c r="C17" s="18">
        <f>(2606.0/B17*100)</f>
        <v/>
      </c>
      <c r="D17" s="19" t="n">
        <v>701</v>
      </c>
      <c r="E17" s="18" t="n">
        <v>53.22327072</v>
      </c>
      <c r="F17" s="20" t="n">
        <v>2.25672756</v>
      </c>
      <c r="G17" s="18" t="n">
        <v>43.65329773</v>
      </c>
      <c r="H17" s="20" t="n">
        <v>2.21747671</v>
      </c>
      <c r="I17" s="18" t="s">
        <v>567</v>
      </c>
      <c r="J17" s="20" t="s">
        <v>567</v>
      </c>
      <c r="K17" s="18" t="n">
        <v>0.31575086</v>
      </c>
      <c r="L17" s="20" t="n">
        <v>0.24114576</v>
      </c>
      <c r="M17" s="18" t="n">
        <v>0</v>
      </c>
      <c r="N17" s="20" t="n">
        <v>0</v>
      </c>
      <c r="O17" s="18" t="n">
        <v>0</v>
      </c>
      <c r="P17" s="20" t="n">
        <v>0</v>
      </c>
      <c r="Q17" s="18" t="n">
        <v>2.80768068</v>
      </c>
      <c r="R17" s="20" t="n">
        <v>0.72751022</v>
      </c>
    </row>
    <row r="18" spans="1:18">
      <c r="A18" s="15" t="s">
        <v>578</v>
      </c>
      <c r="B18" s="17" t="n">
        <v>2826</v>
      </c>
      <c r="C18" s="18">
        <f>(2202.0/B18*100)</f>
        <v/>
      </c>
      <c r="D18" s="19" t="n">
        <v>624</v>
      </c>
      <c r="E18" s="18" t="n">
        <v>59.35792275</v>
      </c>
      <c r="F18" s="20" t="n">
        <v>2.51420279</v>
      </c>
      <c r="G18" s="18" t="n">
        <v>36.57348651</v>
      </c>
      <c r="H18" s="20" t="n">
        <v>2.48337804</v>
      </c>
      <c r="I18" s="18" t="s">
        <v>567</v>
      </c>
      <c r="J18" s="20" t="s">
        <v>567</v>
      </c>
      <c r="K18" s="18" t="n">
        <v>0.20665302</v>
      </c>
      <c r="L18" s="20" t="n">
        <v>0.14973206</v>
      </c>
      <c r="M18" s="18" t="n">
        <v>0</v>
      </c>
      <c r="N18" s="20" t="n">
        <v>0</v>
      </c>
      <c r="O18" s="18" t="n">
        <v>0</v>
      </c>
      <c r="P18" s="20" t="n">
        <v>0</v>
      </c>
      <c r="Q18" s="18" t="n">
        <v>3.86193773</v>
      </c>
      <c r="R18" s="20" t="n">
        <v>0.92321763</v>
      </c>
    </row>
    <row r="19" spans="1:18">
      <c r="A19" s="15" t="s">
        <v>579</v>
      </c>
      <c r="B19" s="17" t="n">
        <v>2808</v>
      </c>
      <c r="C19" s="18">
        <f>(2218.0/B19*100)</f>
        <v/>
      </c>
      <c r="D19" s="19" t="n">
        <v>590</v>
      </c>
      <c r="E19" s="18" t="n">
        <v>67.23055522999999</v>
      </c>
      <c r="F19" s="20" t="n">
        <v>1.88103134</v>
      </c>
      <c r="G19" s="18" t="n">
        <v>30.91135886</v>
      </c>
      <c r="H19" s="20" t="n">
        <v>1.92537998</v>
      </c>
      <c r="I19" s="18" t="s">
        <v>567</v>
      </c>
      <c r="J19" s="20" t="s">
        <v>567</v>
      </c>
      <c r="K19" s="18" t="n">
        <v>0</v>
      </c>
      <c r="L19" s="20" t="n">
        <v>0</v>
      </c>
      <c r="M19" s="18" t="n">
        <v>0</v>
      </c>
      <c r="N19" s="20" t="n">
        <v>0</v>
      </c>
      <c r="O19" s="18" t="n">
        <v>0</v>
      </c>
      <c r="P19" s="20" t="n">
        <v>0</v>
      </c>
      <c r="Q19" s="18" t="n">
        <v>1.85808591</v>
      </c>
      <c r="R19" s="20" t="n">
        <v>0.61782238</v>
      </c>
    </row>
    <row r="20" spans="1:18">
      <c r="A20" s="15" t="s">
        <v>580</v>
      </c>
      <c r="B20" s="17" t="n">
        <v>1630</v>
      </c>
      <c r="C20" s="18">
        <f>(1268.0/B20*100)</f>
        <v/>
      </c>
      <c r="D20" s="19" t="n">
        <v>362</v>
      </c>
      <c r="E20" s="18" t="n">
        <v>58.69104472</v>
      </c>
      <c r="F20" s="20" t="n">
        <v>2.58457229</v>
      </c>
      <c r="G20" s="18" t="n">
        <v>37.66184986</v>
      </c>
      <c r="H20" s="20" t="n">
        <v>2.66530488</v>
      </c>
      <c r="I20" s="18" t="s">
        <v>567</v>
      </c>
      <c r="J20" s="20" t="s">
        <v>567</v>
      </c>
      <c r="K20" s="18" t="n">
        <v>0.23431542</v>
      </c>
      <c r="L20" s="20" t="n">
        <v>0.23203614</v>
      </c>
      <c r="M20" s="18" t="n">
        <v>0.25146028</v>
      </c>
      <c r="N20" s="20" t="n">
        <v>0.25131458</v>
      </c>
      <c r="O20" s="18" t="n">
        <v>0</v>
      </c>
      <c r="P20" s="20" t="n">
        <v>0</v>
      </c>
      <c r="Q20" s="18" t="n">
        <v>3.16132973</v>
      </c>
      <c r="R20" s="20" t="n">
        <v>1.00401202</v>
      </c>
    </row>
    <row r="21" spans="1:18">
      <c r="A21" s="15" t="s">
        <v>581</v>
      </c>
      <c r="B21" s="17" t="n">
        <v>2908</v>
      </c>
      <c r="C21" s="18">
        <f>(2254.0/B21*100)</f>
        <v/>
      </c>
      <c r="D21" s="19" t="n">
        <v>654</v>
      </c>
      <c r="E21" s="18" t="n">
        <v>60.91402627</v>
      </c>
      <c r="F21" s="20" t="n">
        <v>2.10530731</v>
      </c>
      <c r="G21" s="18" t="n">
        <v>36.17406317</v>
      </c>
      <c r="H21" s="20" t="n">
        <v>2.1876706</v>
      </c>
      <c r="I21" s="18" t="s">
        <v>567</v>
      </c>
      <c r="J21" s="20" t="s">
        <v>567</v>
      </c>
      <c r="K21" s="18" t="n">
        <v>0</v>
      </c>
      <c r="L21" s="20" t="n">
        <v>0</v>
      </c>
      <c r="M21" s="18" t="n">
        <v>0</v>
      </c>
      <c r="N21" s="20" t="n">
        <v>0</v>
      </c>
      <c r="O21" s="18" t="n">
        <v>0</v>
      </c>
      <c r="P21" s="20" t="n">
        <v>0</v>
      </c>
      <c r="Q21" s="18" t="n">
        <v>2.91191056</v>
      </c>
      <c r="R21" s="20" t="n">
        <v>0.55733045</v>
      </c>
    </row>
    <row r="22" spans="1:18">
      <c r="A22" s="15" t="s">
        <v>582</v>
      </c>
      <c r="B22" s="17" t="n">
        <v>2931</v>
      </c>
      <c r="C22" s="18">
        <f>(2300.0/B22*100)</f>
        <v/>
      </c>
      <c r="D22" s="19" t="n">
        <v>631</v>
      </c>
      <c r="E22" s="18" t="n">
        <v>55.1094217</v>
      </c>
      <c r="F22" s="20" t="n">
        <v>1.8254155</v>
      </c>
      <c r="G22" s="18" t="n">
        <v>40.69159042</v>
      </c>
      <c r="H22" s="20" t="n">
        <v>1.79679563</v>
      </c>
      <c r="I22" s="18" t="s">
        <v>567</v>
      </c>
      <c r="J22" s="20" t="s">
        <v>567</v>
      </c>
      <c r="K22" s="18" t="n">
        <v>0.35822867</v>
      </c>
      <c r="L22" s="20" t="n">
        <v>0.23519699</v>
      </c>
      <c r="M22" s="18" t="n">
        <v>0</v>
      </c>
      <c r="N22" s="20" t="n">
        <v>0</v>
      </c>
      <c r="O22" s="18" t="n">
        <v>0</v>
      </c>
      <c r="P22" s="20" t="n">
        <v>0</v>
      </c>
      <c r="Q22" s="18" t="n">
        <v>3.84075921</v>
      </c>
      <c r="R22" s="20" t="n">
        <v>0.91199419</v>
      </c>
    </row>
    <row r="23" spans="1:18">
      <c r="A23" s="15" t="s">
        <v>583</v>
      </c>
      <c r="B23" s="17" t="n">
        <v>5791</v>
      </c>
      <c r="C23" s="18">
        <f>(4481.0/B23*100)</f>
        <v/>
      </c>
      <c r="D23" s="19" t="n">
        <v>1310</v>
      </c>
      <c r="E23" s="18" t="n">
        <v>57.08841658</v>
      </c>
      <c r="F23" s="20" t="n">
        <v>2.06583804</v>
      </c>
      <c r="G23" s="18" t="n">
        <v>38.24923403</v>
      </c>
      <c r="H23" s="20" t="n">
        <v>2.00294866</v>
      </c>
      <c r="I23" s="18" t="s">
        <v>567</v>
      </c>
      <c r="J23" s="20" t="s">
        <v>567</v>
      </c>
      <c r="K23" s="18" t="n">
        <v>0.33640967</v>
      </c>
      <c r="L23" s="20" t="n">
        <v>0.05578963</v>
      </c>
      <c r="M23" s="18" t="n">
        <v>0.05202969</v>
      </c>
      <c r="N23" s="20" t="n">
        <v>0.05217018</v>
      </c>
      <c r="O23" s="18" t="n">
        <v>0</v>
      </c>
      <c r="P23" s="20" t="n">
        <v>0</v>
      </c>
      <c r="Q23" s="18" t="n">
        <v>4.27391003</v>
      </c>
      <c r="R23" s="20" t="n">
        <v>0.94221029</v>
      </c>
    </row>
    <row r="24" spans="1:18">
      <c r="A24" s="15" t="s">
        <v>584</v>
      </c>
      <c r="B24" s="17" t="n">
        <v>3338</v>
      </c>
      <c r="C24" s="18">
        <f>(2609.0/B24*100)</f>
        <v/>
      </c>
      <c r="D24" s="19" t="n">
        <v>729</v>
      </c>
      <c r="E24" s="18" t="n">
        <v>36.64661654</v>
      </c>
      <c r="F24" s="20" t="n">
        <v>1.88164481</v>
      </c>
      <c r="G24" s="18" t="n">
        <v>61.0575515</v>
      </c>
      <c r="H24" s="20" t="n">
        <v>1.9145558</v>
      </c>
      <c r="I24" s="18" t="s">
        <v>567</v>
      </c>
      <c r="J24" s="20" t="s">
        <v>567</v>
      </c>
      <c r="K24" s="18" t="n">
        <v>0</v>
      </c>
      <c r="L24" s="20" t="n">
        <v>0</v>
      </c>
      <c r="M24" s="18" t="n">
        <v>0</v>
      </c>
      <c r="N24" s="20" t="n">
        <v>0</v>
      </c>
      <c r="O24" s="18" t="n">
        <v>0</v>
      </c>
      <c r="P24" s="20" t="n">
        <v>0</v>
      </c>
      <c r="Q24" s="18" t="n">
        <v>2.29583195</v>
      </c>
      <c r="R24" s="20" t="n">
        <v>0.47799395</v>
      </c>
    </row>
    <row r="25" spans="1:18">
      <c r="A25" s="15" t="s">
        <v>585</v>
      </c>
      <c r="B25" s="17" t="n">
        <v>2912</v>
      </c>
      <c r="C25" s="18">
        <f>(2283.0/B25*100)</f>
        <v/>
      </c>
      <c r="D25" s="19" t="n">
        <v>629</v>
      </c>
      <c r="E25" s="18" t="n">
        <v>48.70991839</v>
      </c>
      <c r="F25" s="20" t="n">
        <v>2.47446712</v>
      </c>
      <c r="G25" s="18" t="n">
        <v>49.28309569</v>
      </c>
      <c r="H25" s="20" t="n">
        <v>2.50656413</v>
      </c>
      <c r="I25" s="18" t="s">
        <v>567</v>
      </c>
      <c r="J25" s="20" t="s">
        <v>567</v>
      </c>
      <c r="K25" s="18" t="n">
        <v>0</v>
      </c>
      <c r="L25" s="20" t="n">
        <v>0</v>
      </c>
      <c r="M25" s="18" t="n">
        <v>0</v>
      </c>
      <c r="N25" s="20" t="n">
        <v>0</v>
      </c>
      <c r="O25" s="18" t="n">
        <v>0</v>
      </c>
      <c r="P25" s="20" t="n">
        <v>0</v>
      </c>
      <c r="Q25" s="18" t="n">
        <v>2.00698592</v>
      </c>
      <c r="R25" s="20" t="n">
        <v>0.53524023</v>
      </c>
    </row>
    <row r="26" spans="1:18">
      <c r="A26" s="15" t="s">
        <v>586</v>
      </c>
      <c r="B26" s="17" t="n">
        <v>2450</v>
      </c>
      <c r="C26" s="18">
        <f>(1922.0/B26*100)</f>
        <v/>
      </c>
      <c r="D26" s="19" t="n">
        <v>528</v>
      </c>
      <c r="E26" s="18" t="n">
        <v>63.56640338</v>
      </c>
      <c r="F26" s="20" t="n">
        <v>2.47522714</v>
      </c>
      <c r="G26" s="18" t="n">
        <v>35.03794957</v>
      </c>
      <c r="H26" s="20" t="n">
        <v>2.62639096</v>
      </c>
      <c r="I26" s="18" t="s">
        <v>567</v>
      </c>
      <c r="J26" s="20" t="s">
        <v>567</v>
      </c>
      <c r="K26" s="18" t="n">
        <v>0</v>
      </c>
      <c r="L26" s="20" t="n">
        <v>0</v>
      </c>
      <c r="M26" s="18" t="n">
        <v>0</v>
      </c>
      <c r="N26" s="20" t="n">
        <v>0</v>
      </c>
      <c r="O26" s="18" t="n">
        <v>0</v>
      </c>
      <c r="P26" s="20" t="n">
        <v>0</v>
      </c>
      <c r="Q26" s="18" t="n">
        <v>1.39564705</v>
      </c>
      <c r="R26" s="20" t="n">
        <v>0.59871385</v>
      </c>
    </row>
    <row r="27" spans="1:18">
      <c r="A27" s="15" t="s">
        <v>587</v>
      </c>
      <c r="B27" s="17" t="n">
        <v>2616</v>
      </c>
      <c r="C27" s="18">
        <f>(1991.0/B27*100)</f>
        <v/>
      </c>
      <c r="D27" s="19" t="n">
        <v>625</v>
      </c>
      <c r="E27" s="18" t="n">
        <v>61.16286696</v>
      </c>
      <c r="F27" s="20" t="n">
        <v>2.04884186</v>
      </c>
      <c r="G27" s="18" t="n">
        <v>33.0059387</v>
      </c>
      <c r="H27" s="20" t="n">
        <v>1.90685191</v>
      </c>
      <c r="I27" s="18" t="s">
        <v>567</v>
      </c>
      <c r="J27" s="20" t="s">
        <v>567</v>
      </c>
      <c r="K27" s="18" t="n">
        <v>0.32659013</v>
      </c>
      <c r="L27" s="20" t="n">
        <v>0.22985014</v>
      </c>
      <c r="M27" s="18" t="n">
        <v>0</v>
      </c>
      <c r="N27" s="20" t="n">
        <v>0</v>
      </c>
      <c r="O27" s="18" t="n">
        <v>0</v>
      </c>
      <c r="P27" s="20" t="n">
        <v>0</v>
      </c>
      <c r="Q27" s="18" t="n">
        <v>5.50460421</v>
      </c>
      <c r="R27" s="20" t="n">
        <v>0.88462036</v>
      </c>
    </row>
    <row r="28" spans="1:18">
      <c r="A28" s="15" t="s">
        <v>588</v>
      </c>
      <c r="B28" s="17" t="n">
        <v>3765</v>
      </c>
      <c r="C28" s="18">
        <f>(2989.0/B28*100)</f>
        <v/>
      </c>
      <c r="D28" s="19" t="n">
        <v>776</v>
      </c>
      <c r="E28" s="18" t="n">
        <v>81.01727486</v>
      </c>
      <c r="F28" s="20" t="n">
        <v>1.66551454</v>
      </c>
      <c r="G28" s="18" t="n">
        <v>16.63424957</v>
      </c>
      <c r="H28" s="20" t="n">
        <v>1.62488332</v>
      </c>
      <c r="I28" s="18" t="s">
        <v>567</v>
      </c>
      <c r="J28" s="20" t="s">
        <v>567</v>
      </c>
      <c r="K28" s="18" t="n">
        <v>0.19267403</v>
      </c>
      <c r="L28" s="20" t="n">
        <v>0.14500868</v>
      </c>
      <c r="M28" s="18" t="n">
        <v>0.38074302</v>
      </c>
      <c r="N28" s="20" t="n">
        <v>0.28161916</v>
      </c>
      <c r="O28" s="18" t="n">
        <v>0</v>
      </c>
      <c r="P28" s="20" t="n">
        <v>0</v>
      </c>
      <c r="Q28" s="18" t="n">
        <v>1.77505852</v>
      </c>
      <c r="R28" s="20" t="n">
        <v>0.57252145</v>
      </c>
    </row>
    <row r="29" spans="1:18">
      <c r="A29" s="15" t="s">
        <v>589</v>
      </c>
      <c r="B29" s="17" t="n">
        <v>2685</v>
      </c>
      <c r="C29" s="18">
        <f>(2150.0/B29*100)</f>
        <v/>
      </c>
      <c r="D29" s="19" t="n">
        <v>535</v>
      </c>
      <c r="E29" s="18" t="n">
        <v>54.40994552</v>
      </c>
      <c r="F29" s="20" t="n">
        <v>2.00775593</v>
      </c>
      <c r="G29" s="18" t="n">
        <v>43.95522484</v>
      </c>
      <c r="H29" s="20" t="n">
        <v>2.05149786</v>
      </c>
      <c r="I29" s="18" t="s">
        <v>567</v>
      </c>
      <c r="J29" s="20" t="s">
        <v>567</v>
      </c>
      <c r="K29" s="18" t="n">
        <v>0.13821088</v>
      </c>
      <c r="L29" s="20" t="n">
        <v>0.18954404</v>
      </c>
      <c r="M29" s="18" t="n">
        <v>0</v>
      </c>
      <c r="N29" s="20" t="n">
        <v>0</v>
      </c>
      <c r="O29" s="18" t="n">
        <v>0</v>
      </c>
      <c r="P29" s="20" t="n">
        <v>0</v>
      </c>
      <c r="Q29" s="18" t="n">
        <v>1.49661876</v>
      </c>
      <c r="R29" s="20" t="n">
        <v>0.60665871</v>
      </c>
    </row>
    <row r="30" spans="1:18">
      <c r="A30" s="15" t="s">
        <v>590</v>
      </c>
      <c r="B30" s="17" t="n">
        <v>2263</v>
      </c>
      <c r="C30" s="18">
        <f>(1751.0/B30*100)</f>
        <v/>
      </c>
      <c r="D30" s="19" t="n">
        <v>512</v>
      </c>
      <c r="E30" s="18" t="n">
        <v>46.79485002</v>
      </c>
      <c r="F30" s="20" t="n">
        <v>2.17994548</v>
      </c>
      <c r="G30" s="18" t="n">
        <v>49.74701014</v>
      </c>
      <c r="H30" s="20" t="n">
        <v>2.15690199</v>
      </c>
      <c r="I30" s="18" t="s">
        <v>567</v>
      </c>
      <c r="J30" s="20" t="s">
        <v>567</v>
      </c>
      <c r="K30" s="18" t="n">
        <v>0.53339815</v>
      </c>
      <c r="L30" s="20" t="n">
        <v>0.30736868</v>
      </c>
      <c r="M30" s="18" t="n">
        <v>0</v>
      </c>
      <c r="N30" s="20" t="n">
        <v>0</v>
      </c>
      <c r="O30" s="18" t="n">
        <v>0</v>
      </c>
      <c r="P30" s="20" t="n">
        <v>0</v>
      </c>
      <c r="Q30" s="18" t="n">
        <v>2.92474169</v>
      </c>
      <c r="R30" s="20" t="n">
        <v>0.7939114900000001</v>
      </c>
    </row>
    <row r="31" spans="1:18">
      <c r="A31" s="15" t="s">
        <v>591</v>
      </c>
      <c r="B31" s="17" t="n">
        <v>2750</v>
      </c>
      <c r="C31" s="18">
        <f>(2120.0/B31*100)</f>
        <v/>
      </c>
      <c r="D31" s="19" t="n">
        <v>630</v>
      </c>
      <c r="E31" s="18" t="n">
        <v>53.37469689</v>
      </c>
      <c r="F31" s="20" t="n">
        <v>1.95733889</v>
      </c>
      <c r="G31" s="18" t="n">
        <v>42.687323</v>
      </c>
      <c r="H31" s="20" t="n">
        <v>2.06395116</v>
      </c>
      <c r="I31" s="18" t="s">
        <v>567</v>
      </c>
      <c r="J31" s="20" t="s">
        <v>567</v>
      </c>
      <c r="K31" s="18" t="n">
        <v>0.45558324</v>
      </c>
      <c r="L31" s="20" t="n">
        <v>0.25597598</v>
      </c>
      <c r="M31" s="18" t="n">
        <v>0</v>
      </c>
      <c r="N31" s="20" t="n">
        <v>0</v>
      </c>
      <c r="O31" s="18" t="n">
        <v>0</v>
      </c>
      <c r="P31" s="20" t="n">
        <v>0</v>
      </c>
      <c r="Q31" s="18" t="n">
        <v>3.48239687</v>
      </c>
      <c r="R31" s="20" t="n">
        <v>0.7423571799999999</v>
      </c>
    </row>
    <row r="32" spans="1:18">
      <c r="A32" s="15" t="s">
        <v>592</v>
      </c>
      <c r="B32" s="17" t="n">
        <v>2269</v>
      </c>
      <c r="C32" s="18">
        <f>(1749.0/B32*100)</f>
        <v/>
      </c>
      <c r="D32" s="19" t="n">
        <v>520</v>
      </c>
      <c r="E32" s="18" t="n">
        <v>61.28561718</v>
      </c>
      <c r="F32" s="20" t="n">
        <v>2.58691401</v>
      </c>
      <c r="G32" s="18" t="n">
        <v>37.34655521</v>
      </c>
      <c r="H32" s="20" t="n">
        <v>2.53926816</v>
      </c>
      <c r="I32" s="18" t="s">
        <v>567</v>
      </c>
      <c r="J32" s="20" t="s">
        <v>567</v>
      </c>
      <c r="K32" s="18" t="n">
        <v>0</v>
      </c>
      <c r="L32" s="20" t="n">
        <v>0</v>
      </c>
      <c r="M32" s="18" t="n">
        <v>0</v>
      </c>
      <c r="N32" s="20" t="n">
        <v>0</v>
      </c>
      <c r="O32" s="18" t="n">
        <v>0</v>
      </c>
      <c r="P32" s="20" t="n">
        <v>0</v>
      </c>
      <c r="Q32" s="18" t="n">
        <v>1.36782761</v>
      </c>
      <c r="R32" s="20" t="n">
        <v>0.56933568</v>
      </c>
    </row>
    <row r="33" spans="1:18">
      <c r="A33" s="15" t="s">
        <v>593</v>
      </c>
      <c r="B33" s="17" t="n">
        <v>3674</v>
      </c>
      <c r="C33" s="18">
        <f>(2875.0/B33*100)</f>
        <v/>
      </c>
      <c r="D33" s="19" t="n">
        <v>799</v>
      </c>
      <c r="E33" s="18" t="n">
        <v>44.06614451</v>
      </c>
      <c r="F33" s="20" t="n">
        <v>2.41900166</v>
      </c>
      <c r="G33" s="18" t="n">
        <v>55.01653869</v>
      </c>
      <c r="H33" s="20" t="n">
        <v>2.44932049</v>
      </c>
      <c r="I33" s="18" t="s">
        <v>567</v>
      </c>
      <c r="J33" s="20" t="s">
        <v>567</v>
      </c>
      <c r="K33" s="18" t="n">
        <v>0.01828585</v>
      </c>
      <c r="L33" s="20" t="n">
        <v>0.01298091</v>
      </c>
      <c r="M33" s="18" t="n">
        <v>0.1550285</v>
      </c>
      <c r="N33" s="20" t="n">
        <v>0.15406112</v>
      </c>
      <c r="O33" s="18" t="n">
        <v>0</v>
      </c>
      <c r="P33" s="20" t="n">
        <v>0</v>
      </c>
      <c r="Q33" s="18" t="n">
        <v>0.74400244</v>
      </c>
      <c r="R33" s="20" t="n">
        <v>0.38638861</v>
      </c>
    </row>
    <row r="34" spans="1:18">
      <c r="A34" s="15" t="s">
        <v>594</v>
      </c>
      <c r="B34" s="17" t="n">
        <v>3315</v>
      </c>
      <c r="C34" s="18">
        <f>(2608.0/B34*100)</f>
        <v/>
      </c>
      <c r="D34" s="19" t="n">
        <v>707</v>
      </c>
      <c r="E34" s="18" t="n">
        <v>73.52015384000001</v>
      </c>
      <c r="F34" s="20" t="n">
        <v>1.63961204</v>
      </c>
      <c r="G34" s="18" t="n">
        <v>24.83046712</v>
      </c>
      <c r="H34" s="20" t="n">
        <v>1.57232628</v>
      </c>
      <c r="I34" s="18" t="s">
        <v>567</v>
      </c>
      <c r="J34" s="20" t="s">
        <v>567</v>
      </c>
      <c r="K34" s="18" t="n">
        <v>0</v>
      </c>
      <c r="L34" s="20" t="n">
        <v>0</v>
      </c>
      <c r="M34" s="18" t="n">
        <v>0.20947417</v>
      </c>
      <c r="N34" s="20" t="n">
        <v>0.15345366</v>
      </c>
      <c r="O34" s="18" t="n">
        <v>0</v>
      </c>
      <c r="P34" s="20" t="n">
        <v>0</v>
      </c>
      <c r="Q34" s="18" t="n">
        <v>1.43990488</v>
      </c>
      <c r="R34" s="20" t="n">
        <v>0.51260942</v>
      </c>
    </row>
    <row r="35" spans="1:18">
      <c r="A35" s="15" t="s">
        <v>595</v>
      </c>
      <c r="B35" s="17" t="n">
        <v>3505</v>
      </c>
      <c r="C35" s="18">
        <f>(2727.0/B35*100)</f>
        <v/>
      </c>
      <c r="D35" s="19" t="n">
        <v>778</v>
      </c>
      <c r="E35" s="18" t="n">
        <v>52.55318988</v>
      </c>
      <c r="F35" s="20" t="n">
        <v>1.88189398</v>
      </c>
      <c r="G35" s="18" t="n">
        <v>44.85158654</v>
      </c>
      <c r="H35" s="20" t="n">
        <v>1.98887075</v>
      </c>
      <c r="I35" s="18" t="s">
        <v>567</v>
      </c>
      <c r="J35" s="20" t="s">
        <v>567</v>
      </c>
      <c r="K35" s="18" t="n">
        <v>0.16812585</v>
      </c>
      <c r="L35" s="20" t="n">
        <v>0.09741134</v>
      </c>
      <c r="M35" s="18" t="n">
        <v>0.46621947</v>
      </c>
      <c r="N35" s="20" t="n">
        <v>0.3313462</v>
      </c>
      <c r="O35" s="18" t="n">
        <v>0</v>
      </c>
      <c r="P35" s="20" t="n">
        <v>0</v>
      </c>
      <c r="Q35" s="18" t="n">
        <v>1.96087825</v>
      </c>
      <c r="R35" s="20" t="n">
        <v>0.57791251</v>
      </c>
    </row>
    <row r="36" spans="1:18">
      <c r="A36" s="15" t="s">
        <v>596</v>
      </c>
      <c r="B36" s="17" t="n">
        <v>3332</v>
      </c>
      <c r="C36" s="18">
        <f>(2640.0/B36*100)</f>
        <v/>
      </c>
      <c r="D36" s="19" t="n">
        <v>692</v>
      </c>
      <c r="E36" s="18" t="n">
        <v>52.62250744</v>
      </c>
      <c r="F36" s="20" t="n">
        <v>2.12274106</v>
      </c>
      <c r="G36" s="18" t="n">
        <v>43.87979419</v>
      </c>
      <c r="H36" s="20" t="n">
        <v>2.12520814</v>
      </c>
      <c r="I36" s="18" t="s">
        <v>567</v>
      </c>
      <c r="J36" s="20" t="s">
        <v>567</v>
      </c>
      <c r="K36" s="18" t="n">
        <v>0.24663733</v>
      </c>
      <c r="L36" s="20" t="n">
        <v>0.24234703</v>
      </c>
      <c r="M36" s="18" t="n">
        <v>0.13766335</v>
      </c>
      <c r="N36" s="20" t="n">
        <v>0.13849171</v>
      </c>
      <c r="O36" s="18" t="n">
        <v>0</v>
      </c>
      <c r="P36" s="20" t="n">
        <v>0</v>
      </c>
      <c r="Q36" s="18" t="n">
        <v>3.11339768</v>
      </c>
      <c r="R36" s="20" t="n">
        <v>0.8214682</v>
      </c>
    </row>
    <row r="37" spans="1:18">
      <c r="A37" s="15" t="s">
        <v>597</v>
      </c>
      <c r="B37" s="17" t="n">
        <v>2727</v>
      </c>
      <c r="C37" s="18">
        <f>(2152.0/B37*100)</f>
        <v/>
      </c>
      <c r="D37" s="19" t="n">
        <v>575</v>
      </c>
      <c r="E37" s="18" t="n">
        <v>60.46366073</v>
      </c>
      <c r="F37" s="20" t="n">
        <v>2.16398816</v>
      </c>
      <c r="G37" s="18" t="n">
        <v>35.23743953</v>
      </c>
      <c r="H37" s="20" t="n">
        <v>2.30901176</v>
      </c>
      <c r="I37" s="18" t="s">
        <v>567</v>
      </c>
      <c r="J37" s="20" t="s">
        <v>567</v>
      </c>
      <c r="K37" s="18" t="n">
        <v>0.14983256</v>
      </c>
      <c r="L37" s="20" t="n">
        <v>0.2121234</v>
      </c>
      <c r="M37" s="18" t="n">
        <v>0</v>
      </c>
      <c r="N37" s="20" t="n">
        <v>0</v>
      </c>
      <c r="O37" s="18" t="n">
        <v>0</v>
      </c>
      <c r="P37" s="20" t="n">
        <v>0</v>
      </c>
      <c r="Q37" s="18" t="n">
        <v>4.14906719</v>
      </c>
      <c r="R37" s="20" t="n">
        <v>0.84294271</v>
      </c>
    </row>
    <row r="38" spans="1:18">
      <c r="A38" s="15" t="s">
        <v>598</v>
      </c>
      <c r="B38" s="17" t="n">
        <v>3053</v>
      </c>
      <c r="C38" s="18">
        <f>(2405.0/B38*100)</f>
        <v/>
      </c>
      <c r="D38" s="19" t="n">
        <v>648</v>
      </c>
      <c r="E38" s="18" t="n">
        <v>50.5487045</v>
      </c>
      <c r="F38" s="20" t="n">
        <v>2.13000909</v>
      </c>
      <c r="G38" s="18" t="n">
        <v>44.49203746</v>
      </c>
      <c r="H38" s="20" t="n">
        <v>2.22236998</v>
      </c>
      <c r="I38" s="18" t="s">
        <v>567</v>
      </c>
      <c r="J38" s="20" t="s">
        <v>567</v>
      </c>
      <c r="K38" s="18" t="n">
        <v>0</v>
      </c>
      <c r="L38" s="20" t="n">
        <v>0</v>
      </c>
      <c r="M38" s="18" t="n">
        <v>2.7995007</v>
      </c>
      <c r="N38" s="20" t="n">
        <v>0.88166972</v>
      </c>
      <c r="O38" s="18" t="n">
        <v>0</v>
      </c>
      <c r="P38" s="20" t="n">
        <v>0</v>
      </c>
      <c r="Q38" s="18" t="n">
        <v>2.15975734</v>
      </c>
      <c r="R38" s="20" t="n">
        <v>0.6871072</v>
      </c>
    </row>
    <row r="39" spans="1:18">
      <c r="A39" s="15" t="s">
        <v>599</v>
      </c>
      <c r="B39" s="17" t="n">
        <v>2957</v>
      </c>
      <c r="C39" s="18">
        <f>(2319.0/B39*100)</f>
        <v/>
      </c>
      <c r="D39" s="19" t="n">
        <v>638</v>
      </c>
      <c r="E39" s="18" t="n">
        <v>77.58652074</v>
      </c>
      <c r="F39" s="20" t="n">
        <v>1.84402352</v>
      </c>
      <c r="G39" s="18" t="n">
        <v>19.6926862</v>
      </c>
      <c r="H39" s="20" t="n">
        <v>1.71372048</v>
      </c>
      <c r="I39" s="18" t="s">
        <v>567</v>
      </c>
      <c r="J39" s="20" t="s">
        <v>567</v>
      </c>
      <c r="K39" s="18" t="n">
        <v>0.63287242</v>
      </c>
      <c r="L39" s="20" t="n">
        <v>0.26591168</v>
      </c>
      <c r="M39" s="18" t="n">
        <v>0</v>
      </c>
      <c r="N39" s="20" t="n">
        <v>0</v>
      </c>
      <c r="O39" s="18" t="n">
        <v>0</v>
      </c>
      <c r="P39" s="20" t="n">
        <v>0</v>
      </c>
      <c r="Q39" s="18" t="n">
        <v>2.08792064</v>
      </c>
      <c r="R39" s="20" t="n">
        <v>0.69476468</v>
      </c>
    </row>
    <row r="40" spans="1:18">
      <c r="A40" s="15" t="s">
        <v>600</v>
      </c>
      <c r="B40" s="17" t="n">
        <v>7235</v>
      </c>
      <c r="C40" s="18">
        <f>(5651.0/B40*100)</f>
        <v/>
      </c>
      <c r="D40" s="19" t="n">
        <v>1584</v>
      </c>
      <c r="E40" s="18" t="n">
        <v>48.91938254</v>
      </c>
      <c r="F40" s="20" t="n">
        <v>1.76065675</v>
      </c>
      <c r="G40" s="18" t="n">
        <v>47.13200639</v>
      </c>
      <c r="H40" s="20" t="n">
        <v>1.84438002</v>
      </c>
      <c r="I40" s="18" t="s">
        <v>567</v>
      </c>
      <c r="J40" s="20" t="s">
        <v>567</v>
      </c>
      <c r="K40" s="18" t="n">
        <v>0.03351825</v>
      </c>
      <c r="L40" s="20" t="n">
        <v>0.02479468</v>
      </c>
      <c r="M40" s="18" t="n">
        <v>0.05188938</v>
      </c>
      <c r="N40" s="20" t="n">
        <v>0.04950226</v>
      </c>
      <c r="O40" s="18" t="n">
        <v>0</v>
      </c>
      <c r="P40" s="20" t="n">
        <v>0</v>
      </c>
      <c r="Q40" s="18" t="n">
        <v>3.86320344</v>
      </c>
      <c r="R40" s="20" t="n">
        <v>0.78670235</v>
      </c>
    </row>
    <row r="41" spans="1:18">
      <c r="A41" s="15" t="s">
        <v>601</v>
      </c>
      <c r="B41" s="17" t="n">
        <v>2858</v>
      </c>
      <c r="C41" s="18">
        <f>(2272.0/B41*100)</f>
        <v/>
      </c>
      <c r="D41" s="19" t="n">
        <v>586</v>
      </c>
      <c r="E41" s="18" t="n">
        <v>49.24420414</v>
      </c>
      <c r="F41" s="20" t="n">
        <v>2.41960312</v>
      </c>
      <c r="G41" s="18" t="n">
        <v>50.0640206</v>
      </c>
      <c r="H41" s="20" t="n">
        <v>2.45849957</v>
      </c>
      <c r="I41" s="18" t="s">
        <v>567</v>
      </c>
      <c r="J41" s="20" t="s">
        <v>567</v>
      </c>
      <c r="K41" s="18" t="n">
        <v>0</v>
      </c>
      <c r="L41" s="20" t="n">
        <v>0</v>
      </c>
      <c r="M41" s="18" t="n">
        <v>0</v>
      </c>
      <c r="N41" s="20" t="n">
        <v>0</v>
      </c>
      <c r="O41" s="18" t="n">
        <v>0</v>
      </c>
      <c r="P41" s="20" t="n">
        <v>0</v>
      </c>
      <c r="Q41" s="18" t="n">
        <v>0.69177526</v>
      </c>
      <c r="R41" s="20" t="n">
        <v>0.34059785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(9015.0/B46*100)</f>
        <v/>
      </c>
      <c r="D46" s="19" t="n">
        <v>2053</v>
      </c>
      <c r="E46" s="18" t="n">
        <v>76.76188372999999</v>
      </c>
      <c r="F46" s="20" t="n">
        <v>1.23732663</v>
      </c>
      <c r="G46" s="18" t="n">
        <v>16.90088791</v>
      </c>
      <c r="H46" s="20" t="n">
        <v>1.2035887</v>
      </c>
      <c r="I46" s="18" t="s">
        <v>567</v>
      </c>
      <c r="J46" s="20" t="s">
        <v>567</v>
      </c>
      <c r="K46" s="18" t="n">
        <v>1.11493238</v>
      </c>
      <c r="L46" s="20" t="n">
        <v>0.35924302</v>
      </c>
      <c r="M46" s="18" t="n">
        <v>0.7099892799999999</v>
      </c>
      <c r="N46" s="20" t="n">
        <v>0.20641407</v>
      </c>
      <c r="O46" s="18" t="n">
        <v>0</v>
      </c>
      <c r="P46" s="20" t="n">
        <v>0</v>
      </c>
      <c r="Q46" s="18" t="n">
        <v>4.5123067</v>
      </c>
      <c r="R46" s="20" t="n">
        <v>0.58305828</v>
      </c>
    </row>
    <row r="47" spans="1:18">
      <c r="A47" s="15" t="s">
        <v>607</v>
      </c>
      <c r="B47" s="17" t="n">
        <v>3105</v>
      </c>
      <c r="C47" s="18">
        <f>(2472.0/B47*100)</f>
        <v/>
      </c>
      <c r="D47" s="19" t="n">
        <v>633</v>
      </c>
      <c r="E47" s="18" t="n">
        <v>73.95828710000001</v>
      </c>
      <c r="F47" s="20" t="n">
        <v>2.01898211</v>
      </c>
      <c r="G47" s="18" t="n">
        <v>21.99946129</v>
      </c>
      <c r="H47" s="20" t="n">
        <v>2.06154312</v>
      </c>
      <c r="I47" s="18" t="s">
        <v>567</v>
      </c>
      <c r="J47" s="20" t="s">
        <v>567</v>
      </c>
      <c r="K47" s="18" t="n">
        <v>0.31749015</v>
      </c>
      <c r="L47" s="20" t="n">
        <v>0.24497724</v>
      </c>
      <c r="M47" s="18" t="n">
        <v>0</v>
      </c>
      <c r="N47" s="20" t="n">
        <v>0</v>
      </c>
      <c r="O47" s="18" t="n">
        <v>0</v>
      </c>
      <c r="P47" s="20" t="n">
        <v>0</v>
      </c>
      <c r="Q47" s="18" t="n">
        <v>3.72476145</v>
      </c>
      <c r="R47" s="20" t="n">
        <v>0.77732924</v>
      </c>
    </row>
    <row r="48" spans="1:18">
      <c r="A48" s="15" t="s">
        <v>608</v>
      </c>
      <c r="B48" s="17" t="n">
        <v>5159</v>
      </c>
      <c r="C48" s="18">
        <f>(4027.0/B48*100)</f>
        <v/>
      </c>
      <c r="D48" s="19" t="n">
        <v>1132</v>
      </c>
      <c r="E48" s="18" t="n">
        <v>46.87562289</v>
      </c>
      <c r="F48" s="20" t="n">
        <v>2.21200275</v>
      </c>
      <c r="G48" s="18" t="n">
        <v>51.91553058</v>
      </c>
      <c r="H48" s="20" t="n">
        <v>2.18796513</v>
      </c>
      <c r="I48" s="18" t="s">
        <v>567</v>
      </c>
      <c r="J48" s="20" t="s">
        <v>567</v>
      </c>
      <c r="K48" s="18" t="n">
        <v>0.42311333</v>
      </c>
      <c r="L48" s="20" t="n">
        <v>0.24299446</v>
      </c>
      <c r="M48" s="18" t="n">
        <v>0</v>
      </c>
      <c r="N48" s="20" t="n">
        <v>0</v>
      </c>
      <c r="O48" s="18" t="n">
        <v>0</v>
      </c>
      <c r="P48" s="20" t="n">
        <v>0</v>
      </c>
      <c r="Q48" s="18" t="n">
        <v>0.78573319</v>
      </c>
      <c r="R48" s="20" t="n">
        <v>0.31313021</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(4449.0/B50*100)</f>
        <v/>
      </c>
      <c r="D50" s="19" t="n">
        <v>1188</v>
      </c>
      <c r="E50" s="18" t="n">
        <v>74.19396154</v>
      </c>
      <c r="F50" s="20" t="n">
        <v>1.65288662</v>
      </c>
      <c r="G50" s="18" t="n">
        <v>22.12224531</v>
      </c>
      <c r="H50" s="20" t="n">
        <v>1.5205741</v>
      </c>
      <c r="I50" s="18" t="s">
        <v>567</v>
      </c>
      <c r="J50" s="20" t="s">
        <v>567</v>
      </c>
      <c r="K50" s="18" t="n">
        <v>0.83366894</v>
      </c>
      <c r="L50" s="20" t="n">
        <v>0.40963195</v>
      </c>
      <c r="M50" s="18" t="n">
        <v>0.27344155</v>
      </c>
      <c r="N50" s="20" t="n">
        <v>0.1810549</v>
      </c>
      <c r="O50" s="18" t="n">
        <v>0</v>
      </c>
      <c r="P50" s="20" t="n">
        <v>0</v>
      </c>
      <c r="Q50" s="18" t="n">
        <v>2.57668266</v>
      </c>
      <c r="R50" s="20" t="n">
        <v>0.61653746</v>
      </c>
    </row>
    <row r="51" spans="1:18">
      <c r="A51" s="15" t="s">
        <v>611</v>
      </c>
      <c r="B51" s="17" t="n">
        <v>3372</v>
      </c>
      <c r="C51" s="18">
        <f>(2766.0/B51*100)</f>
        <v/>
      </c>
      <c r="D51" s="19" t="n">
        <v>606</v>
      </c>
      <c r="E51" s="18" t="n">
        <v>75.83547179</v>
      </c>
      <c r="F51" s="20" t="n">
        <v>1.98645632</v>
      </c>
      <c r="G51" s="18" t="n">
        <v>20.7728764</v>
      </c>
      <c r="H51" s="20" t="n">
        <v>1.82022274</v>
      </c>
      <c r="I51" s="18" t="s">
        <v>567</v>
      </c>
      <c r="J51" s="20" t="s">
        <v>567</v>
      </c>
      <c r="K51" s="18" t="n">
        <v>0.55807861</v>
      </c>
      <c r="L51" s="20" t="n">
        <v>0.30796442</v>
      </c>
      <c r="M51" s="18" t="n">
        <v>0</v>
      </c>
      <c r="N51" s="20" t="n">
        <v>0</v>
      </c>
      <c r="O51" s="18" t="n">
        <v>0</v>
      </c>
      <c r="P51" s="20" t="n">
        <v>0</v>
      </c>
      <c r="Q51" s="18" t="n">
        <v>2.8335732</v>
      </c>
      <c r="R51" s="20" t="n">
        <v>0.67829589</v>
      </c>
    </row>
    <row r="52" spans="1:18">
      <c r="A52" s="15" t="s">
        <v>612</v>
      </c>
      <c r="B52" s="17" t="n">
        <v>2796</v>
      </c>
      <c r="C52" s="18">
        <f>(2144.0/B52*100)</f>
        <v/>
      </c>
      <c r="D52" s="19" t="n">
        <v>652</v>
      </c>
      <c r="E52" s="18" t="n">
        <v>64.50613608</v>
      </c>
      <c r="F52" s="20" t="n">
        <v>2.04336278</v>
      </c>
      <c r="G52" s="18" t="n">
        <v>33.15331599</v>
      </c>
      <c r="H52" s="20" t="n">
        <v>2.05766437</v>
      </c>
      <c r="I52" s="18" t="s">
        <v>567</v>
      </c>
      <c r="J52" s="20" t="s">
        <v>567</v>
      </c>
      <c r="K52" s="18" t="n">
        <v>0.11658974</v>
      </c>
      <c r="L52" s="20" t="n">
        <v>0.11148031</v>
      </c>
      <c r="M52" s="18" t="n">
        <v>0</v>
      </c>
      <c r="N52" s="20" t="n">
        <v>0</v>
      </c>
      <c r="O52" s="18" t="n">
        <v>0</v>
      </c>
      <c r="P52" s="20" t="n">
        <v>0</v>
      </c>
      <c r="Q52" s="18" t="n">
        <v>2.22395819</v>
      </c>
      <c r="R52" s="20" t="n">
        <v>0.65254173</v>
      </c>
    </row>
    <row r="53" spans="1:18">
      <c r="A53" s="15" t="s">
        <v>613</v>
      </c>
      <c r="B53" s="17" t="n">
        <v>2811</v>
      </c>
      <c r="C53" s="18">
        <f>(2213.0/B53*100)</f>
        <v/>
      </c>
      <c r="D53" s="19" t="n">
        <v>598</v>
      </c>
      <c r="E53" s="18" t="n">
        <v>70.28298530000001</v>
      </c>
      <c r="F53" s="20" t="n">
        <v>1.81462917</v>
      </c>
      <c r="G53" s="18" t="n">
        <v>25.95287879</v>
      </c>
      <c r="H53" s="20" t="n">
        <v>1.72404194</v>
      </c>
      <c r="I53" s="18" t="s">
        <v>567</v>
      </c>
      <c r="J53" s="20" t="s">
        <v>567</v>
      </c>
      <c r="K53" s="18" t="n">
        <v>0.32825585</v>
      </c>
      <c r="L53" s="20" t="n">
        <v>0.24002273</v>
      </c>
      <c r="M53" s="18" t="n">
        <v>0</v>
      </c>
      <c r="N53" s="20" t="n">
        <v>0</v>
      </c>
      <c r="O53" s="18" t="n">
        <v>0</v>
      </c>
      <c r="P53" s="20" t="n">
        <v>0</v>
      </c>
      <c r="Q53" s="18" t="n">
        <v>3.43588005</v>
      </c>
      <c r="R53" s="20" t="n">
        <v>0.76537587</v>
      </c>
    </row>
    <row r="54" spans="1:18">
      <c r="A54" s="15" t="s">
        <v>614</v>
      </c>
      <c r="B54" s="17" t="n">
        <v>2266</v>
      </c>
      <c r="C54" s="18">
        <f>(1741.0/B54*100)</f>
        <v/>
      </c>
      <c r="D54" s="19" t="n">
        <v>525</v>
      </c>
      <c r="E54" s="18" t="n">
        <v>83.14285794</v>
      </c>
      <c r="F54" s="20" t="n">
        <v>1.84401522</v>
      </c>
      <c r="G54" s="18" t="n">
        <v>3.93694567</v>
      </c>
      <c r="H54" s="20" t="n">
        <v>0.9513713</v>
      </c>
      <c r="I54" s="18" t="s">
        <v>567</v>
      </c>
      <c r="J54" s="20" t="s">
        <v>567</v>
      </c>
      <c r="K54" s="18" t="n">
        <v>6.86196204</v>
      </c>
      <c r="L54" s="20" t="n">
        <v>1.27269744</v>
      </c>
      <c r="M54" s="18" t="n">
        <v>0.35803522</v>
      </c>
      <c r="N54" s="20" t="n">
        <v>0.24924428</v>
      </c>
      <c r="O54" s="18" t="n">
        <v>0</v>
      </c>
      <c r="P54" s="20" t="n">
        <v>0</v>
      </c>
      <c r="Q54" s="18" t="n">
        <v>5.70019913</v>
      </c>
      <c r="R54" s="20" t="n">
        <v>1.21546068</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(2067.0/B56*100)</f>
        <v/>
      </c>
      <c r="D56" s="19" t="n">
        <v>617</v>
      </c>
      <c r="E56" s="18" t="n">
        <v>39.71986503</v>
      </c>
      <c r="F56" s="20" t="n">
        <v>2.41977087</v>
      </c>
      <c r="G56" s="18" t="n">
        <v>59.03188087</v>
      </c>
      <c r="H56" s="20" t="n">
        <v>2.51126915</v>
      </c>
      <c r="I56" s="18" t="s">
        <v>567</v>
      </c>
      <c r="J56" s="20" t="s">
        <v>567</v>
      </c>
      <c r="K56" s="18" t="n">
        <v>0</v>
      </c>
      <c r="L56" s="20" t="n">
        <v>0</v>
      </c>
      <c r="M56" s="18" t="n">
        <v>0</v>
      </c>
      <c r="N56" s="20" t="n">
        <v>0</v>
      </c>
      <c r="O56" s="18" t="n">
        <v>0</v>
      </c>
      <c r="P56" s="20" t="n">
        <v>0</v>
      </c>
      <c r="Q56" s="18" t="n">
        <v>1.2482541</v>
      </c>
      <c r="R56" s="20" t="n">
        <v>0.51328718</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(2593.0/B61*100)</f>
        <v/>
      </c>
      <c r="D61" s="19" t="n">
        <v>731</v>
      </c>
      <c r="E61" s="18" t="n">
        <v>63.46031666</v>
      </c>
      <c r="F61" s="20" t="n">
        <v>1.80556317</v>
      </c>
      <c r="G61" s="18" t="n">
        <v>34.54342599</v>
      </c>
      <c r="H61" s="20" t="n">
        <v>1.75276409</v>
      </c>
      <c r="I61" s="18" t="s">
        <v>567</v>
      </c>
      <c r="J61" s="20" t="s">
        <v>567</v>
      </c>
      <c r="K61" s="18" t="n">
        <v>0</v>
      </c>
      <c r="L61" s="20" t="n">
        <v>0</v>
      </c>
      <c r="M61" s="18" t="n">
        <v>0</v>
      </c>
      <c r="N61" s="20" t="n">
        <v>0</v>
      </c>
      <c r="O61" s="18" t="n">
        <v>0</v>
      </c>
      <c r="P61" s="20" t="n">
        <v>0</v>
      </c>
      <c r="Q61" s="18" t="n">
        <v>1.99625736</v>
      </c>
      <c r="R61" s="20" t="n">
        <v>0.53087475</v>
      </c>
    </row>
    <row r="62" spans="1:18">
      <c r="A62" s="15" t="s">
        <v>622</v>
      </c>
      <c r="B62" s="17" t="n">
        <v>2246</v>
      </c>
      <c r="C62" s="18">
        <f>(1790.0/B62*100)</f>
        <v/>
      </c>
      <c r="D62" s="19" t="n">
        <v>456</v>
      </c>
      <c r="E62" s="18" t="n">
        <v>47.63047495</v>
      </c>
      <c r="F62" s="20" t="n">
        <v>1.88109942</v>
      </c>
      <c r="G62" s="18" t="n">
        <v>52.15169367</v>
      </c>
      <c r="H62" s="20" t="n">
        <v>1.89483425</v>
      </c>
      <c r="I62" s="18" t="s">
        <v>567</v>
      </c>
      <c r="J62" s="20" t="s">
        <v>567</v>
      </c>
      <c r="K62" s="18" t="n">
        <v>0</v>
      </c>
      <c r="L62" s="20" t="n">
        <v>0</v>
      </c>
      <c r="M62" s="18" t="n">
        <v>0.21783138</v>
      </c>
      <c r="N62" s="20" t="n">
        <v>0.21906764</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(2243.0/B66*100)</f>
        <v/>
      </c>
      <c r="D66" s="19" t="n">
        <v>651</v>
      </c>
      <c r="E66" s="18" t="n">
        <v>75.17091154000001</v>
      </c>
      <c r="F66" s="20" t="n">
        <v>1.80983767</v>
      </c>
      <c r="G66" s="18" t="n">
        <v>16.02919542</v>
      </c>
      <c r="H66" s="20" t="n">
        <v>1.45106274</v>
      </c>
      <c r="I66" s="18" t="s">
        <v>567</v>
      </c>
      <c r="J66" s="20" t="s">
        <v>567</v>
      </c>
      <c r="K66" s="18" t="n">
        <v>0.4261147</v>
      </c>
      <c r="L66" s="20" t="n">
        <v>0.24435519</v>
      </c>
      <c r="M66" s="18" t="n">
        <v>0.45952185</v>
      </c>
      <c r="N66" s="20" t="n">
        <v>0.26567895</v>
      </c>
      <c r="O66" s="18" t="n">
        <v>0</v>
      </c>
      <c r="P66" s="20" t="n">
        <v>0</v>
      </c>
      <c r="Q66" s="18" t="n">
        <v>7.91425649</v>
      </c>
      <c r="R66" s="20" t="n">
        <v>1.00942407</v>
      </c>
    </row>
    <row r="67" spans="1:18">
      <c r="A67" s="15" t="s">
        <v>627</v>
      </c>
      <c r="B67" s="17" t="n">
        <v>3511</v>
      </c>
      <c r="C67" s="18">
        <f>(2810.0/B67*100)</f>
        <v/>
      </c>
      <c r="D67" s="19" t="n">
        <v>701</v>
      </c>
      <c r="E67" s="18" t="n">
        <v>79.27035511</v>
      </c>
      <c r="F67" s="20" t="n">
        <v>1.79451038</v>
      </c>
      <c r="G67" s="18" t="n">
        <v>18.01515305</v>
      </c>
      <c r="H67" s="20" t="n">
        <v>1.75339096</v>
      </c>
      <c r="I67" s="18" t="s">
        <v>567</v>
      </c>
      <c r="J67" s="20" t="s">
        <v>567</v>
      </c>
      <c r="K67" s="18" t="n">
        <v>0.1867005</v>
      </c>
      <c r="L67" s="20" t="n">
        <v>0.1863942</v>
      </c>
      <c r="M67" s="18" t="n">
        <v>0.32252763</v>
      </c>
      <c r="N67" s="20" t="n">
        <v>0.18676112</v>
      </c>
      <c r="O67" s="18" t="n">
        <v>0</v>
      </c>
      <c r="P67" s="20" t="n">
        <v>0</v>
      </c>
      <c r="Q67" s="18" t="n">
        <v>2.20526371</v>
      </c>
      <c r="R67" s="20" t="n">
        <v>0.64080823</v>
      </c>
    </row>
    <row r="68" spans="1:18">
      <c r="A68" s="15" t="s">
        <v>628</v>
      </c>
      <c r="B68" s="17" t="n">
        <v>6049</v>
      </c>
      <c r="C68" s="18">
        <f>(4719.0/B68*100)</f>
        <v/>
      </c>
      <c r="D68" s="19" t="n">
        <v>1330</v>
      </c>
      <c r="E68" s="18" t="n">
        <v>70.64901218</v>
      </c>
      <c r="F68" s="20" t="n">
        <v>1.3341679</v>
      </c>
      <c r="G68" s="18" t="n">
        <v>22.24397444</v>
      </c>
      <c r="H68" s="20" t="n">
        <v>1.27231104</v>
      </c>
      <c r="I68" s="18" t="s">
        <v>567</v>
      </c>
      <c r="J68" s="20" t="s">
        <v>567</v>
      </c>
      <c r="K68" s="18" t="n">
        <v>1.09712192</v>
      </c>
      <c r="L68" s="20" t="n">
        <v>0.2836714</v>
      </c>
      <c r="M68" s="18" t="n">
        <v>0.0753926</v>
      </c>
      <c r="N68" s="20" t="n">
        <v>0.07422556</v>
      </c>
      <c r="O68" s="18" t="n">
        <v>0</v>
      </c>
      <c r="P68" s="20" t="n">
        <v>0</v>
      </c>
      <c r="Q68" s="18" t="n">
        <v>5.93449885</v>
      </c>
      <c r="R68" s="20" t="n">
        <v>0.5987394700000001</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(2326.0/B70*100)</f>
        <v/>
      </c>
      <c r="D70" s="19" t="n">
        <v>603</v>
      </c>
      <c r="E70" s="18" t="n">
        <v>60.80098839</v>
      </c>
      <c r="F70" s="20" t="n">
        <v>2.22507903</v>
      </c>
      <c r="G70" s="18" t="n">
        <v>37.51281151</v>
      </c>
      <c r="H70" s="20" t="n">
        <v>2.12931138</v>
      </c>
      <c r="I70" s="18" t="s">
        <v>567</v>
      </c>
      <c r="J70" s="20" t="s">
        <v>567</v>
      </c>
      <c r="K70" s="18" t="n">
        <v>0</v>
      </c>
      <c r="L70" s="20" t="n">
        <v>0</v>
      </c>
      <c r="M70" s="18" t="n">
        <v>0.29612986</v>
      </c>
      <c r="N70" s="20" t="n">
        <v>0.28528888</v>
      </c>
      <c r="O70" s="18" t="n">
        <v>0</v>
      </c>
      <c r="P70" s="20" t="n">
        <v>0</v>
      </c>
      <c r="Q70" s="18" t="n">
        <v>1.39007024</v>
      </c>
      <c r="R70" s="20" t="n">
        <v>0.43411444</v>
      </c>
    </row>
    <row r="71" spans="1:18">
      <c r="A71" s="15" t="s">
        <v>631</v>
      </c>
      <c r="B71" s="17" t="n">
        <v>3142</v>
      </c>
      <c r="C71" s="18">
        <f>(2465.0/B71*100)</f>
        <v/>
      </c>
      <c r="D71" s="19" t="n">
        <v>677</v>
      </c>
      <c r="E71" s="18" t="n">
        <v>30.39129901</v>
      </c>
      <c r="F71" s="20" t="n">
        <v>1.91782257</v>
      </c>
      <c r="G71" s="18" t="n">
        <v>68.38803049000001</v>
      </c>
      <c r="H71" s="20" t="n">
        <v>1.93034519</v>
      </c>
      <c r="I71" s="18" t="s">
        <v>567</v>
      </c>
      <c r="J71" s="20" t="s">
        <v>567</v>
      </c>
      <c r="K71" s="18" t="n">
        <v>0.20541485</v>
      </c>
      <c r="L71" s="20" t="n">
        <v>0.14860198</v>
      </c>
      <c r="M71" s="18" t="n">
        <v>0.0887135</v>
      </c>
      <c r="N71" s="20" t="n">
        <v>0.0889479</v>
      </c>
      <c r="O71" s="18" t="n">
        <v>0</v>
      </c>
      <c r="P71" s="20" t="n">
        <v>0</v>
      </c>
      <c r="Q71" s="18" t="n">
        <v>0.92654215</v>
      </c>
      <c r="R71" s="20" t="n">
        <v>0.33401559</v>
      </c>
    </row>
    <row r="72" spans="1:18">
      <c r="A72" s="15" t="s">
        <v>632</v>
      </c>
      <c r="B72" s="17" t="n">
        <v>3889</v>
      </c>
      <c r="C72" s="18">
        <f>(3011.0/B72*100)</f>
        <v/>
      </c>
      <c r="D72" s="19" t="n">
        <v>878</v>
      </c>
      <c r="E72" s="18" t="n">
        <v>40.2591429</v>
      </c>
      <c r="F72" s="20" t="n">
        <v>1.74304799</v>
      </c>
      <c r="G72" s="18" t="n">
        <v>58.87096918</v>
      </c>
      <c r="H72" s="20" t="n">
        <v>1.78961067</v>
      </c>
      <c r="I72" s="18" t="s">
        <v>567</v>
      </c>
      <c r="J72" s="20" t="s">
        <v>567</v>
      </c>
      <c r="K72" s="18" t="n">
        <v>0.24180995</v>
      </c>
      <c r="L72" s="20" t="n">
        <v>0.1413038</v>
      </c>
      <c r="M72" s="18" t="n">
        <v>0.09124256</v>
      </c>
      <c r="N72" s="20" t="n">
        <v>0.09136869</v>
      </c>
      <c r="O72" s="18" t="n">
        <v>0</v>
      </c>
      <c r="P72" s="20" t="n">
        <v>0</v>
      </c>
      <c r="Q72" s="18" t="n">
        <v>0.53683541</v>
      </c>
      <c r="R72" s="20" t="n">
        <v>0.26255193</v>
      </c>
    </row>
    <row r="73" spans="1:18">
      <c r="A73" s="15" t="s">
        <v>633</v>
      </c>
      <c r="B73" s="17" t="n">
        <v>3597</v>
      </c>
      <c r="C73" s="18">
        <f>(2795.0/B73*100)</f>
        <v/>
      </c>
      <c r="D73" s="19" t="n">
        <v>802</v>
      </c>
      <c r="E73" s="18" t="n">
        <v>75.84266914</v>
      </c>
      <c r="F73" s="20" t="n">
        <v>2.16560376</v>
      </c>
      <c r="G73" s="18" t="n">
        <v>23.02101555</v>
      </c>
      <c r="H73" s="20" t="n">
        <v>2.06180789</v>
      </c>
      <c r="I73" s="18" t="s">
        <v>567</v>
      </c>
      <c r="J73" s="20" t="s">
        <v>567</v>
      </c>
      <c r="K73" s="18" t="n">
        <v>0</v>
      </c>
      <c r="L73" s="20" t="n">
        <v>0</v>
      </c>
      <c r="M73" s="18" t="n">
        <v>0.07640696</v>
      </c>
      <c r="N73" s="20" t="n">
        <v>0.05693107</v>
      </c>
      <c r="O73" s="18" t="n">
        <v>0</v>
      </c>
      <c r="P73" s="20" t="n">
        <v>0</v>
      </c>
      <c r="Q73" s="18" t="n">
        <v>1.05990834</v>
      </c>
      <c r="R73" s="20" t="n">
        <v>0.38106473</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(1919.0/B75*100)</f>
        <v/>
      </c>
      <c r="D75" s="19" t="n">
        <v>487</v>
      </c>
      <c r="E75" s="18" t="n">
        <v>84.92201027</v>
      </c>
      <c r="F75" s="20" t="n">
        <v>1.73239341</v>
      </c>
      <c r="G75" s="18" t="n">
        <v>10.88597275</v>
      </c>
      <c r="H75" s="20" t="n">
        <v>1.41633173</v>
      </c>
      <c r="I75" s="18" t="s">
        <v>567</v>
      </c>
      <c r="J75" s="20" t="s">
        <v>567</v>
      </c>
      <c r="K75" s="18" t="n">
        <v>0.49203304</v>
      </c>
      <c r="L75" s="20" t="n">
        <v>0.27498817</v>
      </c>
      <c r="M75" s="18" t="n">
        <v>0.67611108</v>
      </c>
      <c r="N75" s="20" t="n">
        <v>0.4081924</v>
      </c>
      <c r="O75" s="18" t="n">
        <v>0</v>
      </c>
      <c r="P75" s="20" t="n">
        <v>0</v>
      </c>
      <c r="Q75" s="18" t="n">
        <v>3.02387285</v>
      </c>
      <c r="R75" s="20" t="n">
        <v>0.78828405</v>
      </c>
    </row>
    <row r="76" spans="1:18">
      <c r="A76" s="15" t="s">
        <v>636</v>
      </c>
      <c r="B76" s="17" t="n">
        <v>7052</v>
      </c>
      <c r="C76" s="18">
        <f>(5531.0/B76*100)</f>
        <v/>
      </c>
      <c r="D76" s="19" t="n">
        <v>1521</v>
      </c>
      <c r="E76" s="18" t="n">
        <v>70.47497728</v>
      </c>
      <c r="F76" s="20" t="n">
        <v>1.21860122</v>
      </c>
      <c r="G76" s="18" t="n">
        <v>23.16844719</v>
      </c>
      <c r="H76" s="20" t="n">
        <v>1.37091941</v>
      </c>
      <c r="I76" s="18" t="s">
        <v>567</v>
      </c>
      <c r="J76" s="20" t="s">
        <v>567</v>
      </c>
      <c r="K76" s="18" t="n">
        <v>0.42008408</v>
      </c>
      <c r="L76" s="20" t="n">
        <v>0.16287506</v>
      </c>
      <c r="M76" s="18" t="n">
        <v>0.1978452</v>
      </c>
      <c r="N76" s="20" t="n">
        <v>0.13861811</v>
      </c>
      <c r="O76" s="18" t="n">
        <v>0</v>
      </c>
      <c r="P76" s="20" t="n">
        <v>0</v>
      </c>
      <c r="Q76" s="18" t="n">
        <v>5.73864625</v>
      </c>
      <c r="R76" s="20" t="n">
        <v>0.77172431</v>
      </c>
    </row>
    <row r="77" spans="1:18">
      <c r="A77" s="15" t="s">
        <v>637</v>
      </c>
      <c r="B77" s="17" t="n">
        <v>2908</v>
      </c>
      <c r="C77" s="18">
        <f>(2267.0/B77*100)</f>
        <v/>
      </c>
      <c r="D77" s="19" t="n">
        <v>641</v>
      </c>
      <c r="E77" s="18" t="n">
        <v>68.28663422</v>
      </c>
      <c r="F77" s="20" t="n">
        <v>2.4567163</v>
      </c>
      <c r="G77" s="18" t="n">
        <v>26.45420345</v>
      </c>
      <c r="H77" s="20" t="n">
        <v>2.45723929</v>
      </c>
      <c r="I77" s="18" t="s">
        <v>567</v>
      </c>
      <c r="J77" s="20" t="s">
        <v>567</v>
      </c>
      <c r="K77" s="18" t="n">
        <v>0.88465364</v>
      </c>
      <c r="L77" s="20" t="n">
        <v>0.37301377</v>
      </c>
      <c r="M77" s="18" t="n">
        <v>0.12562286</v>
      </c>
      <c r="N77" s="20" t="n">
        <v>0.12674806</v>
      </c>
      <c r="O77" s="18" t="n">
        <v>0</v>
      </c>
      <c r="P77" s="20" t="n">
        <v>0</v>
      </c>
      <c r="Q77" s="18" t="n">
        <v>4.24888583</v>
      </c>
      <c r="R77" s="20" t="n">
        <v>1.11390939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(3214.0/B81*100)</f>
        <v/>
      </c>
      <c r="D81" s="19" t="n">
        <v>949</v>
      </c>
      <c r="E81" s="18" t="n">
        <v>60.40415264</v>
      </c>
      <c r="F81" s="20" t="n">
        <v>2.24142135</v>
      </c>
      <c r="G81" s="18" t="n">
        <v>38.10656108</v>
      </c>
      <c r="H81" s="20" t="n">
        <v>2.09671411</v>
      </c>
      <c r="I81" s="18" t="s">
        <v>567</v>
      </c>
      <c r="J81" s="20" t="s">
        <v>567</v>
      </c>
      <c r="K81" s="18" t="n">
        <v>0.14067392</v>
      </c>
      <c r="L81" s="20" t="n">
        <v>0.14481698</v>
      </c>
      <c r="M81" s="18" t="n">
        <v>0</v>
      </c>
      <c r="N81" s="20" t="n">
        <v>0</v>
      </c>
      <c r="O81" s="18" t="n">
        <v>0</v>
      </c>
      <c r="P81" s="20" t="n">
        <v>0</v>
      </c>
      <c r="Q81" s="18" t="n">
        <v>1.34861236</v>
      </c>
      <c r="R81" s="20" t="n">
        <v>0.62213595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757</v>
      </c>
    </row>
    <row customHeight="1" ht="30" r="4" spans="1:20">
      <c r="A4" s="6" t="n"/>
      <c r="B4" s="7" t="s">
        <v>551</v>
      </c>
      <c r="C4" s="7" t="s">
        <v>552</v>
      </c>
      <c r="D4" s="8" t="s">
        <v>551</v>
      </c>
      <c r="E4" s="9" t="s">
        <v>662</v>
      </c>
      <c r="F4" s="10" t="n"/>
      <c r="G4" s="9" t="s">
        <v>754</v>
      </c>
      <c r="H4" s="10" t="n"/>
      <c r="I4" s="9" t="s">
        <v>663</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7367</v>
      </c>
      <c r="C7" s="18">
        <f>(5770.0/B7*100)</f>
        <v/>
      </c>
      <c r="D7" s="19" t="n">
        <v>1597</v>
      </c>
      <c r="E7" s="18" t="n">
        <v>33.6937597</v>
      </c>
      <c r="F7" s="20" t="n">
        <v>1.40969455</v>
      </c>
      <c r="G7" s="18" t="n">
        <v>34.85107343</v>
      </c>
      <c r="H7" s="20" t="n">
        <v>1.38106436</v>
      </c>
      <c r="I7" s="18" t="n">
        <v>29.69888674</v>
      </c>
      <c r="J7" s="20" t="n">
        <v>1.57511896</v>
      </c>
      <c r="K7" s="18" t="s">
        <v>567</v>
      </c>
      <c r="L7" s="20" t="s">
        <v>567</v>
      </c>
      <c r="M7" s="18" t="n">
        <v>0.13974229</v>
      </c>
      <c r="N7" s="20" t="n">
        <v>0.07933862999999999</v>
      </c>
      <c r="O7" s="18" t="n">
        <v>0</v>
      </c>
      <c r="P7" s="20" t="n">
        <v>0</v>
      </c>
      <c r="Q7" s="18" t="n">
        <v>0</v>
      </c>
      <c r="R7" s="20" t="n">
        <v>0</v>
      </c>
      <c r="S7" s="18" t="n">
        <v>1.61653783</v>
      </c>
      <c r="T7" s="20" t="n">
        <v>0.27973671</v>
      </c>
    </row>
    <row r="8" spans="1:20">
      <c r="A8" s="15" t="s">
        <v>568</v>
      </c>
      <c r="B8" s="17" t="n">
        <v>3564</v>
      </c>
      <c r="C8" s="18">
        <f>(2773.0/B8*100)</f>
        <v/>
      </c>
      <c r="D8" s="19" t="n">
        <v>791</v>
      </c>
      <c r="E8" s="18" t="n">
        <v>32.41077556</v>
      </c>
      <c r="F8" s="20" t="n">
        <v>1.79365806</v>
      </c>
      <c r="G8" s="18" t="n">
        <v>40.93655425</v>
      </c>
      <c r="H8" s="20" t="n">
        <v>2.11141243</v>
      </c>
      <c r="I8" s="18" t="n">
        <v>23.51259951</v>
      </c>
      <c r="J8" s="20" t="n">
        <v>2.13641584</v>
      </c>
      <c r="K8" s="18" t="s">
        <v>567</v>
      </c>
      <c r="L8" s="20" t="s">
        <v>567</v>
      </c>
      <c r="M8" s="18" t="n">
        <v>0</v>
      </c>
      <c r="N8" s="20" t="n">
        <v>0</v>
      </c>
      <c r="O8" s="18" t="n">
        <v>0</v>
      </c>
      <c r="P8" s="20" t="n">
        <v>0</v>
      </c>
      <c r="Q8" s="18" t="n">
        <v>0</v>
      </c>
      <c r="R8" s="20" t="n">
        <v>0</v>
      </c>
      <c r="S8" s="18" t="n">
        <v>3.14007068</v>
      </c>
      <c r="T8" s="20" t="n">
        <v>0.6190374</v>
      </c>
    </row>
    <row r="9" spans="1:20">
      <c r="A9" s="15" t="s">
        <v>569</v>
      </c>
      <c r="B9" s="17" t="n">
        <v>4899</v>
      </c>
      <c r="C9" s="18">
        <f>(3821.0/B9*100)</f>
        <v/>
      </c>
      <c r="D9" s="19" t="n">
        <v>1078</v>
      </c>
      <c r="E9" s="18" t="n">
        <v>25.85237025</v>
      </c>
      <c r="F9" s="20" t="n">
        <v>1.56550256</v>
      </c>
      <c r="G9" s="18" t="n">
        <v>35.62351112</v>
      </c>
      <c r="H9" s="20" t="n">
        <v>1.77096986</v>
      </c>
      <c r="I9" s="18" t="n">
        <v>36.07811992</v>
      </c>
      <c r="J9" s="20" t="n">
        <v>1.75427317</v>
      </c>
      <c r="K9" s="18" t="s">
        <v>567</v>
      </c>
      <c r="L9" s="20" t="s">
        <v>567</v>
      </c>
      <c r="M9" s="18" t="n">
        <v>0.09172663</v>
      </c>
      <c r="N9" s="20" t="n">
        <v>0.0909368</v>
      </c>
      <c r="O9" s="18" t="n">
        <v>0</v>
      </c>
      <c r="P9" s="20" t="n">
        <v>0</v>
      </c>
      <c r="Q9" s="18" t="n">
        <v>0</v>
      </c>
      <c r="R9" s="20" t="n">
        <v>0</v>
      </c>
      <c r="S9" s="18" t="n">
        <v>2.35427207</v>
      </c>
      <c r="T9" s="20" t="n">
        <v>0.4705945</v>
      </c>
    </row>
    <row r="10" spans="1:20">
      <c r="A10" s="15" t="s">
        <v>570</v>
      </c>
      <c r="B10" s="17" t="n">
        <v>10036</v>
      </c>
      <c r="C10" s="18">
        <f>(7884.0/B10*100)</f>
        <v/>
      </c>
      <c r="D10" s="19" t="n">
        <v>2152</v>
      </c>
      <c r="E10" s="18" t="n">
        <v>25.67248571</v>
      </c>
      <c r="F10" s="20" t="n">
        <v>1.44733069</v>
      </c>
      <c r="G10" s="18" t="n">
        <v>37.94894462</v>
      </c>
      <c r="H10" s="20" t="n">
        <v>1.36147992</v>
      </c>
      <c r="I10" s="18" t="n">
        <v>35.31350526</v>
      </c>
      <c r="J10" s="20" t="n">
        <v>1.57925509</v>
      </c>
      <c r="K10" s="18" t="s">
        <v>567</v>
      </c>
      <c r="L10" s="20" t="s">
        <v>567</v>
      </c>
      <c r="M10" s="18" t="n">
        <v>0.19684869</v>
      </c>
      <c r="N10" s="20" t="n">
        <v>0.12771074</v>
      </c>
      <c r="O10" s="18" t="n">
        <v>0</v>
      </c>
      <c r="P10" s="20" t="n">
        <v>0</v>
      </c>
      <c r="Q10" s="18" t="n">
        <v>0</v>
      </c>
      <c r="R10" s="20" t="n">
        <v>0</v>
      </c>
      <c r="S10" s="18" t="n">
        <v>0.86821572</v>
      </c>
      <c r="T10" s="20" t="n">
        <v>0.25081632</v>
      </c>
    </row>
    <row r="11" spans="1:20">
      <c r="A11" s="15" t="s">
        <v>571</v>
      </c>
      <c r="B11" s="17" t="n">
        <v>3553</v>
      </c>
      <c r="C11" s="18">
        <f>(2842.0/B11*100)</f>
        <v/>
      </c>
      <c r="D11" s="19" t="n">
        <v>711</v>
      </c>
      <c r="E11" s="18" t="n">
        <v>39.23763813</v>
      </c>
      <c r="F11" s="20" t="n">
        <v>2.24104503</v>
      </c>
      <c r="G11" s="18" t="n">
        <v>39.73565902</v>
      </c>
      <c r="H11" s="20" t="n">
        <v>1.82340925</v>
      </c>
      <c r="I11" s="18" t="n">
        <v>17.63837967</v>
      </c>
      <c r="J11" s="20" t="n">
        <v>1.73949915</v>
      </c>
      <c r="K11" s="18" t="s">
        <v>567</v>
      </c>
      <c r="L11" s="20" t="s">
        <v>567</v>
      </c>
      <c r="M11" s="18" t="n">
        <v>0.35748959</v>
      </c>
      <c r="N11" s="20" t="n">
        <v>0.22857276</v>
      </c>
      <c r="O11" s="18" t="n">
        <v>0</v>
      </c>
      <c r="P11" s="20" t="n">
        <v>0</v>
      </c>
      <c r="Q11" s="18" t="n">
        <v>0</v>
      </c>
      <c r="R11" s="20" t="n">
        <v>0</v>
      </c>
      <c r="S11" s="18" t="n">
        <v>3.0308336</v>
      </c>
      <c r="T11" s="20" t="n">
        <v>0.79105119</v>
      </c>
    </row>
    <row r="12" spans="1:20">
      <c r="A12" s="15" t="s">
        <v>572</v>
      </c>
      <c r="B12" s="17" t="n">
        <v>3472</v>
      </c>
      <c r="C12" s="18">
        <f>(2733.0/B12*100)</f>
        <v/>
      </c>
      <c r="D12" s="19" t="n">
        <v>739</v>
      </c>
      <c r="E12" s="18" t="n">
        <v>30.33947669</v>
      </c>
      <c r="F12" s="20" t="n">
        <v>1.85909821</v>
      </c>
      <c r="G12" s="18" t="n">
        <v>32.52158208</v>
      </c>
      <c r="H12" s="20" t="n">
        <v>1.93803083</v>
      </c>
      <c r="I12" s="18" t="n">
        <v>35.10541439</v>
      </c>
      <c r="J12" s="20" t="n">
        <v>1.97181245</v>
      </c>
      <c r="K12" s="18" t="s">
        <v>567</v>
      </c>
      <c r="L12" s="20" t="s">
        <v>567</v>
      </c>
      <c r="M12" s="18" t="n">
        <v>0</v>
      </c>
      <c r="N12" s="20" t="n">
        <v>0</v>
      </c>
      <c r="O12" s="18" t="n">
        <v>0</v>
      </c>
      <c r="P12" s="20" t="n">
        <v>0</v>
      </c>
      <c r="Q12" s="18" t="n">
        <v>0</v>
      </c>
      <c r="R12" s="20" t="n">
        <v>0</v>
      </c>
      <c r="S12" s="18" t="n">
        <v>2.03352684</v>
      </c>
      <c r="T12" s="20" t="n">
        <v>0.66201423</v>
      </c>
    </row>
    <row r="13" spans="1:20">
      <c r="A13" s="15" t="s">
        <v>573</v>
      </c>
      <c r="B13" s="17" t="n">
        <v>3559</v>
      </c>
      <c r="C13" s="18">
        <f>(2853.0/B13*100)</f>
        <v/>
      </c>
      <c r="D13" s="19" t="n">
        <v>706</v>
      </c>
      <c r="E13" s="18" t="n">
        <v>33.56238525</v>
      </c>
      <c r="F13" s="20" t="n">
        <v>2.00004839</v>
      </c>
      <c r="G13" s="18" t="n">
        <v>36.81714716</v>
      </c>
      <c r="H13" s="20" t="n">
        <v>2.32482118</v>
      </c>
      <c r="I13" s="18" t="n">
        <v>27.57975308</v>
      </c>
      <c r="J13" s="20" t="n">
        <v>2.2790016</v>
      </c>
      <c r="K13" s="18" t="s">
        <v>567</v>
      </c>
      <c r="L13" s="20" t="s">
        <v>567</v>
      </c>
      <c r="M13" s="18" t="n">
        <v>0.65534899</v>
      </c>
      <c r="N13" s="20" t="n">
        <v>0.3772176</v>
      </c>
      <c r="O13" s="18" t="n">
        <v>0</v>
      </c>
      <c r="P13" s="20" t="n">
        <v>0</v>
      </c>
      <c r="Q13" s="18" t="n">
        <v>0</v>
      </c>
      <c r="R13" s="20" t="n">
        <v>0</v>
      </c>
      <c r="S13" s="18" t="n">
        <v>1.38536552</v>
      </c>
      <c r="T13" s="20" t="n">
        <v>0.41760249</v>
      </c>
    </row>
    <row r="14" spans="1:20">
      <c r="A14" s="15" t="s">
        <v>574</v>
      </c>
      <c r="B14" s="17" t="n">
        <v>2799</v>
      </c>
      <c r="C14" s="18">
        <f>(2216.0/B14*100)</f>
        <v/>
      </c>
      <c r="D14" s="19" t="n">
        <v>583</v>
      </c>
      <c r="E14" s="18" t="n">
        <v>23.08354604</v>
      </c>
      <c r="F14" s="20" t="n">
        <v>1.69014199</v>
      </c>
      <c r="G14" s="18" t="n">
        <v>34.62611458</v>
      </c>
      <c r="H14" s="20" t="n">
        <v>1.82051313</v>
      </c>
      <c r="I14" s="18" t="n">
        <v>41.29563981</v>
      </c>
      <c r="J14" s="20" t="n">
        <v>1.79616099</v>
      </c>
      <c r="K14" s="18" t="s">
        <v>567</v>
      </c>
      <c r="L14" s="20" t="s">
        <v>567</v>
      </c>
      <c r="M14" s="18" t="n">
        <v>0.14263488</v>
      </c>
      <c r="N14" s="20" t="n">
        <v>0.14332604</v>
      </c>
      <c r="O14" s="18" t="n">
        <v>0</v>
      </c>
      <c r="P14" s="20" t="n">
        <v>0</v>
      </c>
      <c r="Q14" s="18" t="n">
        <v>0</v>
      </c>
      <c r="R14" s="20" t="n">
        <v>0</v>
      </c>
      <c r="S14" s="18" t="n">
        <v>0.85206469</v>
      </c>
      <c r="T14" s="20" t="n">
        <v>0.47260288</v>
      </c>
    </row>
    <row r="15" spans="1:20">
      <c r="A15" s="15" t="s">
        <v>575</v>
      </c>
      <c r="B15" s="17" t="n">
        <v>3019</v>
      </c>
      <c r="C15" s="18">
        <f>(2344.0/B15*100)</f>
        <v/>
      </c>
      <c r="D15" s="19" t="n">
        <v>675</v>
      </c>
      <c r="E15" s="18" t="n">
        <v>30.15030467</v>
      </c>
      <c r="F15" s="20" t="n">
        <v>2.01585667</v>
      </c>
      <c r="G15" s="18" t="n">
        <v>39.75671588</v>
      </c>
      <c r="H15" s="20" t="n">
        <v>2.06671299</v>
      </c>
      <c r="I15" s="18" t="n">
        <v>28.78359005</v>
      </c>
      <c r="J15" s="20" t="n">
        <v>1.76889912</v>
      </c>
      <c r="K15" s="18" t="s">
        <v>567</v>
      </c>
      <c r="L15" s="20" t="s">
        <v>567</v>
      </c>
      <c r="M15" s="18" t="n">
        <v>0</v>
      </c>
      <c r="N15" s="20" t="n">
        <v>0</v>
      </c>
      <c r="O15" s="18" t="n">
        <v>0</v>
      </c>
      <c r="P15" s="20" t="n">
        <v>0</v>
      </c>
      <c r="Q15" s="18" t="n">
        <v>0</v>
      </c>
      <c r="R15" s="20" t="n">
        <v>0</v>
      </c>
      <c r="S15" s="18" t="n">
        <v>1.3093894</v>
      </c>
      <c r="T15" s="20" t="n">
        <v>0.45321626</v>
      </c>
    </row>
    <row r="16" spans="1:20">
      <c r="A16" s="15" t="s">
        <v>576</v>
      </c>
      <c r="B16" s="17" t="n">
        <v>2997</v>
      </c>
      <c r="C16" s="18">
        <f>(2320.0/B16*100)</f>
        <v/>
      </c>
      <c r="D16" s="19" t="n">
        <v>677</v>
      </c>
      <c r="E16" s="18" t="n">
        <v>27.14300208</v>
      </c>
      <c r="F16" s="20" t="n">
        <v>1.57465948</v>
      </c>
      <c r="G16" s="18" t="n">
        <v>33.8475999</v>
      </c>
      <c r="H16" s="20" t="n">
        <v>1.86219077</v>
      </c>
      <c r="I16" s="18" t="n">
        <v>35.03902685</v>
      </c>
      <c r="J16" s="20" t="n">
        <v>1.6708199</v>
      </c>
      <c r="K16" s="18" t="s">
        <v>567</v>
      </c>
      <c r="L16" s="20" t="s">
        <v>567</v>
      </c>
      <c r="M16" s="18" t="n">
        <v>0.74917374</v>
      </c>
      <c r="N16" s="20" t="n">
        <v>0.32168995</v>
      </c>
      <c r="O16" s="18" t="n">
        <v>0</v>
      </c>
      <c r="P16" s="20" t="n">
        <v>0</v>
      </c>
      <c r="Q16" s="18" t="n">
        <v>0</v>
      </c>
      <c r="R16" s="20" t="n">
        <v>0</v>
      </c>
      <c r="S16" s="18" t="n">
        <v>3.22119742</v>
      </c>
      <c r="T16" s="20" t="n">
        <v>0.59186208</v>
      </c>
    </row>
    <row r="17" spans="1:20">
      <c r="A17" s="15" t="s">
        <v>577</v>
      </c>
      <c r="B17" s="17" t="n">
        <v>3307</v>
      </c>
      <c r="C17" s="18">
        <f>(2605.0/B17*100)</f>
        <v/>
      </c>
      <c r="D17" s="19" t="n">
        <v>702</v>
      </c>
      <c r="E17" s="18" t="n">
        <v>28.29421047</v>
      </c>
      <c r="F17" s="20" t="n">
        <v>1.76559258</v>
      </c>
      <c r="G17" s="18" t="n">
        <v>37.69147973</v>
      </c>
      <c r="H17" s="20" t="n">
        <v>2.16910571</v>
      </c>
      <c r="I17" s="18" t="n">
        <v>31.64894406</v>
      </c>
      <c r="J17" s="20" t="n">
        <v>1.93473946</v>
      </c>
      <c r="K17" s="18" t="s">
        <v>567</v>
      </c>
      <c r="L17" s="20" t="s">
        <v>567</v>
      </c>
      <c r="M17" s="18" t="n">
        <v>0.31520533</v>
      </c>
      <c r="N17" s="20" t="n">
        <v>0.24020194</v>
      </c>
      <c r="O17" s="18" t="n">
        <v>0</v>
      </c>
      <c r="P17" s="20" t="n">
        <v>0</v>
      </c>
      <c r="Q17" s="18" t="n">
        <v>0</v>
      </c>
      <c r="R17" s="20" t="n">
        <v>0</v>
      </c>
      <c r="S17" s="18" t="n">
        <v>2.05016041</v>
      </c>
      <c r="T17" s="20" t="n">
        <v>0.57208551</v>
      </c>
    </row>
    <row r="18" spans="1:20">
      <c r="A18" s="15" t="s">
        <v>578</v>
      </c>
      <c r="B18" s="17" t="n">
        <v>2826</v>
      </c>
      <c r="C18" s="18">
        <f>(2202.0/B18*100)</f>
        <v/>
      </c>
      <c r="D18" s="19" t="n">
        <v>624</v>
      </c>
      <c r="E18" s="18" t="n">
        <v>41.72698188</v>
      </c>
      <c r="F18" s="20" t="n">
        <v>2.50828243</v>
      </c>
      <c r="G18" s="18" t="n">
        <v>35.6777868</v>
      </c>
      <c r="H18" s="20" t="n">
        <v>2.17680328</v>
      </c>
      <c r="I18" s="18" t="n">
        <v>19.79043599</v>
      </c>
      <c r="J18" s="20" t="n">
        <v>1.66740753</v>
      </c>
      <c r="K18" s="18" t="s">
        <v>567</v>
      </c>
      <c r="L18" s="20" t="s">
        <v>567</v>
      </c>
      <c r="M18" s="18" t="n">
        <v>0.20665302</v>
      </c>
      <c r="N18" s="20" t="n">
        <v>0.14973206</v>
      </c>
      <c r="O18" s="18" t="n">
        <v>0</v>
      </c>
      <c r="P18" s="20" t="n">
        <v>0</v>
      </c>
      <c r="Q18" s="18" t="n">
        <v>0</v>
      </c>
      <c r="R18" s="20" t="n">
        <v>0</v>
      </c>
      <c r="S18" s="18" t="n">
        <v>2.5981423</v>
      </c>
      <c r="T18" s="20" t="n">
        <v>0.61654991</v>
      </c>
    </row>
    <row r="19" spans="1:20">
      <c r="A19" s="15" t="s">
        <v>579</v>
      </c>
      <c r="B19" s="17" t="n">
        <v>2808</v>
      </c>
      <c r="C19" s="18">
        <f>(2215.0/B19*100)</f>
        <v/>
      </c>
      <c r="D19" s="19" t="n">
        <v>593</v>
      </c>
      <c r="E19" s="18" t="n">
        <v>40.15056954</v>
      </c>
      <c r="F19" s="20" t="n">
        <v>1.88439217</v>
      </c>
      <c r="G19" s="18" t="n">
        <v>32.70271326</v>
      </c>
      <c r="H19" s="20" t="n">
        <v>1.68626077</v>
      </c>
      <c r="I19" s="18" t="n">
        <v>26.09877836</v>
      </c>
      <c r="J19" s="20" t="n">
        <v>1.76436644</v>
      </c>
      <c r="K19" s="18" t="s">
        <v>567</v>
      </c>
      <c r="L19" s="20" t="s">
        <v>567</v>
      </c>
      <c r="M19" s="18" t="n">
        <v>0</v>
      </c>
      <c r="N19" s="20" t="n">
        <v>0</v>
      </c>
      <c r="O19" s="18" t="n">
        <v>0</v>
      </c>
      <c r="P19" s="20" t="n">
        <v>0</v>
      </c>
      <c r="Q19" s="18" t="n">
        <v>0</v>
      </c>
      <c r="R19" s="20" t="n">
        <v>0</v>
      </c>
      <c r="S19" s="18" t="n">
        <v>1.04793884</v>
      </c>
      <c r="T19" s="20" t="n">
        <v>0.49619296</v>
      </c>
    </row>
    <row r="20" spans="1:20">
      <c r="A20" s="15" t="s">
        <v>580</v>
      </c>
      <c r="B20" s="17" t="n">
        <v>1630</v>
      </c>
      <c r="C20" s="18">
        <f>(1267.0/B20*100)</f>
        <v/>
      </c>
      <c r="D20" s="19" t="n">
        <v>363</v>
      </c>
      <c r="E20" s="18" t="n">
        <v>38.37253768</v>
      </c>
      <c r="F20" s="20" t="n">
        <v>2.3785943</v>
      </c>
      <c r="G20" s="18" t="n">
        <v>36.24989082</v>
      </c>
      <c r="H20" s="20" t="n">
        <v>2.13123959</v>
      </c>
      <c r="I20" s="18" t="n">
        <v>21.68783991</v>
      </c>
      <c r="J20" s="20" t="n">
        <v>2.19581755</v>
      </c>
      <c r="K20" s="18" t="s">
        <v>567</v>
      </c>
      <c r="L20" s="20" t="s">
        <v>567</v>
      </c>
      <c r="M20" s="18" t="n">
        <v>0.76221918</v>
      </c>
      <c r="N20" s="20" t="n">
        <v>0.43788231</v>
      </c>
      <c r="O20" s="18" t="n">
        <v>0</v>
      </c>
      <c r="P20" s="20" t="n">
        <v>0</v>
      </c>
      <c r="Q20" s="18" t="n">
        <v>0</v>
      </c>
      <c r="R20" s="20" t="n">
        <v>0</v>
      </c>
      <c r="S20" s="18" t="n">
        <v>2.92751241</v>
      </c>
      <c r="T20" s="20" t="n">
        <v>1.15503838</v>
      </c>
    </row>
    <row r="21" spans="1:20">
      <c r="A21" s="15" t="s">
        <v>581</v>
      </c>
      <c r="B21" s="17" t="n">
        <v>2908</v>
      </c>
      <c r="C21" s="18">
        <f>(2254.0/B21*100)</f>
        <v/>
      </c>
      <c r="D21" s="19" t="n">
        <v>654</v>
      </c>
      <c r="E21" s="18" t="n">
        <v>33.76754276</v>
      </c>
      <c r="F21" s="20" t="n">
        <v>2.01942552</v>
      </c>
      <c r="G21" s="18" t="n">
        <v>38.895585</v>
      </c>
      <c r="H21" s="20" t="n">
        <v>1.89945126</v>
      </c>
      <c r="I21" s="18" t="n">
        <v>25.68761235</v>
      </c>
      <c r="J21" s="20" t="n">
        <v>2.01901753</v>
      </c>
      <c r="K21" s="18" t="s">
        <v>567</v>
      </c>
      <c r="L21" s="20" t="s">
        <v>567</v>
      </c>
      <c r="M21" s="18" t="n">
        <v>0</v>
      </c>
      <c r="N21" s="20" t="n">
        <v>0</v>
      </c>
      <c r="O21" s="18" t="n">
        <v>0</v>
      </c>
      <c r="P21" s="20" t="n">
        <v>0</v>
      </c>
      <c r="Q21" s="18" t="n">
        <v>0</v>
      </c>
      <c r="R21" s="20" t="n">
        <v>0</v>
      </c>
      <c r="S21" s="18" t="n">
        <v>1.64925989</v>
      </c>
      <c r="T21" s="20" t="n">
        <v>0.49682281</v>
      </c>
    </row>
    <row r="22" spans="1:20">
      <c r="A22" s="15" t="s">
        <v>582</v>
      </c>
      <c r="B22" s="17" t="n">
        <v>2931</v>
      </c>
      <c r="C22" s="18">
        <f>(2297.0/B22*100)</f>
        <v/>
      </c>
      <c r="D22" s="19" t="n">
        <v>634</v>
      </c>
      <c r="E22" s="18" t="n">
        <v>37.9249358</v>
      </c>
      <c r="F22" s="20" t="n">
        <v>1.9361562</v>
      </c>
      <c r="G22" s="18" t="n">
        <v>34.78747499</v>
      </c>
      <c r="H22" s="20" t="n">
        <v>1.89733382</v>
      </c>
      <c r="I22" s="18" t="n">
        <v>23.58698676</v>
      </c>
      <c r="J22" s="20" t="n">
        <v>1.81230277</v>
      </c>
      <c r="K22" s="18" t="s">
        <v>567</v>
      </c>
      <c r="L22" s="20" t="s">
        <v>567</v>
      </c>
      <c r="M22" s="18" t="n">
        <v>0.3568932</v>
      </c>
      <c r="N22" s="20" t="n">
        <v>0.2342912</v>
      </c>
      <c r="O22" s="18" t="n">
        <v>0</v>
      </c>
      <c r="P22" s="20" t="n">
        <v>0</v>
      </c>
      <c r="Q22" s="18" t="n">
        <v>0</v>
      </c>
      <c r="R22" s="20" t="n">
        <v>0</v>
      </c>
      <c r="S22" s="18" t="n">
        <v>3.34370925</v>
      </c>
      <c r="T22" s="20" t="n">
        <v>0.88628231</v>
      </c>
    </row>
    <row r="23" spans="1:20">
      <c r="A23" s="15" t="s">
        <v>583</v>
      </c>
      <c r="B23" s="17" t="n">
        <v>5791</v>
      </c>
      <c r="C23" s="18">
        <f>(4479.0/B23*100)</f>
        <v/>
      </c>
      <c r="D23" s="19" t="n">
        <v>1312</v>
      </c>
      <c r="E23" s="18" t="n">
        <v>31.85897343</v>
      </c>
      <c r="F23" s="20" t="n">
        <v>1.84278399</v>
      </c>
      <c r="G23" s="18" t="n">
        <v>35.74991603</v>
      </c>
      <c r="H23" s="20" t="n">
        <v>1.97493381</v>
      </c>
      <c r="I23" s="18" t="n">
        <v>29.48720857</v>
      </c>
      <c r="J23" s="20" t="n">
        <v>1.84501715</v>
      </c>
      <c r="K23" s="18" t="s">
        <v>567</v>
      </c>
      <c r="L23" s="20" t="s">
        <v>567</v>
      </c>
      <c r="M23" s="18" t="n">
        <v>0.33615292</v>
      </c>
      <c r="N23" s="20" t="n">
        <v>0.0557379</v>
      </c>
      <c r="O23" s="18" t="n">
        <v>0</v>
      </c>
      <c r="P23" s="20" t="n">
        <v>0</v>
      </c>
      <c r="Q23" s="18" t="n">
        <v>0</v>
      </c>
      <c r="R23" s="20" t="n">
        <v>0</v>
      </c>
      <c r="S23" s="18" t="n">
        <v>2.56774905</v>
      </c>
      <c r="T23" s="20" t="n">
        <v>0.56525686</v>
      </c>
    </row>
    <row r="24" spans="1:20">
      <c r="A24" s="15" t="s">
        <v>584</v>
      </c>
      <c r="B24" s="17" t="n">
        <v>3338</v>
      </c>
      <c r="C24" s="18">
        <f>(2606.0/B24*100)</f>
        <v/>
      </c>
      <c r="D24" s="19" t="n">
        <v>732</v>
      </c>
      <c r="E24" s="18" t="n">
        <v>23.70135804</v>
      </c>
      <c r="F24" s="20" t="n">
        <v>1.75022626</v>
      </c>
      <c r="G24" s="18" t="n">
        <v>33.5125938</v>
      </c>
      <c r="H24" s="20" t="n">
        <v>1.67475702</v>
      </c>
      <c r="I24" s="18" t="n">
        <v>41.8866772</v>
      </c>
      <c r="J24" s="20" t="n">
        <v>1.90867143</v>
      </c>
      <c r="K24" s="18" t="s">
        <v>567</v>
      </c>
      <c r="L24" s="20" t="s">
        <v>567</v>
      </c>
      <c r="M24" s="18" t="n">
        <v>0</v>
      </c>
      <c r="N24" s="20" t="n">
        <v>0</v>
      </c>
      <c r="O24" s="18" t="n">
        <v>0</v>
      </c>
      <c r="P24" s="20" t="n">
        <v>0</v>
      </c>
      <c r="Q24" s="18" t="n">
        <v>0</v>
      </c>
      <c r="R24" s="20" t="n">
        <v>0</v>
      </c>
      <c r="S24" s="18" t="n">
        <v>0.8993709600000001</v>
      </c>
      <c r="T24" s="20" t="n">
        <v>0.3293813</v>
      </c>
    </row>
    <row r="25" spans="1:20">
      <c r="A25" s="15" t="s">
        <v>585</v>
      </c>
      <c r="B25" s="17" t="n">
        <v>2912</v>
      </c>
      <c r="C25" s="18">
        <f>(2282.0/B25*100)</f>
        <v/>
      </c>
      <c r="D25" s="19" t="n">
        <v>630</v>
      </c>
      <c r="E25" s="18" t="n">
        <v>32.92460038</v>
      </c>
      <c r="F25" s="20" t="n">
        <v>2.45854351</v>
      </c>
      <c r="G25" s="18" t="n">
        <v>38.57643772</v>
      </c>
      <c r="H25" s="20" t="n">
        <v>1.77138513</v>
      </c>
      <c r="I25" s="18" t="n">
        <v>27.01722037</v>
      </c>
      <c r="J25" s="20" t="n">
        <v>2.5065411</v>
      </c>
      <c r="K25" s="18" t="s">
        <v>567</v>
      </c>
      <c r="L25" s="20" t="s">
        <v>567</v>
      </c>
      <c r="M25" s="18" t="n">
        <v>0</v>
      </c>
      <c r="N25" s="20" t="n">
        <v>0</v>
      </c>
      <c r="O25" s="18" t="n">
        <v>0</v>
      </c>
      <c r="P25" s="20" t="n">
        <v>0</v>
      </c>
      <c r="Q25" s="18" t="n">
        <v>0</v>
      </c>
      <c r="R25" s="20" t="n">
        <v>0</v>
      </c>
      <c r="S25" s="18" t="n">
        <v>1.48174154</v>
      </c>
      <c r="T25" s="20" t="n">
        <v>0.53758894</v>
      </c>
    </row>
    <row r="26" spans="1:20">
      <c r="A26" s="15" t="s">
        <v>586</v>
      </c>
      <c r="B26" s="17" t="n">
        <v>2450</v>
      </c>
      <c r="C26" s="18">
        <f>(1922.0/B26*100)</f>
        <v/>
      </c>
      <c r="D26" s="19" t="n">
        <v>528</v>
      </c>
      <c r="E26" s="18" t="n">
        <v>31.76784068</v>
      </c>
      <c r="F26" s="20" t="n">
        <v>2.44085874</v>
      </c>
      <c r="G26" s="18" t="n">
        <v>41.46414672</v>
      </c>
      <c r="H26" s="20" t="n">
        <v>2.37631495</v>
      </c>
      <c r="I26" s="18" t="n">
        <v>24.9277889</v>
      </c>
      <c r="J26" s="20" t="n">
        <v>2.07626337</v>
      </c>
      <c r="K26" s="18" t="s">
        <v>567</v>
      </c>
      <c r="L26" s="20" t="s">
        <v>567</v>
      </c>
      <c r="M26" s="18" t="n">
        <v>0</v>
      </c>
      <c r="N26" s="20" t="n">
        <v>0</v>
      </c>
      <c r="O26" s="18" t="n">
        <v>0</v>
      </c>
      <c r="P26" s="20" t="n">
        <v>0</v>
      </c>
      <c r="Q26" s="18" t="n">
        <v>0</v>
      </c>
      <c r="R26" s="20" t="n">
        <v>0</v>
      </c>
      <c r="S26" s="18" t="n">
        <v>1.84022369</v>
      </c>
      <c r="T26" s="20" t="n">
        <v>0.88529815</v>
      </c>
    </row>
    <row r="27" spans="1:20">
      <c r="A27" s="15" t="s">
        <v>587</v>
      </c>
      <c r="B27" s="17" t="n">
        <v>2616</v>
      </c>
      <c r="C27" s="18">
        <f>(1987.0/B27*100)</f>
        <v/>
      </c>
      <c r="D27" s="19" t="n">
        <v>629</v>
      </c>
      <c r="E27" s="18" t="n">
        <v>36.9960196</v>
      </c>
      <c r="F27" s="20" t="n">
        <v>1.88893886</v>
      </c>
      <c r="G27" s="18" t="n">
        <v>39.18212837</v>
      </c>
      <c r="H27" s="20" t="n">
        <v>1.76621638</v>
      </c>
      <c r="I27" s="18" t="n">
        <v>20.28574892</v>
      </c>
      <c r="J27" s="20" t="n">
        <v>1.56474278</v>
      </c>
      <c r="K27" s="18" t="s">
        <v>567</v>
      </c>
      <c r="L27" s="20" t="s">
        <v>567</v>
      </c>
      <c r="M27" s="18" t="n">
        <v>0.3246412</v>
      </c>
      <c r="N27" s="20" t="n">
        <v>0.22865881</v>
      </c>
      <c r="O27" s="18" t="n">
        <v>0</v>
      </c>
      <c r="P27" s="20" t="n">
        <v>0</v>
      </c>
      <c r="Q27" s="18" t="n">
        <v>0</v>
      </c>
      <c r="R27" s="20" t="n">
        <v>0</v>
      </c>
      <c r="S27" s="18" t="n">
        <v>3.21146191</v>
      </c>
      <c r="T27" s="20" t="n">
        <v>0.76357876</v>
      </c>
    </row>
    <row r="28" spans="1:20">
      <c r="A28" s="15" t="s">
        <v>588</v>
      </c>
      <c r="B28" s="17" t="n">
        <v>3765</v>
      </c>
      <c r="C28" s="18">
        <f>(2979.0/B28*100)</f>
        <v/>
      </c>
      <c r="D28" s="19" t="n">
        <v>786</v>
      </c>
      <c r="E28" s="18" t="n">
        <v>52.63572962</v>
      </c>
      <c r="F28" s="20" t="n">
        <v>2.11998973</v>
      </c>
      <c r="G28" s="18" t="n">
        <v>31.58910402</v>
      </c>
      <c r="H28" s="20" t="n">
        <v>1.93291265</v>
      </c>
      <c r="I28" s="18" t="n">
        <v>13.893783</v>
      </c>
      <c r="J28" s="20" t="n">
        <v>1.4280993</v>
      </c>
      <c r="K28" s="18" t="s">
        <v>567</v>
      </c>
      <c r="L28" s="20" t="s">
        <v>567</v>
      </c>
      <c r="M28" s="18" t="n">
        <v>0.19001699</v>
      </c>
      <c r="N28" s="20" t="n">
        <v>0.14316644</v>
      </c>
      <c r="O28" s="18" t="n">
        <v>0</v>
      </c>
      <c r="P28" s="20" t="n">
        <v>0</v>
      </c>
      <c r="Q28" s="18" t="n">
        <v>0</v>
      </c>
      <c r="R28" s="20" t="n">
        <v>0</v>
      </c>
      <c r="S28" s="18" t="n">
        <v>1.69136638</v>
      </c>
      <c r="T28" s="20" t="n">
        <v>0.53324445</v>
      </c>
    </row>
    <row r="29" spans="1:20">
      <c r="A29" s="15" t="s">
        <v>589</v>
      </c>
      <c r="B29" s="17" t="n">
        <v>2685</v>
      </c>
      <c r="C29" s="18">
        <f>(2150.0/B29*100)</f>
        <v/>
      </c>
      <c r="D29" s="19" t="n">
        <v>535</v>
      </c>
      <c r="E29" s="18" t="n">
        <v>29.60150817</v>
      </c>
      <c r="F29" s="20" t="n">
        <v>2.51241513</v>
      </c>
      <c r="G29" s="18" t="n">
        <v>41.22458206</v>
      </c>
      <c r="H29" s="20" t="n">
        <v>2.0517483</v>
      </c>
      <c r="I29" s="18" t="n">
        <v>27.09234657</v>
      </c>
      <c r="J29" s="20" t="n">
        <v>1.924274</v>
      </c>
      <c r="K29" s="18" t="s">
        <v>567</v>
      </c>
      <c r="L29" s="20" t="s">
        <v>567</v>
      </c>
      <c r="M29" s="18" t="n">
        <v>0.13821088</v>
      </c>
      <c r="N29" s="20" t="n">
        <v>0.18954404</v>
      </c>
      <c r="O29" s="18" t="n">
        <v>0</v>
      </c>
      <c r="P29" s="20" t="n">
        <v>0</v>
      </c>
      <c r="Q29" s="18" t="n">
        <v>0</v>
      </c>
      <c r="R29" s="20" t="n">
        <v>0</v>
      </c>
      <c r="S29" s="18" t="n">
        <v>1.94335231</v>
      </c>
      <c r="T29" s="20" t="n">
        <v>0.6794704</v>
      </c>
    </row>
    <row r="30" spans="1:20">
      <c r="A30" s="15" t="s">
        <v>590</v>
      </c>
      <c r="B30" s="17" t="n">
        <v>2263</v>
      </c>
      <c r="C30" s="18">
        <f>(1749.0/B30*100)</f>
        <v/>
      </c>
      <c r="D30" s="19" t="n">
        <v>514</v>
      </c>
      <c r="E30" s="18" t="n">
        <v>32.11800192</v>
      </c>
      <c r="F30" s="20" t="n">
        <v>2.36919821</v>
      </c>
      <c r="G30" s="18" t="n">
        <v>32.48020413</v>
      </c>
      <c r="H30" s="20" t="n">
        <v>2.35087999</v>
      </c>
      <c r="I30" s="18" t="n">
        <v>32.32454053</v>
      </c>
      <c r="J30" s="20" t="n">
        <v>2.12166504</v>
      </c>
      <c r="K30" s="18" t="s">
        <v>567</v>
      </c>
      <c r="L30" s="20" t="s">
        <v>567</v>
      </c>
      <c r="M30" s="18" t="n">
        <v>0.8395718599999999</v>
      </c>
      <c r="N30" s="20" t="n">
        <v>0.4405428</v>
      </c>
      <c r="O30" s="18" t="n">
        <v>0</v>
      </c>
      <c r="P30" s="20" t="n">
        <v>0</v>
      </c>
      <c r="Q30" s="18" t="n">
        <v>0</v>
      </c>
      <c r="R30" s="20" t="n">
        <v>0</v>
      </c>
      <c r="S30" s="18" t="n">
        <v>2.23768156</v>
      </c>
      <c r="T30" s="20" t="n">
        <v>0.66989133</v>
      </c>
    </row>
    <row r="31" spans="1:20">
      <c r="A31" s="15" t="s">
        <v>591</v>
      </c>
      <c r="B31" s="17" t="n">
        <v>2750</v>
      </c>
      <c r="C31" s="18">
        <f>(2120.0/B31*100)</f>
        <v/>
      </c>
      <c r="D31" s="19" t="n">
        <v>630</v>
      </c>
      <c r="E31" s="18" t="n">
        <v>30.18306837</v>
      </c>
      <c r="F31" s="20" t="n">
        <v>1.92276909</v>
      </c>
      <c r="G31" s="18" t="n">
        <v>35.36573748</v>
      </c>
      <c r="H31" s="20" t="n">
        <v>1.9069618</v>
      </c>
      <c r="I31" s="18" t="n">
        <v>30.52891897</v>
      </c>
      <c r="J31" s="20" t="n">
        <v>2.107795</v>
      </c>
      <c r="K31" s="18" t="s">
        <v>567</v>
      </c>
      <c r="L31" s="20" t="s">
        <v>567</v>
      </c>
      <c r="M31" s="18" t="n">
        <v>0.45559728</v>
      </c>
      <c r="N31" s="20" t="n">
        <v>0.25600887</v>
      </c>
      <c r="O31" s="18" t="n">
        <v>0</v>
      </c>
      <c r="P31" s="20" t="n">
        <v>0</v>
      </c>
      <c r="Q31" s="18" t="n">
        <v>0</v>
      </c>
      <c r="R31" s="20" t="n">
        <v>0</v>
      </c>
      <c r="S31" s="18" t="n">
        <v>3.46667791</v>
      </c>
      <c r="T31" s="20" t="n">
        <v>0.8144107900000001</v>
      </c>
    </row>
    <row r="32" spans="1:20">
      <c r="A32" s="15" t="s">
        <v>592</v>
      </c>
      <c r="B32" s="17" t="n">
        <v>2269</v>
      </c>
      <c r="C32" s="18">
        <f>(1750.0/B32*100)</f>
        <v/>
      </c>
      <c r="D32" s="19" t="n">
        <v>519</v>
      </c>
      <c r="E32" s="18" t="n">
        <v>29.04417073</v>
      </c>
      <c r="F32" s="20" t="n">
        <v>2.08525737</v>
      </c>
      <c r="G32" s="18" t="n">
        <v>38.20675535</v>
      </c>
      <c r="H32" s="20" t="n">
        <v>1.93283341</v>
      </c>
      <c r="I32" s="18" t="n">
        <v>31.80422891</v>
      </c>
      <c r="J32" s="20" t="n">
        <v>2.07344772</v>
      </c>
      <c r="K32" s="18" t="s">
        <v>567</v>
      </c>
      <c r="L32" s="20" t="s">
        <v>567</v>
      </c>
      <c r="M32" s="18" t="n">
        <v>0</v>
      </c>
      <c r="N32" s="20" t="n">
        <v>0</v>
      </c>
      <c r="O32" s="18" t="n">
        <v>0</v>
      </c>
      <c r="P32" s="20" t="n">
        <v>0</v>
      </c>
      <c r="Q32" s="18" t="n">
        <v>0</v>
      </c>
      <c r="R32" s="20" t="n">
        <v>0</v>
      </c>
      <c r="S32" s="18" t="n">
        <v>0.94484501</v>
      </c>
      <c r="T32" s="20" t="n">
        <v>0.4274258</v>
      </c>
    </row>
    <row r="33" spans="1:20">
      <c r="A33" s="15" t="s">
        <v>593</v>
      </c>
      <c r="B33" s="17" t="n">
        <v>3674</v>
      </c>
      <c r="C33" s="18">
        <f>(2873.0/B33*100)</f>
        <v/>
      </c>
      <c r="D33" s="19" t="n">
        <v>801</v>
      </c>
      <c r="E33" s="18" t="n">
        <v>27.46930111</v>
      </c>
      <c r="F33" s="20" t="n">
        <v>2.04844544</v>
      </c>
      <c r="G33" s="18" t="n">
        <v>34.55287673</v>
      </c>
      <c r="H33" s="20" t="n">
        <v>1.9994822</v>
      </c>
      <c r="I33" s="18" t="n">
        <v>37.72497653</v>
      </c>
      <c r="J33" s="20" t="n">
        <v>2.22620588</v>
      </c>
      <c r="K33" s="18" t="s">
        <v>567</v>
      </c>
      <c r="L33" s="20" t="s">
        <v>567</v>
      </c>
      <c r="M33" s="18" t="n">
        <v>0.01820668</v>
      </c>
      <c r="N33" s="20" t="n">
        <v>0.01292679</v>
      </c>
      <c r="O33" s="18" t="n">
        <v>0</v>
      </c>
      <c r="P33" s="20" t="n">
        <v>0</v>
      </c>
      <c r="Q33" s="18" t="n">
        <v>0</v>
      </c>
      <c r="R33" s="20" t="n">
        <v>0</v>
      </c>
      <c r="S33" s="18" t="n">
        <v>0.23463895</v>
      </c>
      <c r="T33" s="20" t="n">
        <v>0.15930259</v>
      </c>
    </row>
    <row r="34" spans="1:20">
      <c r="A34" s="15" t="s">
        <v>594</v>
      </c>
      <c r="B34" s="17" t="n">
        <v>3315</v>
      </c>
      <c r="C34" s="18">
        <f>(2605.0/B34*100)</f>
        <v/>
      </c>
      <c r="D34" s="19" t="n">
        <v>710</v>
      </c>
      <c r="E34" s="18" t="n">
        <v>35.48049197</v>
      </c>
      <c r="F34" s="20" t="n">
        <v>1.78526133</v>
      </c>
      <c r="G34" s="18" t="n">
        <v>43.8668137</v>
      </c>
      <c r="H34" s="20" t="n">
        <v>1.70578348</v>
      </c>
      <c r="I34" s="18" t="n">
        <v>18.95079197</v>
      </c>
      <c r="J34" s="20" t="n">
        <v>1.53470376</v>
      </c>
      <c r="K34" s="18" t="s">
        <v>567</v>
      </c>
      <c r="L34" s="20" t="s">
        <v>567</v>
      </c>
      <c r="M34" s="18" t="n">
        <v>0</v>
      </c>
      <c r="N34" s="20" t="n">
        <v>0</v>
      </c>
      <c r="O34" s="18" t="n">
        <v>0</v>
      </c>
      <c r="P34" s="20" t="n">
        <v>0</v>
      </c>
      <c r="Q34" s="18" t="n">
        <v>0</v>
      </c>
      <c r="R34" s="20" t="n">
        <v>0</v>
      </c>
      <c r="S34" s="18" t="n">
        <v>1.70190235</v>
      </c>
      <c r="T34" s="20" t="n">
        <v>0.50869053</v>
      </c>
    </row>
    <row r="35" spans="1:20">
      <c r="A35" s="15" t="s">
        <v>595</v>
      </c>
      <c r="B35" s="17" t="n">
        <v>3505</v>
      </c>
      <c r="C35" s="18">
        <f>(2725.0/B35*100)</f>
        <v/>
      </c>
      <c r="D35" s="19" t="n">
        <v>780</v>
      </c>
      <c r="E35" s="18" t="n">
        <v>30.82463553</v>
      </c>
      <c r="F35" s="20" t="n">
        <v>1.8114711</v>
      </c>
      <c r="G35" s="18" t="n">
        <v>38.35513824</v>
      </c>
      <c r="H35" s="20" t="n">
        <v>2.35538386</v>
      </c>
      <c r="I35" s="18" t="n">
        <v>29.03874865</v>
      </c>
      <c r="J35" s="20" t="n">
        <v>2.00433127</v>
      </c>
      <c r="K35" s="18" t="s">
        <v>567</v>
      </c>
      <c r="L35" s="20" t="s">
        <v>567</v>
      </c>
      <c r="M35" s="18" t="n">
        <v>0.16787333</v>
      </c>
      <c r="N35" s="20" t="n">
        <v>0.09726385</v>
      </c>
      <c r="O35" s="18" t="n">
        <v>0</v>
      </c>
      <c r="P35" s="20" t="n">
        <v>0</v>
      </c>
      <c r="Q35" s="18" t="n">
        <v>0</v>
      </c>
      <c r="R35" s="20" t="n">
        <v>0</v>
      </c>
      <c r="S35" s="18" t="n">
        <v>1.61360425</v>
      </c>
      <c r="T35" s="20" t="n">
        <v>0.39936499</v>
      </c>
    </row>
    <row r="36" spans="1:20">
      <c r="A36" s="15" t="s">
        <v>596</v>
      </c>
      <c r="B36" s="17" t="n">
        <v>3332</v>
      </c>
      <c r="C36" s="18">
        <f>(2636.0/B36*100)</f>
        <v/>
      </c>
      <c r="D36" s="19" t="n">
        <v>696</v>
      </c>
      <c r="E36" s="18" t="n">
        <v>33.50955175</v>
      </c>
      <c r="F36" s="20" t="n">
        <v>1.97442042</v>
      </c>
      <c r="G36" s="18" t="n">
        <v>38.43139856</v>
      </c>
      <c r="H36" s="20" t="n">
        <v>2.06237601</v>
      </c>
      <c r="I36" s="18" t="n">
        <v>25.76442337</v>
      </c>
      <c r="J36" s="20" t="n">
        <v>1.88452441</v>
      </c>
      <c r="K36" s="18" t="s">
        <v>567</v>
      </c>
      <c r="L36" s="20" t="s">
        <v>567</v>
      </c>
      <c r="M36" s="18" t="n">
        <v>0.24545521</v>
      </c>
      <c r="N36" s="20" t="n">
        <v>0.24117494</v>
      </c>
      <c r="O36" s="18" t="n">
        <v>0</v>
      </c>
      <c r="P36" s="20" t="n">
        <v>0</v>
      </c>
      <c r="Q36" s="18" t="n">
        <v>0</v>
      </c>
      <c r="R36" s="20" t="n">
        <v>0</v>
      </c>
      <c r="S36" s="18" t="n">
        <v>2.04917111</v>
      </c>
      <c r="T36" s="20" t="n">
        <v>0.6783233400000001</v>
      </c>
    </row>
    <row r="37" spans="1:20">
      <c r="A37" s="15" t="s">
        <v>597</v>
      </c>
      <c r="B37" s="17" t="n">
        <v>2727</v>
      </c>
      <c r="C37" s="18">
        <f>(2151.0/B37*100)</f>
        <v/>
      </c>
      <c r="D37" s="19" t="n">
        <v>576</v>
      </c>
      <c r="E37" s="18" t="n">
        <v>35.91699828</v>
      </c>
      <c r="F37" s="20" t="n">
        <v>2.02497318</v>
      </c>
      <c r="G37" s="18" t="n">
        <v>37.36615295</v>
      </c>
      <c r="H37" s="20" t="n">
        <v>2.30869024</v>
      </c>
      <c r="I37" s="18" t="n">
        <v>21.47777601</v>
      </c>
      <c r="J37" s="20" t="n">
        <v>1.81264375</v>
      </c>
      <c r="K37" s="18" t="s">
        <v>567</v>
      </c>
      <c r="L37" s="20" t="s">
        <v>567</v>
      </c>
      <c r="M37" s="18" t="n">
        <v>0.31633752</v>
      </c>
      <c r="N37" s="20" t="n">
        <v>0.2698032</v>
      </c>
      <c r="O37" s="18" t="n">
        <v>0</v>
      </c>
      <c r="P37" s="20" t="n">
        <v>0</v>
      </c>
      <c r="Q37" s="18" t="n">
        <v>0</v>
      </c>
      <c r="R37" s="20" t="n">
        <v>0</v>
      </c>
      <c r="S37" s="18" t="n">
        <v>4.92273525</v>
      </c>
      <c r="T37" s="20" t="n">
        <v>0.86825412</v>
      </c>
    </row>
    <row r="38" spans="1:20">
      <c r="A38" s="15" t="s">
        <v>598</v>
      </c>
      <c r="B38" s="17" t="n">
        <v>3053</v>
      </c>
      <c r="C38" s="18">
        <f>(2404.0/B38*100)</f>
        <v/>
      </c>
      <c r="D38" s="19" t="n">
        <v>649</v>
      </c>
      <c r="E38" s="18" t="n">
        <v>27.75719042</v>
      </c>
      <c r="F38" s="20" t="n">
        <v>1.83656844</v>
      </c>
      <c r="G38" s="18" t="n">
        <v>38.79660736</v>
      </c>
      <c r="H38" s="20" t="n">
        <v>2.51710275</v>
      </c>
      <c r="I38" s="18" t="n">
        <v>31.47167061</v>
      </c>
      <c r="J38" s="20" t="n">
        <v>2.31658331</v>
      </c>
      <c r="K38" s="18" t="s">
        <v>567</v>
      </c>
      <c r="L38" s="20" t="s">
        <v>567</v>
      </c>
      <c r="M38" s="18" t="n">
        <v>0</v>
      </c>
      <c r="N38" s="20" t="n">
        <v>0</v>
      </c>
      <c r="O38" s="18" t="n">
        <v>0</v>
      </c>
      <c r="P38" s="20" t="n">
        <v>0</v>
      </c>
      <c r="Q38" s="18" t="n">
        <v>0</v>
      </c>
      <c r="R38" s="20" t="n">
        <v>0</v>
      </c>
      <c r="S38" s="18" t="n">
        <v>1.97453161</v>
      </c>
      <c r="T38" s="20" t="n">
        <v>0.69446272</v>
      </c>
    </row>
    <row r="39" spans="1:20">
      <c r="A39" s="15" t="s">
        <v>599</v>
      </c>
      <c r="B39" s="17" t="n">
        <v>2957</v>
      </c>
      <c r="C39" s="18">
        <f>(2320.0/B39*100)</f>
        <v/>
      </c>
      <c r="D39" s="19" t="n">
        <v>637</v>
      </c>
      <c r="E39" s="18" t="n">
        <v>50.64302313</v>
      </c>
      <c r="F39" s="20" t="n">
        <v>2.36845748</v>
      </c>
      <c r="G39" s="18" t="n">
        <v>37.98438327</v>
      </c>
      <c r="H39" s="20" t="n">
        <v>2.14320093</v>
      </c>
      <c r="I39" s="18" t="n">
        <v>9.946111350000001</v>
      </c>
      <c r="J39" s="20" t="n">
        <v>1.45584466</v>
      </c>
      <c r="K39" s="18" t="s">
        <v>567</v>
      </c>
      <c r="L39" s="20" t="s">
        <v>567</v>
      </c>
      <c r="M39" s="18" t="n">
        <v>0.79117755</v>
      </c>
      <c r="N39" s="20" t="n">
        <v>0.30639042</v>
      </c>
      <c r="O39" s="18" t="n">
        <v>0</v>
      </c>
      <c r="P39" s="20" t="n">
        <v>0</v>
      </c>
      <c r="Q39" s="18" t="n">
        <v>0</v>
      </c>
      <c r="R39" s="20" t="n">
        <v>0</v>
      </c>
      <c r="S39" s="18" t="n">
        <v>0.6353047000000001</v>
      </c>
      <c r="T39" s="20" t="n">
        <v>0.29905506</v>
      </c>
    </row>
    <row r="40" spans="1:20">
      <c r="A40" s="15" t="s">
        <v>600</v>
      </c>
      <c r="B40" s="17" t="n">
        <v>7235</v>
      </c>
      <c r="C40" s="18">
        <f>(5649.0/B40*100)</f>
        <v/>
      </c>
      <c r="D40" s="19" t="n">
        <v>1586</v>
      </c>
      <c r="E40" s="18" t="n">
        <v>30.34410545</v>
      </c>
      <c r="F40" s="20" t="n">
        <v>1.8945309</v>
      </c>
      <c r="G40" s="18" t="n">
        <v>32.06714409</v>
      </c>
      <c r="H40" s="20" t="n">
        <v>1.9105918</v>
      </c>
      <c r="I40" s="18" t="n">
        <v>36.25170624</v>
      </c>
      <c r="J40" s="20" t="n">
        <v>1.80053924</v>
      </c>
      <c r="K40" s="18" t="s">
        <v>567</v>
      </c>
      <c r="L40" s="20" t="s">
        <v>567</v>
      </c>
      <c r="M40" s="18" t="n">
        <v>0.05660512</v>
      </c>
      <c r="N40" s="20" t="n">
        <v>0.04131163</v>
      </c>
      <c r="O40" s="18" t="n">
        <v>0</v>
      </c>
      <c r="P40" s="20" t="n">
        <v>0</v>
      </c>
      <c r="Q40" s="18" t="n">
        <v>0</v>
      </c>
      <c r="R40" s="20" t="n">
        <v>0</v>
      </c>
      <c r="S40" s="18" t="n">
        <v>1.28043909</v>
      </c>
      <c r="T40" s="20" t="n">
        <v>0.38288981</v>
      </c>
    </row>
    <row r="41" spans="1:20">
      <c r="A41" s="15" t="s">
        <v>601</v>
      </c>
      <c r="B41" s="17" t="n">
        <v>2858</v>
      </c>
      <c r="C41" s="18">
        <f>(2268.0/B41*100)</f>
        <v/>
      </c>
      <c r="D41" s="19" t="n">
        <v>590</v>
      </c>
      <c r="E41" s="18" t="n">
        <v>31.74113982</v>
      </c>
      <c r="F41" s="20" t="n">
        <v>1.84495597</v>
      </c>
      <c r="G41" s="18" t="n">
        <v>32.83176125</v>
      </c>
      <c r="H41" s="20" t="n">
        <v>2.20495178</v>
      </c>
      <c r="I41" s="18" t="n">
        <v>34.04412813</v>
      </c>
      <c r="J41" s="20" t="n">
        <v>2.45125003</v>
      </c>
      <c r="K41" s="18" t="s">
        <v>567</v>
      </c>
      <c r="L41" s="20" t="s">
        <v>567</v>
      </c>
      <c r="M41" s="18" t="n">
        <v>0</v>
      </c>
      <c r="N41" s="20" t="n">
        <v>0</v>
      </c>
      <c r="O41" s="18" t="n">
        <v>0</v>
      </c>
      <c r="P41" s="20" t="n">
        <v>0</v>
      </c>
      <c r="Q41" s="18" t="n">
        <v>0</v>
      </c>
      <c r="R41" s="20" t="n">
        <v>0</v>
      </c>
      <c r="S41" s="18" t="n">
        <v>1.3829708</v>
      </c>
      <c r="T41" s="20" t="n">
        <v>0.67056161</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11068</v>
      </c>
      <c r="C46" s="18">
        <f>(8968.0/B46*100)</f>
        <v/>
      </c>
      <c r="D46" s="19" t="n">
        <v>2100</v>
      </c>
      <c r="E46" s="18" t="n">
        <v>48.09637397</v>
      </c>
      <c r="F46" s="20" t="n">
        <v>1.51201328</v>
      </c>
      <c r="G46" s="18" t="n">
        <v>32.80200635</v>
      </c>
      <c r="H46" s="20" t="n">
        <v>1.51830369</v>
      </c>
      <c r="I46" s="18" t="n">
        <v>11.25341783</v>
      </c>
      <c r="J46" s="20" t="n">
        <v>1.06796035</v>
      </c>
      <c r="K46" s="18" t="s">
        <v>567</v>
      </c>
      <c r="L46" s="20" t="s">
        <v>567</v>
      </c>
      <c r="M46" s="18" t="n">
        <v>1.12210012</v>
      </c>
      <c r="N46" s="20" t="n">
        <v>0.35042544</v>
      </c>
      <c r="O46" s="18" t="n">
        <v>0</v>
      </c>
      <c r="P46" s="20" t="n">
        <v>0</v>
      </c>
      <c r="Q46" s="18" t="n">
        <v>0</v>
      </c>
      <c r="R46" s="20" t="n">
        <v>0</v>
      </c>
      <c r="S46" s="18" t="n">
        <v>6.72610173</v>
      </c>
      <c r="T46" s="20" t="n">
        <v>0.7859667299999999</v>
      </c>
    </row>
    <row r="47" spans="1:20">
      <c r="A47" s="15" t="s">
        <v>607</v>
      </c>
      <c r="B47" s="17" t="n">
        <v>3105</v>
      </c>
      <c r="C47" s="18">
        <f>(2473.0/B47*100)</f>
        <v/>
      </c>
      <c r="D47" s="19" t="n">
        <v>632</v>
      </c>
      <c r="E47" s="18" t="n">
        <v>44.20767909</v>
      </c>
      <c r="F47" s="20" t="n">
        <v>2.2780262</v>
      </c>
      <c r="G47" s="18" t="n">
        <v>36.42854279</v>
      </c>
      <c r="H47" s="20" t="n">
        <v>1.87174843</v>
      </c>
      <c r="I47" s="18" t="n">
        <v>15.53193393</v>
      </c>
      <c r="J47" s="20" t="n">
        <v>1.68699956</v>
      </c>
      <c r="K47" s="18" t="s">
        <v>567</v>
      </c>
      <c r="L47" s="20" t="s">
        <v>567</v>
      </c>
      <c r="M47" s="18" t="n">
        <v>0.6190971</v>
      </c>
      <c r="N47" s="20" t="n">
        <v>0.32215514</v>
      </c>
      <c r="O47" s="18" t="n">
        <v>0</v>
      </c>
      <c r="P47" s="20" t="n">
        <v>0</v>
      </c>
      <c r="Q47" s="18" t="n">
        <v>0</v>
      </c>
      <c r="R47" s="20" t="n">
        <v>0</v>
      </c>
      <c r="S47" s="18" t="n">
        <v>3.21274709</v>
      </c>
      <c r="T47" s="20" t="n">
        <v>0.78299682</v>
      </c>
    </row>
    <row r="48" spans="1:20">
      <c r="A48" s="15" t="s">
        <v>608</v>
      </c>
      <c r="B48" s="17" t="n">
        <v>5159</v>
      </c>
      <c r="C48" s="18">
        <f>(4026.0/B48*100)</f>
        <v/>
      </c>
      <c r="D48" s="19" t="n">
        <v>1133</v>
      </c>
      <c r="E48" s="18" t="n">
        <v>31.42800325</v>
      </c>
      <c r="F48" s="20" t="n">
        <v>2.00674144</v>
      </c>
      <c r="G48" s="18" t="n">
        <v>35.55190394</v>
      </c>
      <c r="H48" s="20" t="n">
        <v>1.90989369</v>
      </c>
      <c r="I48" s="18" t="n">
        <v>32.31750889</v>
      </c>
      <c r="J48" s="20" t="n">
        <v>2.13914126</v>
      </c>
      <c r="K48" s="18" t="s">
        <v>567</v>
      </c>
      <c r="L48" s="20" t="s">
        <v>567</v>
      </c>
      <c r="M48" s="18" t="n">
        <v>0.42259278</v>
      </c>
      <c r="N48" s="20" t="n">
        <v>0.24271466</v>
      </c>
      <c r="O48" s="18" t="n">
        <v>0</v>
      </c>
      <c r="P48" s="20" t="n">
        <v>0</v>
      </c>
      <c r="Q48" s="18" t="n">
        <v>0</v>
      </c>
      <c r="R48" s="20" t="n">
        <v>0</v>
      </c>
      <c r="S48" s="18" t="n">
        <v>0.27999114</v>
      </c>
      <c r="T48" s="20" t="n">
        <v>0.19246354</v>
      </c>
    </row>
    <row r="49" spans="1:20">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5637</v>
      </c>
      <c r="C50" s="18">
        <f>(4443.0/B50*100)</f>
        <v/>
      </c>
      <c r="D50" s="19" t="n">
        <v>1194</v>
      </c>
      <c r="E50" s="18" t="n">
        <v>44.59837603</v>
      </c>
      <c r="F50" s="20" t="n">
        <v>2.33672716</v>
      </c>
      <c r="G50" s="18" t="n">
        <v>34.48308376</v>
      </c>
      <c r="H50" s="20" t="n">
        <v>2.23317394</v>
      </c>
      <c r="I50" s="18" t="n">
        <v>16.81406008</v>
      </c>
      <c r="J50" s="20" t="n">
        <v>1.4498205</v>
      </c>
      <c r="K50" s="18" t="s">
        <v>567</v>
      </c>
      <c r="L50" s="20" t="s">
        <v>567</v>
      </c>
      <c r="M50" s="18" t="n">
        <v>1.1358169</v>
      </c>
      <c r="N50" s="20" t="n">
        <v>0.45212691</v>
      </c>
      <c r="O50" s="18" t="n">
        <v>0</v>
      </c>
      <c r="P50" s="20" t="n">
        <v>0</v>
      </c>
      <c r="Q50" s="18" t="n">
        <v>0</v>
      </c>
      <c r="R50" s="20" t="n">
        <v>0</v>
      </c>
      <c r="S50" s="18" t="n">
        <v>2.96866324</v>
      </c>
      <c r="T50" s="20" t="n">
        <v>0.8328302400000001</v>
      </c>
    </row>
    <row r="51" spans="1:20">
      <c r="A51" s="15" t="s">
        <v>611</v>
      </c>
      <c r="B51" s="17" t="n">
        <v>3372</v>
      </c>
      <c r="C51" s="18">
        <f>(2756.0/B51*100)</f>
        <v/>
      </c>
      <c r="D51" s="19" t="n">
        <v>616</v>
      </c>
      <c r="E51" s="18" t="n">
        <v>51.54450733</v>
      </c>
      <c r="F51" s="20" t="n">
        <v>1.75767071</v>
      </c>
      <c r="G51" s="18" t="n">
        <v>34.76124606</v>
      </c>
      <c r="H51" s="20" t="n">
        <v>1.66226259</v>
      </c>
      <c r="I51" s="18" t="n">
        <v>11.34379031</v>
      </c>
      <c r="J51" s="20" t="n">
        <v>1.00519882</v>
      </c>
      <c r="K51" s="18" t="s">
        <v>567</v>
      </c>
      <c r="L51" s="20" t="s">
        <v>567</v>
      </c>
      <c r="M51" s="18" t="n">
        <v>0.55234039</v>
      </c>
      <c r="N51" s="20" t="n">
        <v>0.30644921</v>
      </c>
      <c r="O51" s="18" t="n">
        <v>0</v>
      </c>
      <c r="P51" s="20" t="n">
        <v>0</v>
      </c>
      <c r="Q51" s="18" t="n">
        <v>0</v>
      </c>
      <c r="R51" s="20" t="n">
        <v>0</v>
      </c>
      <c r="S51" s="18" t="n">
        <v>1.79811591</v>
      </c>
      <c r="T51" s="20" t="n">
        <v>0.51046793</v>
      </c>
    </row>
    <row r="52" spans="1:20">
      <c r="A52" s="15" t="s">
        <v>612</v>
      </c>
      <c r="B52" s="17" t="n">
        <v>2796</v>
      </c>
      <c r="C52" s="18">
        <f>(2143.0/B52*100)</f>
        <v/>
      </c>
      <c r="D52" s="19" t="n">
        <v>653</v>
      </c>
      <c r="E52" s="18" t="n">
        <v>36.94549662</v>
      </c>
      <c r="F52" s="20" t="n">
        <v>1.93640422</v>
      </c>
      <c r="G52" s="18" t="n">
        <v>35.7670348</v>
      </c>
      <c r="H52" s="20" t="n">
        <v>1.83276239</v>
      </c>
      <c r="I52" s="18" t="n">
        <v>23.21994167</v>
      </c>
      <c r="J52" s="20" t="n">
        <v>1.54813413</v>
      </c>
      <c r="K52" s="18" t="s">
        <v>567</v>
      </c>
      <c r="L52" s="20" t="s">
        <v>567</v>
      </c>
      <c r="M52" s="18" t="n">
        <v>0.11639106</v>
      </c>
      <c r="N52" s="20" t="n">
        <v>0.11129511</v>
      </c>
      <c r="O52" s="18" t="n">
        <v>0</v>
      </c>
      <c r="P52" s="20" t="n">
        <v>0</v>
      </c>
      <c r="Q52" s="18" t="n">
        <v>0</v>
      </c>
      <c r="R52" s="20" t="n">
        <v>0</v>
      </c>
      <c r="S52" s="18" t="n">
        <v>3.95113584</v>
      </c>
      <c r="T52" s="20" t="n">
        <v>0.7156673</v>
      </c>
    </row>
    <row r="53" spans="1:20">
      <c r="A53" s="15" t="s">
        <v>613</v>
      </c>
      <c r="B53" s="17" t="n">
        <v>2811</v>
      </c>
      <c r="C53" s="18">
        <f>(2212.0/B53*100)</f>
        <v/>
      </c>
      <c r="D53" s="19" t="n">
        <v>599</v>
      </c>
      <c r="E53" s="18" t="n">
        <v>43.00177611</v>
      </c>
      <c r="F53" s="20" t="n">
        <v>1.90583015</v>
      </c>
      <c r="G53" s="18" t="n">
        <v>37.13891341</v>
      </c>
      <c r="H53" s="20" t="n">
        <v>1.96957482</v>
      </c>
      <c r="I53" s="18" t="n">
        <v>15.46990828</v>
      </c>
      <c r="J53" s="20" t="n">
        <v>1.63203039</v>
      </c>
      <c r="K53" s="18" t="s">
        <v>567</v>
      </c>
      <c r="L53" s="20" t="s">
        <v>567</v>
      </c>
      <c r="M53" s="18" t="n">
        <v>0.3278452</v>
      </c>
      <c r="N53" s="20" t="n">
        <v>0.23971734</v>
      </c>
      <c r="O53" s="18" t="n">
        <v>0</v>
      </c>
      <c r="P53" s="20" t="n">
        <v>0</v>
      </c>
      <c r="Q53" s="18" t="n">
        <v>0</v>
      </c>
      <c r="R53" s="20" t="n">
        <v>0</v>
      </c>
      <c r="S53" s="18" t="n">
        <v>4.061557</v>
      </c>
      <c r="T53" s="20" t="n">
        <v>0.84880866</v>
      </c>
    </row>
    <row r="54" spans="1:20">
      <c r="A54" s="15" t="s">
        <v>614</v>
      </c>
      <c r="B54" s="17" t="n">
        <v>2266</v>
      </c>
      <c r="C54" s="18">
        <f>(1740.0/B54*100)</f>
        <v/>
      </c>
      <c r="D54" s="19" t="n">
        <v>526</v>
      </c>
      <c r="E54" s="18" t="n">
        <v>56.3129876</v>
      </c>
      <c r="F54" s="20" t="n">
        <v>2.73391388</v>
      </c>
      <c r="G54" s="18" t="n">
        <v>24.77046559</v>
      </c>
      <c r="H54" s="20" t="n">
        <v>2.36853917</v>
      </c>
      <c r="I54" s="18" t="n">
        <v>2.64552573</v>
      </c>
      <c r="J54" s="20" t="n">
        <v>0.57662439</v>
      </c>
      <c r="K54" s="18" t="s">
        <v>567</v>
      </c>
      <c r="L54" s="20" t="s">
        <v>567</v>
      </c>
      <c r="M54" s="18" t="n">
        <v>8.269895289999999</v>
      </c>
      <c r="N54" s="20" t="n">
        <v>1.48880445</v>
      </c>
      <c r="O54" s="18" t="n">
        <v>0</v>
      </c>
      <c r="P54" s="20" t="n">
        <v>0</v>
      </c>
      <c r="Q54" s="18" t="n">
        <v>0</v>
      </c>
      <c r="R54" s="20" t="n">
        <v>0</v>
      </c>
      <c r="S54" s="18" t="n">
        <v>8.00112579</v>
      </c>
      <c r="T54" s="20" t="n">
        <v>1.49768508</v>
      </c>
    </row>
    <row r="55" spans="1:20">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2684</v>
      </c>
      <c r="C56" s="18">
        <f>(2067.0/B56*100)</f>
        <v/>
      </c>
      <c r="D56" s="19" t="n">
        <v>617</v>
      </c>
      <c r="E56" s="18" t="n">
        <v>29.59524375</v>
      </c>
      <c r="F56" s="20" t="n">
        <v>1.91734579</v>
      </c>
      <c r="G56" s="18" t="n">
        <v>46.03794601</v>
      </c>
      <c r="H56" s="20" t="n">
        <v>2.24374105</v>
      </c>
      <c r="I56" s="18" t="n">
        <v>23.60993441</v>
      </c>
      <c r="J56" s="20" t="n">
        <v>2.08783933</v>
      </c>
      <c r="K56" s="18" t="s">
        <v>567</v>
      </c>
      <c r="L56" s="20" t="s">
        <v>567</v>
      </c>
      <c r="M56" s="18" t="n">
        <v>0</v>
      </c>
      <c r="N56" s="20" t="n">
        <v>0</v>
      </c>
      <c r="O56" s="18" t="n">
        <v>0</v>
      </c>
      <c r="P56" s="20" t="n">
        <v>0</v>
      </c>
      <c r="Q56" s="18" t="n">
        <v>0</v>
      </c>
      <c r="R56" s="20" t="n">
        <v>0</v>
      </c>
      <c r="S56" s="18" t="n">
        <v>0.75687583</v>
      </c>
      <c r="T56" s="20" t="n">
        <v>0.34840576</v>
      </c>
    </row>
    <row r="57" spans="1:20">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3324</v>
      </c>
      <c r="C61" s="18">
        <f>(2593.0/B61*100)</f>
        <v/>
      </c>
      <c r="D61" s="19" t="n">
        <v>731</v>
      </c>
      <c r="E61" s="18" t="n">
        <v>31.77669241</v>
      </c>
      <c r="F61" s="20" t="n">
        <v>1.72137999</v>
      </c>
      <c r="G61" s="18" t="n">
        <v>58.35964214</v>
      </c>
      <c r="H61" s="20" t="n">
        <v>2.06420333</v>
      </c>
      <c r="I61" s="18" t="n">
        <v>7.49810169</v>
      </c>
      <c r="J61" s="20" t="n">
        <v>1.10688003</v>
      </c>
      <c r="K61" s="18" t="s">
        <v>567</v>
      </c>
      <c r="L61" s="20" t="s">
        <v>567</v>
      </c>
      <c r="M61" s="18" t="n">
        <v>0</v>
      </c>
      <c r="N61" s="20" t="n">
        <v>0</v>
      </c>
      <c r="O61" s="18" t="n">
        <v>0</v>
      </c>
      <c r="P61" s="20" t="n">
        <v>0</v>
      </c>
      <c r="Q61" s="18" t="n">
        <v>0</v>
      </c>
      <c r="R61" s="20" t="n">
        <v>0</v>
      </c>
      <c r="S61" s="18" t="n">
        <v>2.36556377</v>
      </c>
      <c r="T61" s="20" t="n">
        <v>0.57828956</v>
      </c>
    </row>
    <row r="62" spans="1:20">
      <c r="A62" s="15" t="s">
        <v>622</v>
      </c>
      <c r="B62" s="17" t="n">
        <v>2246</v>
      </c>
      <c r="C62" s="18">
        <f>(1790.0/B62*100)</f>
        <v/>
      </c>
      <c r="D62" s="19" t="n">
        <v>456</v>
      </c>
      <c r="E62" s="18" t="n">
        <v>31.19053408</v>
      </c>
      <c r="F62" s="20" t="n">
        <v>1.78725206</v>
      </c>
      <c r="G62" s="18" t="n">
        <v>32.2473321</v>
      </c>
      <c r="H62" s="20" t="n">
        <v>2.23917837</v>
      </c>
      <c r="I62" s="18" t="n">
        <v>36.56213382</v>
      </c>
      <c r="J62" s="20" t="n">
        <v>2.15708415</v>
      </c>
      <c r="K62" s="18" t="s">
        <v>567</v>
      </c>
      <c r="L62" s="20" t="s">
        <v>567</v>
      </c>
      <c r="M62" s="18" t="n">
        <v>0</v>
      </c>
      <c r="N62" s="20" t="n">
        <v>0</v>
      </c>
      <c r="O62" s="18" t="n">
        <v>0</v>
      </c>
      <c r="P62" s="20" t="n">
        <v>0</v>
      </c>
      <c r="Q62" s="18" t="n">
        <v>0</v>
      </c>
      <c r="R62" s="20" t="n">
        <v>0</v>
      </c>
      <c r="S62" s="18" t="n">
        <v>0</v>
      </c>
      <c r="T62" s="20" t="n">
        <v>0</v>
      </c>
    </row>
    <row r="63" spans="1:20">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2894</v>
      </c>
      <c r="C66" s="18">
        <f>(2242.0/B66*100)</f>
        <v/>
      </c>
      <c r="D66" s="19" t="n">
        <v>652</v>
      </c>
      <c r="E66" s="18" t="n">
        <v>46.56660154</v>
      </c>
      <c r="F66" s="20" t="n">
        <v>2.01753538</v>
      </c>
      <c r="G66" s="18" t="n">
        <v>34.38771107</v>
      </c>
      <c r="H66" s="20" t="n">
        <v>1.79541267</v>
      </c>
      <c r="I66" s="18" t="n">
        <v>9.696953730000001</v>
      </c>
      <c r="J66" s="20" t="n">
        <v>1.22802256</v>
      </c>
      <c r="K66" s="18" t="s">
        <v>567</v>
      </c>
      <c r="L66" s="20" t="s">
        <v>567</v>
      </c>
      <c r="M66" s="18" t="n">
        <v>0.59388073</v>
      </c>
      <c r="N66" s="20" t="n">
        <v>0.29688023</v>
      </c>
      <c r="O66" s="18" t="n">
        <v>0</v>
      </c>
      <c r="P66" s="20" t="n">
        <v>0</v>
      </c>
      <c r="Q66" s="18" t="n">
        <v>0</v>
      </c>
      <c r="R66" s="20" t="n">
        <v>0</v>
      </c>
      <c r="S66" s="18" t="n">
        <v>8.75485293</v>
      </c>
      <c r="T66" s="20" t="n">
        <v>1.07573278</v>
      </c>
    </row>
    <row r="67" spans="1:20">
      <c r="A67" s="15" t="s">
        <v>627</v>
      </c>
      <c r="B67" s="17" t="n">
        <v>3511</v>
      </c>
      <c r="C67" s="18">
        <f>(2795.0/B67*100)</f>
        <v/>
      </c>
      <c r="D67" s="19" t="n">
        <v>716</v>
      </c>
      <c r="E67" s="18" t="n">
        <v>51.47490269</v>
      </c>
      <c r="F67" s="20" t="n">
        <v>1.87609935</v>
      </c>
      <c r="G67" s="18" t="n">
        <v>36.30244153</v>
      </c>
      <c r="H67" s="20" t="n">
        <v>1.79560628</v>
      </c>
      <c r="I67" s="18" t="n">
        <v>8.51904427</v>
      </c>
      <c r="J67" s="20" t="n">
        <v>1.10889389</v>
      </c>
      <c r="K67" s="18" t="s">
        <v>567</v>
      </c>
      <c r="L67" s="20" t="s">
        <v>567</v>
      </c>
      <c r="M67" s="18" t="n">
        <v>0.18278371</v>
      </c>
      <c r="N67" s="20" t="n">
        <v>0.18249048</v>
      </c>
      <c r="O67" s="18" t="n">
        <v>0</v>
      </c>
      <c r="P67" s="20" t="n">
        <v>0</v>
      </c>
      <c r="Q67" s="18" t="n">
        <v>0</v>
      </c>
      <c r="R67" s="20" t="n">
        <v>0</v>
      </c>
      <c r="S67" s="18" t="n">
        <v>3.5208278</v>
      </c>
      <c r="T67" s="20" t="n">
        <v>0.72560631</v>
      </c>
    </row>
    <row r="68" spans="1:20">
      <c r="A68" s="15" t="s">
        <v>628</v>
      </c>
      <c r="B68" s="17" t="n">
        <v>6049</v>
      </c>
      <c r="C68" s="18">
        <f>(4717.0/B68*100)</f>
        <v/>
      </c>
      <c r="D68" s="19" t="n">
        <v>1332</v>
      </c>
      <c r="E68" s="18" t="n">
        <v>47.29747702</v>
      </c>
      <c r="F68" s="20" t="n">
        <v>1.35698475</v>
      </c>
      <c r="G68" s="18" t="n">
        <v>35.25162643</v>
      </c>
      <c r="H68" s="20" t="n">
        <v>1.20861187</v>
      </c>
      <c r="I68" s="18" t="n">
        <v>10.57314304</v>
      </c>
      <c r="J68" s="20" t="n">
        <v>0.97362853</v>
      </c>
      <c r="K68" s="18" t="s">
        <v>567</v>
      </c>
      <c r="L68" s="20" t="s">
        <v>567</v>
      </c>
      <c r="M68" s="18" t="n">
        <v>1.33383794</v>
      </c>
      <c r="N68" s="20" t="n">
        <v>0.29249057</v>
      </c>
      <c r="O68" s="18" t="n">
        <v>0</v>
      </c>
      <c r="P68" s="20" t="n">
        <v>0</v>
      </c>
      <c r="Q68" s="18" t="n">
        <v>0</v>
      </c>
      <c r="R68" s="20" t="n">
        <v>0</v>
      </c>
      <c r="S68" s="18" t="n">
        <v>5.54391557</v>
      </c>
      <c r="T68" s="20" t="n">
        <v>0.64138262</v>
      </c>
    </row>
    <row r="69" spans="1:20">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2929</v>
      </c>
      <c r="C70" s="18">
        <f>(2325.0/B70*100)</f>
        <v/>
      </c>
      <c r="D70" s="19" t="n">
        <v>604</v>
      </c>
      <c r="E70" s="18" t="n">
        <v>32.39408609</v>
      </c>
      <c r="F70" s="20" t="n">
        <v>2.45500024</v>
      </c>
      <c r="G70" s="18" t="n">
        <v>46.49544776</v>
      </c>
      <c r="H70" s="20" t="n">
        <v>2.45856248</v>
      </c>
      <c r="I70" s="18" t="n">
        <v>18.98908733</v>
      </c>
      <c r="J70" s="20" t="n">
        <v>1.8007836</v>
      </c>
      <c r="K70" s="18" t="s">
        <v>567</v>
      </c>
      <c r="L70" s="20" t="s">
        <v>567</v>
      </c>
      <c r="M70" s="18" t="n">
        <v>0.14811749</v>
      </c>
      <c r="N70" s="20" t="n">
        <v>0.14561353</v>
      </c>
      <c r="O70" s="18" t="n">
        <v>0</v>
      </c>
      <c r="P70" s="20" t="n">
        <v>0</v>
      </c>
      <c r="Q70" s="18" t="n">
        <v>0</v>
      </c>
      <c r="R70" s="20" t="n">
        <v>0</v>
      </c>
      <c r="S70" s="18" t="n">
        <v>1.97326132</v>
      </c>
      <c r="T70" s="20" t="n">
        <v>0.61401889</v>
      </c>
    </row>
    <row r="71" spans="1:20">
      <c r="A71" s="15" t="s">
        <v>631</v>
      </c>
      <c r="B71" s="17" t="n">
        <v>3142</v>
      </c>
      <c r="C71" s="18">
        <f>(2464.0/B71*100)</f>
        <v/>
      </c>
      <c r="D71" s="19" t="n">
        <v>678</v>
      </c>
      <c r="E71" s="18" t="n">
        <v>23.97880318</v>
      </c>
      <c r="F71" s="20" t="n">
        <v>1.8055655</v>
      </c>
      <c r="G71" s="18" t="n">
        <v>29.08100762</v>
      </c>
      <c r="H71" s="20" t="n">
        <v>1.75252877</v>
      </c>
      <c r="I71" s="18" t="n">
        <v>45.82462092</v>
      </c>
      <c r="J71" s="20" t="n">
        <v>2.23150713</v>
      </c>
      <c r="K71" s="18" t="s">
        <v>567</v>
      </c>
      <c r="L71" s="20" t="s">
        <v>567</v>
      </c>
      <c r="M71" s="18" t="n">
        <v>0.20512873</v>
      </c>
      <c r="N71" s="20" t="n">
        <v>0.14838806</v>
      </c>
      <c r="O71" s="18" t="n">
        <v>0</v>
      </c>
      <c r="P71" s="20" t="n">
        <v>0</v>
      </c>
      <c r="Q71" s="18" t="n">
        <v>0</v>
      </c>
      <c r="R71" s="20" t="n">
        <v>0</v>
      </c>
      <c r="S71" s="18" t="n">
        <v>0.91043956</v>
      </c>
      <c r="T71" s="20" t="n">
        <v>0.31019515</v>
      </c>
    </row>
    <row r="72" spans="1:20">
      <c r="A72" s="15" t="s">
        <v>632</v>
      </c>
      <c r="B72" s="17" t="n">
        <v>3889</v>
      </c>
      <c r="C72" s="18">
        <f>(3011.0/B72*100)</f>
        <v/>
      </c>
      <c r="D72" s="19" t="n">
        <v>878</v>
      </c>
      <c r="E72" s="18" t="n">
        <v>26.08273248</v>
      </c>
      <c r="F72" s="20" t="n">
        <v>1.84638477</v>
      </c>
      <c r="G72" s="18" t="n">
        <v>42.7661728</v>
      </c>
      <c r="H72" s="20" t="n">
        <v>1.98354451</v>
      </c>
      <c r="I72" s="18" t="n">
        <v>30.54087787</v>
      </c>
      <c r="J72" s="20" t="n">
        <v>2.02553266</v>
      </c>
      <c r="K72" s="18" t="s">
        <v>567</v>
      </c>
      <c r="L72" s="20" t="s">
        <v>567</v>
      </c>
      <c r="M72" s="18" t="n">
        <v>0.24180995</v>
      </c>
      <c r="N72" s="20" t="n">
        <v>0.1413038</v>
      </c>
      <c r="O72" s="18" t="n">
        <v>0</v>
      </c>
      <c r="P72" s="20" t="n">
        <v>0</v>
      </c>
      <c r="Q72" s="18" t="n">
        <v>0</v>
      </c>
      <c r="R72" s="20" t="n">
        <v>0</v>
      </c>
      <c r="S72" s="18" t="n">
        <v>0.3684069</v>
      </c>
      <c r="T72" s="20" t="n">
        <v>0.22075657</v>
      </c>
    </row>
    <row r="73" spans="1:20">
      <c r="A73" s="15" t="s">
        <v>633</v>
      </c>
      <c r="B73" s="17" t="n">
        <v>3597</v>
      </c>
      <c r="C73" s="18">
        <f>(2788.0/B73*100)</f>
        <v/>
      </c>
      <c r="D73" s="19" t="n">
        <v>809</v>
      </c>
      <c r="E73" s="18" t="n">
        <v>50.60747669</v>
      </c>
      <c r="F73" s="20" t="n">
        <v>2.34264735</v>
      </c>
      <c r="G73" s="18" t="n">
        <v>36.00017907</v>
      </c>
      <c r="H73" s="20" t="n">
        <v>2.1919111</v>
      </c>
      <c r="I73" s="18" t="n">
        <v>12.3126266</v>
      </c>
      <c r="J73" s="20" t="n">
        <v>1.73021695</v>
      </c>
      <c r="K73" s="18" t="s">
        <v>567</v>
      </c>
      <c r="L73" s="20" t="s">
        <v>567</v>
      </c>
      <c r="M73" s="18" t="n">
        <v>0</v>
      </c>
      <c r="N73" s="20" t="n">
        <v>0</v>
      </c>
      <c r="O73" s="18" t="n">
        <v>0</v>
      </c>
      <c r="P73" s="20" t="n">
        <v>0</v>
      </c>
      <c r="Q73" s="18" t="n">
        <v>0</v>
      </c>
      <c r="R73" s="20" t="n">
        <v>0</v>
      </c>
      <c r="S73" s="18" t="n">
        <v>1.07971764</v>
      </c>
      <c r="T73" s="20" t="n">
        <v>0.51885477</v>
      </c>
    </row>
    <row r="74" spans="1:20">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2406</v>
      </c>
      <c r="C75" s="18">
        <f>(1918.0/B75*100)</f>
        <v/>
      </c>
      <c r="D75" s="19" t="n">
        <v>488</v>
      </c>
      <c r="E75" s="18" t="n">
        <v>53.81642055</v>
      </c>
      <c r="F75" s="20" t="n">
        <v>2.18485649</v>
      </c>
      <c r="G75" s="18" t="n">
        <v>34.89434703</v>
      </c>
      <c r="H75" s="20" t="n">
        <v>2.11353144</v>
      </c>
      <c r="I75" s="18" t="n">
        <v>6.12774307</v>
      </c>
      <c r="J75" s="20" t="n">
        <v>1.23652064</v>
      </c>
      <c r="K75" s="18" t="s">
        <v>567</v>
      </c>
      <c r="L75" s="20" t="s">
        <v>567</v>
      </c>
      <c r="M75" s="18" t="n">
        <v>0.4910881</v>
      </c>
      <c r="N75" s="20" t="n">
        <v>0.27428145</v>
      </c>
      <c r="O75" s="18" t="n">
        <v>0</v>
      </c>
      <c r="P75" s="20" t="n">
        <v>0</v>
      </c>
      <c r="Q75" s="18" t="n">
        <v>0</v>
      </c>
      <c r="R75" s="20" t="n">
        <v>0</v>
      </c>
      <c r="S75" s="18" t="n">
        <v>4.67040125</v>
      </c>
      <c r="T75" s="20" t="n">
        <v>1.0482974</v>
      </c>
    </row>
    <row r="76" spans="1:20">
      <c r="A76" s="15" t="s">
        <v>636</v>
      </c>
      <c r="B76" s="17" t="n">
        <v>7052</v>
      </c>
      <c r="C76" s="18">
        <f>(5531.0/B76*100)</f>
        <v/>
      </c>
      <c r="D76" s="19" t="n">
        <v>1521</v>
      </c>
      <c r="E76" s="18" t="n">
        <v>47.60273465</v>
      </c>
      <c r="F76" s="20" t="n">
        <v>1.46697879</v>
      </c>
      <c r="G76" s="18" t="n">
        <v>35.40090983</v>
      </c>
      <c r="H76" s="20" t="n">
        <v>1.31473278</v>
      </c>
      <c r="I76" s="18" t="n">
        <v>14.64133036</v>
      </c>
      <c r="J76" s="20" t="n">
        <v>1.13914036</v>
      </c>
      <c r="K76" s="18" t="s">
        <v>567</v>
      </c>
      <c r="L76" s="20" t="s">
        <v>567</v>
      </c>
      <c r="M76" s="18" t="n">
        <v>0.44264022</v>
      </c>
      <c r="N76" s="20" t="n">
        <v>0.16437199</v>
      </c>
      <c r="O76" s="18" t="n">
        <v>0</v>
      </c>
      <c r="P76" s="20" t="n">
        <v>0</v>
      </c>
      <c r="Q76" s="18" t="n">
        <v>0</v>
      </c>
      <c r="R76" s="20" t="n">
        <v>0</v>
      </c>
      <c r="S76" s="18" t="n">
        <v>1.91238494</v>
      </c>
      <c r="T76" s="20" t="n">
        <v>0.47145526</v>
      </c>
    </row>
    <row r="77" spans="1:20">
      <c r="A77" s="15" t="s">
        <v>637</v>
      </c>
      <c r="B77" s="17" t="n">
        <v>2908</v>
      </c>
      <c r="C77" s="18">
        <f>(2263.0/B77*100)</f>
        <v/>
      </c>
      <c r="D77" s="19" t="n">
        <v>645</v>
      </c>
      <c r="E77" s="18" t="n">
        <v>39.87013283</v>
      </c>
      <c r="F77" s="20" t="n">
        <v>2.34689863</v>
      </c>
      <c r="G77" s="18" t="n">
        <v>39.69995062</v>
      </c>
      <c r="H77" s="20" t="n">
        <v>2.00994913</v>
      </c>
      <c r="I77" s="18" t="n">
        <v>14.49436442</v>
      </c>
      <c r="J77" s="20" t="n">
        <v>1.63803621</v>
      </c>
      <c r="K77" s="18" t="s">
        <v>567</v>
      </c>
      <c r="L77" s="20" t="s">
        <v>567</v>
      </c>
      <c r="M77" s="18" t="n">
        <v>1.14190337</v>
      </c>
      <c r="N77" s="20" t="n">
        <v>0.42140889</v>
      </c>
      <c r="O77" s="18" t="n">
        <v>0</v>
      </c>
      <c r="P77" s="20" t="n">
        <v>0</v>
      </c>
      <c r="Q77" s="18" t="n">
        <v>0</v>
      </c>
      <c r="R77" s="20" t="n">
        <v>0</v>
      </c>
      <c r="S77" s="18" t="n">
        <v>4.79364876</v>
      </c>
      <c r="T77" s="20" t="n">
        <v>0.8565686</v>
      </c>
    </row>
    <row r="78" spans="1:20">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4163</v>
      </c>
      <c r="C81" s="18">
        <f>(3211.0/B81*100)</f>
        <v/>
      </c>
      <c r="D81" s="19" t="n">
        <v>952</v>
      </c>
      <c r="E81" s="18" t="n">
        <v>40.85650645</v>
      </c>
      <c r="F81" s="20" t="n">
        <v>1.90961631</v>
      </c>
      <c r="G81" s="18" t="n">
        <v>34.47405539</v>
      </c>
      <c r="H81" s="20" t="n">
        <v>1.51826293</v>
      </c>
      <c r="I81" s="18" t="n">
        <v>23.93480295</v>
      </c>
      <c r="J81" s="20" t="n">
        <v>2.05617568</v>
      </c>
      <c r="K81" s="18" t="s">
        <v>567</v>
      </c>
      <c r="L81" s="20" t="s">
        <v>567</v>
      </c>
      <c r="M81" s="18" t="n">
        <v>0.1400604</v>
      </c>
      <c r="N81" s="20" t="n">
        <v>0.14419232</v>
      </c>
      <c r="O81" s="18" t="n">
        <v>0</v>
      </c>
      <c r="P81" s="20" t="n">
        <v>0</v>
      </c>
      <c r="Q81" s="18" t="n">
        <v>0</v>
      </c>
      <c r="R81" s="20" t="n">
        <v>0</v>
      </c>
      <c r="S81" s="18" t="n">
        <v>0.59457481</v>
      </c>
      <c r="T81" s="20" t="n">
        <v>0.33211162</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758</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7367</v>
      </c>
      <c r="C7" s="18">
        <f>(5770.0/B7*100)</f>
        <v/>
      </c>
      <c r="D7" s="19" t="n">
        <v>1597</v>
      </c>
      <c r="E7" s="18" t="n">
        <v>67.70747743</v>
      </c>
      <c r="F7" s="20" t="n">
        <v>1.34986929</v>
      </c>
      <c r="G7" s="18" t="n">
        <v>12.07937816</v>
      </c>
      <c r="H7" s="20" t="n">
        <v>1.04944592</v>
      </c>
      <c r="I7" s="18" t="n">
        <v>18.05763875</v>
      </c>
      <c r="J7" s="20" t="n">
        <v>1.22404942</v>
      </c>
      <c r="K7" s="18" t="s">
        <v>567</v>
      </c>
      <c r="L7" s="20" t="s">
        <v>567</v>
      </c>
      <c r="M7" s="18" t="n">
        <v>0.18022495</v>
      </c>
      <c r="N7" s="20" t="n">
        <v>0.08425045</v>
      </c>
      <c r="O7" s="18" t="n">
        <v>0.12472424</v>
      </c>
      <c r="P7" s="20" t="n">
        <v>0.1113781</v>
      </c>
      <c r="Q7" s="18" t="n">
        <v>0</v>
      </c>
      <c r="R7" s="20" t="n">
        <v>0</v>
      </c>
      <c r="S7" s="18" t="n">
        <v>1.85055646</v>
      </c>
      <c r="T7" s="20" t="n">
        <v>0.31353873</v>
      </c>
    </row>
    <row r="8" spans="1:20">
      <c r="A8" s="15" t="s">
        <v>568</v>
      </c>
      <c r="B8" s="17" t="n">
        <v>3564</v>
      </c>
      <c r="C8" s="18">
        <f>(2773.0/B8*100)</f>
        <v/>
      </c>
      <c r="D8" s="19" t="n">
        <v>791</v>
      </c>
      <c r="E8" s="18" t="n">
        <v>76.12252635</v>
      </c>
      <c r="F8" s="20" t="n">
        <v>1.60522646</v>
      </c>
      <c r="G8" s="18" t="n">
        <v>9.44238197</v>
      </c>
      <c r="H8" s="20" t="n">
        <v>1.13681864</v>
      </c>
      <c r="I8" s="18" t="n">
        <v>10.46771951</v>
      </c>
      <c r="J8" s="20" t="n">
        <v>1.03823453</v>
      </c>
      <c r="K8" s="18" t="s">
        <v>567</v>
      </c>
      <c r="L8" s="20" t="s">
        <v>567</v>
      </c>
      <c r="M8" s="18" t="n">
        <v>0</v>
      </c>
      <c r="N8" s="20" t="n">
        <v>0</v>
      </c>
      <c r="O8" s="18" t="n">
        <v>0</v>
      </c>
      <c r="P8" s="20" t="n">
        <v>0</v>
      </c>
      <c r="Q8" s="18" t="n">
        <v>0</v>
      </c>
      <c r="R8" s="20" t="n">
        <v>0</v>
      </c>
      <c r="S8" s="18" t="n">
        <v>3.96737217</v>
      </c>
      <c r="T8" s="20" t="n">
        <v>0.75231728</v>
      </c>
    </row>
    <row r="9" spans="1:20">
      <c r="A9" s="15" t="s">
        <v>569</v>
      </c>
      <c r="B9" s="17" t="n">
        <v>4899</v>
      </c>
      <c r="C9" s="18">
        <f>(3826.0/B9*100)</f>
        <v/>
      </c>
      <c r="D9" s="19" t="n">
        <v>1073</v>
      </c>
      <c r="E9" s="18" t="n">
        <v>71.88365512</v>
      </c>
      <c r="F9" s="20" t="n">
        <v>1.23277178</v>
      </c>
      <c r="G9" s="18" t="n">
        <v>11.48982417</v>
      </c>
      <c r="H9" s="20" t="n">
        <v>0.86392402</v>
      </c>
      <c r="I9" s="18" t="n">
        <v>12.42943169</v>
      </c>
      <c r="J9" s="20" t="n">
        <v>1.04860068</v>
      </c>
      <c r="K9" s="18" t="s">
        <v>567</v>
      </c>
      <c r="L9" s="20" t="s">
        <v>567</v>
      </c>
      <c r="M9" s="18" t="n">
        <v>0.09215284</v>
      </c>
      <c r="N9" s="20" t="n">
        <v>0.09135857999999999</v>
      </c>
      <c r="O9" s="18" t="n">
        <v>0.36186539</v>
      </c>
      <c r="P9" s="20" t="n">
        <v>0.1768853</v>
      </c>
      <c r="Q9" s="18" t="n">
        <v>0</v>
      </c>
      <c r="R9" s="20" t="n">
        <v>0</v>
      </c>
      <c r="S9" s="18" t="n">
        <v>3.74307078</v>
      </c>
      <c r="T9" s="20" t="n">
        <v>0.7103226</v>
      </c>
    </row>
    <row r="10" spans="1:20">
      <c r="A10" s="15" t="s">
        <v>570</v>
      </c>
      <c r="B10" s="17" t="n">
        <v>10036</v>
      </c>
      <c r="C10" s="18">
        <f>(7885.0/B10*100)</f>
        <v/>
      </c>
      <c r="D10" s="19" t="n">
        <v>2151</v>
      </c>
      <c r="E10" s="18" t="n">
        <v>65.27490217</v>
      </c>
      <c r="F10" s="20" t="n">
        <v>1.49365119</v>
      </c>
      <c r="G10" s="18" t="n">
        <v>14.32086542</v>
      </c>
      <c r="H10" s="20" t="n">
        <v>1.15543208</v>
      </c>
      <c r="I10" s="18" t="n">
        <v>18.44524933</v>
      </c>
      <c r="J10" s="20" t="n">
        <v>0.935154</v>
      </c>
      <c r="K10" s="18" t="s">
        <v>567</v>
      </c>
      <c r="L10" s="20" t="s">
        <v>567</v>
      </c>
      <c r="M10" s="18" t="n">
        <v>0.20324826</v>
      </c>
      <c r="N10" s="20" t="n">
        <v>0.12814328</v>
      </c>
      <c r="O10" s="18" t="n">
        <v>0.00599259</v>
      </c>
      <c r="P10" s="20" t="n">
        <v>0.00571649</v>
      </c>
      <c r="Q10" s="18" t="n">
        <v>0</v>
      </c>
      <c r="R10" s="20" t="n">
        <v>0</v>
      </c>
      <c r="S10" s="18" t="n">
        <v>1.74974222</v>
      </c>
      <c r="T10" s="20" t="n">
        <v>0.3837064</v>
      </c>
    </row>
    <row r="11" spans="1:20">
      <c r="A11" s="15" t="s">
        <v>571</v>
      </c>
      <c r="B11" s="17" t="n">
        <v>3553</v>
      </c>
      <c r="C11" s="18">
        <f>(2843.0/B11*100)</f>
        <v/>
      </c>
      <c r="D11" s="19" t="n">
        <v>710</v>
      </c>
      <c r="E11" s="18" t="n">
        <v>83.99386715</v>
      </c>
      <c r="F11" s="20" t="n">
        <v>1.49018382</v>
      </c>
      <c r="G11" s="18" t="n">
        <v>4.90118297</v>
      </c>
      <c r="H11" s="20" t="n">
        <v>0.69333511</v>
      </c>
      <c r="I11" s="18" t="n">
        <v>4.53308029</v>
      </c>
      <c r="J11" s="20" t="n">
        <v>0.8499786</v>
      </c>
      <c r="K11" s="18" t="s">
        <v>567</v>
      </c>
      <c r="L11" s="20" t="s">
        <v>567</v>
      </c>
      <c r="M11" s="18" t="n">
        <v>0.35844453</v>
      </c>
      <c r="N11" s="20" t="n">
        <v>0.22916297</v>
      </c>
      <c r="O11" s="18" t="n">
        <v>0</v>
      </c>
      <c r="P11" s="20" t="n">
        <v>0</v>
      </c>
      <c r="Q11" s="18" t="n">
        <v>0</v>
      </c>
      <c r="R11" s="20" t="n">
        <v>0</v>
      </c>
      <c r="S11" s="18" t="n">
        <v>6.21342505</v>
      </c>
      <c r="T11" s="20" t="n">
        <v>0.8574529</v>
      </c>
    </row>
    <row r="12" spans="1:20">
      <c r="A12" s="15" t="s">
        <v>572</v>
      </c>
      <c r="B12" s="17" t="n">
        <v>3472</v>
      </c>
      <c r="C12" s="18">
        <f>(2733.0/B12*100)</f>
        <v/>
      </c>
      <c r="D12" s="19" t="n">
        <v>739</v>
      </c>
      <c r="E12" s="18" t="n">
        <v>76.79408663</v>
      </c>
      <c r="F12" s="20" t="n">
        <v>1.6319201</v>
      </c>
      <c r="G12" s="18" t="n">
        <v>14.04076568</v>
      </c>
      <c r="H12" s="20" t="n">
        <v>1.22208021</v>
      </c>
      <c r="I12" s="18" t="n">
        <v>6.71635788</v>
      </c>
      <c r="J12" s="20" t="n">
        <v>0.93779773</v>
      </c>
      <c r="K12" s="18" t="s">
        <v>567</v>
      </c>
      <c r="L12" s="20" t="s">
        <v>567</v>
      </c>
      <c r="M12" s="18" t="n">
        <v>0</v>
      </c>
      <c r="N12" s="20" t="n">
        <v>0</v>
      </c>
      <c r="O12" s="18" t="n">
        <v>0</v>
      </c>
      <c r="P12" s="20" t="n">
        <v>0</v>
      </c>
      <c r="Q12" s="18" t="n">
        <v>0</v>
      </c>
      <c r="R12" s="20" t="n">
        <v>0</v>
      </c>
      <c r="S12" s="18" t="n">
        <v>2.44878982</v>
      </c>
      <c r="T12" s="20" t="n">
        <v>0.64405407</v>
      </c>
    </row>
    <row r="13" spans="1:20">
      <c r="A13" s="15" t="s">
        <v>573</v>
      </c>
      <c r="B13" s="17" t="n">
        <v>3559</v>
      </c>
      <c r="C13" s="18">
        <f>(2854.0/B13*100)</f>
        <v/>
      </c>
      <c r="D13" s="19" t="n">
        <v>705</v>
      </c>
      <c r="E13" s="18" t="n">
        <v>72.91101165000001</v>
      </c>
      <c r="F13" s="20" t="n">
        <v>2.30695354</v>
      </c>
      <c r="G13" s="18" t="n">
        <v>10.35365791</v>
      </c>
      <c r="H13" s="20" t="n">
        <v>1.02287362</v>
      </c>
      <c r="I13" s="18" t="n">
        <v>14.44236301</v>
      </c>
      <c r="J13" s="20" t="n">
        <v>1.73353472</v>
      </c>
      <c r="K13" s="18" t="s">
        <v>567</v>
      </c>
      <c r="L13" s="20" t="s">
        <v>567</v>
      </c>
      <c r="M13" s="18" t="n">
        <v>0.68843443</v>
      </c>
      <c r="N13" s="20" t="n">
        <v>0.37922096</v>
      </c>
      <c r="O13" s="18" t="n">
        <v>0.13152923</v>
      </c>
      <c r="P13" s="20" t="n">
        <v>0.13324117</v>
      </c>
      <c r="Q13" s="18" t="n">
        <v>0</v>
      </c>
      <c r="R13" s="20" t="n">
        <v>0</v>
      </c>
      <c r="S13" s="18" t="n">
        <v>1.47300377</v>
      </c>
      <c r="T13" s="20" t="n">
        <v>0.40935569</v>
      </c>
    </row>
    <row r="14" spans="1:20">
      <c r="A14" s="15" t="s">
        <v>574</v>
      </c>
      <c r="B14" s="17" t="n">
        <v>2799</v>
      </c>
      <c r="C14" s="18">
        <f>(2216.0/B14*100)</f>
        <v/>
      </c>
      <c r="D14" s="19" t="n">
        <v>583</v>
      </c>
      <c r="E14" s="18" t="n">
        <v>68.02224597</v>
      </c>
      <c r="F14" s="20" t="n">
        <v>2.17208192</v>
      </c>
      <c r="G14" s="18" t="n">
        <v>13.00060569</v>
      </c>
      <c r="H14" s="20" t="n">
        <v>1.71130556</v>
      </c>
      <c r="I14" s="18" t="n">
        <v>17.72874023</v>
      </c>
      <c r="J14" s="20" t="n">
        <v>1.61238192</v>
      </c>
      <c r="K14" s="18" t="s">
        <v>567</v>
      </c>
      <c r="L14" s="20" t="s">
        <v>567</v>
      </c>
      <c r="M14" s="18" t="n">
        <v>0.14263488</v>
      </c>
      <c r="N14" s="20" t="n">
        <v>0.14332604</v>
      </c>
      <c r="O14" s="18" t="n">
        <v>0</v>
      </c>
      <c r="P14" s="20" t="n">
        <v>0</v>
      </c>
      <c r="Q14" s="18" t="n">
        <v>0</v>
      </c>
      <c r="R14" s="20" t="n">
        <v>0</v>
      </c>
      <c r="S14" s="18" t="n">
        <v>1.10577324</v>
      </c>
      <c r="T14" s="20" t="n">
        <v>0.50352664</v>
      </c>
    </row>
    <row r="15" spans="1:20">
      <c r="A15" s="15" t="s">
        <v>575</v>
      </c>
      <c r="B15" s="17" t="n">
        <v>3019</v>
      </c>
      <c r="C15" s="18">
        <f>(2344.0/B15*100)</f>
        <v/>
      </c>
      <c r="D15" s="19" t="n">
        <v>675</v>
      </c>
      <c r="E15" s="18" t="n">
        <v>72.95449469</v>
      </c>
      <c r="F15" s="20" t="n">
        <v>1.91579948</v>
      </c>
      <c r="G15" s="18" t="n">
        <v>11.89434452</v>
      </c>
      <c r="H15" s="20" t="n">
        <v>1.17157569</v>
      </c>
      <c r="I15" s="18" t="n">
        <v>13.73140675</v>
      </c>
      <c r="J15" s="20" t="n">
        <v>1.32121655</v>
      </c>
      <c r="K15" s="18" t="s">
        <v>567</v>
      </c>
      <c r="L15" s="20" t="s">
        <v>567</v>
      </c>
      <c r="M15" s="18" t="n">
        <v>0</v>
      </c>
      <c r="N15" s="20" t="n">
        <v>0</v>
      </c>
      <c r="O15" s="18" t="n">
        <v>0</v>
      </c>
      <c r="P15" s="20" t="n">
        <v>0</v>
      </c>
      <c r="Q15" s="18" t="n">
        <v>0</v>
      </c>
      <c r="R15" s="20" t="n">
        <v>0</v>
      </c>
      <c r="S15" s="18" t="n">
        <v>1.41975404</v>
      </c>
      <c r="T15" s="20" t="n">
        <v>0.47855339</v>
      </c>
    </row>
    <row r="16" spans="1:20">
      <c r="A16" s="15" t="s">
        <v>576</v>
      </c>
      <c r="B16" s="17" t="n">
        <v>2997</v>
      </c>
      <c r="C16" s="18">
        <f>(2322.0/B16*100)</f>
        <v/>
      </c>
      <c r="D16" s="19" t="n">
        <v>675</v>
      </c>
      <c r="E16" s="18" t="n">
        <v>70.93243763</v>
      </c>
      <c r="F16" s="20" t="n">
        <v>1.74303695</v>
      </c>
      <c r="G16" s="18" t="n">
        <v>11.44237634</v>
      </c>
      <c r="H16" s="20" t="n">
        <v>1.29577575</v>
      </c>
      <c r="I16" s="18" t="n">
        <v>13.13291932</v>
      </c>
      <c r="J16" s="20" t="n">
        <v>1.26596196</v>
      </c>
      <c r="K16" s="18" t="s">
        <v>567</v>
      </c>
      <c r="L16" s="20" t="s">
        <v>567</v>
      </c>
      <c r="M16" s="18" t="n">
        <v>0.75158677</v>
      </c>
      <c r="N16" s="20" t="n">
        <v>0.32277095</v>
      </c>
      <c r="O16" s="18" t="n">
        <v>0</v>
      </c>
      <c r="P16" s="20" t="n">
        <v>0</v>
      </c>
      <c r="Q16" s="18" t="n">
        <v>0</v>
      </c>
      <c r="R16" s="20" t="n">
        <v>0</v>
      </c>
      <c r="S16" s="18" t="n">
        <v>3.74067993</v>
      </c>
      <c r="T16" s="20" t="n">
        <v>0.72051143</v>
      </c>
    </row>
    <row r="17" spans="1:20">
      <c r="A17" s="15" t="s">
        <v>577</v>
      </c>
      <c r="B17" s="17" t="n">
        <v>3307</v>
      </c>
      <c r="C17" s="18">
        <f>(2606.0/B17*100)</f>
        <v/>
      </c>
      <c r="D17" s="19" t="n">
        <v>701</v>
      </c>
      <c r="E17" s="18" t="n">
        <v>72.11532861000001</v>
      </c>
      <c r="F17" s="20" t="n">
        <v>1.65437197</v>
      </c>
      <c r="G17" s="18" t="n">
        <v>12.65974889</v>
      </c>
      <c r="H17" s="20" t="n">
        <v>1.37640999</v>
      </c>
      <c r="I17" s="18" t="n">
        <v>12.01643219</v>
      </c>
      <c r="J17" s="20" t="n">
        <v>1.29969959</v>
      </c>
      <c r="K17" s="18" t="s">
        <v>567</v>
      </c>
      <c r="L17" s="20" t="s">
        <v>567</v>
      </c>
      <c r="M17" s="18" t="n">
        <v>0.31575086</v>
      </c>
      <c r="N17" s="20" t="n">
        <v>0.24114576</v>
      </c>
      <c r="O17" s="18" t="n">
        <v>0</v>
      </c>
      <c r="P17" s="20" t="n">
        <v>0</v>
      </c>
      <c r="Q17" s="18" t="n">
        <v>0</v>
      </c>
      <c r="R17" s="20" t="n">
        <v>0</v>
      </c>
      <c r="S17" s="18" t="n">
        <v>2.89273944</v>
      </c>
      <c r="T17" s="20" t="n">
        <v>0.70065076</v>
      </c>
    </row>
    <row r="18" spans="1:20">
      <c r="A18" s="15" t="s">
        <v>578</v>
      </c>
      <c r="B18" s="17" t="n">
        <v>2826</v>
      </c>
      <c r="C18" s="18">
        <f>(2202.0/B18*100)</f>
        <v/>
      </c>
      <c r="D18" s="19" t="n">
        <v>624</v>
      </c>
      <c r="E18" s="18" t="n">
        <v>83.36669291</v>
      </c>
      <c r="F18" s="20" t="n">
        <v>1.73302267</v>
      </c>
      <c r="G18" s="18" t="n">
        <v>7.15985138</v>
      </c>
      <c r="H18" s="20" t="n">
        <v>1.07527762</v>
      </c>
      <c r="I18" s="18" t="n">
        <v>5.99247687</v>
      </c>
      <c r="J18" s="20" t="n">
        <v>1.0145089</v>
      </c>
      <c r="K18" s="18" t="s">
        <v>567</v>
      </c>
      <c r="L18" s="20" t="s">
        <v>567</v>
      </c>
      <c r="M18" s="18" t="n">
        <v>0.20665302</v>
      </c>
      <c r="N18" s="20" t="n">
        <v>0.14973206</v>
      </c>
      <c r="O18" s="18" t="n">
        <v>0.33151393</v>
      </c>
      <c r="P18" s="20" t="n">
        <v>0.3119738</v>
      </c>
      <c r="Q18" s="18" t="n">
        <v>0</v>
      </c>
      <c r="R18" s="20" t="n">
        <v>0</v>
      </c>
      <c r="S18" s="18" t="n">
        <v>2.94281188</v>
      </c>
      <c r="T18" s="20" t="n">
        <v>0.84546635</v>
      </c>
    </row>
    <row r="19" spans="1:20">
      <c r="A19" s="15" t="s">
        <v>579</v>
      </c>
      <c r="B19" s="17" t="n">
        <v>2808</v>
      </c>
      <c r="C19" s="18">
        <f>(2217.0/B19*100)</f>
        <v/>
      </c>
      <c r="D19" s="19" t="n">
        <v>591</v>
      </c>
      <c r="E19" s="18" t="n">
        <v>82.44614979000001</v>
      </c>
      <c r="F19" s="20" t="n">
        <v>1.53698819</v>
      </c>
      <c r="G19" s="18" t="n">
        <v>8.509503179999999</v>
      </c>
      <c r="H19" s="20" t="n">
        <v>1.23323654</v>
      </c>
      <c r="I19" s="18" t="n">
        <v>7.51777162</v>
      </c>
      <c r="J19" s="20" t="n">
        <v>0.98331521</v>
      </c>
      <c r="K19" s="18" t="s">
        <v>567</v>
      </c>
      <c r="L19" s="20" t="s">
        <v>567</v>
      </c>
      <c r="M19" s="18" t="n">
        <v>0</v>
      </c>
      <c r="N19" s="20" t="n">
        <v>0</v>
      </c>
      <c r="O19" s="18" t="n">
        <v>0</v>
      </c>
      <c r="P19" s="20" t="n">
        <v>0</v>
      </c>
      <c r="Q19" s="18" t="n">
        <v>0</v>
      </c>
      <c r="R19" s="20" t="n">
        <v>0</v>
      </c>
      <c r="S19" s="18" t="n">
        <v>1.52657541</v>
      </c>
      <c r="T19" s="20" t="n">
        <v>0.58728665</v>
      </c>
    </row>
    <row r="20" spans="1:20">
      <c r="A20" s="15" t="s">
        <v>580</v>
      </c>
      <c r="B20" s="17" t="n">
        <v>1630</v>
      </c>
      <c r="C20" s="18">
        <f>(1268.0/B20*100)</f>
        <v/>
      </c>
      <c r="D20" s="19" t="n">
        <v>362</v>
      </c>
      <c r="E20" s="18" t="n">
        <v>75.1923425</v>
      </c>
      <c r="F20" s="20" t="n">
        <v>2.11399574</v>
      </c>
      <c r="G20" s="18" t="n">
        <v>12.577501</v>
      </c>
      <c r="H20" s="20" t="n">
        <v>1.68098954</v>
      </c>
      <c r="I20" s="18" t="n">
        <v>8.64530869</v>
      </c>
      <c r="J20" s="20" t="n">
        <v>1.51264653</v>
      </c>
      <c r="K20" s="18" t="s">
        <v>567</v>
      </c>
      <c r="L20" s="20" t="s">
        <v>567</v>
      </c>
      <c r="M20" s="18" t="n">
        <v>0.76412835</v>
      </c>
      <c r="N20" s="20" t="n">
        <v>0.43907207</v>
      </c>
      <c r="O20" s="18" t="n">
        <v>0.25146028</v>
      </c>
      <c r="P20" s="20" t="n">
        <v>0.25131458</v>
      </c>
      <c r="Q20" s="18" t="n">
        <v>0</v>
      </c>
      <c r="R20" s="20" t="n">
        <v>0</v>
      </c>
      <c r="S20" s="18" t="n">
        <v>2.56925919</v>
      </c>
      <c r="T20" s="20" t="n">
        <v>0.86888469</v>
      </c>
    </row>
    <row r="21" spans="1:20">
      <c r="A21" s="15" t="s">
        <v>581</v>
      </c>
      <c r="B21" s="17" t="n">
        <v>2908</v>
      </c>
      <c r="C21" s="18">
        <f>(2255.0/B21*100)</f>
        <v/>
      </c>
      <c r="D21" s="19" t="n">
        <v>653</v>
      </c>
      <c r="E21" s="18" t="n">
        <v>73.20226890000001</v>
      </c>
      <c r="F21" s="20" t="n">
        <v>1.914829</v>
      </c>
      <c r="G21" s="18" t="n">
        <v>11.75647017</v>
      </c>
      <c r="H21" s="20" t="n">
        <v>1.26625639</v>
      </c>
      <c r="I21" s="18" t="n">
        <v>11.93204327</v>
      </c>
      <c r="J21" s="20" t="n">
        <v>1.62048424</v>
      </c>
      <c r="K21" s="18" t="s">
        <v>567</v>
      </c>
      <c r="L21" s="20" t="s">
        <v>567</v>
      </c>
      <c r="M21" s="18" t="n">
        <v>0</v>
      </c>
      <c r="N21" s="20" t="n">
        <v>0</v>
      </c>
      <c r="O21" s="18" t="n">
        <v>0</v>
      </c>
      <c r="P21" s="20" t="n">
        <v>0</v>
      </c>
      <c r="Q21" s="18" t="n">
        <v>0</v>
      </c>
      <c r="R21" s="20" t="n">
        <v>0</v>
      </c>
      <c r="S21" s="18" t="n">
        <v>3.10921766</v>
      </c>
      <c r="T21" s="20" t="n">
        <v>0.73585294</v>
      </c>
    </row>
    <row r="22" spans="1:20">
      <c r="A22" s="15" t="s">
        <v>582</v>
      </c>
      <c r="B22" s="17" t="n">
        <v>2931</v>
      </c>
      <c r="C22" s="18">
        <f>(2300.0/B22*100)</f>
        <v/>
      </c>
      <c r="D22" s="19" t="n">
        <v>631</v>
      </c>
      <c r="E22" s="18" t="n">
        <v>74.53088935</v>
      </c>
      <c r="F22" s="20" t="n">
        <v>2.1643371</v>
      </c>
      <c r="G22" s="18" t="n">
        <v>8.27374202</v>
      </c>
      <c r="H22" s="20" t="n">
        <v>1.1428017</v>
      </c>
      <c r="I22" s="18" t="n">
        <v>12.22321089</v>
      </c>
      <c r="J22" s="20" t="n">
        <v>1.58869675</v>
      </c>
      <c r="K22" s="18" t="s">
        <v>567</v>
      </c>
      <c r="L22" s="20" t="s">
        <v>567</v>
      </c>
      <c r="M22" s="18" t="n">
        <v>0.35822867</v>
      </c>
      <c r="N22" s="20" t="n">
        <v>0.23519699</v>
      </c>
      <c r="O22" s="18" t="n">
        <v>0</v>
      </c>
      <c r="P22" s="20" t="n">
        <v>0</v>
      </c>
      <c r="Q22" s="18" t="n">
        <v>0</v>
      </c>
      <c r="R22" s="20" t="n">
        <v>0</v>
      </c>
      <c r="S22" s="18" t="n">
        <v>4.61392908</v>
      </c>
      <c r="T22" s="20" t="n">
        <v>1.13593668</v>
      </c>
    </row>
    <row r="23" spans="1:20">
      <c r="A23" s="15" t="s">
        <v>583</v>
      </c>
      <c r="B23" s="17" t="n">
        <v>5791</v>
      </c>
      <c r="C23" s="18">
        <f>(4482.0/B23*100)</f>
        <v/>
      </c>
      <c r="D23" s="19" t="n">
        <v>1309</v>
      </c>
      <c r="E23" s="18" t="n">
        <v>74.02221698</v>
      </c>
      <c r="F23" s="20" t="n">
        <v>1.54354502</v>
      </c>
      <c r="G23" s="18" t="n">
        <v>10.05701107</v>
      </c>
      <c r="H23" s="20" t="n">
        <v>1.27646135</v>
      </c>
      <c r="I23" s="18" t="n">
        <v>10.26973317</v>
      </c>
      <c r="J23" s="20" t="n">
        <v>1.06042082</v>
      </c>
      <c r="K23" s="18" t="s">
        <v>567</v>
      </c>
      <c r="L23" s="20" t="s">
        <v>567</v>
      </c>
      <c r="M23" s="18" t="n">
        <v>0.39782597</v>
      </c>
      <c r="N23" s="20" t="n">
        <v>0.08197450000000001</v>
      </c>
      <c r="O23" s="18" t="n">
        <v>0.05210293</v>
      </c>
      <c r="P23" s="20" t="n">
        <v>0.05224295</v>
      </c>
      <c r="Q23" s="18" t="n">
        <v>0</v>
      </c>
      <c r="R23" s="20" t="n">
        <v>0</v>
      </c>
      <c r="S23" s="18" t="n">
        <v>5.20110988</v>
      </c>
      <c r="T23" s="20" t="n">
        <v>0.8332777</v>
      </c>
    </row>
    <row r="24" spans="1:20">
      <c r="A24" s="15" t="s">
        <v>584</v>
      </c>
      <c r="B24" s="17" t="n">
        <v>3338</v>
      </c>
      <c r="C24" s="18">
        <f>(2608.0/B24*100)</f>
        <v/>
      </c>
      <c r="D24" s="19" t="n">
        <v>730</v>
      </c>
      <c r="E24" s="18" t="n">
        <v>67.82071495</v>
      </c>
      <c r="F24" s="20" t="n">
        <v>1.92358122</v>
      </c>
      <c r="G24" s="18" t="n">
        <v>9.58790325</v>
      </c>
      <c r="H24" s="20" t="n">
        <v>1.27333638</v>
      </c>
      <c r="I24" s="18" t="n">
        <v>20.18668619</v>
      </c>
      <c r="J24" s="20" t="n">
        <v>1.67111192</v>
      </c>
      <c r="K24" s="18" t="s">
        <v>567</v>
      </c>
      <c r="L24" s="20" t="s">
        <v>567</v>
      </c>
      <c r="M24" s="18" t="n">
        <v>0.13641729</v>
      </c>
      <c r="N24" s="20" t="n">
        <v>0.13580229</v>
      </c>
      <c r="O24" s="18" t="n">
        <v>0</v>
      </c>
      <c r="P24" s="20" t="n">
        <v>0</v>
      </c>
      <c r="Q24" s="18" t="n">
        <v>0</v>
      </c>
      <c r="R24" s="20" t="n">
        <v>0</v>
      </c>
      <c r="S24" s="18" t="n">
        <v>2.26827831</v>
      </c>
      <c r="T24" s="20" t="n">
        <v>0.55087741</v>
      </c>
    </row>
    <row r="25" spans="1:20">
      <c r="A25" s="15" t="s">
        <v>585</v>
      </c>
      <c r="B25" s="17" t="n">
        <v>2912</v>
      </c>
      <c r="C25" s="18">
        <f>(2282.0/B25*100)</f>
        <v/>
      </c>
      <c r="D25" s="19" t="n">
        <v>630</v>
      </c>
      <c r="E25" s="18" t="n">
        <v>80.25231512000001</v>
      </c>
      <c r="F25" s="20" t="n">
        <v>1.88166242</v>
      </c>
      <c r="G25" s="18" t="n">
        <v>7.21889661</v>
      </c>
      <c r="H25" s="20" t="n">
        <v>1.16268028</v>
      </c>
      <c r="I25" s="18" t="n">
        <v>10.93854533</v>
      </c>
      <c r="J25" s="20" t="n">
        <v>1.48777781</v>
      </c>
      <c r="K25" s="18" t="s">
        <v>567</v>
      </c>
      <c r="L25" s="20" t="s">
        <v>567</v>
      </c>
      <c r="M25" s="18" t="n">
        <v>0</v>
      </c>
      <c r="N25" s="20" t="n">
        <v>0</v>
      </c>
      <c r="O25" s="18" t="n">
        <v>0</v>
      </c>
      <c r="P25" s="20" t="n">
        <v>0</v>
      </c>
      <c r="Q25" s="18" t="n">
        <v>0</v>
      </c>
      <c r="R25" s="20" t="n">
        <v>0</v>
      </c>
      <c r="S25" s="18" t="n">
        <v>1.59024295</v>
      </c>
      <c r="T25" s="20" t="n">
        <v>0.55058121</v>
      </c>
    </row>
    <row r="26" spans="1:20">
      <c r="A26" s="15" t="s">
        <v>586</v>
      </c>
      <c r="B26" s="17" t="n">
        <v>2450</v>
      </c>
      <c r="C26" s="18">
        <f>(1922.0/B26*100)</f>
        <v/>
      </c>
      <c r="D26" s="19" t="n">
        <v>528</v>
      </c>
      <c r="E26" s="18" t="n">
        <v>81.64008423</v>
      </c>
      <c r="F26" s="20" t="n">
        <v>1.67708958</v>
      </c>
      <c r="G26" s="18" t="n">
        <v>9.96652078</v>
      </c>
      <c r="H26" s="20" t="n">
        <v>1.18646343</v>
      </c>
      <c r="I26" s="18" t="n">
        <v>6.37326734</v>
      </c>
      <c r="J26" s="20" t="n">
        <v>1.25778151</v>
      </c>
      <c r="K26" s="18" t="s">
        <v>567</v>
      </c>
      <c r="L26" s="20" t="s">
        <v>567</v>
      </c>
      <c r="M26" s="18" t="n">
        <v>0.15459406</v>
      </c>
      <c r="N26" s="20" t="n">
        <v>0.15476061</v>
      </c>
      <c r="O26" s="18" t="n">
        <v>0</v>
      </c>
      <c r="P26" s="20" t="n">
        <v>0</v>
      </c>
      <c r="Q26" s="18" t="n">
        <v>0</v>
      </c>
      <c r="R26" s="20" t="n">
        <v>0</v>
      </c>
      <c r="S26" s="18" t="n">
        <v>1.86553359</v>
      </c>
      <c r="T26" s="20" t="n">
        <v>0.5502413</v>
      </c>
    </row>
    <row r="27" spans="1:20">
      <c r="A27" s="15" t="s">
        <v>587</v>
      </c>
      <c r="B27" s="17" t="n">
        <v>2616</v>
      </c>
      <c r="C27" s="18">
        <f>(1991.0/B27*100)</f>
        <v/>
      </c>
      <c r="D27" s="19" t="n">
        <v>625</v>
      </c>
      <c r="E27" s="18" t="n">
        <v>78.82711397</v>
      </c>
      <c r="F27" s="20" t="n">
        <v>1.57023373</v>
      </c>
      <c r="G27" s="18" t="n">
        <v>7.01209842</v>
      </c>
      <c r="H27" s="20" t="n">
        <v>1.0450262</v>
      </c>
      <c r="I27" s="18" t="n">
        <v>9.015980450000001</v>
      </c>
      <c r="J27" s="20" t="n">
        <v>1.02037111</v>
      </c>
      <c r="K27" s="18" t="s">
        <v>567</v>
      </c>
      <c r="L27" s="20" t="s">
        <v>567</v>
      </c>
      <c r="M27" s="18" t="n">
        <v>0.49073251</v>
      </c>
      <c r="N27" s="20" t="n">
        <v>0.28324591</v>
      </c>
      <c r="O27" s="18" t="n">
        <v>0</v>
      </c>
      <c r="P27" s="20" t="n">
        <v>0</v>
      </c>
      <c r="Q27" s="18" t="n">
        <v>0</v>
      </c>
      <c r="R27" s="20" t="n">
        <v>0</v>
      </c>
      <c r="S27" s="18" t="n">
        <v>4.65407466</v>
      </c>
      <c r="T27" s="20" t="n">
        <v>0.84822893</v>
      </c>
    </row>
    <row r="28" spans="1:20">
      <c r="A28" s="15" t="s">
        <v>588</v>
      </c>
      <c r="B28" s="17" t="n">
        <v>3765</v>
      </c>
      <c r="C28" s="18">
        <f>(2989.0/B28*100)</f>
        <v/>
      </c>
      <c r="D28" s="19" t="n">
        <v>776</v>
      </c>
      <c r="E28" s="18" t="n">
        <v>88.06338504999999</v>
      </c>
      <c r="F28" s="20" t="n">
        <v>1.27089856</v>
      </c>
      <c r="G28" s="18" t="n">
        <v>5.43145203</v>
      </c>
      <c r="H28" s="20" t="n">
        <v>0.8704129900000001</v>
      </c>
      <c r="I28" s="18" t="n">
        <v>4.35992721</v>
      </c>
      <c r="J28" s="20" t="n">
        <v>0.7484255</v>
      </c>
      <c r="K28" s="18" t="s">
        <v>567</v>
      </c>
      <c r="L28" s="20" t="s">
        <v>567</v>
      </c>
      <c r="M28" s="18" t="n">
        <v>0.19267403</v>
      </c>
      <c r="N28" s="20" t="n">
        <v>0.14500868</v>
      </c>
      <c r="O28" s="18" t="n">
        <v>0.38074302</v>
      </c>
      <c r="P28" s="20" t="n">
        <v>0.28161916</v>
      </c>
      <c r="Q28" s="18" t="n">
        <v>0</v>
      </c>
      <c r="R28" s="20" t="n">
        <v>0</v>
      </c>
      <c r="S28" s="18" t="n">
        <v>1.57181866</v>
      </c>
      <c r="T28" s="20" t="n">
        <v>0.51016616</v>
      </c>
    </row>
    <row r="29" spans="1:20">
      <c r="A29" s="15" t="s">
        <v>589</v>
      </c>
      <c r="B29" s="17" t="n">
        <v>2685</v>
      </c>
      <c r="C29" s="18">
        <f>(2150.0/B29*100)</f>
        <v/>
      </c>
      <c r="D29" s="19" t="n">
        <v>535</v>
      </c>
      <c r="E29" s="18" t="n">
        <v>72.93326924</v>
      </c>
      <c r="F29" s="20" t="n">
        <v>2.11739709</v>
      </c>
      <c r="G29" s="18" t="n">
        <v>11.68132427</v>
      </c>
      <c r="H29" s="20" t="n">
        <v>1.65648684</v>
      </c>
      <c r="I29" s="18" t="n">
        <v>13.69457235</v>
      </c>
      <c r="J29" s="20" t="n">
        <v>1.67048134</v>
      </c>
      <c r="K29" s="18" t="s">
        <v>567</v>
      </c>
      <c r="L29" s="20" t="s">
        <v>567</v>
      </c>
      <c r="M29" s="18" t="n">
        <v>0.13821088</v>
      </c>
      <c r="N29" s="20" t="n">
        <v>0.18954404</v>
      </c>
      <c r="O29" s="18" t="n">
        <v>0.13770997</v>
      </c>
      <c r="P29" s="20" t="n">
        <v>0.13898027</v>
      </c>
      <c r="Q29" s="18" t="n">
        <v>0</v>
      </c>
      <c r="R29" s="20" t="n">
        <v>0</v>
      </c>
      <c r="S29" s="18" t="n">
        <v>1.41491329</v>
      </c>
      <c r="T29" s="20" t="n">
        <v>0.5625278</v>
      </c>
    </row>
    <row r="30" spans="1:20">
      <c r="A30" s="15" t="s">
        <v>590</v>
      </c>
      <c r="B30" s="17" t="n">
        <v>2263</v>
      </c>
      <c r="C30" s="18">
        <f>(1751.0/B30*100)</f>
        <v/>
      </c>
      <c r="D30" s="19" t="n">
        <v>512</v>
      </c>
      <c r="E30" s="18" t="n">
        <v>68.30047853000001</v>
      </c>
      <c r="F30" s="20" t="n">
        <v>1.83083935</v>
      </c>
      <c r="G30" s="18" t="n">
        <v>15.60089295</v>
      </c>
      <c r="H30" s="20" t="n">
        <v>1.85406522</v>
      </c>
      <c r="I30" s="18" t="n">
        <v>11.90107675</v>
      </c>
      <c r="J30" s="20" t="n">
        <v>1.42652176</v>
      </c>
      <c r="K30" s="18" t="s">
        <v>567</v>
      </c>
      <c r="L30" s="20" t="s">
        <v>567</v>
      </c>
      <c r="M30" s="18" t="n">
        <v>0.84347211</v>
      </c>
      <c r="N30" s="20" t="n">
        <v>0.44221956</v>
      </c>
      <c r="O30" s="18" t="n">
        <v>0</v>
      </c>
      <c r="P30" s="20" t="n">
        <v>0</v>
      </c>
      <c r="Q30" s="18" t="n">
        <v>0</v>
      </c>
      <c r="R30" s="20" t="n">
        <v>0</v>
      </c>
      <c r="S30" s="18" t="n">
        <v>3.35407966</v>
      </c>
      <c r="T30" s="20" t="n">
        <v>0.86560077</v>
      </c>
    </row>
    <row r="31" spans="1:20">
      <c r="A31" s="15" t="s">
        <v>591</v>
      </c>
      <c r="B31" s="17" t="n">
        <v>2750</v>
      </c>
      <c r="C31" s="18">
        <f>(2120.0/B31*100)</f>
        <v/>
      </c>
      <c r="D31" s="19" t="n">
        <v>630</v>
      </c>
      <c r="E31" s="18" t="n">
        <v>75.90543579</v>
      </c>
      <c r="F31" s="20" t="n">
        <v>1.61109226</v>
      </c>
      <c r="G31" s="18" t="n">
        <v>10.13302781</v>
      </c>
      <c r="H31" s="20" t="n">
        <v>1.29252606</v>
      </c>
      <c r="I31" s="18" t="n">
        <v>10.02131992</v>
      </c>
      <c r="J31" s="20" t="n">
        <v>1.31196684</v>
      </c>
      <c r="K31" s="18" t="s">
        <v>567</v>
      </c>
      <c r="L31" s="20" t="s">
        <v>567</v>
      </c>
      <c r="M31" s="18" t="n">
        <v>0.60223973</v>
      </c>
      <c r="N31" s="20" t="n">
        <v>0.29411478</v>
      </c>
      <c r="O31" s="18" t="n">
        <v>0</v>
      </c>
      <c r="P31" s="20" t="n">
        <v>0</v>
      </c>
      <c r="Q31" s="18" t="n">
        <v>0</v>
      </c>
      <c r="R31" s="20" t="n">
        <v>0</v>
      </c>
      <c r="S31" s="18" t="n">
        <v>3.33797675</v>
      </c>
      <c r="T31" s="20" t="n">
        <v>0.71310149</v>
      </c>
    </row>
    <row r="32" spans="1:20">
      <c r="A32" s="15" t="s">
        <v>592</v>
      </c>
      <c r="B32" s="17" t="n">
        <v>2269</v>
      </c>
      <c r="C32" s="18">
        <f>(1749.0/B32*100)</f>
        <v/>
      </c>
      <c r="D32" s="19" t="n">
        <v>520</v>
      </c>
      <c r="E32" s="18" t="n">
        <v>76.10191865</v>
      </c>
      <c r="F32" s="20" t="n">
        <v>2.01734198</v>
      </c>
      <c r="G32" s="18" t="n">
        <v>10.02526887</v>
      </c>
      <c r="H32" s="20" t="n">
        <v>1.29649916</v>
      </c>
      <c r="I32" s="18" t="n">
        <v>12.91105743</v>
      </c>
      <c r="J32" s="20" t="n">
        <v>1.50820242</v>
      </c>
      <c r="K32" s="18" t="s">
        <v>567</v>
      </c>
      <c r="L32" s="20" t="s">
        <v>567</v>
      </c>
      <c r="M32" s="18" t="n">
        <v>0</v>
      </c>
      <c r="N32" s="20" t="n">
        <v>0</v>
      </c>
      <c r="O32" s="18" t="n">
        <v>0</v>
      </c>
      <c r="P32" s="20" t="n">
        <v>0</v>
      </c>
      <c r="Q32" s="18" t="n">
        <v>0</v>
      </c>
      <c r="R32" s="20" t="n">
        <v>0</v>
      </c>
      <c r="S32" s="18" t="n">
        <v>0.96175504</v>
      </c>
      <c r="T32" s="20" t="n">
        <v>0.42933238</v>
      </c>
    </row>
    <row r="33" spans="1:20">
      <c r="A33" s="15" t="s">
        <v>593</v>
      </c>
      <c r="B33" s="17" t="n">
        <v>3674</v>
      </c>
      <c r="C33" s="18">
        <f>(2875.0/B33*100)</f>
        <v/>
      </c>
      <c r="D33" s="19" t="n">
        <v>799</v>
      </c>
      <c r="E33" s="18" t="n">
        <v>73.45577345</v>
      </c>
      <c r="F33" s="20" t="n">
        <v>1.60191082</v>
      </c>
      <c r="G33" s="18" t="n">
        <v>10.70610918</v>
      </c>
      <c r="H33" s="20" t="n">
        <v>1.1291737</v>
      </c>
      <c r="I33" s="18" t="n">
        <v>14.36546857</v>
      </c>
      <c r="J33" s="20" t="n">
        <v>1.3806654</v>
      </c>
      <c r="K33" s="18" t="s">
        <v>567</v>
      </c>
      <c r="L33" s="20" t="s">
        <v>567</v>
      </c>
      <c r="M33" s="18" t="n">
        <v>0.01828585</v>
      </c>
      <c r="N33" s="20" t="n">
        <v>0.01298091</v>
      </c>
      <c r="O33" s="18" t="n">
        <v>0.1550285</v>
      </c>
      <c r="P33" s="20" t="n">
        <v>0.15406112</v>
      </c>
      <c r="Q33" s="18" t="n">
        <v>0</v>
      </c>
      <c r="R33" s="20" t="n">
        <v>0</v>
      </c>
      <c r="S33" s="18" t="n">
        <v>1.29933444</v>
      </c>
      <c r="T33" s="20" t="n">
        <v>0.52363206</v>
      </c>
    </row>
    <row r="34" spans="1:20">
      <c r="A34" s="15" t="s">
        <v>594</v>
      </c>
      <c r="B34" s="17" t="n">
        <v>3315</v>
      </c>
      <c r="C34" s="18">
        <f>(2608.0/B34*100)</f>
        <v/>
      </c>
      <c r="D34" s="19" t="n">
        <v>707</v>
      </c>
      <c r="E34" s="18" t="n">
        <v>77.84036399</v>
      </c>
      <c r="F34" s="20" t="n">
        <v>1.588963</v>
      </c>
      <c r="G34" s="18" t="n">
        <v>9.181555230000001</v>
      </c>
      <c r="H34" s="20" t="n">
        <v>1.07197157</v>
      </c>
      <c r="I34" s="18" t="n">
        <v>10.22492726</v>
      </c>
      <c r="J34" s="20" t="n">
        <v>1.2982104</v>
      </c>
      <c r="K34" s="18" t="s">
        <v>567</v>
      </c>
      <c r="L34" s="20" t="s">
        <v>567</v>
      </c>
      <c r="M34" s="18" t="n">
        <v>0</v>
      </c>
      <c r="N34" s="20" t="n">
        <v>0</v>
      </c>
      <c r="O34" s="18" t="n">
        <v>0.20959064</v>
      </c>
      <c r="P34" s="20" t="n">
        <v>0.1535125</v>
      </c>
      <c r="Q34" s="18" t="n">
        <v>0</v>
      </c>
      <c r="R34" s="20" t="n">
        <v>0</v>
      </c>
      <c r="S34" s="18" t="n">
        <v>2.54356288</v>
      </c>
      <c r="T34" s="20" t="n">
        <v>0.53192826</v>
      </c>
    </row>
    <row r="35" spans="1:20">
      <c r="A35" s="15" t="s">
        <v>595</v>
      </c>
      <c r="B35" s="17" t="n">
        <v>3505</v>
      </c>
      <c r="C35" s="18">
        <f>(2727.0/B35*100)</f>
        <v/>
      </c>
      <c r="D35" s="19" t="n">
        <v>778</v>
      </c>
      <c r="E35" s="18" t="n">
        <v>67.86513454</v>
      </c>
      <c r="F35" s="20" t="n">
        <v>2.00492492</v>
      </c>
      <c r="G35" s="18" t="n">
        <v>13.51430796</v>
      </c>
      <c r="H35" s="20" t="n">
        <v>1.39922835</v>
      </c>
      <c r="I35" s="18" t="n">
        <v>14.75377477</v>
      </c>
      <c r="J35" s="20" t="n">
        <v>1.75577945</v>
      </c>
      <c r="K35" s="18" t="s">
        <v>567</v>
      </c>
      <c r="L35" s="20" t="s">
        <v>567</v>
      </c>
      <c r="M35" s="18" t="n">
        <v>0.16812585</v>
      </c>
      <c r="N35" s="20" t="n">
        <v>0.09741134</v>
      </c>
      <c r="O35" s="18" t="n">
        <v>0.46621947</v>
      </c>
      <c r="P35" s="20" t="n">
        <v>0.3313462</v>
      </c>
      <c r="Q35" s="18" t="n">
        <v>0</v>
      </c>
      <c r="R35" s="20" t="n">
        <v>0</v>
      </c>
      <c r="S35" s="18" t="n">
        <v>3.23243741</v>
      </c>
      <c r="T35" s="20" t="n">
        <v>0.60688924</v>
      </c>
    </row>
    <row r="36" spans="1:20">
      <c r="A36" s="15" t="s">
        <v>596</v>
      </c>
      <c r="B36" s="17" t="n">
        <v>3332</v>
      </c>
      <c r="C36" s="18">
        <f>(2640.0/B36*100)</f>
        <v/>
      </c>
      <c r="D36" s="19" t="n">
        <v>692</v>
      </c>
      <c r="E36" s="18" t="n">
        <v>75.1232251</v>
      </c>
      <c r="F36" s="20" t="n">
        <v>1.69841594</v>
      </c>
      <c r="G36" s="18" t="n">
        <v>10.32933783</v>
      </c>
      <c r="H36" s="20" t="n">
        <v>1.13979775</v>
      </c>
      <c r="I36" s="18" t="n">
        <v>9.8844604</v>
      </c>
      <c r="J36" s="20" t="n">
        <v>1.00284703</v>
      </c>
      <c r="K36" s="18" t="s">
        <v>567</v>
      </c>
      <c r="L36" s="20" t="s">
        <v>567</v>
      </c>
      <c r="M36" s="18" t="n">
        <v>0.37900592</v>
      </c>
      <c r="N36" s="20" t="n">
        <v>0.27211384</v>
      </c>
      <c r="O36" s="18" t="n">
        <v>0.13766335</v>
      </c>
      <c r="P36" s="20" t="n">
        <v>0.13849171</v>
      </c>
      <c r="Q36" s="18" t="n">
        <v>0</v>
      </c>
      <c r="R36" s="20" t="n">
        <v>0</v>
      </c>
      <c r="S36" s="18" t="n">
        <v>4.1463074</v>
      </c>
      <c r="T36" s="20" t="n">
        <v>0.79103641</v>
      </c>
    </row>
    <row r="37" spans="1:20">
      <c r="A37" s="15" t="s">
        <v>597</v>
      </c>
      <c r="B37" s="17" t="n">
        <v>2727</v>
      </c>
      <c r="C37" s="18">
        <f>(2152.0/B37*100)</f>
        <v/>
      </c>
      <c r="D37" s="19" t="n">
        <v>575</v>
      </c>
      <c r="E37" s="18" t="n">
        <v>70.76940333</v>
      </c>
      <c r="F37" s="20" t="n">
        <v>2.07528878</v>
      </c>
      <c r="G37" s="18" t="n">
        <v>10.08904273</v>
      </c>
      <c r="H37" s="20" t="n">
        <v>1.34391149</v>
      </c>
      <c r="I37" s="18" t="n">
        <v>13.79139996</v>
      </c>
      <c r="J37" s="20" t="n">
        <v>1.60888136</v>
      </c>
      <c r="K37" s="18" t="s">
        <v>567</v>
      </c>
      <c r="L37" s="20" t="s">
        <v>567</v>
      </c>
      <c r="M37" s="18" t="n">
        <v>0.31768435</v>
      </c>
      <c r="N37" s="20" t="n">
        <v>0.2709264</v>
      </c>
      <c r="O37" s="18" t="n">
        <v>0</v>
      </c>
      <c r="P37" s="20" t="n">
        <v>0</v>
      </c>
      <c r="Q37" s="18" t="n">
        <v>0</v>
      </c>
      <c r="R37" s="20" t="n">
        <v>0</v>
      </c>
      <c r="S37" s="18" t="n">
        <v>5.03246963</v>
      </c>
      <c r="T37" s="20" t="n">
        <v>0.99767499</v>
      </c>
    </row>
    <row r="38" spans="1:20">
      <c r="A38" s="15" t="s">
        <v>598</v>
      </c>
      <c r="B38" s="17" t="n">
        <v>3053</v>
      </c>
      <c r="C38" s="18">
        <f>(2405.0/B38*100)</f>
        <v/>
      </c>
      <c r="D38" s="19" t="n">
        <v>648</v>
      </c>
      <c r="E38" s="18" t="n">
        <v>71.38934501</v>
      </c>
      <c r="F38" s="20" t="n">
        <v>1.83198686</v>
      </c>
      <c r="G38" s="18" t="n">
        <v>11.50059451</v>
      </c>
      <c r="H38" s="20" t="n">
        <v>1.48232356</v>
      </c>
      <c r="I38" s="18" t="n">
        <v>12.34695952</v>
      </c>
      <c r="J38" s="20" t="n">
        <v>1.31402448</v>
      </c>
      <c r="K38" s="18" t="s">
        <v>567</v>
      </c>
      <c r="L38" s="20" t="s">
        <v>567</v>
      </c>
      <c r="M38" s="18" t="n">
        <v>0.19177042</v>
      </c>
      <c r="N38" s="20" t="n">
        <v>0.18768124</v>
      </c>
      <c r="O38" s="18" t="n">
        <v>1.81550932</v>
      </c>
      <c r="P38" s="20" t="n">
        <v>0.58305576</v>
      </c>
      <c r="Q38" s="18" t="n">
        <v>0</v>
      </c>
      <c r="R38" s="20" t="n">
        <v>0</v>
      </c>
      <c r="S38" s="18" t="n">
        <v>2.75582123</v>
      </c>
      <c r="T38" s="20" t="n">
        <v>0.81996192</v>
      </c>
    </row>
    <row r="39" spans="1:20">
      <c r="A39" s="15" t="s">
        <v>599</v>
      </c>
      <c r="B39" s="17" t="n">
        <v>2957</v>
      </c>
      <c r="C39" s="18">
        <f>(2319.0/B39*100)</f>
        <v/>
      </c>
      <c r="D39" s="19" t="n">
        <v>638</v>
      </c>
      <c r="E39" s="18" t="n">
        <v>91.13978148</v>
      </c>
      <c r="F39" s="20" t="n">
        <v>1.22559285</v>
      </c>
      <c r="G39" s="18" t="n">
        <v>2.99990052</v>
      </c>
      <c r="H39" s="20" t="n">
        <v>0.64646237</v>
      </c>
      <c r="I39" s="18" t="n">
        <v>2.69314503</v>
      </c>
      <c r="J39" s="20" t="n">
        <v>0.83073409</v>
      </c>
      <c r="K39" s="18" t="s">
        <v>567</v>
      </c>
      <c r="L39" s="20" t="s">
        <v>567</v>
      </c>
      <c r="M39" s="18" t="n">
        <v>0.78974668</v>
      </c>
      <c r="N39" s="20" t="n">
        <v>0.30576391</v>
      </c>
      <c r="O39" s="18" t="n">
        <v>0</v>
      </c>
      <c r="P39" s="20" t="n">
        <v>0</v>
      </c>
      <c r="Q39" s="18" t="n">
        <v>0</v>
      </c>
      <c r="R39" s="20" t="n">
        <v>0</v>
      </c>
      <c r="S39" s="18" t="n">
        <v>2.37742629</v>
      </c>
      <c r="T39" s="20" t="n">
        <v>0.66477843</v>
      </c>
    </row>
    <row r="40" spans="1:20">
      <c r="A40" s="15" t="s">
        <v>600</v>
      </c>
      <c r="B40" s="17" t="n">
        <v>7235</v>
      </c>
      <c r="C40" s="18">
        <f>(5651.0/B40*100)</f>
        <v/>
      </c>
      <c r="D40" s="19" t="n">
        <v>1584</v>
      </c>
      <c r="E40" s="18" t="n">
        <v>67.33144642000001</v>
      </c>
      <c r="F40" s="20" t="n">
        <v>1.46533005</v>
      </c>
      <c r="G40" s="18" t="n">
        <v>14.36072087</v>
      </c>
      <c r="H40" s="20" t="n">
        <v>1.22770386</v>
      </c>
      <c r="I40" s="18" t="n">
        <v>15.51816019</v>
      </c>
      <c r="J40" s="20" t="n">
        <v>1.57268562</v>
      </c>
      <c r="K40" s="18" t="s">
        <v>567</v>
      </c>
      <c r="L40" s="20" t="s">
        <v>567</v>
      </c>
      <c r="M40" s="18" t="n">
        <v>0.09574605999999999</v>
      </c>
      <c r="N40" s="20" t="n">
        <v>0.05161461</v>
      </c>
      <c r="O40" s="18" t="n">
        <v>0.05188938</v>
      </c>
      <c r="P40" s="20" t="n">
        <v>0.04950226</v>
      </c>
      <c r="Q40" s="18" t="n">
        <v>0</v>
      </c>
      <c r="R40" s="20" t="n">
        <v>0</v>
      </c>
      <c r="S40" s="18" t="n">
        <v>2.64203707</v>
      </c>
      <c r="T40" s="20" t="n">
        <v>0.53889585</v>
      </c>
    </row>
    <row r="41" spans="1:20">
      <c r="A41" s="15" t="s">
        <v>601</v>
      </c>
      <c r="B41" s="17" t="n">
        <v>2858</v>
      </c>
      <c r="C41" s="18">
        <f>(2272.0/B41*100)</f>
        <v/>
      </c>
      <c r="D41" s="19" t="n">
        <v>586</v>
      </c>
      <c r="E41" s="18" t="n">
        <v>72.54194749</v>
      </c>
      <c r="F41" s="20" t="n">
        <v>2.18144433</v>
      </c>
      <c r="G41" s="18" t="n">
        <v>12.26959133</v>
      </c>
      <c r="H41" s="20" t="n">
        <v>1.65665619</v>
      </c>
      <c r="I41" s="18" t="n">
        <v>14.73960322</v>
      </c>
      <c r="J41" s="20" t="n">
        <v>1.79948922</v>
      </c>
      <c r="K41" s="18" t="s">
        <v>567</v>
      </c>
      <c r="L41" s="20" t="s">
        <v>567</v>
      </c>
      <c r="M41" s="18" t="n">
        <v>0</v>
      </c>
      <c r="N41" s="20" t="n">
        <v>0</v>
      </c>
      <c r="O41" s="18" t="n">
        <v>0</v>
      </c>
      <c r="P41" s="20" t="n">
        <v>0</v>
      </c>
      <c r="Q41" s="18" t="n">
        <v>0</v>
      </c>
      <c r="R41" s="20" t="n">
        <v>0</v>
      </c>
      <c r="S41" s="18" t="n">
        <v>0.44885797</v>
      </c>
      <c r="T41" s="20" t="n">
        <v>0.25025324</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11068</v>
      </c>
      <c r="C46" s="18">
        <f>(9022.0/B46*100)</f>
        <v/>
      </c>
      <c r="D46" s="19" t="n">
        <v>2046</v>
      </c>
      <c r="E46" s="18" t="n">
        <v>84.02223306</v>
      </c>
      <c r="F46" s="20" t="n">
        <v>1.03763405</v>
      </c>
      <c r="G46" s="18" t="n">
        <v>5.85733823</v>
      </c>
      <c r="H46" s="20" t="n">
        <v>0.71820815</v>
      </c>
      <c r="I46" s="18" t="n">
        <v>2.58133625</v>
      </c>
      <c r="J46" s="20" t="n">
        <v>0.5071071</v>
      </c>
      <c r="K46" s="18" t="s">
        <v>567</v>
      </c>
      <c r="L46" s="20" t="s">
        <v>567</v>
      </c>
      <c r="M46" s="18" t="n">
        <v>1.40252545</v>
      </c>
      <c r="N46" s="20" t="n">
        <v>0.35826501</v>
      </c>
      <c r="O46" s="18" t="n">
        <v>0.67821504</v>
      </c>
      <c r="P46" s="20" t="n">
        <v>0.20494103</v>
      </c>
      <c r="Q46" s="18" t="n">
        <v>0</v>
      </c>
      <c r="R46" s="20" t="n">
        <v>0</v>
      </c>
      <c r="S46" s="18" t="n">
        <v>5.45835197</v>
      </c>
      <c r="T46" s="20" t="n">
        <v>0.7125218</v>
      </c>
    </row>
    <row r="47" spans="1:20">
      <c r="A47" s="15" t="s">
        <v>607</v>
      </c>
      <c r="B47" s="17" t="n">
        <v>3105</v>
      </c>
      <c r="C47" s="18">
        <f>(2473.0/B47*100)</f>
        <v/>
      </c>
      <c r="D47" s="19" t="n">
        <v>632</v>
      </c>
      <c r="E47" s="18" t="n">
        <v>83.08133529</v>
      </c>
      <c r="F47" s="20" t="n">
        <v>1.66380755</v>
      </c>
      <c r="G47" s="18" t="n">
        <v>6.92907345</v>
      </c>
      <c r="H47" s="20" t="n">
        <v>1.07389231</v>
      </c>
      <c r="I47" s="18" t="n">
        <v>4.44827834</v>
      </c>
      <c r="J47" s="20" t="n">
        <v>0.79675261</v>
      </c>
      <c r="K47" s="18" t="s">
        <v>567</v>
      </c>
      <c r="L47" s="20" t="s">
        <v>567</v>
      </c>
      <c r="M47" s="18" t="n">
        <v>0.77121887</v>
      </c>
      <c r="N47" s="20" t="n">
        <v>0.35879243</v>
      </c>
      <c r="O47" s="18" t="n">
        <v>0</v>
      </c>
      <c r="P47" s="20" t="n">
        <v>0</v>
      </c>
      <c r="Q47" s="18" t="n">
        <v>0</v>
      </c>
      <c r="R47" s="20" t="n">
        <v>0</v>
      </c>
      <c r="S47" s="18" t="n">
        <v>4.77009404</v>
      </c>
      <c r="T47" s="20" t="n">
        <v>1.02513758</v>
      </c>
    </row>
    <row r="48" spans="1:20">
      <c r="A48" s="15" t="s">
        <v>608</v>
      </c>
      <c r="B48" s="17" t="n">
        <v>5159</v>
      </c>
      <c r="C48" s="18">
        <f>(4027.0/B48*100)</f>
        <v/>
      </c>
      <c r="D48" s="19" t="n">
        <v>1132</v>
      </c>
      <c r="E48" s="18" t="n">
        <v>71.01854851</v>
      </c>
      <c r="F48" s="20" t="n">
        <v>1.87613171</v>
      </c>
      <c r="G48" s="18" t="n">
        <v>9.91068128</v>
      </c>
      <c r="H48" s="20" t="n">
        <v>0.98887355</v>
      </c>
      <c r="I48" s="18" t="n">
        <v>17.7792041</v>
      </c>
      <c r="J48" s="20" t="n">
        <v>1.5602939</v>
      </c>
      <c r="K48" s="18" t="s">
        <v>567</v>
      </c>
      <c r="L48" s="20" t="s">
        <v>567</v>
      </c>
      <c r="M48" s="18" t="n">
        <v>0.56661569</v>
      </c>
      <c r="N48" s="20" t="n">
        <v>0.27669875</v>
      </c>
      <c r="O48" s="18" t="n">
        <v>0</v>
      </c>
      <c r="P48" s="20" t="n">
        <v>0</v>
      </c>
      <c r="Q48" s="18" t="n">
        <v>0</v>
      </c>
      <c r="R48" s="20" t="n">
        <v>0</v>
      </c>
      <c r="S48" s="18" t="n">
        <v>0.72495043</v>
      </c>
      <c r="T48" s="20" t="n">
        <v>0.32790161</v>
      </c>
    </row>
    <row r="49" spans="1:20">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5637</v>
      </c>
      <c r="C50" s="18">
        <f>(4449.0/B50*100)</f>
        <v/>
      </c>
      <c r="D50" s="19" t="n">
        <v>1188</v>
      </c>
      <c r="E50" s="18" t="n">
        <v>90.41465819</v>
      </c>
      <c r="F50" s="20" t="n">
        <v>1.28923792</v>
      </c>
      <c r="G50" s="18" t="n">
        <v>0.41216866</v>
      </c>
      <c r="H50" s="20" t="n">
        <v>0.15972327</v>
      </c>
      <c r="I50" s="18" t="n">
        <v>3.71703119</v>
      </c>
      <c r="J50" s="20" t="n">
        <v>0.64301683</v>
      </c>
      <c r="K50" s="18" t="s">
        <v>567</v>
      </c>
      <c r="L50" s="20" t="s">
        <v>567</v>
      </c>
      <c r="M50" s="18" t="n">
        <v>1.54431633</v>
      </c>
      <c r="N50" s="20" t="n">
        <v>0.48066798</v>
      </c>
      <c r="O50" s="18" t="n">
        <v>0.27344155</v>
      </c>
      <c r="P50" s="20" t="n">
        <v>0.1810549</v>
      </c>
      <c r="Q50" s="18" t="n">
        <v>0</v>
      </c>
      <c r="R50" s="20" t="n">
        <v>0</v>
      </c>
      <c r="S50" s="18" t="n">
        <v>3.63838408</v>
      </c>
      <c r="T50" s="20" t="n">
        <v>0.99037956</v>
      </c>
    </row>
    <row r="51" spans="1:20">
      <c r="A51" s="15" t="s">
        <v>611</v>
      </c>
      <c r="B51" s="17" t="n">
        <v>3372</v>
      </c>
      <c r="C51" s="18">
        <f>(2766.0/B51*100)</f>
        <v/>
      </c>
      <c r="D51" s="19" t="n">
        <v>606</v>
      </c>
      <c r="E51" s="18" t="n">
        <v>87.5772566</v>
      </c>
      <c r="F51" s="20" t="n">
        <v>1.33636835</v>
      </c>
      <c r="G51" s="18" t="n">
        <v>5.0580064</v>
      </c>
      <c r="H51" s="20" t="n">
        <v>0.85939365</v>
      </c>
      <c r="I51" s="18" t="n">
        <v>3.11124554</v>
      </c>
      <c r="J51" s="20" t="n">
        <v>0.77029632</v>
      </c>
      <c r="K51" s="18" t="s">
        <v>567</v>
      </c>
      <c r="L51" s="20" t="s">
        <v>567</v>
      </c>
      <c r="M51" s="18" t="n">
        <v>0.55807861</v>
      </c>
      <c r="N51" s="20" t="n">
        <v>0.30796442</v>
      </c>
      <c r="O51" s="18" t="n">
        <v>0</v>
      </c>
      <c r="P51" s="20" t="n">
        <v>0</v>
      </c>
      <c r="Q51" s="18" t="n">
        <v>0</v>
      </c>
      <c r="R51" s="20" t="n">
        <v>0</v>
      </c>
      <c r="S51" s="18" t="n">
        <v>3.69541284</v>
      </c>
      <c r="T51" s="20" t="n">
        <v>0.95639547</v>
      </c>
    </row>
    <row r="52" spans="1:20">
      <c r="A52" s="15" t="s">
        <v>612</v>
      </c>
      <c r="B52" s="17" t="n">
        <v>2796</v>
      </c>
      <c r="C52" s="18">
        <f>(2145.0/B52*100)</f>
        <v/>
      </c>
      <c r="D52" s="19" t="n">
        <v>651</v>
      </c>
      <c r="E52" s="18" t="n">
        <v>74.92457711</v>
      </c>
      <c r="F52" s="20" t="n">
        <v>1.75315324</v>
      </c>
      <c r="G52" s="18" t="n">
        <v>11.04774112</v>
      </c>
      <c r="H52" s="20" t="n">
        <v>1.24937313</v>
      </c>
      <c r="I52" s="18" t="n">
        <v>10.13979109</v>
      </c>
      <c r="J52" s="20" t="n">
        <v>1.07388747</v>
      </c>
      <c r="K52" s="18" t="s">
        <v>567</v>
      </c>
      <c r="L52" s="20" t="s">
        <v>567</v>
      </c>
      <c r="M52" s="18" t="n">
        <v>0.27583432</v>
      </c>
      <c r="N52" s="20" t="n">
        <v>0.19401582</v>
      </c>
      <c r="O52" s="18" t="n">
        <v>0</v>
      </c>
      <c r="P52" s="20" t="n">
        <v>0</v>
      </c>
      <c r="Q52" s="18" t="n">
        <v>0</v>
      </c>
      <c r="R52" s="20" t="n">
        <v>0</v>
      </c>
      <c r="S52" s="18" t="n">
        <v>3.61205636</v>
      </c>
      <c r="T52" s="20" t="n">
        <v>0.78362407</v>
      </c>
    </row>
    <row r="53" spans="1:20">
      <c r="A53" s="15" t="s">
        <v>613</v>
      </c>
      <c r="B53" s="17" t="n">
        <v>2811</v>
      </c>
      <c r="C53" s="18">
        <f>(2213.0/B53*100)</f>
        <v/>
      </c>
      <c r="D53" s="19" t="n">
        <v>598</v>
      </c>
      <c r="E53" s="18" t="n">
        <v>85.38475878</v>
      </c>
      <c r="F53" s="20" t="n">
        <v>1.53042902</v>
      </c>
      <c r="G53" s="18" t="n">
        <v>5.41911926</v>
      </c>
      <c r="H53" s="20" t="n">
        <v>0.92186064</v>
      </c>
      <c r="I53" s="18" t="n">
        <v>5.30413846</v>
      </c>
      <c r="J53" s="20" t="n">
        <v>0.91464969</v>
      </c>
      <c r="K53" s="18" t="s">
        <v>567</v>
      </c>
      <c r="L53" s="20" t="s">
        <v>567</v>
      </c>
      <c r="M53" s="18" t="n">
        <v>0.32825585</v>
      </c>
      <c r="N53" s="20" t="n">
        <v>0.24002273</v>
      </c>
      <c r="O53" s="18" t="n">
        <v>0</v>
      </c>
      <c r="P53" s="20" t="n">
        <v>0</v>
      </c>
      <c r="Q53" s="18" t="n">
        <v>0</v>
      </c>
      <c r="R53" s="20" t="n">
        <v>0</v>
      </c>
      <c r="S53" s="18" t="n">
        <v>3.56372765</v>
      </c>
      <c r="T53" s="20" t="n">
        <v>0.80484183</v>
      </c>
    </row>
    <row r="54" spans="1:20">
      <c r="A54" s="15" t="s">
        <v>614</v>
      </c>
      <c r="B54" s="17" t="n">
        <v>2266</v>
      </c>
      <c r="C54" s="18">
        <f>(1741.0/B54*100)</f>
        <v/>
      </c>
      <c r="D54" s="19" t="n">
        <v>525</v>
      </c>
      <c r="E54" s="18" t="n">
        <v>84.08165533</v>
      </c>
      <c r="F54" s="20" t="n">
        <v>1.65610494</v>
      </c>
      <c r="G54" s="18" t="n">
        <v>0.49745655</v>
      </c>
      <c r="H54" s="20" t="n">
        <v>0.31810114</v>
      </c>
      <c r="I54" s="18" t="n">
        <v>0.59445056</v>
      </c>
      <c r="J54" s="20" t="n">
        <v>0.34951699</v>
      </c>
      <c r="K54" s="18" t="s">
        <v>567</v>
      </c>
      <c r="L54" s="20" t="s">
        <v>567</v>
      </c>
      <c r="M54" s="18" t="n">
        <v>9.195243100000001</v>
      </c>
      <c r="N54" s="20" t="n">
        <v>1.54118046</v>
      </c>
      <c r="O54" s="18" t="n">
        <v>0.35803522</v>
      </c>
      <c r="P54" s="20" t="n">
        <v>0.24924428</v>
      </c>
      <c r="Q54" s="18" t="n">
        <v>0</v>
      </c>
      <c r="R54" s="20" t="n">
        <v>0</v>
      </c>
      <c r="S54" s="18" t="n">
        <v>5.27315924</v>
      </c>
      <c r="T54" s="20" t="n">
        <v>1.02953537</v>
      </c>
    </row>
    <row r="55" spans="1:20">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2684</v>
      </c>
      <c r="C56" s="18">
        <f>(2065.0/B56*100)</f>
        <v/>
      </c>
      <c r="D56" s="19" t="n">
        <v>619</v>
      </c>
      <c r="E56" s="18" t="n">
        <v>74.99539398</v>
      </c>
      <c r="F56" s="20" t="n">
        <v>2.02990792</v>
      </c>
      <c r="G56" s="18" t="n">
        <v>12.83625782</v>
      </c>
      <c r="H56" s="20" t="n">
        <v>1.42653276</v>
      </c>
      <c r="I56" s="18" t="n">
        <v>10.83441397</v>
      </c>
      <c r="J56" s="20" t="n">
        <v>1.33229202</v>
      </c>
      <c r="K56" s="18" t="s">
        <v>567</v>
      </c>
      <c r="L56" s="20" t="s">
        <v>567</v>
      </c>
      <c r="M56" s="18" t="n">
        <v>0</v>
      </c>
      <c r="N56" s="20" t="n">
        <v>0</v>
      </c>
      <c r="O56" s="18" t="n">
        <v>0</v>
      </c>
      <c r="P56" s="20" t="n">
        <v>0</v>
      </c>
      <c r="Q56" s="18" t="n">
        <v>0</v>
      </c>
      <c r="R56" s="20" t="n">
        <v>0</v>
      </c>
      <c r="S56" s="18" t="n">
        <v>1.33393424</v>
      </c>
      <c r="T56" s="20" t="n">
        <v>0.57236569</v>
      </c>
    </row>
    <row r="57" spans="1:20">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3324</v>
      </c>
      <c r="C61" s="18">
        <f>(2593.0/B61*100)</f>
        <v/>
      </c>
      <c r="D61" s="19" t="n">
        <v>731</v>
      </c>
      <c r="E61" s="18" t="n">
        <v>82.60662206000001</v>
      </c>
      <c r="F61" s="20" t="n">
        <v>1.43269662</v>
      </c>
      <c r="G61" s="18" t="n">
        <v>7.95257302</v>
      </c>
      <c r="H61" s="20" t="n">
        <v>0.95820969</v>
      </c>
      <c r="I61" s="18" t="n">
        <v>7.97521729</v>
      </c>
      <c r="J61" s="20" t="n">
        <v>1.17214975</v>
      </c>
      <c r="K61" s="18" t="s">
        <v>567</v>
      </c>
      <c r="L61" s="20" t="s">
        <v>567</v>
      </c>
      <c r="M61" s="18" t="n">
        <v>0</v>
      </c>
      <c r="N61" s="20" t="n">
        <v>0</v>
      </c>
      <c r="O61" s="18" t="n">
        <v>0</v>
      </c>
      <c r="P61" s="20" t="n">
        <v>0</v>
      </c>
      <c r="Q61" s="18" t="n">
        <v>0</v>
      </c>
      <c r="R61" s="20" t="n">
        <v>0</v>
      </c>
      <c r="S61" s="18" t="n">
        <v>1.46558763</v>
      </c>
      <c r="T61" s="20" t="n">
        <v>0.39914373</v>
      </c>
    </row>
    <row r="62" spans="1:20">
      <c r="A62" s="15" t="s">
        <v>622</v>
      </c>
      <c r="B62" s="17" t="n">
        <v>2246</v>
      </c>
      <c r="C62" s="18">
        <f>(1790.0/B62*100)</f>
        <v/>
      </c>
      <c r="D62" s="19" t="n">
        <v>456</v>
      </c>
      <c r="E62" s="18" t="n">
        <v>74.16157411</v>
      </c>
      <c r="F62" s="20" t="n">
        <v>1.84205469</v>
      </c>
      <c r="G62" s="18" t="n">
        <v>9.2023235</v>
      </c>
      <c r="H62" s="20" t="n">
        <v>1.30448405</v>
      </c>
      <c r="I62" s="18" t="n">
        <v>16.63610238</v>
      </c>
      <c r="J62" s="20" t="n">
        <v>1.71000433</v>
      </c>
      <c r="K62" s="18" t="s">
        <v>567</v>
      </c>
      <c r="L62" s="20" t="s">
        <v>567</v>
      </c>
      <c r="M62" s="18" t="n">
        <v>0</v>
      </c>
      <c r="N62" s="20" t="n">
        <v>0</v>
      </c>
      <c r="O62" s="18" t="n">
        <v>0</v>
      </c>
      <c r="P62" s="20" t="n">
        <v>0</v>
      </c>
      <c r="Q62" s="18" t="n">
        <v>0</v>
      </c>
      <c r="R62" s="20" t="n">
        <v>0</v>
      </c>
      <c r="S62" s="18" t="n">
        <v>0</v>
      </c>
      <c r="T62" s="20" t="n">
        <v>0</v>
      </c>
    </row>
    <row r="63" spans="1:20">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2894</v>
      </c>
      <c r="C66" s="18">
        <f>(2244.0/B66*100)</f>
        <v/>
      </c>
      <c r="D66" s="19" t="n">
        <v>650</v>
      </c>
      <c r="E66" s="18" t="n">
        <v>81.93378672</v>
      </c>
      <c r="F66" s="20" t="n">
        <v>1.56317669</v>
      </c>
      <c r="G66" s="18" t="n">
        <v>4.6666848</v>
      </c>
      <c r="H66" s="20" t="n">
        <v>0.93458749</v>
      </c>
      <c r="I66" s="18" t="n">
        <v>1.89072227</v>
      </c>
      <c r="J66" s="20" t="n">
        <v>0.58311095</v>
      </c>
      <c r="K66" s="18" t="s">
        <v>567</v>
      </c>
      <c r="L66" s="20" t="s">
        <v>567</v>
      </c>
      <c r="M66" s="18" t="n">
        <v>0.75103853</v>
      </c>
      <c r="N66" s="20" t="n">
        <v>0.3355743</v>
      </c>
      <c r="O66" s="18" t="n">
        <v>0.29161671</v>
      </c>
      <c r="P66" s="20" t="n">
        <v>0.2056768</v>
      </c>
      <c r="Q66" s="18" t="n">
        <v>0</v>
      </c>
      <c r="R66" s="20" t="n">
        <v>0</v>
      </c>
      <c r="S66" s="18" t="n">
        <v>10.46615096</v>
      </c>
      <c r="T66" s="20" t="n">
        <v>1.07231946</v>
      </c>
    </row>
    <row r="67" spans="1:20">
      <c r="A67" s="15" t="s">
        <v>627</v>
      </c>
      <c r="B67" s="17" t="n">
        <v>3511</v>
      </c>
      <c r="C67" s="18">
        <f>(2810.0/B67*100)</f>
        <v/>
      </c>
      <c r="D67" s="19" t="n">
        <v>701</v>
      </c>
      <c r="E67" s="18" t="n">
        <v>92.12701767</v>
      </c>
      <c r="F67" s="20" t="n">
        <v>1.13549363</v>
      </c>
      <c r="G67" s="18" t="n">
        <v>2.80531801</v>
      </c>
      <c r="H67" s="20" t="n">
        <v>0.77935956</v>
      </c>
      <c r="I67" s="18" t="n">
        <v>1.93060389</v>
      </c>
      <c r="J67" s="20" t="n">
        <v>0.56326027</v>
      </c>
      <c r="K67" s="18" t="s">
        <v>567</v>
      </c>
      <c r="L67" s="20" t="s">
        <v>567</v>
      </c>
      <c r="M67" s="18" t="n">
        <v>0.27402346</v>
      </c>
      <c r="N67" s="20" t="n">
        <v>0.20175423</v>
      </c>
      <c r="O67" s="18" t="n">
        <v>0.32252763</v>
      </c>
      <c r="P67" s="20" t="n">
        <v>0.18676112</v>
      </c>
      <c r="Q67" s="18" t="n">
        <v>0</v>
      </c>
      <c r="R67" s="20" t="n">
        <v>0</v>
      </c>
      <c r="S67" s="18" t="n">
        <v>2.54050934</v>
      </c>
      <c r="T67" s="20" t="n">
        <v>0.620393</v>
      </c>
    </row>
    <row r="68" spans="1:20">
      <c r="A68" s="15" t="s">
        <v>628</v>
      </c>
      <c r="B68" s="17" t="n">
        <v>6049</v>
      </c>
      <c r="C68" s="18">
        <f>(4719.0/B68*100)</f>
        <v/>
      </c>
      <c r="D68" s="19" t="n">
        <v>1330</v>
      </c>
      <c r="E68" s="18" t="n">
        <v>83.19634084</v>
      </c>
      <c r="F68" s="20" t="n">
        <v>1.0957422</v>
      </c>
      <c r="G68" s="18" t="n">
        <v>5.8532222</v>
      </c>
      <c r="H68" s="20" t="n">
        <v>0.63171472</v>
      </c>
      <c r="I68" s="18" t="n">
        <v>3.45567453</v>
      </c>
      <c r="J68" s="20" t="n">
        <v>0.5252502999999999</v>
      </c>
      <c r="K68" s="18" t="s">
        <v>567</v>
      </c>
      <c r="L68" s="20" t="s">
        <v>567</v>
      </c>
      <c r="M68" s="18" t="n">
        <v>1.88695958</v>
      </c>
      <c r="N68" s="20" t="n">
        <v>0.38644619</v>
      </c>
      <c r="O68" s="18" t="n">
        <v>0.15812963</v>
      </c>
      <c r="P68" s="20" t="n">
        <v>0.11169393</v>
      </c>
      <c r="Q68" s="18" t="n">
        <v>0</v>
      </c>
      <c r="R68" s="20" t="n">
        <v>0</v>
      </c>
      <c r="S68" s="18" t="n">
        <v>5.44967322</v>
      </c>
      <c r="T68" s="20" t="n">
        <v>0.65883381</v>
      </c>
    </row>
    <row r="69" spans="1:20">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2929</v>
      </c>
      <c r="C70" s="18">
        <f>(2328.0/B70*100)</f>
        <v/>
      </c>
      <c r="D70" s="19" t="n">
        <v>601</v>
      </c>
      <c r="E70" s="18" t="n">
        <v>80.71543196</v>
      </c>
      <c r="F70" s="20" t="n">
        <v>1.80871423</v>
      </c>
      <c r="G70" s="18" t="n">
        <v>9.90512015</v>
      </c>
      <c r="H70" s="20" t="n">
        <v>1.3321616</v>
      </c>
      <c r="I70" s="18" t="n">
        <v>7.03609757</v>
      </c>
      <c r="J70" s="20" t="n">
        <v>1.11588522</v>
      </c>
      <c r="K70" s="18" t="s">
        <v>567</v>
      </c>
      <c r="L70" s="20" t="s">
        <v>567</v>
      </c>
      <c r="M70" s="18" t="n">
        <v>0.14936862</v>
      </c>
      <c r="N70" s="20" t="n">
        <v>0.14664949</v>
      </c>
      <c r="O70" s="18" t="n">
        <v>0.11054894</v>
      </c>
      <c r="P70" s="20" t="n">
        <v>0.11074717</v>
      </c>
      <c r="Q70" s="18" t="n">
        <v>0</v>
      </c>
      <c r="R70" s="20" t="n">
        <v>0</v>
      </c>
      <c r="S70" s="18" t="n">
        <v>2.08343277</v>
      </c>
      <c r="T70" s="20" t="n">
        <v>0.61863052</v>
      </c>
    </row>
    <row r="71" spans="1:20">
      <c r="A71" s="15" t="s">
        <v>631</v>
      </c>
      <c r="B71" s="17" t="n">
        <v>3142</v>
      </c>
      <c r="C71" s="18">
        <f>(2465.0/B71*100)</f>
        <v/>
      </c>
      <c r="D71" s="19" t="n">
        <v>677</v>
      </c>
      <c r="E71" s="18" t="n">
        <v>61.94650169</v>
      </c>
      <c r="F71" s="20" t="n">
        <v>1.78839186</v>
      </c>
      <c r="G71" s="18" t="n">
        <v>12.96857244</v>
      </c>
      <c r="H71" s="20" t="n">
        <v>1.29966081</v>
      </c>
      <c r="I71" s="18" t="n">
        <v>23.99832361</v>
      </c>
      <c r="J71" s="20" t="n">
        <v>1.63184008</v>
      </c>
      <c r="K71" s="18" t="s">
        <v>567</v>
      </c>
      <c r="L71" s="20" t="s">
        <v>567</v>
      </c>
      <c r="M71" s="18" t="n">
        <v>0.20541485</v>
      </c>
      <c r="N71" s="20" t="n">
        <v>0.14860198</v>
      </c>
      <c r="O71" s="18" t="n">
        <v>0.0887135</v>
      </c>
      <c r="P71" s="20" t="n">
        <v>0.0889479</v>
      </c>
      <c r="Q71" s="18" t="n">
        <v>0</v>
      </c>
      <c r="R71" s="20" t="n">
        <v>0</v>
      </c>
      <c r="S71" s="18" t="n">
        <v>0.79247391</v>
      </c>
      <c r="T71" s="20" t="n">
        <v>0.33399902</v>
      </c>
    </row>
    <row r="72" spans="1:20">
      <c r="A72" s="15" t="s">
        <v>632</v>
      </c>
      <c r="B72" s="17" t="n">
        <v>3889</v>
      </c>
      <c r="C72" s="18">
        <f>(3011.0/B72*100)</f>
        <v/>
      </c>
      <c r="D72" s="19" t="n">
        <v>878</v>
      </c>
      <c r="E72" s="18" t="n">
        <v>71.77897933</v>
      </c>
      <c r="F72" s="20" t="n">
        <v>2.00446205</v>
      </c>
      <c r="G72" s="18" t="n">
        <v>12.10179008</v>
      </c>
      <c r="H72" s="20" t="n">
        <v>1.39894332</v>
      </c>
      <c r="I72" s="18" t="n">
        <v>14.9166822</v>
      </c>
      <c r="J72" s="20" t="n">
        <v>1.40426826</v>
      </c>
      <c r="K72" s="18" t="s">
        <v>567</v>
      </c>
      <c r="L72" s="20" t="s">
        <v>567</v>
      </c>
      <c r="M72" s="18" t="n">
        <v>0.24180995</v>
      </c>
      <c r="N72" s="20" t="n">
        <v>0.1413038</v>
      </c>
      <c r="O72" s="18" t="n">
        <v>0.09124256</v>
      </c>
      <c r="P72" s="20" t="n">
        <v>0.09136869</v>
      </c>
      <c r="Q72" s="18" t="n">
        <v>0</v>
      </c>
      <c r="R72" s="20" t="n">
        <v>0</v>
      </c>
      <c r="S72" s="18" t="n">
        <v>0.86949588</v>
      </c>
      <c r="T72" s="20" t="n">
        <v>0.35566556</v>
      </c>
    </row>
    <row r="73" spans="1:20">
      <c r="A73" s="15" t="s">
        <v>633</v>
      </c>
      <c r="B73" s="17" t="n">
        <v>3597</v>
      </c>
      <c r="C73" s="18">
        <f>(2796.0/B73*100)</f>
        <v/>
      </c>
      <c r="D73" s="19" t="n">
        <v>801</v>
      </c>
      <c r="E73" s="18" t="n">
        <v>90.73768615</v>
      </c>
      <c r="F73" s="20" t="n">
        <v>1.27715046</v>
      </c>
      <c r="G73" s="18" t="n">
        <v>4.21016899</v>
      </c>
      <c r="H73" s="20" t="n">
        <v>0.83133262</v>
      </c>
      <c r="I73" s="18" t="n">
        <v>3.73487597</v>
      </c>
      <c r="J73" s="20" t="n">
        <v>0.76655441</v>
      </c>
      <c r="K73" s="18" t="s">
        <v>567</v>
      </c>
      <c r="L73" s="20" t="s">
        <v>567</v>
      </c>
      <c r="M73" s="18" t="n">
        <v>0</v>
      </c>
      <c r="N73" s="20" t="n">
        <v>0</v>
      </c>
      <c r="O73" s="18" t="n">
        <v>0.0765691</v>
      </c>
      <c r="P73" s="20" t="n">
        <v>0.05705526</v>
      </c>
      <c r="Q73" s="18" t="n">
        <v>0</v>
      </c>
      <c r="R73" s="20" t="n">
        <v>0</v>
      </c>
      <c r="S73" s="18" t="n">
        <v>1.24069979</v>
      </c>
      <c r="T73" s="20" t="n">
        <v>0.43500024</v>
      </c>
    </row>
    <row r="74" spans="1:20">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2406</v>
      </c>
      <c r="C75" s="18">
        <f>(1921.0/B75*100)</f>
        <v/>
      </c>
      <c r="D75" s="19" t="n">
        <v>485</v>
      </c>
      <c r="E75" s="18" t="n">
        <v>92.72298372</v>
      </c>
      <c r="F75" s="20" t="n">
        <v>1.13394669</v>
      </c>
      <c r="G75" s="18" t="n">
        <v>1.37890201</v>
      </c>
      <c r="H75" s="20" t="n">
        <v>0.5609661</v>
      </c>
      <c r="I75" s="18" t="n">
        <v>0.17199522</v>
      </c>
      <c r="J75" s="20" t="n">
        <v>0.1717471</v>
      </c>
      <c r="K75" s="18" t="s">
        <v>567</v>
      </c>
      <c r="L75" s="20" t="s">
        <v>567</v>
      </c>
      <c r="M75" s="18" t="n">
        <v>0.49446983</v>
      </c>
      <c r="N75" s="20" t="n">
        <v>0.27625216</v>
      </c>
      <c r="O75" s="18" t="n">
        <v>0.67945952</v>
      </c>
      <c r="P75" s="20" t="n">
        <v>0.41020719</v>
      </c>
      <c r="Q75" s="18" t="n">
        <v>0</v>
      </c>
      <c r="R75" s="20" t="n">
        <v>0</v>
      </c>
      <c r="S75" s="18" t="n">
        <v>4.5521897</v>
      </c>
      <c r="T75" s="20" t="n">
        <v>0.9655990800000001</v>
      </c>
    </row>
    <row r="76" spans="1:20">
      <c r="A76" s="15" t="s">
        <v>636</v>
      </c>
      <c r="B76" s="17" t="n">
        <v>7052</v>
      </c>
      <c r="C76" s="18">
        <f>(5531.0/B76*100)</f>
        <v/>
      </c>
      <c r="D76" s="19" t="n">
        <v>1521</v>
      </c>
      <c r="E76" s="18" t="n">
        <v>83.19429098000001</v>
      </c>
      <c r="F76" s="20" t="n">
        <v>1.23031995</v>
      </c>
      <c r="G76" s="18" t="n">
        <v>7.87012031</v>
      </c>
      <c r="H76" s="20" t="n">
        <v>0.76495607</v>
      </c>
      <c r="I76" s="18" t="n">
        <v>5.58881957</v>
      </c>
      <c r="J76" s="20" t="n">
        <v>0.76398373</v>
      </c>
      <c r="K76" s="18" t="s">
        <v>567</v>
      </c>
      <c r="L76" s="20" t="s">
        <v>567</v>
      </c>
      <c r="M76" s="18" t="n">
        <v>0.64926903</v>
      </c>
      <c r="N76" s="20" t="n">
        <v>0.22206912</v>
      </c>
      <c r="O76" s="18" t="n">
        <v>0.1978452</v>
      </c>
      <c r="P76" s="20" t="n">
        <v>0.13861811</v>
      </c>
      <c r="Q76" s="18" t="n">
        <v>0</v>
      </c>
      <c r="R76" s="20" t="n">
        <v>0</v>
      </c>
      <c r="S76" s="18" t="n">
        <v>2.4996549</v>
      </c>
      <c r="T76" s="20" t="n">
        <v>0.48446834</v>
      </c>
    </row>
    <row r="77" spans="1:20">
      <c r="A77" s="15" t="s">
        <v>637</v>
      </c>
      <c r="B77" s="17" t="n">
        <v>2908</v>
      </c>
      <c r="C77" s="18">
        <f>(2267.0/B77*100)</f>
        <v/>
      </c>
      <c r="D77" s="19" t="n">
        <v>641</v>
      </c>
      <c r="E77" s="18" t="n">
        <v>81.65624823</v>
      </c>
      <c r="F77" s="20" t="n">
        <v>1.71700492</v>
      </c>
      <c r="G77" s="18" t="n">
        <v>5.31495984</v>
      </c>
      <c r="H77" s="20" t="n">
        <v>0.86023591</v>
      </c>
      <c r="I77" s="18" t="n">
        <v>5.66838203</v>
      </c>
      <c r="J77" s="20" t="n">
        <v>1.08347062</v>
      </c>
      <c r="K77" s="18" t="s">
        <v>567</v>
      </c>
      <c r="L77" s="20" t="s">
        <v>567</v>
      </c>
      <c r="M77" s="18" t="n">
        <v>1.35612198</v>
      </c>
      <c r="N77" s="20" t="n">
        <v>0.48484414</v>
      </c>
      <c r="O77" s="18" t="n">
        <v>0.12562286</v>
      </c>
      <c r="P77" s="20" t="n">
        <v>0.12674806</v>
      </c>
      <c r="Q77" s="18" t="n">
        <v>0</v>
      </c>
      <c r="R77" s="20" t="n">
        <v>0</v>
      </c>
      <c r="S77" s="18" t="n">
        <v>5.87866507</v>
      </c>
      <c r="T77" s="20" t="n">
        <v>1.0994412</v>
      </c>
    </row>
    <row r="78" spans="1:20">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4163</v>
      </c>
      <c r="C81" s="18">
        <f>(3215.0/B81*100)</f>
        <v/>
      </c>
      <c r="D81" s="19" t="n">
        <v>948</v>
      </c>
      <c r="E81" s="18" t="n">
        <v>88.55013243000001</v>
      </c>
      <c r="F81" s="20" t="n">
        <v>1.45720221</v>
      </c>
      <c r="G81" s="18" t="n">
        <v>5.17324692</v>
      </c>
      <c r="H81" s="20" t="n">
        <v>0.86559925</v>
      </c>
      <c r="I81" s="18" t="n">
        <v>4.98831676</v>
      </c>
      <c r="J81" s="20" t="n">
        <v>0.92363093</v>
      </c>
      <c r="K81" s="18" t="s">
        <v>567</v>
      </c>
      <c r="L81" s="20" t="s">
        <v>567</v>
      </c>
      <c r="M81" s="18" t="n">
        <v>0.3177881</v>
      </c>
      <c r="N81" s="20" t="n">
        <v>0.22902158</v>
      </c>
      <c r="O81" s="18" t="n">
        <v>0</v>
      </c>
      <c r="P81" s="20" t="n">
        <v>0</v>
      </c>
      <c r="Q81" s="18" t="n">
        <v>0</v>
      </c>
      <c r="R81" s="20" t="n">
        <v>0</v>
      </c>
      <c r="S81" s="18" t="n">
        <v>0.97051579</v>
      </c>
      <c r="T81" s="20" t="n">
        <v>0.56506852</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(5782.0/B7*100)</f>
        <v/>
      </c>
      <c r="D7" s="19" t="n">
        <v>1585</v>
      </c>
      <c r="E7" s="18" t="n">
        <v>24.21683075</v>
      </c>
      <c r="F7" s="20" t="n">
        <v>1.40188435</v>
      </c>
      <c r="G7" s="18" t="n">
        <v>73.98887661000001</v>
      </c>
      <c r="H7" s="20" t="n">
        <v>1.45565883</v>
      </c>
      <c r="I7" s="18" t="s">
        <v>567</v>
      </c>
      <c r="J7" s="20" t="s">
        <v>567</v>
      </c>
      <c r="K7" s="18" t="n">
        <v>0.21004044</v>
      </c>
      <c r="L7" s="20" t="n">
        <v>0.08323435</v>
      </c>
      <c r="M7" s="18" t="n">
        <v>0</v>
      </c>
      <c r="N7" s="20" t="n">
        <v>0</v>
      </c>
      <c r="O7" s="18" t="n">
        <v>0</v>
      </c>
      <c r="P7" s="20" t="n">
        <v>0</v>
      </c>
      <c r="Q7" s="18" t="n">
        <v>1.5842522</v>
      </c>
      <c r="R7" s="20" t="n">
        <v>0.41348142</v>
      </c>
    </row>
    <row r="8" spans="1:18">
      <c r="A8" s="15" t="s">
        <v>568</v>
      </c>
      <c r="B8" s="17" t="n">
        <v>3564</v>
      </c>
      <c r="C8" s="18">
        <f>(2773.0/B8*100)</f>
        <v/>
      </c>
      <c r="D8" s="19" t="n">
        <v>791</v>
      </c>
      <c r="E8" s="18" t="n">
        <v>25.0054356</v>
      </c>
      <c r="F8" s="20" t="n">
        <v>1.87600495</v>
      </c>
      <c r="G8" s="18" t="n">
        <v>72.7880586</v>
      </c>
      <c r="H8" s="20" t="n">
        <v>1.93840333</v>
      </c>
      <c r="I8" s="18" t="s">
        <v>567</v>
      </c>
      <c r="J8" s="20" t="s">
        <v>567</v>
      </c>
      <c r="K8" s="18" t="n">
        <v>0</v>
      </c>
      <c r="L8" s="20" t="n">
        <v>0</v>
      </c>
      <c r="M8" s="18" t="n">
        <v>0</v>
      </c>
      <c r="N8" s="20" t="n">
        <v>0</v>
      </c>
      <c r="O8" s="18" t="n">
        <v>0</v>
      </c>
      <c r="P8" s="20" t="n">
        <v>0</v>
      </c>
      <c r="Q8" s="18" t="n">
        <v>2.2065058</v>
      </c>
      <c r="R8" s="20" t="n">
        <v>0.77818466</v>
      </c>
    </row>
    <row r="9" spans="1:18">
      <c r="A9" s="15" t="s">
        <v>569</v>
      </c>
      <c r="B9" s="17" t="n">
        <v>4899</v>
      </c>
      <c r="C9" s="18">
        <f>(3832.0/B9*100)</f>
        <v/>
      </c>
      <c r="D9" s="19" t="n">
        <v>1067</v>
      </c>
      <c r="E9" s="18" t="n">
        <v>23.44558934</v>
      </c>
      <c r="F9" s="20" t="n">
        <v>1.45240148</v>
      </c>
      <c r="G9" s="18" t="n">
        <v>74.70674579999999</v>
      </c>
      <c r="H9" s="20" t="n">
        <v>1.59802088</v>
      </c>
      <c r="I9" s="18" t="s">
        <v>567</v>
      </c>
      <c r="J9" s="20" t="s">
        <v>567</v>
      </c>
      <c r="K9" s="18" t="n">
        <v>0.40581541</v>
      </c>
      <c r="L9" s="20" t="n">
        <v>0.19219836</v>
      </c>
      <c r="M9" s="18" t="n">
        <v>0</v>
      </c>
      <c r="N9" s="20" t="n">
        <v>0</v>
      </c>
      <c r="O9" s="18" t="n">
        <v>0</v>
      </c>
      <c r="P9" s="20" t="n">
        <v>0</v>
      </c>
      <c r="Q9" s="18" t="n">
        <v>1.44184946</v>
      </c>
      <c r="R9" s="20" t="n">
        <v>0.36115418</v>
      </c>
    </row>
    <row r="10" spans="1:18">
      <c r="A10" s="15" t="s">
        <v>570</v>
      </c>
      <c r="B10" s="17" t="n">
        <v>10036</v>
      </c>
      <c r="C10" s="18">
        <f>(7888.0/B10*100)</f>
        <v/>
      </c>
      <c r="D10" s="19" t="n">
        <v>2148</v>
      </c>
      <c r="E10" s="18" t="n">
        <v>21.77910847</v>
      </c>
      <c r="F10" s="20" t="n">
        <v>1.08161132</v>
      </c>
      <c r="G10" s="18" t="n">
        <v>77.18961403</v>
      </c>
      <c r="H10" s="20" t="n">
        <v>1.12756691</v>
      </c>
      <c r="I10" s="18" t="s">
        <v>567</v>
      </c>
      <c r="J10" s="20" t="s">
        <v>567</v>
      </c>
      <c r="K10" s="18" t="n">
        <v>0.3451909</v>
      </c>
      <c r="L10" s="20" t="n">
        <v>0.14633683</v>
      </c>
      <c r="M10" s="18" t="n">
        <v>0</v>
      </c>
      <c r="N10" s="20" t="n">
        <v>0</v>
      </c>
      <c r="O10" s="18" t="n">
        <v>0</v>
      </c>
      <c r="P10" s="20" t="n">
        <v>0</v>
      </c>
      <c r="Q10" s="18" t="n">
        <v>0.68608661</v>
      </c>
      <c r="R10" s="20" t="n">
        <v>0.23484771</v>
      </c>
    </row>
    <row r="11" spans="1:18">
      <c r="A11" s="15" t="s">
        <v>571</v>
      </c>
      <c r="B11" s="17" t="n">
        <v>3553</v>
      </c>
      <c r="C11" s="18">
        <f>(2851.0/B11*100)</f>
        <v/>
      </c>
      <c r="D11" s="19" t="n">
        <v>702</v>
      </c>
      <c r="E11" s="18" t="n">
        <v>29.63619563</v>
      </c>
      <c r="F11" s="20" t="n">
        <v>1.920471</v>
      </c>
      <c r="G11" s="18" t="n">
        <v>68.07346056</v>
      </c>
      <c r="H11" s="20" t="n">
        <v>1.89101704</v>
      </c>
      <c r="I11" s="18" t="s">
        <v>567</v>
      </c>
      <c r="J11" s="20" t="s">
        <v>567</v>
      </c>
      <c r="K11" s="18" t="n">
        <v>0.36267344</v>
      </c>
      <c r="L11" s="20" t="n">
        <v>0.2317352</v>
      </c>
      <c r="M11" s="18" t="n">
        <v>0</v>
      </c>
      <c r="N11" s="20" t="n">
        <v>0</v>
      </c>
      <c r="O11" s="18" t="n">
        <v>0</v>
      </c>
      <c r="P11" s="20" t="n">
        <v>0</v>
      </c>
      <c r="Q11" s="18" t="n">
        <v>1.92767037</v>
      </c>
      <c r="R11" s="20" t="n">
        <v>0.57281084</v>
      </c>
    </row>
    <row r="12" spans="1:18">
      <c r="A12" s="15" t="s">
        <v>572</v>
      </c>
      <c r="B12" s="17" t="n">
        <v>3472</v>
      </c>
      <c r="C12" s="18">
        <f>(2735.0/B12*100)</f>
        <v/>
      </c>
      <c r="D12" s="19" t="n">
        <v>737</v>
      </c>
      <c r="E12" s="18" t="n">
        <v>25.34049523</v>
      </c>
      <c r="F12" s="20" t="n">
        <v>2.10450972</v>
      </c>
      <c r="G12" s="18" t="n">
        <v>74.19193537</v>
      </c>
      <c r="H12" s="20" t="n">
        <v>2.12817512</v>
      </c>
      <c r="I12" s="18" t="s">
        <v>567</v>
      </c>
      <c r="J12" s="20" t="s">
        <v>567</v>
      </c>
      <c r="K12" s="18" t="n">
        <v>0.13525423</v>
      </c>
      <c r="L12" s="20" t="n">
        <v>0.13438724</v>
      </c>
      <c r="M12" s="18" t="n">
        <v>0</v>
      </c>
      <c r="N12" s="20" t="n">
        <v>0</v>
      </c>
      <c r="O12" s="18" t="n">
        <v>0</v>
      </c>
      <c r="P12" s="20" t="n">
        <v>0</v>
      </c>
      <c r="Q12" s="18" t="n">
        <v>0.33231517</v>
      </c>
      <c r="R12" s="20" t="n">
        <v>0.19385416</v>
      </c>
    </row>
    <row r="13" spans="1:18">
      <c r="A13" s="15" t="s">
        <v>573</v>
      </c>
      <c r="B13" s="17" t="n">
        <v>3559</v>
      </c>
      <c r="C13" s="18">
        <f>(2858.0/B13*100)</f>
        <v/>
      </c>
      <c r="D13" s="19" t="n">
        <v>701</v>
      </c>
      <c r="E13" s="18" t="n">
        <v>23.15308406</v>
      </c>
      <c r="F13" s="20" t="n">
        <v>2.28562488</v>
      </c>
      <c r="G13" s="18" t="n">
        <v>74.53534165000001</v>
      </c>
      <c r="H13" s="20" t="n">
        <v>2.1934565</v>
      </c>
      <c r="I13" s="18" t="s">
        <v>567</v>
      </c>
      <c r="J13" s="20" t="s">
        <v>567</v>
      </c>
      <c r="K13" s="18" t="n">
        <v>0.77456453</v>
      </c>
      <c r="L13" s="20" t="n">
        <v>0.39001051</v>
      </c>
      <c r="M13" s="18" t="n">
        <v>0</v>
      </c>
      <c r="N13" s="20" t="n">
        <v>0</v>
      </c>
      <c r="O13" s="18" t="n">
        <v>0</v>
      </c>
      <c r="P13" s="20" t="n">
        <v>0</v>
      </c>
      <c r="Q13" s="18" t="n">
        <v>1.53700975</v>
      </c>
      <c r="R13" s="20" t="n">
        <v>0.52887333</v>
      </c>
    </row>
    <row r="14" spans="1:18">
      <c r="A14" s="15" t="s">
        <v>574</v>
      </c>
      <c r="B14" s="17" t="n">
        <v>2799</v>
      </c>
      <c r="C14" s="18">
        <f>(2216.0/B14*100)</f>
        <v/>
      </c>
      <c r="D14" s="19" t="n">
        <v>583</v>
      </c>
      <c r="E14" s="18" t="n">
        <v>20.21167587</v>
      </c>
      <c r="F14" s="20" t="n">
        <v>1.81008043</v>
      </c>
      <c r="G14" s="18" t="n">
        <v>79.0607024</v>
      </c>
      <c r="H14" s="20" t="n">
        <v>1.83041193</v>
      </c>
      <c r="I14" s="18" t="s">
        <v>567</v>
      </c>
      <c r="J14" s="20" t="s">
        <v>567</v>
      </c>
      <c r="K14" s="18" t="n">
        <v>0.14263488</v>
      </c>
      <c r="L14" s="20" t="n">
        <v>0.14332604</v>
      </c>
      <c r="M14" s="18" t="n">
        <v>0</v>
      </c>
      <c r="N14" s="20" t="n">
        <v>0</v>
      </c>
      <c r="O14" s="18" t="n">
        <v>0</v>
      </c>
      <c r="P14" s="20" t="n">
        <v>0</v>
      </c>
      <c r="Q14" s="18" t="n">
        <v>0.5849868499999999</v>
      </c>
      <c r="R14" s="20" t="n">
        <v>0.30176826</v>
      </c>
    </row>
    <row r="15" spans="1:18">
      <c r="A15" s="15" t="s">
        <v>575</v>
      </c>
      <c r="B15" s="17" t="n">
        <v>3019</v>
      </c>
      <c r="C15" s="18">
        <f>(2346.0/B15*100)</f>
        <v/>
      </c>
      <c r="D15" s="19" t="n">
        <v>673</v>
      </c>
      <c r="E15" s="18" t="n">
        <v>25.04959121</v>
      </c>
      <c r="F15" s="20" t="n">
        <v>1.63712107</v>
      </c>
      <c r="G15" s="18" t="n">
        <v>74.37679625</v>
      </c>
      <c r="H15" s="20" t="n">
        <v>1.6780055</v>
      </c>
      <c r="I15" s="18" t="s">
        <v>567</v>
      </c>
      <c r="J15" s="20" t="s">
        <v>567</v>
      </c>
      <c r="K15" s="18" t="n">
        <v>0</v>
      </c>
      <c r="L15" s="20" t="n">
        <v>0</v>
      </c>
      <c r="M15" s="18" t="n">
        <v>0</v>
      </c>
      <c r="N15" s="20" t="n">
        <v>0</v>
      </c>
      <c r="O15" s="18" t="n">
        <v>0</v>
      </c>
      <c r="P15" s="20" t="n">
        <v>0</v>
      </c>
      <c r="Q15" s="18" t="n">
        <v>0.57361253</v>
      </c>
      <c r="R15" s="20" t="n">
        <v>0.3022062</v>
      </c>
    </row>
    <row r="16" spans="1:18">
      <c r="A16" s="15" t="s">
        <v>576</v>
      </c>
      <c r="B16" s="17" t="n">
        <v>2997</v>
      </c>
      <c r="C16" s="18">
        <f>(2327.0/B16*100)</f>
        <v/>
      </c>
      <c r="D16" s="19" t="n">
        <v>670</v>
      </c>
      <c r="E16" s="18" t="n">
        <v>28.30978775</v>
      </c>
      <c r="F16" s="20" t="n">
        <v>2.00631893</v>
      </c>
      <c r="G16" s="18" t="n">
        <v>68.24402739999999</v>
      </c>
      <c r="H16" s="20" t="n">
        <v>2.10324536</v>
      </c>
      <c r="I16" s="18" t="s">
        <v>567</v>
      </c>
      <c r="J16" s="20" t="s">
        <v>567</v>
      </c>
      <c r="K16" s="18" t="n">
        <v>0.75679079</v>
      </c>
      <c r="L16" s="20" t="n">
        <v>0.32491424</v>
      </c>
      <c r="M16" s="18" t="n">
        <v>0</v>
      </c>
      <c r="N16" s="20" t="n">
        <v>0</v>
      </c>
      <c r="O16" s="18" t="n">
        <v>0</v>
      </c>
      <c r="P16" s="20" t="n">
        <v>0</v>
      </c>
      <c r="Q16" s="18" t="n">
        <v>2.68939406</v>
      </c>
      <c r="R16" s="20" t="n">
        <v>0.68154081</v>
      </c>
    </row>
    <row r="17" spans="1:18">
      <c r="A17" s="15" t="s">
        <v>577</v>
      </c>
      <c r="B17" s="17" t="n">
        <v>3307</v>
      </c>
      <c r="C17" s="18">
        <f>(2608.0/B17*100)</f>
        <v/>
      </c>
      <c r="D17" s="19" t="n">
        <v>699</v>
      </c>
      <c r="E17" s="18" t="n">
        <v>24.26807699</v>
      </c>
      <c r="F17" s="20" t="n">
        <v>1.92209343</v>
      </c>
      <c r="G17" s="18" t="n">
        <v>74.35277499999999</v>
      </c>
      <c r="H17" s="20" t="n">
        <v>1.94312214</v>
      </c>
      <c r="I17" s="18" t="s">
        <v>567</v>
      </c>
      <c r="J17" s="20" t="s">
        <v>567</v>
      </c>
      <c r="K17" s="18" t="n">
        <v>0.54968919</v>
      </c>
      <c r="L17" s="20" t="n">
        <v>0.29426103</v>
      </c>
      <c r="M17" s="18" t="n">
        <v>0</v>
      </c>
      <c r="N17" s="20" t="n">
        <v>0</v>
      </c>
      <c r="O17" s="18" t="n">
        <v>0</v>
      </c>
      <c r="P17" s="20" t="n">
        <v>0</v>
      </c>
      <c r="Q17" s="18" t="n">
        <v>0.82945881</v>
      </c>
      <c r="R17" s="20" t="n">
        <v>0.33697537</v>
      </c>
    </row>
    <row r="18" spans="1:18">
      <c r="A18" s="15" t="s">
        <v>578</v>
      </c>
      <c r="B18" s="17" t="n">
        <v>2826</v>
      </c>
      <c r="C18" s="18">
        <f>(2201.0/B18*100)</f>
        <v/>
      </c>
      <c r="D18" s="19" t="n">
        <v>625</v>
      </c>
      <c r="E18" s="18" t="n">
        <v>37.14732456</v>
      </c>
      <c r="F18" s="20" t="n">
        <v>2.9071462</v>
      </c>
      <c r="G18" s="18" t="n">
        <v>60.7234563</v>
      </c>
      <c r="H18" s="20" t="n">
        <v>2.98973033</v>
      </c>
      <c r="I18" s="18" t="s">
        <v>567</v>
      </c>
      <c r="J18" s="20" t="s">
        <v>567</v>
      </c>
      <c r="K18" s="18" t="n">
        <v>0.73351811</v>
      </c>
      <c r="L18" s="20" t="n">
        <v>0.34968017</v>
      </c>
      <c r="M18" s="18" t="n">
        <v>0</v>
      </c>
      <c r="N18" s="20" t="n">
        <v>0</v>
      </c>
      <c r="O18" s="18" t="n">
        <v>0</v>
      </c>
      <c r="P18" s="20" t="n">
        <v>0</v>
      </c>
      <c r="Q18" s="18" t="n">
        <v>1.39570102</v>
      </c>
      <c r="R18" s="20" t="n">
        <v>0.51009017</v>
      </c>
    </row>
    <row r="19" spans="1:18">
      <c r="A19" s="15" t="s">
        <v>579</v>
      </c>
      <c r="B19" s="17" t="n">
        <v>2808</v>
      </c>
      <c r="C19" s="18">
        <f>(2222.0/B19*100)</f>
        <v/>
      </c>
      <c r="D19" s="19" t="n">
        <v>586</v>
      </c>
      <c r="E19" s="18" t="n">
        <v>38.35339584</v>
      </c>
      <c r="F19" s="20" t="n">
        <v>2.06179098</v>
      </c>
      <c r="G19" s="18" t="n">
        <v>60.85666519</v>
      </c>
      <c r="H19" s="20" t="n">
        <v>2.06392314</v>
      </c>
      <c r="I19" s="18" t="s">
        <v>567</v>
      </c>
      <c r="J19" s="20" t="s">
        <v>567</v>
      </c>
      <c r="K19" s="18" t="n">
        <v>0</v>
      </c>
      <c r="L19" s="20" t="n">
        <v>0</v>
      </c>
      <c r="M19" s="18" t="n">
        <v>0</v>
      </c>
      <c r="N19" s="20" t="n">
        <v>0</v>
      </c>
      <c r="O19" s="18" t="n">
        <v>0</v>
      </c>
      <c r="P19" s="20" t="n">
        <v>0</v>
      </c>
      <c r="Q19" s="18" t="n">
        <v>0.78993897</v>
      </c>
      <c r="R19" s="20" t="n">
        <v>0.2703003</v>
      </c>
    </row>
    <row r="20" spans="1:18">
      <c r="A20" s="15" t="s">
        <v>580</v>
      </c>
      <c r="B20" s="17" t="n">
        <v>1630</v>
      </c>
      <c r="C20" s="18">
        <f>(1268.0/B20*100)</f>
        <v/>
      </c>
      <c r="D20" s="19" t="n">
        <v>362</v>
      </c>
      <c r="E20" s="18" t="n">
        <v>24.90210068</v>
      </c>
      <c r="F20" s="20" t="n">
        <v>2.50680482</v>
      </c>
      <c r="G20" s="18" t="n">
        <v>71.16469478</v>
      </c>
      <c r="H20" s="20" t="n">
        <v>2.7352307</v>
      </c>
      <c r="I20" s="18" t="s">
        <v>567</v>
      </c>
      <c r="J20" s="20" t="s">
        <v>567</v>
      </c>
      <c r="K20" s="18" t="n">
        <v>1.31744078</v>
      </c>
      <c r="L20" s="20" t="n">
        <v>0.45602724</v>
      </c>
      <c r="M20" s="18" t="n">
        <v>0</v>
      </c>
      <c r="N20" s="20" t="n">
        <v>0</v>
      </c>
      <c r="O20" s="18" t="n">
        <v>0</v>
      </c>
      <c r="P20" s="20" t="n">
        <v>0</v>
      </c>
      <c r="Q20" s="18" t="n">
        <v>2.61576377</v>
      </c>
      <c r="R20" s="20" t="n">
        <v>1.0635486</v>
      </c>
    </row>
    <row r="21" spans="1:18">
      <c r="A21" s="15" t="s">
        <v>581</v>
      </c>
      <c r="B21" s="17" t="n">
        <v>2908</v>
      </c>
      <c r="C21" s="18">
        <f>(2253.0/B21*100)</f>
        <v/>
      </c>
      <c r="D21" s="19" t="n">
        <v>655</v>
      </c>
      <c r="E21" s="18" t="n">
        <v>23.65188936</v>
      </c>
      <c r="F21" s="20" t="n">
        <v>1.84502204</v>
      </c>
      <c r="G21" s="18" t="n">
        <v>74.9616493</v>
      </c>
      <c r="H21" s="20" t="n">
        <v>1.89078926</v>
      </c>
      <c r="I21" s="18" t="s">
        <v>567</v>
      </c>
      <c r="J21" s="20" t="s">
        <v>567</v>
      </c>
      <c r="K21" s="18" t="n">
        <v>0.14294662</v>
      </c>
      <c r="L21" s="20" t="n">
        <v>0.12930379</v>
      </c>
      <c r="M21" s="18" t="n">
        <v>0</v>
      </c>
      <c r="N21" s="20" t="n">
        <v>0</v>
      </c>
      <c r="O21" s="18" t="n">
        <v>0</v>
      </c>
      <c r="P21" s="20" t="n">
        <v>0</v>
      </c>
      <c r="Q21" s="18" t="n">
        <v>1.24351472</v>
      </c>
      <c r="R21" s="20" t="n">
        <v>0.48281635</v>
      </c>
    </row>
    <row r="22" spans="1:18">
      <c r="A22" s="15" t="s">
        <v>582</v>
      </c>
      <c r="B22" s="17" t="n">
        <v>2931</v>
      </c>
      <c r="C22" s="18">
        <f>(2307.0/B22*100)</f>
        <v/>
      </c>
      <c r="D22" s="19" t="n">
        <v>624</v>
      </c>
      <c r="E22" s="18" t="n">
        <v>34.3540027</v>
      </c>
      <c r="F22" s="20" t="n">
        <v>2.23726477</v>
      </c>
      <c r="G22" s="18" t="n">
        <v>63.06483147</v>
      </c>
      <c r="H22" s="20" t="n">
        <v>2.39036929</v>
      </c>
      <c r="I22" s="18" t="s">
        <v>567</v>
      </c>
      <c r="J22" s="20" t="s">
        <v>567</v>
      </c>
      <c r="K22" s="18" t="n">
        <v>0.79938022</v>
      </c>
      <c r="L22" s="20" t="n">
        <v>0.32141711</v>
      </c>
      <c r="M22" s="18" t="n">
        <v>0</v>
      </c>
      <c r="N22" s="20" t="n">
        <v>0</v>
      </c>
      <c r="O22" s="18" t="n">
        <v>0</v>
      </c>
      <c r="P22" s="20" t="n">
        <v>0</v>
      </c>
      <c r="Q22" s="18" t="n">
        <v>1.78178561</v>
      </c>
      <c r="R22" s="20" t="n">
        <v>0.58221408</v>
      </c>
    </row>
    <row r="23" spans="1:18">
      <c r="A23" s="15" t="s">
        <v>583</v>
      </c>
      <c r="B23" s="17" t="n">
        <v>5791</v>
      </c>
      <c r="C23" s="18">
        <f>(4489.0/B23*100)</f>
        <v/>
      </c>
      <c r="D23" s="19" t="n">
        <v>1302</v>
      </c>
      <c r="E23" s="18" t="n">
        <v>27.6621048</v>
      </c>
      <c r="F23" s="20" t="n">
        <v>2.14292761</v>
      </c>
      <c r="G23" s="18" t="n">
        <v>69.41402689</v>
      </c>
      <c r="H23" s="20" t="n">
        <v>2.29073599</v>
      </c>
      <c r="I23" s="18" t="s">
        <v>567</v>
      </c>
      <c r="J23" s="20" t="s">
        <v>567</v>
      </c>
      <c r="K23" s="18" t="n">
        <v>0.40185143</v>
      </c>
      <c r="L23" s="20" t="n">
        <v>0.0822768</v>
      </c>
      <c r="M23" s="18" t="n">
        <v>0</v>
      </c>
      <c r="N23" s="20" t="n">
        <v>0</v>
      </c>
      <c r="O23" s="18" t="n">
        <v>0</v>
      </c>
      <c r="P23" s="20" t="n">
        <v>0</v>
      </c>
      <c r="Q23" s="18" t="n">
        <v>2.52201688</v>
      </c>
      <c r="R23" s="20" t="n">
        <v>0.76165615</v>
      </c>
    </row>
    <row r="24" spans="1:18">
      <c r="A24" s="15" t="s">
        <v>584</v>
      </c>
      <c r="B24" s="17" t="n">
        <v>3338</v>
      </c>
      <c r="C24" s="18">
        <f>(2610.0/B24*100)</f>
        <v/>
      </c>
      <c r="D24" s="19" t="n">
        <v>728</v>
      </c>
      <c r="E24" s="18" t="n">
        <v>14.56634526</v>
      </c>
      <c r="F24" s="20" t="n">
        <v>1.30344758</v>
      </c>
      <c r="G24" s="18" t="n">
        <v>84.79161971000001</v>
      </c>
      <c r="H24" s="20" t="n">
        <v>1.27744696</v>
      </c>
      <c r="I24" s="18" t="s">
        <v>567</v>
      </c>
      <c r="J24" s="20" t="s">
        <v>567</v>
      </c>
      <c r="K24" s="18" t="n">
        <v>0.13679531</v>
      </c>
      <c r="L24" s="20" t="n">
        <v>0.13617787</v>
      </c>
      <c r="M24" s="18" t="n">
        <v>0</v>
      </c>
      <c r="N24" s="20" t="n">
        <v>0</v>
      </c>
      <c r="O24" s="18" t="n">
        <v>0</v>
      </c>
      <c r="P24" s="20" t="n">
        <v>0</v>
      </c>
      <c r="Q24" s="18" t="n">
        <v>0.50523973</v>
      </c>
      <c r="R24" s="20" t="n">
        <v>0.24992005</v>
      </c>
    </row>
    <row r="25" spans="1:18">
      <c r="A25" s="15" t="s">
        <v>585</v>
      </c>
      <c r="B25" s="17" t="n">
        <v>2912</v>
      </c>
      <c r="C25" s="18">
        <f>(2282.0/B25*100)</f>
        <v/>
      </c>
      <c r="D25" s="19" t="n">
        <v>630</v>
      </c>
      <c r="E25" s="18" t="n">
        <v>23.19105326</v>
      </c>
      <c r="F25" s="20" t="n">
        <v>1.92980542</v>
      </c>
      <c r="G25" s="18" t="n">
        <v>76.27410559</v>
      </c>
      <c r="H25" s="20" t="n">
        <v>1.98927985</v>
      </c>
      <c r="I25" s="18" t="s">
        <v>567</v>
      </c>
      <c r="J25" s="20" t="s">
        <v>567</v>
      </c>
      <c r="K25" s="18" t="n">
        <v>0</v>
      </c>
      <c r="L25" s="20" t="n">
        <v>0</v>
      </c>
      <c r="M25" s="18" t="n">
        <v>0</v>
      </c>
      <c r="N25" s="20" t="n">
        <v>0</v>
      </c>
      <c r="O25" s="18" t="n">
        <v>0</v>
      </c>
      <c r="P25" s="20" t="n">
        <v>0</v>
      </c>
      <c r="Q25" s="18" t="n">
        <v>0.53484115</v>
      </c>
      <c r="R25" s="20" t="n">
        <v>0.30105776</v>
      </c>
    </row>
    <row r="26" spans="1:18">
      <c r="A26" s="15" t="s">
        <v>586</v>
      </c>
      <c r="B26" s="17" t="n">
        <v>2450</v>
      </c>
      <c r="C26" s="18">
        <f>(1926.0/B26*100)</f>
        <v/>
      </c>
      <c r="D26" s="19" t="n">
        <v>524</v>
      </c>
      <c r="E26" s="18" t="n">
        <v>34.91247025</v>
      </c>
      <c r="F26" s="20" t="n">
        <v>2.37787686</v>
      </c>
      <c r="G26" s="18" t="n">
        <v>64.19024342</v>
      </c>
      <c r="H26" s="20" t="n">
        <v>2.37489282</v>
      </c>
      <c r="I26" s="18" t="s">
        <v>567</v>
      </c>
      <c r="J26" s="20" t="s">
        <v>567</v>
      </c>
      <c r="K26" s="18" t="n">
        <v>0.1556446</v>
      </c>
      <c r="L26" s="20" t="n">
        <v>0.155827</v>
      </c>
      <c r="M26" s="18" t="n">
        <v>0</v>
      </c>
      <c r="N26" s="20" t="n">
        <v>0</v>
      </c>
      <c r="O26" s="18" t="n">
        <v>0</v>
      </c>
      <c r="P26" s="20" t="n">
        <v>0</v>
      </c>
      <c r="Q26" s="18" t="n">
        <v>0.74164173</v>
      </c>
      <c r="R26" s="20" t="n">
        <v>0.32079133</v>
      </c>
    </row>
    <row r="27" spans="1:18">
      <c r="A27" s="15" t="s">
        <v>587</v>
      </c>
      <c r="B27" s="17" t="n">
        <v>2616</v>
      </c>
      <c r="C27" s="18">
        <f>(1994.0/B27*100)</f>
        <v/>
      </c>
      <c r="D27" s="19" t="n">
        <v>622</v>
      </c>
      <c r="E27" s="18" t="n">
        <v>30.63873914</v>
      </c>
      <c r="F27" s="20" t="n">
        <v>1.61743314</v>
      </c>
      <c r="G27" s="18" t="n">
        <v>66.76286666</v>
      </c>
      <c r="H27" s="20" t="n">
        <v>1.68793304</v>
      </c>
      <c r="I27" s="18" t="s">
        <v>567</v>
      </c>
      <c r="J27" s="20" t="s">
        <v>567</v>
      </c>
      <c r="K27" s="18" t="n">
        <v>0.65874593</v>
      </c>
      <c r="L27" s="20" t="n">
        <v>0.33041347</v>
      </c>
      <c r="M27" s="18" t="n">
        <v>0</v>
      </c>
      <c r="N27" s="20" t="n">
        <v>0</v>
      </c>
      <c r="O27" s="18" t="n">
        <v>0</v>
      </c>
      <c r="P27" s="20" t="n">
        <v>0</v>
      </c>
      <c r="Q27" s="18" t="n">
        <v>1.93964826</v>
      </c>
      <c r="R27" s="20" t="n">
        <v>0.47524806</v>
      </c>
    </row>
    <row r="28" spans="1:18">
      <c r="A28" s="15" t="s">
        <v>588</v>
      </c>
      <c r="B28" s="17" t="n">
        <v>3765</v>
      </c>
      <c r="C28" s="18">
        <f>(3002.0/B28*100)</f>
        <v/>
      </c>
      <c r="D28" s="19" t="n">
        <v>763</v>
      </c>
      <c r="E28" s="18" t="n">
        <v>35.82488973</v>
      </c>
      <c r="F28" s="20" t="n">
        <v>1.94003176</v>
      </c>
      <c r="G28" s="18" t="n">
        <v>62.60193338</v>
      </c>
      <c r="H28" s="20" t="n">
        <v>1.92006307</v>
      </c>
      <c r="I28" s="18" t="s">
        <v>567</v>
      </c>
      <c r="J28" s="20" t="s">
        <v>567</v>
      </c>
      <c r="K28" s="18" t="n">
        <v>0.32077159</v>
      </c>
      <c r="L28" s="20" t="n">
        <v>0.19317003</v>
      </c>
      <c r="M28" s="18" t="n">
        <v>0</v>
      </c>
      <c r="N28" s="20" t="n">
        <v>0</v>
      </c>
      <c r="O28" s="18" t="n">
        <v>0</v>
      </c>
      <c r="P28" s="20" t="n">
        <v>0</v>
      </c>
      <c r="Q28" s="18" t="n">
        <v>1.25240531</v>
      </c>
      <c r="R28" s="20" t="n">
        <v>0.47976417</v>
      </c>
    </row>
    <row r="29" spans="1:18">
      <c r="A29" s="15" t="s">
        <v>589</v>
      </c>
      <c r="B29" s="17" t="n">
        <v>2685</v>
      </c>
      <c r="C29" s="18">
        <f>(2150.0/B29*100)</f>
        <v/>
      </c>
      <c r="D29" s="19" t="n">
        <v>535</v>
      </c>
      <c r="E29" s="18" t="n">
        <v>28.6322353</v>
      </c>
      <c r="F29" s="20" t="n">
        <v>2.06890085</v>
      </c>
      <c r="G29" s="18" t="n">
        <v>70.06444044</v>
      </c>
      <c r="H29" s="20" t="n">
        <v>2.06960544</v>
      </c>
      <c r="I29" s="18" t="s">
        <v>567</v>
      </c>
      <c r="J29" s="20" t="s">
        <v>567</v>
      </c>
      <c r="K29" s="18" t="n">
        <v>0.13821088</v>
      </c>
      <c r="L29" s="20" t="n">
        <v>0.18954404</v>
      </c>
      <c r="M29" s="18" t="n">
        <v>0</v>
      </c>
      <c r="N29" s="20" t="n">
        <v>0</v>
      </c>
      <c r="O29" s="18" t="n">
        <v>0</v>
      </c>
      <c r="P29" s="20" t="n">
        <v>0</v>
      </c>
      <c r="Q29" s="18" t="n">
        <v>1.16511338</v>
      </c>
      <c r="R29" s="20" t="n">
        <v>0.47512187</v>
      </c>
    </row>
    <row r="30" spans="1:18">
      <c r="A30" s="15" t="s">
        <v>590</v>
      </c>
      <c r="B30" s="17" t="n">
        <v>2263</v>
      </c>
      <c r="C30" s="18">
        <f>(1755.0/B30*100)</f>
        <v/>
      </c>
      <c r="D30" s="19" t="n">
        <v>508</v>
      </c>
      <c r="E30" s="18" t="n">
        <v>23.18548366</v>
      </c>
      <c r="F30" s="20" t="n">
        <v>1.93358897</v>
      </c>
      <c r="G30" s="18" t="n">
        <v>73.27581501</v>
      </c>
      <c r="H30" s="20" t="n">
        <v>2.36508401</v>
      </c>
      <c r="I30" s="18" t="s">
        <v>567</v>
      </c>
      <c r="J30" s="20" t="s">
        <v>567</v>
      </c>
      <c r="K30" s="18" t="n">
        <v>2.15416804</v>
      </c>
      <c r="L30" s="20" t="n">
        <v>0.71442678</v>
      </c>
      <c r="M30" s="18" t="n">
        <v>0</v>
      </c>
      <c r="N30" s="20" t="n">
        <v>0</v>
      </c>
      <c r="O30" s="18" t="n">
        <v>0</v>
      </c>
      <c r="P30" s="20" t="n">
        <v>0</v>
      </c>
      <c r="Q30" s="18" t="n">
        <v>1.38453329</v>
      </c>
      <c r="R30" s="20" t="n">
        <v>0.51543582</v>
      </c>
    </row>
    <row r="31" spans="1:18">
      <c r="A31" s="15" t="s">
        <v>591</v>
      </c>
      <c r="B31" s="17" t="n">
        <v>2750</v>
      </c>
      <c r="C31" s="18">
        <f>(2124.0/B31*100)</f>
        <v/>
      </c>
      <c r="D31" s="19" t="n">
        <v>626</v>
      </c>
      <c r="E31" s="18" t="n">
        <v>27.82554662</v>
      </c>
      <c r="F31" s="20" t="n">
        <v>1.9126829</v>
      </c>
      <c r="G31" s="18" t="n">
        <v>69.30361751</v>
      </c>
      <c r="H31" s="20" t="n">
        <v>2.17270769</v>
      </c>
      <c r="I31" s="18" t="s">
        <v>567</v>
      </c>
      <c r="J31" s="20" t="s">
        <v>567</v>
      </c>
      <c r="K31" s="18" t="n">
        <v>0.90009564</v>
      </c>
      <c r="L31" s="20" t="n">
        <v>0.40813723</v>
      </c>
      <c r="M31" s="18" t="n">
        <v>0</v>
      </c>
      <c r="N31" s="20" t="n">
        <v>0</v>
      </c>
      <c r="O31" s="18" t="n">
        <v>0</v>
      </c>
      <c r="P31" s="20" t="n">
        <v>0</v>
      </c>
      <c r="Q31" s="18" t="n">
        <v>1.97074022</v>
      </c>
      <c r="R31" s="20" t="n">
        <v>0.61425787</v>
      </c>
    </row>
    <row r="32" spans="1:18">
      <c r="A32" s="15" t="s">
        <v>592</v>
      </c>
      <c r="B32" s="17" t="n">
        <v>2269</v>
      </c>
      <c r="C32" s="18">
        <f>(1750.0/B32*100)</f>
        <v/>
      </c>
      <c r="D32" s="19" t="n">
        <v>519</v>
      </c>
      <c r="E32" s="18" t="n">
        <v>28.93229364</v>
      </c>
      <c r="F32" s="20" t="n">
        <v>2.17791612</v>
      </c>
      <c r="G32" s="18" t="n">
        <v>70.5135101</v>
      </c>
      <c r="H32" s="20" t="n">
        <v>2.2284408</v>
      </c>
      <c r="I32" s="18" t="s">
        <v>567</v>
      </c>
      <c r="J32" s="20" t="s">
        <v>567</v>
      </c>
      <c r="K32" s="18" t="n">
        <v>0</v>
      </c>
      <c r="L32" s="20" t="n">
        <v>0</v>
      </c>
      <c r="M32" s="18" t="n">
        <v>0</v>
      </c>
      <c r="N32" s="20" t="n">
        <v>0</v>
      </c>
      <c r="O32" s="18" t="n">
        <v>0</v>
      </c>
      <c r="P32" s="20" t="n">
        <v>0</v>
      </c>
      <c r="Q32" s="18" t="n">
        <v>0.55419626</v>
      </c>
      <c r="R32" s="20" t="n">
        <v>0.32921589</v>
      </c>
    </row>
    <row r="33" spans="1:18">
      <c r="A33" s="15" t="s">
        <v>593</v>
      </c>
      <c r="B33" s="17" t="n">
        <v>3674</v>
      </c>
      <c r="C33" s="18">
        <f>(2888.0/B33*100)</f>
        <v/>
      </c>
      <c r="D33" s="19" t="n">
        <v>786</v>
      </c>
      <c r="E33" s="18" t="n">
        <v>20.35534395</v>
      </c>
      <c r="F33" s="20" t="n">
        <v>1.94915406</v>
      </c>
      <c r="G33" s="18" t="n">
        <v>78.44752731</v>
      </c>
      <c r="H33" s="20" t="n">
        <v>2.01709698</v>
      </c>
      <c r="I33" s="18" t="s">
        <v>567</v>
      </c>
      <c r="J33" s="20" t="s">
        <v>567</v>
      </c>
      <c r="K33" s="18" t="n">
        <v>0.02813779</v>
      </c>
      <c r="L33" s="20" t="n">
        <v>0.01628817</v>
      </c>
      <c r="M33" s="18" t="n">
        <v>0</v>
      </c>
      <c r="N33" s="20" t="n">
        <v>0</v>
      </c>
      <c r="O33" s="18" t="n">
        <v>0</v>
      </c>
      <c r="P33" s="20" t="n">
        <v>0</v>
      </c>
      <c r="Q33" s="18" t="n">
        <v>1.16899094</v>
      </c>
      <c r="R33" s="20" t="n">
        <v>0.65581975</v>
      </c>
    </row>
    <row r="34" spans="1:18">
      <c r="A34" s="15" t="s">
        <v>594</v>
      </c>
      <c r="B34" s="17" t="n">
        <v>3315</v>
      </c>
      <c r="C34" s="18">
        <f>(2611.0/B34*100)</f>
        <v/>
      </c>
      <c r="D34" s="19" t="n">
        <v>704</v>
      </c>
      <c r="E34" s="18" t="n">
        <v>39.30735017</v>
      </c>
      <c r="F34" s="20" t="n">
        <v>2.27196389</v>
      </c>
      <c r="G34" s="18" t="n">
        <v>59.45186265</v>
      </c>
      <c r="H34" s="20" t="n">
        <v>2.25416066</v>
      </c>
      <c r="I34" s="18" t="s">
        <v>567</v>
      </c>
      <c r="J34" s="20" t="s">
        <v>567</v>
      </c>
      <c r="K34" s="18" t="n">
        <v>0.13989385</v>
      </c>
      <c r="L34" s="20" t="n">
        <v>0.13519615</v>
      </c>
      <c r="M34" s="18" t="n">
        <v>0</v>
      </c>
      <c r="N34" s="20" t="n">
        <v>0</v>
      </c>
      <c r="O34" s="18" t="n">
        <v>0</v>
      </c>
      <c r="P34" s="20" t="n">
        <v>0</v>
      </c>
      <c r="Q34" s="18" t="n">
        <v>1.10089333</v>
      </c>
      <c r="R34" s="20" t="n">
        <v>0.37623362</v>
      </c>
    </row>
    <row r="35" spans="1:18">
      <c r="A35" s="15" t="s">
        <v>595</v>
      </c>
      <c r="B35" s="17" t="n">
        <v>3505</v>
      </c>
      <c r="C35" s="18">
        <f>(2728.0/B35*100)</f>
        <v/>
      </c>
      <c r="D35" s="19" t="n">
        <v>777</v>
      </c>
      <c r="E35" s="18" t="n">
        <v>25.48856509</v>
      </c>
      <c r="F35" s="20" t="n">
        <v>1.59856258</v>
      </c>
      <c r="G35" s="18" t="n">
        <v>73.50708092000001</v>
      </c>
      <c r="H35" s="20" t="n">
        <v>1.62536151</v>
      </c>
      <c r="I35" s="18" t="s">
        <v>567</v>
      </c>
      <c r="J35" s="20" t="s">
        <v>567</v>
      </c>
      <c r="K35" s="18" t="n">
        <v>0.16880798</v>
      </c>
      <c r="L35" s="20" t="n">
        <v>0.09780705000000001</v>
      </c>
      <c r="M35" s="18" t="n">
        <v>0</v>
      </c>
      <c r="N35" s="20" t="n">
        <v>0</v>
      </c>
      <c r="O35" s="18" t="n">
        <v>0</v>
      </c>
      <c r="P35" s="20" t="n">
        <v>0</v>
      </c>
      <c r="Q35" s="18" t="n">
        <v>0.83554601</v>
      </c>
      <c r="R35" s="20" t="n">
        <v>0.48817203</v>
      </c>
    </row>
    <row r="36" spans="1:18">
      <c r="A36" s="15" t="s">
        <v>596</v>
      </c>
      <c r="B36" s="17" t="n">
        <v>3332</v>
      </c>
      <c r="C36" s="18">
        <f>(2646.0/B36*100)</f>
        <v/>
      </c>
      <c r="D36" s="19" t="n">
        <v>686</v>
      </c>
      <c r="E36" s="18" t="n">
        <v>23.73365084</v>
      </c>
      <c r="F36" s="20" t="n">
        <v>2.03397569</v>
      </c>
      <c r="G36" s="18" t="n">
        <v>74.16269277000001</v>
      </c>
      <c r="H36" s="20" t="n">
        <v>2.09964795</v>
      </c>
      <c r="I36" s="18" t="s">
        <v>567</v>
      </c>
      <c r="J36" s="20" t="s">
        <v>567</v>
      </c>
      <c r="K36" s="18" t="n">
        <v>0.5271169999999999</v>
      </c>
      <c r="L36" s="20" t="n">
        <v>0.31606533</v>
      </c>
      <c r="M36" s="18" t="n">
        <v>0</v>
      </c>
      <c r="N36" s="20" t="n">
        <v>0</v>
      </c>
      <c r="O36" s="18" t="n">
        <v>0</v>
      </c>
      <c r="P36" s="20" t="n">
        <v>0</v>
      </c>
      <c r="Q36" s="18" t="n">
        <v>1.57653939</v>
      </c>
      <c r="R36" s="20" t="n">
        <v>0.54299124</v>
      </c>
    </row>
    <row r="37" spans="1:18">
      <c r="A37" s="15" t="s">
        <v>597</v>
      </c>
      <c r="B37" s="17" t="n">
        <v>2727</v>
      </c>
      <c r="C37" s="18">
        <f>(2157.0/B37*100)</f>
        <v/>
      </c>
      <c r="D37" s="19" t="n">
        <v>570</v>
      </c>
      <c r="E37" s="18" t="n">
        <v>29.58537332</v>
      </c>
      <c r="F37" s="20" t="n">
        <v>2.24453634</v>
      </c>
      <c r="G37" s="18" t="n">
        <v>68.02346501</v>
      </c>
      <c r="H37" s="20" t="n">
        <v>2.26495417</v>
      </c>
      <c r="I37" s="18" t="s">
        <v>567</v>
      </c>
      <c r="J37" s="20" t="s">
        <v>567</v>
      </c>
      <c r="K37" s="18" t="n">
        <v>0.49949741</v>
      </c>
      <c r="L37" s="20" t="n">
        <v>0.32639495</v>
      </c>
      <c r="M37" s="18" t="n">
        <v>0</v>
      </c>
      <c r="N37" s="20" t="n">
        <v>0</v>
      </c>
      <c r="O37" s="18" t="n">
        <v>0</v>
      </c>
      <c r="P37" s="20" t="n">
        <v>0</v>
      </c>
      <c r="Q37" s="18" t="n">
        <v>1.89166426</v>
      </c>
      <c r="R37" s="20" t="n">
        <v>0.59888411</v>
      </c>
    </row>
    <row r="38" spans="1:18">
      <c r="A38" s="15" t="s">
        <v>598</v>
      </c>
      <c r="B38" s="17" t="n">
        <v>3053</v>
      </c>
      <c r="C38" s="18">
        <f>(2404.0/B38*100)</f>
        <v/>
      </c>
      <c r="D38" s="19" t="n">
        <v>649</v>
      </c>
      <c r="E38" s="18" t="n">
        <v>23.51945981</v>
      </c>
      <c r="F38" s="20" t="n">
        <v>1.74384953</v>
      </c>
      <c r="G38" s="18" t="n">
        <v>73.93232962</v>
      </c>
      <c r="H38" s="20" t="n">
        <v>1.87766604</v>
      </c>
      <c r="I38" s="18" t="s">
        <v>567</v>
      </c>
      <c r="J38" s="20" t="s">
        <v>567</v>
      </c>
      <c r="K38" s="18" t="n">
        <v>0.19095777</v>
      </c>
      <c r="L38" s="20" t="n">
        <v>0.18687942</v>
      </c>
      <c r="M38" s="18" t="n">
        <v>0</v>
      </c>
      <c r="N38" s="20" t="n">
        <v>0</v>
      </c>
      <c r="O38" s="18" t="n">
        <v>0</v>
      </c>
      <c r="P38" s="20" t="n">
        <v>0</v>
      </c>
      <c r="Q38" s="18" t="n">
        <v>2.35725281</v>
      </c>
      <c r="R38" s="20" t="n">
        <v>0.68618032</v>
      </c>
    </row>
    <row r="39" spans="1:18">
      <c r="A39" s="15" t="s">
        <v>599</v>
      </c>
      <c r="B39" s="17" t="n">
        <v>2957</v>
      </c>
      <c r="C39" s="18">
        <f>(2319.0/B39*100)</f>
        <v/>
      </c>
      <c r="D39" s="19" t="n">
        <v>638</v>
      </c>
      <c r="E39" s="18" t="n">
        <v>43.00239847</v>
      </c>
      <c r="F39" s="20" t="n">
        <v>2.38679527</v>
      </c>
      <c r="G39" s="18" t="n">
        <v>55.72229415</v>
      </c>
      <c r="H39" s="20" t="n">
        <v>2.37209402</v>
      </c>
      <c r="I39" s="18" t="s">
        <v>567</v>
      </c>
      <c r="J39" s="20" t="s">
        <v>567</v>
      </c>
      <c r="K39" s="18" t="n">
        <v>0.78873408</v>
      </c>
      <c r="L39" s="20" t="n">
        <v>0.30544376</v>
      </c>
      <c r="M39" s="18" t="n">
        <v>0</v>
      </c>
      <c r="N39" s="20" t="n">
        <v>0</v>
      </c>
      <c r="O39" s="18" t="n">
        <v>0</v>
      </c>
      <c r="P39" s="20" t="n">
        <v>0</v>
      </c>
      <c r="Q39" s="18" t="n">
        <v>0.48657331</v>
      </c>
      <c r="R39" s="20" t="n">
        <v>0.21220404</v>
      </c>
    </row>
    <row r="40" spans="1:18">
      <c r="A40" s="15" t="s">
        <v>600</v>
      </c>
      <c r="B40" s="17" t="n">
        <v>7235</v>
      </c>
      <c r="C40" s="18">
        <f>(5654.0/B40*100)</f>
        <v/>
      </c>
      <c r="D40" s="19" t="n">
        <v>1581</v>
      </c>
      <c r="E40" s="18" t="n">
        <v>27.17513226</v>
      </c>
      <c r="F40" s="20" t="n">
        <v>1.60209327</v>
      </c>
      <c r="G40" s="18" t="n">
        <v>71.09076607</v>
      </c>
      <c r="H40" s="20" t="n">
        <v>1.73786363</v>
      </c>
      <c r="I40" s="18" t="s">
        <v>567</v>
      </c>
      <c r="J40" s="20" t="s">
        <v>567</v>
      </c>
      <c r="K40" s="18" t="n">
        <v>0.12512403</v>
      </c>
      <c r="L40" s="20" t="n">
        <v>0.05541353</v>
      </c>
      <c r="M40" s="18" t="n">
        <v>0</v>
      </c>
      <c r="N40" s="20" t="n">
        <v>0</v>
      </c>
      <c r="O40" s="18" t="n">
        <v>0</v>
      </c>
      <c r="P40" s="20" t="n">
        <v>0</v>
      </c>
      <c r="Q40" s="18" t="n">
        <v>1.60897764</v>
      </c>
      <c r="R40" s="20" t="n">
        <v>0.45401507</v>
      </c>
    </row>
    <row r="41" spans="1:18">
      <c r="A41" s="15" t="s">
        <v>601</v>
      </c>
      <c r="B41" s="17" t="n">
        <v>2858</v>
      </c>
      <c r="C41" s="18">
        <f>(2273.0/B41*100)</f>
        <v/>
      </c>
      <c r="D41" s="19" t="n">
        <v>585</v>
      </c>
      <c r="E41" s="18" t="n">
        <v>26.79809705</v>
      </c>
      <c r="F41" s="20" t="n">
        <v>1.72447528</v>
      </c>
      <c r="G41" s="18" t="n">
        <v>72.89236777000001</v>
      </c>
      <c r="H41" s="20" t="n">
        <v>1.74430059</v>
      </c>
      <c r="I41" s="18" t="s">
        <v>567</v>
      </c>
      <c r="J41" s="20" t="s">
        <v>567</v>
      </c>
      <c r="K41" s="18" t="n">
        <v>0</v>
      </c>
      <c r="L41" s="20" t="n">
        <v>0</v>
      </c>
      <c r="M41" s="18" t="n">
        <v>0</v>
      </c>
      <c r="N41" s="20" t="n">
        <v>0</v>
      </c>
      <c r="O41" s="18" t="n">
        <v>0</v>
      </c>
      <c r="P41" s="20" t="n">
        <v>0</v>
      </c>
      <c r="Q41" s="18" t="n">
        <v>0.30953518</v>
      </c>
      <c r="R41" s="20" t="n">
        <v>0.23716366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(9111.0/B46*100)</f>
        <v/>
      </c>
      <c r="D46" s="19" t="n">
        <v>1957</v>
      </c>
      <c r="E46" s="18" t="n">
        <v>44.80678268</v>
      </c>
      <c r="F46" s="20" t="n">
        <v>1.52697594</v>
      </c>
      <c r="G46" s="18" t="n">
        <v>51.92679124</v>
      </c>
      <c r="H46" s="20" t="n">
        <v>1.53538813</v>
      </c>
      <c r="I46" s="18" t="s">
        <v>567</v>
      </c>
      <c r="J46" s="20" t="s">
        <v>567</v>
      </c>
      <c r="K46" s="18" t="n">
        <v>1.46655144</v>
      </c>
      <c r="L46" s="20" t="n">
        <v>0.37251483</v>
      </c>
      <c r="M46" s="18" t="n">
        <v>0</v>
      </c>
      <c r="N46" s="20" t="n">
        <v>0</v>
      </c>
      <c r="O46" s="18" t="n">
        <v>0</v>
      </c>
      <c r="P46" s="20" t="n">
        <v>0</v>
      </c>
      <c r="Q46" s="18" t="n">
        <v>1.79987464</v>
      </c>
      <c r="R46" s="20" t="n">
        <v>0.42552087</v>
      </c>
    </row>
    <row r="47" spans="1:18">
      <c r="A47" s="15" t="s">
        <v>607</v>
      </c>
      <c r="B47" s="17" t="n">
        <v>3105</v>
      </c>
      <c r="C47" s="18">
        <f>(2476.0/B47*100)</f>
        <v/>
      </c>
      <c r="D47" s="19" t="n">
        <v>629</v>
      </c>
      <c r="E47" s="18" t="n">
        <v>45.17572287</v>
      </c>
      <c r="F47" s="20" t="n">
        <v>2.30256135</v>
      </c>
      <c r="G47" s="18" t="n">
        <v>52.66088414</v>
      </c>
      <c r="H47" s="20" t="n">
        <v>2.39878866</v>
      </c>
      <c r="I47" s="18" t="s">
        <v>567</v>
      </c>
      <c r="J47" s="20" t="s">
        <v>567</v>
      </c>
      <c r="K47" s="18" t="n">
        <v>0.77456334</v>
      </c>
      <c r="L47" s="20" t="n">
        <v>0.36029447</v>
      </c>
      <c r="M47" s="18" t="n">
        <v>0</v>
      </c>
      <c r="N47" s="20" t="n">
        <v>0</v>
      </c>
      <c r="O47" s="18" t="n">
        <v>0</v>
      </c>
      <c r="P47" s="20" t="n">
        <v>0</v>
      </c>
      <c r="Q47" s="18" t="n">
        <v>1.38882965</v>
      </c>
      <c r="R47" s="20" t="n">
        <v>0.45508616</v>
      </c>
    </row>
    <row r="48" spans="1:18">
      <c r="A48" s="15" t="s">
        <v>608</v>
      </c>
      <c r="B48" s="17" t="n">
        <v>5159</v>
      </c>
      <c r="C48" s="18">
        <f>(4030.0/B48*100)</f>
        <v/>
      </c>
      <c r="D48" s="19" t="n">
        <v>1129</v>
      </c>
      <c r="E48" s="18" t="n">
        <v>21.52759647</v>
      </c>
      <c r="F48" s="20" t="n">
        <v>1.7666357</v>
      </c>
      <c r="G48" s="18" t="n">
        <v>77.43466107</v>
      </c>
      <c r="H48" s="20" t="n">
        <v>1.78858266</v>
      </c>
      <c r="I48" s="18" t="s">
        <v>567</v>
      </c>
      <c r="J48" s="20" t="s">
        <v>567</v>
      </c>
      <c r="K48" s="18" t="n">
        <v>0.85775265</v>
      </c>
      <c r="L48" s="20" t="n">
        <v>0.41244603</v>
      </c>
      <c r="M48" s="18" t="n">
        <v>0</v>
      </c>
      <c r="N48" s="20" t="n">
        <v>0</v>
      </c>
      <c r="O48" s="18" t="n">
        <v>0</v>
      </c>
      <c r="P48" s="20" t="n">
        <v>0</v>
      </c>
      <c r="Q48" s="18" t="n">
        <v>0.1799898</v>
      </c>
      <c r="R48" s="20" t="n">
        <v>0.15605873</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(4463.0/B50*100)</f>
        <v/>
      </c>
      <c r="D50" s="19" t="n">
        <v>1174</v>
      </c>
      <c r="E50" s="18" t="n">
        <v>36.20256457</v>
      </c>
      <c r="F50" s="20" t="n">
        <v>1.97138784</v>
      </c>
      <c r="G50" s="18" t="n">
        <v>60.19734719</v>
      </c>
      <c r="H50" s="20" t="n">
        <v>2.05932505</v>
      </c>
      <c r="I50" s="18" t="s">
        <v>567</v>
      </c>
      <c r="J50" s="20" t="s">
        <v>567</v>
      </c>
      <c r="K50" s="18" t="n">
        <v>2.98141534</v>
      </c>
      <c r="L50" s="20" t="n">
        <v>0.76219265</v>
      </c>
      <c r="M50" s="18" t="n">
        <v>0</v>
      </c>
      <c r="N50" s="20" t="n">
        <v>0</v>
      </c>
      <c r="O50" s="18" t="n">
        <v>0</v>
      </c>
      <c r="P50" s="20" t="n">
        <v>0</v>
      </c>
      <c r="Q50" s="18" t="n">
        <v>0.61867291</v>
      </c>
      <c r="R50" s="20" t="n">
        <v>0.3092874</v>
      </c>
    </row>
    <row r="51" spans="1:18">
      <c r="A51" s="15" t="s">
        <v>611</v>
      </c>
      <c r="B51" s="17" t="n">
        <v>3372</v>
      </c>
      <c r="C51" s="18">
        <f>(2776.0/B51*100)</f>
        <v/>
      </c>
      <c r="D51" s="19" t="n">
        <v>596</v>
      </c>
      <c r="E51" s="18" t="n">
        <v>33.73392042</v>
      </c>
      <c r="F51" s="20" t="n">
        <v>1.93679088</v>
      </c>
      <c r="G51" s="18" t="n">
        <v>64.68738799</v>
      </c>
      <c r="H51" s="20" t="n">
        <v>1.98514608</v>
      </c>
      <c r="I51" s="18" t="s">
        <v>567</v>
      </c>
      <c r="J51" s="20" t="s">
        <v>567</v>
      </c>
      <c r="K51" s="18" t="n">
        <v>0.65334739</v>
      </c>
      <c r="L51" s="20" t="n">
        <v>0.32858583</v>
      </c>
      <c r="M51" s="18" t="n">
        <v>0</v>
      </c>
      <c r="N51" s="20" t="n">
        <v>0</v>
      </c>
      <c r="O51" s="18" t="n">
        <v>0</v>
      </c>
      <c r="P51" s="20" t="n">
        <v>0</v>
      </c>
      <c r="Q51" s="18" t="n">
        <v>0.9253442</v>
      </c>
      <c r="R51" s="20" t="n">
        <v>0.38652238</v>
      </c>
    </row>
    <row r="52" spans="1:18">
      <c r="A52" s="15" t="s">
        <v>612</v>
      </c>
      <c r="B52" s="17" t="n">
        <v>2796</v>
      </c>
      <c r="C52" s="18">
        <f>(2145.0/B52*100)</f>
        <v/>
      </c>
      <c r="D52" s="19" t="n">
        <v>651</v>
      </c>
      <c r="E52" s="18" t="n">
        <v>32.92813219</v>
      </c>
      <c r="F52" s="20" t="n">
        <v>2.12602977</v>
      </c>
      <c r="G52" s="18" t="n">
        <v>65.32223299</v>
      </c>
      <c r="H52" s="20" t="n">
        <v>2.14394154</v>
      </c>
      <c r="I52" s="18" t="s">
        <v>567</v>
      </c>
      <c r="J52" s="20" t="s">
        <v>567</v>
      </c>
      <c r="K52" s="18" t="n">
        <v>0.27580369</v>
      </c>
      <c r="L52" s="20" t="n">
        <v>0.19401452</v>
      </c>
      <c r="M52" s="18" t="n">
        <v>0</v>
      </c>
      <c r="N52" s="20" t="n">
        <v>0</v>
      </c>
      <c r="O52" s="18" t="n">
        <v>0</v>
      </c>
      <c r="P52" s="20" t="n">
        <v>0</v>
      </c>
      <c r="Q52" s="18" t="n">
        <v>1.47383114</v>
      </c>
      <c r="R52" s="20" t="n">
        <v>0.42690137</v>
      </c>
    </row>
    <row r="53" spans="1:18">
      <c r="A53" s="15" t="s">
        <v>613</v>
      </c>
      <c r="B53" s="17" t="n">
        <v>2811</v>
      </c>
      <c r="C53" s="18">
        <f>(2214.0/B53*100)</f>
        <v/>
      </c>
      <c r="D53" s="19" t="n">
        <v>597</v>
      </c>
      <c r="E53" s="18" t="n">
        <v>46.59151544</v>
      </c>
      <c r="F53" s="20" t="n">
        <v>2.07694345</v>
      </c>
      <c r="G53" s="18" t="n">
        <v>49.87922273</v>
      </c>
      <c r="H53" s="20" t="n">
        <v>2.08803342</v>
      </c>
      <c r="I53" s="18" t="s">
        <v>567</v>
      </c>
      <c r="J53" s="20" t="s">
        <v>567</v>
      </c>
      <c r="K53" s="18" t="n">
        <v>0.63912334</v>
      </c>
      <c r="L53" s="20" t="n">
        <v>0.32364356</v>
      </c>
      <c r="M53" s="18" t="n">
        <v>0</v>
      </c>
      <c r="N53" s="20" t="n">
        <v>0</v>
      </c>
      <c r="O53" s="18" t="n">
        <v>0</v>
      </c>
      <c r="P53" s="20" t="n">
        <v>0</v>
      </c>
      <c r="Q53" s="18" t="n">
        <v>2.89013848</v>
      </c>
      <c r="R53" s="20" t="n">
        <v>0.66375059</v>
      </c>
    </row>
    <row r="54" spans="1:18">
      <c r="A54" s="15" t="s">
        <v>614</v>
      </c>
      <c r="B54" s="17" t="n">
        <v>2266</v>
      </c>
      <c r="C54" s="18">
        <f>(1741.0/B54*100)</f>
        <v/>
      </c>
      <c r="D54" s="19" t="n">
        <v>525</v>
      </c>
      <c r="E54" s="18" t="n">
        <v>49.85041687</v>
      </c>
      <c r="F54" s="20" t="n">
        <v>1.96191305</v>
      </c>
      <c r="G54" s="18" t="n">
        <v>35.11110767</v>
      </c>
      <c r="H54" s="20" t="n">
        <v>2.12794706</v>
      </c>
      <c r="I54" s="18" t="s">
        <v>567</v>
      </c>
      <c r="J54" s="20" t="s">
        <v>567</v>
      </c>
      <c r="K54" s="18" t="n">
        <v>10.8443625</v>
      </c>
      <c r="L54" s="20" t="n">
        <v>1.61202737</v>
      </c>
      <c r="M54" s="18" t="n">
        <v>0</v>
      </c>
      <c r="N54" s="20" t="n">
        <v>0</v>
      </c>
      <c r="O54" s="18" t="n">
        <v>0</v>
      </c>
      <c r="P54" s="20" t="n">
        <v>0</v>
      </c>
      <c r="Q54" s="18" t="n">
        <v>4.19411296</v>
      </c>
      <c r="R54" s="20" t="n">
        <v>1.23718</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(2066.0/B56*100)</f>
        <v/>
      </c>
      <c r="D56" s="19" t="n">
        <v>618</v>
      </c>
      <c r="E56" s="18" t="n">
        <v>18.77989397</v>
      </c>
      <c r="F56" s="20" t="n">
        <v>1.76367066</v>
      </c>
      <c r="G56" s="18" t="n">
        <v>80.21403782</v>
      </c>
      <c r="H56" s="20" t="n">
        <v>1.91115737</v>
      </c>
      <c r="I56" s="18" t="s">
        <v>567</v>
      </c>
      <c r="J56" s="20" t="s">
        <v>567</v>
      </c>
      <c r="K56" s="18" t="n">
        <v>0.20162848</v>
      </c>
      <c r="L56" s="20" t="n">
        <v>0.19641243</v>
      </c>
      <c r="M56" s="18" t="n">
        <v>0</v>
      </c>
      <c r="N56" s="20" t="n">
        <v>0</v>
      </c>
      <c r="O56" s="18" t="n">
        <v>0</v>
      </c>
      <c r="P56" s="20" t="n">
        <v>0</v>
      </c>
      <c r="Q56" s="18" t="n">
        <v>0.80443973</v>
      </c>
      <c r="R56" s="20" t="n">
        <v>0.46667407</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(2593.0/B61*100)</f>
        <v/>
      </c>
      <c r="D61" s="19" t="n">
        <v>731</v>
      </c>
      <c r="E61" s="18" t="n">
        <v>31.99123847</v>
      </c>
      <c r="F61" s="20" t="n">
        <v>2.07900482</v>
      </c>
      <c r="G61" s="18" t="n">
        <v>67.35953408</v>
      </c>
      <c r="H61" s="20" t="n">
        <v>2.11500693</v>
      </c>
      <c r="I61" s="18" t="s">
        <v>567</v>
      </c>
      <c r="J61" s="20" t="s">
        <v>567</v>
      </c>
      <c r="K61" s="18" t="n">
        <v>0</v>
      </c>
      <c r="L61" s="20" t="n">
        <v>0</v>
      </c>
      <c r="M61" s="18" t="n">
        <v>0</v>
      </c>
      <c r="N61" s="20" t="n">
        <v>0</v>
      </c>
      <c r="O61" s="18" t="n">
        <v>0</v>
      </c>
      <c r="P61" s="20" t="n">
        <v>0</v>
      </c>
      <c r="Q61" s="18" t="n">
        <v>0.64922746</v>
      </c>
      <c r="R61" s="20" t="n">
        <v>0.31410655</v>
      </c>
    </row>
    <row r="62" spans="1:18">
      <c r="A62" s="15" t="s">
        <v>622</v>
      </c>
      <c r="B62" s="17" t="n">
        <v>2246</v>
      </c>
      <c r="C62" s="18">
        <f>(1790.0/B62*100)</f>
        <v/>
      </c>
      <c r="D62" s="19" t="n">
        <v>456</v>
      </c>
      <c r="E62" s="18" t="n">
        <v>21.48966483</v>
      </c>
      <c r="F62" s="20" t="n">
        <v>1.98544147</v>
      </c>
      <c r="G62" s="18" t="n">
        <v>78.06833731</v>
      </c>
      <c r="H62" s="20" t="n">
        <v>1.96526671</v>
      </c>
      <c r="I62" s="18" t="s">
        <v>567</v>
      </c>
      <c r="J62" s="20" t="s">
        <v>567</v>
      </c>
      <c r="K62" s="18" t="n">
        <v>0</v>
      </c>
      <c r="L62" s="20" t="n">
        <v>0</v>
      </c>
      <c r="M62" s="18" t="n">
        <v>0</v>
      </c>
      <c r="N62" s="20" t="n">
        <v>0</v>
      </c>
      <c r="O62" s="18" t="n">
        <v>0</v>
      </c>
      <c r="P62" s="20" t="n">
        <v>0</v>
      </c>
      <c r="Q62" s="18" t="n">
        <v>0.44199786</v>
      </c>
      <c r="R62" s="20" t="n">
        <v>0.3148859</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(2249.0/B66*100)</f>
        <v/>
      </c>
      <c r="D66" s="19" t="n">
        <v>645</v>
      </c>
      <c r="E66" s="18" t="n">
        <v>46.47243245</v>
      </c>
      <c r="F66" s="20" t="n">
        <v>2.14190305</v>
      </c>
      <c r="G66" s="18" t="n">
        <v>48.82018254</v>
      </c>
      <c r="H66" s="20" t="n">
        <v>2.25548877</v>
      </c>
      <c r="I66" s="18" t="s">
        <v>567</v>
      </c>
      <c r="J66" s="20" t="s">
        <v>567</v>
      </c>
      <c r="K66" s="18" t="n">
        <v>1.05358958</v>
      </c>
      <c r="L66" s="20" t="n">
        <v>0.39621752</v>
      </c>
      <c r="M66" s="18" t="n">
        <v>0</v>
      </c>
      <c r="N66" s="20" t="n">
        <v>0</v>
      </c>
      <c r="O66" s="18" t="n">
        <v>0</v>
      </c>
      <c r="P66" s="20" t="n">
        <v>0</v>
      </c>
      <c r="Q66" s="18" t="n">
        <v>3.65379543</v>
      </c>
      <c r="R66" s="20" t="n">
        <v>0.67722286</v>
      </c>
    </row>
    <row r="67" spans="1:18">
      <c r="A67" s="15" t="s">
        <v>627</v>
      </c>
      <c r="B67" s="17" t="n">
        <v>3511</v>
      </c>
      <c r="C67" s="18">
        <f>(2825.0/B67*100)</f>
        <v/>
      </c>
      <c r="D67" s="19" t="n">
        <v>686</v>
      </c>
      <c r="E67" s="18" t="n">
        <v>42.62448377</v>
      </c>
      <c r="F67" s="20" t="n">
        <v>2.10990698</v>
      </c>
      <c r="G67" s="18" t="n">
        <v>56.8498387</v>
      </c>
      <c r="H67" s="20" t="n">
        <v>2.14159603</v>
      </c>
      <c r="I67" s="18" t="s">
        <v>567</v>
      </c>
      <c r="J67" s="20" t="s">
        <v>567</v>
      </c>
      <c r="K67" s="18" t="n">
        <v>0.27943243</v>
      </c>
      <c r="L67" s="20" t="n">
        <v>0.2057175</v>
      </c>
      <c r="M67" s="18" t="n">
        <v>0</v>
      </c>
      <c r="N67" s="20" t="n">
        <v>0</v>
      </c>
      <c r="O67" s="18" t="n">
        <v>0</v>
      </c>
      <c r="P67" s="20" t="n">
        <v>0</v>
      </c>
      <c r="Q67" s="18" t="n">
        <v>0.2462451</v>
      </c>
      <c r="R67" s="20" t="n">
        <v>0.18169384</v>
      </c>
    </row>
    <row r="68" spans="1:18">
      <c r="A68" s="15" t="s">
        <v>628</v>
      </c>
      <c r="B68" s="17" t="n">
        <v>6049</v>
      </c>
      <c r="C68" s="18">
        <f>(4720.0/B68*100)</f>
        <v/>
      </c>
      <c r="D68" s="19" t="n">
        <v>1329</v>
      </c>
      <c r="E68" s="18" t="n">
        <v>46.52431059</v>
      </c>
      <c r="F68" s="20" t="n">
        <v>1.31124358</v>
      </c>
      <c r="G68" s="18" t="n">
        <v>46.60013553</v>
      </c>
      <c r="H68" s="20" t="n">
        <v>1.32642153</v>
      </c>
      <c r="I68" s="18" t="s">
        <v>567</v>
      </c>
      <c r="J68" s="20" t="s">
        <v>567</v>
      </c>
      <c r="K68" s="18" t="n">
        <v>3.17919024</v>
      </c>
      <c r="L68" s="20" t="n">
        <v>0.50757056</v>
      </c>
      <c r="M68" s="18" t="n">
        <v>0</v>
      </c>
      <c r="N68" s="20" t="n">
        <v>0</v>
      </c>
      <c r="O68" s="18" t="n">
        <v>0</v>
      </c>
      <c r="P68" s="20" t="n">
        <v>0</v>
      </c>
      <c r="Q68" s="18" t="n">
        <v>3.69636364</v>
      </c>
      <c r="R68" s="20" t="n">
        <v>0.51721608</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(2335.0/B70*100)</f>
        <v/>
      </c>
      <c r="D70" s="19" t="n">
        <v>594</v>
      </c>
      <c r="E70" s="18" t="n">
        <v>31.92414281</v>
      </c>
      <c r="F70" s="20" t="n">
        <v>2.0567044</v>
      </c>
      <c r="G70" s="18" t="n">
        <v>66.26759357</v>
      </c>
      <c r="H70" s="20" t="n">
        <v>2.12814718</v>
      </c>
      <c r="I70" s="18" t="s">
        <v>567</v>
      </c>
      <c r="J70" s="20" t="s">
        <v>567</v>
      </c>
      <c r="K70" s="18" t="n">
        <v>0.26171905</v>
      </c>
      <c r="L70" s="20" t="n">
        <v>0.17285809</v>
      </c>
      <c r="M70" s="18" t="n">
        <v>0</v>
      </c>
      <c r="N70" s="20" t="n">
        <v>0</v>
      </c>
      <c r="O70" s="18" t="n">
        <v>0</v>
      </c>
      <c r="P70" s="20" t="n">
        <v>0</v>
      </c>
      <c r="Q70" s="18" t="n">
        <v>1.54654458</v>
      </c>
      <c r="R70" s="20" t="n">
        <v>0.54387741</v>
      </c>
    </row>
    <row r="71" spans="1:18">
      <c r="A71" s="15" t="s">
        <v>631</v>
      </c>
      <c r="B71" s="17" t="n">
        <v>3142</v>
      </c>
      <c r="C71" s="18">
        <f>(2464.0/B71*100)</f>
        <v/>
      </c>
      <c r="D71" s="19" t="n">
        <v>678</v>
      </c>
      <c r="E71" s="18" t="n">
        <v>15.13839854</v>
      </c>
      <c r="F71" s="20" t="n">
        <v>1.32360746</v>
      </c>
      <c r="G71" s="18" t="n">
        <v>84.58007646999999</v>
      </c>
      <c r="H71" s="20" t="n">
        <v>1.32084747</v>
      </c>
      <c r="I71" s="18" t="s">
        <v>567</v>
      </c>
      <c r="J71" s="20" t="s">
        <v>567</v>
      </c>
      <c r="K71" s="18" t="n">
        <v>0.20489601</v>
      </c>
      <c r="L71" s="20" t="n">
        <v>0.14824826</v>
      </c>
      <c r="M71" s="18" t="n">
        <v>0</v>
      </c>
      <c r="N71" s="20" t="n">
        <v>0</v>
      </c>
      <c r="O71" s="18" t="n">
        <v>0</v>
      </c>
      <c r="P71" s="20" t="n">
        <v>0</v>
      </c>
      <c r="Q71" s="18" t="n">
        <v>0.07662898</v>
      </c>
      <c r="R71" s="20" t="n">
        <v>0.07679919</v>
      </c>
    </row>
    <row r="72" spans="1:18">
      <c r="A72" s="15" t="s">
        <v>632</v>
      </c>
      <c r="B72" s="17" t="n">
        <v>3889</v>
      </c>
      <c r="C72" s="18">
        <f>(3011.0/B72*100)</f>
        <v/>
      </c>
      <c r="D72" s="19" t="n">
        <v>878</v>
      </c>
      <c r="E72" s="18" t="n">
        <v>18.06865035</v>
      </c>
      <c r="F72" s="20" t="n">
        <v>1.42966174</v>
      </c>
      <c r="G72" s="18" t="n">
        <v>81.51702346</v>
      </c>
      <c r="H72" s="20" t="n">
        <v>1.44720349</v>
      </c>
      <c r="I72" s="18" t="s">
        <v>567</v>
      </c>
      <c r="J72" s="20" t="s">
        <v>567</v>
      </c>
      <c r="K72" s="18" t="n">
        <v>0.31903527</v>
      </c>
      <c r="L72" s="20" t="n">
        <v>0.15144268</v>
      </c>
      <c r="M72" s="18" t="n">
        <v>0</v>
      </c>
      <c r="N72" s="20" t="n">
        <v>0</v>
      </c>
      <c r="O72" s="18" t="n">
        <v>0</v>
      </c>
      <c r="P72" s="20" t="n">
        <v>0</v>
      </c>
      <c r="Q72" s="18" t="n">
        <v>0.09529092</v>
      </c>
      <c r="R72" s="20" t="n">
        <v>0.09413898</v>
      </c>
    </row>
    <row r="73" spans="1:18">
      <c r="A73" s="15" t="s">
        <v>633</v>
      </c>
      <c r="B73" s="17" t="n">
        <v>3597</v>
      </c>
      <c r="C73" s="18">
        <f>(2805.0/B73*100)</f>
        <v/>
      </c>
      <c r="D73" s="19" t="n">
        <v>792</v>
      </c>
      <c r="E73" s="18" t="n">
        <v>43.94872661</v>
      </c>
      <c r="F73" s="20" t="n">
        <v>2.90095962</v>
      </c>
      <c r="G73" s="18" t="n">
        <v>55.11724974</v>
      </c>
      <c r="H73" s="20" t="n">
        <v>3.0136463</v>
      </c>
      <c r="I73" s="18" t="s">
        <v>567</v>
      </c>
      <c r="J73" s="20" t="s">
        <v>567</v>
      </c>
      <c r="K73" s="18" t="n">
        <v>0</v>
      </c>
      <c r="L73" s="20" t="n">
        <v>0</v>
      </c>
      <c r="M73" s="18" t="n">
        <v>0</v>
      </c>
      <c r="N73" s="20" t="n">
        <v>0</v>
      </c>
      <c r="O73" s="18" t="n">
        <v>0</v>
      </c>
      <c r="P73" s="20" t="n">
        <v>0</v>
      </c>
      <c r="Q73" s="18" t="n">
        <v>0.93402365</v>
      </c>
      <c r="R73" s="20" t="n">
        <v>0.36703553</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(1922.0/B75*100)</f>
        <v/>
      </c>
      <c r="D75" s="19" t="n">
        <v>484</v>
      </c>
      <c r="E75" s="18" t="n">
        <v>43.90185856</v>
      </c>
      <c r="F75" s="20" t="n">
        <v>2.48269201</v>
      </c>
      <c r="G75" s="18" t="n">
        <v>52.38557473</v>
      </c>
      <c r="H75" s="20" t="n">
        <v>2.54535246</v>
      </c>
      <c r="I75" s="18" t="s">
        <v>567</v>
      </c>
      <c r="J75" s="20" t="s">
        <v>567</v>
      </c>
      <c r="K75" s="18" t="n">
        <v>1.46908295</v>
      </c>
      <c r="L75" s="20" t="n">
        <v>0.52460451</v>
      </c>
      <c r="M75" s="18" t="n">
        <v>0</v>
      </c>
      <c r="N75" s="20" t="n">
        <v>0</v>
      </c>
      <c r="O75" s="18" t="n">
        <v>0</v>
      </c>
      <c r="P75" s="20" t="n">
        <v>0</v>
      </c>
      <c r="Q75" s="18" t="n">
        <v>2.24348376</v>
      </c>
      <c r="R75" s="20" t="n">
        <v>0.7383111999999999</v>
      </c>
    </row>
    <row r="76" spans="1:18">
      <c r="A76" s="15" t="s">
        <v>636</v>
      </c>
      <c r="B76" s="17" t="n">
        <v>7052</v>
      </c>
      <c r="C76" s="18">
        <f>(5535.0/B76*100)</f>
        <v/>
      </c>
      <c r="D76" s="19" t="n">
        <v>1517</v>
      </c>
      <c r="E76" s="18" t="n">
        <v>46.21898189</v>
      </c>
      <c r="F76" s="20" t="n">
        <v>1.5610737</v>
      </c>
      <c r="G76" s="18" t="n">
        <v>51.12572216</v>
      </c>
      <c r="H76" s="20" t="n">
        <v>1.50250119</v>
      </c>
      <c r="I76" s="18" t="s">
        <v>567</v>
      </c>
      <c r="J76" s="20" t="s">
        <v>567</v>
      </c>
      <c r="K76" s="18" t="n">
        <v>0.7008286500000001</v>
      </c>
      <c r="L76" s="20" t="n">
        <v>0.22567936</v>
      </c>
      <c r="M76" s="18" t="n">
        <v>0</v>
      </c>
      <c r="N76" s="20" t="n">
        <v>0</v>
      </c>
      <c r="O76" s="18" t="n">
        <v>0</v>
      </c>
      <c r="P76" s="20" t="n">
        <v>0</v>
      </c>
      <c r="Q76" s="18" t="n">
        <v>1.9544673</v>
      </c>
      <c r="R76" s="20" t="n">
        <v>0.41885048</v>
      </c>
    </row>
    <row r="77" spans="1:18">
      <c r="A77" s="15" t="s">
        <v>637</v>
      </c>
      <c r="B77" s="17" t="n">
        <v>2908</v>
      </c>
      <c r="C77" s="18">
        <f>(2273.0/B77*100)</f>
        <v/>
      </c>
      <c r="D77" s="19" t="n">
        <v>635</v>
      </c>
      <c r="E77" s="18" t="n">
        <v>32.44194657</v>
      </c>
      <c r="F77" s="20" t="n">
        <v>1.8586744</v>
      </c>
      <c r="G77" s="18" t="n">
        <v>64.05480872</v>
      </c>
      <c r="H77" s="20" t="n">
        <v>1.99460518</v>
      </c>
      <c r="I77" s="18" t="s">
        <v>567</v>
      </c>
      <c r="J77" s="20" t="s">
        <v>567</v>
      </c>
      <c r="K77" s="18" t="n">
        <v>2.14415706</v>
      </c>
      <c r="L77" s="20" t="n">
        <v>0.5648945</v>
      </c>
      <c r="M77" s="18" t="n">
        <v>0</v>
      </c>
      <c r="N77" s="20" t="n">
        <v>0</v>
      </c>
      <c r="O77" s="18" t="n">
        <v>0</v>
      </c>
      <c r="P77" s="20" t="n">
        <v>0</v>
      </c>
      <c r="Q77" s="18" t="n">
        <v>1.35908765</v>
      </c>
      <c r="R77" s="20" t="n">
        <v>0.4746034</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(3217.0/B81*100)</f>
        <v/>
      </c>
      <c r="D81" s="19" t="n">
        <v>946</v>
      </c>
      <c r="E81" s="18" t="n">
        <v>35.31702348</v>
      </c>
      <c r="F81" s="20" t="n">
        <v>2.0942218</v>
      </c>
      <c r="G81" s="18" t="n">
        <v>63.8400567</v>
      </c>
      <c r="H81" s="20" t="n">
        <v>2.15724935</v>
      </c>
      <c r="I81" s="18" t="s">
        <v>567</v>
      </c>
      <c r="J81" s="20" t="s">
        <v>567</v>
      </c>
      <c r="K81" s="18" t="n">
        <v>0.32615872</v>
      </c>
      <c r="L81" s="20" t="n">
        <v>0.22957668</v>
      </c>
      <c r="M81" s="18" t="n">
        <v>0</v>
      </c>
      <c r="N81" s="20" t="n">
        <v>0</v>
      </c>
      <c r="O81" s="18" t="n">
        <v>0</v>
      </c>
      <c r="P81" s="20" t="n">
        <v>0</v>
      </c>
      <c r="Q81" s="18" t="n">
        <v>0.51676111</v>
      </c>
      <c r="R81" s="20" t="n">
        <v>0.39043063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(5800.0/B7*100)</f>
        <v/>
      </c>
      <c r="D7" s="19" t="n">
        <v>1567</v>
      </c>
      <c r="E7" s="18" t="n">
        <v>61.35591099</v>
      </c>
      <c r="F7" s="20" t="n">
        <v>1.54748031</v>
      </c>
      <c r="G7" s="18" t="n">
        <v>35.93282136</v>
      </c>
      <c r="H7" s="20" t="n">
        <v>1.54308825</v>
      </c>
      <c r="I7" s="18" t="s">
        <v>567</v>
      </c>
      <c r="J7" s="20" t="s">
        <v>567</v>
      </c>
      <c r="K7" s="18" t="n">
        <v>0.21226412</v>
      </c>
      <c r="L7" s="20" t="n">
        <v>0.08424265</v>
      </c>
      <c r="M7" s="18" t="n">
        <v>0.1271101</v>
      </c>
      <c r="N7" s="20" t="n">
        <v>0.11339722</v>
      </c>
      <c r="O7" s="18" t="n">
        <v>0</v>
      </c>
      <c r="P7" s="20" t="n">
        <v>0</v>
      </c>
      <c r="Q7" s="18" t="n">
        <v>2.37189342</v>
      </c>
      <c r="R7" s="20" t="n">
        <v>0.42816779</v>
      </c>
    </row>
    <row r="8" spans="1:18">
      <c r="A8" s="15" t="s">
        <v>568</v>
      </c>
      <c r="B8" s="17" t="n">
        <v>3564</v>
      </c>
      <c r="C8" s="18">
        <f>(2776.0/B8*100)</f>
        <v/>
      </c>
      <c r="D8" s="19" t="n">
        <v>788</v>
      </c>
      <c r="E8" s="18" t="n">
        <v>64.67571596000001</v>
      </c>
      <c r="F8" s="20" t="n">
        <v>1.77944749</v>
      </c>
      <c r="G8" s="18" t="n">
        <v>31.52622723</v>
      </c>
      <c r="H8" s="20" t="n">
        <v>1.80459095</v>
      </c>
      <c r="I8" s="18" t="s">
        <v>567</v>
      </c>
      <c r="J8" s="20" t="s">
        <v>567</v>
      </c>
      <c r="K8" s="18" t="n">
        <v>0.4648996</v>
      </c>
      <c r="L8" s="20" t="n">
        <v>0.25973976</v>
      </c>
      <c r="M8" s="18" t="n">
        <v>0</v>
      </c>
      <c r="N8" s="20" t="n">
        <v>0</v>
      </c>
      <c r="O8" s="18" t="n">
        <v>0</v>
      </c>
      <c r="P8" s="20" t="n">
        <v>0</v>
      </c>
      <c r="Q8" s="18" t="n">
        <v>3.33315722</v>
      </c>
      <c r="R8" s="20" t="n">
        <v>0.61022822</v>
      </c>
    </row>
    <row r="9" spans="1:18">
      <c r="A9" s="15" t="s">
        <v>569</v>
      </c>
      <c r="B9" s="17" t="n">
        <v>4899</v>
      </c>
      <c r="C9" s="18">
        <f>(3847.0/B9*100)</f>
        <v/>
      </c>
      <c r="D9" s="19" t="n">
        <v>1052</v>
      </c>
      <c r="E9" s="18" t="n">
        <v>55.8973514</v>
      </c>
      <c r="F9" s="20" t="n">
        <v>1.71231462</v>
      </c>
      <c r="G9" s="18" t="n">
        <v>41.40343746</v>
      </c>
      <c r="H9" s="20" t="n">
        <v>1.8234638</v>
      </c>
      <c r="I9" s="18" t="s">
        <v>567</v>
      </c>
      <c r="J9" s="20" t="s">
        <v>567</v>
      </c>
      <c r="K9" s="18" t="n">
        <v>0.41258422</v>
      </c>
      <c r="L9" s="20" t="n">
        <v>0.19509074</v>
      </c>
      <c r="M9" s="18" t="n">
        <v>0.369924</v>
      </c>
      <c r="N9" s="20" t="n">
        <v>0.18109223</v>
      </c>
      <c r="O9" s="18" t="n">
        <v>0</v>
      </c>
      <c r="P9" s="20" t="n">
        <v>0</v>
      </c>
      <c r="Q9" s="18" t="n">
        <v>1.91670292</v>
      </c>
      <c r="R9" s="20" t="n">
        <v>0.4903079</v>
      </c>
    </row>
    <row r="10" spans="1:18">
      <c r="A10" s="15" t="s">
        <v>570</v>
      </c>
      <c r="B10" s="17" t="n">
        <v>10036</v>
      </c>
      <c r="C10" s="18">
        <f>(7898.0/B10*100)</f>
        <v/>
      </c>
      <c r="D10" s="19" t="n">
        <v>2138</v>
      </c>
      <c r="E10" s="18" t="n">
        <v>55.19776182</v>
      </c>
      <c r="F10" s="20" t="n">
        <v>1.43744733</v>
      </c>
      <c r="G10" s="18" t="n">
        <v>42.81150368</v>
      </c>
      <c r="H10" s="20" t="n">
        <v>1.38330637</v>
      </c>
      <c r="I10" s="18" t="s">
        <v>567</v>
      </c>
      <c r="J10" s="20" t="s">
        <v>567</v>
      </c>
      <c r="K10" s="18" t="n">
        <v>0.36776651</v>
      </c>
      <c r="L10" s="20" t="n">
        <v>0.14881423</v>
      </c>
      <c r="M10" s="18" t="n">
        <v>0</v>
      </c>
      <c r="N10" s="20" t="n">
        <v>0</v>
      </c>
      <c r="O10" s="18" t="n">
        <v>0</v>
      </c>
      <c r="P10" s="20" t="n">
        <v>0</v>
      </c>
      <c r="Q10" s="18" t="n">
        <v>1.62296799</v>
      </c>
      <c r="R10" s="20" t="n">
        <v>0.4213362</v>
      </c>
    </row>
    <row r="11" spans="1:18">
      <c r="A11" s="15" t="s">
        <v>571</v>
      </c>
      <c r="B11" s="17" t="n">
        <v>3553</v>
      </c>
      <c r="C11" s="18">
        <f>(2872.0/B11*100)</f>
        <v/>
      </c>
      <c r="D11" s="19" t="n">
        <v>681</v>
      </c>
      <c r="E11" s="18" t="n">
        <v>76.93653707999999</v>
      </c>
      <c r="F11" s="20" t="n">
        <v>1.82893709</v>
      </c>
      <c r="G11" s="18" t="n">
        <v>15.39307843</v>
      </c>
      <c r="H11" s="20" t="n">
        <v>1.59037004</v>
      </c>
      <c r="I11" s="18" t="s">
        <v>567</v>
      </c>
      <c r="J11" s="20" t="s">
        <v>567</v>
      </c>
      <c r="K11" s="18" t="n">
        <v>0.5588926400000001</v>
      </c>
      <c r="L11" s="20" t="n">
        <v>0.30239807</v>
      </c>
      <c r="M11" s="18" t="n">
        <v>0</v>
      </c>
      <c r="N11" s="20" t="n">
        <v>0</v>
      </c>
      <c r="O11" s="18" t="n">
        <v>0</v>
      </c>
      <c r="P11" s="20" t="n">
        <v>0</v>
      </c>
      <c r="Q11" s="18" t="n">
        <v>7.11149185</v>
      </c>
      <c r="R11" s="20" t="n">
        <v>1.26808622</v>
      </c>
    </row>
    <row r="12" spans="1:18">
      <c r="A12" s="15" t="s">
        <v>572</v>
      </c>
      <c r="B12" s="17" t="n">
        <v>3472</v>
      </c>
      <c r="C12" s="18">
        <f>(2737.0/B12*100)</f>
        <v/>
      </c>
      <c r="D12" s="19" t="n">
        <v>735</v>
      </c>
      <c r="E12" s="18" t="n">
        <v>67.36062317</v>
      </c>
      <c r="F12" s="20" t="n">
        <v>2.05303554</v>
      </c>
      <c r="G12" s="18" t="n">
        <v>30.90886879</v>
      </c>
      <c r="H12" s="20" t="n">
        <v>2.0004906</v>
      </c>
      <c r="I12" s="18" t="s">
        <v>567</v>
      </c>
      <c r="J12" s="20" t="s">
        <v>567</v>
      </c>
      <c r="K12" s="18" t="n">
        <v>0.13594867</v>
      </c>
      <c r="L12" s="20" t="n">
        <v>0.13507707</v>
      </c>
      <c r="M12" s="18" t="n">
        <v>0</v>
      </c>
      <c r="N12" s="20" t="n">
        <v>0</v>
      </c>
      <c r="O12" s="18" t="n">
        <v>0</v>
      </c>
      <c r="P12" s="20" t="n">
        <v>0</v>
      </c>
      <c r="Q12" s="18" t="n">
        <v>1.59455937</v>
      </c>
      <c r="R12" s="20" t="n">
        <v>0.56531262</v>
      </c>
    </row>
    <row r="13" spans="1:18">
      <c r="A13" s="15" t="s">
        <v>573</v>
      </c>
      <c r="B13" s="17" t="n">
        <v>3559</v>
      </c>
      <c r="C13" s="18">
        <f>(2859.0/B13*100)</f>
        <v/>
      </c>
      <c r="D13" s="19" t="n">
        <v>700</v>
      </c>
      <c r="E13" s="18" t="n">
        <v>63.42413171</v>
      </c>
      <c r="F13" s="20" t="n">
        <v>2.53926825</v>
      </c>
      <c r="G13" s="18" t="n">
        <v>32.49261968</v>
      </c>
      <c r="H13" s="20" t="n">
        <v>2.50543812</v>
      </c>
      <c r="I13" s="18" t="s">
        <v>567</v>
      </c>
      <c r="J13" s="20" t="s">
        <v>567</v>
      </c>
      <c r="K13" s="18" t="n">
        <v>0.77543438</v>
      </c>
      <c r="L13" s="20" t="n">
        <v>0.38894793</v>
      </c>
      <c r="M13" s="18" t="n">
        <v>0.13256141</v>
      </c>
      <c r="N13" s="20" t="n">
        <v>0.13429495</v>
      </c>
      <c r="O13" s="18" t="n">
        <v>0</v>
      </c>
      <c r="P13" s="20" t="n">
        <v>0</v>
      </c>
      <c r="Q13" s="18" t="n">
        <v>3.17525283</v>
      </c>
      <c r="R13" s="20" t="n">
        <v>0.70418216</v>
      </c>
    </row>
    <row r="14" spans="1:18">
      <c r="A14" s="15" t="s">
        <v>574</v>
      </c>
      <c r="B14" s="17" t="n">
        <v>2799</v>
      </c>
      <c r="C14" s="18">
        <f>(2218.0/B14*100)</f>
        <v/>
      </c>
      <c r="D14" s="19" t="n">
        <v>581</v>
      </c>
      <c r="E14" s="18" t="n">
        <v>54.51121341</v>
      </c>
      <c r="F14" s="20" t="n">
        <v>2.45708413</v>
      </c>
      <c r="G14" s="18" t="n">
        <v>44.22927493</v>
      </c>
      <c r="H14" s="20" t="n">
        <v>2.4507071</v>
      </c>
      <c r="I14" s="18" t="s">
        <v>567</v>
      </c>
      <c r="J14" s="20" t="s">
        <v>567</v>
      </c>
      <c r="K14" s="18" t="n">
        <v>0.14339358</v>
      </c>
      <c r="L14" s="20" t="n">
        <v>0.14409431</v>
      </c>
      <c r="M14" s="18" t="n">
        <v>0</v>
      </c>
      <c r="N14" s="20" t="n">
        <v>0</v>
      </c>
      <c r="O14" s="18" t="n">
        <v>0</v>
      </c>
      <c r="P14" s="20" t="n">
        <v>0</v>
      </c>
      <c r="Q14" s="18" t="n">
        <v>1.11611807</v>
      </c>
      <c r="R14" s="20" t="n">
        <v>0.50382114</v>
      </c>
    </row>
    <row r="15" spans="1:18">
      <c r="A15" s="15" t="s">
        <v>575</v>
      </c>
      <c r="B15" s="17" t="n">
        <v>3019</v>
      </c>
      <c r="C15" s="18">
        <f>(2350.0/B15*100)</f>
        <v/>
      </c>
      <c r="D15" s="19" t="n">
        <v>669</v>
      </c>
      <c r="E15" s="18" t="n">
        <v>63.322143</v>
      </c>
      <c r="F15" s="20" t="n">
        <v>1.83451894</v>
      </c>
      <c r="G15" s="18" t="n">
        <v>34.96549833</v>
      </c>
      <c r="H15" s="20" t="n">
        <v>1.81782623</v>
      </c>
      <c r="I15" s="18" t="s">
        <v>567</v>
      </c>
      <c r="J15" s="20" t="s">
        <v>567</v>
      </c>
      <c r="K15" s="18" t="n">
        <v>0</v>
      </c>
      <c r="L15" s="20" t="n">
        <v>0</v>
      </c>
      <c r="M15" s="18" t="n">
        <v>0</v>
      </c>
      <c r="N15" s="20" t="n">
        <v>0</v>
      </c>
      <c r="O15" s="18" t="n">
        <v>0</v>
      </c>
      <c r="P15" s="20" t="n">
        <v>0</v>
      </c>
      <c r="Q15" s="18" t="n">
        <v>1.71235867</v>
      </c>
      <c r="R15" s="20" t="n">
        <v>0.39732077</v>
      </c>
    </row>
    <row r="16" spans="1:18">
      <c r="A16" s="15" t="s">
        <v>576</v>
      </c>
      <c r="B16" s="17" t="n">
        <v>2997</v>
      </c>
      <c r="C16" s="18">
        <f>(2332.0/B16*100)</f>
        <v/>
      </c>
      <c r="D16" s="19" t="n">
        <v>665</v>
      </c>
      <c r="E16" s="18" t="n">
        <v>59.21520543</v>
      </c>
      <c r="F16" s="20" t="n">
        <v>1.91015575</v>
      </c>
      <c r="G16" s="18" t="n">
        <v>35.06856893</v>
      </c>
      <c r="H16" s="20" t="n">
        <v>2.03112141</v>
      </c>
      <c r="I16" s="18" t="s">
        <v>567</v>
      </c>
      <c r="J16" s="20" t="s">
        <v>567</v>
      </c>
      <c r="K16" s="18" t="n">
        <v>0.76261996</v>
      </c>
      <c r="L16" s="20" t="n">
        <v>0.32722714</v>
      </c>
      <c r="M16" s="18" t="n">
        <v>0</v>
      </c>
      <c r="N16" s="20" t="n">
        <v>0</v>
      </c>
      <c r="O16" s="18" t="n">
        <v>0</v>
      </c>
      <c r="P16" s="20" t="n">
        <v>0</v>
      </c>
      <c r="Q16" s="18" t="n">
        <v>4.95360568</v>
      </c>
      <c r="R16" s="20" t="n">
        <v>0.94561915</v>
      </c>
    </row>
    <row r="17" spans="1:18">
      <c r="A17" s="15" t="s">
        <v>577</v>
      </c>
      <c r="B17" s="17" t="n">
        <v>3307</v>
      </c>
      <c r="C17" s="18">
        <f>(2617.0/B17*100)</f>
        <v/>
      </c>
      <c r="D17" s="19" t="n">
        <v>690</v>
      </c>
      <c r="E17" s="18" t="n">
        <v>61.77372681</v>
      </c>
      <c r="F17" s="20" t="n">
        <v>2.05768264</v>
      </c>
      <c r="G17" s="18" t="n">
        <v>34.9072157</v>
      </c>
      <c r="H17" s="20" t="n">
        <v>2.10586491</v>
      </c>
      <c r="I17" s="18" t="s">
        <v>567</v>
      </c>
      <c r="J17" s="20" t="s">
        <v>567</v>
      </c>
      <c r="K17" s="18" t="n">
        <v>0.55679271</v>
      </c>
      <c r="L17" s="20" t="n">
        <v>0.29826891</v>
      </c>
      <c r="M17" s="18" t="n">
        <v>0</v>
      </c>
      <c r="N17" s="20" t="n">
        <v>0</v>
      </c>
      <c r="O17" s="18" t="n">
        <v>0</v>
      </c>
      <c r="P17" s="20" t="n">
        <v>0</v>
      </c>
      <c r="Q17" s="18" t="n">
        <v>2.76226478</v>
      </c>
      <c r="R17" s="20" t="n">
        <v>0.63496138</v>
      </c>
    </row>
    <row r="18" spans="1:18">
      <c r="A18" s="15" t="s">
        <v>578</v>
      </c>
      <c r="B18" s="17" t="n">
        <v>2826</v>
      </c>
      <c r="C18" s="18">
        <f>(2206.0/B18*100)</f>
        <v/>
      </c>
      <c r="D18" s="19" t="n">
        <v>620</v>
      </c>
      <c r="E18" s="18" t="n">
        <v>75.60344743</v>
      </c>
      <c r="F18" s="20" t="n">
        <v>1.94062521</v>
      </c>
      <c r="G18" s="18" t="n">
        <v>20.25091514</v>
      </c>
      <c r="H18" s="20" t="n">
        <v>1.73011219</v>
      </c>
      <c r="I18" s="18" t="s">
        <v>567</v>
      </c>
      <c r="J18" s="20" t="s">
        <v>567</v>
      </c>
      <c r="K18" s="18" t="n">
        <v>0.74092225</v>
      </c>
      <c r="L18" s="20" t="n">
        <v>0.35307176</v>
      </c>
      <c r="M18" s="18" t="n">
        <v>0</v>
      </c>
      <c r="N18" s="20" t="n">
        <v>0</v>
      </c>
      <c r="O18" s="18" t="n">
        <v>0</v>
      </c>
      <c r="P18" s="20" t="n">
        <v>0</v>
      </c>
      <c r="Q18" s="18" t="n">
        <v>3.40471518</v>
      </c>
      <c r="R18" s="20" t="n">
        <v>0.93113043</v>
      </c>
    </row>
    <row r="19" spans="1:18">
      <c r="A19" s="15" t="s">
        <v>579</v>
      </c>
      <c r="B19" s="17" t="n">
        <v>2808</v>
      </c>
      <c r="C19" s="18">
        <f>(2232.0/B19*100)</f>
        <v/>
      </c>
      <c r="D19" s="19" t="n">
        <v>576</v>
      </c>
      <c r="E19" s="18" t="n">
        <v>78.11917532</v>
      </c>
      <c r="F19" s="20" t="n">
        <v>1.73044197</v>
      </c>
      <c r="G19" s="18" t="n">
        <v>18.90202588</v>
      </c>
      <c r="H19" s="20" t="n">
        <v>1.69849406</v>
      </c>
      <c r="I19" s="18" t="s">
        <v>567</v>
      </c>
      <c r="J19" s="20" t="s">
        <v>567</v>
      </c>
      <c r="K19" s="18" t="n">
        <v>0</v>
      </c>
      <c r="L19" s="20" t="n">
        <v>0</v>
      </c>
      <c r="M19" s="18" t="n">
        <v>0</v>
      </c>
      <c r="N19" s="20" t="n">
        <v>0</v>
      </c>
      <c r="O19" s="18" t="n">
        <v>0</v>
      </c>
      <c r="P19" s="20" t="n">
        <v>0</v>
      </c>
      <c r="Q19" s="18" t="n">
        <v>2.9787988</v>
      </c>
      <c r="R19" s="20" t="n">
        <v>0.70631373</v>
      </c>
    </row>
    <row r="20" spans="1:18">
      <c r="A20" s="15" t="s">
        <v>580</v>
      </c>
      <c r="B20" s="17" t="n">
        <v>1630</v>
      </c>
      <c r="C20" s="18">
        <f>(1270.0/B20*100)</f>
        <v/>
      </c>
      <c r="D20" s="19" t="n">
        <v>360</v>
      </c>
      <c r="E20" s="18" t="n">
        <v>73.13960815999999</v>
      </c>
      <c r="F20" s="20" t="n">
        <v>2.54587348</v>
      </c>
      <c r="G20" s="18" t="n">
        <v>23.29878246</v>
      </c>
      <c r="H20" s="20" t="n">
        <v>2.50816719</v>
      </c>
      <c r="I20" s="18" t="s">
        <v>567</v>
      </c>
      <c r="J20" s="20" t="s">
        <v>567</v>
      </c>
      <c r="K20" s="18" t="n">
        <v>1.59297023</v>
      </c>
      <c r="L20" s="20" t="n">
        <v>0.52172047</v>
      </c>
      <c r="M20" s="18" t="n">
        <v>0.25278179</v>
      </c>
      <c r="N20" s="20" t="n">
        <v>0.25261812</v>
      </c>
      <c r="O20" s="18" t="n">
        <v>0</v>
      </c>
      <c r="P20" s="20" t="n">
        <v>0</v>
      </c>
      <c r="Q20" s="18" t="n">
        <v>1.71585736</v>
      </c>
      <c r="R20" s="20" t="n">
        <v>0.88687303</v>
      </c>
    </row>
    <row r="21" spans="1:18">
      <c r="A21" s="15" t="s">
        <v>581</v>
      </c>
      <c r="B21" s="17" t="n">
        <v>2908</v>
      </c>
      <c r="C21" s="18">
        <f>(2256.0/B21*100)</f>
        <v/>
      </c>
      <c r="D21" s="19" t="n">
        <v>652</v>
      </c>
      <c r="E21" s="18" t="n">
        <v>53.41552746</v>
      </c>
      <c r="F21" s="20" t="n">
        <v>2.00458776</v>
      </c>
      <c r="G21" s="18" t="n">
        <v>42.74674743</v>
      </c>
      <c r="H21" s="20" t="n">
        <v>2.00380652</v>
      </c>
      <c r="I21" s="18" t="s">
        <v>567</v>
      </c>
      <c r="J21" s="20" t="s">
        <v>567</v>
      </c>
      <c r="K21" s="18" t="n">
        <v>0.47159934</v>
      </c>
      <c r="L21" s="20" t="n">
        <v>0.26219915</v>
      </c>
      <c r="M21" s="18" t="n">
        <v>0</v>
      </c>
      <c r="N21" s="20" t="n">
        <v>0</v>
      </c>
      <c r="O21" s="18" t="n">
        <v>0</v>
      </c>
      <c r="P21" s="20" t="n">
        <v>0</v>
      </c>
      <c r="Q21" s="18" t="n">
        <v>3.36612576</v>
      </c>
      <c r="R21" s="20" t="n">
        <v>0.74369261</v>
      </c>
    </row>
    <row r="22" spans="1:18">
      <c r="A22" s="15" t="s">
        <v>582</v>
      </c>
      <c r="B22" s="17" t="n">
        <v>2931</v>
      </c>
      <c r="C22" s="18">
        <f>(2313.0/B22*100)</f>
        <v/>
      </c>
      <c r="D22" s="19" t="n">
        <v>618</v>
      </c>
      <c r="E22" s="18" t="n">
        <v>57.92056884</v>
      </c>
      <c r="F22" s="20" t="n">
        <v>2.19685702</v>
      </c>
      <c r="G22" s="18" t="n">
        <v>37.12170681</v>
      </c>
      <c r="H22" s="20" t="n">
        <v>2.26626591</v>
      </c>
      <c r="I22" s="18" t="s">
        <v>567</v>
      </c>
      <c r="J22" s="20" t="s">
        <v>567</v>
      </c>
      <c r="K22" s="18" t="n">
        <v>0.80877551</v>
      </c>
      <c r="L22" s="20" t="n">
        <v>0.32493231</v>
      </c>
      <c r="M22" s="18" t="n">
        <v>0</v>
      </c>
      <c r="N22" s="20" t="n">
        <v>0</v>
      </c>
      <c r="O22" s="18" t="n">
        <v>0</v>
      </c>
      <c r="P22" s="20" t="n">
        <v>0</v>
      </c>
      <c r="Q22" s="18" t="n">
        <v>4.14894884</v>
      </c>
      <c r="R22" s="20" t="n">
        <v>1.09954039</v>
      </c>
    </row>
    <row r="23" spans="1:18">
      <c r="A23" s="15" t="s">
        <v>583</v>
      </c>
      <c r="B23" s="17" t="n">
        <v>5791</v>
      </c>
      <c r="C23" s="18">
        <f>(4498.0/B23*100)</f>
        <v/>
      </c>
      <c r="D23" s="19" t="n">
        <v>1293</v>
      </c>
      <c r="E23" s="18" t="n">
        <v>67.50842005</v>
      </c>
      <c r="F23" s="20" t="n">
        <v>2.1094376</v>
      </c>
      <c r="G23" s="18" t="n">
        <v>27.37789285</v>
      </c>
      <c r="H23" s="20" t="n">
        <v>2.22972215</v>
      </c>
      <c r="I23" s="18" t="s">
        <v>567</v>
      </c>
      <c r="J23" s="20" t="s">
        <v>567</v>
      </c>
      <c r="K23" s="18" t="n">
        <v>0.45887156</v>
      </c>
      <c r="L23" s="20" t="n">
        <v>0.09726878</v>
      </c>
      <c r="M23" s="18" t="n">
        <v>0.05256299</v>
      </c>
      <c r="N23" s="20" t="n">
        <v>0.05270083</v>
      </c>
      <c r="O23" s="18" t="n">
        <v>0</v>
      </c>
      <c r="P23" s="20" t="n">
        <v>0</v>
      </c>
      <c r="Q23" s="18" t="n">
        <v>4.60225255</v>
      </c>
      <c r="R23" s="20" t="n">
        <v>0.8688212400000001</v>
      </c>
    </row>
    <row r="24" spans="1:18">
      <c r="A24" s="15" t="s">
        <v>584</v>
      </c>
      <c r="B24" s="17" t="n">
        <v>3338</v>
      </c>
      <c r="C24" s="18">
        <f>(2615.0/B24*100)</f>
        <v/>
      </c>
      <c r="D24" s="19" t="n">
        <v>723</v>
      </c>
      <c r="E24" s="18" t="n">
        <v>38.20242906</v>
      </c>
      <c r="F24" s="20" t="n">
        <v>2.25159869</v>
      </c>
      <c r="G24" s="18" t="n">
        <v>58.12093477</v>
      </c>
      <c r="H24" s="20" t="n">
        <v>2.07101623</v>
      </c>
      <c r="I24" s="18" t="s">
        <v>567</v>
      </c>
      <c r="J24" s="20" t="s">
        <v>567</v>
      </c>
      <c r="K24" s="18" t="n">
        <v>0.27048455</v>
      </c>
      <c r="L24" s="20" t="n">
        <v>0.18997427</v>
      </c>
      <c r="M24" s="18" t="n">
        <v>0</v>
      </c>
      <c r="N24" s="20" t="n">
        <v>0</v>
      </c>
      <c r="O24" s="18" t="n">
        <v>0</v>
      </c>
      <c r="P24" s="20" t="n">
        <v>0</v>
      </c>
      <c r="Q24" s="18" t="n">
        <v>3.40615162</v>
      </c>
      <c r="R24" s="20" t="n">
        <v>0.61490068</v>
      </c>
    </row>
    <row r="25" spans="1:18">
      <c r="A25" s="15" t="s">
        <v>585</v>
      </c>
      <c r="B25" s="17" t="n">
        <v>2912</v>
      </c>
      <c r="C25" s="18">
        <f>(2282.0/B25*100)</f>
        <v/>
      </c>
      <c r="D25" s="19" t="n">
        <v>630</v>
      </c>
      <c r="E25" s="18" t="n">
        <v>56.59008521</v>
      </c>
      <c r="F25" s="20" t="n">
        <v>2.71248835</v>
      </c>
      <c r="G25" s="18" t="n">
        <v>41.70221881</v>
      </c>
      <c r="H25" s="20" t="n">
        <v>2.77235015</v>
      </c>
      <c r="I25" s="18" t="s">
        <v>567</v>
      </c>
      <c r="J25" s="20" t="s">
        <v>567</v>
      </c>
      <c r="K25" s="18" t="n">
        <v>0</v>
      </c>
      <c r="L25" s="20" t="n">
        <v>0</v>
      </c>
      <c r="M25" s="18" t="n">
        <v>0</v>
      </c>
      <c r="N25" s="20" t="n">
        <v>0</v>
      </c>
      <c r="O25" s="18" t="n">
        <v>0</v>
      </c>
      <c r="P25" s="20" t="n">
        <v>0</v>
      </c>
      <c r="Q25" s="18" t="n">
        <v>1.70769598</v>
      </c>
      <c r="R25" s="20" t="n">
        <v>0.5095602</v>
      </c>
    </row>
    <row r="26" spans="1:18">
      <c r="A26" s="15" t="s">
        <v>586</v>
      </c>
      <c r="B26" s="17" t="n">
        <v>2450</v>
      </c>
      <c r="C26" s="18">
        <f>(1932.0/B26*100)</f>
        <v/>
      </c>
      <c r="D26" s="19" t="n">
        <v>518</v>
      </c>
      <c r="E26" s="18" t="n">
        <v>70.32768617000001</v>
      </c>
      <c r="F26" s="20" t="n">
        <v>2.04396872</v>
      </c>
      <c r="G26" s="18" t="n">
        <v>28.7943778</v>
      </c>
      <c r="H26" s="20" t="n">
        <v>1.99388881</v>
      </c>
      <c r="I26" s="18" t="s">
        <v>567</v>
      </c>
      <c r="J26" s="20" t="s">
        <v>567</v>
      </c>
      <c r="K26" s="18" t="n">
        <v>0.15844308</v>
      </c>
      <c r="L26" s="20" t="n">
        <v>0.1586353</v>
      </c>
      <c r="M26" s="18" t="n">
        <v>0</v>
      </c>
      <c r="N26" s="20" t="n">
        <v>0</v>
      </c>
      <c r="O26" s="18" t="n">
        <v>0</v>
      </c>
      <c r="P26" s="20" t="n">
        <v>0</v>
      </c>
      <c r="Q26" s="18" t="n">
        <v>0.71949295</v>
      </c>
      <c r="R26" s="20" t="n">
        <v>0.42790214</v>
      </c>
    </row>
    <row r="27" spans="1:18">
      <c r="A27" s="15" t="s">
        <v>587</v>
      </c>
      <c r="B27" s="17" t="n">
        <v>2616</v>
      </c>
      <c r="C27" s="18">
        <f>(2003.0/B27*100)</f>
        <v/>
      </c>
      <c r="D27" s="19" t="n">
        <v>613</v>
      </c>
      <c r="E27" s="18" t="n">
        <v>64.15990067</v>
      </c>
      <c r="F27" s="20" t="n">
        <v>1.80314179</v>
      </c>
      <c r="G27" s="18" t="n">
        <v>30.12042627</v>
      </c>
      <c r="H27" s="20" t="n">
        <v>1.72702688</v>
      </c>
      <c r="I27" s="18" t="s">
        <v>567</v>
      </c>
      <c r="J27" s="20" t="s">
        <v>567</v>
      </c>
      <c r="K27" s="18" t="n">
        <v>0.83666072</v>
      </c>
      <c r="L27" s="20" t="n">
        <v>0.37232802</v>
      </c>
      <c r="M27" s="18" t="n">
        <v>0</v>
      </c>
      <c r="N27" s="20" t="n">
        <v>0</v>
      </c>
      <c r="O27" s="18" t="n">
        <v>0</v>
      </c>
      <c r="P27" s="20" t="n">
        <v>0</v>
      </c>
      <c r="Q27" s="18" t="n">
        <v>4.88301234</v>
      </c>
      <c r="R27" s="20" t="n">
        <v>0.84365245</v>
      </c>
    </row>
    <row r="28" spans="1:18">
      <c r="A28" s="15" t="s">
        <v>588</v>
      </c>
      <c r="B28" s="17" t="n">
        <v>3765</v>
      </c>
      <c r="C28" s="18">
        <f>(3022.0/B28*100)</f>
        <v/>
      </c>
      <c r="D28" s="19" t="n">
        <v>743</v>
      </c>
      <c r="E28" s="18" t="n">
        <v>90.07513627</v>
      </c>
      <c r="F28" s="20" t="n">
        <v>1.34228631</v>
      </c>
      <c r="G28" s="18" t="n">
        <v>7.59007725</v>
      </c>
      <c r="H28" s="20" t="n">
        <v>1.13033757</v>
      </c>
      <c r="I28" s="18" t="s">
        <v>567</v>
      </c>
      <c r="J28" s="20" t="s">
        <v>567</v>
      </c>
      <c r="K28" s="18" t="n">
        <v>0.32886841</v>
      </c>
      <c r="L28" s="20" t="n">
        <v>0.19839355</v>
      </c>
      <c r="M28" s="18" t="n">
        <v>0.39858279</v>
      </c>
      <c r="N28" s="20" t="n">
        <v>0.29457687</v>
      </c>
      <c r="O28" s="18" t="n">
        <v>0</v>
      </c>
      <c r="P28" s="20" t="n">
        <v>0</v>
      </c>
      <c r="Q28" s="18" t="n">
        <v>1.60733529</v>
      </c>
      <c r="R28" s="20" t="n">
        <v>0.50646031</v>
      </c>
    </row>
    <row r="29" spans="1:18">
      <c r="A29" s="15" t="s">
        <v>589</v>
      </c>
      <c r="B29" s="17" t="n">
        <v>2685</v>
      </c>
      <c r="C29" s="18">
        <f>(2150.0/B29*100)</f>
        <v/>
      </c>
      <c r="D29" s="19" t="n">
        <v>535</v>
      </c>
      <c r="E29" s="18" t="n">
        <v>57.50341634</v>
      </c>
      <c r="F29" s="20" t="n">
        <v>2.17171849</v>
      </c>
      <c r="G29" s="18" t="n">
        <v>40.76373143</v>
      </c>
      <c r="H29" s="20" t="n">
        <v>2.14996954</v>
      </c>
      <c r="I29" s="18" t="s">
        <v>567</v>
      </c>
      <c r="J29" s="20" t="s">
        <v>567</v>
      </c>
      <c r="K29" s="18" t="n">
        <v>0.73440728</v>
      </c>
      <c r="L29" s="20" t="n">
        <v>0.37754875</v>
      </c>
      <c r="M29" s="18" t="n">
        <v>0</v>
      </c>
      <c r="N29" s="20" t="n">
        <v>0</v>
      </c>
      <c r="O29" s="18" t="n">
        <v>0</v>
      </c>
      <c r="P29" s="20" t="n">
        <v>0</v>
      </c>
      <c r="Q29" s="18" t="n">
        <v>0.99844495</v>
      </c>
      <c r="R29" s="20" t="n">
        <v>0.44647032</v>
      </c>
    </row>
    <row r="30" spans="1:18">
      <c r="A30" s="15" t="s">
        <v>590</v>
      </c>
      <c r="B30" s="17" t="n">
        <v>2263</v>
      </c>
      <c r="C30" s="18">
        <f>(1768.0/B30*100)</f>
        <v/>
      </c>
      <c r="D30" s="19" t="n">
        <v>495</v>
      </c>
      <c r="E30" s="18" t="n">
        <v>53.40652281</v>
      </c>
      <c r="F30" s="20" t="n">
        <v>2.23365962</v>
      </c>
      <c r="G30" s="18" t="n">
        <v>40.88231668</v>
      </c>
      <c r="H30" s="20" t="n">
        <v>2.20160195</v>
      </c>
      <c r="I30" s="18" t="s">
        <v>567</v>
      </c>
      <c r="J30" s="20" t="s">
        <v>567</v>
      </c>
      <c r="K30" s="18" t="n">
        <v>2.20566324</v>
      </c>
      <c r="L30" s="20" t="n">
        <v>0.73087614</v>
      </c>
      <c r="M30" s="18" t="n">
        <v>0</v>
      </c>
      <c r="N30" s="20" t="n">
        <v>0</v>
      </c>
      <c r="O30" s="18" t="n">
        <v>0</v>
      </c>
      <c r="P30" s="20" t="n">
        <v>0</v>
      </c>
      <c r="Q30" s="18" t="n">
        <v>3.50549727</v>
      </c>
      <c r="R30" s="20" t="n">
        <v>0.8938806</v>
      </c>
    </row>
    <row r="31" spans="1:18">
      <c r="A31" s="15" t="s">
        <v>591</v>
      </c>
      <c r="B31" s="17" t="n">
        <v>2750</v>
      </c>
      <c r="C31" s="18">
        <f>(2128.0/B31*100)</f>
        <v/>
      </c>
      <c r="D31" s="19" t="n">
        <v>622</v>
      </c>
      <c r="E31" s="18" t="n">
        <v>69.50846756999999</v>
      </c>
      <c r="F31" s="20" t="n">
        <v>2.19934503</v>
      </c>
      <c r="G31" s="18" t="n">
        <v>25.36805135</v>
      </c>
      <c r="H31" s="20" t="n">
        <v>2.14203902</v>
      </c>
      <c r="I31" s="18" t="s">
        <v>567</v>
      </c>
      <c r="J31" s="20" t="s">
        <v>567</v>
      </c>
      <c r="K31" s="18" t="n">
        <v>0.90734347</v>
      </c>
      <c r="L31" s="20" t="n">
        <v>0.41155075</v>
      </c>
      <c r="M31" s="18" t="n">
        <v>0</v>
      </c>
      <c r="N31" s="20" t="n">
        <v>0</v>
      </c>
      <c r="O31" s="18" t="n">
        <v>0</v>
      </c>
      <c r="P31" s="20" t="n">
        <v>0</v>
      </c>
      <c r="Q31" s="18" t="n">
        <v>4.2161376</v>
      </c>
      <c r="R31" s="20" t="n">
        <v>0.80693426</v>
      </c>
    </row>
    <row r="32" spans="1:18">
      <c r="A32" s="15" t="s">
        <v>592</v>
      </c>
      <c r="B32" s="17" t="n">
        <v>2269</v>
      </c>
      <c r="C32" s="18">
        <f>(1753.0/B32*100)</f>
        <v/>
      </c>
      <c r="D32" s="19" t="n">
        <v>516</v>
      </c>
      <c r="E32" s="18" t="n">
        <v>69.60951353999999</v>
      </c>
      <c r="F32" s="20" t="n">
        <v>2.04161683</v>
      </c>
      <c r="G32" s="18" t="n">
        <v>28.81544624</v>
      </c>
      <c r="H32" s="20" t="n">
        <v>2.02501119</v>
      </c>
      <c r="I32" s="18" t="s">
        <v>567</v>
      </c>
      <c r="J32" s="20" t="s">
        <v>567</v>
      </c>
      <c r="K32" s="18" t="n">
        <v>0</v>
      </c>
      <c r="L32" s="20" t="n">
        <v>0</v>
      </c>
      <c r="M32" s="18" t="n">
        <v>0</v>
      </c>
      <c r="N32" s="20" t="n">
        <v>0</v>
      </c>
      <c r="O32" s="18" t="n">
        <v>0</v>
      </c>
      <c r="P32" s="20" t="n">
        <v>0</v>
      </c>
      <c r="Q32" s="18" t="n">
        <v>1.57504022</v>
      </c>
      <c r="R32" s="20" t="n">
        <v>0.60994719</v>
      </c>
    </row>
    <row r="33" spans="1:18">
      <c r="A33" s="15" t="s">
        <v>593</v>
      </c>
      <c r="B33" s="17" t="n">
        <v>3674</v>
      </c>
      <c r="C33" s="18">
        <f>(2905.0/B33*100)</f>
        <v/>
      </c>
      <c r="D33" s="19" t="n">
        <v>769</v>
      </c>
      <c r="E33" s="18" t="n">
        <v>60.5987146</v>
      </c>
      <c r="F33" s="20" t="n">
        <v>2.21729895</v>
      </c>
      <c r="G33" s="18" t="n">
        <v>37.78295003</v>
      </c>
      <c r="H33" s="20" t="n">
        <v>2.03191469</v>
      </c>
      <c r="I33" s="18" t="s">
        <v>567</v>
      </c>
      <c r="J33" s="20" t="s">
        <v>567</v>
      </c>
      <c r="K33" s="18" t="n">
        <v>0.02886944</v>
      </c>
      <c r="L33" s="20" t="n">
        <v>0.01672149</v>
      </c>
      <c r="M33" s="18" t="n">
        <v>0.16247787</v>
      </c>
      <c r="N33" s="20" t="n">
        <v>0.16146038</v>
      </c>
      <c r="O33" s="18" t="n">
        <v>0</v>
      </c>
      <c r="P33" s="20" t="n">
        <v>0</v>
      </c>
      <c r="Q33" s="18" t="n">
        <v>1.42698807</v>
      </c>
      <c r="R33" s="20" t="n">
        <v>0.57356521</v>
      </c>
    </row>
    <row r="34" spans="1:18">
      <c r="A34" s="15" t="s">
        <v>594</v>
      </c>
      <c r="B34" s="17" t="n">
        <v>3315</v>
      </c>
      <c r="C34" s="18">
        <f>(2616.0/B34*100)</f>
        <v/>
      </c>
      <c r="D34" s="19" t="n">
        <v>699</v>
      </c>
      <c r="E34" s="18" t="n">
        <v>79.81489139</v>
      </c>
      <c r="F34" s="20" t="n">
        <v>1.8076008</v>
      </c>
      <c r="G34" s="18" t="n">
        <v>17.52275554</v>
      </c>
      <c r="H34" s="20" t="n">
        <v>1.8228873</v>
      </c>
      <c r="I34" s="18" t="s">
        <v>567</v>
      </c>
      <c r="J34" s="20" t="s">
        <v>567</v>
      </c>
      <c r="K34" s="18" t="n">
        <v>0.24932292</v>
      </c>
      <c r="L34" s="20" t="n">
        <v>0.1753008</v>
      </c>
      <c r="M34" s="18" t="n">
        <v>0.42839774</v>
      </c>
      <c r="N34" s="20" t="n">
        <v>0.24325505</v>
      </c>
      <c r="O34" s="18" t="n">
        <v>0</v>
      </c>
      <c r="P34" s="20" t="n">
        <v>0</v>
      </c>
      <c r="Q34" s="18" t="n">
        <v>1.98463241</v>
      </c>
      <c r="R34" s="20" t="n">
        <v>0.58279429</v>
      </c>
    </row>
    <row r="35" spans="1:18">
      <c r="A35" s="15" t="s">
        <v>595</v>
      </c>
      <c r="B35" s="17" t="n">
        <v>3505</v>
      </c>
      <c r="C35" s="18">
        <f>(2730.0/B35*100)</f>
        <v/>
      </c>
      <c r="D35" s="19" t="n">
        <v>775</v>
      </c>
      <c r="E35" s="18" t="n">
        <v>59.68279043</v>
      </c>
      <c r="F35" s="20" t="n">
        <v>2.31100657</v>
      </c>
      <c r="G35" s="18" t="n">
        <v>38.18734627</v>
      </c>
      <c r="H35" s="20" t="n">
        <v>2.29652691</v>
      </c>
      <c r="I35" s="18" t="s">
        <v>567</v>
      </c>
      <c r="J35" s="20" t="s">
        <v>567</v>
      </c>
      <c r="K35" s="18" t="n">
        <v>0.23487105</v>
      </c>
      <c r="L35" s="20" t="n">
        <v>0.10873888</v>
      </c>
      <c r="M35" s="18" t="n">
        <v>0.46962045</v>
      </c>
      <c r="N35" s="20" t="n">
        <v>0.33376673</v>
      </c>
      <c r="O35" s="18" t="n">
        <v>0</v>
      </c>
      <c r="P35" s="20" t="n">
        <v>0</v>
      </c>
      <c r="Q35" s="18" t="n">
        <v>1.4253718</v>
      </c>
      <c r="R35" s="20" t="n">
        <v>0.41193063</v>
      </c>
    </row>
    <row r="36" spans="1:18">
      <c r="A36" s="15" t="s">
        <v>596</v>
      </c>
      <c r="B36" s="17" t="n">
        <v>3332</v>
      </c>
      <c r="C36" s="18">
        <f>(2659.0/B36*100)</f>
        <v/>
      </c>
      <c r="D36" s="19" t="n">
        <v>673</v>
      </c>
      <c r="E36" s="18" t="n">
        <v>68.23972612999999</v>
      </c>
      <c r="F36" s="20" t="n">
        <v>1.88825044</v>
      </c>
      <c r="G36" s="18" t="n">
        <v>28.12367373</v>
      </c>
      <c r="H36" s="20" t="n">
        <v>1.86538136</v>
      </c>
      <c r="I36" s="18" t="s">
        <v>567</v>
      </c>
      <c r="J36" s="20" t="s">
        <v>567</v>
      </c>
      <c r="K36" s="18" t="n">
        <v>0.53716885</v>
      </c>
      <c r="L36" s="20" t="n">
        <v>0.32233132</v>
      </c>
      <c r="M36" s="18" t="n">
        <v>0.14139837</v>
      </c>
      <c r="N36" s="20" t="n">
        <v>0.14229207</v>
      </c>
      <c r="O36" s="18" t="n">
        <v>0</v>
      </c>
      <c r="P36" s="20" t="n">
        <v>0</v>
      </c>
      <c r="Q36" s="18" t="n">
        <v>2.95803292</v>
      </c>
      <c r="R36" s="20" t="n">
        <v>0.74279618</v>
      </c>
    </row>
    <row r="37" spans="1:18">
      <c r="A37" s="15" t="s">
        <v>597</v>
      </c>
      <c r="B37" s="17" t="n">
        <v>2727</v>
      </c>
      <c r="C37" s="18">
        <f>(2172.0/B37*100)</f>
        <v/>
      </c>
      <c r="D37" s="19" t="n">
        <v>555</v>
      </c>
      <c r="E37" s="18" t="n">
        <v>67.0531617</v>
      </c>
      <c r="F37" s="20" t="n">
        <v>1.69408975</v>
      </c>
      <c r="G37" s="18" t="n">
        <v>26.55248473</v>
      </c>
      <c r="H37" s="20" t="n">
        <v>1.49385244</v>
      </c>
      <c r="I37" s="18" t="s">
        <v>567</v>
      </c>
      <c r="J37" s="20" t="s">
        <v>567</v>
      </c>
      <c r="K37" s="18" t="n">
        <v>0.66577692</v>
      </c>
      <c r="L37" s="20" t="n">
        <v>0.36676924</v>
      </c>
      <c r="M37" s="18" t="n">
        <v>0</v>
      </c>
      <c r="N37" s="20" t="n">
        <v>0</v>
      </c>
      <c r="O37" s="18" t="n">
        <v>0</v>
      </c>
      <c r="P37" s="20" t="n">
        <v>0</v>
      </c>
      <c r="Q37" s="18" t="n">
        <v>5.72857665</v>
      </c>
      <c r="R37" s="20" t="n">
        <v>0.87587006</v>
      </c>
    </row>
    <row r="38" spans="1:18">
      <c r="A38" s="15" t="s">
        <v>598</v>
      </c>
      <c r="B38" s="17" t="n">
        <v>3053</v>
      </c>
      <c r="C38" s="18">
        <f>(2407.0/B38*100)</f>
        <v/>
      </c>
      <c r="D38" s="19" t="n">
        <v>646</v>
      </c>
      <c r="E38" s="18" t="n">
        <v>59.38440411</v>
      </c>
      <c r="F38" s="20" t="n">
        <v>2.58096999</v>
      </c>
      <c r="G38" s="18" t="n">
        <v>34.68448279</v>
      </c>
      <c r="H38" s="20" t="n">
        <v>2.4743415</v>
      </c>
      <c r="I38" s="18" t="s">
        <v>567</v>
      </c>
      <c r="J38" s="20" t="s">
        <v>567</v>
      </c>
      <c r="K38" s="18" t="n">
        <v>0.33071243</v>
      </c>
      <c r="L38" s="20" t="n">
        <v>0.22892374</v>
      </c>
      <c r="M38" s="18" t="n">
        <v>2.08483581</v>
      </c>
      <c r="N38" s="20" t="n">
        <v>0.61702106</v>
      </c>
      <c r="O38" s="18" t="n">
        <v>0</v>
      </c>
      <c r="P38" s="20" t="n">
        <v>0</v>
      </c>
      <c r="Q38" s="18" t="n">
        <v>3.51556485</v>
      </c>
      <c r="R38" s="20" t="n">
        <v>0.77710486</v>
      </c>
    </row>
    <row r="39" spans="1:18">
      <c r="A39" s="15" t="s">
        <v>599</v>
      </c>
      <c r="B39" s="17" t="n">
        <v>2957</v>
      </c>
      <c r="C39" s="18">
        <f>(2319.0/B39*100)</f>
        <v/>
      </c>
      <c r="D39" s="19" t="n">
        <v>638</v>
      </c>
      <c r="E39" s="18" t="n">
        <v>74.20537172</v>
      </c>
      <c r="F39" s="20" t="n">
        <v>1.93568559</v>
      </c>
      <c r="G39" s="18" t="n">
        <v>21.79304375</v>
      </c>
      <c r="H39" s="20" t="n">
        <v>1.92092596</v>
      </c>
      <c r="I39" s="18" t="s">
        <v>567</v>
      </c>
      <c r="J39" s="20" t="s">
        <v>567</v>
      </c>
      <c r="K39" s="18" t="n">
        <v>0.7882153</v>
      </c>
      <c r="L39" s="20" t="n">
        <v>0.30453418</v>
      </c>
      <c r="M39" s="18" t="n">
        <v>0</v>
      </c>
      <c r="N39" s="20" t="n">
        <v>0</v>
      </c>
      <c r="O39" s="18" t="n">
        <v>0</v>
      </c>
      <c r="P39" s="20" t="n">
        <v>0</v>
      </c>
      <c r="Q39" s="18" t="n">
        <v>3.21336923</v>
      </c>
      <c r="R39" s="20" t="n">
        <v>0.7436629</v>
      </c>
    </row>
    <row r="40" spans="1:18">
      <c r="A40" s="15" t="s">
        <v>600</v>
      </c>
      <c r="B40" s="17" t="n">
        <v>7235</v>
      </c>
      <c r="C40" s="18">
        <f>(5656.0/B40*100)</f>
        <v/>
      </c>
      <c r="D40" s="19" t="n">
        <v>1579</v>
      </c>
      <c r="E40" s="18" t="n">
        <v>57.66014463</v>
      </c>
      <c r="F40" s="20" t="n">
        <v>1.98622801</v>
      </c>
      <c r="G40" s="18" t="n">
        <v>38.13922019</v>
      </c>
      <c r="H40" s="20" t="n">
        <v>1.82530974</v>
      </c>
      <c r="I40" s="18" t="s">
        <v>567</v>
      </c>
      <c r="J40" s="20" t="s">
        <v>567</v>
      </c>
      <c r="K40" s="18" t="n">
        <v>0.2980622</v>
      </c>
      <c r="L40" s="20" t="n">
        <v>0.16433858</v>
      </c>
      <c r="M40" s="18" t="n">
        <v>0.05200361</v>
      </c>
      <c r="N40" s="20" t="n">
        <v>0.04961983</v>
      </c>
      <c r="O40" s="18" t="n">
        <v>0</v>
      </c>
      <c r="P40" s="20" t="n">
        <v>0</v>
      </c>
      <c r="Q40" s="18" t="n">
        <v>3.85056937</v>
      </c>
      <c r="R40" s="20" t="n">
        <v>0.72482021</v>
      </c>
    </row>
    <row r="41" spans="1:18">
      <c r="A41" s="15" t="s">
        <v>601</v>
      </c>
      <c r="B41" s="17" t="n">
        <v>2858</v>
      </c>
      <c r="C41" s="18">
        <f>(2279.0/B41*100)</f>
        <v/>
      </c>
      <c r="D41" s="19" t="n">
        <v>579</v>
      </c>
      <c r="E41" s="18" t="n">
        <v>60.87535843</v>
      </c>
      <c r="F41" s="20" t="n">
        <v>2.35325609</v>
      </c>
      <c r="G41" s="18" t="n">
        <v>37.95294147</v>
      </c>
      <c r="H41" s="20" t="n">
        <v>2.41565434</v>
      </c>
      <c r="I41" s="18" t="s">
        <v>567</v>
      </c>
      <c r="J41" s="20" t="s">
        <v>567</v>
      </c>
      <c r="K41" s="18" t="n">
        <v>0</v>
      </c>
      <c r="L41" s="20" t="n">
        <v>0</v>
      </c>
      <c r="M41" s="18" t="n">
        <v>0</v>
      </c>
      <c r="N41" s="20" t="n">
        <v>0</v>
      </c>
      <c r="O41" s="18" t="n">
        <v>0</v>
      </c>
      <c r="P41" s="20" t="n">
        <v>0</v>
      </c>
      <c r="Q41" s="18" t="n">
        <v>1.1717001</v>
      </c>
      <c r="R41" s="20" t="n">
        <v>0.64341603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(9262.0/B46*100)</f>
        <v/>
      </c>
      <c r="D46" s="19" t="n">
        <v>1806</v>
      </c>
      <c r="E46" s="18" t="n">
        <v>69.61547005</v>
      </c>
      <c r="F46" s="20" t="n">
        <v>1.4606797</v>
      </c>
      <c r="G46" s="18" t="n">
        <v>22.57552969</v>
      </c>
      <c r="H46" s="20" t="n">
        <v>1.34045516</v>
      </c>
      <c r="I46" s="18" t="s">
        <v>567</v>
      </c>
      <c r="J46" s="20" t="s">
        <v>567</v>
      </c>
      <c r="K46" s="18" t="n">
        <v>1.61612297</v>
      </c>
      <c r="L46" s="20" t="n">
        <v>0.39777406</v>
      </c>
      <c r="M46" s="18" t="n">
        <v>0.70108108</v>
      </c>
      <c r="N46" s="20" t="n">
        <v>0.22838156</v>
      </c>
      <c r="O46" s="18" t="n">
        <v>0</v>
      </c>
      <c r="P46" s="20" t="n">
        <v>0</v>
      </c>
      <c r="Q46" s="18" t="n">
        <v>5.4917962</v>
      </c>
      <c r="R46" s="20" t="n">
        <v>0.66610731</v>
      </c>
    </row>
    <row r="47" spans="1:18">
      <c r="A47" s="15" t="s">
        <v>607</v>
      </c>
      <c r="B47" s="17" t="n">
        <v>3105</v>
      </c>
      <c r="C47" s="18">
        <f>(2487.0/B47*100)</f>
        <v/>
      </c>
      <c r="D47" s="19" t="n">
        <v>618</v>
      </c>
      <c r="E47" s="18" t="n">
        <v>89.44816587</v>
      </c>
      <c r="F47" s="20" t="n">
        <v>1.09429754</v>
      </c>
      <c r="G47" s="18" t="n">
        <v>6.15989349</v>
      </c>
      <c r="H47" s="20" t="n">
        <v>0.80831192</v>
      </c>
      <c r="I47" s="18" t="s">
        <v>567</v>
      </c>
      <c r="J47" s="20" t="s">
        <v>567</v>
      </c>
      <c r="K47" s="18" t="n">
        <v>0.78857691</v>
      </c>
      <c r="L47" s="20" t="n">
        <v>0.36703794</v>
      </c>
      <c r="M47" s="18" t="n">
        <v>0</v>
      </c>
      <c r="N47" s="20" t="n">
        <v>0</v>
      </c>
      <c r="O47" s="18" t="n">
        <v>0</v>
      </c>
      <c r="P47" s="20" t="n">
        <v>0</v>
      </c>
      <c r="Q47" s="18" t="n">
        <v>3.60336373</v>
      </c>
      <c r="R47" s="20" t="n">
        <v>0.69848164</v>
      </c>
    </row>
    <row r="48" spans="1:18">
      <c r="A48" s="15" t="s">
        <v>608</v>
      </c>
      <c r="B48" s="17" t="n">
        <v>5159</v>
      </c>
      <c r="C48" s="18">
        <f>(4037.0/B48*100)</f>
        <v/>
      </c>
      <c r="D48" s="19" t="n">
        <v>1122</v>
      </c>
      <c r="E48" s="18" t="n">
        <v>58.92930419</v>
      </c>
      <c r="F48" s="20" t="n">
        <v>2.73369796</v>
      </c>
      <c r="G48" s="18" t="n">
        <v>39.22444349</v>
      </c>
      <c r="H48" s="20" t="n">
        <v>2.75993337</v>
      </c>
      <c r="I48" s="18" t="s">
        <v>567</v>
      </c>
      <c r="J48" s="20" t="s">
        <v>567</v>
      </c>
      <c r="K48" s="18" t="n">
        <v>0.86611108</v>
      </c>
      <c r="L48" s="20" t="n">
        <v>0.41661694</v>
      </c>
      <c r="M48" s="18" t="n">
        <v>0</v>
      </c>
      <c r="N48" s="20" t="n">
        <v>0</v>
      </c>
      <c r="O48" s="18" t="n">
        <v>0</v>
      </c>
      <c r="P48" s="20" t="n">
        <v>0</v>
      </c>
      <c r="Q48" s="18" t="n">
        <v>0.98014124</v>
      </c>
      <c r="R48" s="20" t="n">
        <v>0.42175062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(4477.0/B50*100)</f>
        <v/>
      </c>
      <c r="D50" s="19" t="n">
        <v>1160</v>
      </c>
      <c r="E50" s="18" t="n">
        <v>81.74470572</v>
      </c>
      <c r="F50" s="20" t="n">
        <v>1.42147284</v>
      </c>
      <c r="G50" s="18" t="n">
        <v>12.26713312</v>
      </c>
      <c r="H50" s="20" t="n">
        <v>1.09662454</v>
      </c>
      <c r="I50" s="18" t="s">
        <v>567</v>
      </c>
      <c r="J50" s="20" t="s">
        <v>567</v>
      </c>
      <c r="K50" s="18" t="n">
        <v>3.6538815</v>
      </c>
      <c r="L50" s="20" t="n">
        <v>0.81662841</v>
      </c>
      <c r="M50" s="18" t="n">
        <v>0.25300576</v>
      </c>
      <c r="N50" s="20" t="n">
        <v>0.17467574</v>
      </c>
      <c r="O50" s="18" t="n">
        <v>0</v>
      </c>
      <c r="P50" s="20" t="n">
        <v>0</v>
      </c>
      <c r="Q50" s="18" t="n">
        <v>2.08127389</v>
      </c>
      <c r="R50" s="20" t="n">
        <v>0.58838008</v>
      </c>
    </row>
    <row r="51" spans="1:18">
      <c r="A51" s="15" t="s">
        <v>611</v>
      </c>
      <c r="B51" s="17" t="n">
        <v>3372</v>
      </c>
      <c r="C51" s="18">
        <f>(2789.0/B51*100)</f>
        <v/>
      </c>
      <c r="D51" s="19" t="n">
        <v>583</v>
      </c>
      <c r="E51" s="18" t="n">
        <v>83.04828198</v>
      </c>
      <c r="F51" s="20" t="n">
        <v>1.69496346</v>
      </c>
      <c r="G51" s="18" t="n">
        <v>14.28361752</v>
      </c>
      <c r="H51" s="20" t="n">
        <v>1.64132105</v>
      </c>
      <c r="I51" s="18" t="s">
        <v>567</v>
      </c>
      <c r="J51" s="20" t="s">
        <v>567</v>
      </c>
      <c r="K51" s="18" t="n">
        <v>0.66769159</v>
      </c>
      <c r="L51" s="20" t="n">
        <v>0.33423156</v>
      </c>
      <c r="M51" s="18" t="n">
        <v>0</v>
      </c>
      <c r="N51" s="20" t="n">
        <v>0</v>
      </c>
      <c r="O51" s="18" t="n">
        <v>0</v>
      </c>
      <c r="P51" s="20" t="n">
        <v>0</v>
      </c>
      <c r="Q51" s="18" t="n">
        <v>2.00040891</v>
      </c>
      <c r="R51" s="20" t="n">
        <v>0.60408377</v>
      </c>
    </row>
    <row r="52" spans="1:18">
      <c r="A52" s="15" t="s">
        <v>612</v>
      </c>
      <c r="B52" s="17" t="n">
        <v>2796</v>
      </c>
      <c r="C52" s="18">
        <f>(2146.0/B52*100)</f>
        <v/>
      </c>
      <c r="D52" s="19" t="n">
        <v>650</v>
      </c>
      <c r="E52" s="18" t="n">
        <v>64.66460379</v>
      </c>
      <c r="F52" s="20" t="n">
        <v>1.70146793</v>
      </c>
      <c r="G52" s="18" t="n">
        <v>30.78209813</v>
      </c>
      <c r="H52" s="20" t="n">
        <v>1.55907506</v>
      </c>
      <c r="I52" s="18" t="s">
        <v>567</v>
      </c>
      <c r="J52" s="20" t="s">
        <v>567</v>
      </c>
      <c r="K52" s="18" t="n">
        <v>0.27615377</v>
      </c>
      <c r="L52" s="20" t="n">
        <v>0.1942606</v>
      </c>
      <c r="M52" s="18" t="n">
        <v>0</v>
      </c>
      <c r="N52" s="20" t="n">
        <v>0</v>
      </c>
      <c r="O52" s="18" t="n">
        <v>0</v>
      </c>
      <c r="P52" s="20" t="n">
        <v>0</v>
      </c>
      <c r="Q52" s="18" t="n">
        <v>4.27714431</v>
      </c>
      <c r="R52" s="20" t="n">
        <v>0.66684857</v>
      </c>
    </row>
    <row r="53" spans="1:18">
      <c r="A53" s="15" t="s">
        <v>613</v>
      </c>
      <c r="B53" s="17" t="n">
        <v>2811</v>
      </c>
      <c r="C53" s="18">
        <f>(2215.0/B53*100)</f>
        <v/>
      </c>
      <c r="D53" s="19" t="n">
        <v>596</v>
      </c>
      <c r="E53" s="18" t="n">
        <v>76.10963446</v>
      </c>
      <c r="F53" s="20" t="n">
        <v>2.02892185</v>
      </c>
      <c r="G53" s="18" t="n">
        <v>20.80041835</v>
      </c>
      <c r="H53" s="20" t="n">
        <v>1.88944541</v>
      </c>
      <c r="I53" s="18" t="s">
        <v>567</v>
      </c>
      <c r="J53" s="20" t="s">
        <v>567</v>
      </c>
      <c r="K53" s="18" t="n">
        <v>0.88291242</v>
      </c>
      <c r="L53" s="20" t="n">
        <v>0.40584518</v>
      </c>
      <c r="M53" s="18" t="n">
        <v>0</v>
      </c>
      <c r="N53" s="20" t="n">
        <v>0</v>
      </c>
      <c r="O53" s="18" t="n">
        <v>0</v>
      </c>
      <c r="P53" s="20" t="n">
        <v>0</v>
      </c>
      <c r="Q53" s="18" t="n">
        <v>2.20703477</v>
      </c>
      <c r="R53" s="20" t="n">
        <v>0.68511495</v>
      </c>
    </row>
    <row r="54" spans="1:18">
      <c r="A54" s="15" t="s">
        <v>614</v>
      </c>
      <c r="B54" s="17" t="n">
        <v>2266</v>
      </c>
      <c r="C54" s="18">
        <f>(1743.0/B54*100)</f>
        <v/>
      </c>
      <c r="D54" s="19" t="n">
        <v>523</v>
      </c>
      <c r="E54" s="18" t="n">
        <v>74.97708338</v>
      </c>
      <c r="F54" s="20" t="n">
        <v>1.89537925</v>
      </c>
      <c r="G54" s="18" t="n">
        <v>6.18593053</v>
      </c>
      <c r="H54" s="20" t="n">
        <v>1.06005327</v>
      </c>
      <c r="I54" s="18" t="s">
        <v>567</v>
      </c>
      <c r="J54" s="20" t="s">
        <v>567</v>
      </c>
      <c r="K54" s="18" t="n">
        <v>11.9572034</v>
      </c>
      <c r="L54" s="20" t="n">
        <v>1.63995397</v>
      </c>
      <c r="M54" s="18" t="n">
        <v>0.35871576</v>
      </c>
      <c r="N54" s="20" t="n">
        <v>0.24971983</v>
      </c>
      <c r="O54" s="18" t="n">
        <v>0</v>
      </c>
      <c r="P54" s="20" t="n">
        <v>0</v>
      </c>
      <c r="Q54" s="18" t="n">
        <v>6.52106694</v>
      </c>
      <c r="R54" s="20" t="n">
        <v>1.29453495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(2066.0/B56*100)</f>
        <v/>
      </c>
      <c r="D56" s="19" t="n">
        <v>618</v>
      </c>
      <c r="E56" s="18" t="n">
        <v>50.12516094</v>
      </c>
      <c r="F56" s="20" t="n">
        <v>2.31063977</v>
      </c>
      <c r="G56" s="18" t="n">
        <v>49.21764288</v>
      </c>
      <c r="H56" s="20" t="n">
        <v>2.38229689</v>
      </c>
      <c r="I56" s="18" t="s">
        <v>567</v>
      </c>
      <c r="J56" s="20" t="s">
        <v>567</v>
      </c>
      <c r="K56" s="18" t="n">
        <v>0.20182236</v>
      </c>
      <c r="L56" s="20" t="n">
        <v>0.19661269</v>
      </c>
      <c r="M56" s="18" t="n">
        <v>0</v>
      </c>
      <c r="N56" s="20" t="n">
        <v>0</v>
      </c>
      <c r="O56" s="18" t="n">
        <v>0</v>
      </c>
      <c r="P56" s="20" t="n">
        <v>0</v>
      </c>
      <c r="Q56" s="18" t="n">
        <v>0.45537382</v>
      </c>
      <c r="R56" s="20" t="n">
        <v>0.32953895</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(2599.0/B61*100)</f>
        <v/>
      </c>
      <c r="D61" s="19" t="n">
        <v>725</v>
      </c>
      <c r="E61" s="18" t="n">
        <v>78.85274269</v>
      </c>
      <c r="F61" s="20" t="n">
        <v>1.69151613</v>
      </c>
      <c r="G61" s="18" t="n">
        <v>20.04884474</v>
      </c>
      <c r="H61" s="20" t="n">
        <v>1.65648106</v>
      </c>
      <c r="I61" s="18" t="s">
        <v>567</v>
      </c>
      <c r="J61" s="20" t="s">
        <v>567</v>
      </c>
      <c r="K61" s="18" t="n">
        <v>0</v>
      </c>
      <c r="L61" s="20" t="n">
        <v>0</v>
      </c>
      <c r="M61" s="18" t="n">
        <v>0</v>
      </c>
      <c r="N61" s="20" t="n">
        <v>0</v>
      </c>
      <c r="O61" s="18" t="n">
        <v>0</v>
      </c>
      <c r="P61" s="20" t="n">
        <v>0</v>
      </c>
      <c r="Q61" s="18" t="n">
        <v>1.09841258</v>
      </c>
      <c r="R61" s="20" t="n">
        <v>0.39751199</v>
      </c>
    </row>
    <row r="62" spans="1:18">
      <c r="A62" s="15" t="s">
        <v>622</v>
      </c>
      <c r="B62" s="17" t="n">
        <v>2246</v>
      </c>
      <c r="C62" s="18">
        <f>(1798.0/B62*100)</f>
        <v/>
      </c>
      <c r="D62" s="19" t="n">
        <v>448</v>
      </c>
      <c r="E62" s="18" t="n">
        <v>49.60799688</v>
      </c>
      <c r="F62" s="20" t="n">
        <v>2.35973725</v>
      </c>
      <c r="G62" s="18" t="n">
        <v>49.94861083</v>
      </c>
      <c r="H62" s="20" t="n">
        <v>2.36862228</v>
      </c>
      <c r="I62" s="18" t="s">
        <v>567</v>
      </c>
      <c r="J62" s="20" t="s">
        <v>567</v>
      </c>
      <c r="K62" s="18" t="n">
        <v>0</v>
      </c>
      <c r="L62" s="20" t="n">
        <v>0</v>
      </c>
      <c r="M62" s="18" t="n">
        <v>0.22169614</v>
      </c>
      <c r="N62" s="20" t="n">
        <v>0.2229237</v>
      </c>
      <c r="O62" s="18" t="n">
        <v>0</v>
      </c>
      <c r="P62" s="20" t="n">
        <v>0</v>
      </c>
      <c r="Q62" s="18" t="n">
        <v>0.22169614</v>
      </c>
      <c r="R62" s="20" t="n">
        <v>0.22050656</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(2259.0/B66*100)</f>
        <v/>
      </c>
      <c r="D66" s="19" t="n">
        <v>635</v>
      </c>
      <c r="E66" s="18" t="n">
        <v>76.82745525999999</v>
      </c>
      <c r="F66" s="20" t="n">
        <v>1.84574538</v>
      </c>
      <c r="G66" s="18" t="n">
        <v>13.69486599</v>
      </c>
      <c r="H66" s="20" t="n">
        <v>1.51641292</v>
      </c>
      <c r="I66" s="18" t="s">
        <v>567</v>
      </c>
      <c r="J66" s="20" t="s">
        <v>567</v>
      </c>
      <c r="K66" s="18" t="n">
        <v>1.06891508</v>
      </c>
      <c r="L66" s="20" t="n">
        <v>0.40070321</v>
      </c>
      <c r="M66" s="18" t="n">
        <v>0.29810567</v>
      </c>
      <c r="N66" s="20" t="n">
        <v>0.20995766</v>
      </c>
      <c r="O66" s="18" t="n">
        <v>0</v>
      </c>
      <c r="P66" s="20" t="n">
        <v>0</v>
      </c>
      <c r="Q66" s="18" t="n">
        <v>8.110658000000001</v>
      </c>
      <c r="R66" s="20" t="n">
        <v>1.13423679</v>
      </c>
    </row>
    <row r="67" spans="1:18">
      <c r="A67" s="15" t="s">
        <v>627</v>
      </c>
      <c r="B67" s="17" t="n">
        <v>3511</v>
      </c>
      <c r="C67" s="18">
        <f>(2855.0/B67*100)</f>
        <v/>
      </c>
      <c r="D67" s="19" t="n">
        <v>656</v>
      </c>
      <c r="E67" s="18" t="n">
        <v>81.91440707</v>
      </c>
      <c r="F67" s="20" t="n">
        <v>1.63067078</v>
      </c>
      <c r="G67" s="18" t="n">
        <v>15.15833724</v>
      </c>
      <c r="H67" s="20" t="n">
        <v>1.58346743</v>
      </c>
      <c r="I67" s="18" t="s">
        <v>567</v>
      </c>
      <c r="J67" s="20" t="s">
        <v>567</v>
      </c>
      <c r="K67" s="18" t="n">
        <v>0.49117134</v>
      </c>
      <c r="L67" s="20" t="n">
        <v>0.40473014</v>
      </c>
      <c r="M67" s="18" t="n">
        <v>0.34384217</v>
      </c>
      <c r="N67" s="20" t="n">
        <v>0.19920095</v>
      </c>
      <c r="O67" s="18" t="n">
        <v>0</v>
      </c>
      <c r="P67" s="20" t="n">
        <v>0</v>
      </c>
      <c r="Q67" s="18" t="n">
        <v>2.09224219</v>
      </c>
      <c r="R67" s="20" t="n">
        <v>0.59625761</v>
      </c>
    </row>
    <row r="68" spans="1:18">
      <c r="A68" s="15" t="s">
        <v>628</v>
      </c>
      <c r="B68" s="17" t="n">
        <v>6049</v>
      </c>
      <c r="C68" s="18">
        <f>(4719.0/B68*100)</f>
        <v/>
      </c>
      <c r="D68" s="19" t="n">
        <v>1330</v>
      </c>
      <c r="E68" s="18" t="n">
        <v>73.62915108</v>
      </c>
      <c r="F68" s="20" t="n">
        <v>1.09505787</v>
      </c>
      <c r="G68" s="18" t="n">
        <v>18.13975638</v>
      </c>
      <c r="H68" s="20" t="n">
        <v>1.0182286</v>
      </c>
      <c r="I68" s="18" t="s">
        <v>567</v>
      </c>
      <c r="J68" s="20" t="s">
        <v>567</v>
      </c>
      <c r="K68" s="18" t="n">
        <v>3.31796134</v>
      </c>
      <c r="L68" s="20" t="n">
        <v>0.51117667</v>
      </c>
      <c r="M68" s="18" t="n">
        <v>0.0753926</v>
      </c>
      <c r="N68" s="20" t="n">
        <v>0.07422556</v>
      </c>
      <c r="O68" s="18" t="n">
        <v>0</v>
      </c>
      <c r="P68" s="20" t="n">
        <v>0</v>
      </c>
      <c r="Q68" s="18" t="n">
        <v>4.8377386</v>
      </c>
      <c r="R68" s="20" t="n">
        <v>0.6005675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(2346.0/B70*100)</f>
        <v/>
      </c>
      <c r="D70" s="19" t="n">
        <v>583</v>
      </c>
      <c r="E70" s="18" t="n">
        <v>74.96729395</v>
      </c>
      <c r="F70" s="20" t="n">
        <v>2.1091411</v>
      </c>
      <c r="G70" s="18" t="n">
        <v>23.03988791</v>
      </c>
      <c r="H70" s="20" t="n">
        <v>2.30356934</v>
      </c>
      <c r="I70" s="18" t="s">
        <v>567</v>
      </c>
      <c r="J70" s="20" t="s">
        <v>567</v>
      </c>
      <c r="K70" s="18" t="n">
        <v>0.26669383</v>
      </c>
      <c r="L70" s="20" t="n">
        <v>0.17605129</v>
      </c>
      <c r="M70" s="18" t="n">
        <v>0.11412488</v>
      </c>
      <c r="N70" s="20" t="n">
        <v>0.11431803</v>
      </c>
      <c r="O70" s="18" t="n">
        <v>0</v>
      </c>
      <c r="P70" s="20" t="n">
        <v>0</v>
      </c>
      <c r="Q70" s="18" t="n">
        <v>1.61199942</v>
      </c>
      <c r="R70" s="20" t="n">
        <v>0.6693885000000001</v>
      </c>
    </row>
    <row r="71" spans="1:18">
      <c r="A71" s="15" t="s">
        <v>631</v>
      </c>
      <c r="B71" s="17" t="n">
        <v>3142</v>
      </c>
      <c r="C71" s="18">
        <f>(2466.0/B71*100)</f>
        <v/>
      </c>
      <c r="D71" s="19" t="n">
        <v>676</v>
      </c>
      <c r="E71" s="18" t="n">
        <v>39.11949585</v>
      </c>
      <c r="F71" s="20" t="n">
        <v>2.26547704</v>
      </c>
      <c r="G71" s="18" t="n">
        <v>59.49267766</v>
      </c>
      <c r="H71" s="20" t="n">
        <v>2.30411954</v>
      </c>
      <c r="I71" s="18" t="s">
        <v>567</v>
      </c>
      <c r="J71" s="20" t="s">
        <v>567</v>
      </c>
      <c r="K71" s="18" t="n">
        <v>0.20547453</v>
      </c>
      <c r="L71" s="20" t="n">
        <v>0.14866983</v>
      </c>
      <c r="M71" s="18" t="n">
        <v>0.08873928</v>
      </c>
      <c r="N71" s="20" t="n">
        <v>0.08898395000000001</v>
      </c>
      <c r="O71" s="18" t="n">
        <v>0</v>
      </c>
      <c r="P71" s="20" t="n">
        <v>0</v>
      </c>
      <c r="Q71" s="18" t="n">
        <v>1.09361267</v>
      </c>
      <c r="R71" s="20" t="n">
        <v>0.37633767</v>
      </c>
    </row>
    <row r="72" spans="1:18">
      <c r="A72" s="15" t="s">
        <v>632</v>
      </c>
      <c r="B72" s="17" t="n">
        <v>3889</v>
      </c>
      <c r="C72" s="18">
        <f>(3014.0/B72*100)</f>
        <v/>
      </c>
      <c r="D72" s="19" t="n">
        <v>875</v>
      </c>
      <c r="E72" s="18" t="n">
        <v>56.14768789</v>
      </c>
      <c r="F72" s="20" t="n">
        <v>1.9919961</v>
      </c>
      <c r="G72" s="18" t="n">
        <v>42.43655597</v>
      </c>
      <c r="H72" s="20" t="n">
        <v>1.9897501</v>
      </c>
      <c r="I72" s="18" t="s">
        <v>567</v>
      </c>
      <c r="J72" s="20" t="s">
        <v>567</v>
      </c>
      <c r="K72" s="18" t="n">
        <v>0.32000301</v>
      </c>
      <c r="L72" s="20" t="n">
        <v>0.15190452</v>
      </c>
      <c r="M72" s="18" t="n">
        <v>0.09151933</v>
      </c>
      <c r="N72" s="20" t="n">
        <v>0.09164284</v>
      </c>
      <c r="O72" s="18" t="n">
        <v>0</v>
      </c>
      <c r="P72" s="20" t="n">
        <v>0</v>
      </c>
      <c r="Q72" s="18" t="n">
        <v>1.00423381</v>
      </c>
      <c r="R72" s="20" t="n">
        <v>0.35573404</v>
      </c>
    </row>
    <row r="73" spans="1:18">
      <c r="A73" s="15" t="s">
        <v>633</v>
      </c>
      <c r="B73" s="17" t="n">
        <v>3597</v>
      </c>
      <c r="C73" s="18">
        <f>(2817.0/B73*100)</f>
        <v/>
      </c>
      <c r="D73" s="19" t="n">
        <v>780</v>
      </c>
      <c r="E73" s="18" t="n">
        <v>89.85380096</v>
      </c>
      <c r="F73" s="20" t="n">
        <v>1.36031213</v>
      </c>
      <c r="G73" s="18" t="n">
        <v>9.392288690000001</v>
      </c>
      <c r="H73" s="20" t="n">
        <v>1.25139888</v>
      </c>
      <c r="I73" s="18" t="s">
        <v>567</v>
      </c>
      <c r="J73" s="20" t="s">
        <v>567</v>
      </c>
      <c r="K73" s="18" t="n">
        <v>0</v>
      </c>
      <c r="L73" s="20" t="n">
        <v>0</v>
      </c>
      <c r="M73" s="18" t="n">
        <v>0.07853615999999999</v>
      </c>
      <c r="N73" s="20" t="n">
        <v>0.0586192</v>
      </c>
      <c r="O73" s="18" t="n">
        <v>0</v>
      </c>
      <c r="P73" s="20" t="n">
        <v>0</v>
      </c>
      <c r="Q73" s="18" t="n">
        <v>0.67537419</v>
      </c>
      <c r="R73" s="20" t="n">
        <v>0.28443377</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(1929.0/B75*100)</f>
        <v/>
      </c>
      <c r="D75" s="19" t="n">
        <v>477</v>
      </c>
      <c r="E75" s="18" t="n">
        <v>88.2188479</v>
      </c>
      <c r="F75" s="20" t="n">
        <v>1.56381992</v>
      </c>
      <c r="G75" s="18" t="n">
        <v>3.95757345</v>
      </c>
      <c r="H75" s="20" t="n">
        <v>0.84943656</v>
      </c>
      <c r="I75" s="18" t="s">
        <v>567</v>
      </c>
      <c r="J75" s="20" t="s">
        <v>567</v>
      </c>
      <c r="K75" s="18" t="n">
        <v>2.35614182</v>
      </c>
      <c r="L75" s="20" t="n">
        <v>0.76433399</v>
      </c>
      <c r="M75" s="18" t="n">
        <v>0.69379123</v>
      </c>
      <c r="N75" s="20" t="n">
        <v>0.41992559</v>
      </c>
      <c r="O75" s="18" t="n">
        <v>0</v>
      </c>
      <c r="P75" s="20" t="n">
        <v>0</v>
      </c>
      <c r="Q75" s="18" t="n">
        <v>4.77364562</v>
      </c>
      <c r="R75" s="20" t="n">
        <v>1.0303617</v>
      </c>
    </row>
    <row r="76" spans="1:18">
      <c r="A76" s="15" t="s">
        <v>636</v>
      </c>
      <c r="B76" s="17" t="n">
        <v>7052</v>
      </c>
      <c r="C76" s="18">
        <f>(5537.0/B76*100)</f>
        <v/>
      </c>
      <c r="D76" s="19" t="n">
        <v>1515</v>
      </c>
      <c r="E76" s="18" t="n">
        <v>72.64604583000001</v>
      </c>
      <c r="F76" s="20" t="n">
        <v>1.35560569</v>
      </c>
      <c r="G76" s="18" t="n">
        <v>23.46142684</v>
      </c>
      <c r="H76" s="20" t="n">
        <v>1.32337847</v>
      </c>
      <c r="I76" s="18" t="s">
        <v>567</v>
      </c>
      <c r="J76" s="20" t="s">
        <v>567</v>
      </c>
      <c r="K76" s="18" t="n">
        <v>0.70172089</v>
      </c>
      <c r="L76" s="20" t="n">
        <v>0.22597604</v>
      </c>
      <c r="M76" s="18" t="n">
        <v>0.19851111</v>
      </c>
      <c r="N76" s="20" t="n">
        <v>0.1390814</v>
      </c>
      <c r="O76" s="18" t="n">
        <v>0</v>
      </c>
      <c r="P76" s="20" t="n">
        <v>0</v>
      </c>
      <c r="Q76" s="18" t="n">
        <v>2.99229534</v>
      </c>
      <c r="R76" s="20" t="n">
        <v>0.4804619</v>
      </c>
    </row>
    <row r="77" spans="1:18">
      <c r="A77" s="15" t="s">
        <v>637</v>
      </c>
      <c r="B77" s="17" t="n">
        <v>2908</v>
      </c>
      <c r="C77" s="18">
        <f>(2284.0/B77*100)</f>
        <v/>
      </c>
      <c r="D77" s="19" t="n">
        <v>624</v>
      </c>
      <c r="E77" s="18" t="n">
        <v>71.22734423</v>
      </c>
      <c r="F77" s="20" t="n">
        <v>2.07499864</v>
      </c>
      <c r="G77" s="18" t="n">
        <v>19.60563023</v>
      </c>
      <c r="H77" s="20" t="n">
        <v>1.53733893</v>
      </c>
      <c r="I77" s="18" t="s">
        <v>567</v>
      </c>
      <c r="J77" s="20" t="s">
        <v>567</v>
      </c>
      <c r="K77" s="18" t="n">
        <v>2.30608539</v>
      </c>
      <c r="L77" s="20" t="n">
        <v>0.62076458</v>
      </c>
      <c r="M77" s="18" t="n">
        <v>0.12900881</v>
      </c>
      <c r="N77" s="20" t="n">
        <v>0.13018797</v>
      </c>
      <c r="O77" s="18" t="n">
        <v>0</v>
      </c>
      <c r="P77" s="20" t="n">
        <v>0</v>
      </c>
      <c r="Q77" s="18" t="n">
        <v>6.73193134</v>
      </c>
      <c r="R77" s="20" t="n">
        <v>1.25548382</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(3222.0/B81*100)</f>
        <v/>
      </c>
      <c r="D81" s="19" t="n">
        <v>941</v>
      </c>
      <c r="E81" s="18" t="n">
        <v>80.27262259</v>
      </c>
      <c r="F81" s="20" t="n">
        <v>1.59297868</v>
      </c>
      <c r="G81" s="18" t="n">
        <v>18.44723928</v>
      </c>
      <c r="H81" s="20" t="n">
        <v>1.47840424</v>
      </c>
      <c r="I81" s="18" t="s">
        <v>567</v>
      </c>
      <c r="J81" s="20" t="s">
        <v>567</v>
      </c>
      <c r="K81" s="18" t="n">
        <v>0.33660943</v>
      </c>
      <c r="L81" s="20" t="n">
        <v>0.23095684</v>
      </c>
      <c r="M81" s="18" t="n">
        <v>0</v>
      </c>
      <c r="N81" s="20" t="n">
        <v>0</v>
      </c>
      <c r="O81" s="18" t="n">
        <v>0</v>
      </c>
      <c r="P81" s="20" t="n">
        <v>0</v>
      </c>
      <c r="Q81" s="18" t="n">
        <v>0.9435287</v>
      </c>
      <c r="R81" s="20" t="n">
        <v>0.44970361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(5792.0/B7*100)</f>
        <v/>
      </c>
      <c r="D7" s="19" t="n">
        <v>1575</v>
      </c>
      <c r="E7" s="18" t="n">
        <v>26.01715545</v>
      </c>
      <c r="F7" s="20" t="n">
        <v>1.27942196</v>
      </c>
      <c r="G7" s="18" t="n">
        <v>72.70556918</v>
      </c>
      <c r="H7" s="20" t="n">
        <v>1.26614916</v>
      </c>
      <c r="I7" s="18" t="s">
        <v>567</v>
      </c>
      <c r="J7" s="20" t="s">
        <v>567</v>
      </c>
      <c r="K7" s="18" t="n">
        <v>0.54166203</v>
      </c>
      <c r="L7" s="20" t="n">
        <v>0.2053211</v>
      </c>
      <c r="M7" s="18" t="n">
        <v>0</v>
      </c>
      <c r="N7" s="20" t="n">
        <v>0</v>
      </c>
      <c r="O7" s="18" t="n">
        <v>0</v>
      </c>
      <c r="P7" s="20" t="n">
        <v>0</v>
      </c>
      <c r="Q7" s="18" t="n">
        <v>0.7356133500000001</v>
      </c>
      <c r="R7" s="20" t="n">
        <v>0.24726848</v>
      </c>
    </row>
    <row r="8" spans="1:18">
      <c r="A8" s="15" t="s">
        <v>568</v>
      </c>
      <c r="B8" s="17" t="n">
        <v>3564</v>
      </c>
      <c r="C8" s="18">
        <f>(2776.0/B8*100)</f>
        <v/>
      </c>
      <c r="D8" s="19" t="n">
        <v>788</v>
      </c>
      <c r="E8" s="18" t="n">
        <v>33.5441729</v>
      </c>
      <c r="F8" s="20" t="n">
        <v>1.871683</v>
      </c>
      <c r="G8" s="18" t="n">
        <v>64.39312034</v>
      </c>
      <c r="H8" s="20" t="n">
        <v>1.97514596</v>
      </c>
      <c r="I8" s="18" t="s">
        <v>567</v>
      </c>
      <c r="J8" s="20" t="s">
        <v>567</v>
      </c>
      <c r="K8" s="18" t="n">
        <v>0.67119597</v>
      </c>
      <c r="L8" s="20" t="n">
        <v>0.34314838</v>
      </c>
      <c r="M8" s="18" t="n">
        <v>0</v>
      </c>
      <c r="N8" s="20" t="n">
        <v>0</v>
      </c>
      <c r="O8" s="18" t="n">
        <v>0</v>
      </c>
      <c r="P8" s="20" t="n">
        <v>0</v>
      </c>
      <c r="Q8" s="18" t="n">
        <v>1.39151079</v>
      </c>
      <c r="R8" s="20" t="n">
        <v>0.45355592</v>
      </c>
    </row>
    <row r="9" spans="1:18">
      <c r="A9" s="15" t="s">
        <v>569</v>
      </c>
      <c r="B9" s="17" t="n">
        <v>4899</v>
      </c>
      <c r="C9" s="18">
        <f>(3838.0/B9*100)</f>
        <v/>
      </c>
      <c r="D9" s="19" t="n">
        <v>1061</v>
      </c>
      <c r="E9" s="18" t="n">
        <v>35.69350919</v>
      </c>
      <c r="F9" s="20" t="n">
        <v>1.6547371</v>
      </c>
      <c r="G9" s="18" t="n">
        <v>62.77226732</v>
      </c>
      <c r="H9" s="20" t="n">
        <v>1.75844214</v>
      </c>
      <c r="I9" s="18" t="s">
        <v>567</v>
      </c>
      <c r="J9" s="20" t="s">
        <v>567</v>
      </c>
      <c r="K9" s="18" t="n">
        <v>0.5662273</v>
      </c>
      <c r="L9" s="20" t="n">
        <v>0.22595007</v>
      </c>
      <c r="M9" s="18" t="n">
        <v>0</v>
      </c>
      <c r="N9" s="20" t="n">
        <v>0</v>
      </c>
      <c r="O9" s="18" t="n">
        <v>0</v>
      </c>
      <c r="P9" s="20" t="n">
        <v>0</v>
      </c>
      <c r="Q9" s="18" t="n">
        <v>0.96799619</v>
      </c>
      <c r="R9" s="20" t="n">
        <v>0.34246494</v>
      </c>
    </row>
    <row r="10" spans="1:18">
      <c r="A10" s="15" t="s">
        <v>570</v>
      </c>
      <c r="B10" s="17" t="n">
        <v>10036</v>
      </c>
      <c r="C10" s="18">
        <f>(7894.0/B10*100)</f>
        <v/>
      </c>
      <c r="D10" s="19" t="n">
        <v>2142</v>
      </c>
      <c r="E10" s="18" t="n">
        <v>24.14987388</v>
      </c>
      <c r="F10" s="20" t="n">
        <v>1.26992386</v>
      </c>
      <c r="G10" s="18" t="n">
        <v>74.55547842999999</v>
      </c>
      <c r="H10" s="20" t="n">
        <v>1.3065668</v>
      </c>
      <c r="I10" s="18" t="s">
        <v>567</v>
      </c>
      <c r="J10" s="20" t="s">
        <v>567</v>
      </c>
      <c r="K10" s="18" t="n">
        <v>0.58720863</v>
      </c>
      <c r="L10" s="20" t="n">
        <v>0.20934652</v>
      </c>
      <c r="M10" s="18" t="n">
        <v>0</v>
      </c>
      <c r="N10" s="20" t="n">
        <v>0</v>
      </c>
      <c r="O10" s="18" t="n">
        <v>0</v>
      </c>
      <c r="P10" s="20" t="n">
        <v>0</v>
      </c>
      <c r="Q10" s="18" t="n">
        <v>0.70743906</v>
      </c>
      <c r="R10" s="20" t="n">
        <v>0.23008211</v>
      </c>
    </row>
    <row r="11" spans="1:18">
      <c r="A11" s="15" t="s">
        <v>571</v>
      </c>
      <c r="B11" s="17" t="n">
        <v>3553</v>
      </c>
      <c r="C11" s="18">
        <f>(2867.0/B11*100)</f>
        <v/>
      </c>
      <c r="D11" s="19" t="n">
        <v>686</v>
      </c>
      <c r="E11" s="18" t="n">
        <v>25.92280144</v>
      </c>
      <c r="F11" s="20" t="n">
        <v>2.15469435</v>
      </c>
      <c r="G11" s="18" t="n">
        <v>71.85728601</v>
      </c>
      <c r="H11" s="20" t="n">
        <v>2.01140653</v>
      </c>
      <c r="I11" s="18" t="s">
        <v>567</v>
      </c>
      <c r="J11" s="20" t="s">
        <v>567</v>
      </c>
      <c r="K11" s="18" t="n">
        <v>0.88816606</v>
      </c>
      <c r="L11" s="20" t="n">
        <v>0.37380924</v>
      </c>
      <c r="M11" s="18" t="n">
        <v>0</v>
      </c>
      <c r="N11" s="20" t="n">
        <v>0</v>
      </c>
      <c r="O11" s="18" t="n">
        <v>0</v>
      </c>
      <c r="P11" s="20" t="n">
        <v>0</v>
      </c>
      <c r="Q11" s="18" t="n">
        <v>1.33174649</v>
      </c>
      <c r="R11" s="20" t="n">
        <v>0.43705686</v>
      </c>
    </row>
    <row r="12" spans="1:18">
      <c r="A12" s="15" t="s">
        <v>572</v>
      </c>
      <c r="B12" s="17" t="n">
        <v>3472</v>
      </c>
      <c r="C12" s="18">
        <f>(2736.0/B12*100)</f>
        <v/>
      </c>
      <c r="D12" s="19" t="n">
        <v>736</v>
      </c>
      <c r="E12" s="18" t="n">
        <v>30.10798917</v>
      </c>
      <c r="F12" s="20" t="n">
        <v>1.93690572</v>
      </c>
      <c r="G12" s="18" t="n">
        <v>69.21282668000001</v>
      </c>
      <c r="H12" s="20" t="n">
        <v>1.97253244</v>
      </c>
      <c r="I12" s="18" t="s">
        <v>567</v>
      </c>
      <c r="J12" s="20" t="s">
        <v>567</v>
      </c>
      <c r="K12" s="18" t="n">
        <v>0.13577218</v>
      </c>
      <c r="L12" s="20" t="n">
        <v>0.13490294</v>
      </c>
      <c r="M12" s="18" t="n">
        <v>0</v>
      </c>
      <c r="N12" s="20" t="n">
        <v>0</v>
      </c>
      <c r="O12" s="18" t="n">
        <v>0</v>
      </c>
      <c r="P12" s="20" t="n">
        <v>0</v>
      </c>
      <c r="Q12" s="18" t="n">
        <v>0.54341197</v>
      </c>
      <c r="R12" s="20" t="n">
        <v>0.23584439</v>
      </c>
    </row>
    <row r="13" spans="1:18">
      <c r="A13" s="15" t="s">
        <v>573</v>
      </c>
      <c r="B13" s="17" t="n">
        <v>3559</v>
      </c>
      <c r="C13" s="18">
        <f>(2858.0/B13*100)</f>
        <v/>
      </c>
      <c r="D13" s="19" t="n">
        <v>701</v>
      </c>
      <c r="E13" s="18" t="n">
        <v>39.96401467</v>
      </c>
      <c r="F13" s="20" t="n">
        <v>2.29180186</v>
      </c>
      <c r="G13" s="18" t="n">
        <v>57.85795347</v>
      </c>
      <c r="H13" s="20" t="n">
        <v>2.31434166</v>
      </c>
      <c r="I13" s="18" t="s">
        <v>567</v>
      </c>
      <c r="J13" s="20" t="s">
        <v>567</v>
      </c>
      <c r="K13" s="18" t="n">
        <v>0.77391517</v>
      </c>
      <c r="L13" s="20" t="n">
        <v>0.38948909</v>
      </c>
      <c r="M13" s="18" t="n">
        <v>0</v>
      </c>
      <c r="N13" s="20" t="n">
        <v>0</v>
      </c>
      <c r="O13" s="18" t="n">
        <v>0</v>
      </c>
      <c r="P13" s="20" t="n">
        <v>0</v>
      </c>
      <c r="Q13" s="18" t="n">
        <v>1.40411669</v>
      </c>
      <c r="R13" s="20" t="n">
        <v>0.44913182</v>
      </c>
    </row>
    <row r="14" spans="1:18">
      <c r="A14" s="15" t="s">
        <v>574</v>
      </c>
      <c r="B14" s="17" t="n">
        <v>2799</v>
      </c>
      <c r="C14" s="18">
        <f>(2217.0/B14*100)</f>
        <v/>
      </c>
      <c r="D14" s="19" t="n">
        <v>582</v>
      </c>
      <c r="E14" s="18" t="n">
        <v>27.42186238</v>
      </c>
      <c r="F14" s="20" t="n">
        <v>2.03452917</v>
      </c>
      <c r="G14" s="18" t="n">
        <v>71.57939752999999</v>
      </c>
      <c r="H14" s="20" t="n">
        <v>2.0811681</v>
      </c>
      <c r="I14" s="18" t="s">
        <v>567</v>
      </c>
      <c r="J14" s="20" t="s">
        <v>567</v>
      </c>
      <c r="K14" s="18" t="n">
        <v>0.14317286</v>
      </c>
      <c r="L14" s="20" t="n">
        <v>0.14386688</v>
      </c>
      <c r="M14" s="18" t="n">
        <v>0</v>
      </c>
      <c r="N14" s="20" t="n">
        <v>0</v>
      </c>
      <c r="O14" s="18" t="n">
        <v>0</v>
      </c>
      <c r="P14" s="20" t="n">
        <v>0</v>
      </c>
      <c r="Q14" s="18" t="n">
        <v>0.85556723</v>
      </c>
      <c r="R14" s="20" t="n">
        <v>0.36470743</v>
      </c>
    </row>
    <row r="15" spans="1:18">
      <c r="A15" s="15" t="s">
        <v>575</v>
      </c>
      <c r="B15" s="17" t="n">
        <v>3019</v>
      </c>
      <c r="C15" s="18">
        <f>(2348.0/B15*100)</f>
        <v/>
      </c>
      <c r="D15" s="19" t="n">
        <v>671</v>
      </c>
      <c r="E15" s="18" t="n">
        <v>27.3879911</v>
      </c>
      <c r="F15" s="20" t="n">
        <v>1.74988494</v>
      </c>
      <c r="G15" s="18" t="n">
        <v>71.81885416</v>
      </c>
      <c r="H15" s="20" t="n">
        <v>1.78960601</v>
      </c>
      <c r="I15" s="18" t="s">
        <v>567</v>
      </c>
      <c r="J15" s="20" t="s">
        <v>567</v>
      </c>
      <c r="K15" s="18" t="n">
        <v>0.14888624</v>
      </c>
      <c r="L15" s="20" t="n">
        <v>0.14794898</v>
      </c>
      <c r="M15" s="18" t="n">
        <v>0</v>
      </c>
      <c r="N15" s="20" t="n">
        <v>0</v>
      </c>
      <c r="O15" s="18" t="n">
        <v>0</v>
      </c>
      <c r="P15" s="20" t="n">
        <v>0</v>
      </c>
      <c r="Q15" s="18" t="n">
        <v>0.64426849</v>
      </c>
      <c r="R15" s="20" t="n">
        <v>0.2953377</v>
      </c>
    </row>
    <row r="16" spans="1:18">
      <c r="A16" s="15" t="s">
        <v>576</v>
      </c>
      <c r="B16" s="17" t="n">
        <v>2997</v>
      </c>
      <c r="C16" s="18">
        <f>(2330.0/B16*100)</f>
        <v/>
      </c>
      <c r="D16" s="19" t="n">
        <v>667</v>
      </c>
      <c r="E16" s="18" t="n">
        <v>42.22122825</v>
      </c>
      <c r="F16" s="20" t="n">
        <v>1.95025884</v>
      </c>
      <c r="G16" s="18" t="n">
        <v>54.73596196</v>
      </c>
      <c r="H16" s="20" t="n">
        <v>2.10203423</v>
      </c>
      <c r="I16" s="18" t="s">
        <v>567</v>
      </c>
      <c r="J16" s="20" t="s">
        <v>567</v>
      </c>
      <c r="K16" s="18" t="n">
        <v>1.19167349</v>
      </c>
      <c r="L16" s="20" t="n">
        <v>0.4067597</v>
      </c>
      <c r="M16" s="18" t="n">
        <v>0</v>
      </c>
      <c r="N16" s="20" t="n">
        <v>0</v>
      </c>
      <c r="O16" s="18" t="n">
        <v>0</v>
      </c>
      <c r="P16" s="20" t="n">
        <v>0</v>
      </c>
      <c r="Q16" s="18" t="n">
        <v>1.8511363</v>
      </c>
      <c r="R16" s="20" t="n">
        <v>0.54430524</v>
      </c>
    </row>
    <row r="17" spans="1:18">
      <c r="A17" s="15" t="s">
        <v>577</v>
      </c>
      <c r="B17" s="17" t="n">
        <v>3307</v>
      </c>
      <c r="C17" s="18">
        <f>(2613.0/B17*100)</f>
        <v/>
      </c>
      <c r="D17" s="19" t="n">
        <v>694</v>
      </c>
      <c r="E17" s="18" t="n">
        <v>34.22598263</v>
      </c>
      <c r="F17" s="20" t="n">
        <v>1.70847542</v>
      </c>
      <c r="G17" s="18" t="n">
        <v>64.27105374999999</v>
      </c>
      <c r="H17" s="20" t="n">
        <v>1.73140922</v>
      </c>
      <c r="I17" s="18" t="s">
        <v>567</v>
      </c>
      <c r="J17" s="20" t="s">
        <v>567</v>
      </c>
      <c r="K17" s="18" t="n">
        <v>0.67968852</v>
      </c>
      <c r="L17" s="20" t="n">
        <v>0.32274362</v>
      </c>
      <c r="M17" s="18" t="n">
        <v>0</v>
      </c>
      <c r="N17" s="20" t="n">
        <v>0</v>
      </c>
      <c r="O17" s="18" t="n">
        <v>0</v>
      </c>
      <c r="P17" s="20" t="n">
        <v>0</v>
      </c>
      <c r="Q17" s="18" t="n">
        <v>0.8232751</v>
      </c>
      <c r="R17" s="20" t="n">
        <v>0.32338025</v>
      </c>
    </row>
    <row r="18" spans="1:18">
      <c r="A18" s="15" t="s">
        <v>578</v>
      </c>
      <c r="B18" s="17" t="n">
        <v>2826</v>
      </c>
      <c r="C18" s="18">
        <f>(2205.0/B18*100)</f>
        <v/>
      </c>
      <c r="D18" s="19" t="n">
        <v>621</v>
      </c>
      <c r="E18" s="18" t="n">
        <v>48.29774883</v>
      </c>
      <c r="F18" s="20" t="n">
        <v>2.12630349</v>
      </c>
      <c r="G18" s="18" t="n">
        <v>48.98670152</v>
      </c>
      <c r="H18" s="20" t="n">
        <v>2.11541339</v>
      </c>
      <c r="I18" s="18" t="s">
        <v>567</v>
      </c>
      <c r="J18" s="20" t="s">
        <v>567</v>
      </c>
      <c r="K18" s="18" t="n">
        <v>0.86238823</v>
      </c>
      <c r="L18" s="20" t="n">
        <v>0.37274911</v>
      </c>
      <c r="M18" s="18" t="n">
        <v>0</v>
      </c>
      <c r="N18" s="20" t="n">
        <v>0</v>
      </c>
      <c r="O18" s="18" t="n">
        <v>0</v>
      </c>
      <c r="P18" s="20" t="n">
        <v>0</v>
      </c>
      <c r="Q18" s="18" t="n">
        <v>1.85316141</v>
      </c>
      <c r="R18" s="20" t="n">
        <v>0.58886867</v>
      </c>
    </row>
    <row r="19" spans="1:18">
      <c r="A19" s="15" t="s">
        <v>579</v>
      </c>
      <c r="B19" s="17" t="n">
        <v>2808</v>
      </c>
      <c r="C19" s="18">
        <f>(2230.0/B19*100)</f>
        <v/>
      </c>
      <c r="D19" s="19" t="n">
        <v>578</v>
      </c>
      <c r="E19" s="18" t="n">
        <v>37.31133265</v>
      </c>
      <c r="F19" s="20" t="n">
        <v>1.98811366</v>
      </c>
      <c r="G19" s="18" t="n">
        <v>62.12951311</v>
      </c>
      <c r="H19" s="20" t="n">
        <v>1.99300956</v>
      </c>
      <c r="I19" s="18" t="s">
        <v>567</v>
      </c>
      <c r="J19" s="20" t="s">
        <v>567</v>
      </c>
      <c r="K19" s="18" t="n">
        <v>0</v>
      </c>
      <c r="L19" s="20" t="n">
        <v>0</v>
      </c>
      <c r="M19" s="18" t="n">
        <v>0</v>
      </c>
      <c r="N19" s="20" t="n">
        <v>0</v>
      </c>
      <c r="O19" s="18" t="n">
        <v>0</v>
      </c>
      <c r="P19" s="20" t="n">
        <v>0</v>
      </c>
      <c r="Q19" s="18" t="n">
        <v>0.55915424</v>
      </c>
      <c r="R19" s="20" t="n">
        <v>0.36973485</v>
      </c>
    </row>
    <row r="20" spans="1:18">
      <c r="A20" s="15" t="s">
        <v>580</v>
      </c>
      <c r="B20" s="17" t="n">
        <v>1630</v>
      </c>
      <c r="C20" s="18">
        <f>(1270.0/B20*100)</f>
        <v/>
      </c>
      <c r="D20" s="19" t="n">
        <v>360</v>
      </c>
      <c r="E20" s="18" t="n">
        <v>32.71426523</v>
      </c>
      <c r="F20" s="20" t="n">
        <v>2.51403102</v>
      </c>
      <c r="G20" s="18" t="n">
        <v>62.66459571</v>
      </c>
      <c r="H20" s="20" t="n">
        <v>2.7673951</v>
      </c>
      <c r="I20" s="18" t="s">
        <v>567</v>
      </c>
      <c r="J20" s="20" t="s">
        <v>567</v>
      </c>
      <c r="K20" s="18" t="n">
        <v>1.89581514</v>
      </c>
      <c r="L20" s="20" t="n">
        <v>0.5960055</v>
      </c>
      <c r="M20" s="18" t="n">
        <v>0</v>
      </c>
      <c r="N20" s="20" t="n">
        <v>0</v>
      </c>
      <c r="O20" s="18" t="n">
        <v>0</v>
      </c>
      <c r="P20" s="20" t="n">
        <v>0</v>
      </c>
      <c r="Q20" s="18" t="n">
        <v>2.72532392</v>
      </c>
      <c r="R20" s="20" t="n">
        <v>0.97978214</v>
      </c>
    </row>
    <row r="21" spans="1:18">
      <c r="A21" s="15" t="s">
        <v>581</v>
      </c>
      <c r="B21" s="17" t="n">
        <v>2908</v>
      </c>
      <c r="C21" s="18">
        <f>(2256.0/B21*100)</f>
        <v/>
      </c>
      <c r="D21" s="19" t="n">
        <v>652</v>
      </c>
      <c r="E21" s="18" t="n">
        <v>30.67744543</v>
      </c>
      <c r="F21" s="20" t="n">
        <v>1.88129313</v>
      </c>
      <c r="G21" s="18" t="n">
        <v>67.32578316</v>
      </c>
      <c r="H21" s="20" t="n">
        <v>1.71469947</v>
      </c>
      <c r="I21" s="18" t="s">
        <v>567</v>
      </c>
      <c r="J21" s="20" t="s">
        <v>567</v>
      </c>
      <c r="K21" s="18" t="n">
        <v>0.64279157</v>
      </c>
      <c r="L21" s="20" t="n">
        <v>0.35814625</v>
      </c>
      <c r="M21" s="18" t="n">
        <v>0</v>
      </c>
      <c r="N21" s="20" t="n">
        <v>0</v>
      </c>
      <c r="O21" s="18" t="n">
        <v>0</v>
      </c>
      <c r="P21" s="20" t="n">
        <v>0</v>
      </c>
      <c r="Q21" s="18" t="n">
        <v>1.35397984</v>
      </c>
      <c r="R21" s="20" t="n">
        <v>0.42892171</v>
      </c>
    </row>
    <row r="22" spans="1:18">
      <c r="A22" s="15" t="s">
        <v>582</v>
      </c>
      <c r="B22" s="17" t="n">
        <v>2931</v>
      </c>
      <c r="C22" s="18">
        <f>(2312.0/B22*100)</f>
        <v/>
      </c>
      <c r="D22" s="19" t="n">
        <v>619</v>
      </c>
      <c r="E22" s="18" t="n">
        <v>33.73061048</v>
      </c>
      <c r="F22" s="20" t="n">
        <v>1.90431765</v>
      </c>
      <c r="G22" s="18" t="n">
        <v>63.62953369</v>
      </c>
      <c r="H22" s="20" t="n">
        <v>2.05745637</v>
      </c>
      <c r="I22" s="18" t="s">
        <v>567</v>
      </c>
      <c r="J22" s="20" t="s">
        <v>567</v>
      </c>
      <c r="K22" s="18" t="n">
        <v>0.99308068</v>
      </c>
      <c r="L22" s="20" t="n">
        <v>0.35709</v>
      </c>
      <c r="M22" s="18" t="n">
        <v>0</v>
      </c>
      <c r="N22" s="20" t="n">
        <v>0</v>
      </c>
      <c r="O22" s="18" t="n">
        <v>0</v>
      </c>
      <c r="P22" s="20" t="n">
        <v>0</v>
      </c>
      <c r="Q22" s="18" t="n">
        <v>1.64677515</v>
      </c>
      <c r="R22" s="20" t="n">
        <v>0.59141165</v>
      </c>
    </row>
    <row r="23" spans="1:18">
      <c r="A23" s="15" t="s">
        <v>583</v>
      </c>
      <c r="B23" s="17" t="n">
        <v>5791</v>
      </c>
      <c r="C23" s="18">
        <f>(4493.0/B23*100)</f>
        <v/>
      </c>
      <c r="D23" s="19" t="n">
        <v>1298</v>
      </c>
      <c r="E23" s="18" t="n">
        <v>38.41590993</v>
      </c>
      <c r="F23" s="20" t="n">
        <v>1.84501849</v>
      </c>
      <c r="G23" s="18" t="n">
        <v>58.69572997</v>
      </c>
      <c r="H23" s="20" t="n">
        <v>1.8047175</v>
      </c>
      <c r="I23" s="18" t="s">
        <v>567</v>
      </c>
      <c r="J23" s="20" t="s">
        <v>567</v>
      </c>
      <c r="K23" s="18" t="n">
        <v>0.45744882</v>
      </c>
      <c r="L23" s="20" t="n">
        <v>0.09699822</v>
      </c>
      <c r="M23" s="18" t="n">
        <v>0</v>
      </c>
      <c r="N23" s="20" t="n">
        <v>0</v>
      </c>
      <c r="O23" s="18" t="n">
        <v>0</v>
      </c>
      <c r="P23" s="20" t="n">
        <v>0</v>
      </c>
      <c r="Q23" s="18" t="n">
        <v>2.43091128</v>
      </c>
      <c r="R23" s="20" t="n">
        <v>0.62733404</v>
      </c>
    </row>
    <row r="24" spans="1:18">
      <c r="A24" s="15" t="s">
        <v>584</v>
      </c>
      <c r="B24" s="17" t="n">
        <v>3338</v>
      </c>
      <c r="C24" s="18">
        <f>(2614.0/B24*100)</f>
        <v/>
      </c>
      <c r="D24" s="19" t="n">
        <v>724</v>
      </c>
      <c r="E24" s="18" t="n">
        <v>23.97508929</v>
      </c>
      <c r="F24" s="20" t="n">
        <v>1.89539425</v>
      </c>
      <c r="G24" s="18" t="n">
        <v>74.66491558</v>
      </c>
      <c r="H24" s="20" t="n">
        <v>2.00385284</v>
      </c>
      <c r="I24" s="18" t="s">
        <v>567</v>
      </c>
      <c r="J24" s="20" t="s">
        <v>567</v>
      </c>
      <c r="K24" s="18" t="n">
        <v>0.40098698</v>
      </c>
      <c r="L24" s="20" t="n">
        <v>0.23556971</v>
      </c>
      <c r="M24" s="18" t="n">
        <v>0</v>
      </c>
      <c r="N24" s="20" t="n">
        <v>0</v>
      </c>
      <c r="O24" s="18" t="n">
        <v>0</v>
      </c>
      <c r="P24" s="20" t="n">
        <v>0</v>
      </c>
      <c r="Q24" s="18" t="n">
        <v>0.9590081499999999</v>
      </c>
      <c r="R24" s="20" t="n">
        <v>0.3966463</v>
      </c>
    </row>
    <row r="25" spans="1:18">
      <c r="A25" s="15" t="s">
        <v>585</v>
      </c>
      <c r="B25" s="17" t="n">
        <v>2912</v>
      </c>
      <c r="C25" s="18">
        <f>(2282.0/B25*100)</f>
        <v/>
      </c>
      <c r="D25" s="19" t="n">
        <v>630</v>
      </c>
      <c r="E25" s="18" t="n">
        <v>24.77247381</v>
      </c>
      <c r="F25" s="20" t="n">
        <v>1.5383319</v>
      </c>
      <c r="G25" s="18" t="n">
        <v>74.75049663</v>
      </c>
      <c r="H25" s="20" t="n">
        <v>1.55844676</v>
      </c>
      <c r="I25" s="18" t="s">
        <v>567</v>
      </c>
      <c r="J25" s="20" t="s">
        <v>567</v>
      </c>
      <c r="K25" s="18" t="n">
        <v>0</v>
      </c>
      <c r="L25" s="20" t="n">
        <v>0</v>
      </c>
      <c r="M25" s="18" t="n">
        <v>0</v>
      </c>
      <c r="N25" s="20" t="n">
        <v>0</v>
      </c>
      <c r="O25" s="18" t="n">
        <v>0</v>
      </c>
      <c r="P25" s="20" t="n">
        <v>0</v>
      </c>
      <c r="Q25" s="18" t="n">
        <v>0.47702956</v>
      </c>
      <c r="R25" s="20" t="n">
        <v>0.27244506</v>
      </c>
    </row>
    <row r="26" spans="1:18">
      <c r="A26" s="15" t="s">
        <v>586</v>
      </c>
      <c r="B26" s="17" t="n">
        <v>2450</v>
      </c>
      <c r="C26" s="18">
        <f>(1928.0/B26*100)</f>
        <v/>
      </c>
      <c r="D26" s="19" t="n">
        <v>522</v>
      </c>
      <c r="E26" s="18" t="n">
        <v>30.29593651</v>
      </c>
      <c r="F26" s="20" t="n">
        <v>2.02474097</v>
      </c>
      <c r="G26" s="18" t="n">
        <v>69.54766293</v>
      </c>
      <c r="H26" s="20" t="n">
        <v>2.05109855</v>
      </c>
      <c r="I26" s="18" t="s">
        <v>567</v>
      </c>
      <c r="J26" s="20" t="s">
        <v>567</v>
      </c>
      <c r="K26" s="18" t="n">
        <v>0.15640056</v>
      </c>
      <c r="L26" s="20" t="n">
        <v>0.15659765</v>
      </c>
      <c r="M26" s="18" t="n">
        <v>0</v>
      </c>
      <c r="N26" s="20" t="n">
        <v>0</v>
      </c>
      <c r="O26" s="18" t="n">
        <v>0</v>
      </c>
      <c r="P26" s="20" t="n">
        <v>0</v>
      </c>
      <c r="Q26" s="18" t="n">
        <v>0</v>
      </c>
      <c r="R26" s="20" t="n">
        <v>0</v>
      </c>
    </row>
    <row r="27" spans="1:18">
      <c r="A27" s="15" t="s">
        <v>587</v>
      </c>
      <c r="B27" s="17" t="n">
        <v>2616</v>
      </c>
      <c r="C27" s="18">
        <f>(2001.0/B27*100)</f>
        <v/>
      </c>
      <c r="D27" s="19" t="n">
        <v>615</v>
      </c>
      <c r="E27" s="18" t="n">
        <v>41.5542535</v>
      </c>
      <c r="F27" s="20" t="n">
        <v>1.92314206</v>
      </c>
      <c r="G27" s="18" t="n">
        <v>56.65501899</v>
      </c>
      <c r="H27" s="20" t="n">
        <v>1.90218412</v>
      </c>
      <c r="I27" s="18" t="s">
        <v>567</v>
      </c>
      <c r="J27" s="20" t="s">
        <v>567</v>
      </c>
      <c r="K27" s="18" t="n">
        <v>0.83390842</v>
      </c>
      <c r="L27" s="20" t="n">
        <v>0.37119213</v>
      </c>
      <c r="M27" s="18" t="n">
        <v>0</v>
      </c>
      <c r="N27" s="20" t="n">
        <v>0</v>
      </c>
      <c r="O27" s="18" t="n">
        <v>0</v>
      </c>
      <c r="P27" s="20" t="n">
        <v>0</v>
      </c>
      <c r="Q27" s="18" t="n">
        <v>0.95681909</v>
      </c>
      <c r="R27" s="20" t="n">
        <v>0.38744899</v>
      </c>
    </row>
    <row r="28" spans="1:18">
      <c r="A28" s="15" t="s">
        <v>588</v>
      </c>
      <c r="B28" s="17" t="n">
        <v>3765</v>
      </c>
      <c r="C28" s="18">
        <f>(3015.0/B28*100)</f>
        <v/>
      </c>
      <c r="D28" s="19" t="n">
        <v>750</v>
      </c>
      <c r="E28" s="18" t="n">
        <v>42.99850733</v>
      </c>
      <c r="F28" s="20" t="n">
        <v>2.09165325</v>
      </c>
      <c r="G28" s="18" t="n">
        <v>55.26887736</v>
      </c>
      <c r="H28" s="20" t="n">
        <v>2.03655053</v>
      </c>
      <c r="I28" s="18" t="s">
        <v>567</v>
      </c>
      <c r="J28" s="20" t="s">
        <v>567</v>
      </c>
      <c r="K28" s="18" t="n">
        <v>0.45942073</v>
      </c>
      <c r="L28" s="20" t="n">
        <v>0.24417124</v>
      </c>
      <c r="M28" s="18" t="n">
        <v>0</v>
      </c>
      <c r="N28" s="20" t="n">
        <v>0</v>
      </c>
      <c r="O28" s="18" t="n">
        <v>0</v>
      </c>
      <c r="P28" s="20" t="n">
        <v>0</v>
      </c>
      <c r="Q28" s="18" t="n">
        <v>1.27319458</v>
      </c>
      <c r="R28" s="20" t="n">
        <v>0.46136864</v>
      </c>
    </row>
    <row r="29" spans="1:18">
      <c r="A29" s="15" t="s">
        <v>589</v>
      </c>
      <c r="B29" s="17" t="n">
        <v>2685</v>
      </c>
      <c r="C29" s="18">
        <f>(2150.0/B29*100)</f>
        <v/>
      </c>
      <c r="D29" s="19" t="n">
        <v>535</v>
      </c>
      <c r="E29" s="18" t="n">
        <v>32.30768583</v>
      </c>
      <c r="F29" s="20" t="n">
        <v>2.1214253</v>
      </c>
      <c r="G29" s="18" t="n">
        <v>65.52127775</v>
      </c>
      <c r="H29" s="20" t="n">
        <v>2.12326893</v>
      </c>
      <c r="I29" s="18" t="s">
        <v>567</v>
      </c>
      <c r="J29" s="20" t="s">
        <v>567</v>
      </c>
      <c r="K29" s="18" t="n">
        <v>0.98589365</v>
      </c>
      <c r="L29" s="20" t="n">
        <v>0.46094766</v>
      </c>
      <c r="M29" s="18" t="n">
        <v>0</v>
      </c>
      <c r="N29" s="20" t="n">
        <v>0</v>
      </c>
      <c r="O29" s="18" t="n">
        <v>0</v>
      </c>
      <c r="P29" s="20" t="n">
        <v>0</v>
      </c>
      <c r="Q29" s="18" t="n">
        <v>1.18514277</v>
      </c>
      <c r="R29" s="20" t="n">
        <v>0.49604578</v>
      </c>
    </row>
    <row r="30" spans="1:18">
      <c r="A30" s="15" t="s">
        <v>590</v>
      </c>
      <c r="B30" s="17" t="n">
        <v>2263</v>
      </c>
      <c r="C30" s="18">
        <f>(1760.0/B30*100)</f>
        <v/>
      </c>
      <c r="D30" s="19" t="n">
        <v>503</v>
      </c>
      <c r="E30" s="18" t="n">
        <v>31.40626327</v>
      </c>
      <c r="F30" s="20" t="n">
        <v>1.90075425</v>
      </c>
      <c r="G30" s="18" t="n">
        <v>65.51340394</v>
      </c>
      <c r="H30" s="20" t="n">
        <v>2.06762565</v>
      </c>
      <c r="I30" s="18" t="s">
        <v>567</v>
      </c>
      <c r="J30" s="20" t="s">
        <v>567</v>
      </c>
      <c r="K30" s="18" t="n">
        <v>2.3952993</v>
      </c>
      <c r="L30" s="20" t="n">
        <v>0.75460984</v>
      </c>
      <c r="M30" s="18" t="n">
        <v>0</v>
      </c>
      <c r="N30" s="20" t="n">
        <v>0</v>
      </c>
      <c r="O30" s="18" t="n">
        <v>0</v>
      </c>
      <c r="P30" s="20" t="n">
        <v>0</v>
      </c>
      <c r="Q30" s="18" t="n">
        <v>0.68503349</v>
      </c>
      <c r="R30" s="20" t="n">
        <v>0.3390493</v>
      </c>
    </row>
    <row r="31" spans="1:18">
      <c r="A31" s="15" t="s">
        <v>591</v>
      </c>
      <c r="B31" s="17" t="n">
        <v>2750</v>
      </c>
      <c r="C31" s="18">
        <f>(2126.0/B31*100)</f>
        <v/>
      </c>
      <c r="D31" s="19" t="n">
        <v>624</v>
      </c>
      <c r="E31" s="18" t="n">
        <v>32.85207728</v>
      </c>
      <c r="F31" s="20" t="n">
        <v>1.72257954</v>
      </c>
      <c r="G31" s="18" t="n">
        <v>64.28735964000001</v>
      </c>
      <c r="H31" s="20" t="n">
        <v>1.80039584</v>
      </c>
      <c r="I31" s="18" t="s">
        <v>567</v>
      </c>
      <c r="J31" s="20" t="s">
        <v>567</v>
      </c>
      <c r="K31" s="18" t="n">
        <v>0.90443045</v>
      </c>
      <c r="L31" s="20" t="n">
        <v>0.4101425</v>
      </c>
      <c r="M31" s="18" t="n">
        <v>0</v>
      </c>
      <c r="N31" s="20" t="n">
        <v>0</v>
      </c>
      <c r="O31" s="18" t="n">
        <v>0</v>
      </c>
      <c r="P31" s="20" t="n">
        <v>0</v>
      </c>
      <c r="Q31" s="18" t="n">
        <v>1.95613263</v>
      </c>
      <c r="R31" s="20" t="n">
        <v>0.52510283</v>
      </c>
    </row>
    <row r="32" spans="1:18">
      <c r="A32" s="15" t="s">
        <v>592</v>
      </c>
      <c r="B32" s="17" t="n">
        <v>2269</v>
      </c>
      <c r="C32" s="18">
        <f>(1754.0/B32*100)</f>
        <v/>
      </c>
      <c r="D32" s="19" t="n">
        <v>515</v>
      </c>
      <c r="E32" s="18" t="n">
        <v>25.63774948</v>
      </c>
      <c r="F32" s="20" t="n">
        <v>2.06854457</v>
      </c>
      <c r="G32" s="18" t="n">
        <v>74.36225052</v>
      </c>
      <c r="H32" s="20" t="n">
        <v>2.06854457</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(2898.0/B33*100)</f>
        <v/>
      </c>
      <c r="D33" s="19" t="n">
        <v>776</v>
      </c>
      <c r="E33" s="18" t="n">
        <v>27.80300986</v>
      </c>
      <c r="F33" s="20" t="n">
        <v>1.93022367</v>
      </c>
      <c r="G33" s="18" t="n">
        <v>71.42272878999999</v>
      </c>
      <c r="H33" s="20" t="n">
        <v>1.96258698</v>
      </c>
      <c r="I33" s="18" t="s">
        <v>567</v>
      </c>
      <c r="J33" s="20" t="s">
        <v>567</v>
      </c>
      <c r="K33" s="18" t="n">
        <v>0.02851411</v>
      </c>
      <c r="L33" s="20" t="n">
        <v>0.01651156</v>
      </c>
      <c r="M33" s="18" t="n">
        <v>0</v>
      </c>
      <c r="N33" s="20" t="n">
        <v>0</v>
      </c>
      <c r="O33" s="18" t="n">
        <v>0</v>
      </c>
      <c r="P33" s="20" t="n">
        <v>0</v>
      </c>
      <c r="Q33" s="18" t="n">
        <v>0.74574724</v>
      </c>
      <c r="R33" s="20" t="n">
        <v>0.44842323</v>
      </c>
    </row>
    <row r="34" spans="1:18">
      <c r="A34" s="15" t="s">
        <v>594</v>
      </c>
      <c r="B34" s="17" t="n">
        <v>3315</v>
      </c>
      <c r="C34" s="18">
        <f>(2612.0/B34*100)</f>
        <v/>
      </c>
      <c r="D34" s="19" t="n">
        <v>703</v>
      </c>
      <c r="E34" s="18" t="n">
        <v>42.14087156</v>
      </c>
      <c r="F34" s="20" t="n">
        <v>2.08324347</v>
      </c>
      <c r="G34" s="18" t="n">
        <v>56.53576645</v>
      </c>
      <c r="H34" s="20" t="n">
        <v>2.09443252</v>
      </c>
      <c r="I34" s="18" t="s">
        <v>567</v>
      </c>
      <c r="J34" s="20" t="s">
        <v>567</v>
      </c>
      <c r="K34" s="18" t="n">
        <v>0.24763364</v>
      </c>
      <c r="L34" s="20" t="n">
        <v>0.17411566</v>
      </c>
      <c r="M34" s="18" t="n">
        <v>0</v>
      </c>
      <c r="N34" s="20" t="n">
        <v>0</v>
      </c>
      <c r="O34" s="18" t="n">
        <v>0</v>
      </c>
      <c r="P34" s="20" t="n">
        <v>0</v>
      </c>
      <c r="Q34" s="18" t="n">
        <v>1.07572836</v>
      </c>
      <c r="R34" s="20" t="n">
        <v>0.3573788</v>
      </c>
    </row>
    <row r="35" spans="1:18">
      <c r="A35" s="15" t="s">
        <v>595</v>
      </c>
      <c r="B35" s="17" t="n">
        <v>3505</v>
      </c>
      <c r="C35" s="18">
        <f>(2729.0/B35*100)</f>
        <v/>
      </c>
      <c r="D35" s="19" t="n">
        <v>776</v>
      </c>
      <c r="E35" s="18" t="n">
        <v>23.49072226</v>
      </c>
      <c r="F35" s="20" t="n">
        <v>1.56548073</v>
      </c>
      <c r="G35" s="18" t="n">
        <v>75.16084837</v>
      </c>
      <c r="H35" s="20" t="n">
        <v>1.65103512</v>
      </c>
      <c r="I35" s="18" t="s">
        <v>567</v>
      </c>
      <c r="J35" s="20" t="s">
        <v>567</v>
      </c>
      <c r="K35" s="18" t="n">
        <v>0.23458337</v>
      </c>
      <c r="L35" s="20" t="n">
        <v>0.10859424</v>
      </c>
      <c r="M35" s="18" t="n">
        <v>0</v>
      </c>
      <c r="N35" s="20" t="n">
        <v>0</v>
      </c>
      <c r="O35" s="18" t="n">
        <v>0</v>
      </c>
      <c r="P35" s="20" t="n">
        <v>0</v>
      </c>
      <c r="Q35" s="18" t="n">
        <v>1.113846</v>
      </c>
      <c r="R35" s="20" t="n">
        <v>0.45054701</v>
      </c>
    </row>
    <row r="36" spans="1:18">
      <c r="A36" s="15" t="s">
        <v>596</v>
      </c>
      <c r="B36" s="17" t="n">
        <v>3332</v>
      </c>
      <c r="C36" s="18">
        <f>(2650.0/B36*100)</f>
        <v/>
      </c>
      <c r="D36" s="19" t="n">
        <v>682</v>
      </c>
      <c r="E36" s="18" t="n">
        <v>37.16340751</v>
      </c>
      <c r="F36" s="20" t="n">
        <v>1.80669925</v>
      </c>
      <c r="G36" s="18" t="n">
        <v>60.6936223</v>
      </c>
      <c r="H36" s="20" t="n">
        <v>1.76289855</v>
      </c>
      <c r="I36" s="18" t="s">
        <v>567</v>
      </c>
      <c r="J36" s="20" t="s">
        <v>567</v>
      </c>
      <c r="K36" s="18" t="n">
        <v>0.53018303</v>
      </c>
      <c r="L36" s="20" t="n">
        <v>0.31803384</v>
      </c>
      <c r="M36" s="18" t="n">
        <v>0</v>
      </c>
      <c r="N36" s="20" t="n">
        <v>0</v>
      </c>
      <c r="O36" s="18" t="n">
        <v>0</v>
      </c>
      <c r="P36" s="20" t="n">
        <v>0</v>
      </c>
      <c r="Q36" s="18" t="n">
        <v>1.61278716</v>
      </c>
      <c r="R36" s="20" t="n">
        <v>0.44760282</v>
      </c>
    </row>
    <row r="37" spans="1:18">
      <c r="A37" s="15" t="s">
        <v>597</v>
      </c>
      <c r="B37" s="17" t="n">
        <v>2727</v>
      </c>
      <c r="C37" s="18">
        <f>(2166.0/B37*100)</f>
        <v/>
      </c>
      <c r="D37" s="19" t="n">
        <v>561</v>
      </c>
      <c r="E37" s="18" t="n">
        <v>39.09034349</v>
      </c>
      <c r="F37" s="20" t="n">
        <v>2.14745748</v>
      </c>
      <c r="G37" s="18" t="n">
        <v>59.12063927</v>
      </c>
      <c r="H37" s="20" t="n">
        <v>2.18001986</v>
      </c>
      <c r="I37" s="18" t="s">
        <v>567</v>
      </c>
      <c r="J37" s="20" t="s">
        <v>567</v>
      </c>
      <c r="K37" s="18" t="n">
        <v>0.6593073699999999</v>
      </c>
      <c r="L37" s="20" t="n">
        <v>0.3631906</v>
      </c>
      <c r="M37" s="18" t="n">
        <v>0</v>
      </c>
      <c r="N37" s="20" t="n">
        <v>0</v>
      </c>
      <c r="O37" s="18" t="n">
        <v>0</v>
      </c>
      <c r="P37" s="20" t="n">
        <v>0</v>
      </c>
      <c r="Q37" s="18" t="n">
        <v>1.12970987</v>
      </c>
      <c r="R37" s="20" t="n">
        <v>0.43526786</v>
      </c>
    </row>
    <row r="38" spans="1:18">
      <c r="A38" s="15" t="s">
        <v>598</v>
      </c>
      <c r="B38" s="17" t="n">
        <v>3053</v>
      </c>
      <c r="C38" s="18">
        <f>(2406.0/B38*100)</f>
        <v/>
      </c>
      <c r="D38" s="19" t="n">
        <v>647</v>
      </c>
      <c r="E38" s="18" t="n">
        <v>38.44160219</v>
      </c>
      <c r="F38" s="20" t="n">
        <v>2.18053192</v>
      </c>
      <c r="G38" s="18" t="n">
        <v>59.98225795</v>
      </c>
      <c r="H38" s="20" t="n">
        <v>2.26408022</v>
      </c>
      <c r="I38" s="18" t="s">
        <v>567</v>
      </c>
      <c r="J38" s="20" t="s">
        <v>567</v>
      </c>
      <c r="K38" s="18" t="n">
        <v>0.33021951</v>
      </c>
      <c r="L38" s="20" t="n">
        <v>0.22858157</v>
      </c>
      <c r="M38" s="18" t="n">
        <v>0</v>
      </c>
      <c r="N38" s="20" t="n">
        <v>0</v>
      </c>
      <c r="O38" s="18" t="n">
        <v>0</v>
      </c>
      <c r="P38" s="20" t="n">
        <v>0</v>
      </c>
      <c r="Q38" s="18" t="n">
        <v>1.24592036</v>
      </c>
      <c r="R38" s="20" t="n">
        <v>0.42754271</v>
      </c>
    </row>
    <row r="39" spans="1:18">
      <c r="A39" s="15" t="s">
        <v>599</v>
      </c>
      <c r="B39" s="17" t="n">
        <v>2957</v>
      </c>
      <c r="C39" s="18">
        <f>(2320.0/B39*100)</f>
        <v/>
      </c>
      <c r="D39" s="19" t="n">
        <v>637</v>
      </c>
      <c r="E39" s="18" t="n">
        <v>28.17343535</v>
      </c>
      <c r="F39" s="20" t="n">
        <v>2.05867083</v>
      </c>
      <c r="G39" s="18" t="n">
        <v>70.00207811999999</v>
      </c>
      <c r="H39" s="20" t="n">
        <v>2.13774424</v>
      </c>
      <c r="I39" s="18" t="s">
        <v>567</v>
      </c>
      <c r="J39" s="20" t="s">
        <v>567</v>
      </c>
      <c r="K39" s="18" t="n">
        <v>0.78964062</v>
      </c>
      <c r="L39" s="20" t="n">
        <v>0.30515546</v>
      </c>
      <c r="M39" s="18" t="n">
        <v>0</v>
      </c>
      <c r="N39" s="20" t="n">
        <v>0</v>
      </c>
      <c r="O39" s="18" t="n">
        <v>0</v>
      </c>
      <c r="P39" s="20" t="n">
        <v>0</v>
      </c>
      <c r="Q39" s="18" t="n">
        <v>1.03484592</v>
      </c>
      <c r="R39" s="20" t="n">
        <v>0.46361356</v>
      </c>
    </row>
    <row r="40" spans="1:18">
      <c r="A40" s="15" t="s">
        <v>600</v>
      </c>
      <c r="B40" s="17" t="n">
        <v>7235</v>
      </c>
      <c r="C40" s="18">
        <f>(5655.0/B40*100)</f>
        <v/>
      </c>
      <c r="D40" s="19" t="n">
        <v>1580</v>
      </c>
      <c r="E40" s="18" t="n">
        <v>28.02519507</v>
      </c>
      <c r="F40" s="20" t="n">
        <v>1.75951266</v>
      </c>
      <c r="G40" s="18" t="n">
        <v>70.03259863</v>
      </c>
      <c r="H40" s="20" t="n">
        <v>1.9076212</v>
      </c>
      <c r="I40" s="18" t="s">
        <v>567</v>
      </c>
      <c r="J40" s="20" t="s">
        <v>567</v>
      </c>
      <c r="K40" s="18" t="n">
        <v>0.34640331</v>
      </c>
      <c r="L40" s="20" t="n">
        <v>0.16843923</v>
      </c>
      <c r="M40" s="18" t="n">
        <v>0</v>
      </c>
      <c r="N40" s="20" t="n">
        <v>0</v>
      </c>
      <c r="O40" s="18" t="n">
        <v>0</v>
      </c>
      <c r="P40" s="20" t="n">
        <v>0</v>
      </c>
      <c r="Q40" s="18" t="n">
        <v>1.59580298</v>
      </c>
      <c r="R40" s="20" t="n">
        <v>0.45857403</v>
      </c>
    </row>
    <row r="41" spans="1:18">
      <c r="A41" s="15" t="s">
        <v>601</v>
      </c>
      <c r="B41" s="17" t="n">
        <v>2858</v>
      </c>
      <c r="C41" s="18">
        <f>(2277.0/B41*100)</f>
        <v/>
      </c>
      <c r="D41" s="19" t="n">
        <v>581</v>
      </c>
      <c r="E41" s="18" t="n">
        <v>25.9651471</v>
      </c>
      <c r="F41" s="20" t="n">
        <v>2.457798</v>
      </c>
      <c r="G41" s="18" t="n">
        <v>73.07112413999999</v>
      </c>
      <c r="H41" s="20" t="n">
        <v>2.42685125</v>
      </c>
      <c r="I41" s="18" t="s">
        <v>567</v>
      </c>
      <c r="J41" s="20" t="s">
        <v>567</v>
      </c>
      <c r="K41" s="18" t="n">
        <v>0</v>
      </c>
      <c r="L41" s="20" t="n">
        <v>0</v>
      </c>
      <c r="M41" s="18" t="n">
        <v>0</v>
      </c>
      <c r="N41" s="20" t="n">
        <v>0</v>
      </c>
      <c r="O41" s="18" t="n">
        <v>0</v>
      </c>
      <c r="P41" s="20" t="n">
        <v>0</v>
      </c>
      <c r="Q41" s="18" t="n">
        <v>0.96372876</v>
      </c>
      <c r="R41" s="20" t="n">
        <v>0.37362712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(9204.0/B46*100)</f>
        <v/>
      </c>
      <c r="D46" s="19" t="n">
        <v>1864</v>
      </c>
      <c r="E46" s="18" t="n">
        <v>39.639162</v>
      </c>
      <c r="F46" s="20" t="n">
        <v>1.57394839</v>
      </c>
      <c r="G46" s="18" t="n">
        <v>56.69376955</v>
      </c>
      <c r="H46" s="20" t="n">
        <v>1.67646048</v>
      </c>
      <c r="I46" s="18" t="s">
        <v>567</v>
      </c>
      <c r="J46" s="20" t="s">
        <v>567</v>
      </c>
      <c r="K46" s="18" t="n">
        <v>1.71997729</v>
      </c>
      <c r="L46" s="20" t="n">
        <v>0.45758366</v>
      </c>
      <c r="M46" s="18" t="n">
        <v>0</v>
      </c>
      <c r="N46" s="20" t="n">
        <v>0</v>
      </c>
      <c r="O46" s="18" t="n">
        <v>0</v>
      </c>
      <c r="P46" s="20" t="n">
        <v>0</v>
      </c>
      <c r="Q46" s="18" t="n">
        <v>1.94709117</v>
      </c>
      <c r="R46" s="20" t="n">
        <v>0.47215165</v>
      </c>
    </row>
    <row r="47" spans="1:18">
      <c r="A47" s="15" t="s">
        <v>607</v>
      </c>
      <c r="B47" s="17" t="n">
        <v>3105</v>
      </c>
      <c r="C47" s="18">
        <f>(2483.0/B47*100)</f>
        <v/>
      </c>
      <c r="D47" s="19" t="n">
        <v>622</v>
      </c>
      <c r="E47" s="18" t="n">
        <v>39.48364001</v>
      </c>
      <c r="F47" s="20" t="n">
        <v>1.89377137</v>
      </c>
      <c r="G47" s="18" t="n">
        <v>57.84606848</v>
      </c>
      <c r="H47" s="20" t="n">
        <v>1.90091581</v>
      </c>
      <c r="I47" s="18" t="s">
        <v>567</v>
      </c>
      <c r="J47" s="20" t="s">
        <v>567</v>
      </c>
      <c r="K47" s="18" t="n">
        <v>1.09299893</v>
      </c>
      <c r="L47" s="20" t="n">
        <v>0.42836979</v>
      </c>
      <c r="M47" s="18" t="n">
        <v>0</v>
      </c>
      <c r="N47" s="20" t="n">
        <v>0</v>
      </c>
      <c r="O47" s="18" t="n">
        <v>0</v>
      </c>
      <c r="P47" s="20" t="n">
        <v>0</v>
      </c>
      <c r="Q47" s="18" t="n">
        <v>1.57729259</v>
      </c>
      <c r="R47" s="20" t="n">
        <v>0.48852918</v>
      </c>
    </row>
    <row r="48" spans="1:18">
      <c r="A48" s="15" t="s">
        <v>608</v>
      </c>
      <c r="B48" s="17" t="n">
        <v>5159</v>
      </c>
      <c r="C48" s="18">
        <f>(4033.0/B48*100)</f>
        <v/>
      </c>
      <c r="D48" s="19" t="n">
        <v>1126</v>
      </c>
      <c r="E48" s="18" t="n">
        <v>14.57057279</v>
      </c>
      <c r="F48" s="20" t="n">
        <v>1.32938275</v>
      </c>
      <c r="G48" s="18" t="n">
        <v>84.3677095</v>
      </c>
      <c r="H48" s="20" t="n">
        <v>1.40125055</v>
      </c>
      <c r="I48" s="18" t="s">
        <v>567</v>
      </c>
      <c r="J48" s="20" t="s">
        <v>567</v>
      </c>
      <c r="K48" s="18" t="n">
        <v>0.86040112</v>
      </c>
      <c r="L48" s="20" t="n">
        <v>0.41377939</v>
      </c>
      <c r="M48" s="18" t="n">
        <v>0</v>
      </c>
      <c r="N48" s="20" t="n">
        <v>0</v>
      </c>
      <c r="O48" s="18" t="n">
        <v>0</v>
      </c>
      <c r="P48" s="20" t="n">
        <v>0</v>
      </c>
      <c r="Q48" s="18" t="n">
        <v>0.20131659</v>
      </c>
      <c r="R48" s="20" t="n">
        <v>0.15564871</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(4471.0/B50*100)</f>
        <v/>
      </c>
      <c r="D50" s="19" t="n">
        <v>1166</v>
      </c>
      <c r="E50" s="18" t="n">
        <v>32.60398866</v>
      </c>
      <c r="F50" s="20" t="n">
        <v>2.04680963</v>
      </c>
      <c r="G50" s="18" t="n">
        <v>62.39122045</v>
      </c>
      <c r="H50" s="20" t="n">
        <v>2.30085773</v>
      </c>
      <c r="I50" s="18" t="s">
        <v>567</v>
      </c>
      <c r="J50" s="20" t="s">
        <v>567</v>
      </c>
      <c r="K50" s="18" t="n">
        <v>3.80480843</v>
      </c>
      <c r="L50" s="20" t="n">
        <v>0.8175708699999999</v>
      </c>
      <c r="M50" s="18" t="n">
        <v>0</v>
      </c>
      <c r="N50" s="20" t="n">
        <v>0</v>
      </c>
      <c r="O50" s="18" t="n">
        <v>0</v>
      </c>
      <c r="P50" s="20" t="n">
        <v>0</v>
      </c>
      <c r="Q50" s="18" t="n">
        <v>1.19998246</v>
      </c>
      <c r="R50" s="20" t="n">
        <v>0.31565831</v>
      </c>
    </row>
    <row r="51" spans="1:18">
      <c r="A51" s="15" t="s">
        <v>611</v>
      </c>
      <c r="B51" s="17" t="n">
        <v>3372</v>
      </c>
      <c r="C51" s="18">
        <f>(2784.0/B51*100)</f>
        <v/>
      </c>
      <c r="D51" s="19" t="n">
        <v>588</v>
      </c>
      <c r="E51" s="18" t="n">
        <v>24.39288564</v>
      </c>
      <c r="F51" s="20" t="n">
        <v>2.02803907</v>
      </c>
      <c r="G51" s="18" t="n">
        <v>72.89627992</v>
      </c>
      <c r="H51" s="20" t="n">
        <v>2.24244654</v>
      </c>
      <c r="I51" s="18" t="s">
        <v>567</v>
      </c>
      <c r="J51" s="20" t="s">
        <v>567</v>
      </c>
      <c r="K51" s="18" t="n">
        <v>0.66329077</v>
      </c>
      <c r="L51" s="20" t="n">
        <v>0.33369576</v>
      </c>
      <c r="M51" s="18" t="n">
        <v>0</v>
      </c>
      <c r="N51" s="20" t="n">
        <v>0</v>
      </c>
      <c r="O51" s="18" t="n">
        <v>0</v>
      </c>
      <c r="P51" s="20" t="n">
        <v>0</v>
      </c>
      <c r="Q51" s="18" t="n">
        <v>2.04754367</v>
      </c>
      <c r="R51" s="20" t="n">
        <v>0.66937886</v>
      </c>
    </row>
    <row r="52" spans="1:18">
      <c r="A52" s="15" t="s">
        <v>612</v>
      </c>
      <c r="B52" s="17" t="n">
        <v>2796</v>
      </c>
      <c r="C52" s="18">
        <f>(2145.0/B52*100)</f>
        <v/>
      </c>
      <c r="D52" s="19" t="n">
        <v>651</v>
      </c>
      <c r="E52" s="18" t="n">
        <v>41.88976159</v>
      </c>
      <c r="F52" s="20" t="n">
        <v>2.15901461</v>
      </c>
      <c r="G52" s="18" t="n">
        <v>57.4021165</v>
      </c>
      <c r="H52" s="20" t="n">
        <v>2.17425696</v>
      </c>
      <c r="I52" s="18" t="s">
        <v>567</v>
      </c>
      <c r="J52" s="20" t="s">
        <v>567</v>
      </c>
      <c r="K52" s="18" t="n">
        <v>0.27580369</v>
      </c>
      <c r="L52" s="20" t="n">
        <v>0.19401452</v>
      </c>
      <c r="M52" s="18" t="n">
        <v>0</v>
      </c>
      <c r="N52" s="20" t="n">
        <v>0</v>
      </c>
      <c r="O52" s="18" t="n">
        <v>0</v>
      </c>
      <c r="P52" s="20" t="n">
        <v>0</v>
      </c>
      <c r="Q52" s="18" t="n">
        <v>0.43231822</v>
      </c>
      <c r="R52" s="20" t="n">
        <v>0.24937429</v>
      </c>
    </row>
    <row r="53" spans="1:18">
      <c r="A53" s="15" t="s">
        <v>613</v>
      </c>
      <c r="B53" s="17" t="n">
        <v>2811</v>
      </c>
      <c r="C53" s="18">
        <f>(2215.0/B53*100)</f>
        <v/>
      </c>
      <c r="D53" s="19" t="n">
        <v>596</v>
      </c>
      <c r="E53" s="18" t="n">
        <v>42.28089856</v>
      </c>
      <c r="F53" s="20" t="n">
        <v>2.41089714</v>
      </c>
      <c r="G53" s="18" t="n">
        <v>55.42502555</v>
      </c>
      <c r="H53" s="20" t="n">
        <v>2.37001283</v>
      </c>
      <c r="I53" s="18" t="s">
        <v>567</v>
      </c>
      <c r="J53" s="20" t="s">
        <v>567</v>
      </c>
      <c r="K53" s="18" t="n">
        <v>0.88291242</v>
      </c>
      <c r="L53" s="20" t="n">
        <v>0.40584518</v>
      </c>
      <c r="M53" s="18" t="n">
        <v>0</v>
      </c>
      <c r="N53" s="20" t="n">
        <v>0</v>
      </c>
      <c r="O53" s="18" t="n">
        <v>0</v>
      </c>
      <c r="P53" s="20" t="n">
        <v>0</v>
      </c>
      <c r="Q53" s="18" t="n">
        <v>1.41116348</v>
      </c>
      <c r="R53" s="20" t="n">
        <v>0.45355147</v>
      </c>
    </row>
    <row r="54" spans="1:18">
      <c r="A54" s="15" t="s">
        <v>614</v>
      </c>
      <c r="B54" s="17" t="n">
        <v>2266</v>
      </c>
      <c r="C54" s="18">
        <f>(1742.0/B54*100)</f>
        <v/>
      </c>
      <c r="D54" s="19" t="n">
        <v>524</v>
      </c>
      <c r="E54" s="18" t="n">
        <v>33.32919861</v>
      </c>
      <c r="F54" s="20" t="n">
        <v>2.32125013</v>
      </c>
      <c r="G54" s="18" t="n">
        <v>50.21171946</v>
      </c>
      <c r="H54" s="20" t="n">
        <v>2.57594891</v>
      </c>
      <c r="I54" s="18" t="s">
        <v>567</v>
      </c>
      <c r="J54" s="20" t="s">
        <v>567</v>
      </c>
      <c r="K54" s="18" t="n">
        <v>14.1376604</v>
      </c>
      <c r="L54" s="20" t="n">
        <v>1.80696645</v>
      </c>
      <c r="M54" s="18" t="n">
        <v>0</v>
      </c>
      <c r="N54" s="20" t="n">
        <v>0</v>
      </c>
      <c r="O54" s="18" t="n">
        <v>0</v>
      </c>
      <c r="P54" s="20" t="n">
        <v>0</v>
      </c>
      <c r="Q54" s="18" t="n">
        <v>2.32142153</v>
      </c>
      <c r="R54" s="20" t="n">
        <v>0.69817341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(2066.0/B56*100)</f>
        <v/>
      </c>
      <c r="D56" s="19" t="n">
        <v>618</v>
      </c>
      <c r="E56" s="18" t="n">
        <v>23.20553463</v>
      </c>
      <c r="F56" s="20" t="n">
        <v>1.86974972</v>
      </c>
      <c r="G56" s="18" t="n">
        <v>76.07788121</v>
      </c>
      <c r="H56" s="20" t="n">
        <v>1.94206806</v>
      </c>
      <c r="I56" s="18" t="s">
        <v>567</v>
      </c>
      <c r="J56" s="20" t="s">
        <v>567</v>
      </c>
      <c r="K56" s="18" t="n">
        <v>0.20162848</v>
      </c>
      <c r="L56" s="20" t="n">
        <v>0.19641243</v>
      </c>
      <c r="M56" s="18" t="n">
        <v>0</v>
      </c>
      <c r="N56" s="20" t="n">
        <v>0</v>
      </c>
      <c r="O56" s="18" t="n">
        <v>0</v>
      </c>
      <c r="P56" s="20" t="n">
        <v>0</v>
      </c>
      <c r="Q56" s="18" t="n">
        <v>0.51495568</v>
      </c>
      <c r="R56" s="20" t="n">
        <v>0.30077446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(2594.0/B61*100)</f>
        <v/>
      </c>
      <c r="D61" s="19" t="n">
        <v>730</v>
      </c>
      <c r="E61" s="18" t="n">
        <v>29.17778971</v>
      </c>
      <c r="F61" s="20" t="n">
        <v>2.04029633</v>
      </c>
      <c r="G61" s="18" t="n">
        <v>70.22443454</v>
      </c>
      <c r="H61" s="20" t="n">
        <v>2.07204754</v>
      </c>
      <c r="I61" s="18" t="s">
        <v>567</v>
      </c>
      <c r="J61" s="20" t="s">
        <v>567</v>
      </c>
      <c r="K61" s="18" t="n">
        <v>0</v>
      </c>
      <c r="L61" s="20" t="n">
        <v>0</v>
      </c>
      <c r="M61" s="18" t="n">
        <v>0</v>
      </c>
      <c r="N61" s="20" t="n">
        <v>0</v>
      </c>
      <c r="O61" s="18" t="n">
        <v>0</v>
      </c>
      <c r="P61" s="20" t="n">
        <v>0</v>
      </c>
      <c r="Q61" s="18" t="n">
        <v>0.5977757500000001</v>
      </c>
      <c r="R61" s="20" t="n">
        <v>0.32310997</v>
      </c>
    </row>
    <row r="62" spans="1:18">
      <c r="A62" s="15" t="s">
        <v>622</v>
      </c>
      <c r="B62" s="17" t="n">
        <v>2246</v>
      </c>
      <c r="C62" s="18">
        <f>(1795.0/B62*100)</f>
        <v/>
      </c>
      <c r="D62" s="19" t="n">
        <v>451</v>
      </c>
      <c r="E62" s="18" t="n">
        <v>26.1723993</v>
      </c>
      <c r="F62" s="20" t="n">
        <v>2.07581994</v>
      </c>
      <c r="G62" s="18" t="n">
        <v>73.8276007</v>
      </c>
      <c r="H62" s="20" t="n">
        <v>2.07581994</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(2250.0/B66*100)</f>
        <v/>
      </c>
      <c r="D66" s="19" t="n">
        <v>644</v>
      </c>
      <c r="E66" s="18" t="n">
        <v>47.52501574</v>
      </c>
      <c r="F66" s="20" t="n">
        <v>2.16033253</v>
      </c>
      <c r="G66" s="18" t="n">
        <v>48.06495861</v>
      </c>
      <c r="H66" s="20" t="n">
        <v>2.01283611</v>
      </c>
      <c r="I66" s="18" t="s">
        <v>567</v>
      </c>
      <c r="J66" s="20" t="s">
        <v>567</v>
      </c>
      <c r="K66" s="18" t="n">
        <v>1.05502715</v>
      </c>
      <c r="L66" s="20" t="n">
        <v>0.3965233</v>
      </c>
      <c r="M66" s="18" t="n">
        <v>0</v>
      </c>
      <c r="N66" s="20" t="n">
        <v>0</v>
      </c>
      <c r="O66" s="18" t="n">
        <v>0</v>
      </c>
      <c r="P66" s="20" t="n">
        <v>0</v>
      </c>
      <c r="Q66" s="18" t="n">
        <v>3.3549985</v>
      </c>
      <c r="R66" s="20" t="n">
        <v>0.7172220500000001</v>
      </c>
    </row>
    <row r="67" spans="1:18">
      <c r="A67" s="15" t="s">
        <v>627</v>
      </c>
      <c r="B67" s="17" t="n">
        <v>3511</v>
      </c>
      <c r="C67" s="18">
        <f>(2845.0/B67*100)</f>
        <v/>
      </c>
      <c r="D67" s="19" t="n">
        <v>666</v>
      </c>
      <c r="E67" s="18" t="n">
        <v>40.52671501</v>
      </c>
      <c r="F67" s="20" t="n">
        <v>2.17590666</v>
      </c>
      <c r="G67" s="18" t="n">
        <v>58.37095753</v>
      </c>
      <c r="H67" s="20" t="n">
        <v>2.18464361</v>
      </c>
      <c r="I67" s="18" t="s">
        <v>567</v>
      </c>
      <c r="J67" s="20" t="s">
        <v>567</v>
      </c>
      <c r="K67" s="18" t="n">
        <v>0.48437821</v>
      </c>
      <c r="L67" s="20" t="n">
        <v>0.39913226</v>
      </c>
      <c r="M67" s="18" t="n">
        <v>0</v>
      </c>
      <c r="N67" s="20" t="n">
        <v>0</v>
      </c>
      <c r="O67" s="18" t="n">
        <v>0</v>
      </c>
      <c r="P67" s="20" t="n">
        <v>0</v>
      </c>
      <c r="Q67" s="18" t="n">
        <v>0.6179492599999999</v>
      </c>
      <c r="R67" s="20" t="n">
        <v>0.31667598</v>
      </c>
    </row>
    <row r="68" spans="1:18">
      <c r="A68" s="15" t="s">
        <v>628</v>
      </c>
      <c r="B68" s="17" t="n">
        <v>6049</v>
      </c>
      <c r="C68" s="18">
        <f>(4720.0/B68*100)</f>
        <v/>
      </c>
      <c r="D68" s="19" t="n">
        <v>1329</v>
      </c>
      <c r="E68" s="18" t="n">
        <v>41.93323126</v>
      </c>
      <c r="F68" s="20" t="n">
        <v>1.40688146</v>
      </c>
      <c r="G68" s="18" t="n">
        <v>50.84653035</v>
      </c>
      <c r="H68" s="20" t="n">
        <v>1.49707129</v>
      </c>
      <c r="I68" s="18" t="s">
        <v>567</v>
      </c>
      <c r="J68" s="20" t="s">
        <v>567</v>
      </c>
      <c r="K68" s="18" t="n">
        <v>3.49630691</v>
      </c>
      <c r="L68" s="20" t="n">
        <v>0.52046794</v>
      </c>
      <c r="M68" s="18" t="n">
        <v>0</v>
      </c>
      <c r="N68" s="20" t="n">
        <v>0</v>
      </c>
      <c r="O68" s="18" t="n">
        <v>0</v>
      </c>
      <c r="P68" s="20" t="n">
        <v>0</v>
      </c>
      <c r="Q68" s="18" t="n">
        <v>3.72393148</v>
      </c>
      <c r="R68" s="20" t="n">
        <v>0.54923893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(2343.0/B70*100)</f>
        <v/>
      </c>
      <c r="D70" s="19" t="n">
        <v>586</v>
      </c>
      <c r="E70" s="18" t="n">
        <v>34.00683402</v>
      </c>
      <c r="F70" s="20" t="n">
        <v>2.68384123</v>
      </c>
      <c r="G70" s="18" t="n">
        <v>64.4340775</v>
      </c>
      <c r="H70" s="20" t="n">
        <v>2.51865919</v>
      </c>
      <c r="I70" s="18" t="s">
        <v>567</v>
      </c>
      <c r="J70" s="20" t="s">
        <v>567</v>
      </c>
      <c r="K70" s="18" t="n">
        <v>0.26552909</v>
      </c>
      <c r="L70" s="20" t="n">
        <v>0.17532286</v>
      </c>
      <c r="M70" s="18" t="n">
        <v>0</v>
      </c>
      <c r="N70" s="20" t="n">
        <v>0</v>
      </c>
      <c r="O70" s="18" t="n">
        <v>0</v>
      </c>
      <c r="P70" s="20" t="n">
        <v>0</v>
      </c>
      <c r="Q70" s="18" t="n">
        <v>1.2935594</v>
      </c>
      <c r="R70" s="20" t="n">
        <v>0.52609287</v>
      </c>
    </row>
    <row r="71" spans="1:18">
      <c r="A71" s="15" t="s">
        <v>631</v>
      </c>
      <c r="B71" s="17" t="n">
        <v>3142</v>
      </c>
      <c r="C71" s="18">
        <f>(2465.0/B71*100)</f>
        <v/>
      </c>
      <c r="D71" s="19" t="n">
        <v>677</v>
      </c>
      <c r="E71" s="18" t="n">
        <v>19.64482982</v>
      </c>
      <c r="F71" s="20" t="n">
        <v>1.35937818</v>
      </c>
      <c r="G71" s="18" t="n">
        <v>79.24321878000001</v>
      </c>
      <c r="H71" s="20" t="n">
        <v>1.39240209</v>
      </c>
      <c r="I71" s="18" t="s">
        <v>567</v>
      </c>
      <c r="J71" s="20" t="s">
        <v>567</v>
      </c>
      <c r="K71" s="18" t="n">
        <v>0.20515228</v>
      </c>
      <c r="L71" s="20" t="n">
        <v>0.14846063</v>
      </c>
      <c r="M71" s="18" t="n">
        <v>0</v>
      </c>
      <c r="N71" s="20" t="n">
        <v>0</v>
      </c>
      <c r="O71" s="18" t="n">
        <v>0</v>
      </c>
      <c r="P71" s="20" t="n">
        <v>0</v>
      </c>
      <c r="Q71" s="18" t="n">
        <v>0.90679913</v>
      </c>
      <c r="R71" s="20" t="n">
        <v>0.33053755</v>
      </c>
    </row>
    <row r="72" spans="1:18">
      <c r="A72" s="15" t="s">
        <v>632</v>
      </c>
      <c r="B72" s="17" t="n">
        <v>3889</v>
      </c>
      <c r="C72" s="18">
        <f>(3013.0/B72*100)</f>
        <v/>
      </c>
      <c r="D72" s="19" t="n">
        <v>876</v>
      </c>
      <c r="E72" s="18" t="n">
        <v>19.58352137</v>
      </c>
      <c r="F72" s="20" t="n">
        <v>1.74813763</v>
      </c>
      <c r="G72" s="18" t="n">
        <v>79.83953868</v>
      </c>
      <c r="H72" s="20" t="n">
        <v>1.76159351</v>
      </c>
      <c r="I72" s="18" t="s">
        <v>567</v>
      </c>
      <c r="J72" s="20" t="s">
        <v>567</v>
      </c>
      <c r="K72" s="18" t="n">
        <v>0.31971986</v>
      </c>
      <c r="L72" s="20" t="n">
        <v>0.15177252</v>
      </c>
      <c r="M72" s="18" t="n">
        <v>0</v>
      </c>
      <c r="N72" s="20" t="n">
        <v>0</v>
      </c>
      <c r="O72" s="18" t="n">
        <v>0</v>
      </c>
      <c r="P72" s="20" t="n">
        <v>0</v>
      </c>
      <c r="Q72" s="18" t="n">
        <v>0.2572201</v>
      </c>
      <c r="R72" s="20" t="n">
        <v>0.14574914</v>
      </c>
    </row>
    <row r="73" spans="1:18">
      <c r="A73" s="15" t="s">
        <v>633</v>
      </c>
      <c r="B73" s="17" t="n">
        <v>3597</v>
      </c>
      <c r="C73" s="18">
        <f>(2811.0/B73*100)</f>
        <v/>
      </c>
      <c r="D73" s="19" t="n">
        <v>786</v>
      </c>
      <c r="E73" s="18" t="n">
        <v>38.93173492</v>
      </c>
      <c r="F73" s="20" t="n">
        <v>2.76299141</v>
      </c>
      <c r="G73" s="18" t="n">
        <v>60.43691726</v>
      </c>
      <c r="H73" s="20" t="n">
        <v>2.85113291</v>
      </c>
      <c r="I73" s="18" t="s">
        <v>567</v>
      </c>
      <c r="J73" s="20" t="s">
        <v>567</v>
      </c>
      <c r="K73" s="18" t="n">
        <v>0</v>
      </c>
      <c r="L73" s="20" t="n">
        <v>0</v>
      </c>
      <c r="M73" s="18" t="n">
        <v>0</v>
      </c>
      <c r="N73" s="20" t="n">
        <v>0</v>
      </c>
      <c r="O73" s="18" t="n">
        <v>0</v>
      </c>
      <c r="P73" s="20" t="n">
        <v>0</v>
      </c>
      <c r="Q73" s="18" t="n">
        <v>0.63134782</v>
      </c>
      <c r="R73" s="20" t="n">
        <v>0.3022268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(1928.0/B75*100)</f>
        <v/>
      </c>
      <c r="D75" s="19" t="n">
        <v>478</v>
      </c>
      <c r="E75" s="18" t="n">
        <v>46.63332103</v>
      </c>
      <c r="F75" s="20" t="n">
        <v>2.04661665</v>
      </c>
      <c r="G75" s="18" t="n">
        <v>48.01264339</v>
      </c>
      <c r="H75" s="20" t="n">
        <v>2.13870895</v>
      </c>
      <c r="I75" s="18" t="s">
        <v>567</v>
      </c>
      <c r="J75" s="20" t="s">
        <v>567</v>
      </c>
      <c r="K75" s="18" t="n">
        <v>2.35139081</v>
      </c>
      <c r="L75" s="20" t="n">
        <v>0.76263274</v>
      </c>
      <c r="M75" s="18" t="n">
        <v>0</v>
      </c>
      <c r="N75" s="20" t="n">
        <v>0</v>
      </c>
      <c r="O75" s="18" t="n">
        <v>0</v>
      </c>
      <c r="P75" s="20" t="n">
        <v>0</v>
      </c>
      <c r="Q75" s="18" t="n">
        <v>3.00264477</v>
      </c>
      <c r="R75" s="20" t="n">
        <v>0.86993479</v>
      </c>
    </row>
    <row r="76" spans="1:18">
      <c r="A76" s="15" t="s">
        <v>636</v>
      </c>
      <c r="B76" s="17" t="n">
        <v>7052</v>
      </c>
      <c r="C76" s="18">
        <f>(5537.0/B76*100)</f>
        <v/>
      </c>
      <c r="D76" s="19" t="n">
        <v>1515</v>
      </c>
      <c r="E76" s="18" t="n">
        <v>43.50473961</v>
      </c>
      <c r="F76" s="20" t="n">
        <v>1.69548932</v>
      </c>
      <c r="G76" s="18" t="n">
        <v>52.96455403</v>
      </c>
      <c r="H76" s="20" t="n">
        <v>1.7671733</v>
      </c>
      <c r="I76" s="18" t="s">
        <v>567</v>
      </c>
      <c r="J76" s="20" t="s">
        <v>567</v>
      </c>
      <c r="K76" s="18" t="n">
        <v>0.72435295</v>
      </c>
      <c r="L76" s="20" t="n">
        <v>0.22703629</v>
      </c>
      <c r="M76" s="18" t="n">
        <v>0</v>
      </c>
      <c r="N76" s="20" t="n">
        <v>0</v>
      </c>
      <c r="O76" s="18" t="n">
        <v>0</v>
      </c>
      <c r="P76" s="20" t="n">
        <v>0</v>
      </c>
      <c r="Q76" s="18" t="n">
        <v>2.80635341</v>
      </c>
      <c r="R76" s="20" t="n">
        <v>0.5616837099999999</v>
      </c>
    </row>
    <row r="77" spans="1:18">
      <c r="A77" s="15" t="s">
        <v>637</v>
      </c>
      <c r="B77" s="17" t="n">
        <v>2908</v>
      </c>
      <c r="C77" s="18">
        <f>(2281.0/B77*100)</f>
        <v/>
      </c>
      <c r="D77" s="19" t="n">
        <v>627</v>
      </c>
      <c r="E77" s="18" t="n">
        <v>30.77303307</v>
      </c>
      <c r="F77" s="20" t="n">
        <v>1.7232415</v>
      </c>
      <c r="G77" s="18" t="n">
        <v>64.80071565</v>
      </c>
      <c r="H77" s="20" t="n">
        <v>1.95794615</v>
      </c>
      <c r="I77" s="18" t="s">
        <v>567</v>
      </c>
      <c r="J77" s="20" t="s">
        <v>567</v>
      </c>
      <c r="K77" s="18" t="n">
        <v>2.46659139</v>
      </c>
      <c r="L77" s="20" t="n">
        <v>0.56254476</v>
      </c>
      <c r="M77" s="18" t="n">
        <v>0</v>
      </c>
      <c r="N77" s="20" t="n">
        <v>0</v>
      </c>
      <c r="O77" s="18" t="n">
        <v>0</v>
      </c>
      <c r="P77" s="20" t="n">
        <v>0</v>
      </c>
      <c r="Q77" s="18" t="n">
        <v>1.9596599</v>
      </c>
      <c r="R77" s="20" t="n">
        <v>0.6046343</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(3218.0/B81*100)</f>
        <v/>
      </c>
      <c r="D81" s="19" t="n">
        <v>945</v>
      </c>
      <c r="E81" s="18" t="n">
        <v>31.8111889</v>
      </c>
      <c r="F81" s="20" t="n">
        <v>1.9547742</v>
      </c>
      <c r="G81" s="18" t="n">
        <v>67.1891037</v>
      </c>
      <c r="H81" s="20" t="n">
        <v>1.97717002</v>
      </c>
      <c r="I81" s="18" t="s">
        <v>567</v>
      </c>
      <c r="J81" s="20" t="s">
        <v>567</v>
      </c>
      <c r="K81" s="18" t="n">
        <v>0.33520102</v>
      </c>
      <c r="L81" s="20" t="n">
        <v>0.23001665</v>
      </c>
      <c r="M81" s="18" t="n">
        <v>0</v>
      </c>
      <c r="N81" s="20" t="n">
        <v>0</v>
      </c>
      <c r="O81" s="18" t="n">
        <v>0</v>
      </c>
      <c r="P81" s="20" t="n">
        <v>0</v>
      </c>
      <c r="Q81" s="18" t="n">
        <v>0.66450638</v>
      </c>
      <c r="R81" s="20" t="n">
        <v>0.29001311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(5793.0/B7*100)</f>
        <v/>
      </c>
      <c r="D7" s="19" t="n">
        <v>1574</v>
      </c>
      <c r="E7" s="18" t="n">
        <v>38.31995463</v>
      </c>
      <c r="F7" s="20" t="n">
        <v>1.51003702</v>
      </c>
      <c r="G7" s="18" t="n">
        <v>60.2636733</v>
      </c>
      <c r="H7" s="20" t="n">
        <v>1.53800923</v>
      </c>
      <c r="I7" s="18" t="s">
        <v>567</v>
      </c>
      <c r="J7" s="20" t="s">
        <v>567</v>
      </c>
      <c r="K7" s="18" t="n">
        <v>0.5545196999999999</v>
      </c>
      <c r="L7" s="20" t="n">
        <v>0.20566452</v>
      </c>
      <c r="M7" s="18" t="n">
        <v>0</v>
      </c>
      <c r="N7" s="20" t="n">
        <v>0</v>
      </c>
      <c r="O7" s="18" t="n">
        <v>0</v>
      </c>
      <c r="P7" s="20" t="n">
        <v>0</v>
      </c>
      <c r="Q7" s="18" t="n">
        <v>0.86185236</v>
      </c>
      <c r="R7" s="20" t="n">
        <v>0.29479303</v>
      </c>
    </row>
    <row r="8" spans="1:18">
      <c r="A8" s="15" t="s">
        <v>568</v>
      </c>
      <c r="B8" s="17" t="n">
        <v>3564</v>
      </c>
      <c r="C8" s="18">
        <f>(2776.0/B8*100)</f>
        <v/>
      </c>
      <c r="D8" s="19" t="n">
        <v>788</v>
      </c>
      <c r="E8" s="18" t="n">
        <v>44.7224276</v>
      </c>
      <c r="F8" s="20" t="n">
        <v>1.8594402</v>
      </c>
      <c r="G8" s="18" t="n">
        <v>52.38707406</v>
      </c>
      <c r="H8" s="20" t="n">
        <v>1.95989305</v>
      </c>
      <c r="I8" s="18" t="s">
        <v>567</v>
      </c>
      <c r="J8" s="20" t="s">
        <v>567</v>
      </c>
      <c r="K8" s="18" t="n">
        <v>0.77790574</v>
      </c>
      <c r="L8" s="20" t="n">
        <v>0.3593789</v>
      </c>
      <c r="M8" s="18" t="n">
        <v>0</v>
      </c>
      <c r="N8" s="20" t="n">
        <v>0</v>
      </c>
      <c r="O8" s="18" t="n">
        <v>0</v>
      </c>
      <c r="P8" s="20" t="n">
        <v>0</v>
      </c>
      <c r="Q8" s="18" t="n">
        <v>2.11259259</v>
      </c>
      <c r="R8" s="20" t="n">
        <v>0.50151567</v>
      </c>
    </row>
    <row r="9" spans="1:18">
      <c r="A9" s="15" t="s">
        <v>569</v>
      </c>
      <c r="B9" s="17" t="n">
        <v>4899</v>
      </c>
      <c r="C9" s="18">
        <f>(3843.0/B9*100)</f>
        <v/>
      </c>
      <c r="D9" s="19" t="n">
        <v>1056</v>
      </c>
      <c r="E9" s="18" t="n">
        <v>40.17988948</v>
      </c>
      <c r="F9" s="20" t="n">
        <v>1.86739266</v>
      </c>
      <c r="G9" s="18" t="n">
        <v>58.28484488</v>
      </c>
      <c r="H9" s="20" t="n">
        <v>1.87560117</v>
      </c>
      <c r="I9" s="18" t="s">
        <v>567</v>
      </c>
      <c r="J9" s="20" t="s">
        <v>567</v>
      </c>
      <c r="K9" s="18" t="n">
        <v>0.80810189</v>
      </c>
      <c r="L9" s="20" t="n">
        <v>0.29619199</v>
      </c>
      <c r="M9" s="18" t="n">
        <v>0</v>
      </c>
      <c r="N9" s="20" t="n">
        <v>0</v>
      </c>
      <c r="O9" s="18" t="n">
        <v>0</v>
      </c>
      <c r="P9" s="20" t="n">
        <v>0</v>
      </c>
      <c r="Q9" s="18" t="n">
        <v>0.72716375</v>
      </c>
      <c r="R9" s="20" t="n">
        <v>0.23526873</v>
      </c>
    </row>
    <row r="10" spans="1:18">
      <c r="A10" s="15" t="s">
        <v>570</v>
      </c>
      <c r="B10" s="17" t="n">
        <v>10036</v>
      </c>
      <c r="C10" s="18">
        <f>(7895.0/B10*100)</f>
        <v/>
      </c>
      <c r="D10" s="19" t="n">
        <v>2141</v>
      </c>
      <c r="E10" s="18" t="n">
        <v>36.5392354</v>
      </c>
      <c r="F10" s="20" t="n">
        <v>1.20881579</v>
      </c>
      <c r="G10" s="18" t="n">
        <v>61.99036577</v>
      </c>
      <c r="H10" s="20" t="n">
        <v>1.17753026</v>
      </c>
      <c r="I10" s="18" t="s">
        <v>567</v>
      </c>
      <c r="J10" s="20" t="s">
        <v>567</v>
      </c>
      <c r="K10" s="18" t="n">
        <v>0.62500259</v>
      </c>
      <c r="L10" s="20" t="n">
        <v>0.21309045</v>
      </c>
      <c r="M10" s="18" t="n">
        <v>0</v>
      </c>
      <c r="N10" s="20" t="n">
        <v>0</v>
      </c>
      <c r="O10" s="18" t="n">
        <v>0</v>
      </c>
      <c r="P10" s="20" t="n">
        <v>0</v>
      </c>
      <c r="Q10" s="18" t="n">
        <v>0.84539625</v>
      </c>
      <c r="R10" s="20" t="n">
        <v>0.17607394</v>
      </c>
    </row>
    <row r="11" spans="1:18">
      <c r="A11" s="15" t="s">
        <v>571</v>
      </c>
      <c r="B11" s="17" t="n">
        <v>3553</v>
      </c>
      <c r="C11" s="18">
        <f>(2870.0/B11*100)</f>
        <v/>
      </c>
      <c r="D11" s="19" t="n">
        <v>683</v>
      </c>
      <c r="E11" s="18" t="n">
        <v>49.99656635</v>
      </c>
      <c r="F11" s="20" t="n">
        <v>2.21507339</v>
      </c>
      <c r="G11" s="18" t="n">
        <v>47.10087202</v>
      </c>
      <c r="H11" s="20" t="n">
        <v>2.12731568</v>
      </c>
      <c r="I11" s="18" t="s">
        <v>567</v>
      </c>
      <c r="J11" s="20" t="s">
        <v>567</v>
      </c>
      <c r="K11" s="18" t="n">
        <v>1.10624796</v>
      </c>
      <c r="L11" s="20" t="n">
        <v>0.41918632</v>
      </c>
      <c r="M11" s="18" t="n">
        <v>0</v>
      </c>
      <c r="N11" s="20" t="n">
        <v>0</v>
      </c>
      <c r="O11" s="18" t="n">
        <v>0</v>
      </c>
      <c r="P11" s="20" t="n">
        <v>0</v>
      </c>
      <c r="Q11" s="18" t="n">
        <v>1.79631367</v>
      </c>
      <c r="R11" s="20" t="n">
        <v>0.47289516</v>
      </c>
    </row>
    <row r="12" spans="1:18">
      <c r="A12" s="15" t="s">
        <v>572</v>
      </c>
      <c r="B12" s="17" t="n">
        <v>3472</v>
      </c>
      <c r="C12" s="18">
        <f>(2736.0/B12*100)</f>
        <v/>
      </c>
      <c r="D12" s="19" t="n">
        <v>736</v>
      </c>
      <c r="E12" s="18" t="n">
        <v>44.48305105</v>
      </c>
      <c r="F12" s="20" t="n">
        <v>2.14809171</v>
      </c>
      <c r="G12" s="18" t="n">
        <v>54.48632429</v>
      </c>
      <c r="H12" s="20" t="n">
        <v>2.01714383</v>
      </c>
      <c r="I12" s="18" t="s">
        <v>567</v>
      </c>
      <c r="J12" s="20" t="s">
        <v>567</v>
      </c>
      <c r="K12" s="18" t="n">
        <v>0.35832063</v>
      </c>
      <c r="L12" s="20" t="n">
        <v>0.19080611</v>
      </c>
      <c r="M12" s="18" t="n">
        <v>0</v>
      </c>
      <c r="N12" s="20" t="n">
        <v>0</v>
      </c>
      <c r="O12" s="18" t="n">
        <v>0</v>
      </c>
      <c r="P12" s="20" t="n">
        <v>0</v>
      </c>
      <c r="Q12" s="18" t="n">
        <v>0.6723040300000001</v>
      </c>
      <c r="R12" s="20" t="n">
        <v>0.33963381</v>
      </c>
    </row>
    <row r="13" spans="1:18">
      <c r="A13" s="15" t="s">
        <v>573</v>
      </c>
      <c r="B13" s="17" t="n">
        <v>3559</v>
      </c>
      <c r="C13" s="18">
        <f>(2858.0/B13*100)</f>
        <v/>
      </c>
      <c r="D13" s="19" t="n">
        <v>701</v>
      </c>
      <c r="E13" s="18" t="n">
        <v>44.89674288</v>
      </c>
      <c r="F13" s="20" t="n">
        <v>2.68611839</v>
      </c>
      <c r="G13" s="18" t="n">
        <v>53.25152675</v>
      </c>
      <c r="H13" s="20" t="n">
        <v>2.57579843</v>
      </c>
      <c r="I13" s="18" t="s">
        <v>567</v>
      </c>
      <c r="J13" s="20" t="s">
        <v>567</v>
      </c>
      <c r="K13" s="18" t="n">
        <v>0.87887979</v>
      </c>
      <c r="L13" s="20" t="n">
        <v>0.40356711</v>
      </c>
      <c r="M13" s="18" t="n">
        <v>0</v>
      </c>
      <c r="N13" s="20" t="n">
        <v>0</v>
      </c>
      <c r="O13" s="18" t="n">
        <v>0</v>
      </c>
      <c r="P13" s="20" t="n">
        <v>0</v>
      </c>
      <c r="Q13" s="18" t="n">
        <v>0.97285058</v>
      </c>
      <c r="R13" s="20" t="n">
        <v>0.38725692</v>
      </c>
    </row>
    <row r="14" spans="1:18">
      <c r="A14" s="15" t="s">
        <v>574</v>
      </c>
      <c r="B14" s="17" t="n">
        <v>2799</v>
      </c>
      <c r="C14" s="18">
        <f>(2218.0/B14*100)</f>
        <v/>
      </c>
      <c r="D14" s="19" t="n">
        <v>581</v>
      </c>
      <c r="E14" s="18" t="n">
        <v>42.41613461</v>
      </c>
      <c r="F14" s="20" t="n">
        <v>1.95197342</v>
      </c>
      <c r="G14" s="18" t="n">
        <v>56.57826883</v>
      </c>
      <c r="H14" s="20" t="n">
        <v>1.97374481</v>
      </c>
      <c r="I14" s="18" t="s">
        <v>567</v>
      </c>
      <c r="J14" s="20" t="s">
        <v>567</v>
      </c>
      <c r="K14" s="18" t="n">
        <v>0.30298208</v>
      </c>
      <c r="L14" s="20" t="n">
        <v>0.21640739</v>
      </c>
      <c r="M14" s="18" t="n">
        <v>0</v>
      </c>
      <c r="N14" s="20" t="n">
        <v>0</v>
      </c>
      <c r="O14" s="18" t="n">
        <v>0</v>
      </c>
      <c r="P14" s="20" t="n">
        <v>0</v>
      </c>
      <c r="Q14" s="18" t="n">
        <v>0.70261449</v>
      </c>
      <c r="R14" s="20" t="n">
        <v>0.43811362</v>
      </c>
    </row>
    <row r="15" spans="1:18">
      <c r="A15" s="15" t="s">
        <v>575</v>
      </c>
      <c r="B15" s="17" t="n">
        <v>3019</v>
      </c>
      <c r="C15" s="18">
        <f>(2350.0/B15*100)</f>
        <v/>
      </c>
      <c r="D15" s="19" t="n">
        <v>669</v>
      </c>
      <c r="E15" s="18" t="n">
        <v>49.04594808</v>
      </c>
      <c r="F15" s="20" t="n">
        <v>1.66995329</v>
      </c>
      <c r="G15" s="18" t="n">
        <v>50.04661091</v>
      </c>
      <c r="H15" s="20" t="n">
        <v>1.74239106</v>
      </c>
      <c r="I15" s="18" t="s">
        <v>567</v>
      </c>
      <c r="J15" s="20" t="s">
        <v>567</v>
      </c>
      <c r="K15" s="18" t="n">
        <v>0.1493078</v>
      </c>
      <c r="L15" s="20" t="n">
        <v>0.14835758</v>
      </c>
      <c r="M15" s="18" t="n">
        <v>0</v>
      </c>
      <c r="N15" s="20" t="n">
        <v>0</v>
      </c>
      <c r="O15" s="18" t="n">
        <v>0</v>
      </c>
      <c r="P15" s="20" t="n">
        <v>0</v>
      </c>
      <c r="Q15" s="18" t="n">
        <v>0.7581332</v>
      </c>
      <c r="R15" s="20" t="n">
        <v>0.34912325</v>
      </c>
    </row>
    <row r="16" spans="1:18">
      <c r="A16" s="15" t="s">
        <v>576</v>
      </c>
      <c r="B16" s="17" t="n">
        <v>2997</v>
      </c>
      <c r="C16" s="18">
        <f>(2331.0/B16*100)</f>
        <v/>
      </c>
      <c r="D16" s="19" t="n">
        <v>666</v>
      </c>
      <c r="E16" s="18" t="n">
        <v>41.40117181</v>
      </c>
      <c r="F16" s="20" t="n">
        <v>1.7742329</v>
      </c>
      <c r="G16" s="18" t="n">
        <v>54.64313693</v>
      </c>
      <c r="H16" s="20" t="n">
        <v>1.82778405</v>
      </c>
      <c r="I16" s="18" t="s">
        <v>567</v>
      </c>
      <c r="J16" s="20" t="s">
        <v>567</v>
      </c>
      <c r="K16" s="18" t="n">
        <v>1.47958106</v>
      </c>
      <c r="L16" s="20" t="n">
        <v>0.45274083</v>
      </c>
      <c r="M16" s="18" t="n">
        <v>0</v>
      </c>
      <c r="N16" s="20" t="n">
        <v>0</v>
      </c>
      <c r="O16" s="18" t="n">
        <v>0</v>
      </c>
      <c r="P16" s="20" t="n">
        <v>0</v>
      </c>
      <c r="Q16" s="18" t="n">
        <v>2.47611019</v>
      </c>
      <c r="R16" s="20" t="n">
        <v>0.68049964</v>
      </c>
    </row>
    <row r="17" spans="1:18">
      <c r="A17" s="15" t="s">
        <v>577</v>
      </c>
      <c r="B17" s="17" t="n">
        <v>3307</v>
      </c>
      <c r="C17" s="18">
        <f>(2614.0/B17*100)</f>
        <v/>
      </c>
      <c r="D17" s="19" t="n">
        <v>693</v>
      </c>
      <c r="E17" s="18" t="n">
        <v>45.46129963</v>
      </c>
      <c r="F17" s="20" t="n">
        <v>2.10241016</v>
      </c>
      <c r="G17" s="18" t="n">
        <v>52.94078797</v>
      </c>
      <c r="H17" s="20" t="n">
        <v>2.18320415</v>
      </c>
      <c r="I17" s="18" t="s">
        <v>567</v>
      </c>
      <c r="J17" s="20" t="s">
        <v>567</v>
      </c>
      <c r="K17" s="18" t="n">
        <v>0.68087018</v>
      </c>
      <c r="L17" s="20" t="n">
        <v>0.32330389</v>
      </c>
      <c r="M17" s="18" t="n">
        <v>0</v>
      </c>
      <c r="N17" s="20" t="n">
        <v>0</v>
      </c>
      <c r="O17" s="18" t="n">
        <v>0</v>
      </c>
      <c r="P17" s="20" t="n">
        <v>0</v>
      </c>
      <c r="Q17" s="18" t="n">
        <v>0.91704223</v>
      </c>
      <c r="R17" s="20" t="n">
        <v>0.33558099</v>
      </c>
    </row>
    <row r="18" spans="1:18">
      <c r="A18" s="15" t="s">
        <v>578</v>
      </c>
      <c r="B18" s="17" t="n">
        <v>2826</v>
      </c>
      <c r="C18" s="18">
        <f>(2207.0/B18*100)</f>
        <v/>
      </c>
      <c r="D18" s="19" t="n">
        <v>619</v>
      </c>
      <c r="E18" s="18" t="n">
        <v>53.1949547</v>
      </c>
      <c r="F18" s="20" t="n">
        <v>2.14377306</v>
      </c>
      <c r="G18" s="18" t="n">
        <v>43.88450342</v>
      </c>
      <c r="H18" s="20" t="n">
        <v>2.12618951</v>
      </c>
      <c r="I18" s="18" t="s">
        <v>567</v>
      </c>
      <c r="J18" s="20" t="s">
        <v>567</v>
      </c>
      <c r="K18" s="18" t="n">
        <v>0.86452889</v>
      </c>
      <c r="L18" s="20" t="n">
        <v>0.37368098</v>
      </c>
      <c r="M18" s="18" t="n">
        <v>0</v>
      </c>
      <c r="N18" s="20" t="n">
        <v>0</v>
      </c>
      <c r="O18" s="18" t="n">
        <v>0</v>
      </c>
      <c r="P18" s="20" t="n">
        <v>0</v>
      </c>
      <c r="Q18" s="18" t="n">
        <v>2.05601299</v>
      </c>
      <c r="R18" s="20" t="n">
        <v>0.67602281</v>
      </c>
    </row>
    <row r="19" spans="1:18">
      <c r="A19" s="15" t="s">
        <v>579</v>
      </c>
      <c r="B19" s="17" t="n">
        <v>2808</v>
      </c>
      <c r="C19" s="18">
        <f>(2230.0/B19*100)</f>
        <v/>
      </c>
      <c r="D19" s="19" t="n">
        <v>578</v>
      </c>
      <c r="E19" s="18" t="n">
        <v>48.68968045</v>
      </c>
      <c r="F19" s="20" t="n">
        <v>2.1778314</v>
      </c>
      <c r="G19" s="18" t="n">
        <v>49.88413049</v>
      </c>
      <c r="H19" s="20" t="n">
        <v>2.19727225</v>
      </c>
      <c r="I19" s="18" t="s">
        <v>567</v>
      </c>
      <c r="J19" s="20" t="s">
        <v>567</v>
      </c>
      <c r="K19" s="18" t="n">
        <v>0.16147865</v>
      </c>
      <c r="L19" s="20" t="n">
        <v>0.15691662</v>
      </c>
      <c r="M19" s="18" t="n">
        <v>0</v>
      </c>
      <c r="N19" s="20" t="n">
        <v>0</v>
      </c>
      <c r="O19" s="18" t="n">
        <v>0</v>
      </c>
      <c r="P19" s="20" t="n">
        <v>0</v>
      </c>
      <c r="Q19" s="18" t="n">
        <v>1.2647104</v>
      </c>
      <c r="R19" s="20" t="n">
        <v>0.44346872</v>
      </c>
    </row>
    <row r="20" spans="1:18">
      <c r="A20" s="15" t="s">
        <v>580</v>
      </c>
      <c r="B20" s="17" t="n">
        <v>1630</v>
      </c>
      <c r="C20" s="18">
        <f>(1270.0/B20*100)</f>
        <v/>
      </c>
      <c r="D20" s="19" t="n">
        <v>360</v>
      </c>
      <c r="E20" s="18" t="n">
        <v>48.25773666</v>
      </c>
      <c r="F20" s="20" t="n">
        <v>2.94274127</v>
      </c>
      <c r="G20" s="18" t="n">
        <v>47.83794275</v>
      </c>
      <c r="H20" s="20" t="n">
        <v>2.99396195</v>
      </c>
      <c r="I20" s="18" t="s">
        <v>567</v>
      </c>
      <c r="J20" s="20" t="s">
        <v>567</v>
      </c>
      <c r="K20" s="18" t="n">
        <v>1.89581514</v>
      </c>
      <c r="L20" s="20" t="n">
        <v>0.5960055</v>
      </c>
      <c r="M20" s="18" t="n">
        <v>0</v>
      </c>
      <c r="N20" s="20" t="n">
        <v>0</v>
      </c>
      <c r="O20" s="18" t="n">
        <v>0</v>
      </c>
      <c r="P20" s="20" t="n">
        <v>0</v>
      </c>
      <c r="Q20" s="18" t="n">
        <v>2.00850545</v>
      </c>
      <c r="R20" s="20" t="n">
        <v>0.84534988</v>
      </c>
    </row>
    <row r="21" spans="1:18">
      <c r="A21" s="15" t="s">
        <v>581</v>
      </c>
      <c r="B21" s="17" t="n">
        <v>2908</v>
      </c>
      <c r="C21" s="18">
        <f>(2256.0/B21*100)</f>
        <v/>
      </c>
      <c r="D21" s="19" t="n">
        <v>652</v>
      </c>
      <c r="E21" s="18" t="n">
        <v>36.70887198</v>
      </c>
      <c r="F21" s="20" t="n">
        <v>2.14811296</v>
      </c>
      <c r="G21" s="18" t="n">
        <v>61.61711715</v>
      </c>
      <c r="H21" s="20" t="n">
        <v>1.97773853</v>
      </c>
      <c r="I21" s="18" t="s">
        <v>567</v>
      </c>
      <c r="J21" s="20" t="s">
        <v>567</v>
      </c>
      <c r="K21" s="18" t="n">
        <v>0.64279157</v>
      </c>
      <c r="L21" s="20" t="n">
        <v>0.35814625</v>
      </c>
      <c r="M21" s="18" t="n">
        <v>0</v>
      </c>
      <c r="N21" s="20" t="n">
        <v>0</v>
      </c>
      <c r="O21" s="18" t="n">
        <v>0</v>
      </c>
      <c r="P21" s="20" t="n">
        <v>0</v>
      </c>
      <c r="Q21" s="18" t="n">
        <v>1.0312193</v>
      </c>
      <c r="R21" s="20" t="n">
        <v>0.40790006</v>
      </c>
    </row>
    <row r="22" spans="1:18">
      <c r="A22" s="15" t="s">
        <v>582</v>
      </c>
      <c r="B22" s="17" t="n">
        <v>2931</v>
      </c>
      <c r="C22" s="18">
        <f>(2312.0/B22*100)</f>
        <v/>
      </c>
      <c r="D22" s="19" t="n">
        <v>619</v>
      </c>
      <c r="E22" s="18" t="n">
        <v>43.75023441</v>
      </c>
      <c r="F22" s="20" t="n">
        <v>2.64878554</v>
      </c>
      <c r="G22" s="18" t="n">
        <v>52.24538179</v>
      </c>
      <c r="H22" s="20" t="n">
        <v>2.72232447</v>
      </c>
      <c r="I22" s="18" t="s">
        <v>567</v>
      </c>
      <c r="J22" s="20" t="s">
        <v>567</v>
      </c>
      <c r="K22" s="18" t="n">
        <v>1.28249369</v>
      </c>
      <c r="L22" s="20" t="n">
        <v>0.4707987</v>
      </c>
      <c r="M22" s="18" t="n">
        <v>0</v>
      </c>
      <c r="N22" s="20" t="n">
        <v>0</v>
      </c>
      <c r="O22" s="18" t="n">
        <v>0</v>
      </c>
      <c r="P22" s="20" t="n">
        <v>0</v>
      </c>
      <c r="Q22" s="18" t="n">
        <v>2.72189011</v>
      </c>
      <c r="R22" s="20" t="n">
        <v>0.74984745</v>
      </c>
    </row>
    <row r="23" spans="1:18">
      <c r="A23" s="15" t="s">
        <v>583</v>
      </c>
      <c r="B23" s="17" t="n">
        <v>5791</v>
      </c>
      <c r="C23" s="18">
        <f>(4495.0/B23*100)</f>
        <v/>
      </c>
      <c r="D23" s="19" t="n">
        <v>1296</v>
      </c>
      <c r="E23" s="18" t="n">
        <v>48.19461035</v>
      </c>
      <c r="F23" s="20" t="n">
        <v>2.0260193</v>
      </c>
      <c r="G23" s="18" t="n">
        <v>49.74928275</v>
      </c>
      <c r="H23" s="20" t="n">
        <v>1.99226916</v>
      </c>
      <c r="I23" s="18" t="s">
        <v>567</v>
      </c>
      <c r="J23" s="20" t="s">
        <v>567</v>
      </c>
      <c r="K23" s="18" t="n">
        <v>0.59637869</v>
      </c>
      <c r="L23" s="20" t="n">
        <v>0.17345568</v>
      </c>
      <c r="M23" s="18" t="n">
        <v>0</v>
      </c>
      <c r="N23" s="20" t="n">
        <v>0</v>
      </c>
      <c r="O23" s="18" t="n">
        <v>0</v>
      </c>
      <c r="P23" s="20" t="n">
        <v>0</v>
      </c>
      <c r="Q23" s="18" t="n">
        <v>1.4597282</v>
      </c>
      <c r="R23" s="20" t="n">
        <v>0.43693554</v>
      </c>
    </row>
    <row r="24" spans="1:18">
      <c r="A24" s="15" t="s">
        <v>584</v>
      </c>
      <c r="B24" s="17" t="n">
        <v>3338</v>
      </c>
      <c r="C24" s="18">
        <f>(2615.0/B24*100)</f>
        <v/>
      </c>
      <c r="D24" s="19" t="n">
        <v>723</v>
      </c>
      <c r="E24" s="18" t="n">
        <v>34.25533742</v>
      </c>
      <c r="F24" s="20" t="n">
        <v>1.6090555</v>
      </c>
      <c r="G24" s="18" t="n">
        <v>64.53572222</v>
      </c>
      <c r="H24" s="20" t="n">
        <v>1.71434291</v>
      </c>
      <c r="I24" s="18" t="s">
        <v>567</v>
      </c>
      <c r="J24" s="20" t="s">
        <v>567</v>
      </c>
      <c r="K24" s="18" t="n">
        <v>0.4015272</v>
      </c>
      <c r="L24" s="20" t="n">
        <v>0.23588181</v>
      </c>
      <c r="M24" s="18" t="n">
        <v>0</v>
      </c>
      <c r="N24" s="20" t="n">
        <v>0</v>
      </c>
      <c r="O24" s="18" t="n">
        <v>0</v>
      </c>
      <c r="P24" s="20" t="n">
        <v>0</v>
      </c>
      <c r="Q24" s="18" t="n">
        <v>0.80741316</v>
      </c>
      <c r="R24" s="20" t="n">
        <v>0.27286519</v>
      </c>
    </row>
    <row r="25" spans="1:18">
      <c r="A25" s="15" t="s">
        <v>585</v>
      </c>
      <c r="B25" s="17" t="n">
        <v>2912</v>
      </c>
      <c r="C25" s="18">
        <f>(2282.0/B25*100)</f>
        <v/>
      </c>
      <c r="D25" s="19" t="n">
        <v>630</v>
      </c>
      <c r="E25" s="18" t="n">
        <v>29.48002756</v>
      </c>
      <c r="F25" s="20" t="n">
        <v>2.07077133</v>
      </c>
      <c r="G25" s="18" t="n">
        <v>70.03736799000001</v>
      </c>
      <c r="H25" s="20" t="n">
        <v>2.10552107</v>
      </c>
      <c r="I25" s="18" t="s">
        <v>567</v>
      </c>
      <c r="J25" s="20" t="s">
        <v>567</v>
      </c>
      <c r="K25" s="18" t="n">
        <v>0</v>
      </c>
      <c r="L25" s="20" t="n">
        <v>0</v>
      </c>
      <c r="M25" s="18" t="n">
        <v>0</v>
      </c>
      <c r="N25" s="20" t="n">
        <v>0</v>
      </c>
      <c r="O25" s="18" t="n">
        <v>0</v>
      </c>
      <c r="P25" s="20" t="n">
        <v>0</v>
      </c>
      <c r="Q25" s="18" t="n">
        <v>0.48260445</v>
      </c>
      <c r="R25" s="20" t="n">
        <v>0.27953393</v>
      </c>
    </row>
    <row r="26" spans="1:18">
      <c r="A26" s="15" t="s">
        <v>586</v>
      </c>
      <c r="B26" s="17" t="n">
        <v>2450</v>
      </c>
      <c r="C26" s="18">
        <f>(1931.0/B26*100)</f>
        <v/>
      </c>
      <c r="D26" s="19" t="n">
        <v>519</v>
      </c>
      <c r="E26" s="18" t="n">
        <v>41.73775202</v>
      </c>
      <c r="F26" s="20" t="n">
        <v>1.98484048</v>
      </c>
      <c r="G26" s="18" t="n">
        <v>57.92203764</v>
      </c>
      <c r="H26" s="20" t="n">
        <v>1.99693146</v>
      </c>
      <c r="I26" s="18" t="s">
        <v>567</v>
      </c>
      <c r="J26" s="20" t="s">
        <v>567</v>
      </c>
      <c r="K26" s="18" t="n">
        <v>0.15783527</v>
      </c>
      <c r="L26" s="20" t="n">
        <v>0.15803801</v>
      </c>
      <c r="M26" s="18" t="n">
        <v>0</v>
      </c>
      <c r="N26" s="20" t="n">
        <v>0</v>
      </c>
      <c r="O26" s="18" t="n">
        <v>0</v>
      </c>
      <c r="P26" s="20" t="n">
        <v>0</v>
      </c>
      <c r="Q26" s="18" t="n">
        <v>0.18237507</v>
      </c>
      <c r="R26" s="20" t="n">
        <v>0.18044611</v>
      </c>
    </row>
    <row r="27" spans="1:18">
      <c r="A27" s="15" t="s">
        <v>587</v>
      </c>
      <c r="B27" s="17" t="n">
        <v>2616</v>
      </c>
      <c r="C27" s="18">
        <f>(2003.0/B27*100)</f>
        <v/>
      </c>
      <c r="D27" s="19" t="n">
        <v>613</v>
      </c>
      <c r="E27" s="18" t="n">
        <v>45.37190446</v>
      </c>
      <c r="F27" s="20" t="n">
        <v>1.97706472</v>
      </c>
      <c r="G27" s="18" t="n">
        <v>52.61935535</v>
      </c>
      <c r="H27" s="20" t="n">
        <v>1.89542509</v>
      </c>
      <c r="I27" s="18" t="s">
        <v>567</v>
      </c>
      <c r="J27" s="20" t="s">
        <v>567</v>
      </c>
      <c r="K27" s="18" t="n">
        <v>0.8368618799999999</v>
      </c>
      <c r="L27" s="20" t="n">
        <v>0.37247067</v>
      </c>
      <c r="M27" s="18" t="n">
        <v>0</v>
      </c>
      <c r="N27" s="20" t="n">
        <v>0</v>
      </c>
      <c r="O27" s="18" t="n">
        <v>0</v>
      </c>
      <c r="P27" s="20" t="n">
        <v>0</v>
      </c>
      <c r="Q27" s="18" t="n">
        <v>1.1718783</v>
      </c>
      <c r="R27" s="20" t="n">
        <v>0.43713771</v>
      </c>
    </row>
    <row r="28" spans="1:18">
      <c r="A28" s="15" t="s">
        <v>588</v>
      </c>
      <c r="B28" s="17" t="n">
        <v>3765</v>
      </c>
      <c r="C28" s="18">
        <f>(3018.0/B28*100)</f>
        <v/>
      </c>
      <c r="D28" s="19" t="n">
        <v>747</v>
      </c>
      <c r="E28" s="18" t="n">
        <v>54.40630615</v>
      </c>
      <c r="F28" s="20" t="n">
        <v>2.05999991</v>
      </c>
      <c r="G28" s="18" t="n">
        <v>43.36730127</v>
      </c>
      <c r="H28" s="20" t="n">
        <v>1.99681318</v>
      </c>
      <c r="I28" s="18" t="s">
        <v>567</v>
      </c>
      <c r="J28" s="20" t="s">
        <v>567</v>
      </c>
      <c r="K28" s="18" t="n">
        <v>0.46113704</v>
      </c>
      <c r="L28" s="20" t="n">
        <v>0.24507201</v>
      </c>
      <c r="M28" s="18" t="n">
        <v>0</v>
      </c>
      <c r="N28" s="20" t="n">
        <v>0</v>
      </c>
      <c r="O28" s="18" t="n">
        <v>0</v>
      </c>
      <c r="P28" s="20" t="n">
        <v>0</v>
      </c>
      <c r="Q28" s="18" t="n">
        <v>1.76525555</v>
      </c>
      <c r="R28" s="20" t="n">
        <v>0.6009133800000001</v>
      </c>
    </row>
    <row r="29" spans="1:18">
      <c r="A29" s="15" t="s">
        <v>589</v>
      </c>
      <c r="B29" s="17" t="n">
        <v>2685</v>
      </c>
      <c r="C29" s="18">
        <f>(2150.0/B29*100)</f>
        <v/>
      </c>
      <c r="D29" s="19" t="n">
        <v>535</v>
      </c>
      <c r="E29" s="18" t="n">
        <v>45.51642952</v>
      </c>
      <c r="F29" s="20" t="n">
        <v>1.97341489</v>
      </c>
      <c r="G29" s="18" t="n">
        <v>52.86530069</v>
      </c>
      <c r="H29" s="20" t="n">
        <v>1.8363751</v>
      </c>
      <c r="I29" s="18" t="s">
        <v>567</v>
      </c>
      <c r="J29" s="20" t="s">
        <v>567</v>
      </c>
      <c r="K29" s="18" t="n">
        <v>0.98589365</v>
      </c>
      <c r="L29" s="20" t="n">
        <v>0.46094766</v>
      </c>
      <c r="M29" s="18" t="n">
        <v>0</v>
      </c>
      <c r="N29" s="20" t="n">
        <v>0</v>
      </c>
      <c r="O29" s="18" t="n">
        <v>0</v>
      </c>
      <c r="P29" s="20" t="n">
        <v>0</v>
      </c>
      <c r="Q29" s="18" t="n">
        <v>0.63237613</v>
      </c>
      <c r="R29" s="20" t="n">
        <v>0.34701121</v>
      </c>
    </row>
    <row r="30" spans="1:18">
      <c r="A30" s="15" t="s">
        <v>590</v>
      </c>
      <c r="B30" s="17" t="n">
        <v>2263</v>
      </c>
      <c r="C30" s="18">
        <f>(1764.0/B30*100)</f>
        <v/>
      </c>
      <c r="D30" s="19" t="n">
        <v>499</v>
      </c>
      <c r="E30" s="18" t="n">
        <v>40.70513074</v>
      </c>
      <c r="F30" s="20" t="n">
        <v>2.04515899</v>
      </c>
      <c r="G30" s="18" t="n">
        <v>55.63473312</v>
      </c>
      <c r="H30" s="20" t="n">
        <v>2.06672103</v>
      </c>
      <c r="I30" s="18" t="s">
        <v>567</v>
      </c>
      <c r="J30" s="20" t="s">
        <v>567</v>
      </c>
      <c r="K30" s="18" t="n">
        <v>2.41154659</v>
      </c>
      <c r="L30" s="20" t="n">
        <v>0.75967801</v>
      </c>
      <c r="M30" s="18" t="n">
        <v>0</v>
      </c>
      <c r="N30" s="20" t="n">
        <v>0</v>
      </c>
      <c r="O30" s="18" t="n">
        <v>0</v>
      </c>
      <c r="P30" s="20" t="n">
        <v>0</v>
      </c>
      <c r="Q30" s="18" t="n">
        <v>1.24858955</v>
      </c>
      <c r="R30" s="20" t="n">
        <v>0.45909332</v>
      </c>
    </row>
    <row r="31" spans="1:18">
      <c r="A31" s="15" t="s">
        <v>591</v>
      </c>
      <c r="B31" s="17" t="n">
        <v>2750</v>
      </c>
      <c r="C31" s="18">
        <f>(2128.0/B31*100)</f>
        <v/>
      </c>
      <c r="D31" s="19" t="n">
        <v>622</v>
      </c>
      <c r="E31" s="18" t="n">
        <v>45.44652364</v>
      </c>
      <c r="F31" s="20" t="n">
        <v>1.81499605</v>
      </c>
      <c r="G31" s="18" t="n">
        <v>51.26565889</v>
      </c>
      <c r="H31" s="20" t="n">
        <v>1.99295327</v>
      </c>
      <c r="I31" s="18" t="s">
        <v>567</v>
      </c>
      <c r="J31" s="20" t="s">
        <v>567</v>
      </c>
      <c r="K31" s="18" t="n">
        <v>1.06623248</v>
      </c>
      <c r="L31" s="20" t="n">
        <v>0.44837688</v>
      </c>
      <c r="M31" s="18" t="n">
        <v>0</v>
      </c>
      <c r="N31" s="20" t="n">
        <v>0</v>
      </c>
      <c r="O31" s="18" t="n">
        <v>0</v>
      </c>
      <c r="P31" s="20" t="n">
        <v>0</v>
      </c>
      <c r="Q31" s="18" t="n">
        <v>2.221585</v>
      </c>
      <c r="R31" s="20" t="n">
        <v>0.5670993600000001</v>
      </c>
    </row>
    <row r="32" spans="1:18">
      <c r="A32" s="15" t="s">
        <v>592</v>
      </c>
      <c r="B32" s="17" t="n">
        <v>2269</v>
      </c>
      <c r="C32" s="18">
        <f>(1754.0/B32*100)</f>
        <v/>
      </c>
      <c r="D32" s="19" t="n">
        <v>515</v>
      </c>
      <c r="E32" s="18" t="n">
        <v>45.91538498</v>
      </c>
      <c r="F32" s="20" t="n">
        <v>2.3496889</v>
      </c>
      <c r="G32" s="18" t="n">
        <v>53.37146716</v>
      </c>
      <c r="H32" s="20" t="n">
        <v>2.39190924</v>
      </c>
      <c r="I32" s="18" t="s">
        <v>567</v>
      </c>
      <c r="J32" s="20" t="s">
        <v>567</v>
      </c>
      <c r="K32" s="18" t="n">
        <v>0</v>
      </c>
      <c r="L32" s="20" t="n">
        <v>0</v>
      </c>
      <c r="M32" s="18" t="n">
        <v>0</v>
      </c>
      <c r="N32" s="20" t="n">
        <v>0</v>
      </c>
      <c r="O32" s="18" t="n">
        <v>0</v>
      </c>
      <c r="P32" s="20" t="n">
        <v>0</v>
      </c>
      <c r="Q32" s="18" t="n">
        <v>0.71314785</v>
      </c>
      <c r="R32" s="20" t="n">
        <v>0.35523335</v>
      </c>
    </row>
    <row r="33" spans="1:18">
      <c r="A33" s="15" t="s">
        <v>593</v>
      </c>
      <c r="B33" s="17" t="n">
        <v>3674</v>
      </c>
      <c r="C33" s="18">
        <f>(2899.0/B33*100)</f>
        <v/>
      </c>
      <c r="D33" s="19" t="n">
        <v>775</v>
      </c>
      <c r="E33" s="18" t="n">
        <v>39.40116651</v>
      </c>
      <c r="F33" s="20" t="n">
        <v>2.07234902</v>
      </c>
      <c r="G33" s="18" t="n">
        <v>59.62890542</v>
      </c>
      <c r="H33" s="20" t="n">
        <v>2.16272806</v>
      </c>
      <c r="I33" s="18" t="s">
        <v>567</v>
      </c>
      <c r="J33" s="20" t="s">
        <v>567</v>
      </c>
      <c r="K33" s="18" t="n">
        <v>0.02854403</v>
      </c>
      <c r="L33" s="20" t="n">
        <v>0.0165293</v>
      </c>
      <c r="M33" s="18" t="n">
        <v>0</v>
      </c>
      <c r="N33" s="20" t="n">
        <v>0</v>
      </c>
      <c r="O33" s="18" t="n">
        <v>0</v>
      </c>
      <c r="P33" s="20" t="n">
        <v>0</v>
      </c>
      <c r="Q33" s="18" t="n">
        <v>0.94138404</v>
      </c>
      <c r="R33" s="20" t="n">
        <v>0.47997442</v>
      </c>
    </row>
    <row r="34" spans="1:18">
      <c r="A34" s="15" t="s">
        <v>594</v>
      </c>
      <c r="B34" s="17" t="n">
        <v>3315</v>
      </c>
      <c r="C34" s="18">
        <f>(2615.0/B34*100)</f>
        <v/>
      </c>
      <c r="D34" s="19" t="n">
        <v>700</v>
      </c>
      <c r="E34" s="18" t="n">
        <v>50.11907881</v>
      </c>
      <c r="F34" s="20" t="n">
        <v>1.76987895</v>
      </c>
      <c r="G34" s="18" t="n">
        <v>48.47583236</v>
      </c>
      <c r="H34" s="20" t="n">
        <v>1.83649709</v>
      </c>
      <c r="I34" s="18" t="s">
        <v>567</v>
      </c>
      <c r="J34" s="20" t="s">
        <v>567</v>
      </c>
      <c r="K34" s="18" t="n">
        <v>0.24906519</v>
      </c>
      <c r="L34" s="20" t="n">
        <v>0.17512133</v>
      </c>
      <c r="M34" s="18" t="n">
        <v>0</v>
      </c>
      <c r="N34" s="20" t="n">
        <v>0</v>
      </c>
      <c r="O34" s="18" t="n">
        <v>0</v>
      </c>
      <c r="P34" s="20" t="n">
        <v>0</v>
      </c>
      <c r="Q34" s="18" t="n">
        <v>1.15602364</v>
      </c>
      <c r="R34" s="20" t="n">
        <v>0.44642397</v>
      </c>
    </row>
    <row r="35" spans="1:18">
      <c r="A35" s="15" t="s">
        <v>595</v>
      </c>
      <c r="B35" s="17" t="n">
        <v>3505</v>
      </c>
      <c r="C35" s="18">
        <f>(2730.0/B35*100)</f>
        <v/>
      </c>
      <c r="D35" s="19" t="n">
        <v>775</v>
      </c>
      <c r="E35" s="18" t="n">
        <v>34.09734327</v>
      </c>
      <c r="F35" s="20" t="n">
        <v>1.95757507</v>
      </c>
      <c r="G35" s="18" t="n">
        <v>64.9654093</v>
      </c>
      <c r="H35" s="20" t="n">
        <v>1.98746992</v>
      </c>
      <c r="I35" s="18" t="s">
        <v>567</v>
      </c>
      <c r="J35" s="20" t="s">
        <v>567</v>
      </c>
      <c r="K35" s="18" t="n">
        <v>0.23487105</v>
      </c>
      <c r="L35" s="20" t="n">
        <v>0.10873888</v>
      </c>
      <c r="M35" s="18" t="n">
        <v>0</v>
      </c>
      <c r="N35" s="20" t="n">
        <v>0</v>
      </c>
      <c r="O35" s="18" t="n">
        <v>0</v>
      </c>
      <c r="P35" s="20" t="n">
        <v>0</v>
      </c>
      <c r="Q35" s="18" t="n">
        <v>0.70237638</v>
      </c>
      <c r="R35" s="20" t="n">
        <v>0.28486741</v>
      </c>
    </row>
    <row r="36" spans="1:18">
      <c r="A36" s="15" t="s">
        <v>596</v>
      </c>
      <c r="B36" s="17" t="n">
        <v>3332</v>
      </c>
      <c r="C36" s="18">
        <f>(2651.0/B36*100)</f>
        <v/>
      </c>
      <c r="D36" s="19" t="n">
        <v>681</v>
      </c>
      <c r="E36" s="18" t="n">
        <v>39.94982888</v>
      </c>
      <c r="F36" s="20" t="n">
        <v>2.03872545</v>
      </c>
      <c r="G36" s="18" t="n">
        <v>57.69660631</v>
      </c>
      <c r="H36" s="20" t="n">
        <v>2.02666142</v>
      </c>
      <c r="I36" s="18" t="s">
        <v>567</v>
      </c>
      <c r="J36" s="20" t="s">
        <v>567</v>
      </c>
      <c r="K36" s="18" t="n">
        <v>0.85240006</v>
      </c>
      <c r="L36" s="20" t="n">
        <v>0.40197002</v>
      </c>
      <c r="M36" s="18" t="n">
        <v>0</v>
      </c>
      <c r="N36" s="20" t="n">
        <v>0</v>
      </c>
      <c r="O36" s="18" t="n">
        <v>0</v>
      </c>
      <c r="P36" s="20" t="n">
        <v>0</v>
      </c>
      <c r="Q36" s="18" t="n">
        <v>1.50116476</v>
      </c>
      <c r="R36" s="20" t="n">
        <v>0.44370319</v>
      </c>
    </row>
    <row r="37" spans="1:18">
      <c r="A37" s="15" t="s">
        <v>597</v>
      </c>
      <c r="B37" s="17" t="n">
        <v>2727</v>
      </c>
      <c r="C37" s="18">
        <f>(2168.0/B37*100)</f>
        <v/>
      </c>
      <c r="D37" s="19" t="n">
        <v>559</v>
      </c>
      <c r="E37" s="18" t="n">
        <v>45.99686224</v>
      </c>
      <c r="F37" s="20" t="n">
        <v>2.16649769</v>
      </c>
      <c r="G37" s="18" t="n">
        <v>50.82278458</v>
      </c>
      <c r="H37" s="20" t="n">
        <v>2.27070071</v>
      </c>
      <c r="I37" s="18" t="s">
        <v>567</v>
      </c>
      <c r="J37" s="20" t="s">
        <v>567</v>
      </c>
      <c r="K37" s="18" t="n">
        <v>1.41698957</v>
      </c>
      <c r="L37" s="20" t="n">
        <v>0.44607349</v>
      </c>
      <c r="M37" s="18" t="n">
        <v>0</v>
      </c>
      <c r="N37" s="20" t="n">
        <v>0</v>
      </c>
      <c r="O37" s="18" t="n">
        <v>0</v>
      </c>
      <c r="P37" s="20" t="n">
        <v>0</v>
      </c>
      <c r="Q37" s="18" t="n">
        <v>1.76336361</v>
      </c>
      <c r="R37" s="20" t="n">
        <v>0.43410416</v>
      </c>
    </row>
    <row r="38" spans="1:18">
      <c r="A38" s="15" t="s">
        <v>598</v>
      </c>
      <c r="B38" s="17" t="n">
        <v>3053</v>
      </c>
      <c r="C38" s="18">
        <f>(2407.0/B38*100)</f>
        <v/>
      </c>
      <c r="D38" s="19" t="n">
        <v>646</v>
      </c>
      <c r="E38" s="18" t="n">
        <v>41.21754224</v>
      </c>
      <c r="F38" s="20" t="n">
        <v>1.76345819</v>
      </c>
      <c r="G38" s="18" t="n">
        <v>56.02035216</v>
      </c>
      <c r="H38" s="20" t="n">
        <v>1.95366771</v>
      </c>
      <c r="I38" s="18" t="s">
        <v>567</v>
      </c>
      <c r="J38" s="20" t="s">
        <v>567</v>
      </c>
      <c r="K38" s="18" t="n">
        <v>0.53288753</v>
      </c>
      <c r="L38" s="20" t="n">
        <v>0.28393268</v>
      </c>
      <c r="M38" s="18" t="n">
        <v>0</v>
      </c>
      <c r="N38" s="20" t="n">
        <v>0</v>
      </c>
      <c r="O38" s="18" t="n">
        <v>0</v>
      </c>
      <c r="P38" s="20" t="n">
        <v>0</v>
      </c>
      <c r="Q38" s="18" t="n">
        <v>2.22921807</v>
      </c>
      <c r="R38" s="20" t="n">
        <v>0.68728967</v>
      </c>
    </row>
    <row r="39" spans="1:18">
      <c r="A39" s="15" t="s">
        <v>599</v>
      </c>
      <c r="B39" s="17" t="n">
        <v>2957</v>
      </c>
      <c r="C39" s="18">
        <f>(2320.0/B39*100)</f>
        <v/>
      </c>
      <c r="D39" s="19" t="n">
        <v>637</v>
      </c>
      <c r="E39" s="18" t="n">
        <v>50.78662007</v>
      </c>
      <c r="F39" s="20" t="n">
        <v>2.41656667</v>
      </c>
      <c r="G39" s="18" t="n">
        <v>47.66869692</v>
      </c>
      <c r="H39" s="20" t="n">
        <v>2.39459088</v>
      </c>
      <c r="I39" s="18" t="s">
        <v>567</v>
      </c>
      <c r="J39" s="20" t="s">
        <v>567</v>
      </c>
      <c r="K39" s="18" t="n">
        <v>0.78964062</v>
      </c>
      <c r="L39" s="20" t="n">
        <v>0.30515546</v>
      </c>
      <c r="M39" s="18" t="n">
        <v>0</v>
      </c>
      <c r="N39" s="20" t="n">
        <v>0</v>
      </c>
      <c r="O39" s="18" t="n">
        <v>0</v>
      </c>
      <c r="P39" s="20" t="n">
        <v>0</v>
      </c>
      <c r="Q39" s="18" t="n">
        <v>0.75504239</v>
      </c>
      <c r="R39" s="20" t="n">
        <v>0.35029059</v>
      </c>
    </row>
    <row r="40" spans="1:18">
      <c r="A40" s="15" t="s">
        <v>600</v>
      </c>
      <c r="B40" s="17" t="n">
        <v>7235</v>
      </c>
      <c r="C40" s="18">
        <f>(5655.0/B40*100)</f>
        <v/>
      </c>
      <c r="D40" s="19" t="n">
        <v>1580</v>
      </c>
      <c r="E40" s="18" t="n">
        <v>38.70711458</v>
      </c>
      <c r="F40" s="20" t="n">
        <v>2.2117222</v>
      </c>
      <c r="G40" s="18" t="n">
        <v>59.86998205</v>
      </c>
      <c r="H40" s="20" t="n">
        <v>2.18684391</v>
      </c>
      <c r="I40" s="18" t="s">
        <v>567</v>
      </c>
      <c r="J40" s="20" t="s">
        <v>567</v>
      </c>
      <c r="K40" s="18" t="n">
        <v>0.36527062</v>
      </c>
      <c r="L40" s="20" t="n">
        <v>0.16939212</v>
      </c>
      <c r="M40" s="18" t="n">
        <v>0</v>
      </c>
      <c r="N40" s="20" t="n">
        <v>0</v>
      </c>
      <c r="O40" s="18" t="n">
        <v>0</v>
      </c>
      <c r="P40" s="20" t="n">
        <v>0</v>
      </c>
      <c r="Q40" s="18" t="n">
        <v>1.05763275</v>
      </c>
      <c r="R40" s="20" t="n">
        <v>0.31492391</v>
      </c>
    </row>
    <row r="41" spans="1:18">
      <c r="A41" s="15" t="s">
        <v>601</v>
      </c>
      <c r="B41" s="17" t="n">
        <v>2858</v>
      </c>
      <c r="C41" s="18">
        <f>(2277.0/B41*100)</f>
        <v/>
      </c>
      <c r="D41" s="19" t="n">
        <v>581</v>
      </c>
      <c r="E41" s="18" t="n">
        <v>35.79535179</v>
      </c>
      <c r="F41" s="20" t="n">
        <v>2.31120762</v>
      </c>
      <c r="G41" s="18" t="n">
        <v>63.11155983</v>
      </c>
      <c r="H41" s="20" t="n">
        <v>2.37358794</v>
      </c>
      <c r="I41" s="18" t="s">
        <v>567</v>
      </c>
      <c r="J41" s="20" t="s">
        <v>567</v>
      </c>
      <c r="K41" s="18" t="n">
        <v>0.273163</v>
      </c>
      <c r="L41" s="20" t="n">
        <v>0.20400252</v>
      </c>
      <c r="M41" s="18" t="n">
        <v>0</v>
      </c>
      <c r="N41" s="20" t="n">
        <v>0</v>
      </c>
      <c r="O41" s="18" t="n">
        <v>0</v>
      </c>
      <c r="P41" s="20" t="n">
        <v>0</v>
      </c>
      <c r="Q41" s="18" t="n">
        <v>0.81992538</v>
      </c>
      <c r="R41" s="20" t="n">
        <v>0.49357881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(9226.0/B46*100)</f>
        <v/>
      </c>
      <c r="D46" s="19" t="n">
        <v>1842</v>
      </c>
      <c r="E46" s="18" t="n">
        <v>57.10207108</v>
      </c>
      <c r="F46" s="20" t="n">
        <v>1.43963129</v>
      </c>
      <c r="G46" s="18" t="n">
        <v>39.35471075</v>
      </c>
      <c r="H46" s="20" t="n">
        <v>1.43597205</v>
      </c>
      <c r="I46" s="18" t="s">
        <v>567</v>
      </c>
      <c r="J46" s="20" t="s">
        <v>567</v>
      </c>
      <c r="K46" s="18" t="n">
        <v>1.77325856</v>
      </c>
      <c r="L46" s="20" t="n">
        <v>0.46383604</v>
      </c>
      <c r="M46" s="18" t="n">
        <v>0</v>
      </c>
      <c r="N46" s="20" t="n">
        <v>0</v>
      </c>
      <c r="O46" s="18" t="n">
        <v>0</v>
      </c>
      <c r="P46" s="20" t="n">
        <v>0</v>
      </c>
      <c r="Q46" s="18" t="n">
        <v>1.76995961</v>
      </c>
      <c r="R46" s="20" t="n">
        <v>0.4566803</v>
      </c>
    </row>
    <row r="47" spans="1:18">
      <c r="A47" s="15" t="s">
        <v>607</v>
      </c>
      <c r="B47" s="17" t="n">
        <v>3105</v>
      </c>
      <c r="C47" s="18">
        <f>(2485.0/B47*100)</f>
        <v/>
      </c>
      <c r="D47" s="19" t="n">
        <v>620</v>
      </c>
      <c r="E47" s="18" t="n">
        <v>50.08680767</v>
      </c>
      <c r="F47" s="20" t="n">
        <v>2.18345683</v>
      </c>
      <c r="G47" s="18" t="n">
        <v>47.00312788</v>
      </c>
      <c r="H47" s="20" t="n">
        <v>2.12553252</v>
      </c>
      <c r="I47" s="18" t="s">
        <v>567</v>
      </c>
      <c r="J47" s="20" t="s">
        <v>567</v>
      </c>
      <c r="K47" s="18" t="n">
        <v>1.27166131</v>
      </c>
      <c r="L47" s="20" t="n">
        <v>0.46778831</v>
      </c>
      <c r="M47" s="18" t="n">
        <v>0</v>
      </c>
      <c r="N47" s="20" t="n">
        <v>0</v>
      </c>
      <c r="O47" s="18" t="n">
        <v>0</v>
      </c>
      <c r="P47" s="20" t="n">
        <v>0</v>
      </c>
      <c r="Q47" s="18" t="n">
        <v>1.63840314</v>
      </c>
      <c r="R47" s="20" t="n">
        <v>0.50131109</v>
      </c>
    </row>
    <row r="48" spans="1:18">
      <c r="A48" s="15" t="s">
        <v>608</v>
      </c>
      <c r="B48" s="17" t="n">
        <v>5159</v>
      </c>
      <c r="C48" s="18">
        <f>(4034.0/B48*100)</f>
        <v/>
      </c>
      <c r="D48" s="19" t="n">
        <v>1125</v>
      </c>
      <c r="E48" s="18" t="n">
        <v>44.67429815</v>
      </c>
      <c r="F48" s="20" t="n">
        <v>1.56562859</v>
      </c>
      <c r="G48" s="18" t="n">
        <v>54.19896815</v>
      </c>
      <c r="H48" s="20" t="n">
        <v>1.59958323</v>
      </c>
      <c r="I48" s="18" t="s">
        <v>567</v>
      </c>
      <c r="J48" s="20" t="s">
        <v>567</v>
      </c>
      <c r="K48" s="18" t="n">
        <v>0.8616172</v>
      </c>
      <c r="L48" s="20" t="n">
        <v>0.41440372</v>
      </c>
      <c r="M48" s="18" t="n">
        <v>0</v>
      </c>
      <c r="N48" s="20" t="n">
        <v>0</v>
      </c>
      <c r="O48" s="18" t="n">
        <v>0</v>
      </c>
      <c r="P48" s="20" t="n">
        <v>0</v>
      </c>
      <c r="Q48" s="18" t="n">
        <v>0.2651165</v>
      </c>
      <c r="R48" s="20" t="n">
        <v>0.20324716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(4473.0/B50*100)</f>
        <v/>
      </c>
      <c r="D50" s="19" t="n">
        <v>1164</v>
      </c>
      <c r="E50" s="18" t="n">
        <v>50.78637956</v>
      </c>
      <c r="F50" s="20" t="n">
        <v>2.13558464</v>
      </c>
      <c r="G50" s="18" t="n">
        <v>43.93967551</v>
      </c>
      <c r="H50" s="20" t="n">
        <v>2.10360693</v>
      </c>
      <c r="I50" s="18" t="s">
        <v>567</v>
      </c>
      <c r="J50" s="20" t="s">
        <v>567</v>
      </c>
      <c r="K50" s="18" t="n">
        <v>4.01396465</v>
      </c>
      <c r="L50" s="20" t="n">
        <v>0.82837865</v>
      </c>
      <c r="M50" s="18" t="n">
        <v>0</v>
      </c>
      <c r="N50" s="20" t="n">
        <v>0</v>
      </c>
      <c r="O50" s="18" t="n">
        <v>0</v>
      </c>
      <c r="P50" s="20" t="n">
        <v>0</v>
      </c>
      <c r="Q50" s="18" t="n">
        <v>1.25998029</v>
      </c>
      <c r="R50" s="20" t="n">
        <v>0.38459409</v>
      </c>
    </row>
    <row r="51" spans="1:18">
      <c r="A51" s="15" t="s">
        <v>611</v>
      </c>
      <c r="B51" s="17" t="n">
        <v>3372</v>
      </c>
      <c r="C51" s="18">
        <f>(2789.0/B51*100)</f>
        <v/>
      </c>
      <c r="D51" s="19" t="n">
        <v>583</v>
      </c>
      <c r="E51" s="18" t="n">
        <v>44.04490581</v>
      </c>
      <c r="F51" s="20" t="n">
        <v>2.14275351</v>
      </c>
      <c r="G51" s="18" t="n">
        <v>53.372947</v>
      </c>
      <c r="H51" s="20" t="n">
        <v>1.95239636</v>
      </c>
      <c r="I51" s="18" t="s">
        <v>567</v>
      </c>
      <c r="J51" s="20" t="s">
        <v>567</v>
      </c>
      <c r="K51" s="18" t="n">
        <v>0.66883477</v>
      </c>
      <c r="L51" s="20" t="n">
        <v>0.33655839</v>
      </c>
      <c r="M51" s="18" t="n">
        <v>0</v>
      </c>
      <c r="N51" s="20" t="n">
        <v>0</v>
      </c>
      <c r="O51" s="18" t="n">
        <v>0</v>
      </c>
      <c r="P51" s="20" t="n">
        <v>0</v>
      </c>
      <c r="Q51" s="18" t="n">
        <v>1.91331242</v>
      </c>
      <c r="R51" s="20" t="n">
        <v>0.69897273</v>
      </c>
    </row>
    <row r="52" spans="1:18">
      <c r="A52" s="15" t="s">
        <v>612</v>
      </c>
      <c r="B52" s="17" t="n">
        <v>2796</v>
      </c>
      <c r="C52" s="18">
        <f>(2145.0/B52*100)</f>
        <v/>
      </c>
      <c r="D52" s="19" t="n">
        <v>651</v>
      </c>
      <c r="E52" s="18" t="n">
        <v>48.86022829</v>
      </c>
      <c r="F52" s="20" t="n">
        <v>2.09527401</v>
      </c>
      <c r="G52" s="18" t="n">
        <v>49.74146495</v>
      </c>
      <c r="H52" s="20" t="n">
        <v>2.13739065</v>
      </c>
      <c r="I52" s="18" t="s">
        <v>567</v>
      </c>
      <c r="J52" s="20" t="s">
        <v>567</v>
      </c>
      <c r="K52" s="18" t="n">
        <v>0.27580369</v>
      </c>
      <c r="L52" s="20" t="n">
        <v>0.19401452</v>
      </c>
      <c r="M52" s="18" t="n">
        <v>0</v>
      </c>
      <c r="N52" s="20" t="n">
        <v>0</v>
      </c>
      <c r="O52" s="18" t="n">
        <v>0</v>
      </c>
      <c r="P52" s="20" t="n">
        <v>0</v>
      </c>
      <c r="Q52" s="18" t="n">
        <v>1.12250307</v>
      </c>
      <c r="R52" s="20" t="n">
        <v>0.49980638</v>
      </c>
    </row>
    <row r="53" spans="1:18">
      <c r="A53" s="15" t="s">
        <v>613</v>
      </c>
      <c r="B53" s="17" t="n">
        <v>2811</v>
      </c>
      <c r="C53" s="18">
        <f>(2215.0/B53*100)</f>
        <v/>
      </c>
      <c r="D53" s="19" t="n">
        <v>596</v>
      </c>
      <c r="E53" s="18" t="n">
        <v>50.0253885</v>
      </c>
      <c r="F53" s="20" t="n">
        <v>2.03151629</v>
      </c>
      <c r="G53" s="18" t="n">
        <v>48.21093987</v>
      </c>
      <c r="H53" s="20" t="n">
        <v>2.02672947</v>
      </c>
      <c r="I53" s="18" t="s">
        <v>567</v>
      </c>
      <c r="J53" s="20" t="s">
        <v>567</v>
      </c>
      <c r="K53" s="18" t="n">
        <v>1.00484106</v>
      </c>
      <c r="L53" s="20" t="n">
        <v>0.42443077</v>
      </c>
      <c r="M53" s="18" t="n">
        <v>0</v>
      </c>
      <c r="N53" s="20" t="n">
        <v>0</v>
      </c>
      <c r="O53" s="18" t="n">
        <v>0</v>
      </c>
      <c r="P53" s="20" t="n">
        <v>0</v>
      </c>
      <c r="Q53" s="18" t="n">
        <v>0.75883057</v>
      </c>
      <c r="R53" s="20" t="n">
        <v>0.33772834</v>
      </c>
    </row>
    <row r="54" spans="1:18">
      <c r="A54" s="15" t="s">
        <v>614</v>
      </c>
      <c r="B54" s="17" t="n">
        <v>2266</v>
      </c>
      <c r="C54" s="18">
        <f>(1742.0/B54*100)</f>
        <v/>
      </c>
      <c r="D54" s="19" t="n">
        <v>524</v>
      </c>
      <c r="E54" s="18" t="n">
        <v>51.54430965</v>
      </c>
      <c r="F54" s="20" t="n">
        <v>3.02857333</v>
      </c>
      <c r="G54" s="18" t="n">
        <v>31.60488021</v>
      </c>
      <c r="H54" s="20" t="n">
        <v>2.46531531</v>
      </c>
      <c r="I54" s="18" t="s">
        <v>567</v>
      </c>
      <c r="J54" s="20" t="s">
        <v>567</v>
      </c>
      <c r="K54" s="18" t="n">
        <v>15.31452871</v>
      </c>
      <c r="L54" s="20" t="n">
        <v>1.9725012</v>
      </c>
      <c r="M54" s="18" t="n">
        <v>0</v>
      </c>
      <c r="N54" s="20" t="n">
        <v>0</v>
      </c>
      <c r="O54" s="18" t="n">
        <v>0</v>
      </c>
      <c r="P54" s="20" t="n">
        <v>0</v>
      </c>
      <c r="Q54" s="18" t="n">
        <v>1.53628142</v>
      </c>
      <c r="R54" s="20" t="n">
        <v>0.40641375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(2067.0/B56*100)</f>
        <v/>
      </c>
      <c r="D56" s="19" t="n">
        <v>617</v>
      </c>
      <c r="E56" s="18" t="n">
        <v>37.78122027</v>
      </c>
      <c r="F56" s="20" t="n">
        <v>2.13549861</v>
      </c>
      <c r="G56" s="18" t="n">
        <v>61.6499512</v>
      </c>
      <c r="H56" s="20" t="n">
        <v>2.14623492</v>
      </c>
      <c r="I56" s="18" t="s">
        <v>567</v>
      </c>
      <c r="J56" s="20" t="s">
        <v>567</v>
      </c>
      <c r="K56" s="18" t="n">
        <v>0.20194112</v>
      </c>
      <c r="L56" s="20" t="n">
        <v>0.19671528</v>
      </c>
      <c r="M56" s="18" t="n">
        <v>0</v>
      </c>
      <c r="N56" s="20" t="n">
        <v>0</v>
      </c>
      <c r="O56" s="18" t="n">
        <v>0</v>
      </c>
      <c r="P56" s="20" t="n">
        <v>0</v>
      </c>
      <c r="Q56" s="18" t="n">
        <v>0.36688742</v>
      </c>
      <c r="R56" s="20" t="n">
        <v>0.28733212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(2596.0/B61*100)</f>
        <v/>
      </c>
      <c r="D61" s="19" t="n">
        <v>728</v>
      </c>
      <c r="E61" s="18" t="n">
        <v>44.11167866</v>
      </c>
      <c r="F61" s="20" t="n">
        <v>1.97779064</v>
      </c>
      <c r="G61" s="18" t="n">
        <v>55.08684789</v>
      </c>
      <c r="H61" s="20" t="n">
        <v>2.03519656</v>
      </c>
      <c r="I61" s="18" t="s">
        <v>567</v>
      </c>
      <c r="J61" s="20" t="s">
        <v>567</v>
      </c>
      <c r="K61" s="18" t="n">
        <v>0</v>
      </c>
      <c r="L61" s="20" t="n">
        <v>0</v>
      </c>
      <c r="M61" s="18" t="n">
        <v>0</v>
      </c>
      <c r="N61" s="20" t="n">
        <v>0</v>
      </c>
      <c r="O61" s="18" t="n">
        <v>0</v>
      </c>
      <c r="P61" s="20" t="n">
        <v>0</v>
      </c>
      <c r="Q61" s="18" t="n">
        <v>0.80147345</v>
      </c>
      <c r="R61" s="20" t="n">
        <v>0.35535938</v>
      </c>
    </row>
    <row r="62" spans="1:18">
      <c r="A62" s="15" t="s">
        <v>622</v>
      </c>
      <c r="B62" s="17" t="n">
        <v>2246</v>
      </c>
      <c r="C62" s="18">
        <f>(1797.0/B62*100)</f>
        <v/>
      </c>
      <c r="D62" s="19" t="n">
        <v>449</v>
      </c>
      <c r="E62" s="18" t="n">
        <v>40.07504272</v>
      </c>
      <c r="F62" s="20" t="n">
        <v>2.19928664</v>
      </c>
      <c r="G62" s="18" t="n">
        <v>59.47292778</v>
      </c>
      <c r="H62" s="20" t="n">
        <v>2.19906635</v>
      </c>
      <c r="I62" s="18" t="s">
        <v>567</v>
      </c>
      <c r="J62" s="20" t="s">
        <v>567</v>
      </c>
      <c r="K62" s="18" t="n">
        <v>0</v>
      </c>
      <c r="L62" s="20" t="n">
        <v>0</v>
      </c>
      <c r="M62" s="18" t="n">
        <v>0</v>
      </c>
      <c r="N62" s="20" t="n">
        <v>0</v>
      </c>
      <c r="O62" s="18" t="n">
        <v>0</v>
      </c>
      <c r="P62" s="20" t="n">
        <v>0</v>
      </c>
      <c r="Q62" s="18" t="n">
        <v>0.4520295</v>
      </c>
      <c r="R62" s="20" t="n">
        <v>0.31666935</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(2252.0/B66*100)</f>
        <v/>
      </c>
      <c r="D66" s="19" t="n">
        <v>642</v>
      </c>
      <c r="E66" s="18" t="n">
        <v>46.43463133</v>
      </c>
      <c r="F66" s="20" t="n">
        <v>2.02088754</v>
      </c>
      <c r="G66" s="18" t="n">
        <v>49.26936175</v>
      </c>
      <c r="H66" s="20" t="n">
        <v>1.84380866</v>
      </c>
      <c r="I66" s="18" t="s">
        <v>567</v>
      </c>
      <c r="J66" s="20" t="s">
        <v>567</v>
      </c>
      <c r="K66" s="18" t="n">
        <v>1.67434941</v>
      </c>
      <c r="L66" s="20" t="n">
        <v>0.50493434</v>
      </c>
      <c r="M66" s="18" t="n">
        <v>0</v>
      </c>
      <c r="N66" s="20" t="n">
        <v>0</v>
      </c>
      <c r="O66" s="18" t="n">
        <v>0</v>
      </c>
      <c r="P66" s="20" t="n">
        <v>0</v>
      </c>
      <c r="Q66" s="18" t="n">
        <v>2.62165752</v>
      </c>
      <c r="R66" s="20" t="n">
        <v>0.68182979</v>
      </c>
    </row>
    <row r="67" spans="1:18">
      <c r="A67" s="15" t="s">
        <v>627</v>
      </c>
      <c r="B67" s="17" t="n">
        <v>3511</v>
      </c>
      <c r="C67" s="18">
        <f>(2848.0/B67*100)</f>
        <v/>
      </c>
      <c r="D67" s="19" t="n">
        <v>663</v>
      </c>
      <c r="E67" s="18" t="n">
        <v>53.17326362</v>
      </c>
      <c r="F67" s="20" t="n">
        <v>2.18227567</v>
      </c>
      <c r="G67" s="18" t="n">
        <v>45.17470222</v>
      </c>
      <c r="H67" s="20" t="n">
        <v>2.11283149</v>
      </c>
      <c r="I67" s="18" t="s">
        <v>567</v>
      </c>
      <c r="J67" s="20" t="s">
        <v>567</v>
      </c>
      <c r="K67" s="18" t="n">
        <v>0.63931155</v>
      </c>
      <c r="L67" s="20" t="n">
        <v>0.42637905</v>
      </c>
      <c r="M67" s="18" t="n">
        <v>0</v>
      </c>
      <c r="N67" s="20" t="n">
        <v>0</v>
      </c>
      <c r="O67" s="18" t="n">
        <v>0</v>
      </c>
      <c r="P67" s="20" t="n">
        <v>0</v>
      </c>
      <c r="Q67" s="18" t="n">
        <v>1.01272261</v>
      </c>
      <c r="R67" s="20" t="n">
        <v>0.41713978</v>
      </c>
    </row>
    <row r="68" spans="1:18">
      <c r="A68" s="15" t="s">
        <v>628</v>
      </c>
      <c r="B68" s="17" t="n">
        <v>6049</v>
      </c>
      <c r="C68" s="18">
        <f>(4719.0/B68*100)</f>
        <v/>
      </c>
      <c r="D68" s="19" t="n">
        <v>1330</v>
      </c>
      <c r="E68" s="18" t="n">
        <v>49.06038218</v>
      </c>
      <c r="F68" s="20" t="n">
        <v>1.34527576</v>
      </c>
      <c r="G68" s="18" t="n">
        <v>43.14273667</v>
      </c>
      <c r="H68" s="20" t="n">
        <v>1.41814053</v>
      </c>
      <c r="I68" s="18" t="s">
        <v>567</v>
      </c>
      <c r="J68" s="20" t="s">
        <v>567</v>
      </c>
      <c r="K68" s="18" t="n">
        <v>3.56642909</v>
      </c>
      <c r="L68" s="20" t="n">
        <v>0.5253019</v>
      </c>
      <c r="M68" s="18" t="n">
        <v>0</v>
      </c>
      <c r="N68" s="20" t="n">
        <v>0</v>
      </c>
      <c r="O68" s="18" t="n">
        <v>0</v>
      </c>
      <c r="P68" s="20" t="n">
        <v>0</v>
      </c>
      <c r="Q68" s="18" t="n">
        <v>4.23045206</v>
      </c>
      <c r="R68" s="20" t="n">
        <v>0.64097255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(2343.0/B70*100)</f>
        <v/>
      </c>
      <c r="D70" s="19" t="n">
        <v>586</v>
      </c>
      <c r="E70" s="18" t="n">
        <v>50.94255407</v>
      </c>
      <c r="F70" s="20" t="n">
        <v>1.99549883</v>
      </c>
      <c r="G70" s="18" t="n">
        <v>47.376099</v>
      </c>
      <c r="H70" s="20" t="n">
        <v>2.04715224</v>
      </c>
      <c r="I70" s="18" t="s">
        <v>567</v>
      </c>
      <c r="J70" s="20" t="s">
        <v>567</v>
      </c>
      <c r="K70" s="18" t="n">
        <v>0.26552909</v>
      </c>
      <c r="L70" s="20" t="n">
        <v>0.17532286</v>
      </c>
      <c r="M70" s="18" t="n">
        <v>0</v>
      </c>
      <c r="N70" s="20" t="n">
        <v>0</v>
      </c>
      <c r="O70" s="18" t="n">
        <v>0</v>
      </c>
      <c r="P70" s="20" t="n">
        <v>0</v>
      </c>
      <c r="Q70" s="18" t="n">
        <v>1.41581784</v>
      </c>
      <c r="R70" s="20" t="n">
        <v>0.54402937</v>
      </c>
    </row>
    <row r="71" spans="1:18">
      <c r="A71" s="15" t="s">
        <v>631</v>
      </c>
      <c r="B71" s="17" t="n">
        <v>3142</v>
      </c>
      <c r="C71" s="18">
        <f>(2466.0/B71*100)</f>
        <v/>
      </c>
      <c r="D71" s="19" t="n">
        <v>676</v>
      </c>
      <c r="E71" s="18" t="n">
        <v>25.80577777</v>
      </c>
      <c r="F71" s="20" t="n">
        <v>1.5786639</v>
      </c>
      <c r="G71" s="18" t="n">
        <v>73.40045866</v>
      </c>
      <c r="H71" s="20" t="n">
        <v>1.60453531</v>
      </c>
      <c r="I71" s="18" t="s">
        <v>567</v>
      </c>
      <c r="J71" s="20" t="s">
        <v>567</v>
      </c>
      <c r="K71" s="18" t="n">
        <v>0.20547453</v>
      </c>
      <c r="L71" s="20" t="n">
        <v>0.14866983</v>
      </c>
      <c r="M71" s="18" t="n">
        <v>0</v>
      </c>
      <c r="N71" s="20" t="n">
        <v>0</v>
      </c>
      <c r="O71" s="18" t="n">
        <v>0</v>
      </c>
      <c r="P71" s="20" t="n">
        <v>0</v>
      </c>
      <c r="Q71" s="18" t="n">
        <v>0.58828903</v>
      </c>
      <c r="R71" s="20" t="n">
        <v>0.23157309</v>
      </c>
    </row>
    <row r="72" spans="1:18">
      <c r="A72" s="15" t="s">
        <v>632</v>
      </c>
      <c r="B72" s="17" t="n">
        <v>3889</v>
      </c>
      <c r="C72" s="18">
        <f>(3014.0/B72*100)</f>
        <v/>
      </c>
      <c r="D72" s="19" t="n">
        <v>875</v>
      </c>
      <c r="E72" s="18" t="n">
        <v>41.99256012</v>
      </c>
      <c r="F72" s="20" t="n">
        <v>1.94166925</v>
      </c>
      <c r="G72" s="18" t="n">
        <v>57.53717625</v>
      </c>
      <c r="H72" s="20" t="n">
        <v>1.95820869</v>
      </c>
      <c r="I72" s="18" t="s">
        <v>567</v>
      </c>
      <c r="J72" s="20" t="s">
        <v>567</v>
      </c>
      <c r="K72" s="18" t="n">
        <v>0.32000301</v>
      </c>
      <c r="L72" s="20" t="n">
        <v>0.15190452</v>
      </c>
      <c r="M72" s="18" t="n">
        <v>0</v>
      </c>
      <c r="N72" s="20" t="n">
        <v>0</v>
      </c>
      <c r="O72" s="18" t="n">
        <v>0</v>
      </c>
      <c r="P72" s="20" t="n">
        <v>0</v>
      </c>
      <c r="Q72" s="18" t="n">
        <v>0.15026063</v>
      </c>
      <c r="R72" s="20" t="n">
        <v>0.10913136</v>
      </c>
    </row>
    <row r="73" spans="1:18">
      <c r="A73" s="15" t="s">
        <v>633</v>
      </c>
      <c r="B73" s="17" t="n">
        <v>3597</v>
      </c>
      <c r="C73" s="18">
        <f>(2817.0/B73*100)</f>
        <v/>
      </c>
      <c r="D73" s="19" t="n">
        <v>780</v>
      </c>
      <c r="E73" s="18" t="n">
        <v>50.86943845</v>
      </c>
      <c r="F73" s="20" t="n">
        <v>2.29206418</v>
      </c>
      <c r="G73" s="18" t="n">
        <v>48.32009945</v>
      </c>
      <c r="H73" s="20" t="n">
        <v>2.34035861</v>
      </c>
      <c r="I73" s="18" t="s">
        <v>567</v>
      </c>
      <c r="J73" s="20" t="s">
        <v>567</v>
      </c>
      <c r="K73" s="18" t="n">
        <v>0</v>
      </c>
      <c r="L73" s="20" t="n">
        <v>0</v>
      </c>
      <c r="M73" s="18" t="n">
        <v>0</v>
      </c>
      <c r="N73" s="20" t="n">
        <v>0</v>
      </c>
      <c r="O73" s="18" t="n">
        <v>0</v>
      </c>
      <c r="P73" s="20" t="n">
        <v>0</v>
      </c>
      <c r="Q73" s="18" t="n">
        <v>0.81046211</v>
      </c>
      <c r="R73" s="20" t="n">
        <v>0.37898504</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(1930.0/B75*100)</f>
        <v/>
      </c>
      <c r="D75" s="19" t="n">
        <v>476</v>
      </c>
      <c r="E75" s="18" t="n">
        <v>57.45792761</v>
      </c>
      <c r="F75" s="20" t="n">
        <v>2.17192416</v>
      </c>
      <c r="G75" s="18" t="n">
        <v>36.8359156</v>
      </c>
      <c r="H75" s="20" t="n">
        <v>2.12380231</v>
      </c>
      <c r="I75" s="18" t="s">
        <v>567</v>
      </c>
      <c r="J75" s="20" t="s">
        <v>567</v>
      </c>
      <c r="K75" s="18" t="n">
        <v>2.71580172</v>
      </c>
      <c r="L75" s="20" t="n">
        <v>0.84220929</v>
      </c>
      <c r="M75" s="18" t="n">
        <v>0</v>
      </c>
      <c r="N75" s="20" t="n">
        <v>0</v>
      </c>
      <c r="O75" s="18" t="n">
        <v>0</v>
      </c>
      <c r="P75" s="20" t="n">
        <v>0</v>
      </c>
      <c r="Q75" s="18" t="n">
        <v>2.99035507</v>
      </c>
      <c r="R75" s="20" t="n">
        <v>0.71225112</v>
      </c>
    </row>
    <row r="76" spans="1:18">
      <c r="A76" s="15" t="s">
        <v>636</v>
      </c>
      <c r="B76" s="17" t="n">
        <v>7052</v>
      </c>
      <c r="C76" s="18">
        <f>(5537.0/B76*100)</f>
        <v/>
      </c>
      <c r="D76" s="19" t="n">
        <v>1515</v>
      </c>
      <c r="E76" s="18" t="n">
        <v>52.3297693</v>
      </c>
      <c r="F76" s="20" t="n">
        <v>1.56277491</v>
      </c>
      <c r="G76" s="18" t="n">
        <v>44.73177219</v>
      </c>
      <c r="H76" s="20" t="n">
        <v>1.5326028</v>
      </c>
      <c r="I76" s="18" t="s">
        <v>567</v>
      </c>
      <c r="J76" s="20" t="s">
        <v>567</v>
      </c>
      <c r="K76" s="18" t="n">
        <v>0.72435295</v>
      </c>
      <c r="L76" s="20" t="n">
        <v>0.22703629</v>
      </c>
      <c r="M76" s="18" t="n">
        <v>0</v>
      </c>
      <c r="N76" s="20" t="n">
        <v>0</v>
      </c>
      <c r="O76" s="18" t="n">
        <v>0</v>
      </c>
      <c r="P76" s="20" t="n">
        <v>0</v>
      </c>
      <c r="Q76" s="18" t="n">
        <v>2.21410556</v>
      </c>
      <c r="R76" s="20" t="n">
        <v>0.3876707</v>
      </c>
    </row>
    <row r="77" spans="1:18">
      <c r="A77" s="15" t="s">
        <v>637</v>
      </c>
      <c r="B77" s="17" t="n">
        <v>2908</v>
      </c>
      <c r="C77" s="18">
        <f>(2282.0/B77*100)</f>
        <v/>
      </c>
      <c r="D77" s="19" t="n">
        <v>626</v>
      </c>
      <c r="E77" s="18" t="n">
        <v>53.58230481</v>
      </c>
      <c r="F77" s="20" t="n">
        <v>2.11617044</v>
      </c>
      <c r="G77" s="18" t="n">
        <v>42.03620293</v>
      </c>
      <c r="H77" s="20" t="n">
        <v>2.13989383</v>
      </c>
      <c r="I77" s="18" t="s">
        <v>567</v>
      </c>
      <c r="J77" s="20" t="s">
        <v>567</v>
      </c>
      <c r="K77" s="18" t="n">
        <v>2.8044162</v>
      </c>
      <c r="L77" s="20" t="n">
        <v>0.55341117</v>
      </c>
      <c r="M77" s="18" t="n">
        <v>0</v>
      </c>
      <c r="N77" s="20" t="n">
        <v>0</v>
      </c>
      <c r="O77" s="18" t="n">
        <v>0</v>
      </c>
      <c r="P77" s="20" t="n">
        <v>0</v>
      </c>
      <c r="Q77" s="18" t="n">
        <v>1.57707606</v>
      </c>
      <c r="R77" s="20" t="n">
        <v>0.59762785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(3221.0/B81*100)</f>
        <v/>
      </c>
      <c r="D81" s="19" t="n">
        <v>942</v>
      </c>
      <c r="E81" s="18" t="n">
        <v>45.43915505</v>
      </c>
      <c r="F81" s="20" t="n">
        <v>1.94066376</v>
      </c>
      <c r="G81" s="18" t="n">
        <v>53.4939966</v>
      </c>
      <c r="H81" s="20" t="n">
        <v>1.8903833</v>
      </c>
      <c r="I81" s="18" t="s">
        <v>567</v>
      </c>
      <c r="J81" s="20" t="s">
        <v>567</v>
      </c>
      <c r="K81" s="18" t="n">
        <v>0.3361619</v>
      </c>
      <c r="L81" s="20" t="n">
        <v>0.23065947</v>
      </c>
      <c r="M81" s="18" t="n">
        <v>0</v>
      </c>
      <c r="N81" s="20" t="n">
        <v>0</v>
      </c>
      <c r="O81" s="18" t="n">
        <v>0</v>
      </c>
      <c r="P81" s="20" t="n">
        <v>0</v>
      </c>
      <c r="Q81" s="18" t="n">
        <v>0.73068645</v>
      </c>
      <c r="R81" s="20" t="n">
        <v>0.34089674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(5799.0/B7*100)</f>
        <v/>
      </c>
      <c r="D7" s="19" t="n">
        <v>1568</v>
      </c>
      <c r="E7" s="18" t="n">
        <v>38.57559925</v>
      </c>
      <c r="F7" s="20" t="n">
        <v>1.73703397</v>
      </c>
      <c r="G7" s="18" t="n">
        <v>60.19730818</v>
      </c>
      <c r="H7" s="20" t="n">
        <v>1.7139531</v>
      </c>
      <c r="I7" s="18" t="s">
        <v>567</v>
      </c>
      <c r="J7" s="20" t="s">
        <v>567</v>
      </c>
      <c r="K7" s="18" t="n">
        <v>0.64394503</v>
      </c>
      <c r="L7" s="20" t="n">
        <v>0.22089744</v>
      </c>
      <c r="M7" s="18" t="n">
        <v>0</v>
      </c>
      <c r="N7" s="20" t="n">
        <v>0</v>
      </c>
      <c r="O7" s="18" t="n">
        <v>0</v>
      </c>
      <c r="P7" s="20" t="n">
        <v>0</v>
      </c>
      <c r="Q7" s="18" t="n">
        <v>0.58314754</v>
      </c>
      <c r="R7" s="20" t="n">
        <v>0.18692103</v>
      </c>
    </row>
    <row r="8" spans="1:18">
      <c r="A8" s="15" t="s">
        <v>568</v>
      </c>
      <c r="B8" s="17" t="n">
        <v>3564</v>
      </c>
      <c r="C8" s="18">
        <f>(2776.0/B8*100)</f>
        <v/>
      </c>
      <c r="D8" s="19" t="n">
        <v>788</v>
      </c>
      <c r="E8" s="18" t="n">
        <v>41.08144278</v>
      </c>
      <c r="F8" s="20" t="n">
        <v>1.98109398</v>
      </c>
      <c r="G8" s="18" t="n">
        <v>56.31137473</v>
      </c>
      <c r="H8" s="20" t="n">
        <v>2.02031939</v>
      </c>
      <c r="I8" s="18" t="s">
        <v>567</v>
      </c>
      <c r="J8" s="20" t="s">
        <v>567</v>
      </c>
      <c r="K8" s="18" t="n">
        <v>0.77790574</v>
      </c>
      <c r="L8" s="20" t="n">
        <v>0.3593789</v>
      </c>
      <c r="M8" s="18" t="n">
        <v>0</v>
      </c>
      <c r="N8" s="20" t="n">
        <v>0</v>
      </c>
      <c r="O8" s="18" t="n">
        <v>0</v>
      </c>
      <c r="P8" s="20" t="n">
        <v>0</v>
      </c>
      <c r="Q8" s="18" t="n">
        <v>1.82927675</v>
      </c>
      <c r="R8" s="20" t="n">
        <v>0.51394301</v>
      </c>
    </row>
    <row r="9" spans="1:18">
      <c r="A9" s="15" t="s">
        <v>569</v>
      </c>
      <c r="B9" s="17" t="n">
        <v>4899</v>
      </c>
      <c r="C9" s="18">
        <f>(3846.0/B9*100)</f>
        <v/>
      </c>
      <c r="D9" s="19" t="n">
        <v>1053</v>
      </c>
      <c r="E9" s="18" t="n">
        <v>35.25352237</v>
      </c>
      <c r="F9" s="20" t="n">
        <v>1.6581718</v>
      </c>
      <c r="G9" s="18" t="n">
        <v>62.42161794</v>
      </c>
      <c r="H9" s="20" t="n">
        <v>1.67466264</v>
      </c>
      <c r="I9" s="18" t="s">
        <v>567</v>
      </c>
      <c r="J9" s="20" t="s">
        <v>567</v>
      </c>
      <c r="K9" s="18" t="n">
        <v>1.06825072</v>
      </c>
      <c r="L9" s="20" t="n">
        <v>0.36920939</v>
      </c>
      <c r="M9" s="18" t="n">
        <v>0</v>
      </c>
      <c r="N9" s="20" t="n">
        <v>0</v>
      </c>
      <c r="O9" s="18" t="n">
        <v>0</v>
      </c>
      <c r="P9" s="20" t="n">
        <v>0</v>
      </c>
      <c r="Q9" s="18" t="n">
        <v>1.25660897</v>
      </c>
      <c r="R9" s="20" t="n">
        <v>0.4396274</v>
      </c>
    </row>
    <row r="10" spans="1:18">
      <c r="A10" s="15" t="s">
        <v>570</v>
      </c>
      <c r="B10" s="17" t="n">
        <v>10036</v>
      </c>
      <c r="C10" s="18">
        <f>(7898.0/B10*100)</f>
        <v/>
      </c>
      <c r="D10" s="19" t="n">
        <v>2138</v>
      </c>
      <c r="E10" s="18" t="n">
        <v>36.70983278</v>
      </c>
      <c r="F10" s="20" t="n">
        <v>1.34948082</v>
      </c>
      <c r="G10" s="18" t="n">
        <v>61.94562758</v>
      </c>
      <c r="H10" s="20" t="n">
        <v>1.38854164</v>
      </c>
      <c r="I10" s="18" t="s">
        <v>567</v>
      </c>
      <c r="J10" s="20" t="s">
        <v>567</v>
      </c>
      <c r="K10" s="18" t="n">
        <v>0.77155068</v>
      </c>
      <c r="L10" s="20" t="n">
        <v>0.29692948</v>
      </c>
      <c r="M10" s="18" t="n">
        <v>0</v>
      </c>
      <c r="N10" s="20" t="n">
        <v>0</v>
      </c>
      <c r="O10" s="18" t="n">
        <v>0</v>
      </c>
      <c r="P10" s="20" t="n">
        <v>0</v>
      </c>
      <c r="Q10" s="18" t="n">
        <v>0.57298896</v>
      </c>
      <c r="R10" s="20" t="n">
        <v>0.19261295</v>
      </c>
    </row>
    <row r="11" spans="1:18">
      <c r="A11" s="15" t="s">
        <v>571</v>
      </c>
      <c r="B11" s="17" t="n">
        <v>3553</v>
      </c>
      <c r="C11" s="18">
        <f>(2872.0/B11*100)</f>
        <v/>
      </c>
      <c r="D11" s="19" t="n">
        <v>681</v>
      </c>
      <c r="E11" s="18" t="n">
        <v>43.81576971</v>
      </c>
      <c r="F11" s="20" t="n">
        <v>2.0448138</v>
      </c>
      <c r="G11" s="18" t="n">
        <v>52.6392148</v>
      </c>
      <c r="H11" s="20" t="n">
        <v>2.08523719</v>
      </c>
      <c r="I11" s="18" t="s">
        <v>567</v>
      </c>
      <c r="J11" s="20" t="s">
        <v>567</v>
      </c>
      <c r="K11" s="18" t="n">
        <v>1.26462731</v>
      </c>
      <c r="L11" s="20" t="n">
        <v>0.44604274</v>
      </c>
      <c r="M11" s="18" t="n">
        <v>0</v>
      </c>
      <c r="N11" s="20" t="n">
        <v>0</v>
      </c>
      <c r="O11" s="18" t="n">
        <v>0</v>
      </c>
      <c r="P11" s="20" t="n">
        <v>0</v>
      </c>
      <c r="Q11" s="18" t="n">
        <v>2.28038817</v>
      </c>
      <c r="R11" s="20" t="n">
        <v>0.64140117</v>
      </c>
    </row>
    <row r="12" spans="1:18">
      <c r="A12" s="15" t="s">
        <v>572</v>
      </c>
      <c r="B12" s="17" t="n">
        <v>3472</v>
      </c>
      <c r="C12" s="18">
        <f>(2737.0/B12*100)</f>
        <v/>
      </c>
      <c r="D12" s="19" t="n">
        <v>735</v>
      </c>
      <c r="E12" s="18" t="n">
        <v>42.23814966</v>
      </c>
      <c r="F12" s="20" t="n">
        <v>2.17722461</v>
      </c>
      <c r="G12" s="18" t="n">
        <v>56.497623</v>
      </c>
      <c r="H12" s="20" t="n">
        <v>2.21886744</v>
      </c>
      <c r="I12" s="18" t="s">
        <v>567</v>
      </c>
      <c r="J12" s="20" t="s">
        <v>567</v>
      </c>
      <c r="K12" s="18" t="n">
        <v>0.48629685</v>
      </c>
      <c r="L12" s="20" t="n">
        <v>0.22832392</v>
      </c>
      <c r="M12" s="18" t="n">
        <v>0</v>
      </c>
      <c r="N12" s="20" t="n">
        <v>0</v>
      </c>
      <c r="O12" s="18" t="n">
        <v>0</v>
      </c>
      <c r="P12" s="20" t="n">
        <v>0</v>
      </c>
      <c r="Q12" s="18" t="n">
        <v>0.77793049</v>
      </c>
      <c r="R12" s="20" t="n">
        <v>0.29113217</v>
      </c>
    </row>
    <row r="13" spans="1:18">
      <c r="A13" s="15" t="s">
        <v>573</v>
      </c>
      <c r="B13" s="17" t="n">
        <v>3559</v>
      </c>
      <c r="C13" s="18">
        <f>(2859.0/B13*100)</f>
        <v/>
      </c>
      <c r="D13" s="19" t="n">
        <v>700</v>
      </c>
      <c r="E13" s="18" t="n">
        <v>43.64617867</v>
      </c>
      <c r="F13" s="20" t="n">
        <v>2.39407067</v>
      </c>
      <c r="G13" s="18" t="n">
        <v>54.17088752</v>
      </c>
      <c r="H13" s="20" t="n">
        <v>2.26426768</v>
      </c>
      <c r="I13" s="18" t="s">
        <v>567</v>
      </c>
      <c r="J13" s="20" t="s">
        <v>567</v>
      </c>
      <c r="K13" s="18" t="n">
        <v>0.88060504</v>
      </c>
      <c r="L13" s="20" t="n">
        <v>0.40294714</v>
      </c>
      <c r="M13" s="18" t="n">
        <v>0</v>
      </c>
      <c r="N13" s="20" t="n">
        <v>0</v>
      </c>
      <c r="O13" s="18" t="n">
        <v>0</v>
      </c>
      <c r="P13" s="20" t="n">
        <v>0</v>
      </c>
      <c r="Q13" s="18" t="n">
        <v>1.30232877</v>
      </c>
      <c r="R13" s="20" t="n">
        <v>0.45235141</v>
      </c>
    </row>
    <row r="14" spans="1:18">
      <c r="A14" s="15" t="s">
        <v>574</v>
      </c>
      <c r="B14" s="17" t="n">
        <v>2799</v>
      </c>
      <c r="C14" s="18">
        <f>(2218.0/B14*100)</f>
        <v/>
      </c>
      <c r="D14" s="19" t="n">
        <v>581</v>
      </c>
      <c r="E14" s="18" t="n">
        <v>35.97384839</v>
      </c>
      <c r="F14" s="20" t="n">
        <v>1.93501169</v>
      </c>
      <c r="G14" s="18" t="n">
        <v>62.82491178</v>
      </c>
      <c r="H14" s="20" t="n">
        <v>2.05214497</v>
      </c>
      <c r="I14" s="18" t="s">
        <v>567</v>
      </c>
      <c r="J14" s="20" t="s">
        <v>567</v>
      </c>
      <c r="K14" s="18" t="n">
        <v>0.56005069</v>
      </c>
      <c r="L14" s="20" t="n">
        <v>0.2935642</v>
      </c>
      <c r="M14" s="18" t="n">
        <v>0</v>
      </c>
      <c r="N14" s="20" t="n">
        <v>0</v>
      </c>
      <c r="O14" s="18" t="n">
        <v>0</v>
      </c>
      <c r="P14" s="20" t="n">
        <v>0</v>
      </c>
      <c r="Q14" s="18" t="n">
        <v>0.64118915</v>
      </c>
      <c r="R14" s="20" t="n">
        <v>0.32042379</v>
      </c>
    </row>
    <row r="15" spans="1:18">
      <c r="A15" s="15" t="s">
        <v>575</v>
      </c>
      <c r="B15" s="17" t="n">
        <v>3019</v>
      </c>
      <c r="C15" s="18">
        <f>(2350.0/B15*100)</f>
        <v/>
      </c>
      <c r="D15" s="19" t="n">
        <v>669</v>
      </c>
      <c r="E15" s="18" t="n">
        <v>40.32221363</v>
      </c>
      <c r="F15" s="20" t="n">
        <v>1.75740298</v>
      </c>
      <c r="G15" s="18" t="n">
        <v>58.94749756</v>
      </c>
      <c r="H15" s="20" t="n">
        <v>1.75953154</v>
      </c>
      <c r="I15" s="18" t="s">
        <v>567</v>
      </c>
      <c r="J15" s="20" t="s">
        <v>567</v>
      </c>
      <c r="K15" s="18" t="n">
        <v>0.1493078</v>
      </c>
      <c r="L15" s="20" t="n">
        <v>0.14835758</v>
      </c>
      <c r="M15" s="18" t="n">
        <v>0</v>
      </c>
      <c r="N15" s="20" t="n">
        <v>0</v>
      </c>
      <c r="O15" s="18" t="n">
        <v>0</v>
      </c>
      <c r="P15" s="20" t="n">
        <v>0</v>
      </c>
      <c r="Q15" s="18" t="n">
        <v>0.58098101</v>
      </c>
      <c r="R15" s="20" t="n">
        <v>0.21310008</v>
      </c>
    </row>
    <row r="16" spans="1:18">
      <c r="A16" s="15" t="s">
        <v>576</v>
      </c>
      <c r="B16" s="17" t="n">
        <v>2997</v>
      </c>
      <c r="C16" s="18">
        <f>(2334.0/B16*100)</f>
        <v/>
      </c>
      <c r="D16" s="19" t="n">
        <v>663</v>
      </c>
      <c r="E16" s="18" t="n">
        <v>42.28415137</v>
      </c>
      <c r="F16" s="20" t="n">
        <v>1.94789736</v>
      </c>
      <c r="G16" s="18" t="n">
        <v>53.50791125</v>
      </c>
      <c r="H16" s="20" t="n">
        <v>1.88865533</v>
      </c>
      <c r="I16" s="18" t="s">
        <v>567</v>
      </c>
      <c r="J16" s="20" t="s">
        <v>567</v>
      </c>
      <c r="K16" s="18" t="n">
        <v>1.48586144</v>
      </c>
      <c r="L16" s="20" t="n">
        <v>0.45441086</v>
      </c>
      <c r="M16" s="18" t="n">
        <v>0</v>
      </c>
      <c r="N16" s="20" t="n">
        <v>0</v>
      </c>
      <c r="O16" s="18" t="n">
        <v>0</v>
      </c>
      <c r="P16" s="20" t="n">
        <v>0</v>
      </c>
      <c r="Q16" s="18" t="n">
        <v>2.72207595</v>
      </c>
      <c r="R16" s="20" t="n">
        <v>0.754556</v>
      </c>
    </row>
    <row r="17" spans="1:18">
      <c r="A17" s="15" t="s">
        <v>577</v>
      </c>
      <c r="B17" s="17" t="n">
        <v>3307</v>
      </c>
      <c r="C17" s="18">
        <f>(2617.0/B17*100)</f>
        <v/>
      </c>
      <c r="D17" s="19" t="n">
        <v>690</v>
      </c>
      <c r="E17" s="18" t="n">
        <v>36.59552423</v>
      </c>
      <c r="F17" s="20" t="n">
        <v>2.19316955</v>
      </c>
      <c r="G17" s="18" t="n">
        <v>61.66165201</v>
      </c>
      <c r="H17" s="20" t="n">
        <v>2.23557328</v>
      </c>
      <c r="I17" s="18" t="s">
        <v>567</v>
      </c>
      <c r="J17" s="20" t="s">
        <v>567</v>
      </c>
      <c r="K17" s="18" t="n">
        <v>0.78303795</v>
      </c>
      <c r="L17" s="20" t="n">
        <v>0.340398</v>
      </c>
      <c r="M17" s="18" t="n">
        <v>0</v>
      </c>
      <c r="N17" s="20" t="n">
        <v>0</v>
      </c>
      <c r="O17" s="18" t="n">
        <v>0</v>
      </c>
      <c r="P17" s="20" t="n">
        <v>0</v>
      </c>
      <c r="Q17" s="18" t="n">
        <v>0.95978581</v>
      </c>
      <c r="R17" s="20" t="n">
        <v>0.40228595</v>
      </c>
    </row>
    <row r="18" spans="1:18">
      <c r="A18" s="15" t="s">
        <v>578</v>
      </c>
      <c r="B18" s="17" t="n">
        <v>2826</v>
      </c>
      <c r="C18" s="18">
        <f>(2206.0/B18*100)</f>
        <v/>
      </c>
      <c r="D18" s="19" t="n">
        <v>620</v>
      </c>
      <c r="E18" s="18" t="n">
        <v>63.20323704</v>
      </c>
      <c r="F18" s="20" t="n">
        <v>2.24609006</v>
      </c>
      <c r="G18" s="18" t="n">
        <v>32.96111996</v>
      </c>
      <c r="H18" s="20" t="n">
        <v>2.26140754</v>
      </c>
      <c r="I18" s="18" t="s">
        <v>567</v>
      </c>
      <c r="J18" s="20" t="s">
        <v>567</v>
      </c>
      <c r="K18" s="18" t="n">
        <v>0.8633337800000001</v>
      </c>
      <c r="L18" s="20" t="n">
        <v>0.37314336</v>
      </c>
      <c r="M18" s="18" t="n">
        <v>0</v>
      </c>
      <c r="N18" s="20" t="n">
        <v>0</v>
      </c>
      <c r="O18" s="18" t="n">
        <v>0</v>
      </c>
      <c r="P18" s="20" t="n">
        <v>0</v>
      </c>
      <c r="Q18" s="18" t="n">
        <v>2.97230922</v>
      </c>
      <c r="R18" s="20" t="n">
        <v>0.78110263</v>
      </c>
    </row>
    <row r="19" spans="1:18">
      <c r="A19" s="15" t="s">
        <v>579</v>
      </c>
      <c r="B19" s="17" t="n">
        <v>2808</v>
      </c>
      <c r="C19" s="18">
        <f>(2232.0/B19*100)</f>
        <v/>
      </c>
      <c r="D19" s="19" t="n">
        <v>576</v>
      </c>
      <c r="E19" s="18" t="n">
        <v>53.72885673</v>
      </c>
      <c r="F19" s="20" t="n">
        <v>2.052464</v>
      </c>
      <c r="G19" s="18" t="n">
        <v>45.95650954</v>
      </c>
      <c r="H19" s="20" t="n">
        <v>2.05390168</v>
      </c>
      <c r="I19" s="18" t="s">
        <v>567</v>
      </c>
      <c r="J19" s="20" t="s">
        <v>567</v>
      </c>
      <c r="K19" s="18" t="n">
        <v>0.31463373</v>
      </c>
      <c r="L19" s="20" t="n">
        <v>0.22288557</v>
      </c>
      <c r="M19" s="18" t="n">
        <v>0</v>
      </c>
      <c r="N19" s="20" t="n">
        <v>0</v>
      </c>
      <c r="O19" s="18" t="n">
        <v>0</v>
      </c>
      <c r="P19" s="20" t="n">
        <v>0</v>
      </c>
      <c r="Q19" s="18" t="n">
        <v>0</v>
      </c>
      <c r="R19" s="20" t="n">
        <v>0</v>
      </c>
    </row>
    <row r="20" spans="1:18">
      <c r="A20" s="15" t="s">
        <v>580</v>
      </c>
      <c r="B20" s="17" t="n">
        <v>1630</v>
      </c>
      <c r="C20" s="18">
        <f>(1270.0/B20*100)</f>
        <v/>
      </c>
      <c r="D20" s="19" t="n">
        <v>360</v>
      </c>
      <c r="E20" s="18" t="n">
        <v>40.3372649</v>
      </c>
      <c r="F20" s="20" t="n">
        <v>2.51623496</v>
      </c>
      <c r="G20" s="18" t="n">
        <v>56.72085414</v>
      </c>
      <c r="H20" s="20" t="n">
        <v>2.52040423</v>
      </c>
      <c r="I20" s="18" t="s">
        <v>567</v>
      </c>
      <c r="J20" s="20" t="s">
        <v>567</v>
      </c>
      <c r="K20" s="18" t="n">
        <v>1.89581514</v>
      </c>
      <c r="L20" s="20" t="n">
        <v>0.5960055</v>
      </c>
      <c r="M20" s="18" t="n">
        <v>0</v>
      </c>
      <c r="N20" s="20" t="n">
        <v>0</v>
      </c>
      <c r="O20" s="18" t="n">
        <v>0</v>
      </c>
      <c r="P20" s="20" t="n">
        <v>0</v>
      </c>
      <c r="Q20" s="18" t="n">
        <v>1.04606582</v>
      </c>
      <c r="R20" s="20" t="n">
        <v>0.51589501</v>
      </c>
    </row>
    <row r="21" spans="1:18">
      <c r="A21" s="15" t="s">
        <v>581</v>
      </c>
      <c r="B21" s="17" t="n">
        <v>2908</v>
      </c>
      <c r="C21" s="18">
        <f>(2256.0/B21*100)</f>
        <v/>
      </c>
      <c r="D21" s="19" t="n">
        <v>652</v>
      </c>
      <c r="E21" s="18" t="n">
        <v>43.27046964</v>
      </c>
      <c r="F21" s="20" t="n">
        <v>2.49170003</v>
      </c>
      <c r="G21" s="18" t="n">
        <v>54.52243669</v>
      </c>
      <c r="H21" s="20" t="n">
        <v>2.41186009</v>
      </c>
      <c r="I21" s="18" t="s">
        <v>567</v>
      </c>
      <c r="J21" s="20" t="s">
        <v>567</v>
      </c>
      <c r="K21" s="18" t="n">
        <v>0.8474263</v>
      </c>
      <c r="L21" s="20" t="n">
        <v>0.3822135</v>
      </c>
      <c r="M21" s="18" t="n">
        <v>0</v>
      </c>
      <c r="N21" s="20" t="n">
        <v>0</v>
      </c>
      <c r="O21" s="18" t="n">
        <v>0</v>
      </c>
      <c r="P21" s="20" t="n">
        <v>0</v>
      </c>
      <c r="Q21" s="18" t="n">
        <v>1.35966737</v>
      </c>
      <c r="R21" s="20" t="n">
        <v>0.41332903</v>
      </c>
    </row>
    <row r="22" spans="1:18">
      <c r="A22" s="15" t="s">
        <v>582</v>
      </c>
      <c r="B22" s="17" t="n">
        <v>2931</v>
      </c>
      <c r="C22" s="18">
        <f>(2313.0/B22*100)</f>
        <v/>
      </c>
      <c r="D22" s="19" t="n">
        <v>618</v>
      </c>
      <c r="E22" s="18" t="n">
        <v>39.14487651</v>
      </c>
      <c r="F22" s="20" t="n">
        <v>2.29803304</v>
      </c>
      <c r="G22" s="18" t="n">
        <v>56.21028511</v>
      </c>
      <c r="H22" s="20" t="n">
        <v>2.43918527</v>
      </c>
      <c r="I22" s="18" t="s">
        <v>567</v>
      </c>
      <c r="J22" s="20" t="s">
        <v>567</v>
      </c>
      <c r="K22" s="18" t="n">
        <v>1.45812603</v>
      </c>
      <c r="L22" s="20" t="n">
        <v>0.50332643</v>
      </c>
      <c r="M22" s="18" t="n">
        <v>0</v>
      </c>
      <c r="N22" s="20" t="n">
        <v>0</v>
      </c>
      <c r="O22" s="18" t="n">
        <v>0</v>
      </c>
      <c r="P22" s="20" t="n">
        <v>0</v>
      </c>
      <c r="Q22" s="18" t="n">
        <v>3.18671234</v>
      </c>
      <c r="R22" s="20" t="n">
        <v>0.73544796</v>
      </c>
    </row>
    <row r="23" spans="1:18">
      <c r="A23" s="15" t="s">
        <v>583</v>
      </c>
      <c r="B23" s="17" t="n">
        <v>5791</v>
      </c>
      <c r="C23" s="18">
        <f>(4497.0/B23*100)</f>
        <v/>
      </c>
      <c r="D23" s="19" t="n">
        <v>1294</v>
      </c>
      <c r="E23" s="18" t="n">
        <v>42.81525521</v>
      </c>
      <c r="F23" s="20" t="n">
        <v>1.70694789</v>
      </c>
      <c r="G23" s="18" t="n">
        <v>53.61299634</v>
      </c>
      <c r="H23" s="20" t="n">
        <v>1.82725264</v>
      </c>
      <c r="I23" s="18" t="s">
        <v>567</v>
      </c>
      <c r="J23" s="20" t="s">
        <v>567</v>
      </c>
      <c r="K23" s="18" t="n">
        <v>0.88592465</v>
      </c>
      <c r="L23" s="20" t="n">
        <v>0.24208786</v>
      </c>
      <c r="M23" s="18" t="n">
        <v>0</v>
      </c>
      <c r="N23" s="20" t="n">
        <v>0</v>
      </c>
      <c r="O23" s="18" t="n">
        <v>0</v>
      </c>
      <c r="P23" s="20" t="n">
        <v>0</v>
      </c>
      <c r="Q23" s="18" t="n">
        <v>2.68582379</v>
      </c>
      <c r="R23" s="20" t="n">
        <v>0.7089540600000001</v>
      </c>
    </row>
    <row r="24" spans="1:18">
      <c r="A24" s="15" t="s">
        <v>584</v>
      </c>
      <c r="B24" s="17" t="n">
        <v>3338</v>
      </c>
      <c r="C24" s="18">
        <f>(2616.0/B24*100)</f>
        <v/>
      </c>
      <c r="D24" s="19" t="n">
        <v>722</v>
      </c>
      <c r="E24" s="18" t="n">
        <v>32.39525044</v>
      </c>
      <c r="F24" s="20" t="n">
        <v>2.04022824</v>
      </c>
      <c r="G24" s="18" t="n">
        <v>66.41827886999999</v>
      </c>
      <c r="H24" s="20" t="n">
        <v>2.09128552</v>
      </c>
      <c r="I24" s="18" t="s">
        <v>567</v>
      </c>
      <c r="J24" s="20" t="s">
        <v>567</v>
      </c>
      <c r="K24" s="18" t="n">
        <v>0.40201144</v>
      </c>
      <c r="L24" s="20" t="n">
        <v>0.23617503</v>
      </c>
      <c r="M24" s="18" t="n">
        <v>0</v>
      </c>
      <c r="N24" s="20" t="n">
        <v>0</v>
      </c>
      <c r="O24" s="18" t="n">
        <v>0</v>
      </c>
      <c r="P24" s="20" t="n">
        <v>0</v>
      </c>
      <c r="Q24" s="18" t="n">
        <v>0.7844592500000001</v>
      </c>
      <c r="R24" s="20" t="n">
        <v>0.35250437</v>
      </c>
    </row>
    <row r="25" spans="1:18">
      <c r="A25" s="15" t="s">
        <v>585</v>
      </c>
      <c r="B25" s="17" t="n">
        <v>2912</v>
      </c>
      <c r="C25" s="18">
        <f>(2282.0/B25*100)</f>
        <v/>
      </c>
      <c r="D25" s="19" t="n">
        <v>630</v>
      </c>
      <c r="E25" s="18" t="n">
        <v>46.30427369</v>
      </c>
      <c r="F25" s="20" t="n">
        <v>2.46623667</v>
      </c>
      <c r="G25" s="18" t="n">
        <v>52.53778723</v>
      </c>
      <c r="H25" s="20" t="n">
        <v>2.39186692</v>
      </c>
      <c r="I25" s="18" t="s">
        <v>567</v>
      </c>
      <c r="J25" s="20" t="s">
        <v>567</v>
      </c>
      <c r="K25" s="18" t="n">
        <v>0</v>
      </c>
      <c r="L25" s="20" t="n">
        <v>0</v>
      </c>
      <c r="M25" s="18" t="n">
        <v>0</v>
      </c>
      <c r="N25" s="20" t="n">
        <v>0</v>
      </c>
      <c r="O25" s="18" t="n">
        <v>0</v>
      </c>
      <c r="P25" s="20" t="n">
        <v>0</v>
      </c>
      <c r="Q25" s="18" t="n">
        <v>1.15793908</v>
      </c>
      <c r="R25" s="20" t="n">
        <v>0.43904832</v>
      </c>
    </row>
    <row r="26" spans="1:18">
      <c r="A26" s="15" t="s">
        <v>586</v>
      </c>
      <c r="B26" s="17" t="n">
        <v>2450</v>
      </c>
      <c r="C26" s="18">
        <f>(1931.0/B26*100)</f>
        <v/>
      </c>
      <c r="D26" s="19" t="n">
        <v>519</v>
      </c>
      <c r="E26" s="18" t="n">
        <v>47.40673963</v>
      </c>
      <c r="F26" s="20" t="n">
        <v>2.54567285</v>
      </c>
      <c r="G26" s="18" t="n">
        <v>52.28443545</v>
      </c>
      <c r="H26" s="20" t="n">
        <v>2.54536115</v>
      </c>
      <c r="I26" s="18" t="s">
        <v>567</v>
      </c>
      <c r="J26" s="20" t="s">
        <v>567</v>
      </c>
      <c r="K26" s="18" t="n">
        <v>0.15783527</v>
      </c>
      <c r="L26" s="20" t="n">
        <v>0.15803801</v>
      </c>
      <c r="M26" s="18" t="n">
        <v>0</v>
      </c>
      <c r="N26" s="20" t="n">
        <v>0</v>
      </c>
      <c r="O26" s="18" t="n">
        <v>0</v>
      </c>
      <c r="P26" s="20" t="n">
        <v>0</v>
      </c>
      <c r="Q26" s="18" t="n">
        <v>0.15098965</v>
      </c>
      <c r="R26" s="20" t="n">
        <v>0.14321587</v>
      </c>
    </row>
    <row r="27" spans="1:18">
      <c r="A27" s="15" t="s">
        <v>587</v>
      </c>
      <c r="B27" s="17" t="n">
        <v>2616</v>
      </c>
      <c r="C27" s="18">
        <f>(2004.0/B27*100)</f>
        <v/>
      </c>
      <c r="D27" s="19" t="n">
        <v>612</v>
      </c>
      <c r="E27" s="18" t="n">
        <v>47.43366433</v>
      </c>
      <c r="F27" s="20" t="n">
        <v>1.94969938</v>
      </c>
      <c r="G27" s="18" t="n">
        <v>48.61391936</v>
      </c>
      <c r="H27" s="20" t="n">
        <v>2.05749362</v>
      </c>
      <c r="I27" s="18" t="s">
        <v>567</v>
      </c>
      <c r="J27" s="20" t="s">
        <v>567</v>
      </c>
      <c r="K27" s="18" t="n">
        <v>1.00050987</v>
      </c>
      <c r="L27" s="20" t="n">
        <v>0.40224774</v>
      </c>
      <c r="M27" s="18" t="n">
        <v>0</v>
      </c>
      <c r="N27" s="20" t="n">
        <v>0</v>
      </c>
      <c r="O27" s="18" t="n">
        <v>0</v>
      </c>
      <c r="P27" s="20" t="n">
        <v>0</v>
      </c>
      <c r="Q27" s="18" t="n">
        <v>2.95190644</v>
      </c>
      <c r="R27" s="20" t="n">
        <v>0.83753082</v>
      </c>
    </row>
    <row r="28" spans="1:18">
      <c r="A28" s="15" t="s">
        <v>588</v>
      </c>
      <c r="B28" s="17" t="n">
        <v>3765</v>
      </c>
      <c r="C28" s="18">
        <f>(3022.0/B28*100)</f>
        <v/>
      </c>
      <c r="D28" s="19" t="n">
        <v>743</v>
      </c>
      <c r="E28" s="18" t="n">
        <v>61.58309892</v>
      </c>
      <c r="F28" s="20" t="n">
        <v>1.91110336</v>
      </c>
      <c r="G28" s="18" t="n">
        <v>36.76132735</v>
      </c>
      <c r="H28" s="20" t="n">
        <v>1.85079426</v>
      </c>
      <c r="I28" s="18" t="s">
        <v>567</v>
      </c>
      <c r="J28" s="20" t="s">
        <v>567</v>
      </c>
      <c r="K28" s="18" t="n">
        <v>0.54234572</v>
      </c>
      <c r="L28" s="20" t="n">
        <v>0.21271945</v>
      </c>
      <c r="M28" s="18" t="n">
        <v>0</v>
      </c>
      <c r="N28" s="20" t="n">
        <v>0</v>
      </c>
      <c r="O28" s="18" t="n">
        <v>0</v>
      </c>
      <c r="P28" s="20" t="n">
        <v>0</v>
      </c>
      <c r="Q28" s="18" t="n">
        <v>1.113228</v>
      </c>
      <c r="R28" s="20" t="n">
        <v>0.42977159</v>
      </c>
    </row>
    <row r="29" spans="1:18">
      <c r="A29" s="15" t="s">
        <v>589</v>
      </c>
      <c r="B29" s="17" t="n">
        <v>2685</v>
      </c>
      <c r="C29" s="18">
        <f>(2150.0/B29*100)</f>
        <v/>
      </c>
      <c r="D29" s="19" t="n">
        <v>535</v>
      </c>
      <c r="E29" s="18" t="n">
        <v>31.90337699</v>
      </c>
      <c r="F29" s="20" t="n">
        <v>2.31686491</v>
      </c>
      <c r="G29" s="18" t="n">
        <v>66.28805131</v>
      </c>
      <c r="H29" s="20" t="n">
        <v>2.35890049</v>
      </c>
      <c r="I29" s="18" t="s">
        <v>567</v>
      </c>
      <c r="J29" s="20" t="s">
        <v>567</v>
      </c>
      <c r="K29" s="18" t="n">
        <v>0.98589365</v>
      </c>
      <c r="L29" s="20" t="n">
        <v>0.46094766</v>
      </c>
      <c r="M29" s="18" t="n">
        <v>0</v>
      </c>
      <c r="N29" s="20" t="n">
        <v>0</v>
      </c>
      <c r="O29" s="18" t="n">
        <v>0</v>
      </c>
      <c r="P29" s="20" t="n">
        <v>0</v>
      </c>
      <c r="Q29" s="18" t="n">
        <v>0.82267804</v>
      </c>
      <c r="R29" s="20" t="n">
        <v>0.40531805</v>
      </c>
    </row>
    <row r="30" spans="1:18">
      <c r="A30" s="15" t="s">
        <v>590</v>
      </c>
      <c r="B30" s="17" t="n">
        <v>2263</v>
      </c>
      <c r="C30" s="18">
        <f>(1768.0/B30*100)</f>
        <v/>
      </c>
      <c r="D30" s="19" t="n">
        <v>495</v>
      </c>
      <c r="E30" s="18" t="n">
        <v>37.8633028</v>
      </c>
      <c r="F30" s="20" t="n">
        <v>2.18568688</v>
      </c>
      <c r="G30" s="18" t="n">
        <v>58.11023955</v>
      </c>
      <c r="H30" s="20" t="n">
        <v>2.46152546</v>
      </c>
      <c r="I30" s="18" t="s">
        <v>567</v>
      </c>
      <c r="J30" s="20" t="s">
        <v>567</v>
      </c>
      <c r="K30" s="18" t="n">
        <v>2.42900676</v>
      </c>
      <c r="L30" s="20" t="n">
        <v>0.76510108</v>
      </c>
      <c r="M30" s="18" t="n">
        <v>0</v>
      </c>
      <c r="N30" s="20" t="n">
        <v>0</v>
      </c>
      <c r="O30" s="18" t="n">
        <v>0</v>
      </c>
      <c r="P30" s="20" t="n">
        <v>0</v>
      </c>
      <c r="Q30" s="18" t="n">
        <v>1.59745089</v>
      </c>
      <c r="R30" s="20" t="n">
        <v>0.52876991</v>
      </c>
    </row>
    <row r="31" spans="1:18">
      <c r="A31" s="15" t="s">
        <v>591</v>
      </c>
      <c r="B31" s="17" t="n">
        <v>2750</v>
      </c>
      <c r="C31" s="18">
        <f>(2129.0/B31*100)</f>
        <v/>
      </c>
      <c r="D31" s="19" t="n">
        <v>621</v>
      </c>
      <c r="E31" s="18" t="n">
        <v>45.11191651</v>
      </c>
      <c r="F31" s="20" t="n">
        <v>2.03607987</v>
      </c>
      <c r="G31" s="18" t="n">
        <v>50.95077378</v>
      </c>
      <c r="H31" s="20" t="n">
        <v>2.13219864</v>
      </c>
      <c r="I31" s="18" t="s">
        <v>567</v>
      </c>
      <c r="J31" s="20" t="s">
        <v>567</v>
      </c>
      <c r="K31" s="18" t="n">
        <v>1.24153485</v>
      </c>
      <c r="L31" s="20" t="n">
        <v>0.48486908</v>
      </c>
      <c r="M31" s="18" t="n">
        <v>0</v>
      </c>
      <c r="N31" s="20" t="n">
        <v>0</v>
      </c>
      <c r="O31" s="18" t="n">
        <v>0</v>
      </c>
      <c r="P31" s="20" t="n">
        <v>0</v>
      </c>
      <c r="Q31" s="18" t="n">
        <v>2.69577485</v>
      </c>
      <c r="R31" s="20" t="n">
        <v>0.63897477</v>
      </c>
    </row>
    <row r="32" spans="1:18">
      <c r="A32" s="15" t="s">
        <v>592</v>
      </c>
      <c r="B32" s="17" t="n">
        <v>2269</v>
      </c>
      <c r="C32" s="18">
        <f>(1754.0/B32*100)</f>
        <v/>
      </c>
      <c r="D32" s="19" t="n">
        <v>515</v>
      </c>
      <c r="E32" s="18" t="n">
        <v>38.86223761</v>
      </c>
      <c r="F32" s="20" t="n">
        <v>2.18157186</v>
      </c>
      <c r="G32" s="18" t="n">
        <v>60.02452859</v>
      </c>
      <c r="H32" s="20" t="n">
        <v>2.23907636</v>
      </c>
      <c r="I32" s="18" t="s">
        <v>567</v>
      </c>
      <c r="J32" s="20" t="s">
        <v>567</v>
      </c>
      <c r="K32" s="18" t="n">
        <v>0</v>
      </c>
      <c r="L32" s="20" t="n">
        <v>0</v>
      </c>
      <c r="M32" s="18" t="n">
        <v>0</v>
      </c>
      <c r="N32" s="20" t="n">
        <v>0</v>
      </c>
      <c r="O32" s="18" t="n">
        <v>0</v>
      </c>
      <c r="P32" s="20" t="n">
        <v>0</v>
      </c>
      <c r="Q32" s="18" t="n">
        <v>1.1132338</v>
      </c>
      <c r="R32" s="20" t="n">
        <v>0.44877055</v>
      </c>
    </row>
    <row r="33" spans="1:18">
      <c r="A33" s="15" t="s">
        <v>593</v>
      </c>
      <c r="B33" s="17" t="n">
        <v>3674</v>
      </c>
      <c r="C33" s="18">
        <f>(2904.0/B33*100)</f>
        <v/>
      </c>
      <c r="D33" s="19" t="n">
        <v>770</v>
      </c>
      <c r="E33" s="18" t="n">
        <v>48.37362117</v>
      </c>
      <c r="F33" s="20" t="n">
        <v>2.34758598</v>
      </c>
      <c r="G33" s="18" t="n">
        <v>50.35381833</v>
      </c>
      <c r="H33" s="20" t="n">
        <v>2.26867244</v>
      </c>
      <c r="I33" s="18" t="s">
        <v>567</v>
      </c>
      <c r="J33" s="20" t="s">
        <v>567</v>
      </c>
      <c r="K33" s="18" t="n">
        <v>0.02886314</v>
      </c>
      <c r="L33" s="20" t="n">
        <v>0.01671778</v>
      </c>
      <c r="M33" s="18" t="n">
        <v>0</v>
      </c>
      <c r="N33" s="20" t="n">
        <v>0</v>
      </c>
      <c r="O33" s="18" t="n">
        <v>0</v>
      </c>
      <c r="P33" s="20" t="n">
        <v>0</v>
      </c>
      <c r="Q33" s="18" t="n">
        <v>1.24369737</v>
      </c>
      <c r="R33" s="20" t="n">
        <v>0.46608482</v>
      </c>
    </row>
    <row r="34" spans="1:18">
      <c r="A34" s="15" t="s">
        <v>594</v>
      </c>
      <c r="B34" s="17" t="n">
        <v>3315</v>
      </c>
      <c r="C34" s="18">
        <f>(2616.0/B34*100)</f>
        <v/>
      </c>
      <c r="D34" s="19" t="n">
        <v>699</v>
      </c>
      <c r="E34" s="18" t="n">
        <v>57.35131395</v>
      </c>
      <c r="F34" s="20" t="n">
        <v>2.09061799</v>
      </c>
      <c r="G34" s="18" t="n">
        <v>41.89499757</v>
      </c>
      <c r="H34" s="20" t="n">
        <v>1.99686155</v>
      </c>
      <c r="I34" s="18" t="s">
        <v>567</v>
      </c>
      <c r="J34" s="20" t="s">
        <v>567</v>
      </c>
      <c r="K34" s="18" t="n">
        <v>0.24932292</v>
      </c>
      <c r="L34" s="20" t="n">
        <v>0.1753008</v>
      </c>
      <c r="M34" s="18" t="n">
        <v>0</v>
      </c>
      <c r="N34" s="20" t="n">
        <v>0</v>
      </c>
      <c r="O34" s="18" t="n">
        <v>0</v>
      </c>
      <c r="P34" s="20" t="n">
        <v>0</v>
      </c>
      <c r="Q34" s="18" t="n">
        <v>0.50436556</v>
      </c>
      <c r="R34" s="20" t="n">
        <v>0.25351582</v>
      </c>
    </row>
    <row r="35" spans="1:18">
      <c r="A35" s="15" t="s">
        <v>595</v>
      </c>
      <c r="B35" s="17" t="n">
        <v>3505</v>
      </c>
      <c r="C35" s="18">
        <f>(2730.0/B35*100)</f>
        <v/>
      </c>
      <c r="D35" s="19" t="n">
        <v>775</v>
      </c>
      <c r="E35" s="18" t="n">
        <v>35.47721451</v>
      </c>
      <c r="F35" s="20" t="n">
        <v>1.75276398</v>
      </c>
      <c r="G35" s="18" t="n">
        <v>63.35660455</v>
      </c>
      <c r="H35" s="20" t="n">
        <v>1.79138418</v>
      </c>
      <c r="I35" s="18" t="s">
        <v>567</v>
      </c>
      <c r="J35" s="20" t="s">
        <v>567</v>
      </c>
      <c r="K35" s="18" t="n">
        <v>0.29003744</v>
      </c>
      <c r="L35" s="20" t="n">
        <v>0.12099464</v>
      </c>
      <c r="M35" s="18" t="n">
        <v>0</v>
      </c>
      <c r="N35" s="20" t="n">
        <v>0</v>
      </c>
      <c r="O35" s="18" t="n">
        <v>0</v>
      </c>
      <c r="P35" s="20" t="n">
        <v>0</v>
      </c>
      <c r="Q35" s="18" t="n">
        <v>0.87614349</v>
      </c>
      <c r="R35" s="20" t="n">
        <v>0.28587317</v>
      </c>
    </row>
    <row r="36" spans="1:18">
      <c r="A36" s="15" t="s">
        <v>596</v>
      </c>
      <c r="B36" s="17" t="n">
        <v>3332</v>
      </c>
      <c r="C36" s="18">
        <f>(2658.0/B36*100)</f>
        <v/>
      </c>
      <c r="D36" s="19" t="n">
        <v>674</v>
      </c>
      <c r="E36" s="18" t="n">
        <v>42.4959503</v>
      </c>
      <c r="F36" s="20" t="n">
        <v>2.27360537</v>
      </c>
      <c r="G36" s="18" t="n">
        <v>55.58707379</v>
      </c>
      <c r="H36" s="20" t="n">
        <v>2.36330217</v>
      </c>
      <c r="I36" s="18" t="s">
        <v>567</v>
      </c>
      <c r="J36" s="20" t="s">
        <v>567</v>
      </c>
      <c r="K36" s="18" t="n">
        <v>1.00312284</v>
      </c>
      <c r="L36" s="20" t="n">
        <v>0.43496959</v>
      </c>
      <c r="M36" s="18" t="n">
        <v>0</v>
      </c>
      <c r="N36" s="20" t="n">
        <v>0</v>
      </c>
      <c r="O36" s="18" t="n">
        <v>0</v>
      </c>
      <c r="P36" s="20" t="n">
        <v>0</v>
      </c>
      <c r="Q36" s="18" t="n">
        <v>0.91385307</v>
      </c>
      <c r="R36" s="20" t="n">
        <v>0.42725764</v>
      </c>
    </row>
    <row r="37" spans="1:18">
      <c r="A37" s="15" t="s">
        <v>597</v>
      </c>
      <c r="B37" s="17" t="n">
        <v>2727</v>
      </c>
      <c r="C37" s="18">
        <f>(2172.0/B37*100)</f>
        <v/>
      </c>
      <c r="D37" s="19" t="n">
        <v>555</v>
      </c>
      <c r="E37" s="18" t="n">
        <v>42.54887404</v>
      </c>
      <c r="F37" s="20" t="n">
        <v>2.16107372</v>
      </c>
      <c r="G37" s="18" t="n">
        <v>53.9798538</v>
      </c>
      <c r="H37" s="20" t="n">
        <v>2.29083443</v>
      </c>
      <c r="I37" s="18" t="s">
        <v>567</v>
      </c>
      <c r="J37" s="20" t="s">
        <v>567</v>
      </c>
      <c r="K37" s="18" t="n">
        <v>1.75881517</v>
      </c>
      <c r="L37" s="20" t="n">
        <v>0.482215</v>
      </c>
      <c r="M37" s="18" t="n">
        <v>0</v>
      </c>
      <c r="N37" s="20" t="n">
        <v>0</v>
      </c>
      <c r="O37" s="18" t="n">
        <v>0</v>
      </c>
      <c r="P37" s="20" t="n">
        <v>0</v>
      </c>
      <c r="Q37" s="18" t="n">
        <v>1.71245698</v>
      </c>
      <c r="R37" s="20" t="n">
        <v>0.57786085</v>
      </c>
    </row>
    <row r="38" spans="1:18">
      <c r="A38" s="15" t="s">
        <v>598</v>
      </c>
      <c r="B38" s="17" t="n">
        <v>3053</v>
      </c>
      <c r="C38" s="18">
        <f>(2407.0/B38*100)</f>
        <v/>
      </c>
      <c r="D38" s="19" t="n">
        <v>646</v>
      </c>
      <c r="E38" s="18" t="n">
        <v>41.50637592</v>
      </c>
      <c r="F38" s="20" t="n">
        <v>2.26178712</v>
      </c>
      <c r="G38" s="18" t="n">
        <v>55.97840269</v>
      </c>
      <c r="H38" s="20" t="n">
        <v>2.26510161</v>
      </c>
      <c r="I38" s="18" t="s">
        <v>567</v>
      </c>
      <c r="J38" s="20" t="s">
        <v>567</v>
      </c>
      <c r="K38" s="18" t="n">
        <v>0.53353332</v>
      </c>
      <c r="L38" s="20" t="n">
        <v>0.28422289</v>
      </c>
      <c r="M38" s="18" t="n">
        <v>0</v>
      </c>
      <c r="N38" s="20" t="n">
        <v>0</v>
      </c>
      <c r="O38" s="18" t="n">
        <v>0</v>
      </c>
      <c r="P38" s="20" t="n">
        <v>0</v>
      </c>
      <c r="Q38" s="18" t="n">
        <v>1.98168807</v>
      </c>
      <c r="R38" s="20" t="n">
        <v>0.72602981</v>
      </c>
    </row>
    <row r="39" spans="1:18">
      <c r="A39" s="15" t="s">
        <v>599</v>
      </c>
      <c r="B39" s="17" t="n">
        <v>2957</v>
      </c>
      <c r="C39" s="18">
        <f>(2320.0/B39*100)</f>
        <v/>
      </c>
      <c r="D39" s="19" t="n">
        <v>637</v>
      </c>
      <c r="E39" s="18" t="n">
        <v>47.29716849</v>
      </c>
      <c r="F39" s="20" t="n">
        <v>2.33671063</v>
      </c>
      <c r="G39" s="18" t="n">
        <v>50.78835283</v>
      </c>
      <c r="H39" s="20" t="n">
        <v>2.37499087</v>
      </c>
      <c r="I39" s="18" t="s">
        <v>567</v>
      </c>
      <c r="J39" s="20" t="s">
        <v>567</v>
      </c>
      <c r="K39" s="18" t="n">
        <v>0.78964062</v>
      </c>
      <c r="L39" s="20" t="n">
        <v>0.30515546</v>
      </c>
      <c r="M39" s="18" t="n">
        <v>0</v>
      </c>
      <c r="N39" s="20" t="n">
        <v>0</v>
      </c>
      <c r="O39" s="18" t="n">
        <v>0</v>
      </c>
      <c r="P39" s="20" t="n">
        <v>0</v>
      </c>
      <c r="Q39" s="18" t="n">
        <v>1.12483806</v>
      </c>
      <c r="R39" s="20" t="n">
        <v>0.28999046</v>
      </c>
    </row>
    <row r="40" spans="1:18">
      <c r="A40" s="15" t="s">
        <v>600</v>
      </c>
      <c r="B40" s="17" t="n">
        <v>7235</v>
      </c>
      <c r="C40" s="18">
        <f>(5657.0/B40*100)</f>
        <v/>
      </c>
      <c r="D40" s="19" t="n">
        <v>1578</v>
      </c>
      <c r="E40" s="18" t="n">
        <v>39.96436385</v>
      </c>
      <c r="F40" s="20" t="n">
        <v>2.00762201</v>
      </c>
      <c r="G40" s="18" t="n">
        <v>57.5971969</v>
      </c>
      <c r="H40" s="20" t="n">
        <v>2.00483716</v>
      </c>
      <c r="I40" s="18" t="s">
        <v>567</v>
      </c>
      <c r="J40" s="20" t="s">
        <v>567</v>
      </c>
      <c r="K40" s="18" t="n">
        <v>0.37491888</v>
      </c>
      <c r="L40" s="20" t="n">
        <v>0.16955539</v>
      </c>
      <c r="M40" s="18" t="n">
        <v>0</v>
      </c>
      <c r="N40" s="20" t="n">
        <v>0</v>
      </c>
      <c r="O40" s="18" t="n">
        <v>0</v>
      </c>
      <c r="P40" s="20" t="n">
        <v>0</v>
      </c>
      <c r="Q40" s="18" t="n">
        <v>2.06352036</v>
      </c>
      <c r="R40" s="20" t="n">
        <v>0.5911427500000001</v>
      </c>
    </row>
    <row r="41" spans="1:18">
      <c r="A41" s="15" t="s">
        <v>601</v>
      </c>
      <c r="B41" s="17" t="n">
        <v>2858</v>
      </c>
      <c r="C41" s="18">
        <f>(2279.0/B41*100)</f>
        <v/>
      </c>
      <c r="D41" s="19" t="n">
        <v>579</v>
      </c>
      <c r="E41" s="18" t="n">
        <v>38.10720298</v>
      </c>
      <c r="F41" s="20" t="n">
        <v>2.36057905</v>
      </c>
      <c r="G41" s="18" t="n">
        <v>61.13941888</v>
      </c>
      <c r="H41" s="20" t="n">
        <v>2.40239535</v>
      </c>
      <c r="I41" s="18" t="s">
        <v>567</v>
      </c>
      <c r="J41" s="20" t="s">
        <v>567</v>
      </c>
      <c r="K41" s="18" t="n">
        <v>0.273897</v>
      </c>
      <c r="L41" s="20" t="n">
        <v>0.20464553</v>
      </c>
      <c r="M41" s="18" t="n">
        <v>0</v>
      </c>
      <c r="N41" s="20" t="n">
        <v>0</v>
      </c>
      <c r="O41" s="18" t="n">
        <v>0</v>
      </c>
      <c r="P41" s="20" t="n">
        <v>0</v>
      </c>
      <c r="Q41" s="18" t="n">
        <v>0.47948114</v>
      </c>
      <c r="R41" s="20" t="n">
        <v>0.26753855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(9263.0/B46*100)</f>
        <v/>
      </c>
      <c r="D46" s="19" t="n">
        <v>1805</v>
      </c>
      <c r="E46" s="18" t="n">
        <v>62.17929204</v>
      </c>
      <c r="F46" s="20" t="n">
        <v>1.27484083</v>
      </c>
      <c r="G46" s="18" t="n">
        <v>33.48379812</v>
      </c>
      <c r="H46" s="20" t="n">
        <v>1.18286348</v>
      </c>
      <c r="I46" s="18" t="s">
        <v>567</v>
      </c>
      <c r="J46" s="20" t="s">
        <v>567</v>
      </c>
      <c r="K46" s="18" t="n">
        <v>1.95563256</v>
      </c>
      <c r="L46" s="20" t="n">
        <v>0.47792969</v>
      </c>
      <c r="M46" s="18" t="n">
        <v>0</v>
      </c>
      <c r="N46" s="20" t="n">
        <v>0</v>
      </c>
      <c r="O46" s="18" t="n">
        <v>0</v>
      </c>
      <c r="P46" s="20" t="n">
        <v>0</v>
      </c>
      <c r="Q46" s="18" t="n">
        <v>2.38127728</v>
      </c>
      <c r="R46" s="20" t="n">
        <v>0.43769422</v>
      </c>
    </row>
    <row r="47" spans="1:18">
      <c r="A47" s="15" t="s">
        <v>607</v>
      </c>
      <c r="B47" s="17" t="n">
        <v>3105</v>
      </c>
      <c r="C47" s="18">
        <f>(2488.0/B47*100)</f>
        <v/>
      </c>
      <c r="D47" s="19" t="n">
        <v>617</v>
      </c>
      <c r="E47" s="18" t="n">
        <v>57.33405305</v>
      </c>
      <c r="F47" s="20" t="n">
        <v>2.2840041</v>
      </c>
      <c r="G47" s="18" t="n">
        <v>39.65659572</v>
      </c>
      <c r="H47" s="20" t="n">
        <v>2.24409772</v>
      </c>
      <c r="I47" s="18" t="s">
        <v>567</v>
      </c>
      <c r="J47" s="20" t="s">
        <v>567</v>
      </c>
      <c r="K47" s="18" t="n">
        <v>1.27760429</v>
      </c>
      <c r="L47" s="20" t="n">
        <v>0.46993655</v>
      </c>
      <c r="M47" s="18" t="n">
        <v>0</v>
      </c>
      <c r="N47" s="20" t="n">
        <v>0</v>
      </c>
      <c r="O47" s="18" t="n">
        <v>0</v>
      </c>
      <c r="P47" s="20" t="n">
        <v>0</v>
      </c>
      <c r="Q47" s="18" t="n">
        <v>1.73174694</v>
      </c>
      <c r="R47" s="20" t="n">
        <v>0.53787018</v>
      </c>
    </row>
    <row r="48" spans="1:18">
      <c r="A48" s="15" t="s">
        <v>608</v>
      </c>
      <c r="B48" s="17" t="n">
        <v>5159</v>
      </c>
      <c r="C48" s="18">
        <f>(4037.0/B48*100)</f>
        <v/>
      </c>
      <c r="D48" s="19" t="n">
        <v>1122</v>
      </c>
      <c r="E48" s="18" t="n">
        <v>35.7999451</v>
      </c>
      <c r="F48" s="20" t="n">
        <v>2.3134399</v>
      </c>
      <c r="G48" s="18" t="n">
        <v>62.88712533</v>
      </c>
      <c r="H48" s="20" t="n">
        <v>2.21725253</v>
      </c>
      <c r="I48" s="18" t="s">
        <v>567</v>
      </c>
      <c r="J48" s="20" t="s">
        <v>567</v>
      </c>
      <c r="K48" s="18" t="n">
        <v>0.86524592</v>
      </c>
      <c r="L48" s="20" t="n">
        <v>0.41621626</v>
      </c>
      <c r="M48" s="18" t="n">
        <v>0</v>
      </c>
      <c r="N48" s="20" t="n">
        <v>0</v>
      </c>
      <c r="O48" s="18" t="n">
        <v>0</v>
      </c>
      <c r="P48" s="20" t="n">
        <v>0</v>
      </c>
      <c r="Q48" s="18" t="n">
        <v>0.44768365</v>
      </c>
      <c r="R48" s="20" t="n">
        <v>0.23152326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(4476.0/B50*100)</f>
        <v/>
      </c>
      <c r="D50" s="19" t="n">
        <v>1161</v>
      </c>
      <c r="E50" s="18" t="n">
        <v>49.93346194</v>
      </c>
      <c r="F50" s="20" t="n">
        <v>1.9396922</v>
      </c>
      <c r="G50" s="18" t="n">
        <v>43.84679739</v>
      </c>
      <c r="H50" s="20" t="n">
        <v>2.09683829</v>
      </c>
      <c r="I50" s="18" t="s">
        <v>567</v>
      </c>
      <c r="J50" s="20" t="s">
        <v>567</v>
      </c>
      <c r="K50" s="18" t="n">
        <v>4.36337422</v>
      </c>
      <c r="L50" s="20" t="n">
        <v>0.85412804</v>
      </c>
      <c r="M50" s="18" t="n">
        <v>0</v>
      </c>
      <c r="N50" s="20" t="n">
        <v>0</v>
      </c>
      <c r="O50" s="18" t="n">
        <v>0</v>
      </c>
      <c r="P50" s="20" t="n">
        <v>0</v>
      </c>
      <c r="Q50" s="18" t="n">
        <v>1.85636644</v>
      </c>
      <c r="R50" s="20" t="n">
        <v>0.5236553</v>
      </c>
    </row>
    <row r="51" spans="1:18">
      <c r="A51" s="15" t="s">
        <v>611</v>
      </c>
      <c r="B51" s="17" t="n">
        <v>3372</v>
      </c>
      <c r="C51" s="18">
        <f>(2791.0/B51*100)</f>
        <v/>
      </c>
      <c r="D51" s="19" t="n">
        <v>581</v>
      </c>
      <c r="E51" s="18" t="n">
        <v>53.29594687</v>
      </c>
      <c r="F51" s="20" t="n">
        <v>2.33266879</v>
      </c>
      <c r="G51" s="18" t="n">
        <v>43.83150105</v>
      </c>
      <c r="H51" s="20" t="n">
        <v>2.44700217</v>
      </c>
      <c r="I51" s="18" t="s">
        <v>567</v>
      </c>
      <c r="J51" s="20" t="s">
        <v>567</v>
      </c>
      <c r="K51" s="18" t="n">
        <v>0.67105005</v>
      </c>
      <c r="L51" s="20" t="n">
        <v>0.33784442</v>
      </c>
      <c r="M51" s="18" t="n">
        <v>0</v>
      </c>
      <c r="N51" s="20" t="n">
        <v>0</v>
      </c>
      <c r="O51" s="18" t="n">
        <v>0</v>
      </c>
      <c r="P51" s="20" t="n">
        <v>0</v>
      </c>
      <c r="Q51" s="18" t="n">
        <v>2.20150203</v>
      </c>
      <c r="R51" s="20" t="n">
        <v>0.72194766</v>
      </c>
    </row>
    <row r="52" spans="1:18">
      <c r="A52" s="15" t="s">
        <v>612</v>
      </c>
      <c r="B52" s="17" t="n">
        <v>2796</v>
      </c>
      <c r="C52" s="18">
        <f>(2146.0/B52*100)</f>
        <v/>
      </c>
      <c r="D52" s="19" t="n">
        <v>650</v>
      </c>
      <c r="E52" s="18" t="n">
        <v>51.20647531</v>
      </c>
      <c r="F52" s="20" t="n">
        <v>2.07669309</v>
      </c>
      <c r="G52" s="18" t="n">
        <v>47.22329653</v>
      </c>
      <c r="H52" s="20" t="n">
        <v>2.14881941</v>
      </c>
      <c r="I52" s="18" t="s">
        <v>567</v>
      </c>
      <c r="J52" s="20" t="s">
        <v>567</v>
      </c>
      <c r="K52" s="18" t="n">
        <v>0.27615377</v>
      </c>
      <c r="L52" s="20" t="n">
        <v>0.1942606</v>
      </c>
      <c r="M52" s="18" t="n">
        <v>0</v>
      </c>
      <c r="N52" s="20" t="n">
        <v>0</v>
      </c>
      <c r="O52" s="18" t="n">
        <v>0</v>
      </c>
      <c r="P52" s="20" t="n">
        <v>0</v>
      </c>
      <c r="Q52" s="18" t="n">
        <v>1.29407439</v>
      </c>
      <c r="R52" s="20" t="n">
        <v>0.31303394</v>
      </c>
    </row>
    <row r="53" spans="1:18">
      <c r="A53" s="15" t="s">
        <v>613</v>
      </c>
      <c r="B53" s="17" t="n">
        <v>2811</v>
      </c>
      <c r="C53" s="18">
        <f>(2215.0/B53*100)</f>
        <v/>
      </c>
      <c r="D53" s="19" t="n">
        <v>596</v>
      </c>
      <c r="E53" s="18" t="n">
        <v>58.03513377</v>
      </c>
      <c r="F53" s="20" t="n">
        <v>2.36889924</v>
      </c>
      <c r="G53" s="18" t="n">
        <v>39.3832593</v>
      </c>
      <c r="H53" s="20" t="n">
        <v>2.39646214</v>
      </c>
      <c r="I53" s="18" t="s">
        <v>567</v>
      </c>
      <c r="J53" s="20" t="s">
        <v>567</v>
      </c>
      <c r="K53" s="18" t="n">
        <v>1.16266148</v>
      </c>
      <c r="L53" s="20" t="n">
        <v>0.45524231</v>
      </c>
      <c r="M53" s="18" t="n">
        <v>0</v>
      </c>
      <c r="N53" s="20" t="n">
        <v>0</v>
      </c>
      <c r="O53" s="18" t="n">
        <v>0</v>
      </c>
      <c r="P53" s="20" t="n">
        <v>0</v>
      </c>
      <c r="Q53" s="18" t="n">
        <v>1.41894545</v>
      </c>
      <c r="R53" s="20" t="n">
        <v>0.52492035</v>
      </c>
    </row>
    <row r="54" spans="1:18">
      <c r="A54" s="15" t="s">
        <v>614</v>
      </c>
      <c r="B54" s="17" t="n">
        <v>2266</v>
      </c>
      <c r="C54" s="18">
        <f>(1743.0/B54*100)</f>
        <v/>
      </c>
      <c r="D54" s="19" t="n">
        <v>523</v>
      </c>
      <c r="E54" s="18" t="n">
        <v>47.51598907</v>
      </c>
      <c r="F54" s="20" t="n">
        <v>2.29035959</v>
      </c>
      <c r="G54" s="18" t="n">
        <v>32.31808459</v>
      </c>
      <c r="H54" s="20" t="n">
        <v>2.26354637</v>
      </c>
      <c r="I54" s="18" t="s">
        <v>567</v>
      </c>
      <c r="J54" s="20" t="s">
        <v>567</v>
      </c>
      <c r="K54" s="18" t="n">
        <v>16.21949915</v>
      </c>
      <c r="L54" s="20" t="n">
        <v>1.94669656</v>
      </c>
      <c r="M54" s="18" t="n">
        <v>0</v>
      </c>
      <c r="N54" s="20" t="n">
        <v>0</v>
      </c>
      <c r="O54" s="18" t="n">
        <v>0</v>
      </c>
      <c r="P54" s="20" t="n">
        <v>0</v>
      </c>
      <c r="Q54" s="18" t="n">
        <v>3.9464272</v>
      </c>
      <c r="R54" s="20" t="n">
        <v>1.03669186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(2068.0/B56*100)</f>
        <v/>
      </c>
      <c r="D56" s="19" t="n">
        <v>616</v>
      </c>
      <c r="E56" s="18" t="n">
        <v>37.94717509</v>
      </c>
      <c r="F56" s="20" t="n">
        <v>2.25679516</v>
      </c>
      <c r="G56" s="18" t="n">
        <v>61.33205893</v>
      </c>
      <c r="H56" s="20" t="n">
        <v>2.25255886</v>
      </c>
      <c r="I56" s="18" t="s">
        <v>567</v>
      </c>
      <c r="J56" s="20" t="s">
        <v>567</v>
      </c>
      <c r="K56" s="18" t="n">
        <v>0.39579309</v>
      </c>
      <c r="L56" s="20" t="n">
        <v>0.39651603</v>
      </c>
      <c r="M56" s="18" t="n">
        <v>0</v>
      </c>
      <c r="N56" s="20" t="n">
        <v>0</v>
      </c>
      <c r="O56" s="18" t="n">
        <v>0</v>
      </c>
      <c r="P56" s="20" t="n">
        <v>0</v>
      </c>
      <c r="Q56" s="18" t="n">
        <v>0.32497289</v>
      </c>
      <c r="R56" s="20" t="n">
        <v>0.23414854</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(2598.0/B61*100)</f>
        <v/>
      </c>
      <c r="D61" s="19" t="n">
        <v>726</v>
      </c>
      <c r="E61" s="18" t="n">
        <v>40.9290797</v>
      </c>
      <c r="F61" s="20" t="n">
        <v>1.83376872</v>
      </c>
      <c r="G61" s="18" t="n">
        <v>58.4079637</v>
      </c>
      <c r="H61" s="20" t="n">
        <v>1.82531893</v>
      </c>
      <c r="I61" s="18" t="s">
        <v>567</v>
      </c>
      <c r="J61" s="20" t="s">
        <v>567</v>
      </c>
      <c r="K61" s="18" t="n">
        <v>0</v>
      </c>
      <c r="L61" s="20" t="n">
        <v>0</v>
      </c>
      <c r="M61" s="18" t="n">
        <v>0</v>
      </c>
      <c r="N61" s="20" t="n">
        <v>0</v>
      </c>
      <c r="O61" s="18" t="n">
        <v>0</v>
      </c>
      <c r="P61" s="20" t="n">
        <v>0</v>
      </c>
      <c r="Q61" s="18" t="n">
        <v>0.66295659</v>
      </c>
      <c r="R61" s="20" t="n">
        <v>0.34445606</v>
      </c>
    </row>
    <row r="62" spans="1:18">
      <c r="A62" s="15" t="s">
        <v>622</v>
      </c>
      <c r="B62" s="17" t="n">
        <v>2246</v>
      </c>
      <c r="C62" s="18">
        <f>(1798.0/B62*100)</f>
        <v/>
      </c>
      <c r="D62" s="19" t="n">
        <v>448</v>
      </c>
      <c r="E62" s="18" t="n">
        <v>42.19110367</v>
      </c>
      <c r="F62" s="20" t="n">
        <v>2.13438051</v>
      </c>
      <c r="G62" s="18" t="n">
        <v>56.92211176</v>
      </c>
      <c r="H62" s="20" t="n">
        <v>2.07966285</v>
      </c>
      <c r="I62" s="18" t="s">
        <v>567</v>
      </c>
      <c r="J62" s="20" t="s">
        <v>567</v>
      </c>
      <c r="K62" s="18" t="n">
        <v>0</v>
      </c>
      <c r="L62" s="20" t="n">
        <v>0</v>
      </c>
      <c r="M62" s="18" t="n">
        <v>0</v>
      </c>
      <c r="N62" s="20" t="n">
        <v>0</v>
      </c>
      <c r="O62" s="18" t="n">
        <v>0</v>
      </c>
      <c r="P62" s="20" t="n">
        <v>0</v>
      </c>
      <c r="Q62" s="18" t="n">
        <v>0.88678457</v>
      </c>
      <c r="R62" s="20" t="n">
        <v>0.44197189</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(2257.0/B66*100)</f>
        <v/>
      </c>
      <c r="D66" s="19" t="n">
        <v>637</v>
      </c>
      <c r="E66" s="18" t="n">
        <v>53.45380059</v>
      </c>
      <c r="F66" s="20" t="n">
        <v>2.25759154</v>
      </c>
      <c r="G66" s="18" t="n">
        <v>41.28935156</v>
      </c>
      <c r="H66" s="20" t="n">
        <v>2.09322809</v>
      </c>
      <c r="I66" s="18" t="s">
        <v>567</v>
      </c>
      <c r="J66" s="20" t="s">
        <v>567</v>
      </c>
      <c r="K66" s="18" t="n">
        <v>1.96719015</v>
      </c>
      <c r="L66" s="20" t="n">
        <v>0.54369024</v>
      </c>
      <c r="M66" s="18" t="n">
        <v>0</v>
      </c>
      <c r="N66" s="20" t="n">
        <v>0</v>
      </c>
      <c r="O66" s="18" t="n">
        <v>0</v>
      </c>
      <c r="P66" s="20" t="n">
        <v>0</v>
      </c>
      <c r="Q66" s="18" t="n">
        <v>3.28965769</v>
      </c>
      <c r="R66" s="20" t="n">
        <v>0.697269</v>
      </c>
    </row>
    <row r="67" spans="1:18">
      <c r="A67" s="15" t="s">
        <v>627</v>
      </c>
      <c r="B67" s="17" t="n">
        <v>3511</v>
      </c>
      <c r="C67" s="18">
        <f>(2856.0/B67*100)</f>
        <v/>
      </c>
      <c r="D67" s="19" t="n">
        <v>655</v>
      </c>
      <c r="E67" s="18" t="n">
        <v>58.79707254</v>
      </c>
      <c r="F67" s="20" t="n">
        <v>2.02938108</v>
      </c>
      <c r="G67" s="18" t="n">
        <v>39.45835822</v>
      </c>
      <c r="H67" s="20" t="n">
        <v>1.89121699</v>
      </c>
      <c r="I67" s="18" t="s">
        <v>567</v>
      </c>
      <c r="J67" s="20" t="s">
        <v>567</v>
      </c>
      <c r="K67" s="18" t="n">
        <v>0.88588278</v>
      </c>
      <c r="L67" s="20" t="n">
        <v>0.49210071</v>
      </c>
      <c r="M67" s="18" t="n">
        <v>0</v>
      </c>
      <c r="N67" s="20" t="n">
        <v>0</v>
      </c>
      <c r="O67" s="18" t="n">
        <v>0</v>
      </c>
      <c r="P67" s="20" t="n">
        <v>0</v>
      </c>
      <c r="Q67" s="18" t="n">
        <v>0.85868646</v>
      </c>
      <c r="R67" s="20" t="n">
        <v>0.37919844</v>
      </c>
    </row>
    <row r="68" spans="1:18">
      <c r="A68" s="15" t="s">
        <v>628</v>
      </c>
      <c r="B68" s="17" t="n">
        <v>6049</v>
      </c>
      <c r="C68" s="18">
        <f>(4720.0/B68*100)</f>
        <v/>
      </c>
      <c r="D68" s="19" t="n">
        <v>1329</v>
      </c>
      <c r="E68" s="18" t="n">
        <v>52.41097488</v>
      </c>
      <c r="F68" s="20" t="n">
        <v>1.33220453</v>
      </c>
      <c r="G68" s="18" t="n">
        <v>40.10876861</v>
      </c>
      <c r="H68" s="20" t="n">
        <v>1.2121868</v>
      </c>
      <c r="I68" s="18" t="s">
        <v>567</v>
      </c>
      <c r="J68" s="20" t="s">
        <v>567</v>
      </c>
      <c r="K68" s="18" t="n">
        <v>3.76106505</v>
      </c>
      <c r="L68" s="20" t="n">
        <v>0.53238193</v>
      </c>
      <c r="M68" s="18" t="n">
        <v>0</v>
      </c>
      <c r="N68" s="20" t="n">
        <v>0</v>
      </c>
      <c r="O68" s="18" t="n">
        <v>0</v>
      </c>
      <c r="P68" s="20" t="n">
        <v>0</v>
      </c>
      <c r="Q68" s="18" t="n">
        <v>3.71919146</v>
      </c>
      <c r="R68" s="20" t="n">
        <v>0.59492475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(2345.0/B70*100)</f>
        <v/>
      </c>
      <c r="D70" s="19" t="n">
        <v>584</v>
      </c>
      <c r="E70" s="18" t="n">
        <v>47.9033243</v>
      </c>
      <c r="F70" s="20" t="n">
        <v>2.31985634</v>
      </c>
      <c r="G70" s="18" t="n">
        <v>50.13373357</v>
      </c>
      <c r="H70" s="20" t="n">
        <v>2.27833305</v>
      </c>
      <c r="I70" s="18" t="s">
        <v>567</v>
      </c>
      <c r="J70" s="20" t="s">
        <v>567</v>
      </c>
      <c r="K70" s="18" t="n">
        <v>0.26626107</v>
      </c>
      <c r="L70" s="20" t="n">
        <v>0.175755</v>
      </c>
      <c r="M70" s="18" t="n">
        <v>0</v>
      </c>
      <c r="N70" s="20" t="n">
        <v>0</v>
      </c>
      <c r="O70" s="18" t="n">
        <v>0</v>
      </c>
      <c r="P70" s="20" t="n">
        <v>0</v>
      </c>
      <c r="Q70" s="18" t="n">
        <v>1.69668106</v>
      </c>
      <c r="R70" s="20" t="n">
        <v>0.55332601</v>
      </c>
    </row>
    <row r="71" spans="1:18">
      <c r="A71" s="15" t="s">
        <v>631</v>
      </c>
      <c r="B71" s="17" t="n">
        <v>3142</v>
      </c>
      <c r="C71" s="18">
        <f>(2466.0/B71*100)</f>
        <v/>
      </c>
      <c r="D71" s="19" t="n">
        <v>676</v>
      </c>
      <c r="E71" s="18" t="n">
        <v>28.88895867</v>
      </c>
      <c r="F71" s="20" t="n">
        <v>1.62018874</v>
      </c>
      <c r="G71" s="18" t="n">
        <v>70.51508848</v>
      </c>
      <c r="H71" s="20" t="n">
        <v>1.61909318</v>
      </c>
      <c r="I71" s="18" t="s">
        <v>567</v>
      </c>
      <c r="J71" s="20" t="s">
        <v>567</v>
      </c>
      <c r="K71" s="18" t="n">
        <v>0.20547453</v>
      </c>
      <c r="L71" s="20" t="n">
        <v>0.14866983</v>
      </c>
      <c r="M71" s="18" t="n">
        <v>0</v>
      </c>
      <c r="N71" s="20" t="n">
        <v>0</v>
      </c>
      <c r="O71" s="18" t="n">
        <v>0</v>
      </c>
      <c r="P71" s="20" t="n">
        <v>0</v>
      </c>
      <c r="Q71" s="18" t="n">
        <v>0.39047831</v>
      </c>
      <c r="R71" s="20" t="n">
        <v>0.23252847</v>
      </c>
    </row>
    <row r="72" spans="1:18">
      <c r="A72" s="15" t="s">
        <v>632</v>
      </c>
      <c r="B72" s="17" t="n">
        <v>3889</v>
      </c>
      <c r="C72" s="18">
        <f>(3014.0/B72*100)</f>
        <v/>
      </c>
      <c r="D72" s="19" t="n">
        <v>875</v>
      </c>
      <c r="E72" s="18" t="n">
        <v>39.93188556</v>
      </c>
      <c r="F72" s="20" t="n">
        <v>2.19503364</v>
      </c>
      <c r="G72" s="18" t="n">
        <v>59.41388091</v>
      </c>
      <c r="H72" s="20" t="n">
        <v>2.1783342</v>
      </c>
      <c r="I72" s="18" t="s">
        <v>567</v>
      </c>
      <c r="J72" s="20" t="s">
        <v>567</v>
      </c>
      <c r="K72" s="18" t="n">
        <v>0.32000301</v>
      </c>
      <c r="L72" s="20" t="n">
        <v>0.15190452</v>
      </c>
      <c r="M72" s="18" t="n">
        <v>0</v>
      </c>
      <c r="N72" s="20" t="n">
        <v>0</v>
      </c>
      <c r="O72" s="18" t="n">
        <v>0</v>
      </c>
      <c r="P72" s="20" t="n">
        <v>0</v>
      </c>
      <c r="Q72" s="18" t="n">
        <v>0.33423053</v>
      </c>
      <c r="R72" s="20" t="n">
        <v>0.19184038</v>
      </c>
    </row>
    <row r="73" spans="1:18">
      <c r="A73" s="15" t="s">
        <v>633</v>
      </c>
      <c r="B73" s="17" t="n">
        <v>3597</v>
      </c>
      <c r="C73" s="18">
        <f>(2818.0/B73*100)</f>
        <v/>
      </c>
      <c r="D73" s="19" t="n">
        <v>779</v>
      </c>
      <c r="E73" s="18" t="n">
        <v>64.64280367000001</v>
      </c>
      <c r="F73" s="20" t="n">
        <v>2.17497416</v>
      </c>
      <c r="G73" s="18" t="n">
        <v>34.55930677</v>
      </c>
      <c r="H73" s="20" t="n">
        <v>2.17152141</v>
      </c>
      <c r="I73" s="18" t="s">
        <v>567</v>
      </c>
      <c r="J73" s="20" t="s">
        <v>567</v>
      </c>
      <c r="K73" s="18" t="n">
        <v>0</v>
      </c>
      <c r="L73" s="20" t="n">
        <v>0</v>
      </c>
      <c r="M73" s="18" t="n">
        <v>0</v>
      </c>
      <c r="N73" s="20" t="n">
        <v>0</v>
      </c>
      <c r="O73" s="18" t="n">
        <v>0</v>
      </c>
      <c r="P73" s="20" t="n">
        <v>0</v>
      </c>
      <c r="Q73" s="18" t="n">
        <v>0.79788956</v>
      </c>
      <c r="R73" s="20" t="n">
        <v>0.35964566</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(1929.0/B75*100)</f>
        <v/>
      </c>
      <c r="D75" s="19" t="n">
        <v>477</v>
      </c>
      <c r="E75" s="18" t="n">
        <v>61.20284215</v>
      </c>
      <c r="F75" s="20" t="n">
        <v>2.64755803</v>
      </c>
      <c r="G75" s="18" t="n">
        <v>33.3337035</v>
      </c>
      <c r="H75" s="20" t="n">
        <v>2.26091482</v>
      </c>
      <c r="I75" s="18" t="s">
        <v>567</v>
      </c>
      <c r="J75" s="20" t="s">
        <v>567</v>
      </c>
      <c r="K75" s="18" t="n">
        <v>2.98635246</v>
      </c>
      <c r="L75" s="20" t="n">
        <v>0.83324259</v>
      </c>
      <c r="M75" s="18" t="n">
        <v>0</v>
      </c>
      <c r="N75" s="20" t="n">
        <v>0</v>
      </c>
      <c r="O75" s="18" t="n">
        <v>0</v>
      </c>
      <c r="P75" s="20" t="n">
        <v>0</v>
      </c>
      <c r="Q75" s="18" t="n">
        <v>2.47710188</v>
      </c>
      <c r="R75" s="20" t="n">
        <v>0.69138081</v>
      </c>
    </row>
    <row r="76" spans="1:18">
      <c r="A76" s="15" t="s">
        <v>636</v>
      </c>
      <c r="B76" s="17" t="n">
        <v>7052</v>
      </c>
      <c r="C76" s="18">
        <f>(5537.0/B76*100)</f>
        <v/>
      </c>
      <c r="D76" s="19" t="n">
        <v>1515</v>
      </c>
      <c r="E76" s="18" t="n">
        <v>56.42110089</v>
      </c>
      <c r="F76" s="20" t="n">
        <v>1.67836113</v>
      </c>
      <c r="G76" s="18" t="n">
        <v>41.29819794</v>
      </c>
      <c r="H76" s="20" t="n">
        <v>1.61873149</v>
      </c>
      <c r="I76" s="18" t="s">
        <v>567</v>
      </c>
      <c r="J76" s="20" t="s">
        <v>567</v>
      </c>
      <c r="K76" s="18" t="n">
        <v>0.72435295</v>
      </c>
      <c r="L76" s="20" t="n">
        <v>0.22703629</v>
      </c>
      <c r="M76" s="18" t="n">
        <v>0</v>
      </c>
      <c r="N76" s="20" t="n">
        <v>0</v>
      </c>
      <c r="O76" s="18" t="n">
        <v>0</v>
      </c>
      <c r="P76" s="20" t="n">
        <v>0</v>
      </c>
      <c r="Q76" s="18" t="n">
        <v>1.55634823</v>
      </c>
      <c r="R76" s="20" t="n">
        <v>0.31226093</v>
      </c>
    </row>
    <row r="77" spans="1:18">
      <c r="A77" s="15" t="s">
        <v>637</v>
      </c>
      <c r="B77" s="17" t="n">
        <v>2908</v>
      </c>
      <c r="C77" s="18">
        <f>(2284.0/B77*100)</f>
        <v/>
      </c>
      <c r="D77" s="19" t="n">
        <v>624</v>
      </c>
      <c r="E77" s="18" t="n">
        <v>51.00105988</v>
      </c>
      <c r="F77" s="20" t="n">
        <v>2.17759565</v>
      </c>
      <c r="G77" s="18" t="n">
        <v>43.316487</v>
      </c>
      <c r="H77" s="20" t="n">
        <v>2.12248774</v>
      </c>
      <c r="I77" s="18" t="s">
        <v>567</v>
      </c>
      <c r="J77" s="20" t="s">
        <v>567</v>
      </c>
      <c r="K77" s="18" t="n">
        <v>3.11233981</v>
      </c>
      <c r="L77" s="20" t="n">
        <v>0.54996798</v>
      </c>
      <c r="M77" s="18" t="n">
        <v>0</v>
      </c>
      <c r="N77" s="20" t="n">
        <v>0</v>
      </c>
      <c r="O77" s="18" t="n">
        <v>0</v>
      </c>
      <c r="P77" s="20" t="n">
        <v>0</v>
      </c>
      <c r="Q77" s="18" t="n">
        <v>2.57011331</v>
      </c>
      <c r="R77" s="20" t="n">
        <v>0.89222439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(3223.0/B81*100)</f>
        <v/>
      </c>
      <c r="D81" s="19" t="n">
        <v>940</v>
      </c>
      <c r="E81" s="18" t="n">
        <v>53.98795026</v>
      </c>
      <c r="F81" s="20" t="n">
        <v>2.02469819</v>
      </c>
      <c r="G81" s="18" t="n">
        <v>45.00600979</v>
      </c>
      <c r="H81" s="20" t="n">
        <v>1.91698289</v>
      </c>
      <c r="I81" s="18" t="s">
        <v>567</v>
      </c>
      <c r="J81" s="20" t="s">
        <v>567</v>
      </c>
      <c r="K81" s="18" t="n">
        <v>0.49157427</v>
      </c>
      <c r="L81" s="20" t="n">
        <v>0.27883715</v>
      </c>
      <c r="M81" s="18" t="n">
        <v>0</v>
      </c>
      <c r="N81" s="20" t="n">
        <v>0</v>
      </c>
      <c r="O81" s="18" t="n">
        <v>0</v>
      </c>
      <c r="P81" s="20" t="n">
        <v>0</v>
      </c>
      <c r="Q81" s="18" t="n">
        <v>0.51446567</v>
      </c>
      <c r="R81" s="20" t="n">
        <v>0.29755137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(5816.0/B7*100)</f>
        <v/>
      </c>
      <c r="D7" s="19" t="n">
        <v>1551</v>
      </c>
      <c r="E7" s="18" t="n">
        <v>17.05444494</v>
      </c>
      <c r="F7" s="20" t="n">
        <v>1.1424241</v>
      </c>
      <c r="G7" s="18" t="n">
        <v>81.43469351</v>
      </c>
      <c r="H7" s="20" t="n">
        <v>1.09021309</v>
      </c>
      <c r="I7" s="18" t="s">
        <v>567</v>
      </c>
      <c r="J7" s="20" t="s">
        <v>567</v>
      </c>
      <c r="K7" s="18" t="n">
        <v>1.04856501</v>
      </c>
      <c r="L7" s="20" t="n">
        <v>0.31363462</v>
      </c>
      <c r="M7" s="18" t="n">
        <v>0</v>
      </c>
      <c r="N7" s="20" t="n">
        <v>0</v>
      </c>
      <c r="O7" s="18" t="n">
        <v>0</v>
      </c>
      <c r="P7" s="20" t="n">
        <v>0</v>
      </c>
      <c r="Q7" s="18" t="n">
        <v>0.46229654</v>
      </c>
      <c r="R7" s="20" t="n">
        <v>0.15982539</v>
      </c>
    </row>
    <row r="8" spans="1:18">
      <c r="A8" s="15" t="s">
        <v>568</v>
      </c>
      <c r="B8" s="17" t="n">
        <v>3564</v>
      </c>
      <c r="C8" s="18">
        <f>(2778.0/B8*100)</f>
        <v/>
      </c>
      <c r="D8" s="19" t="n">
        <v>786</v>
      </c>
      <c r="E8" s="18" t="n">
        <v>17.41516479</v>
      </c>
      <c r="F8" s="20" t="n">
        <v>1.53764008</v>
      </c>
      <c r="G8" s="18" t="n">
        <v>80.63603945</v>
      </c>
      <c r="H8" s="20" t="n">
        <v>1.63905693</v>
      </c>
      <c r="I8" s="18" t="s">
        <v>567</v>
      </c>
      <c r="J8" s="20" t="s">
        <v>567</v>
      </c>
      <c r="K8" s="18" t="n">
        <v>1.07584761</v>
      </c>
      <c r="L8" s="20" t="n">
        <v>0.42168271</v>
      </c>
      <c r="M8" s="18" t="n">
        <v>0</v>
      </c>
      <c r="N8" s="20" t="n">
        <v>0</v>
      </c>
      <c r="O8" s="18" t="n">
        <v>0</v>
      </c>
      <c r="P8" s="20" t="n">
        <v>0</v>
      </c>
      <c r="Q8" s="18" t="n">
        <v>0.87294815</v>
      </c>
      <c r="R8" s="20" t="n">
        <v>0.41011422</v>
      </c>
    </row>
    <row r="9" spans="1:18">
      <c r="A9" s="15" t="s">
        <v>569</v>
      </c>
      <c r="B9" s="17" t="n">
        <v>4899</v>
      </c>
      <c r="C9" s="18">
        <f>(3854.0/B9*100)</f>
        <v/>
      </c>
      <c r="D9" s="19" t="n">
        <v>1045</v>
      </c>
      <c r="E9" s="18" t="n">
        <v>15.98357298</v>
      </c>
      <c r="F9" s="20" t="n">
        <v>1.19578631</v>
      </c>
      <c r="G9" s="18" t="n">
        <v>82.24303891</v>
      </c>
      <c r="H9" s="20" t="n">
        <v>1.22810254</v>
      </c>
      <c r="I9" s="18" t="s">
        <v>567</v>
      </c>
      <c r="J9" s="20" t="s">
        <v>567</v>
      </c>
      <c r="K9" s="18" t="n">
        <v>1.27585678</v>
      </c>
      <c r="L9" s="20" t="n">
        <v>0.43734076</v>
      </c>
      <c r="M9" s="18" t="n">
        <v>0</v>
      </c>
      <c r="N9" s="20" t="n">
        <v>0</v>
      </c>
      <c r="O9" s="18" t="n">
        <v>0</v>
      </c>
      <c r="P9" s="20" t="n">
        <v>0</v>
      </c>
      <c r="Q9" s="18" t="n">
        <v>0.49753134</v>
      </c>
      <c r="R9" s="20" t="n">
        <v>0.22790769</v>
      </c>
    </row>
    <row r="10" spans="1:18">
      <c r="A10" s="15" t="s">
        <v>570</v>
      </c>
      <c r="B10" s="17" t="n">
        <v>10036</v>
      </c>
      <c r="C10" s="18">
        <f>(7902.0/B10*100)</f>
        <v/>
      </c>
      <c r="D10" s="19" t="n">
        <v>2134</v>
      </c>
      <c r="E10" s="18" t="n">
        <v>15.03533624</v>
      </c>
      <c r="F10" s="20" t="n">
        <v>0.99525724</v>
      </c>
      <c r="G10" s="18" t="n">
        <v>83.3168771</v>
      </c>
      <c r="H10" s="20" t="n">
        <v>1.04073325</v>
      </c>
      <c r="I10" s="18" t="s">
        <v>567</v>
      </c>
      <c r="J10" s="20" t="s">
        <v>567</v>
      </c>
      <c r="K10" s="18" t="n">
        <v>0.81608826</v>
      </c>
      <c r="L10" s="20" t="n">
        <v>0.29850939</v>
      </c>
      <c r="M10" s="18" t="n">
        <v>0</v>
      </c>
      <c r="N10" s="20" t="n">
        <v>0</v>
      </c>
      <c r="O10" s="18" t="n">
        <v>0</v>
      </c>
      <c r="P10" s="20" t="n">
        <v>0</v>
      </c>
      <c r="Q10" s="18" t="n">
        <v>0.8316983999999999</v>
      </c>
      <c r="R10" s="20" t="n">
        <v>0.41445685</v>
      </c>
    </row>
    <row r="11" spans="1:18">
      <c r="A11" s="15" t="s">
        <v>571</v>
      </c>
      <c r="B11" s="17" t="n">
        <v>3553</v>
      </c>
      <c r="C11" s="18">
        <f>(2877.0/B11*100)</f>
        <v/>
      </c>
      <c r="D11" s="19" t="n">
        <v>676</v>
      </c>
      <c r="E11" s="18" t="n">
        <v>19.59473173</v>
      </c>
      <c r="F11" s="20" t="n">
        <v>1.94445368</v>
      </c>
      <c r="G11" s="18" t="n">
        <v>76.75419631</v>
      </c>
      <c r="H11" s="20" t="n">
        <v>1.94481503</v>
      </c>
      <c r="I11" s="18" t="s">
        <v>567</v>
      </c>
      <c r="J11" s="20" t="s">
        <v>567</v>
      </c>
      <c r="K11" s="18" t="n">
        <v>1.76622527</v>
      </c>
      <c r="L11" s="20" t="n">
        <v>0.51351588</v>
      </c>
      <c r="M11" s="18" t="n">
        <v>0</v>
      </c>
      <c r="N11" s="20" t="n">
        <v>0</v>
      </c>
      <c r="O11" s="18" t="n">
        <v>0</v>
      </c>
      <c r="P11" s="20" t="n">
        <v>0</v>
      </c>
      <c r="Q11" s="18" t="n">
        <v>1.88484668</v>
      </c>
      <c r="R11" s="20" t="n">
        <v>0.44723863</v>
      </c>
    </row>
    <row r="12" spans="1:18">
      <c r="A12" s="15" t="s">
        <v>572</v>
      </c>
      <c r="B12" s="17" t="n">
        <v>3472</v>
      </c>
      <c r="C12" s="18">
        <f>(2743.0/B12*100)</f>
        <v/>
      </c>
      <c r="D12" s="19" t="n">
        <v>729</v>
      </c>
      <c r="E12" s="18" t="n">
        <v>19.88520755</v>
      </c>
      <c r="F12" s="20" t="n">
        <v>1.77809726</v>
      </c>
      <c r="G12" s="18" t="n">
        <v>79.07004284999999</v>
      </c>
      <c r="H12" s="20" t="n">
        <v>1.75331567</v>
      </c>
      <c r="I12" s="18" t="s">
        <v>567</v>
      </c>
      <c r="J12" s="20" t="s">
        <v>567</v>
      </c>
      <c r="K12" s="18" t="n">
        <v>0.62226807</v>
      </c>
      <c r="L12" s="20" t="n">
        <v>0.22920361</v>
      </c>
      <c r="M12" s="18" t="n">
        <v>0</v>
      </c>
      <c r="N12" s="20" t="n">
        <v>0</v>
      </c>
      <c r="O12" s="18" t="n">
        <v>0</v>
      </c>
      <c r="P12" s="20" t="n">
        <v>0</v>
      </c>
      <c r="Q12" s="18" t="n">
        <v>0.42248153</v>
      </c>
      <c r="R12" s="20" t="n">
        <v>0.22573603</v>
      </c>
    </row>
    <row r="13" spans="1:18">
      <c r="A13" s="15" t="s">
        <v>573</v>
      </c>
      <c r="B13" s="17" t="n">
        <v>3559</v>
      </c>
      <c r="C13" s="18">
        <f>(2861.0/B13*100)</f>
        <v/>
      </c>
      <c r="D13" s="19" t="n">
        <v>698</v>
      </c>
      <c r="E13" s="18" t="n">
        <v>12.4745607</v>
      </c>
      <c r="F13" s="20" t="n">
        <v>1.49810687</v>
      </c>
      <c r="G13" s="18" t="n">
        <v>86.42313483</v>
      </c>
      <c r="H13" s="20" t="n">
        <v>1.5725435</v>
      </c>
      <c r="I13" s="18" t="s">
        <v>567</v>
      </c>
      <c r="J13" s="20" t="s">
        <v>567</v>
      </c>
      <c r="K13" s="18" t="n">
        <v>1.06795058</v>
      </c>
      <c r="L13" s="20" t="n">
        <v>0.43207342</v>
      </c>
      <c r="M13" s="18" t="n">
        <v>0</v>
      </c>
      <c r="N13" s="20" t="n">
        <v>0</v>
      </c>
      <c r="O13" s="18" t="n">
        <v>0</v>
      </c>
      <c r="P13" s="20" t="n">
        <v>0</v>
      </c>
      <c r="Q13" s="18" t="n">
        <v>0.0343539</v>
      </c>
      <c r="R13" s="20" t="n">
        <v>0.03450481</v>
      </c>
    </row>
    <row r="14" spans="1:18">
      <c r="A14" s="15" t="s">
        <v>574</v>
      </c>
      <c r="B14" s="17" t="n">
        <v>2799</v>
      </c>
      <c r="C14" s="18">
        <f>(2220.0/B14*100)</f>
        <v/>
      </c>
      <c r="D14" s="19" t="n">
        <v>579</v>
      </c>
      <c r="E14" s="18" t="n">
        <v>12.68688847</v>
      </c>
      <c r="F14" s="20" t="n">
        <v>1.26170327</v>
      </c>
      <c r="G14" s="18" t="n">
        <v>86.59493956</v>
      </c>
      <c r="H14" s="20" t="n">
        <v>1.30722647</v>
      </c>
      <c r="I14" s="18" t="s">
        <v>567</v>
      </c>
      <c r="J14" s="20" t="s">
        <v>567</v>
      </c>
      <c r="K14" s="18" t="n">
        <v>0.71817197</v>
      </c>
      <c r="L14" s="20" t="n">
        <v>0.33772212</v>
      </c>
      <c r="M14" s="18" t="n">
        <v>0</v>
      </c>
      <c r="N14" s="20" t="n">
        <v>0</v>
      </c>
      <c r="O14" s="18" t="n">
        <v>0</v>
      </c>
      <c r="P14" s="20" t="n">
        <v>0</v>
      </c>
      <c r="Q14" s="18" t="n">
        <v>0</v>
      </c>
      <c r="R14" s="20" t="n">
        <v>0</v>
      </c>
    </row>
    <row r="15" spans="1:18">
      <c r="A15" s="15" t="s">
        <v>575</v>
      </c>
      <c r="B15" s="17" t="n">
        <v>3019</v>
      </c>
      <c r="C15" s="18">
        <f>(2353.0/B15*100)</f>
        <v/>
      </c>
      <c r="D15" s="19" t="n">
        <v>666</v>
      </c>
      <c r="E15" s="18" t="n">
        <v>18.34874168</v>
      </c>
      <c r="F15" s="20" t="n">
        <v>1.39720629</v>
      </c>
      <c r="G15" s="18" t="n">
        <v>80.99299311999999</v>
      </c>
      <c r="H15" s="20" t="n">
        <v>1.43007648</v>
      </c>
      <c r="I15" s="18" t="s">
        <v>567</v>
      </c>
      <c r="J15" s="20" t="s">
        <v>567</v>
      </c>
      <c r="K15" s="18" t="n">
        <v>0.33329185</v>
      </c>
      <c r="L15" s="20" t="n">
        <v>0.24731647</v>
      </c>
      <c r="M15" s="18" t="n">
        <v>0</v>
      </c>
      <c r="N15" s="20" t="n">
        <v>0</v>
      </c>
      <c r="O15" s="18" t="n">
        <v>0</v>
      </c>
      <c r="P15" s="20" t="n">
        <v>0</v>
      </c>
      <c r="Q15" s="18" t="n">
        <v>0.32497336</v>
      </c>
      <c r="R15" s="20" t="n">
        <v>0.23107409</v>
      </c>
    </row>
    <row r="16" spans="1:18">
      <c r="A16" s="15" t="s">
        <v>576</v>
      </c>
      <c r="B16" s="17" t="n">
        <v>2997</v>
      </c>
      <c r="C16" s="18">
        <f>(2338.0/B16*100)</f>
        <v/>
      </c>
      <c r="D16" s="19" t="n">
        <v>659</v>
      </c>
      <c r="E16" s="18" t="n">
        <v>17.04978369</v>
      </c>
      <c r="F16" s="20" t="n">
        <v>1.47905069</v>
      </c>
      <c r="G16" s="18" t="n">
        <v>79.76729889000001</v>
      </c>
      <c r="H16" s="20" t="n">
        <v>1.65388929</v>
      </c>
      <c r="I16" s="18" t="s">
        <v>567</v>
      </c>
      <c r="J16" s="20" t="s">
        <v>567</v>
      </c>
      <c r="K16" s="18" t="n">
        <v>1.76281597</v>
      </c>
      <c r="L16" s="20" t="n">
        <v>0.49080544</v>
      </c>
      <c r="M16" s="18" t="n">
        <v>0</v>
      </c>
      <c r="N16" s="20" t="n">
        <v>0</v>
      </c>
      <c r="O16" s="18" t="n">
        <v>0</v>
      </c>
      <c r="P16" s="20" t="n">
        <v>0</v>
      </c>
      <c r="Q16" s="18" t="n">
        <v>1.42010146</v>
      </c>
      <c r="R16" s="20" t="n">
        <v>0.52572069</v>
      </c>
    </row>
    <row r="17" spans="1:18">
      <c r="A17" s="15" t="s">
        <v>577</v>
      </c>
      <c r="B17" s="17" t="n">
        <v>3307</v>
      </c>
      <c r="C17" s="18">
        <f>(2618.0/B17*100)</f>
        <v/>
      </c>
      <c r="D17" s="19" t="n">
        <v>689</v>
      </c>
      <c r="E17" s="18" t="n">
        <v>15.31906364</v>
      </c>
      <c r="F17" s="20" t="n">
        <v>1.53846585</v>
      </c>
      <c r="G17" s="18" t="n">
        <v>82.92837898000001</v>
      </c>
      <c r="H17" s="20" t="n">
        <v>1.6165736</v>
      </c>
      <c r="I17" s="18" t="s">
        <v>567</v>
      </c>
      <c r="J17" s="20" t="s">
        <v>567</v>
      </c>
      <c r="K17" s="18" t="n">
        <v>0.92448086</v>
      </c>
      <c r="L17" s="20" t="n">
        <v>0.37133996</v>
      </c>
      <c r="M17" s="18" t="n">
        <v>0</v>
      </c>
      <c r="N17" s="20" t="n">
        <v>0</v>
      </c>
      <c r="O17" s="18" t="n">
        <v>0</v>
      </c>
      <c r="P17" s="20" t="n">
        <v>0</v>
      </c>
      <c r="Q17" s="18" t="n">
        <v>0.82807651</v>
      </c>
      <c r="R17" s="20" t="n">
        <v>0.33808106</v>
      </c>
    </row>
    <row r="18" spans="1:18">
      <c r="A18" s="15" t="s">
        <v>578</v>
      </c>
      <c r="B18" s="17" t="n">
        <v>2826</v>
      </c>
      <c r="C18" s="18">
        <f>(2208.0/B18*100)</f>
        <v/>
      </c>
      <c r="D18" s="19" t="n">
        <v>618</v>
      </c>
      <c r="E18" s="18" t="n">
        <v>30.8305626</v>
      </c>
      <c r="F18" s="20" t="n">
        <v>2.04418008</v>
      </c>
      <c r="G18" s="18" t="n">
        <v>66.67927329</v>
      </c>
      <c r="H18" s="20" t="n">
        <v>2.11029779</v>
      </c>
      <c r="I18" s="18" t="s">
        <v>567</v>
      </c>
      <c r="J18" s="20" t="s">
        <v>567</v>
      </c>
      <c r="K18" s="18" t="n">
        <v>1.49732912</v>
      </c>
      <c r="L18" s="20" t="n">
        <v>0.54927106</v>
      </c>
      <c r="M18" s="18" t="n">
        <v>0</v>
      </c>
      <c r="N18" s="20" t="n">
        <v>0</v>
      </c>
      <c r="O18" s="18" t="n">
        <v>0</v>
      </c>
      <c r="P18" s="20" t="n">
        <v>0</v>
      </c>
      <c r="Q18" s="18" t="n">
        <v>0.99283499</v>
      </c>
      <c r="R18" s="20" t="n">
        <v>0.52144601</v>
      </c>
    </row>
    <row r="19" spans="1:18">
      <c r="A19" s="15" t="s">
        <v>579</v>
      </c>
      <c r="B19" s="17" t="n">
        <v>2808</v>
      </c>
      <c r="C19" s="18">
        <f>(2233.0/B19*100)</f>
        <v/>
      </c>
      <c r="D19" s="19" t="n">
        <v>575</v>
      </c>
      <c r="E19" s="18" t="n">
        <v>19.63596902</v>
      </c>
      <c r="F19" s="20" t="n">
        <v>2.06926558</v>
      </c>
      <c r="G19" s="18" t="n">
        <v>78.36703894</v>
      </c>
      <c r="H19" s="20" t="n">
        <v>2.0293085</v>
      </c>
      <c r="I19" s="18" t="s">
        <v>567</v>
      </c>
      <c r="J19" s="20" t="s">
        <v>567</v>
      </c>
      <c r="K19" s="18" t="n">
        <v>0.84460785</v>
      </c>
      <c r="L19" s="20" t="n">
        <v>0.392587</v>
      </c>
      <c r="M19" s="18" t="n">
        <v>0</v>
      </c>
      <c r="N19" s="20" t="n">
        <v>0</v>
      </c>
      <c r="O19" s="18" t="n">
        <v>0</v>
      </c>
      <c r="P19" s="20" t="n">
        <v>0</v>
      </c>
      <c r="Q19" s="18" t="n">
        <v>1.15238418</v>
      </c>
      <c r="R19" s="20" t="n">
        <v>0.53690994</v>
      </c>
    </row>
    <row r="20" spans="1:18">
      <c r="A20" s="15" t="s">
        <v>580</v>
      </c>
      <c r="B20" s="17" t="n">
        <v>1630</v>
      </c>
      <c r="C20" s="18">
        <f>(1271.0/B20*100)</f>
        <v/>
      </c>
      <c r="D20" s="19" t="n">
        <v>359</v>
      </c>
      <c r="E20" s="18" t="n">
        <v>20.23417261</v>
      </c>
      <c r="F20" s="20" t="n">
        <v>2.1579726</v>
      </c>
      <c r="G20" s="18" t="n">
        <v>77.12183244000001</v>
      </c>
      <c r="H20" s="20" t="n">
        <v>2.23524676</v>
      </c>
      <c r="I20" s="18" t="s">
        <v>567</v>
      </c>
      <c r="J20" s="20" t="s">
        <v>567</v>
      </c>
      <c r="K20" s="18" t="n">
        <v>2.13673052</v>
      </c>
      <c r="L20" s="20" t="n">
        <v>0.64038878</v>
      </c>
      <c r="M20" s="18" t="n">
        <v>0</v>
      </c>
      <c r="N20" s="20" t="n">
        <v>0</v>
      </c>
      <c r="O20" s="18" t="n">
        <v>0</v>
      </c>
      <c r="P20" s="20" t="n">
        <v>0</v>
      </c>
      <c r="Q20" s="18" t="n">
        <v>0.50726443</v>
      </c>
      <c r="R20" s="20" t="n">
        <v>0.36085954</v>
      </c>
    </row>
    <row r="21" spans="1:18">
      <c r="A21" s="15" t="s">
        <v>581</v>
      </c>
      <c r="B21" s="17" t="n">
        <v>2908</v>
      </c>
      <c r="C21" s="18">
        <f>(2259.0/B21*100)</f>
        <v/>
      </c>
      <c r="D21" s="19" t="n">
        <v>649</v>
      </c>
      <c r="E21" s="18" t="n">
        <v>17.42024234</v>
      </c>
      <c r="F21" s="20" t="n">
        <v>1.5273923</v>
      </c>
      <c r="G21" s="18" t="n">
        <v>81.42276244</v>
      </c>
      <c r="H21" s="20" t="n">
        <v>1.63452268</v>
      </c>
      <c r="I21" s="18" t="s">
        <v>567</v>
      </c>
      <c r="J21" s="20" t="s">
        <v>567</v>
      </c>
      <c r="K21" s="18" t="n">
        <v>1.15699522</v>
      </c>
      <c r="L21" s="20" t="n">
        <v>0.44291088</v>
      </c>
      <c r="M21" s="18" t="n">
        <v>0</v>
      </c>
      <c r="N21" s="20" t="n">
        <v>0</v>
      </c>
      <c r="O21" s="18" t="n">
        <v>0</v>
      </c>
      <c r="P21" s="20" t="n">
        <v>0</v>
      </c>
      <c r="Q21" s="18" t="n">
        <v>0</v>
      </c>
      <c r="R21" s="20" t="n">
        <v>0</v>
      </c>
    </row>
    <row r="22" spans="1:18">
      <c r="A22" s="15" t="s">
        <v>582</v>
      </c>
      <c r="B22" s="17" t="n">
        <v>2931</v>
      </c>
      <c r="C22" s="18">
        <f>(2317.0/B22*100)</f>
        <v/>
      </c>
      <c r="D22" s="19" t="n">
        <v>614</v>
      </c>
      <c r="E22" s="18" t="n">
        <v>34.23581862</v>
      </c>
      <c r="F22" s="20" t="n">
        <v>2.0766949</v>
      </c>
      <c r="G22" s="18" t="n">
        <v>62.59932471</v>
      </c>
      <c r="H22" s="20" t="n">
        <v>2.16546092</v>
      </c>
      <c r="I22" s="18" t="s">
        <v>567</v>
      </c>
      <c r="J22" s="20" t="s">
        <v>567</v>
      </c>
      <c r="K22" s="18" t="n">
        <v>1.80109707</v>
      </c>
      <c r="L22" s="20" t="n">
        <v>0.66103768</v>
      </c>
      <c r="M22" s="18" t="n">
        <v>0</v>
      </c>
      <c r="N22" s="20" t="n">
        <v>0</v>
      </c>
      <c r="O22" s="18" t="n">
        <v>0</v>
      </c>
      <c r="P22" s="20" t="n">
        <v>0</v>
      </c>
      <c r="Q22" s="18" t="n">
        <v>1.36375959</v>
      </c>
      <c r="R22" s="20" t="n">
        <v>0.38946586</v>
      </c>
    </row>
    <row r="23" spans="1:18">
      <c r="A23" s="15" t="s">
        <v>583</v>
      </c>
      <c r="B23" s="17" t="n">
        <v>5791</v>
      </c>
      <c r="C23" s="18">
        <f>(4505.0/B23*100)</f>
        <v/>
      </c>
      <c r="D23" s="19" t="n">
        <v>1286</v>
      </c>
      <c r="E23" s="18" t="n">
        <v>14.57095799</v>
      </c>
      <c r="F23" s="20" t="n">
        <v>1.27004364</v>
      </c>
      <c r="G23" s="18" t="n">
        <v>82.23216933</v>
      </c>
      <c r="H23" s="20" t="n">
        <v>1.49268323</v>
      </c>
      <c r="I23" s="18" t="s">
        <v>567</v>
      </c>
      <c r="J23" s="20" t="s">
        <v>567</v>
      </c>
      <c r="K23" s="18" t="n">
        <v>1.77793423</v>
      </c>
      <c r="L23" s="20" t="n">
        <v>0.52168003</v>
      </c>
      <c r="M23" s="18" t="n">
        <v>0</v>
      </c>
      <c r="N23" s="20" t="n">
        <v>0</v>
      </c>
      <c r="O23" s="18" t="n">
        <v>0</v>
      </c>
      <c r="P23" s="20" t="n">
        <v>0</v>
      </c>
      <c r="Q23" s="18" t="n">
        <v>1.41893845</v>
      </c>
      <c r="R23" s="20" t="n">
        <v>0.50739596</v>
      </c>
    </row>
    <row r="24" spans="1:18">
      <c r="A24" s="15" t="s">
        <v>584</v>
      </c>
      <c r="B24" s="17" t="n">
        <v>3338</v>
      </c>
      <c r="C24" s="18">
        <f>(2625.0/B24*100)</f>
        <v/>
      </c>
      <c r="D24" s="19" t="n">
        <v>713</v>
      </c>
      <c r="E24" s="18" t="n">
        <v>6.38426577</v>
      </c>
      <c r="F24" s="20" t="n">
        <v>0.98084373</v>
      </c>
      <c r="G24" s="18" t="n">
        <v>93.0738532</v>
      </c>
      <c r="H24" s="20" t="n">
        <v>1.00982297</v>
      </c>
      <c r="I24" s="18" t="s">
        <v>567</v>
      </c>
      <c r="J24" s="20" t="s">
        <v>567</v>
      </c>
      <c r="K24" s="18" t="n">
        <v>0.54188103</v>
      </c>
      <c r="L24" s="20" t="n">
        <v>0.3336525</v>
      </c>
      <c r="M24" s="18" t="n">
        <v>0</v>
      </c>
      <c r="N24" s="20" t="n">
        <v>0</v>
      </c>
      <c r="O24" s="18" t="n">
        <v>0</v>
      </c>
      <c r="P24" s="20" t="n">
        <v>0</v>
      </c>
      <c r="Q24" s="18" t="n">
        <v>0</v>
      </c>
      <c r="R24" s="20" t="n">
        <v>0</v>
      </c>
    </row>
    <row r="25" spans="1:18">
      <c r="A25" s="15" t="s">
        <v>585</v>
      </c>
      <c r="B25" s="17" t="n">
        <v>2912</v>
      </c>
      <c r="C25" s="18">
        <f>(2284.0/B25*100)</f>
        <v/>
      </c>
      <c r="D25" s="19" t="n">
        <v>628</v>
      </c>
      <c r="E25" s="18" t="n">
        <v>13.83178663</v>
      </c>
      <c r="F25" s="20" t="n">
        <v>1.68203704</v>
      </c>
      <c r="G25" s="18" t="n">
        <v>85.86037515</v>
      </c>
      <c r="H25" s="20" t="n">
        <v>1.7171793</v>
      </c>
      <c r="I25" s="18" t="s">
        <v>567</v>
      </c>
      <c r="J25" s="20" t="s">
        <v>567</v>
      </c>
      <c r="K25" s="18" t="n">
        <v>0</v>
      </c>
      <c r="L25" s="20" t="n">
        <v>0</v>
      </c>
      <c r="M25" s="18" t="n">
        <v>0</v>
      </c>
      <c r="N25" s="20" t="n">
        <v>0</v>
      </c>
      <c r="O25" s="18" t="n">
        <v>0</v>
      </c>
      <c r="P25" s="20" t="n">
        <v>0</v>
      </c>
      <c r="Q25" s="18" t="n">
        <v>0.30783823</v>
      </c>
      <c r="R25" s="20" t="n">
        <v>0.30884031</v>
      </c>
    </row>
    <row r="26" spans="1:18">
      <c r="A26" s="15" t="s">
        <v>586</v>
      </c>
      <c r="B26" s="17" t="n">
        <v>2450</v>
      </c>
      <c r="C26" s="18">
        <f>(1934.0/B26*100)</f>
        <v/>
      </c>
      <c r="D26" s="19" t="n">
        <v>516</v>
      </c>
      <c r="E26" s="18" t="n">
        <v>18.17591326</v>
      </c>
      <c r="F26" s="20" t="n">
        <v>1.98271349</v>
      </c>
      <c r="G26" s="18" t="n">
        <v>81.09759397000001</v>
      </c>
      <c r="H26" s="20" t="n">
        <v>1.96765237</v>
      </c>
      <c r="I26" s="18" t="s">
        <v>567</v>
      </c>
      <c r="J26" s="20" t="s">
        <v>567</v>
      </c>
      <c r="K26" s="18" t="n">
        <v>0.59345012</v>
      </c>
      <c r="L26" s="20" t="n">
        <v>0.33703387</v>
      </c>
      <c r="M26" s="18" t="n">
        <v>0</v>
      </c>
      <c r="N26" s="20" t="n">
        <v>0</v>
      </c>
      <c r="O26" s="18" t="n">
        <v>0</v>
      </c>
      <c r="P26" s="20" t="n">
        <v>0</v>
      </c>
      <c r="Q26" s="18" t="n">
        <v>0.13304266</v>
      </c>
      <c r="R26" s="20" t="n">
        <v>0.12458842</v>
      </c>
    </row>
    <row r="27" spans="1:18">
      <c r="A27" s="15" t="s">
        <v>587</v>
      </c>
      <c r="B27" s="17" t="n">
        <v>2616</v>
      </c>
      <c r="C27" s="18">
        <f>(2010.0/B27*100)</f>
        <v/>
      </c>
      <c r="D27" s="19" t="n">
        <v>606</v>
      </c>
      <c r="E27" s="18" t="n">
        <v>25.49235474</v>
      </c>
      <c r="F27" s="20" t="n">
        <v>1.95523041</v>
      </c>
      <c r="G27" s="18" t="n">
        <v>71.50721285</v>
      </c>
      <c r="H27" s="20" t="n">
        <v>1.97166024</v>
      </c>
      <c r="I27" s="18" t="s">
        <v>567</v>
      </c>
      <c r="J27" s="20" t="s">
        <v>567</v>
      </c>
      <c r="K27" s="18" t="n">
        <v>1.49114265</v>
      </c>
      <c r="L27" s="20" t="n">
        <v>0.49603534</v>
      </c>
      <c r="M27" s="18" t="n">
        <v>0</v>
      </c>
      <c r="N27" s="20" t="n">
        <v>0</v>
      </c>
      <c r="O27" s="18" t="n">
        <v>0</v>
      </c>
      <c r="P27" s="20" t="n">
        <v>0</v>
      </c>
      <c r="Q27" s="18" t="n">
        <v>1.50928976</v>
      </c>
      <c r="R27" s="20" t="n">
        <v>0.49869206</v>
      </c>
    </row>
    <row r="28" spans="1:18">
      <c r="A28" s="15" t="s">
        <v>588</v>
      </c>
      <c r="B28" s="17" t="n">
        <v>3765</v>
      </c>
      <c r="C28" s="18">
        <f>(3032.0/B28*100)</f>
        <v/>
      </c>
      <c r="D28" s="19" t="n">
        <v>733</v>
      </c>
      <c r="E28" s="18" t="n">
        <v>32.98852814</v>
      </c>
      <c r="F28" s="20" t="n">
        <v>2.03318821</v>
      </c>
      <c r="G28" s="18" t="n">
        <v>64.51074857</v>
      </c>
      <c r="H28" s="20" t="n">
        <v>2.01242891</v>
      </c>
      <c r="I28" s="18" t="s">
        <v>567</v>
      </c>
      <c r="J28" s="20" t="s">
        <v>567</v>
      </c>
      <c r="K28" s="18" t="n">
        <v>0.9812761800000001</v>
      </c>
      <c r="L28" s="20" t="n">
        <v>0.33523521</v>
      </c>
      <c r="M28" s="18" t="n">
        <v>0</v>
      </c>
      <c r="N28" s="20" t="n">
        <v>0</v>
      </c>
      <c r="O28" s="18" t="n">
        <v>0</v>
      </c>
      <c r="P28" s="20" t="n">
        <v>0</v>
      </c>
      <c r="Q28" s="18" t="n">
        <v>1.51944711</v>
      </c>
      <c r="R28" s="20" t="n">
        <v>0.68159695</v>
      </c>
    </row>
    <row r="29" spans="1:18">
      <c r="A29" s="15" t="s">
        <v>589</v>
      </c>
      <c r="B29" s="17" t="n">
        <v>2685</v>
      </c>
      <c r="C29" s="18">
        <f>(2150.0/B29*100)</f>
        <v/>
      </c>
      <c r="D29" s="19" t="n">
        <v>535</v>
      </c>
      <c r="E29" s="18" t="n">
        <v>16.99500785</v>
      </c>
      <c r="F29" s="20" t="n">
        <v>1.77455816</v>
      </c>
      <c r="G29" s="18" t="n">
        <v>81.82879658</v>
      </c>
      <c r="H29" s="20" t="n">
        <v>1.92102054</v>
      </c>
      <c r="I29" s="18" t="s">
        <v>567</v>
      </c>
      <c r="J29" s="20" t="s">
        <v>567</v>
      </c>
      <c r="K29" s="18" t="n">
        <v>0.98589365</v>
      </c>
      <c r="L29" s="20" t="n">
        <v>0.46094766</v>
      </c>
      <c r="M29" s="18" t="n">
        <v>0</v>
      </c>
      <c r="N29" s="20" t="n">
        <v>0</v>
      </c>
      <c r="O29" s="18" t="n">
        <v>0</v>
      </c>
      <c r="P29" s="20" t="n">
        <v>0</v>
      </c>
      <c r="Q29" s="18" t="n">
        <v>0.19030191</v>
      </c>
      <c r="R29" s="20" t="n">
        <v>0.20883114</v>
      </c>
    </row>
    <row r="30" spans="1:18">
      <c r="A30" s="15" t="s">
        <v>590</v>
      </c>
      <c r="B30" s="17" t="n">
        <v>2263</v>
      </c>
      <c r="C30" s="18">
        <f>(1772.0/B30*100)</f>
        <v/>
      </c>
      <c r="D30" s="19" t="n">
        <v>491</v>
      </c>
      <c r="E30" s="18" t="n">
        <v>18.45042119</v>
      </c>
      <c r="F30" s="20" t="n">
        <v>2.06502365</v>
      </c>
      <c r="G30" s="18" t="n">
        <v>78.18888275</v>
      </c>
      <c r="H30" s="20" t="n">
        <v>2.06064812</v>
      </c>
      <c r="I30" s="18" t="s">
        <v>567</v>
      </c>
      <c r="J30" s="20" t="s">
        <v>567</v>
      </c>
      <c r="K30" s="18" t="n">
        <v>2.63574617</v>
      </c>
      <c r="L30" s="20" t="n">
        <v>0.82325643</v>
      </c>
      <c r="M30" s="18" t="n">
        <v>0</v>
      </c>
      <c r="N30" s="20" t="n">
        <v>0</v>
      </c>
      <c r="O30" s="18" t="n">
        <v>0</v>
      </c>
      <c r="P30" s="20" t="n">
        <v>0</v>
      </c>
      <c r="Q30" s="18" t="n">
        <v>0.72494989</v>
      </c>
      <c r="R30" s="20" t="n">
        <v>0.35859723</v>
      </c>
    </row>
    <row r="31" spans="1:18">
      <c r="A31" s="15" t="s">
        <v>591</v>
      </c>
      <c r="B31" s="17" t="n">
        <v>2750</v>
      </c>
      <c r="C31" s="18">
        <f>(2132.0/B31*100)</f>
        <v/>
      </c>
      <c r="D31" s="19" t="n">
        <v>618</v>
      </c>
      <c r="E31" s="18" t="n">
        <v>22.68886566</v>
      </c>
      <c r="F31" s="20" t="n">
        <v>2.0114159</v>
      </c>
      <c r="G31" s="18" t="n">
        <v>74.85884668</v>
      </c>
      <c r="H31" s="20" t="n">
        <v>2.25872632</v>
      </c>
      <c r="I31" s="18" t="s">
        <v>567</v>
      </c>
      <c r="J31" s="20" t="s">
        <v>567</v>
      </c>
      <c r="K31" s="18" t="n">
        <v>2.09971063</v>
      </c>
      <c r="L31" s="20" t="n">
        <v>0.66488053</v>
      </c>
      <c r="M31" s="18" t="n">
        <v>0</v>
      </c>
      <c r="N31" s="20" t="n">
        <v>0</v>
      </c>
      <c r="O31" s="18" t="n">
        <v>0</v>
      </c>
      <c r="P31" s="20" t="n">
        <v>0</v>
      </c>
      <c r="Q31" s="18" t="n">
        <v>0.35257703</v>
      </c>
      <c r="R31" s="20" t="n">
        <v>0.23288816</v>
      </c>
    </row>
    <row r="32" spans="1:18">
      <c r="A32" s="15" t="s">
        <v>592</v>
      </c>
      <c r="B32" s="17" t="n">
        <v>2269</v>
      </c>
      <c r="C32" s="18">
        <f>(1756.0/B32*100)</f>
        <v/>
      </c>
      <c r="D32" s="19" t="n">
        <v>513</v>
      </c>
      <c r="E32" s="18" t="n">
        <v>14.97557004</v>
      </c>
      <c r="F32" s="20" t="n">
        <v>1.77523814</v>
      </c>
      <c r="G32" s="18" t="n">
        <v>84.84587251000001</v>
      </c>
      <c r="H32" s="20" t="n">
        <v>1.77259694</v>
      </c>
      <c r="I32" s="18" t="s">
        <v>567</v>
      </c>
      <c r="J32" s="20" t="s">
        <v>567</v>
      </c>
      <c r="K32" s="18" t="n">
        <v>0.17855745</v>
      </c>
      <c r="L32" s="20" t="n">
        <v>0.1795535</v>
      </c>
      <c r="M32" s="18" t="n">
        <v>0</v>
      </c>
      <c r="N32" s="20" t="n">
        <v>0</v>
      </c>
      <c r="O32" s="18" t="n">
        <v>0</v>
      </c>
      <c r="P32" s="20" t="n">
        <v>0</v>
      </c>
      <c r="Q32" s="18" t="n">
        <v>0</v>
      </c>
      <c r="R32" s="20" t="n">
        <v>0</v>
      </c>
    </row>
    <row r="33" spans="1:18">
      <c r="A33" s="15" t="s">
        <v>593</v>
      </c>
      <c r="B33" s="17" t="n">
        <v>3674</v>
      </c>
      <c r="C33" s="18">
        <f>(2911.0/B33*100)</f>
        <v/>
      </c>
      <c r="D33" s="19" t="n">
        <v>763</v>
      </c>
      <c r="E33" s="18" t="n">
        <v>18.03489637</v>
      </c>
      <c r="F33" s="20" t="n">
        <v>1.59573957</v>
      </c>
      <c r="G33" s="18" t="n">
        <v>81.68213443</v>
      </c>
      <c r="H33" s="20" t="n">
        <v>1.59732839</v>
      </c>
      <c r="I33" s="18" t="s">
        <v>567</v>
      </c>
      <c r="J33" s="20" t="s">
        <v>567</v>
      </c>
      <c r="K33" s="18" t="n">
        <v>0.26080495</v>
      </c>
      <c r="L33" s="20" t="n">
        <v>0.18460573</v>
      </c>
      <c r="M33" s="18" t="n">
        <v>0</v>
      </c>
      <c r="N33" s="20" t="n">
        <v>0</v>
      </c>
      <c r="O33" s="18" t="n">
        <v>0</v>
      </c>
      <c r="P33" s="20" t="n">
        <v>0</v>
      </c>
      <c r="Q33" s="18" t="n">
        <v>0.02216425</v>
      </c>
      <c r="R33" s="20" t="n">
        <v>0.02205653</v>
      </c>
    </row>
    <row r="34" spans="1:18">
      <c r="A34" s="15" t="s">
        <v>594</v>
      </c>
      <c r="B34" s="17" t="n">
        <v>3315</v>
      </c>
      <c r="C34" s="18">
        <f>(2624.0/B34*100)</f>
        <v/>
      </c>
      <c r="D34" s="19" t="n">
        <v>691</v>
      </c>
      <c r="E34" s="18" t="n">
        <v>29.6047212</v>
      </c>
      <c r="F34" s="20" t="n">
        <v>1.97842117</v>
      </c>
      <c r="G34" s="18" t="n">
        <v>69.04635715000001</v>
      </c>
      <c r="H34" s="20" t="n">
        <v>1.96589952</v>
      </c>
      <c r="I34" s="18" t="s">
        <v>567</v>
      </c>
      <c r="J34" s="20" t="s">
        <v>567</v>
      </c>
      <c r="K34" s="18" t="n">
        <v>0.2521072</v>
      </c>
      <c r="L34" s="20" t="n">
        <v>0.17723701</v>
      </c>
      <c r="M34" s="18" t="n">
        <v>0</v>
      </c>
      <c r="N34" s="20" t="n">
        <v>0</v>
      </c>
      <c r="O34" s="18" t="n">
        <v>0</v>
      </c>
      <c r="P34" s="20" t="n">
        <v>0</v>
      </c>
      <c r="Q34" s="18" t="n">
        <v>1.09681445</v>
      </c>
      <c r="R34" s="20" t="n">
        <v>0.43112727</v>
      </c>
    </row>
    <row r="35" spans="1:18">
      <c r="A35" s="15" t="s">
        <v>595</v>
      </c>
      <c r="B35" s="17" t="n">
        <v>3505</v>
      </c>
      <c r="C35" s="18">
        <f>(2732.0/B35*100)</f>
        <v/>
      </c>
      <c r="D35" s="19" t="n">
        <v>773</v>
      </c>
      <c r="E35" s="18" t="n">
        <v>17.33757649</v>
      </c>
      <c r="F35" s="20" t="n">
        <v>1.59792728</v>
      </c>
      <c r="G35" s="18" t="n">
        <v>81.73217409</v>
      </c>
      <c r="H35" s="20" t="n">
        <v>1.66193109</v>
      </c>
      <c r="I35" s="18" t="s">
        <v>567</v>
      </c>
      <c r="J35" s="20" t="s">
        <v>567</v>
      </c>
      <c r="K35" s="18" t="n">
        <v>0.70946257</v>
      </c>
      <c r="L35" s="20" t="n">
        <v>0.47898142</v>
      </c>
      <c r="M35" s="18" t="n">
        <v>0</v>
      </c>
      <c r="N35" s="20" t="n">
        <v>0</v>
      </c>
      <c r="O35" s="18" t="n">
        <v>0</v>
      </c>
      <c r="P35" s="20" t="n">
        <v>0</v>
      </c>
      <c r="Q35" s="18" t="n">
        <v>0.22078686</v>
      </c>
      <c r="R35" s="20" t="n">
        <v>0.1271049</v>
      </c>
    </row>
    <row r="36" spans="1:18">
      <c r="A36" s="15" t="s">
        <v>596</v>
      </c>
      <c r="B36" s="17" t="n">
        <v>3332</v>
      </c>
      <c r="C36" s="18">
        <f>(2669.0/B36*100)</f>
        <v/>
      </c>
      <c r="D36" s="19" t="n">
        <v>663</v>
      </c>
      <c r="E36" s="18" t="n">
        <v>19.54878972</v>
      </c>
      <c r="F36" s="20" t="n">
        <v>1.63348031</v>
      </c>
      <c r="G36" s="18" t="n">
        <v>78.75570229</v>
      </c>
      <c r="H36" s="20" t="n">
        <v>1.6753865</v>
      </c>
      <c r="I36" s="18" t="s">
        <v>567</v>
      </c>
      <c r="J36" s="20" t="s">
        <v>567</v>
      </c>
      <c r="K36" s="18" t="n">
        <v>1.41819466</v>
      </c>
      <c r="L36" s="20" t="n">
        <v>0.42519623</v>
      </c>
      <c r="M36" s="18" t="n">
        <v>0</v>
      </c>
      <c r="N36" s="20" t="n">
        <v>0</v>
      </c>
      <c r="O36" s="18" t="n">
        <v>0</v>
      </c>
      <c r="P36" s="20" t="n">
        <v>0</v>
      </c>
      <c r="Q36" s="18" t="n">
        <v>0.27731334</v>
      </c>
      <c r="R36" s="20" t="n">
        <v>0.20414755</v>
      </c>
    </row>
    <row r="37" spans="1:18">
      <c r="A37" s="15" t="s">
        <v>597</v>
      </c>
      <c r="B37" s="17" t="n">
        <v>2727</v>
      </c>
      <c r="C37" s="18">
        <f>(2177.0/B37*100)</f>
        <v/>
      </c>
      <c r="D37" s="19" t="n">
        <v>550</v>
      </c>
      <c r="E37" s="18" t="n">
        <v>26.74302126</v>
      </c>
      <c r="F37" s="20" t="n">
        <v>2.00507234</v>
      </c>
      <c r="G37" s="18" t="n">
        <v>70.07327365</v>
      </c>
      <c r="H37" s="20" t="n">
        <v>2.07441475</v>
      </c>
      <c r="I37" s="18" t="s">
        <v>567</v>
      </c>
      <c r="J37" s="20" t="s">
        <v>567</v>
      </c>
      <c r="K37" s="18" t="n">
        <v>2.64549178</v>
      </c>
      <c r="L37" s="20" t="n">
        <v>0.66141547</v>
      </c>
      <c r="M37" s="18" t="n">
        <v>0</v>
      </c>
      <c r="N37" s="20" t="n">
        <v>0</v>
      </c>
      <c r="O37" s="18" t="n">
        <v>0</v>
      </c>
      <c r="P37" s="20" t="n">
        <v>0</v>
      </c>
      <c r="Q37" s="18" t="n">
        <v>0.5382133099999999</v>
      </c>
      <c r="R37" s="20" t="n">
        <v>0.30936799</v>
      </c>
    </row>
    <row r="38" spans="1:18">
      <c r="A38" s="15" t="s">
        <v>598</v>
      </c>
      <c r="B38" s="17" t="n">
        <v>3053</v>
      </c>
      <c r="C38" s="18">
        <f>(2416.0/B38*100)</f>
        <v/>
      </c>
      <c r="D38" s="19" t="n">
        <v>637</v>
      </c>
      <c r="E38" s="18" t="n">
        <v>19.27323064</v>
      </c>
      <c r="F38" s="20" t="n">
        <v>1.89278334</v>
      </c>
      <c r="G38" s="18" t="n">
        <v>79.6707767</v>
      </c>
      <c r="H38" s="20" t="n">
        <v>1.91915489</v>
      </c>
      <c r="I38" s="18" t="s">
        <v>567</v>
      </c>
      <c r="J38" s="20" t="s">
        <v>567</v>
      </c>
      <c r="K38" s="18" t="n">
        <v>0.81519087</v>
      </c>
      <c r="L38" s="20" t="n">
        <v>0.39337971</v>
      </c>
      <c r="M38" s="18" t="n">
        <v>0</v>
      </c>
      <c r="N38" s="20" t="n">
        <v>0</v>
      </c>
      <c r="O38" s="18" t="n">
        <v>0</v>
      </c>
      <c r="P38" s="20" t="n">
        <v>0</v>
      </c>
      <c r="Q38" s="18" t="n">
        <v>0.2408018</v>
      </c>
      <c r="R38" s="20" t="n">
        <v>0.22987094</v>
      </c>
    </row>
    <row r="39" spans="1:18">
      <c r="A39" s="15" t="s">
        <v>599</v>
      </c>
      <c r="B39" s="17" t="n">
        <v>2957</v>
      </c>
      <c r="C39" s="18">
        <f>(2320.0/B39*100)</f>
        <v/>
      </c>
      <c r="D39" s="19" t="n">
        <v>637</v>
      </c>
      <c r="E39" s="18" t="n">
        <v>44.1285057</v>
      </c>
      <c r="F39" s="20" t="n">
        <v>2.54240824</v>
      </c>
      <c r="G39" s="18" t="n">
        <v>53.89048221</v>
      </c>
      <c r="H39" s="20" t="n">
        <v>2.63691664</v>
      </c>
      <c r="I39" s="18" t="s">
        <v>567</v>
      </c>
      <c r="J39" s="20" t="s">
        <v>567</v>
      </c>
      <c r="K39" s="18" t="n">
        <v>1.17318275</v>
      </c>
      <c r="L39" s="20" t="n">
        <v>0.40982348</v>
      </c>
      <c r="M39" s="18" t="n">
        <v>0</v>
      </c>
      <c r="N39" s="20" t="n">
        <v>0</v>
      </c>
      <c r="O39" s="18" t="n">
        <v>0</v>
      </c>
      <c r="P39" s="20" t="n">
        <v>0</v>
      </c>
      <c r="Q39" s="18" t="n">
        <v>0.80782934</v>
      </c>
      <c r="R39" s="20" t="n">
        <v>0.34260822</v>
      </c>
    </row>
    <row r="40" spans="1:18">
      <c r="A40" s="15" t="s">
        <v>600</v>
      </c>
      <c r="B40" s="17" t="n">
        <v>7235</v>
      </c>
      <c r="C40" s="18">
        <f>(5662.0/B40*100)</f>
        <v/>
      </c>
      <c r="D40" s="19" t="n">
        <v>1573</v>
      </c>
      <c r="E40" s="18" t="n">
        <v>18.40397965</v>
      </c>
      <c r="F40" s="20" t="n">
        <v>1.50348271</v>
      </c>
      <c r="G40" s="18" t="n">
        <v>80.80059301999999</v>
      </c>
      <c r="H40" s="20" t="n">
        <v>1.55981536</v>
      </c>
      <c r="I40" s="18" t="s">
        <v>567</v>
      </c>
      <c r="J40" s="20" t="s">
        <v>567</v>
      </c>
      <c r="K40" s="18" t="n">
        <v>0.51977615</v>
      </c>
      <c r="L40" s="20" t="n">
        <v>0.20551141</v>
      </c>
      <c r="M40" s="18" t="n">
        <v>0</v>
      </c>
      <c r="N40" s="20" t="n">
        <v>0</v>
      </c>
      <c r="O40" s="18" t="n">
        <v>0</v>
      </c>
      <c r="P40" s="20" t="n">
        <v>0</v>
      </c>
      <c r="Q40" s="18" t="n">
        <v>0.27565118</v>
      </c>
      <c r="R40" s="20" t="n">
        <v>0.23812526</v>
      </c>
    </row>
    <row r="41" spans="1:18">
      <c r="A41" s="15" t="s">
        <v>601</v>
      </c>
      <c r="B41" s="17" t="n">
        <v>2858</v>
      </c>
      <c r="C41" s="18">
        <f>(2284.0/B41*100)</f>
        <v/>
      </c>
      <c r="D41" s="19" t="n">
        <v>574</v>
      </c>
      <c r="E41" s="18" t="n">
        <v>19.60583563</v>
      </c>
      <c r="F41" s="20" t="n">
        <v>1.79397599</v>
      </c>
      <c r="G41" s="18" t="n">
        <v>79.64710205</v>
      </c>
      <c r="H41" s="20" t="n">
        <v>1.78910366</v>
      </c>
      <c r="I41" s="18" t="s">
        <v>567</v>
      </c>
      <c r="J41" s="20" t="s">
        <v>567</v>
      </c>
      <c r="K41" s="18" t="n">
        <v>0.57495032</v>
      </c>
      <c r="L41" s="20" t="n">
        <v>0.27900688</v>
      </c>
      <c r="M41" s="18" t="n">
        <v>0</v>
      </c>
      <c r="N41" s="20" t="n">
        <v>0</v>
      </c>
      <c r="O41" s="18" t="n">
        <v>0</v>
      </c>
      <c r="P41" s="20" t="n">
        <v>0</v>
      </c>
      <c r="Q41" s="18" t="n">
        <v>0.172112</v>
      </c>
      <c r="R41" s="20" t="n">
        <v>0.17301463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(9329.0/B46*100)</f>
        <v/>
      </c>
      <c r="D46" s="19" t="n">
        <v>1739</v>
      </c>
      <c r="E46" s="18" t="n">
        <v>27.64561726</v>
      </c>
      <c r="F46" s="20" t="n">
        <v>1.45168991</v>
      </c>
      <c r="G46" s="18" t="n">
        <v>63.809682</v>
      </c>
      <c r="H46" s="20" t="n">
        <v>1.61982759</v>
      </c>
      <c r="I46" s="18" t="s">
        <v>567</v>
      </c>
      <c r="J46" s="20" t="s">
        <v>567</v>
      </c>
      <c r="K46" s="18" t="n">
        <v>2.52196806</v>
      </c>
      <c r="L46" s="20" t="n">
        <v>0.5188568</v>
      </c>
      <c r="M46" s="18" t="n">
        <v>0</v>
      </c>
      <c r="N46" s="20" t="n">
        <v>0</v>
      </c>
      <c r="O46" s="18" t="n">
        <v>0</v>
      </c>
      <c r="P46" s="20" t="n">
        <v>0</v>
      </c>
      <c r="Q46" s="18" t="n">
        <v>6.02273268</v>
      </c>
      <c r="R46" s="20" t="n">
        <v>0.8113939</v>
      </c>
    </row>
    <row r="47" spans="1:18">
      <c r="A47" s="15" t="s">
        <v>607</v>
      </c>
      <c r="B47" s="17" t="n">
        <v>3105</v>
      </c>
      <c r="C47" s="18">
        <f>(2493.0/B47*100)</f>
        <v/>
      </c>
      <c r="D47" s="19" t="n">
        <v>612</v>
      </c>
      <c r="E47" s="18" t="n">
        <v>29.97766987</v>
      </c>
      <c r="F47" s="20" t="n">
        <v>2.36658169</v>
      </c>
      <c r="G47" s="18" t="n">
        <v>66.99937257000001</v>
      </c>
      <c r="H47" s="20" t="n">
        <v>2.61746386</v>
      </c>
      <c r="I47" s="18" t="s">
        <v>567</v>
      </c>
      <c r="J47" s="20" t="s">
        <v>567</v>
      </c>
      <c r="K47" s="18" t="n">
        <v>1.45052541</v>
      </c>
      <c r="L47" s="20" t="n">
        <v>0.50373558</v>
      </c>
      <c r="M47" s="18" t="n">
        <v>0</v>
      </c>
      <c r="N47" s="20" t="n">
        <v>0</v>
      </c>
      <c r="O47" s="18" t="n">
        <v>0</v>
      </c>
      <c r="P47" s="20" t="n">
        <v>0</v>
      </c>
      <c r="Q47" s="18" t="n">
        <v>1.57243215</v>
      </c>
      <c r="R47" s="20" t="n">
        <v>0.4896542</v>
      </c>
    </row>
    <row r="48" spans="1:18">
      <c r="A48" s="15" t="s">
        <v>608</v>
      </c>
      <c r="B48" s="17" t="n">
        <v>5159</v>
      </c>
      <c r="C48" s="18">
        <f>(4041.0/B48*100)</f>
        <v/>
      </c>
      <c r="D48" s="19" t="n">
        <v>1118</v>
      </c>
      <c r="E48" s="18" t="n">
        <v>38.20723548</v>
      </c>
      <c r="F48" s="20" t="n">
        <v>2.05226305</v>
      </c>
      <c r="G48" s="18" t="n">
        <v>60.61247222</v>
      </c>
      <c r="H48" s="20" t="n">
        <v>2.15479562</v>
      </c>
      <c r="I48" s="18" t="s">
        <v>567</v>
      </c>
      <c r="J48" s="20" t="s">
        <v>567</v>
      </c>
      <c r="K48" s="18" t="n">
        <v>0.87046985</v>
      </c>
      <c r="L48" s="20" t="n">
        <v>0.4184738</v>
      </c>
      <c r="M48" s="18" t="n">
        <v>0</v>
      </c>
      <c r="N48" s="20" t="n">
        <v>0</v>
      </c>
      <c r="O48" s="18" t="n">
        <v>0</v>
      </c>
      <c r="P48" s="20" t="n">
        <v>0</v>
      </c>
      <c r="Q48" s="18" t="n">
        <v>0.30982245</v>
      </c>
      <c r="R48" s="20" t="n">
        <v>0.2272434</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(4494.0/B50*100)</f>
        <v/>
      </c>
      <c r="D50" s="19" t="n">
        <v>1143</v>
      </c>
      <c r="E50" s="18" t="n">
        <v>32.30092055</v>
      </c>
      <c r="F50" s="20" t="n">
        <v>1.83385272</v>
      </c>
      <c r="G50" s="18" t="n">
        <v>60.84514255</v>
      </c>
      <c r="H50" s="20" t="n">
        <v>1.94922102</v>
      </c>
      <c r="I50" s="18" t="s">
        <v>567</v>
      </c>
      <c r="J50" s="20" t="s">
        <v>567</v>
      </c>
      <c r="K50" s="18" t="n">
        <v>4.76956277</v>
      </c>
      <c r="L50" s="20" t="n">
        <v>0.89274169</v>
      </c>
      <c r="M50" s="18" t="n">
        <v>0</v>
      </c>
      <c r="N50" s="20" t="n">
        <v>0</v>
      </c>
      <c r="O50" s="18" t="n">
        <v>0</v>
      </c>
      <c r="P50" s="20" t="n">
        <v>0</v>
      </c>
      <c r="Q50" s="18" t="n">
        <v>2.08437413</v>
      </c>
      <c r="R50" s="20" t="n">
        <v>0.78526064</v>
      </c>
    </row>
    <row r="51" spans="1:18">
      <c r="A51" s="15" t="s">
        <v>611</v>
      </c>
      <c r="B51" s="17" t="n">
        <v>3372</v>
      </c>
      <c r="C51" s="18">
        <f>(2795.0/B51*100)</f>
        <v/>
      </c>
      <c r="D51" s="19" t="n">
        <v>577</v>
      </c>
      <c r="E51" s="18" t="n">
        <v>31.59494497</v>
      </c>
      <c r="F51" s="20" t="n">
        <v>1.98034956</v>
      </c>
      <c r="G51" s="18" t="n">
        <v>65.44277791</v>
      </c>
      <c r="H51" s="20" t="n">
        <v>2.03949332</v>
      </c>
      <c r="I51" s="18" t="s">
        <v>567</v>
      </c>
      <c r="J51" s="20" t="s">
        <v>567</v>
      </c>
      <c r="K51" s="18" t="n">
        <v>1.01839706</v>
      </c>
      <c r="L51" s="20" t="n">
        <v>0.40148367</v>
      </c>
      <c r="M51" s="18" t="n">
        <v>0</v>
      </c>
      <c r="N51" s="20" t="n">
        <v>0</v>
      </c>
      <c r="O51" s="18" t="n">
        <v>0</v>
      </c>
      <c r="P51" s="20" t="n">
        <v>0</v>
      </c>
      <c r="Q51" s="18" t="n">
        <v>1.94388006</v>
      </c>
      <c r="R51" s="20" t="n">
        <v>0.65782021</v>
      </c>
    </row>
    <row r="52" spans="1:18">
      <c r="A52" s="15" t="s">
        <v>612</v>
      </c>
      <c r="B52" s="17" t="n">
        <v>2796</v>
      </c>
      <c r="C52" s="18">
        <f>(2149.0/B52*100)</f>
        <v/>
      </c>
      <c r="D52" s="19" t="n">
        <v>647</v>
      </c>
      <c r="E52" s="18" t="n">
        <v>27.43414327</v>
      </c>
      <c r="F52" s="20" t="n">
        <v>2.14562186</v>
      </c>
      <c r="G52" s="18" t="n">
        <v>70.31697765</v>
      </c>
      <c r="H52" s="20" t="n">
        <v>2.36751123</v>
      </c>
      <c r="I52" s="18" t="s">
        <v>567</v>
      </c>
      <c r="J52" s="20" t="s">
        <v>567</v>
      </c>
      <c r="K52" s="18" t="n">
        <v>1.09251723</v>
      </c>
      <c r="L52" s="20" t="n">
        <v>0.49299129</v>
      </c>
      <c r="M52" s="18" t="n">
        <v>0</v>
      </c>
      <c r="N52" s="20" t="n">
        <v>0</v>
      </c>
      <c r="O52" s="18" t="n">
        <v>0</v>
      </c>
      <c r="P52" s="20" t="n">
        <v>0</v>
      </c>
      <c r="Q52" s="18" t="n">
        <v>1.15636186</v>
      </c>
      <c r="R52" s="20" t="n">
        <v>0.38289819</v>
      </c>
    </row>
    <row r="53" spans="1:18">
      <c r="A53" s="15" t="s">
        <v>613</v>
      </c>
      <c r="B53" s="17" t="n">
        <v>2811</v>
      </c>
      <c r="C53" s="18">
        <f>(2215.0/B53*100)</f>
        <v/>
      </c>
      <c r="D53" s="19" t="n">
        <v>596</v>
      </c>
      <c r="E53" s="18" t="n">
        <v>38.07798603</v>
      </c>
      <c r="F53" s="20" t="n">
        <v>1.98862488</v>
      </c>
      <c r="G53" s="18" t="n">
        <v>59.24899992</v>
      </c>
      <c r="H53" s="20" t="n">
        <v>2.03400323</v>
      </c>
      <c r="I53" s="18" t="s">
        <v>567</v>
      </c>
      <c r="J53" s="20" t="s">
        <v>567</v>
      </c>
      <c r="K53" s="18" t="n">
        <v>1.53353999</v>
      </c>
      <c r="L53" s="20" t="n">
        <v>0.53651723</v>
      </c>
      <c r="M53" s="18" t="n">
        <v>0</v>
      </c>
      <c r="N53" s="20" t="n">
        <v>0</v>
      </c>
      <c r="O53" s="18" t="n">
        <v>0</v>
      </c>
      <c r="P53" s="20" t="n">
        <v>0</v>
      </c>
      <c r="Q53" s="18" t="n">
        <v>1.13947406</v>
      </c>
      <c r="R53" s="20" t="n">
        <v>0.4655722</v>
      </c>
    </row>
    <row r="54" spans="1:18">
      <c r="A54" s="15" t="s">
        <v>614</v>
      </c>
      <c r="B54" s="17" t="n">
        <v>2266</v>
      </c>
      <c r="C54" s="18">
        <f>(1745.0/B54*100)</f>
        <v/>
      </c>
      <c r="D54" s="19" t="n">
        <v>521</v>
      </c>
      <c r="E54" s="18" t="n">
        <v>33.20791431</v>
      </c>
      <c r="F54" s="20" t="n">
        <v>2.4798564</v>
      </c>
      <c r="G54" s="18" t="n">
        <v>39.55421088</v>
      </c>
      <c r="H54" s="20" t="n">
        <v>2.12054926</v>
      </c>
      <c r="I54" s="18" t="s">
        <v>567</v>
      </c>
      <c r="J54" s="20" t="s">
        <v>567</v>
      </c>
      <c r="K54" s="18" t="n">
        <v>19.50061379</v>
      </c>
      <c r="L54" s="20" t="n">
        <v>2.32183525</v>
      </c>
      <c r="M54" s="18" t="n">
        <v>0</v>
      </c>
      <c r="N54" s="20" t="n">
        <v>0</v>
      </c>
      <c r="O54" s="18" t="n">
        <v>0</v>
      </c>
      <c r="P54" s="20" t="n">
        <v>0</v>
      </c>
      <c r="Q54" s="18" t="n">
        <v>7.73726102</v>
      </c>
      <c r="R54" s="20" t="n">
        <v>1.22616854</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(2068.0/B56*100)</f>
        <v/>
      </c>
      <c r="D56" s="19" t="n">
        <v>616</v>
      </c>
      <c r="E56" s="18" t="n">
        <v>12.93563097</v>
      </c>
      <c r="F56" s="20" t="n">
        <v>1.48651492</v>
      </c>
      <c r="G56" s="18" t="n">
        <v>85.89125618</v>
      </c>
      <c r="H56" s="20" t="n">
        <v>1.51221938</v>
      </c>
      <c r="I56" s="18" t="s">
        <v>567</v>
      </c>
      <c r="J56" s="20" t="s">
        <v>567</v>
      </c>
      <c r="K56" s="18" t="n">
        <v>0.69781971</v>
      </c>
      <c r="L56" s="20" t="n">
        <v>0.44789303</v>
      </c>
      <c r="M56" s="18" t="n">
        <v>0</v>
      </c>
      <c r="N56" s="20" t="n">
        <v>0</v>
      </c>
      <c r="O56" s="18" t="n">
        <v>0</v>
      </c>
      <c r="P56" s="20" t="n">
        <v>0</v>
      </c>
      <c r="Q56" s="18" t="n">
        <v>0.47529315</v>
      </c>
      <c r="R56" s="20" t="n">
        <v>0.27585463</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(2604.0/B61*100)</f>
        <v/>
      </c>
      <c r="D61" s="19" t="n">
        <v>720</v>
      </c>
      <c r="E61" s="18" t="n">
        <v>30.1898825</v>
      </c>
      <c r="F61" s="20" t="n">
        <v>1.93911264</v>
      </c>
      <c r="G61" s="18" t="n">
        <v>69.06646979999999</v>
      </c>
      <c r="H61" s="20" t="n">
        <v>1.92601916</v>
      </c>
      <c r="I61" s="18" t="s">
        <v>567</v>
      </c>
      <c r="J61" s="20" t="s">
        <v>567</v>
      </c>
      <c r="K61" s="18" t="n">
        <v>0</v>
      </c>
      <c r="L61" s="20" t="n">
        <v>0</v>
      </c>
      <c r="M61" s="18" t="n">
        <v>0</v>
      </c>
      <c r="N61" s="20" t="n">
        <v>0</v>
      </c>
      <c r="O61" s="18" t="n">
        <v>0</v>
      </c>
      <c r="P61" s="20" t="n">
        <v>0</v>
      </c>
      <c r="Q61" s="18" t="n">
        <v>0.74364769</v>
      </c>
      <c r="R61" s="20" t="n">
        <v>0.35459465</v>
      </c>
    </row>
    <row r="62" spans="1:18">
      <c r="A62" s="15" t="s">
        <v>622</v>
      </c>
      <c r="B62" s="17" t="n">
        <v>2246</v>
      </c>
      <c r="C62" s="18">
        <f>(1801.0/B62*100)</f>
        <v/>
      </c>
      <c r="D62" s="19" t="n">
        <v>445</v>
      </c>
      <c r="E62" s="18" t="n">
        <v>14.15221409</v>
      </c>
      <c r="F62" s="20" t="n">
        <v>1.68167289</v>
      </c>
      <c r="G62" s="18" t="n">
        <v>85.84778591</v>
      </c>
      <c r="H62" s="20" t="n">
        <v>1.68167289</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(2261.0/B66*100)</f>
        <v/>
      </c>
      <c r="D66" s="19" t="n">
        <v>633</v>
      </c>
      <c r="E66" s="18" t="n">
        <v>23.31901755</v>
      </c>
      <c r="F66" s="20" t="n">
        <v>1.74984489</v>
      </c>
      <c r="G66" s="18" t="n">
        <v>67.90927846</v>
      </c>
      <c r="H66" s="20" t="n">
        <v>1.73028489</v>
      </c>
      <c r="I66" s="18" t="s">
        <v>567</v>
      </c>
      <c r="J66" s="20" t="s">
        <v>567</v>
      </c>
      <c r="K66" s="18" t="n">
        <v>3.61789011</v>
      </c>
      <c r="L66" s="20" t="n">
        <v>0.74961255</v>
      </c>
      <c r="M66" s="18" t="n">
        <v>0</v>
      </c>
      <c r="N66" s="20" t="n">
        <v>0</v>
      </c>
      <c r="O66" s="18" t="n">
        <v>0</v>
      </c>
      <c r="P66" s="20" t="n">
        <v>0</v>
      </c>
      <c r="Q66" s="18" t="n">
        <v>5.15381388</v>
      </c>
      <c r="R66" s="20" t="n">
        <v>0.95518745</v>
      </c>
    </row>
    <row r="67" spans="1:18">
      <c r="A67" s="15" t="s">
        <v>627</v>
      </c>
      <c r="B67" s="17" t="n">
        <v>3511</v>
      </c>
      <c r="C67" s="18">
        <f>(2875.0/B67*100)</f>
        <v/>
      </c>
      <c r="D67" s="19" t="n">
        <v>636</v>
      </c>
      <c r="E67" s="18" t="n">
        <v>40.57390078</v>
      </c>
      <c r="F67" s="20" t="n">
        <v>1.9457814</v>
      </c>
      <c r="G67" s="18" t="n">
        <v>55.23928218</v>
      </c>
      <c r="H67" s="20" t="n">
        <v>1.88500531</v>
      </c>
      <c r="I67" s="18" t="s">
        <v>567</v>
      </c>
      <c r="J67" s="20" t="s">
        <v>567</v>
      </c>
      <c r="K67" s="18" t="n">
        <v>1.30717515</v>
      </c>
      <c r="L67" s="20" t="n">
        <v>0.5872302</v>
      </c>
      <c r="M67" s="18" t="n">
        <v>0</v>
      </c>
      <c r="N67" s="20" t="n">
        <v>0</v>
      </c>
      <c r="O67" s="18" t="n">
        <v>0</v>
      </c>
      <c r="P67" s="20" t="n">
        <v>0</v>
      </c>
      <c r="Q67" s="18" t="n">
        <v>2.8796419</v>
      </c>
      <c r="R67" s="20" t="n">
        <v>0.82287194</v>
      </c>
    </row>
    <row r="68" spans="1:18">
      <c r="A68" s="15" t="s">
        <v>628</v>
      </c>
      <c r="B68" s="17" t="n">
        <v>6049</v>
      </c>
      <c r="C68" s="18">
        <f>(4721.0/B68*100)</f>
        <v/>
      </c>
      <c r="D68" s="19" t="n">
        <v>1328</v>
      </c>
      <c r="E68" s="18" t="n">
        <v>37.63063588</v>
      </c>
      <c r="F68" s="20" t="n">
        <v>1.24544097</v>
      </c>
      <c r="G68" s="18" t="n">
        <v>55.06869414</v>
      </c>
      <c r="H68" s="20" t="n">
        <v>1.27517765</v>
      </c>
      <c r="I68" s="18" t="s">
        <v>567</v>
      </c>
      <c r="J68" s="20" t="s">
        <v>567</v>
      </c>
      <c r="K68" s="18" t="n">
        <v>4.89610287</v>
      </c>
      <c r="L68" s="20" t="n">
        <v>0.59846067</v>
      </c>
      <c r="M68" s="18" t="n">
        <v>0</v>
      </c>
      <c r="N68" s="20" t="n">
        <v>0</v>
      </c>
      <c r="O68" s="18" t="n">
        <v>0</v>
      </c>
      <c r="P68" s="20" t="n">
        <v>0</v>
      </c>
      <c r="Q68" s="18" t="n">
        <v>2.40456711</v>
      </c>
      <c r="R68" s="20" t="n">
        <v>0.40862113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(2350.0/B70*100)</f>
        <v/>
      </c>
      <c r="D70" s="19" t="n">
        <v>579</v>
      </c>
      <c r="E70" s="18" t="n">
        <v>18.10887295</v>
      </c>
      <c r="F70" s="20" t="n">
        <v>1.86116372</v>
      </c>
      <c r="G70" s="18" t="n">
        <v>79.76761021999999</v>
      </c>
      <c r="H70" s="20" t="n">
        <v>2.04255065</v>
      </c>
      <c r="I70" s="18" t="s">
        <v>567</v>
      </c>
      <c r="J70" s="20" t="s">
        <v>567</v>
      </c>
      <c r="K70" s="18" t="n">
        <v>0.79901913</v>
      </c>
      <c r="L70" s="20" t="n">
        <v>0.30954423</v>
      </c>
      <c r="M70" s="18" t="n">
        <v>0</v>
      </c>
      <c r="N70" s="20" t="n">
        <v>0</v>
      </c>
      <c r="O70" s="18" t="n">
        <v>0</v>
      </c>
      <c r="P70" s="20" t="n">
        <v>0</v>
      </c>
      <c r="Q70" s="18" t="n">
        <v>1.32449771</v>
      </c>
      <c r="R70" s="20" t="n">
        <v>0.49731838</v>
      </c>
    </row>
    <row r="71" spans="1:18">
      <c r="A71" s="15" t="s">
        <v>631</v>
      </c>
      <c r="B71" s="17" t="n">
        <v>3142</v>
      </c>
      <c r="C71" s="18">
        <f>(2469.0/B71*100)</f>
        <v/>
      </c>
      <c r="D71" s="19" t="n">
        <v>673</v>
      </c>
      <c r="E71" s="18" t="n">
        <v>10.74617329</v>
      </c>
      <c r="F71" s="20" t="n">
        <v>1.25957748</v>
      </c>
      <c r="G71" s="18" t="n">
        <v>88.33962076</v>
      </c>
      <c r="H71" s="20" t="n">
        <v>1.31523345</v>
      </c>
      <c r="I71" s="18" t="s">
        <v>567</v>
      </c>
      <c r="J71" s="20" t="s">
        <v>567</v>
      </c>
      <c r="K71" s="18" t="n">
        <v>0.46349412</v>
      </c>
      <c r="L71" s="20" t="n">
        <v>0.28968164</v>
      </c>
      <c r="M71" s="18" t="n">
        <v>0</v>
      </c>
      <c r="N71" s="20" t="n">
        <v>0</v>
      </c>
      <c r="O71" s="18" t="n">
        <v>0</v>
      </c>
      <c r="P71" s="20" t="n">
        <v>0</v>
      </c>
      <c r="Q71" s="18" t="n">
        <v>0.45071182</v>
      </c>
      <c r="R71" s="20" t="n">
        <v>0.28415032</v>
      </c>
    </row>
    <row r="72" spans="1:18">
      <c r="A72" s="15" t="s">
        <v>632</v>
      </c>
      <c r="B72" s="17" t="n">
        <v>3889</v>
      </c>
      <c r="C72" s="18">
        <f>(3014.0/B72*100)</f>
        <v/>
      </c>
      <c r="D72" s="19" t="n">
        <v>875</v>
      </c>
      <c r="E72" s="18" t="n">
        <v>13.98275137</v>
      </c>
      <c r="F72" s="20" t="n">
        <v>1.22138052</v>
      </c>
      <c r="G72" s="18" t="n">
        <v>85.69724563</v>
      </c>
      <c r="H72" s="20" t="n">
        <v>1.25103763</v>
      </c>
      <c r="I72" s="18" t="s">
        <v>567</v>
      </c>
      <c r="J72" s="20" t="s">
        <v>567</v>
      </c>
      <c r="K72" s="18" t="n">
        <v>0.32000301</v>
      </c>
      <c r="L72" s="20" t="n">
        <v>0.15190452</v>
      </c>
      <c r="M72" s="18" t="n">
        <v>0</v>
      </c>
      <c r="N72" s="20" t="n">
        <v>0</v>
      </c>
      <c r="O72" s="18" t="n">
        <v>0</v>
      </c>
      <c r="P72" s="20" t="n">
        <v>0</v>
      </c>
      <c r="Q72" s="18" t="n">
        <v>0</v>
      </c>
      <c r="R72" s="20" t="n">
        <v>0</v>
      </c>
    </row>
    <row r="73" spans="1:18">
      <c r="A73" s="15" t="s">
        <v>633</v>
      </c>
      <c r="B73" s="17" t="n">
        <v>3597</v>
      </c>
      <c r="C73" s="18">
        <f>(2828.0/B73*100)</f>
        <v/>
      </c>
      <c r="D73" s="19" t="n">
        <v>769</v>
      </c>
      <c r="E73" s="18" t="n">
        <v>31.747056</v>
      </c>
      <c r="F73" s="20" t="n">
        <v>2.34062792</v>
      </c>
      <c r="G73" s="18" t="n">
        <v>66.72774803</v>
      </c>
      <c r="H73" s="20" t="n">
        <v>2.42247491</v>
      </c>
      <c r="I73" s="18" t="s">
        <v>567</v>
      </c>
      <c r="J73" s="20" t="s">
        <v>567</v>
      </c>
      <c r="K73" s="18" t="n">
        <v>0.0056642</v>
      </c>
      <c r="L73" s="20" t="n">
        <v>0.00570632</v>
      </c>
      <c r="M73" s="18" t="n">
        <v>0</v>
      </c>
      <c r="N73" s="20" t="n">
        <v>0</v>
      </c>
      <c r="O73" s="18" t="n">
        <v>0</v>
      </c>
      <c r="P73" s="20" t="n">
        <v>0</v>
      </c>
      <c r="Q73" s="18" t="n">
        <v>1.51953177</v>
      </c>
      <c r="R73" s="20" t="n">
        <v>0.54516363</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(1937.0/B75*100)</f>
        <v/>
      </c>
      <c r="D75" s="19" t="n">
        <v>469</v>
      </c>
      <c r="E75" s="18" t="n">
        <v>36.86584939</v>
      </c>
      <c r="F75" s="20" t="n">
        <v>2.44294605</v>
      </c>
      <c r="G75" s="18" t="n">
        <v>53.82756091</v>
      </c>
      <c r="H75" s="20" t="n">
        <v>2.31934694</v>
      </c>
      <c r="I75" s="18" t="s">
        <v>567</v>
      </c>
      <c r="J75" s="20" t="s">
        <v>567</v>
      </c>
      <c r="K75" s="18" t="n">
        <v>3.61832286</v>
      </c>
      <c r="L75" s="20" t="n">
        <v>0.90448266</v>
      </c>
      <c r="M75" s="18" t="n">
        <v>0</v>
      </c>
      <c r="N75" s="20" t="n">
        <v>0</v>
      </c>
      <c r="O75" s="18" t="n">
        <v>0</v>
      </c>
      <c r="P75" s="20" t="n">
        <v>0</v>
      </c>
      <c r="Q75" s="18" t="n">
        <v>5.68826684</v>
      </c>
      <c r="R75" s="20" t="n">
        <v>1.23810248</v>
      </c>
    </row>
    <row r="76" spans="1:18">
      <c r="A76" s="15" t="s">
        <v>636</v>
      </c>
      <c r="B76" s="17" t="n">
        <v>7052</v>
      </c>
      <c r="C76" s="18">
        <f>(5540.0/B76*100)</f>
        <v/>
      </c>
      <c r="D76" s="19" t="n">
        <v>1512</v>
      </c>
      <c r="E76" s="18" t="n">
        <v>32.88244707</v>
      </c>
      <c r="F76" s="20" t="n">
        <v>1.43134995</v>
      </c>
      <c r="G76" s="18" t="n">
        <v>64.75663044</v>
      </c>
      <c r="H76" s="20" t="n">
        <v>1.50774307</v>
      </c>
      <c r="I76" s="18" t="s">
        <v>567</v>
      </c>
      <c r="J76" s="20" t="s">
        <v>567</v>
      </c>
      <c r="K76" s="18" t="n">
        <v>1.10799977</v>
      </c>
      <c r="L76" s="20" t="n">
        <v>0.2673751</v>
      </c>
      <c r="M76" s="18" t="n">
        <v>0</v>
      </c>
      <c r="N76" s="20" t="n">
        <v>0</v>
      </c>
      <c r="O76" s="18" t="n">
        <v>0</v>
      </c>
      <c r="P76" s="20" t="n">
        <v>0</v>
      </c>
      <c r="Q76" s="18" t="n">
        <v>1.25292272</v>
      </c>
      <c r="R76" s="20" t="n">
        <v>0.31863071</v>
      </c>
    </row>
    <row r="77" spans="1:18">
      <c r="A77" s="15" t="s">
        <v>637</v>
      </c>
      <c r="B77" s="17" t="n">
        <v>2908</v>
      </c>
      <c r="C77" s="18">
        <f>(2291.0/B77*100)</f>
        <v/>
      </c>
      <c r="D77" s="19" t="n">
        <v>617</v>
      </c>
      <c r="E77" s="18" t="n">
        <v>18.55688374</v>
      </c>
      <c r="F77" s="20" t="n">
        <v>1.72668951</v>
      </c>
      <c r="G77" s="18" t="n">
        <v>74.39417835</v>
      </c>
      <c r="H77" s="20" t="n">
        <v>2.14809825</v>
      </c>
      <c r="I77" s="18" t="s">
        <v>567</v>
      </c>
      <c r="J77" s="20" t="s">
        <v>567</v>
      </c>
      <c r="K77" s="18" t="n">
        <v>4.66561261</v>
      </c>
      <c r="L77" s="20" t="n">
        <v>0.89032385</v>
      </c>
      <c r="M77" s="18" t="n">
        <v>0</v>
      </c>
      <c r="N77" s="20" t="n">
        <v>0</v>
      </c>
      <c r="O77" s="18" t="n">
        <v>0</v>
      </c>
      <c r="P77" s="20" t="n">
        <v>0</v>
      </c>
      <c r="Q77" s="18" t="n">
        <v>2.3833253</v>
      </c>
      <c r="R77" s="20" t="n">
        <v>0.63892044</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(3224.0/B81*100)</f>
        <v/>
      </c>
      <c r="D81" s="19" t="n">
        <v>939</v>
      </c>
      <c r="E81" s="18" t="n">
        <v>20.37461283</v>
      </c>
      <c r="F81" s="20" t="n">
        <v>1.58498486</v>
      </c>
      <c r="G81" s="18" t="n">
        <v>78.83333167000001</v>
      </c>
      <c r="H81" s="20" t="n">
        <v>1.61366806</v>
      </c>
      <c r="I81" s="18" t="s">
        <v>567</v>
      </c>
      <c r="J81" s="20" t="s">
        <v>567</v>
      </c>
      <c r="K81" s="18" t="n">
        <v>0.49270049</v>
      </c>
      <c r="L81" s="20" t="n">
        <v>0.27940044</v>
      </c>
      <c r="M81" s="18" t="n">
        <v>0</v>
      </c>
      <c r="N81" s="20" t="n">
        <v>0</v>
      </c>
      <c r="O81" s="18" t="n">
        <v>0</v>
      </c>
      <c r="P81" s="20" t="n">
        <v>0</v>
      </c>
      <c r="Q81" s="18" t="n">
        <v>0.29935501</v>
      </c>
      <c r="R81" s="20" t="n">
        <v>0.20781799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(5823.0/B7*100)</f>
        <v/>
      </c>
      <c r="D7" s="19" t="n">
        <v>1544</v>
      </c>
      <c r="E7" s="18" t="n">
        <v>71.00472698</v>
      </c>
      <c r="F7" s="20" t="n">
        <v>1.53811568</v>
      </c>
      <c r="G7" s="18" t="n">
        <v>27.19097056</v>
      </c>
      <c r="H7" s="20" t="n">
        <v>1.45999317</v>
      </c>
      <c r="I7" s="18" t="s">
        <v>567</v>
      </c>
      <c r="J7" s="20" t="s">
        <v>567</v>
      </c>
      <c r="K7" s="18" t="n">
        <v>1.26335732</v>
      </c>
      <c r="L7" s="20" t="n">
        <v>0.31803929</v>
      </c>
      <c r="M7" s="18" t="n">
        <v>0</v>
      </c>
      <c r="N7" s="20" t="n">
        <v>0</v>
      </c>
      <c r="O7" s="18" t="n">
        <v>0</v>
      </c>
      <c r="P7" s="20" t="n">
        <v>0</v>
      </c>
      <c r="Q7" s="18" t="n">
        <v>0.54094514</v>
      </c>
      <c r="R7" s="20" t="n">
        <v>0.1957507</v>
      </c>
    </row>
    <row r="8" spans="1:18">
      <c r="A8" s="15" t="s">
        <v>568</v>
      </c>
      <c r="B8" s="17" t="n">
        <v>3564</v>
      </c>
      <c r="C8" s="18">
        <f>(2779.0/B8*100)</f>
        <v/>
      </c>
      <c r="D8" s="19" t="n">
        <v>785</v>
      </c>
      <c r="E8" s="18" t="n">
        <v>49.16712018</v>
      </c>
      <c r="F8" s="20" t="n">
        <v>1.83837117</v>
      </c>
      <c r="G8" s="18" t="n">
        <v>48.5233218</v>
      </c>
      <c r="H8" s="20" t="n">
        <v>1.85555244</v>
      </c>
      <c r="I8" s="18" t="s">
        <v>567</v>
      </c>
      <c r="J8" s="20" t="s">
        <v>567</v>
      </c>
      <c r="K8" s="18" t="n">
        <v>1.28935808</v>
      </c>
      <c r="L8" s="20" t="n">
        <v>0.45166767</v>
      </c>
      <c r="M8" s="18" t="n">
        <v>0</v>
      </c>
      <c r="N8" s="20" t="n">
        <v>0</v>
      </c>
      <c r="O8" s="18" t="n">
        <v>0</v>
      </c>
      <c r="P8" s="20" t="n">
        <v>0</v>
      </c>
      <c r="Q8" s="18" t="n">
        <v>1.02019993</v>
      </c>
      <c r="R8" s="20" t="n">
        <v>0.44207992</v>
      </c>
    </row>
    <row r="9" spans="1:18">
      <c r="A9" s="15" t="s">
        <v>569</v>
      </c>
      <c r="B9" s="17" t="n">
        <v>4899</v>
      </c>
      <c r="C9" s="18">
        <f>(3860.0/B9*100)</f>
        <v/>
      </c>
      <c r="D9" s="19" t="n">
        <v>1039</v>
      </c>
      <c r="E9" s="18" t="n">
        <v>62.43655078</v>
      </c>
      <c r="F9" s="20" t="n">
        <v>1.34841222</v>
      </c>
      <c r="G9" s="18" t="n">
        <v>35.01790236</v>
      </c>
      <c r="H9" s="20" t="n">
        <v>1.43998321</v>
      </c>
      <c r="I9" s="18" t="s">
        <v>567</v>
      </c>
      <c r="J9" s="20" t="s">
        <v>567</v>
      </c>
      <c r="K9" s="18" t="n">
        <v>1.70828792</v>
      </c>
      <c r="L9" s="20" t="n">
        <v>0.49168755</v>
      </c>
      <c r="M9" s="18" t="n">
        <v>0</v>
      </c>
      <c r="N9" s="20" t="n">
        <v>0</v>
      </c>
      <c r="O9" s="18" t="n">
        <v>0</v>
      </c>
      <c r="P9" s="20" t="n">
        <v>0</v>
      </c>
      <c r="Q9" s="18" t="n">
        <v>0.83725893</v>
      </c>
      <c r="R9" s="20" t="n">
        <v>0.31548319</v>
      </c>
    </row>
    <row r="10" spans="1:18">
      <c r="A10" s="15" t="s">
        <v>570</v>
      </c>
      <c r="B10" s="17" t="n">
        <v>10036</v>
      </c>
      <c r="C10" s="18">
        <f>(7907.0/B10*100)</f>
        <v/>
      </c>
      <c r="D10" s="19" t="n">
        <v>2129</v>
      </c>
      <c r="E10" s="18" t="n">
        <v>69.57303856</v>
      </c>
      <c r="F10" s="20" t="n">
        <v>1.3658317</v>
      </c>
      <c r="G10" s="18" t="n">
        <v>29.19366164</v>
      </c>
      <c r="H10" s="20" t="n">
        <v>1.36657048</v>
      </c>
      <c r="I10" s="18" t="s">
        <v>567</v>
      </c>
      <c r="J10" s="20" t="s">
        <v>567</v>
      </c>
      <c r="K10" s="18" t="n">
        <v>0.9601798499999999</v>
      </c>
      <c r="L10" s="20" t="n">
        <v>0.31452689</v>
      </c>
      <c r="M10" s="18" t="n">
        <v>0</v>
      </c>
      <c r="N10" s="20" t="n">
        <v>0</v>
      </c>
      <c r="O10" s="18" t="n">
        <v>0</v>
      </c>
      <c r="P10" s="20" t="n">
        <v>0</v>
      </c>
      <c r="Q10" s="18" t="n">
        <v>0.27311995</v>
      </c>
      <c r="R10" s="20" t="n">
        <v>0.12708447</v>
      </c>
    </row>
    <row r="11" spans="1:18">
      <c r="A11" s="15" t="s">
        <v>571</v>
      </c>
      <c r="B11" s="17" t="n">
        <v>3553</v>
      </c>
      <c r="C11" s="18">
        <f>(2879.0/B11*100)</f>
        <v/>
      </c>
      <c r="D11" s="19" t="n">
        <v>674</v>
      </c>
      <c r="E11" s="18" t="n">
        <v>71.44046408</v>
      </c>
      <c r="F11" s="20" t="n">
        <v>2.21978182</v>
      </c>
      <c r="G11" s="18" t="n">
        <v>24.69603448</v>
      </c>
      <c r="H11" s="20" t="n">
        <v>2.13974926</v>
      </c>
      <c r="I11" s="18" t="s">
        <v>567</v>
      </c>
      <c r="J11" s="20" t="s">
        <v>567</v>
      </c>
      <c r="K11" s="18" t="n">
        <v>2.31018863</v>
      </c>
      <c r="L11" s="20" t="n">
        <v>0.66815348</v>
      </c>
      <c r="M11" s="18" t="n">
        <v>0</v>
      </c>
      <c r="N11" s="20" t="n">
        <v>0</v>
      </c>
      <c r="O11" s="18" t="n">
        <v>0</v>
      </c>
      <c r="P11" s="20" t="n">
        <v>0</v>
      </c>
      <c r="Q11" s="18" t="n">
        <v>1.55331281</v>
      </c>
      <c r="R11" s="20" t="n">
        <v>0.52217083</v>
      </c>
    </row>
    <row r="12" spans="1:18">
      <c r="A12" s="15" t="s">
        <v>572</v>
      </c>
      <c r="B12" s="17" t="n">
        <v>3472</v>
      </c>
      <c r="C12" s="18">
        <f>(2744.0/B12*100)</f>
        <v/>
      </c>
      <c r="D12" s="19" t="n">
        <v>728</v>
      </c>
      <c r="E12" s="18" t="n">
        <v>66.62674541</v>
      </c>
      <c r="F12" s="20" t="n">
        <v>2.55255229</v>
      </c>
      <c r="G12" s="18" t="n">
        <v>32.25330214</v>
      </c>
      <c r="H12" s="20" t="n">
        <v>2.53134672</v>
      </c>
      <c r="I12" s="18" t="s">
        <v>567</v>
      </c>
      <c r="J12" s="20" t="s">
        <v>567</v>
      </c>
      <c r="K12" s="18" t="n">
        <v>0.62256197</v>
      </c>
      <c r="L12" s="20" t="n">
        <v>0.22930141</v>
      </c>
      <c r="M12" s="18" t="n">
        <v>0</v>
      </c>
      <c r="N12" s="20" t="n">
        <v>0</v>
      </c>
      <c r="O12" s="18" t="n">
        <v>0</v>
      </c>
      <c r="P12" s="20" t="n">
        <v>0</v>
      </c>
      <c r="Q12" s="18" t="n">
        <v>0.49739048</v>
      </c>
      <c r="R12" s="20" t="n">
        <v>0.21509276</v>
      </c>
    </row>
    <row r="13" spans="1:18">
      <c r="A13" s="15" t="s">
        <v>573</v>
      </c>
      <c r="B13" s="17" t="n">
        <v>3559</v>
      </c>
      <c r="C13" s="18">
        <f>(2861.0/B13*100)</f>
        <v/>
      </c>
      <c r="D13" s="19" t="n">
        <v>698</v>
      </c>
      <c r="E13" s="18" t="n">
        <v>61.77595377</v>
      </c>
      <c r="F13" s="20" t="n">
        <v>2.32326227</v>
      </c>
      <c r="G13" s="18" t="n">
        <v>36.77073841</v>
      </c>
      <c r="H13" s="20" t="n">
        <v>2.30308216</v>
      </c>
      <c r="I13" s="18" t="s">
        <v>567</v>
      </c>
      <c r="J13" s="20" t="s">
        <v>567</v>
      </c>
      <c r="K13" s="18" t="n">
        <v>1.29020286</v>
      </c>
      <c r="L13" s="20" t="n">
        <v>0.46248358</v>
      </c>
      <c r="M13" s="18" t="n">
        <v>0</v>
      </c>
      <c r="N13" s="20" t="n">
        <v>0</v>
      </c>
      <c r="O13" s="18" t="n">
        <v>0</v>
      </c>
      <c r="P13" s="20" t="n">
        <v>0</v>
      </c>
      <c r="Q13" s="18" t="n">
        <v>0.16310496</v>
      </c>
      <c r="R13" s="20" t="n">
        <v>0.10075688</v>
      </c>
    </row>
    <row r="14" spans="1:18">
      <c r="A14" s="15" t="s">
        <v>574</v>
      </c>
      <c r="B14" s="17" t="n">
        <v>2799</v>
      </c>
      <c r="C14" s="18">
        <f>(2222.0/B14*100)</f>
        <v/>
      </c>
      <c r="D14" s="19" t="n">
        <v>577</v>
      </c>
      <c r="E14" s="18" t="n">
        <v>56.17093598</v>
      </c>
      <c r="F14" s="20" t="n">
        <v>2.31712521</v>
      </c>
      <c r="G14" s="18" t="n">
        <v>42.53583528</v>
      </c>
      <c r="H14" s="20" t="n">
        <v>2.33860889</v>
      </c>
      <c r="I14" s="18" t="s">
        <v>567</v>
      </c>
      <c r="J14" s="20" t="s">
        <v>567</v>
      </c>
      <c r="K14" s="18" t="n">
        <v>0.93419565</v>
      </c>
      <c r="L14" s="20" t="n">
        <v>0.4034529</v>
      </c>
      <c r="M14" s="18" t="n">
        <v>0</v>
      </c>
      <c r="N14" s="20" t="n">
        <v>0</v>
      </c>
      <c r="O14" s="18" t="n">
        <v>0</v>
      </c>
      <c r="P14" s="20" t="n">
        <v>0</v>
      </c>
      <c r="Q14" s="18" t="n">
        <v>0.3590331</v>
      </c>
      <c r="R14" s="20" t="n">
        <v>0.35787413</v>
      </c>
    </row>
    <row r="15" spans="1:18">
      <c r="A15" s="15" t="s">
        <v>575</v>
      </c>
      <c r="B15" s="17" t="n">
        <v>3019</v>
      </c>
      <c r="C15" s="18">
        <f>(2354.0/B15*100)</f>
        <v/>
      </c>
      <c r="D15" s="19" t="n">
        <v>665</v>
      </c>
      <c r="E15" s="18" t="n">
        <v>62.65035969</v>
      </c>
      <c r="F15" s="20" t="n">
        <v>1.88374729</v>
      </c>
      <c r="G15" s="18" t="n">
        <v>36.29745799</v>
      </c>
      <c r="H15" s="20" t="n">
        <v>1.94106637</v>
      </c>
      <c r="I15" s="18" t="s">
        <v>567</v>
      </c>
      <c r="J15" s="20" t="s">
        <v>567</v>
      </c>
      <c r="K15" s="18" t="n">
        <v>0.47272566</v>
      </c>
      <c r="L15" s="20" t="n">
        <v>0.28516425</v>
      </c>
      <c r="M15" s="18" t="n">
        <v>0</v>
      </c>
      <c r="N15" s="20" t="n">
        <v>0</v>
      </c>
      <c r="O15" s="18" t="n">
        <v>0</v>
      </c>
      <c r="P15" s="20" t="n">
        <v>0</v>
      </c>
      <c r="Q15" s="18" t="n">
        <v>0.57945666</v>
      </c>
      <c r="R15" s="20" t="n">
        <v>0.29015931</v>
      </c>
    </row>
    <row r="16" spans="1:18">
      <c r="A16" s="15" t="s">
        <v>576</v>
      </c>
      <c r="B16" s="17" t="n">
        <v>2997</v>
      </c>
      <c r="C16" s="18">
        <f>(2340.0/B16*100)</f>
        <v/>
      </c>
      <c r="D16" s="19" t="n">
        <v>657</v>
      </c>
      <c r="E16" s="18" t="n">
        <v>60.62408415</v>
      </c>
      <c r="F16" s="20" t="n">
        <v>2.11658951</v>
      </c>
      <c r="G16" s="18" t="n">
        <v>35.33939066</v>
      </c>
      <c r="H16" s="20" t="n">
        <v>2.1981894</v>
      </c>
      <c r="I16" s="18" t="s">
        <v>567</v>
      </c>
      <c r="J16" s="20" t="s">
        <v>567</v>
      </c>
      <c r="K16" s="18" t="n">
        <v>1.92789325</v>
      </c>
      <c r="L16" s="20" t="n">
        <v>0.56091713</v>
      </c>
      <c r="M16" s="18" t="n">
        <v>0</v>
      </c>
      <c r="N16" s="20" t="n">
        <v>0</v>
      </c>
      <c r="O16" s="18" t="n">
        <v>0</v>
      </c>
      <c r="P16" s="20" t="n">
        <v>0</v>
      </c>
      <c r="Q16" s="18" t="n">
        <v>2.10863194</v>
      </c>
      <c r="R16" s="20" t="n">
        <v>0.58356167</v>
      </c>
    </row>
    <row r="17" spans="1:18">
      <c r="A17" s="15" t="s">
        <v>577</v>
      </c>
      <c r="B17" s="17" t="n">
        <v>3307</v>
      </c>
      <c r="C17" s="18">
        <f>(2621.0/B17*100)</f>
        <v/>
      </c>
      <c r="D17" s="19" t="n">
        <v>686</v>
      </c>
      <c r="E17" s="18" t="n">
        <v>56.54350616</v>
      </c>
      <c r="F17" s="20" t="n">
        <v>2.01072496</v>
      </c>
      <c r="G17" s="18" t="n">
        <v>41.79581255</v>
      </c>
      <c r="H17" s="20" t="n">
        <v>2.0225761</v>
      </c>
      <c r="I17" s="18" t="s">
        <v>567</v>
      </c>
      <c r="J17" s="20" t="s">
        <v>567</v>
      </c>
      <c r="K17" s="18" t="n">
        <v>1.10192992</v>
      </c>
      <c r="L17" s="20" t="n">
        <v>0.40779</v>
      </c>
      <c r="M17" s="18" t="n">
        <v>0</v>
      </c>
      <c r="N17" s="20" t="n">
        <v>0</v>
      </c>
      <c r="O17" s="18" t="n">
        <v>0</v>
      </c>
      <c r="P17" s="20" t="n">
        <v>0</v>
      </c>
      <c r="Q17" s="18" t="n">
        <v>0.55875137</v>
      </c>
      <c r="R17" s="20" t="n">
        <v>0.28069634</v>
      </c>
    </row>
    <row r="18" spans="1:18">
      <c r="A18" s="15" t="s">
        <v>578</v>
      </c>
      <c r="B18" s="17" t="n">
        <v>2826</v>
      </c>
      <c r="C18" s="18">
        <f>(2210.0/B18*100)</f>
        <v/>
      </c>
      <c r="D18" s="19" t="n">
        <v>616</v>
      </c>
      <c r="E18" s="18" t="n">
        <v>75.06697053000001</v>
      </c>
      <c r="F18" s="20" t="n">
        <v>1.79316104</v>
      </c>
      <c r="G18" s="18" t="n">
        <v>21.97285732</v>
      </c>
      <c r="H18" s="20" t="n">
        <v>1.68197161</v>
      </c>
      <c r="I18" s="18" t="s">
        <v>567</v>
      </c>
      <c r="J18" s="20" t="s">
        <v>567</v>
      </c>
      <c r="K18" s="18" t="n">
        <v>1.99078692</v>
      </c>
      <c r="L18" s="20" t="n">
        <v>0.61051202</v>
      </c>
      <c r="M18" s="18" t="n">
        <v>0</v>
      </c>
      <c r="N18" s="20" t="n">
        <v>0</v>
      </c>
      <c r="O18" s="18" t="n">
        <v>0</v>
      </c>
      <c r="P18" s="20" t="n">
        <v>0</v>
      </c>
      <c r="Q18" s="18" t="n">
        <v>0.96938524</v>
      </c>
      <c r="R18" s="20" t="n">
        <v>0.41404325</v>
      </c>
    </row>
    <row r="19" spans="1:18">
      <c r="A19" s="15" t="s">
        <v>579</v>
      </c>
      <c r="B19" s="17" t="n">
        <v>2808</v>
      </c>
      <c r="C19" s="18">
        <f>(2236.0/B19*100)</f>
        <v/>
      </c>
      <c r="D19" s="19" t="n">
        <v>572</v>
      </c>
      <c r="E19" s="18" t="n">
        <v>59.71763699</v>
      </c>
      <c r="F19" s="20" t="n">
        <v>2.17602311</v>
      </c>
      <c r="G19" s="18" t="n">
        <v>38.62683864</v>
      </c>
      <c r="H19" s="20" t="n">
        <v>2.11169892</v>
      </c>
      <c r="I19" s="18" t="s">
        <v>567</v>
      </c>
      <c r="J19" s="20" t="s">
        <v>567</v>
      </c>
      <c r="K19" s="18" t="n">
        <v>1.02226685</v>
      </c>
      <c r="L19" s="20" t="n">
        <v>0.35734087</v>
      </c>
      <c r="M19" s="18" t="n">
        <v>0</v>
      </c>
      <c r="N19" s="20" t="n">
        <v>0</v>
      </c>
      <c r="O19" s="18" t="n">
        <v>0</v>
      </c>
      <c r="P19" s="20" t="n">
        <v>0</v>
      </c>
      <c r="Q19" s="18" t="n">
        <v>0.63325752</v>
      </c>
      <c r="R19" s="20" t="n">
        <v>0.31753493</v>
      </c>
    </row>
    <row r="20" spans="1:18">
      <c r="A20" s="15" t="s">
        <v>580</v>
      </c>
      <c r="B20" s="17" t="n">
        <v>1630</v>
      </c>
      <c r="C20" s="18">
        <f>(1272.0/B20*100)</f>
        <v/>
      </c>
      <c r="D20" s="19" t="n">
        <v>358</v>
      </c>
      <c r="E20" s="18" t="n">
        <v>78.26249072</v>
      </c>
      <c r="F20" s="20" t="n">
        <v>2.30121914</v>
      </c>
      <c r="G20" s="18" t="n">
        <v>18.05282282</v>
      </c>
      <c r="H20" s="20" t="n">
        <v>2.14454978</v>
      </c>
      <c r="I20" s="18" t="s">
        <v>567</v>
      </c>
      <c r="J20" s="20" t="s">
        <v>567</v>
      </c>
      <c r="K20" s="18" t="n">
        <v>2.14215915</v>
      </c>
      <c r="L20" s="20" t="n">
        <v>0.64217096</v>
      </c>
      <c r="M20" s="18" t="n">
        <v>0</v>
      </c>
      <c r="N20" s="20" t="n">
        <v>0</v>
      </c>
      <c r="O20" s="18" t="n">
        <v>0</v>
      </c>
      <c r="P20" s="20" t="n">
        <v>0</v>
      </c>
      <c r="Q20" s="18" t="n">
        <v>1.54252731</v>
      </c>
      <c r="R20" s="20" t="n">
        <v>0.79403701</v>
      </c>
    </row>
    <row r="21" spans="1:18">
      <c r="A21" s="15" t="s">
        <v>581</v>
      </c>
      <c r="B21" s="17" t="n">
        <v>2908</v>
      </c>
      <c r="C21" s="18">
        <f>(2262.0/B21*100)</f>
        <v/>
      </c>
      <c r="D21" s="19" t="n">
        <v>646</v>
      </c>
      <c r="E21" s="18" t="n">
        <v>74.50317455</v>
      </c>
      <c r="F21" s="20" t="n">
        <v>1.90118467</v>
      </c>
      <c r="G21" s="18" t="n">
        <v>23.78149223</v>
      </c>
      <c r="H21" s="20" t="n">
        <v>1.86372294</v>
      </c>
      <c r="I21" s="18" t="s">
        <v>567</v>
      </c>
      <c r="J21" s="20" t="s">
        <v>567</v>
      </c>
      <c r="K21" s="18" t="n">
        <v>1.31136663</v>
      </c>
      <c r="L21" s="20" t="n">
        <v>0.46695818</v>
      </c>
      <c r="M21" s="18" t="n">
        <v>0</v>
      </c>
      <c r="N21" s="20" t="n">
        <v>0</v>
      </c>
      <c r="O21" s="18" t="n">
        <v>0</v>
      </c>
      <c r="P21" s="20" t="n">
        <v>0</v>
      </c>
      <c r="Q21" s="18" t="n">
        <v>0.40396659</v>
      </c>
      <c r="R21" s="20" t="n">
        <v>0.23072747</v>
      </c>
    </row>
    <row r="22" spans="1:18">
      <c r="A22" s="15" t="s">
        <v>582</v>
      </c>
      <c r="B22" s="17" t="n">
        <v>2931</v>
      </c>
      <c r="C22" s="18">
        <f>(2317.0/B22*100)</f>
        <v/>
      </c>
      <c r="D22" s="19" t="n">
        <v>614</v>
      </c>
      <c r="E22" s="18" t="n">
        <v>69.38724652000001</v>
      </c>
      <c r="F22" s="20" t="n">
        <v>1.66402247</v>
      </c>
      <c r="G22" s="18" t="n">
        <v>27.70196002</v>
      </c>
      <c r="H22" s="20" t="n">
        <v>1.69970929</v>
      </c>
      <c r="I22" s="18" t="s">
        <v>567</v>
      </c>
      <c r="J22" s="20" t="s">
        <v>567</v>
      </c>
      <c r="K22" s="18" t="n">
        <v>2.20992627</v>
      </c>
      <c r="L22" s="20" t="n">
        <v>0.72027406</v>
      </c>
      <c r="M22" s="18" t="n">
        <v>0</v>
      </c>
      <c r="N22" s="20" t="n">
        <v>0</v>
      </c>
      <c r="O22" s="18" t="n">
        <v>0</v>
      </c>
      <c r="P22" s="20" t="n">
        <v>0</v>
      </c>
      <c r="Q22" s="18" t="n">
        <v>0.70086719</v>
      </c>
      <c r="R22" s="20" t="n">
        <v>0.35818725</v>
      </c>
    </row>
    <row r="23" spans="1:18">
      <c r="A23" s="15" t="s">
        <v>583</v>
      </c>
      <c r="B23" s="17" t="n">
        <v>5791</v>
      </c>
      <c r="C23" s="18">
        <f>(4510.0/B23*100)</f>
        <v/>
      </c>
      <c r="D23" s="19" t="n">
        <v>1281</v>
      </c>
      <c r="E23" s="18" t="n">
        <v>70.21341321</v>
      </c>
      <c r="F23" s="20" t="n">
        <v>1.72487595</v>
      </c>
      <c r="G23" s="18" t="n">
        <v>27.08562309</v>
      </c>
      <c r="H23" s="20" t="n">
        <v>1.68911957</v>
      </c>
      <c r="I23" s="18" t="s">
        <v>567</v>
      </c>
      <c r="J23" s="20" t="s">
        <v>567</v>
      </c>
      <c r="K23" s="18" t="n">
        <v>2.22056388</v>
      </c>
      <c r="L23" s="20" t="n">
        <v>0.50872143</v>
      </c>
      <c r="M23" s="18" t="n">
        <v>0</v>
      </c>
      <c r="N23" s="20" t="n">
        <v>0</v>
      </c>
      <c r="O23" s="18" t="n">
        <v>0</v>
      </c>
      <c r="P23" s="20" t="n">
        <v>0</v>
      </c>
      <c r="Q23" s="18" t="n">
        <v>0.48039982</v>
      </c>
      <c r="R23" s="20" t="n">
        <v>0.22049146</v>
      </c>
    </row>
    <row r="24" spans="1:18">
      <c r="A24" s="15" t="s">
        <v>584</v>
      </c>
      <c r="B24" s="17" t="n">
        <v>3338</v>
      </c>
      <c r="C24" s="18">
        <f>(2629.0/B24*100)</f>
        <v/>
      </c>
      <c r="D24" s="19" t="n">
        <v>709</v>
      </c>
      <c r="E24" s="18" t="n">
        <v>49.38450003</v>
      </c>
      <c r="F24" s="20" t="n">
        <v>2.04977228</v>
      </c>
      <c r="G24" s="18" t="n">
        <v>49.93690374</v>
      </c>
      <c r="H24" s="20" t="n">
        <v>2.02765335</v>
      </c>
      <c r="I24" s="18" t="s">
        <v>567</v>
      </c>
      <c r="J24" s="20" t="s">
        <v>567</v>
      </c>
      <c r="K24" s="18" t="n">
        <v>0.5447470800000001</v>
      </c>
      <c r="L24" s="20" t="n">
        <v>0.33599579</v>
      </c>
      <c r="M24" s="18" t="n">
        <v>0</v>
      </c>
      <c r="N24" s="20" t="n">
        <v>0</v>
      </c>
      <c r="O24" s="18" t="n">
        <v>0</v>
      </c>
      <c r="P24" s="20" t="n">
        <v>0</v>
      </c>
      <c r="Q24" s="18" t="n">
        <v>0.13384915</v>
      </c>
      <c r="R24" s="20" t="n">
        <v>0.13470115</v>
      </c>
    </row>
    <row r="25" spans="1:18">
      <c r="A25" s="15" t="s">
        <v>585</v>
      </c>
      <c r="B25" s="17" t="n">
        <v>2912</v>
      </c>
      <c r="C25" s="18">
        <f>(2283.0/B25*100)</f>
        <v/>
      </c>
      <c r="D25" s="19" t="n">
        <v>629</v>
      </c>
      <c r="E25" s="18" t="n">
        <v>74.95134532</v>
      </c>
      <c r="F25" s="20" t="n">
        <v>2.04595501</v>
      </c>
      <c r="G25" s="18" t="n">
        <v>24.1488961</v>
      </c>
      <c r="H25" s="20" t="n">
        <v>2.05772723</v>
      </c>
      <c r="I25" s="18" t="s">
        <v>567</v>
      </c>
      <c r="J25" s="20" t="s">
        <v>567</v>
      </c>
      <c r="K25" s="18" t="n">
        <v>0.17376305</v>
      </c>
      <c r="L25" s="20" t="n">
        <v>0.17242736</v>
      </c>
      <c r="M25" s="18" t="n">
        <v>0</v>
      </c>
      <c r="N25" s="20" t="n">
        <v>0</v>
      </c>
      <c r="O25" s="18" t="n">
        <v>0</v>
      </c>
      <c r="P25" s="20" t="n">
        <v>0</v>
      </c>
      <c r="Q25" s="18" t="n">
        <v>0.7259955299999999</v>
      </c>
      <c r="R25" s="20" t="n">
        <v>0.32644855</v>
      </c>
    </row>
    <row r="26" spans="1:18">
      <c r="A26" s="15" t="s">
        <v>586</v>
      </c>
      <c r="B26" s="17" t="n">
        <v>2450</v>
      </c>
      <c r="C26" s="18">
        <f>(1934.0/B26*100)</f>
        <v/>
      </c>
      <c r="D26" s="19" t="n">
        <v>516</v>
      </c>
      <c r="E26" s="18" t="n">
        <v>69.74847274</v>
      </c>
      <c r="F26" s="20" t="n">
        <v>1.98635616</v>
      </c>
      <c r="G26" s="18" t="n">
        <v>29.27271261</v>
      </c>
      <c r="H26" s="20" t="n">
        <v>1.98376205</v>
      </c>
      <c r="I26" s="18" t="s">
        <v>567</v>
      </c>
      <c r="J26" s="20" t="s">
        <v>567</v>
      </c>
      <c r="K26" s="18" t="n">
        <v>0.59345012</v>
      </c>
      <c r="L26" s="20" t="n">
        <v>0.33703387</v>
      </c>
      <c r="M26" s="18" t="n">
        <v>0</v>
      </c>
      <c r="N26" s="20" t="n">
        <v>0</v>
      </c>
      <c r="O26" s="18" t="n">
        <v>0</v>
      </c>
      <c r="P26" s="20" t="n">
        <v>0</v>
      </c>
      <c r="Q26" s="18" t="n">
        <v>0.38536453</v>
      </c>
      <c r="R26" s="20" t="n">
        <v>0.39690444</v>
      </c>
    </row>
    <row r="27" spans="1:18">
      <c r="A27" s="15" t="s">
        <v>587</v>
      </c>
      <c r="B27" s="17" t="n">
        <v>2616</v>
      </c>
      <c r="C27" s="18">
        <f>(2012.0/B27*100)</f>
        <v/>
      </c>
      <c r="D27" s="19" t="n">
        <v>604</v>
      </c>
      <c r="E27" s="18" t="n">
        <v>68.13101073</v>
      </c>
      <c r="F27" s="20" t="n">
        <v>1.6641445</v>
      </c>
      <c r="G27" s="18" t="n">
        <v>28.7074189</v>
      </c>
      <c r="H27" s="20" t="n">
        <v>1.6914729</v>
      </c>
      <c r="I27" s="18" t="s">
        <v>567</v>
      </c>
      <c r="J27" s="20" t="s">
        <v>567</v>
      </c>
      <c r="K27" s="18" t="n">
        <v>2.1630695</v>
      </c>
      <c r="L27" s="20" t="n">
        <v>0.59954292</v>
      </c>
      <c r="M27" s="18" t="n">
        <v>0</v>
      </c>
      <c r="N27" s="20" t="n">
        <v>0</v>
      </c>
      <c r="O27" s="18" t="n">
        <v>0</v>
      </c>
      <c r="P27" s="20" t="n">
        <v>0</v>
      </c>
      <c r="Q27" s="18" t="n">
        <v>0.99850087</v>
      </c>
      <c r="R27" s="20" t="n">
        <v>0.40245377</v>
      </c>
    </row>
    <row r="28" spans="1:18">
      <c r="A28" s="15" t="s">
        <v>588</v>
      </c>
      <c r="B28" s="17" t="n">
        <v>3765</v>
      </c>
      <c r="C28" s="18">
        <f>(3041.0/B28*100)</f>
        <v/>
      </c>
      <c r="D28" s="19" t="n">
        <v>724</v>
      </c>
      <c r="E28" s="18" t="n">
        <v>72.80958903</v>
      </c>
      <c r="F28" s="20" t="n">
        <v>1.95748147</v>
      </c>
      <c r="G28" s="18" t="n">
        <v>25.68317118</v>
      </c>
      <c r="H28" s="20" t="n">
        <v>1.88474908</v>
      </c>
      <c r="I28" s="18" t="s">
        <v>567</v>
      </c>
      <c r="J28" s="20" t="s">
        <v>567</v>
      </c>
      <c r="K28" s="18" t="n">
        <v>1.28924872</v>
      </c>
      <c r="L28" s="20" t="n">
        <v>0.43673229</v>
      </c>
      <c r="M28" s="18" t="n">
        <v>0</v>
      </c>
      <c r="N28" s="20" t="n">
        <v>0</v>
      </c>
      <c r="O28" s="18" t="n">
        <v>0</v>
      </c>
      <c r="P28" s="20" t="n">
        <v>0</v>
      </c>
      <c r="Q28" s="18" t="n">
        <v>0.21799107</v>
      </c>
      <c r="R28" s="20" t="n">
        <v>0.13154558</v>
      </c>
    </row>
    <row r="29" spans="1:18">
      <c r="A29" s="15" t="s">
        <v>589</v>
      </c>
      <c r="B29" s="17" t="n">
        <v>2685</v>
      </c>
      <c r="C29" s="18">
        <f>(2150.0/B29*100)</f>
        <v/>
      </c>
      <c r="D29" s="19" t="n">
        <v>535</v>
      </c>
      <c r="E29" s="18" t="n">
        <v>63.27800806</v>
      </c>
      <c r="F29" s="20" t="n">
        <v>2.39680887</v>
      </c>
      <c r="G29" s="18" t="n">
        <v>35.35777531</v>
      </c>
      <c r="H29" s="20" t="n">
        <v>2.45730626</v>
      </c>
      <c r="I29" s="18" t="s">
        <v>567</v>
      </c>
      <c r="J29" s="20" t="s">
        <v>567</v>
      </c>
      <c r="K29" s="18" t="n">
        <v>0.98589365</v>
      </c>
      <c r="L29" s="20" t="n">
        <v>0.46094766</v>
      </c>
      <c r="M29" s="18" t="n">
        <v>0</v>
      </c>
      <c r="N29" s="20" t="n">
        <v>0</v>
      </c>
      <c r="O29" s="18" t="n">
        <v>0</v>
      </c>
      <c r="P29" s="20" t="n">
        <v>0</v>
      </c>
      <c r="Q29" s="18" t="n">
        <v>0.37832298</v>
      </c>
      <c r="R29" s="20" t="n">
        <v>0.28164387</v>
      </c>
    </row>
    <row r="30" spans="1:18">
      <c r="A30" s="15" t="s">
        <v>590</v>
      </c>
      <c r="B30" s="17" t="n">
        <v>2263</v>
      </c>
      <c r="C30" s="18">
        <f>(1775.0/B30*100)</f>
        <v/>
      </c>
      <c r="D30" s="19" t="n">
        <v>488</v>
      </c>
      <c r="E30" s="18" t="n">
        <v>69.40764068999999</v>
      </c>
      <c r="F30" s="20" t="n">
        <v>2.07660229</v>
      </c>
      <c r="G30" s="18" t="n">
        <v>26.5371658</v>
      </c>
      <c r="H30" s="20" t="n">
        <v>1.828007</v>
      </c>
      <c r="I30" s="18" t="s">
        <v>567</v>
      </c>
      <c r="J30" s="20" t="s">
        <v>567</v>
      </c>
      <c r="K30" s="18" t="n">
        <v>2.93537441</v>
      </c>
      <c r="L30" s="20" t="n">
        <v>0.8452657</v>
      </c>
      <c r="M30" s="18" t="n">
        <v>0</v>
      </c>
      <c r="N30" s="20" t="n">
        <v>0</v>
      </c>
      <c r="O30" s="18" t="n">
        <v>0</v>
      </c>
      <c r="P30" s="20" t="n">
        <v>0</v>
      </c>
      <c r="Q30" s="18" t="n">
        <v>1.1198191</v>
      </c>
      <c r="R30" s="20" t="n">
        <v>0.63480578</v>
      </c>
    </row>
    <row r="31" spans="1:18">
      <c r="A31" s="15" t="s">
        <v>591</v>
      </c>
      <c r="B31" s="17" t="n">
        <v>2750</v>
      </c>
      <c r="C31" s="18">
        <f>(2135.0/B31*100)</f>
        <v/>
      </c>
      <c r="D31" s="19" t="n">
        <v>615</v>
      </c>
      <c r="E31" s="18" t="n">
        <v>71.19442413</v>
      </c>
      <c r="F31" s="20" t="n">
        <v>1.99313841</v>
      </c>
      <c r="G31" s="18" t="n">
        <v>25.49125716</v>
      </c>
      <c r="H31" s="20" t="n">
        <v>1.99786034</v>
      </c>
      <c r="I31" s="18" t="s">
        <v>567</v>
      </c>
      <c r="J31" s="20" t="s">
        <v>567</v>
      </c>
      <c r="K31" s="18" t="n">
        <v>2.56916374</v>
      </c>
      <c r="L31" s="20" t="n">
        <v>0.71107679</v>
      </c>
      <c r="M31" s="18" t="n">
        <v>0</v>
      </c>
      <c r="N31" s="20" t="n">
        <v>0</v>
      </c>
      <c r="O31" s="18" t="n">
        <v>0</v>
      </c>
      <c r="P31" s="20" t="n">
        <v>0</v>
      </c>
      <c r="Q31" s="18" t="n">
        <v>0.74515497</v>
      </c>
      <c r="R31" s="20" t="n">
        <v>0.33292389</v>
      </c>
    </row>
    <row r="32" spans="1:18">
      <c r="A32" s="15" t="s">
        <v>592</v>
      </c>
      <c r="B32" s="17" t="n">
        <v>2269</v>
      </c>
      <c r="C32" s="18">
        <f>(1756.0/B32*100)</f>
        <v/>
      </c>
      <c r="D32" s="19" t="n">
        <v>513</v>
      </c>
      <c r="E32" s="18" t="n">
        <v>64.49518691999999</v>
      </c>
      <c r="F32" s="20" t="n">
        <v>2.32209235</v>
      </c>
      <c r="G32" s="18" t="n">
        <v>35.16198275</v>
      </c>
      <c r="H32" s="20" t="n">
        <v>2.29500046</v>
      </c>
      <c r="I32" s="18" t="s">
        <v>567</v>
      </c>
      <c r="J32" s="20" t="s">
        <v>567</v>
      </c>
      <c r="K32" s="18" t="n">
        <v>0.17855745</v>
      </c>
      <c r="L32" s="20" t="n">
        <v>0.1795535</v>
      </c>
      <c r="M32" s="18" t="n">
        <v>0</v>
      </c>
      <c r="N32" s="20" t="n">
        <v>0</v>
      </c>
      <c r="O32" s="18" t="n">
        <v>0</v>
      </c>
      <c r="P32" s="20" t="n">
        <v>0</v>
      </c>
      <c r="Q32" s="18" t="n">
        <v>0.16427287</v>
      </c>
      <c r="R32" s="20" t="n">
        <v>0.16336262</v>
      </c>
    </row>
    <row r="33" spans="1:18">
      <c r="A33" s="15" t="s">
        <v>593</v>
      </c>
      <c r="B33" s="17" t="n">
        <v>3674</v>
      </c>
      <c r="C33" s="18">
        <f>(2913.0/B33*100)</f>
        <v/>
      </c>
      <c r="D33" s="19" t="n">
        <v>761</v>
      </c>
      <c r="E33" s="18" t="n">
        <v>67.82236181</v>
      </c>
      <c r="F33" s="20" t="n">
        <v>1.9947984</v>
      </c>
      <c r="G33" s="18" t="n">
        <v>31.03878456</v>
      </c>
      <c r="H33" s="20" t="n">
        <v>1.8960898</v>
      </c>
      <c r="I33" s="18" t="s">
        <v>567</v>
      </c>
      <c r="J33" s="20" t="s">
        <v>567</v>
      </c>
      <c r="K33" s="18" t="n">
        <v>0.42836748</v>
      </c>
      <c r="L33" s="20" t="n">
        <v>0.23919461</v>
      </c>
      <c r="M33" s="18" t="n">
        <v>0</v>
      </c>
      <c r="N33" s="20" t="n">
        <v>0</v>
      </c>
      <c r="O33" s="18" t="n">
        <v>0</v>
      </c>
      <c r="P33" s="20" t="n">
        <v>0</v>
      </c>
      <c r="Q33" s="18" t="n">
        <v>0.71048616</v>
      </c>
      <c r="R33" s="20" t="n">
        <v>0.39624497</v>
      </c>
    </row>
    <row r="34" spans="1:18">
      <c r="A34" s="15" t="s">
        <v>594</v>
      </c>
      <c r="B34" s="17" t="n">
        <v>3315</v>
      </c>
      <c r="C34" s="18">
        <f>(2625.0/B34*100)</f>
        <v/>
      </c>
      <c r="D34" s="19" t="n">
        <v>690</v>
      </c>
      <c r="E34" s="18" t="n">
        <v>67.23429968000001</v>
      </c>
      <c r="F34" s="20" t="n">
        <v>2.06927594</v>
      </c>
      <c r="G34" s="18" t="n">
        <v>31.71131868</v>
      </c>
      <c r="H34" s="20" t="n">
        <v>1.94888714</v>
      </c>
      <c r="I34" s="18" t="s">
        <v>567</v>
      </c>
      <c r="J34" s="20" t="s">
        <v>567</v>
      </c>
      <c r="K34" s="18" t="n">
        <v>0.45777823</v>
      </c>
      <c r="L34" s="20" t="n">
        <v>0.26993719</v>
      </c>
      <c r="M34" s="18" t="n">
        <v>0</v>
      </c>
      <c r="N34" s="20" t="n">
        <v>0</v>
      </c>
      <c r="O34" s="18" t="n">
        <v>0</v>
      </c>
      <c r="P34" s="20" t="n">
        <v>0</v>
      </c>
      <c r="Q34" s="18" t="n">
        <v>0.5966034099999999</v>
      </c>
      <c r="R34" s="20" t="n">
        <v>0.38555679</v>
      </c>
    </row>
    <row r="35" spans="1:18">
      <c r="A35" s="15" t="s">
        <v>595</v>
      </c>
      <c r="B35" s="17" t="n">
        <v>3505</v>
      </c>
      <c r="C35" s="18">
        <f>(2732.0/B35*100)</f>
        <v/>
      </c>
      <c r="D35" s="19" t="n">
        <v>773</v>
      </c>
      <c r="E35" s="18" t="n">
        <v>65.0417293</v>
      </c>
      <c r="F35" s="20" t="n">
        <v>2.20262529</v>
      </c>
      <c r="G35" s="18" t="n">
        <v>33.41715698</v>
      </c>
      <c r="H35" s="20" t="n">
        <v>2.09326564</v>
      </c>
      <c r="I35" s="18" t="s">
        <v>567</v>
      </c>
      <c r="J35" s="20" t="s">
        <v>567</v>
      </c>
      <c r="K35" s="18" t="n">
        <v>0.92518889</v>
      </c>
      <c r="L35" s="20" t="n">
        <v>0.50623167</v>
      </c>
      <c r="M35" s="18" t="n">
        <v>0</v>
      </c>
      <c r="N35" s="20" t="n">
        <v>0</v>
      </c>
      <c r="O35" s="18" t="n">
        <v>0</v>
      </c>
      <c r="P35" s="20" t="n">
        <v>0</v>
      </c>
      <c r="Q35" s="18" t="n">
        <v>0.61592482</v>
      </c>
      <c r="R35" s="20" t="n">
        <v>0.32945339</v>
      </c>
    </row>
    <row r="36" spans="1:18">
      <c r="A36" s="15" t="s">
        <v>596</v>
      </c>
      <c r="B36" s="17" t="n">
        <v>3332</v>
      </c>
      <c r="C36" s="18">
        <f>(2676.0/B36*100)</f>
        <v/>
      </c>
      <c r="D36" s="19" t="n">
        <v>656</v>
      </c>
      <c r="E36" s="18" t="n">
        <v>64.95575535</v>
      </c>
      <c r="F36" s="20" t="n">
        <v>1.91819715</v>
      </c>
      <c r="G36" s="18" t="n">
        <v>33.31192365</v>
      </c>
      <c r="H36" s="20" t="n">
        <v>1.88511242</v>
      </c>
      <c r="I36" s="18" t="s">
        <v>567</v>
      </c>
      <c r="J36" s="20" t="s">
        <v>567</v>
      </c>
      <c r="K36" s="18" t="n">
        <v>1.732321</v>
      </c>
      <c r="L36" s="20" t="n">
        <v>0.46563767</v>
      </c>
      <c r="M36" s="18" t="n">
        <v>0</v>
      </c>
      <c r="N36" s="20" t="n">
        <v>0</v>
      </c>
      <c r="O36" s="18" t="n">
        <v>0</v>
      </c>
      <c r="P36" s="20" t="n">
        <v>0</v>
      </c>
      <c r="Q36" s="18" t="n">
        <v>0</v>
      </c>
      <c r="R36" s="20" t="n">
        <v>0</v>
      </c>
    </row>
    <row r="37" spans="1:18">
      <c r="A37" s="15" t="s">
        <v>597</v>
      </c>
      <c r="B37" s="17" t="n">
        <v>2727</v>
      </c>
      <c r="C37" s="18">
        <f>(2182.0/B37*100)</f>
        <v/>
      </c>
      <c r="D37" s="19" t="n">
        <v>545</v>
      </c>
      <c r="E37" s="18" t="n">
        <v>67.99114437</v>
      </c>
      <c r="F37" s="20" t="n">
        <v>2.22158871</v>
      </c>
      <c r="G37" s="18" t="n">
        <v>28.18669691</v>
      </c>
      <c r="H37" s="20" t="n">
        <v>2.2387822</v>
      </c>
      <c r="I37" s="18" t="s">
        <v>567</v>
      </c>
      <c r="J37" s="20" t="s">
        <v>567</v>
      </c>
      <c r="K37" s="18" t="n">
        <v>3.1449198</v>
      </c>
      <c r="L37" s="20" t="n">
        <v>0.70862814</v>
      </c>
      <c r="M37" s="18" t="n">
        <v>0</v>
      </c>
      <c r="N37" s="20" t="n">
        <v>0</v>
      </c>
      <c r="O37" s="18" t="n">
        <v>0</v>
      </c>
      <c r="P37" s="20" t="n">
        <v>0</v>
      </c>
      <c r="Q37" s="18" t="n">
        <v>0.67723891</v>
      </c>
      <c r="R37" s="20" t="n">
        <v>0.36356995</v>
      </c>
    </row>
    <row r="38" spans="1:18">
      <c r="A38" s="15" t="s">
        <v>598</v>
      </c>
      <c r="B38" s="17" t="n">
        <v>3053</v>
      </c>
      <c r="C38" s="18">
        <f>(2419.0/B38*100)</f>
        <v/>
      </c>
      <c r="D38" s="19" t="n">
        <v>634</v>
      </c>
      <c r="E38" s="18" t="n">
        <v>53.26276485</v>
      </c>
      <c r="F38" s="20" t="n">
        <v>2.26160781</v>
      </c>
      <c r="G38" s="18" t="n">
        <v>44.9969041</v>
      </c>
      <c r="H38" s="20" t="n">
        <v>2.25815902</v>
      </c>
      <c r="I38" s="18" t="s">
        <v>567</v>
      </c>
      <c r="J38" s="20" t="s">
        <v>567</v>
      </c>
      <c r="K38" s="18" t="n">
        <v>1.13127986</v>
      </c>
      <c r="L38" s="20" t="n">
        <v>0.51414137</v>
      </c>
      <c r="M38" s="18" t="n">
        <v>0</v>
      </c>
      <c r="N38" s="20" t="n">
        <v>0</v>
      </c>
      <c r="O38" s="18" t="n">
        <v>0</v>
      </c>
      <c r="P38" s="20" t="n">
        <v>0</v>
      </c>
      <c r="Q38" s="18" t="n">
        <v>0.60905119</v>
      </c>
      <c r="R38" s="20" t="n">
        <v>0.34729153</v>
      </c>
    </row>
    <row r="39" spans="1:18">
      <c r="A39" s="15" t="s">
        <v>599</v>
      </c>
      <c r="B39" s="17" t="n">
        <v>2957</v>
      </c>
      <c r="C39" s="18">
        <f>(2320.0/B39*100)</f>
        <v/>
      </c>
      <c r="D39" s="19" t="n">
        <v>637</v>
      </c>
      <c r="E39" s="18" t="n">
        <v>75.27590155999999</v>
      </c>
      <c r="F39" s="20" t="n">
        <v>2.06238536</v>
      </c>
      <c r="G39" s="18" t="n">
        <v>23.16425253</v>
      </c>
      <c r="H39" s="20" t="n">
        <v>2.08736166</v>
      </c>
      <c r="I39" s="18" t="s">
        <v>567</v>
      </c>
      <c r="J39" s="20" t="s">
        <v>567</v>
      </c>
      <c r="K39" s="18" t="n">
        <v>1.29510776</v>
      </c>
      <c r="L39" s="20" t="n">
        <v>0.39348156</v>
      </c>
      <c r="M39" s="18" t="n">
        <v>0</v>
      </c>
      <c r="N39" s="20" t="n">
        <v>0</v>
      </c>
      <c r="O39" s="18" t="n">
        <v>0</v>
      </c>
      <c r="P39" s="20" t="n">
        <v>0</v>
      </c>
      <c r="Q39" s="18" t="n">
        <v>0.26473815</v>
      </c>
      <c r="R39" s="20" t="n">
        <v>0.2093515</v>
      </c>
    </row>
    <row r="40" spans="1:18">
      <c r="A40" s="15" t="s">
        <v>600</v>
      </c>
      <c r="B40" s="17" t="n">
        <v>7235</v>
      </c>
      <c r="C40" s="18">
        <f>(5661.0/B40*100)</f>
        <v/>
      </c>
      <c r="D40" s="19" t="n">
        <v>1574</v>
      </c>
      <c r="E40" s="18" t="n">
        <v>75.23654954</v>
      </c>
      <c r="F40" s="20" t="n">
        <v>1.8235224</v>
      </c>
      <c r="G40" s="18" t="n">
        <v>22.44504825</v>
      </c>
      <c r="H40" s="20" t="n">
        <v>1.69355759</v>
      </c>
      <c r="I40" s="18" t="s">
        <v>567</v>
      </c>
      <c r="J40" s="20" t="s">
        <v>567</v>
      </c>
      <c r="K40" s="18" t="n">
        <v>1.25039383</v>
      </c>
      <c r="L40" s="20" t="n">
        <v>0.38220116</v>
      </c>
      <c r="M40" s="18" t="n">
        <v>0</v>
      </c>
      <c r="N40" s="20" t="n">
        <v>0</v>
      </c>
      <c r="O40" s="18" t="n">
        <v>0</v>
      </c>
      <c r="P40" s="20" t="n">
        <v>0</v>
      </c>
      <c r="Q40" s="18" t="n">
        <v>1.06800838</v>
      </c>
      <c r="R40" s="20" t="n">
        <v>0.4015539</v>
      </c>
    </row>
    <row r="41" spans="1:18">
      <c r="A41" s="15" t="s">
        <v>601</v>
      </c>
      <c r="B41" s="17" t="n">
        <v>2858</v>
      </c>
      <c r="C41" s="18">
        <f>(2285.0/B41*100)</f>
        <v/>
      </c>
      <c r="D41" s="19" t="n">
        <v>573</v>
      </c>
      <c r="E41" s="18" t="n">
        <v>68.58804952</v>
      </c>
      <c r="F41" s="20" t="n">
        <v>1.99213391</v>
      </c>
      <c r="G41" s="18" t="n">
        <v>30.26779686</v>
      </c>
      <c r="H41" s="20" t="n">
        <v>1.91486112</v>
      </c>
      <c r="I41" s="18" t="s">
        <v>567</v>
      </c>
      <c r="J41" s="20" t="s">
        <v>567</v>
      </c>
      <c r="K41" s="18" t="n">
        <v>1.14415362</v>
      </c>
      <c r="L41" s="20" t="n">
        <v>0.45110739</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(9347.0/B46*100)</f>
        <v/>
      </c>
      <c r="D46" s="19" t="n">
        <v>1721</v>
      </c>
      <c r="E46" s="18" t="n">
        <v>68.55598908</v>
      </c>
      <c r="F46" s="20" t="n">
        <v>1.46868431</v>
      </c>
      <c r="G46" s="18" t="n">
        <v>27.14291201</v>
      </c>
      <c r="H46" s="20" t="n">
        <v>1.48681139</v>
      </c>
      <c r="I46" s="18" t="s">
        <v>567</v>
      </c>
      <c r="J46" s="20" t="s">
        <v>567</v>
      </c>
      <c r="K46" s="18" t="n">
        <v>3.22995189</v>
      </c>
      <c r="L46" s="20" t="n">
        <v>0.59158551</v>
      </c>
      <c r="M46" s="18" t="n">
        <v>0</v>
      </c>
      <c r="N46" s="20" t="n">
        <v>0</v>
      </c>
      <c r="O46" s="18" t="n">
        <v>0</v>
      </c>
      <c r="P46" s="20" t="n">
        <v>0</v>
      </c>
      <c r="Q46" s="18" t="n">
        <v>1.07114702</v>
      </c>
      <c r="R46" s="20" t="n">
        <v>0.34523292</v>
      </c>
    </row>
    <row r="47" spans="1:18">
      <c r="A47" s="15" t="s">
        <v>607</v>
      </c>
      <c r="B47" s="17" t="n">
        <v>3105</v>
      </c>
      <c r="C47" s="18">
        <f>(2493.0/B47*100)</f>
        <v/>
      </c>
      <c r="D47" s="19" t="n">
        <v>612</v>
      </c>
      <c r="E47" s="18" t="n">
        <v>69.91103492000001</v>
      </c>
      <c r="F47" s="20" t="n">
        <v>2.39609049</v>
      </c>
      <c r="G47" s="18" t="n">
        <v>26.96968193</v>
      </c>
      <c r="H47" s="20" t="n">
        <v>2.4605783</v>
      </c>
      <c r="I47" s="18" t="s">
        <v>567</v>
      </c>
      <c r="J47" s="20" t="s">
        <v>567</v>
      </c>
      <c r="K47" s="18" t="n">
        <v>1.91605185</v>
      </c>
      <c r="L47" s="20" t="n">
        <v>0.56771377</v>
      </c>
      <c r="M47" s="18" t="n">
        <v>0</v>
      </c>
      <c r="N47" s="20" t="n">
        <v>0</v>
      </c>
      <c r="O47" s="18" t="n">
        <v>0</v>
      </c>
      <c r="P47" s="20" t="n">
        <v>0</v>
      </c>
      <c r="Q47" s="18" t="n">
        <v>1.2032313</v>
      </c>
      <c r="R47" s="20" t="n">
        <v>0.47001955</v>
      </c>
    </row>
    <row r="48" spans="1:18">
      <c r="A48" s="15" t="s">
        <v>608</v>
      </c>
      <c r="B48" s="17" t="n">
        <v>5159</v>
      </c>
      <c r="C48" s="18">
        <f>(4042.0/B48*100)</f>
        <v/>
      </c>
      <c r="D48" s="19" t="n">
        <v>1117</v>
      </c>
      <c r="E48" s="18" t="n">
        <v>72.77308386</v>
      </c>
      <c r="F48" s="20" t="n">
        <v>1.6424725</v>
      </c>
      <c r="G48" s="18" t="n">
        <v>26.3462559</v>
      </c>
      <c r="H48" s="20" t="n">
        <v>1.58697907</v>
      </c>
      <c r="I48" s="18" t="s">
        <v>567</v>
      </c>
      <c r="J48" s="20" t="s">
        <v>567</v>
      </c>
      <c r="K48" s="18" t="n">
        <v>0.88066025</v>
      </c>
      <c r="L48" s="20" t="n">
        <v>0.41869611</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(4497.0/B50*100)</f>
        <v/>
      </c>
      <c r="D50" s="19" t="n">
        <v>1140</v>
      </c>
      <c r="E50" s="18" t="n">
        <v>71.96869287</v>
      </c>
      <c r="F50" s="20" t="n">
        <v>1.86881378</v>
      </c>
      <c r="G50" s="18" t="n">
        <v>22.17252736</v>
      </c>
      <c r="H50" s="20" t="n">
        <v>1.91833204</v>
      </c>
      <c r="I50" s="18" t="s">
        <v>567</v>
      </c>
      <c r="J50" s="20" t="s">
        <v>567</v>
      </c>
      <c r="K50" s="18" t="n">
        <v>5.49428118</v>
      </c>
      <c r="L50" s="20" t="n">
        <v>0.94797775</v>
      </c>
      <c r="M50" s="18" t="n">
        <v>0</v>
      </c>
      <c r="N50" s="20" t="n">
        <v>0</v>
      </c>
      <c r="O50" s="18" t="n">
        <v>0</v>
      </c>
      <c r="P50" s="20" t="n">
        <v>0</v>
      </c>
      <c r="Q50" s="18" t="n">
        <v>0.3644986</v>
      </c>
      <c r="R50" s="20" t="n">
        <v>0.27137419</v>
      </c>
    </row>
    <row r="51" spans="1:18">
      <c r="A51" s="15" t="s">
        <v>611</v>
      </c>
      <c r="B51" s="17" t="n">
        <v>3372</v>
      </c>
      <c r="C51" s="18">
        <f>(2803.0/B51*100)</f>
        <v/>
      </c>
      <c r="D51" s="19" t="n">
        <v>569</v>
      </c>
      <c r="E51" s="18" t="n">
        <v>72.66076941</v>
      </c>
      <c r="F51" s="20" t="n">
        <v>1.75855716</v>
      </c>
      <c r="G51" s="18" t="n">
        <v>25.19633321</v>
      </c>
      <c r="H51" s="20" t="n">
        <v>1.71532822</v>
      </c>
      <c r="I51" s="18" t="s">
        <v>567</v>
      </c>
      <c r="J51" s="20" t="s">
        <v>567</v>
      </c>
      <c r="K51" s="18" t="n">
        <v>1.41553178</v>
      </c>
      <c r="L51" s="20" t="n">
        <v>0.47919796</v>
      </c>
      <c r="M51" s="18" t="n">
        <v>0</v>
      </c>
      <c r="N51" s="20" t="n">
        <v>0</v>
      </c>
      <c r="O51" s="18" t="n">
        <v>0</v>
      </c>
      <c r="P51" s="20" t="n">
        <v>0</v>
      </c>
      <c r="Q51" s="18" t="n">
        <v>0.7273655999999999</v>
      </c>
      <c r="R51" s="20" t="n">
        <v>0.42276732</v>
      </c>
    </row>
    <row r="52" spans="1:18">
      <c r="A52" s="15" t="s">
        <v>612</v>
      </c>
      <c r="B52" s="17" t="n">
        <v>2796</v>
      </c>
      <c r="C52" s="18">
        <f>(2151.0/B52*100)</f>
        <v/>
      </c>
      <c r="D52" s="19" t="n">
        <v>645</v>
      </c>
      <c r="E52" s="18" t="n">
        <v>66.62226381000001</v>
      </c>
      <c r="F52" s="20" t="n">
        <v>1.68671825</v>
      </c>
      <c r="G52" s="18" t="n">
        <v>31.10048265</v>
      </c>
      <c r="H52" s="20" t="n">
        <v>1.62442671</v>
      </c>
      <c r="I52" s="18" t="s">
        <v>567</v>
      </c>
      <c r="J52" s="20" t="s">
        <v>567</v>
      </c>
      <c r="K52" s="18" t="n">
        <v>1.09628109</v>
      </c>
      <c r="L52" s="20" t="n">
        <v>0.49467462</v>
      </c>
      <c r="M52" s="18" t="n">
        <v>0</v>
      </c>
      <c r="N52" s="20" t="n">
        <v>0</v>
      </c>
      <c r="O52" s="18" t="n">
        <v>0</v>
      </c>
      <c r="P52" s="20" t="n">
        <v>0</v>
      </c>
      <c r="Q52" s="18" t="n">
        <v>1.18097245</v>
      </c>
      <c r="R52" s="20" t="n">
        <v>0.41083079</v>
      </c>
    </row>
    <row r="53" spans="1:18">
      <c r="A53" s="15" t="s">
        <v>613</v>
      </c>
      <c r="B53" s="17" t="n">
        <v>2811</v>
      </c>
      <c r="C53" s="18">
        <f>(2217.0/B53*100)</f>
        <v/>
      </c>
      <c r="D53" s="19" t="n">
        <v>594</v>
      </c>
      <c r="E53" s="18" t="n">
        <v>77.97743676</v>
      </c>
      <c r="F53" s="20" t="n">
        <v>2.08856687</v>
      </c>
      <c r="G53" s="18" t="n">
        <v>19.2698963</v>
      </c>
      <c r="H53" s="20" t="n">
        <v>1.85158398</v>
      </c>
      <c r="I53" s="18" t="s">
        <v>567</v>
      </c>
      <c r="J53" s="20" t="s">
        <v>567</v>
      </c>
      <c r="K53" s="18" t="n">
        <v>1.66430711</v>
      </c>
      <c r="L53" s="20" t="n">
        <v>0.55363968</v>
      </c>
      <c r="M53" s="18" t="n">
        <v>0</v>
      </c>
      <c r="N53" s="20" t="n">
        <v>0</v>
      </c>
      <c r="O53" s="18" t="n">
        <v>0</v>
      </c>
      <c r="P53" s="20" t="n">
        <v>0</v>
      </c>
      <c r="Q53" s="18" t="n">
        <v>1.08835982</v>
      </c>
      <c r="R53" s="20" t="n">
        <v>0.40381883</v>
      </c>
    </row>
    <row r="54" spans="1:18">
      <c r="A54" s="15" t="s">
        <v>614</v>
      </c>
      <c r="B54" s="17" t="n">
        <v>2266</v>
      </c>
      <c r="C54" s="18">
        <f>(1745.0/B54*100)</f>
        <v/>
      </c>
      <c r="D54" s="19" t="n">
        <v>521</v>
      </c>
      <c r="E54" s="18" t="n">
        <v>67.01601727000001</v>
      </c>
      <c r="F54" s="20" t="n">
        <v>2.77002581</v>
      </c>
      <c r="G54" s="18" t="n">
        <v>9.979750579999999</v>
      </c>
      <c r="H54" s="20" t="n">
        <v>1.68389897</v>
      </c>
      <c r="I54" s="18" t="s">
        <v>567</v>
      </c>
      <c r="J54" s="20" t="s">
        <v>567</v>
      </c>
      <c r="K54" s="18" t="n">
        <v>20.96379393</v>
      </c>
      <c r="L54" s="20" t="n">
        <v>2.35646354</v>
      </c>
      <c r="M54" s="18" t="n">
        <v>0</v>
      </c>
      <c r="N54" s="20" t="n">
        <v>0</v>
      </c>
      <c r="O54" s="18" t="n">
        <v>0</v>
      </c>
      <c r="P54" s="20" t="n">
        <v>0</v>
      </c>
      <c r="Q54" s="18" t="n">
        <v>2.04043822</v>
      </c>
      <c r="R54" s="20" t="n">
        <v>0.75529725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(2070.0/B56*100)</f>
        <v/>
      </c>
      <c r="D56" s="19" t="n">
        <v>614</v>
      </c>
      <c r="E56" s="18" t="n">
        <v>73.92775238999999</v>
      </c>
      <c r="F56" s="20" t="n">
        <v>1.95065477</v>
      </c>
      <c r="G56" s="18" t="n">
        <v>24.51249479</v>
      </c>
      <c r="H56" s="20" t="n">
        <v>1.92796792</v>
      </c>
      <c r="I56" s="18" t="s">
        <v>567</v>
      </c>
      <c r="J56" s="20" t="s">
        <v>567</v>
      </c>
      <c r="K56" s="18" t="n">
        <v>0.6998443</v>
      </c>
      <c r="L56" s="20" t="n">
        <v>0.44919857</v>
      </c>
      <c r="M56" s="18" t="n">
        <v>0</v>
      </c>
      <c r="N56" s="20" t="n">
        <v>0</v>
      </c>
      <c r="O56" s="18" t="n">
        <v>0</v>
      </c>
      <c r="P56" s="20" t="n">
        <v>0</v>
      </c>
      <c r="Q56" s="18" t="n">
        <v>0.85990852</v>
      </c>
      <c r="R56" s="20" t="n">
        <v>0.40648082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(2603.0/B61*100)</f>
        <v/>
      </c>
      <c r="D61" s="19" t="n">
        <v>721</v>
      </c>
      <c r="E61" s="18" t="n">
        <v>68.93955937</v>
      </c>
      <c r="F61" s="20" t="n">
        <v>1.91158661</v>
      </c>
      <c r="G61" s="18" t="n">
        <v>30.68413886</v>
      </c>
      <c r="H61" s="20" t="n">
        <v>1.92279526</v>
      </c>
      <c r="I61" s="18" t="s">
        <v>567</v>
      </c>
      <c r="J61" s="20" t="s">
        <v>567</v>
      </c>
      <c r="K61" s="18" t="n">
        <v>0.22345408</v>
      </c>
      <c r="L61" s="20" t="n">
        <v>0.19626225</v>
      </c>
      <c r="M61" s="18" t="n">
        <v>0</v>
      </c>
      <c r="N61" s="20" t="n">
        <v>0</v>
      </c>
      <c r="O61" s="18" t="n">
        <v>0</v>
      </c>
      <c r="P61" s="20" t="n">
        <v>0</v>
      </c>
      <c r="Q61" s="18" t="n">
        <v>0.15284769</v>
      </c>
      <c r="R61" s="20" t="n">
        <v>0.15169431</v>
      </c>
    </row>
    <row r="62" spans="1:18">
      <c r="A62" s="15" t="s">
        <v>622</v>
      </c>
      <c r="B62" s="17" t="n">
        <v>2246</v>
      </c>
      <c r="C62" s="18">
        <f>(1803.0/B62*100)</f>
        <v/>
      </c>
      <c r="D62" s="19" t="n">
        <v>443</v>
      </c>
      <c r="E62" s="18" t="n">
        <v>55.34301464</v>
      </c>
      <c r="F62" s="20" t="n">
        <v>2.39741334</v>
      </c>
      <c r="G62" s="18" t="n">
        <v>44.65698536</v>
      </c>
      <c r="H62" s="20" t="n">
        <v>2.39741334</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(2262.0/B66*100)</f>
        <v/>
      </c>
      <c r="D66" s="19" t="n">
        <v>632</v>
      </c>
      <c r="E66" s="18" t="n">
        <v>70.74212205000001</v>
      </c>
      <c r="F66" s="20" t="n">
        <v>1.82380675</v>
      </c>
      <c r="G66" s="18" t="n">
        <v>22.90391396</v>
      </c>
      <c r="H66" s="20" t="n">
        <v>1.67542356</v>
      </c>
      <c r="I66" s="18" t="s">
        <v>567</v>
      </c>
      <c r="J66" s="20" t="s">
        <v>567</v>
      </c>
      <c r="K66" s="18" t="n">
        <v>4.32455133</v>
      </c>
      <c r="L66" s="20" t="n">
        <v>0.81065506</v>
      </c>
      <c r="M66" s="18" t="n">
        <v>0</v>
      </c>
      <c r="N66" s="20" t="n">
        <v>0</v>
      </c>
      <c r="O66" s="18" t="n">
        <v>0</v>
      </c>
      <c r="P66" s="20" t="n">
        <v>0</v>
      </c>
      <c r="Q66" s="18" t="n">
        <v>2.02941266</v>
      </c>
      <c r="R66" s="20" t="n">
        <v>0.49261144</v>
      </c>
    </row>
    <row r="67" spans="1:18">
      <c r="A67" s="15" t="s">
        <v>627</v>
      </c>
      <c r="B67" s="17" t="n">
        <v>3511</v>
      </c>
      <c r="C67" s="18">
        <f>(2888.0/B67*100)</f>
        <v/>
      </c>
      <c r="D67" s="19" t="n">
        <v>623</v>
      </c>
      <c r="E67" s="18" t="n">
        <v>82.02398138</v>
      </c>
      <c r="F67" s="20" t="n">
        <v>1.6631301</v>
      </c>
      <c r="G67" s="18" t="n">
        <v>15.70608604</v>
      </c>
      <c r="H67" s="20" t="n">
        <v>1.53463095</v>
      </c>
      <c r="I67" s="18" t="s">
        <v>567</v>
      </c>
      <c r="J67" s="20" t="s">
        <v>567</v>
      </c>
      <c r="K67" s="18" t="n">
        <v>1.33393131</v>
      </c>
      <c r="L67" s="20" t="n">
        <v>0.5986292600000001</v>
      </c>
      <c r="M67" s="18" t="n">
        <v>0</v>
      </c>
      <c r="N67" s="20" t="n">
        <v>0</v>
      </c>
      <c r="O67" s="18" t="n">
        <v>0</v>
      </c>
      <c r="P67" s="20" t="n">
        <v>0</v>
      </c>
      <c r="Q67" s="18" t="n">
        <v>0.93600127</v>
      </c>
      <c r="R67" s="20" t="n">
        <v>0.42224823</v>
      </c>
    </row>
    <row r="68" spans="1:18">
      <c r="A68" s="15" t="s">
        <v>628</v>
      </c>
      <c r="B68" s="17" t="n">
        <v>6049</v>
      </c>
      <c r="C68" s="18">
        <f>(4720.0/B68*100)</f>
        <v/>
      </c>
      <c r="D68" s="19" t="n">
        <v>1329</v>
      </c>
      <c r="E68" s="18" t="n">
        <v>78.21812978</v>
      </c>
      <c r="F68" s="20" t="n">
        <v>1.17747057</v>
      </c>
      <c r="G68" s="18" t="n">
        <v>14.02797153</v>
      </c>
      <c r="H68" s="20" t="n">
        <v>1.01615888</v>
      </c>
      <c r="I68" s="18" t="s">
        <v>567</v>
      </c>
      <c r="J68" s="20" t="s">
        <v>567</v>
      </c>
      <c r="K68" s="18" t="n">
        <v>6.16697053</v>
      </c>
      <c r="L68" s="20" t="n">
        <v>0.68336897</v>
      </c>
      <c r="M68" s="18" t="n">
        <v>0</v>
      </c>
      <c r="N68" s="20" t="n">
        <v>0</v>
      </c>
      <c r="O68" s="18" t="n">
        <v>0</v>
      </c>
      <c r="P68" s="20" t="n">
        <v>0</v>
      </c>
      <c r="Q68" s="18" t="n">
        <v>1.58692816</v>
      </c>
      <c r="R68" s="20" t="n">
        <v>0.34957247</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(2353.0/B70*100)</f>
        <v/>
      </c>
      <c r="D70" s="19" t="n">
        <v>576</v>
      </c>
      <c r="E70" s="18" t="n">
        <v>77.15787546999999</v>
      </c>
      <c r="F70" s="20" t="n">
        <v>1.9191762</v>
      </c>
      <c r="G70" s="18" t="n">
        <v>20.62776927</v>
      </c>
      <c r="H70" s="20" t="n">
        <v>1.8140391</v>
      </c>
      <c r="I70" s="18" t="s">
        <v>567</v>
      </c>
      <c r="J70" s="20" t="s">
        <v>567</v>
      </c>
      <c r="K70" s="18" t="n">
        <v>1.19244347</v>
      </c>
      <c r="L70" s="20" t="n">
        <v>0.40185665</v>
      </c>
      <c r="M70" s="18" t="n">
        <v>0</v>
      </c>
      <c r="N70" s="20" t="n">
        <v>0</v>
      </c>
      <c r="O70" s="18" t="n">
        <v>0</v>
      </c>
      <c r="P70" s="20" t="n">
        <v>0</v>
      </c>
      <c r="Q70" s="18" t="n">
        <v>1.0219118</v>
      </c>
      <c r="R70" s="20" t="n">
        <v>0.43255127</v>
      </c>
    </row>
    <row r="71" spans="1:18">
      <c r="A71" s="15" t="s">
        <v>631</v>
      </c>
      <c r="B71" s="17" t="n">
        <v>3142</v>
      </c>
      <c r="C71" s="18">
        <f>(2470.0/B71*100)</f>
        <v/>
      </c>
      <c r="D71" s="19" t="n">
        <v>672</v>
      </c>
      <c r="E71" s="18" t="n">
        <v>62.59097545</v>
      </c>
      <c r="F71" s="20" t="n">
        <v>1.99076026</v>
      </c>
      <c r="G71" s="18" t="n">
        <v>36.508579</v>
      </c>
      <c r="H71" s="20" t="n">
        <v>1.9702658</v>
      </c>
      <c r="I71" s="18" t="s">
        <v>567</v>
      </c>
      <c r="J71" s="20" t="s">
        <v>567</v>
      </c>
      <c r="K71" s="18" t="n">
        <v>0.6029275200000001</v>
      </c>
      <c r="L71" s="20" t="n">
        <v>0.32208428</v>
      </c>
      <c r="M71" s="18" t="n">
        <v>0</v>
      </c>
      <c r="N71" s="20" t="n">
        <v>0</v>
      </c>
      <c r="O71" s="18" t="n">
        <v>0</v>
      </c>
      <c r="P71" s="20" t="n">
        <v>0</v>
      </c>
      <c r="Q71" s="18" t="n">
        <v>0.29751804</v>
      </c>
      <c r="R71" s="20" t="n">
        <v>0.21098051</v>
      </c>
    </row>
    <row r="72" spans="1:18">
      <c r="A72" s="15" t="s">
        <v>632</v>
      </c>
      <c r="B72" s="17" t="n">
        <v>3889</v>
      </c>
      <c r="C72" s="18">
        <f>(3015.0/B72*100)</f>
        <v/>
      </c>
      <c r="D72" s="19" t="n">
        <v>874</v>
      </c>
      <c r="E72" s="18" t="n">
        <v>68.03146298</v>
      </c>
      <c r="F72" s="20" t="n">
        <v>1.5225764</v>
      </c>
      <c r="G72" s="18" t="n">
        <v>31.52028702</v>
      </c>
      <c r="H72" s="20" t="n">
        <v>1.51774431</v>
      </c>
      <c r="I72" s="18" t="s">
        <v>567</v>
      </c>
      <c r="J72" s="20" t="s">
        <v>567</v>
      </c>
      <c r="K72" s="18" t="n">
        <v>0.32035051</v>
      </c>
      <c r="L72" s="20" t="n">
        <v>0.15207296</v>
      </c>
      <c r="M72" s="18" t="n">
        <v>0</v>
      </c>
      <c r="N72" s="20" t="n">
        <v>0</v>
      </c>
      <c r="O72" s="18" t="n">
        <v>0</v>
      </c>
      <c r="P72" s="20" t="n">
        <v>0</v>
      </c>
      <c r="Q72" s="18" t="n">
        <v>0.12789949</v>
      </c>
      <c r="R72" s="20" t="n">
        <v>0.1278296</v>
      </c>
    </row>
    <row r="73" spans="1:18">
      <c r="A73" s="15" t="s">
        <v>633</v>
      </c>
      <c r="B73" s="17" t="n">
        <v>3597</v>
      </c>
      <c r="C73" s="18">
        <f>(2832.0/B73*100)</f>
        <v/>
      </c>
      <c r="D73" s="19" t="n">
        <v>765</v>
      </c>
      <c r="E73" s="18" t="n">
        <v>75.72018405</v>
      </c>
      <c r="F73" s="20" t="n">
        <v>2.48391008</v>
      </c>
      <c r="G73" s="18" t="n">
        <v>24.08828456</v>
      </c>
      <c r="H73" s="20" t="n">
        <v>2.46521686</v>
      </c>
      <c r="I73" s="18" t="s">
        <v>567</v>
      </c>
      <c r="J73" s="20" t="s">
        <v>567</v>
      </c>
      <c r="K73" s="18" t="n">
        <v>0.0056949</v>
      </c>
      <c r="L73" s="20" t="n">
        <v>0.00573784</v>
      </c>
      <c r="M73" s="18" t="n">
        <v>0</v>
      </c>
      <c r="N73" s="20" t="n">
        <v>0</v>
      </c>
      <c r="O73" s="18" t="n">
        <v>0</v>
      </c>
      <c r="P73" s="20" t="n">
        <v>0</v>
      </c>
      <c r="Q73" s="18" t="n">
        <v>0.1858365</v>
      </c>
      <c r="R73" s="20" t="n">
        <v>0.182865</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(1938.0/B75*100)</f>
        <v/>
      </c>
      <c r="D75" s="19" t="n">
        <v>468</v>
      </c>
      <c r="E75" s="18" t="n">
        <v>71.62687135</v>
      </c>
      <c r="F75" s="20" t="n">
        <v>2.09937745</v>
      </c>
      <c r="G75" s="18" t="n">
        <v>21.99644002</v>
      </c>
      <c r="H75" s="20" t="n">
        <v>1.68873641</v>
      </c>
      <c r="I75" s="18" t="s">
        <v>567</v>
      </c>
      <c r="J75" s="20" t="s">
        <v>567</v>
      </c>
      <c r="K75" s="18" t="n">
        <v>5.140561</v>
      </c>
      <c r="L75" s="20" t="n">
        <v>1.17823187</v>
      </c>
      <c r="M75" s="18" t="n">
        <v>0</v>
      </c>
      <c r="N75" s="20" t="n">
        <v>0</v>
      </c>
      <c r="O75" s="18" t="n">
        <v>0</v>
      </c>
      <c r="P75" s="20" t="n">
        <v>0</v>
      </c>
      <c r="Q75" s="18" t="n">
        <v>1.23612762</v>
      </c>
      <c r="R75" s="20" t="n">
        <v>0.5541899300000001</v>
      </c>
    </row>
    <row r="76" spans="1:18">
      <c r="A76" s="15" t="s">
        <v>636</v>
      </c>
      <c r="B76" s="17" t="n">
        <v>7052</v>
      </c>
      <c r="C76" s="18">
        <f>(5540.0/B76*100)</f>
        <v/>
      </c>
      <c r="D76" s="19" t="n">
        <v>1512</v>
      </c>
      <c r="E76" s="18" t="n">
        <v>79.0446577</v>
      </c>
      <c r="F76" s="20" t="n">
        <v>1.31080582</v>
      </c>
      <c r="G76" s="18" t="n">
        <v>18.66527688</v>
      </c>
      <c r="H76" s="20" t="n">
        <v>1.26537753</v>
      </c>
      <c r="I76" s="18" t="s">
        <v>567</v>
      </c>
      <c r="J76" s="20" t="s">
        <v>567</v>
      </c>
      <c r="K76" s="18" t="n">
        <v>1.31808002</v>
      </c>
      <c r="L76" s="20" t="n">
        <v>0.31224395</v>
      </c>
      <c r="M76" s="18" t="n">
        <v>0</v>
      </c>
      <c r="N76" s="20" t="n">
        <v>0</v>
      </c>
      <c r="O76" s="18" t="n">
        <v>0</v>
      </c>
      <c r="P76" s="20" t="n">
        <v>0</v>
      </c>
      <c r="Q76" s="18" t="n">
        <v>0.9719853899999999</v>
      </c>
      <c r="R76" s="20" t="n">
        <v>0.28327794</v>
      </c>
    </row>
    <row r="77" spans="1:18">
      <c r="A77" s="15" t="s">
        <v>637</v>
      </c>
      <c r="B77" s="17" t="n">
        <v>2908</v>
      </c>
      <c r="C77" s="18">
        <f>(2296.0/B77*100)</f>
        <v/>
      </c>
      <c r="D77" s="19" t="n">
        <v>612</v>
      </c>
      <c r="E77" s="18" t="n">
        <v>71.3626673</v>
      </c>
      <c r="F77" s="20" t="n">
        <v>2.09557916</v>
      </c>
      <c r="G77" s="18" t="n">
        <v>22.20666578</v>
      </c>
      <c r="H77" s="20" t="n">
        <v>1.97593961</v>
      </c>
      <c r="I77" s="18" t="s">
        <v>567</v>
      </c>
      <c r="J77" s="20" t="s">
        <v>567</v>
      </c>
      <c r="K77" s="18" t="n">
        <v>5.30108913</v>
      </c>
      <c r="L77" s="20" t="n">
        <v>0.97468098</v>
      </c>
      <c r="M77" s="18" t="n">
        <v>0</v>
      </c>
      <c r="N77" s="20" t="n">
        <v>0</v>
      </c>
      <c r="O77" s="18" t="n">
        <v>0</v>
      </c>
      <c r="P77" s="20" t="n">
        <v>0</v>
      </c>
      <c r="Q77" s="18" t="n">
        <v>1.12957779</v>
      </c>
      <c r="R77" s="20" t="n">
        <v>0.35641616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(3225.0/B81*100)</f>
        <v/>
      </c>
      <c r="D81" s="19" t="n">
        <v>938</v>
      </c>
      <c r="E81" s="18" t="n">
        <v>62.38815848</v>
      </c>
      <c r="F81" s="20" t="n">
        <v>2.27495561</v>
      </c>
      <c r="G81" s="18" t="n">
        <v>36.76023579</v>
      </c>
      <c r="H81" s="20" t="n">
        <v>2.21534451</v>
      </c>
      <c r="I81" s="18" t="s">
        <v>567</v>
      </c>
      <c r="J81" s="20" t="s">
        <v>567</v>
      </c>
      <c r="K81" s="18" t="n">
        <v>0.66935915</v>
      </c>
      <c r="L81" s="20" t="n">
        <v>0.32681195</v>
      </c>
      <c r="M81" s="18" t="n">
        <v>0</v>
      </c>
      <c r="N81" s="20" t="n">
        <v>0</v>
      </c>
      <c r="O81" s="18" t="n">
        <v>0</v>
      </c>
      <c r="P81" s="20" t="n">
        <v>0</v>
      </c>
      <c r="Q81" s="18" t="n">
        <v>0.18224658</v>
      </c>
      <c r="R81" s="20" t="n">
        <v>0.17983678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(5842.0/B7*100)</f>
        <v/>
      </c>
      <c r="D7" s="19" t="n">
        <v>1525</v>
      </c>
      <c r="E7" s="18" t="n">
        <v>49.42710161</v>
      </c>
      <c r="F7" s="20" t="n">
        <v>1.42294031</v>
      </c>
      <c r="G7" s="18" t="n">
        <v>34.70799002</v>
      </c>
      <c r="H7" s="20" t="n">
        <v>1.38664463</v>
      </c>
      <c r="I7" s="18" t="s">
        <v>567</v>
      </c>
      <c r="J7" s="20" t="s">
        <v>567</v>
      </c>
      <c r="K7" s="18" t="n">
        <v>2.08465005</v>
      </c>
      <c r="L7" s="20" t="n">
        <v>0.42587887</v>
      </c>
      <c r="M7" s="18" t="n">
        <v>0.13021949</v>
      </c>
      <c r="N7" s="20" t="n">
        <v>0.11618032</v>
      </c>
      <c r="O7" s="18" t="n">
        <v>0</v>
      </c>
      <c r="P7" s="20" t="n">
        <v>0</v>
      </c>
      <c r="Q7" s="18" t="n">
        <v>13.65003883</v>
      </c>
      <c r="R7" s="20" t="n">
        <v>1.09806631</v>
      </c>
    </row>
    <row r="8" spans="1:18">
      <c r="A8" s="15" t="s">
        <v>568</v>
      </c>
      <c r="B8" s="17" t="n">
        <v>3564</v>
      </c>
      <c r="C8" s="18">
        <f>(2782.0/B8*100)</f>
        <v/>
      </c>
      <c r="D8" s="19" t="n">
        <v>782</v>
      </c>
      <c r="E8" s="18" t="n">
        <v>34.06423879</v>
      </c>
      <c r="F8" s="20" t="n">
        <v>1.76688306</v>
      </c>
      <c r="G8" s="18" t="n">
        <v>38.52858686</v>
      </c>
      <c r="H8" s="20" t="n">
        <v>1.84896495</v>
      </c>
      <c r="I8" s="18" t="s">
        <v>567</v>
      </c>
      <c r="J8" s="20" t="s">
        <v>567</v>
      </c>
      <c r="K8" s="18" t="n">
        <v>1.80790695</v>
      </c>
      <c r="L8" s="20" t="n">
        <v>0.41743758</v>
      </c>
      <c r="M8" s="18" t="n">
        <v>0</v>
      </c>
      <c r="N8" s="20" t="n">
        <v>0</v>
      </c>
      <c r="O8" s="18" t="n">
        <v>0</v>
      </c>
      <c r="P8" s="20" t="n">
        <v>0</v>
      </c>
      <c r="Q8" s="18" t="n">
        <v>25.5992674</v>
      </c>
      <c r="R8" s="20" t="n">
        <v>1.65241891</v>
      </c>
    </row>
    <row r="9" spans="1:18">
      <c r="A9" s="15" t="s">
        <v>569</v>
      </c>
      <c r="B9" s="17" t="n">
        <v>4899</v>
      </c>
      <c r="C9" s="18">
        <f>(3871.0/B9*100)</f>
        <v/>
      </c>
      <c r="D9" s="19" t="n">
        <v>1028</v>
      </c>
      <c r="E9" s="18" t="n">
        <v>43.05546041</v>
      </c>
      <c r="F9" s="20" t="n">
        <v>1.72939652</v>
      </c>
      <c r="G9" s="18" t="n">
        <v>33.98992904</v>
      </c>
      <c r="H9" s="20" t="n">
        <v>1.72772118</v>
      </c>
      <c r="I9" s="18" t="s">
        <v>567</v>
      </c>
      <c r="J9" s="20" t="s">
        <v>567</v>
      </c>
      <c r="K9" s="18" t="n">
        <v>3.09186226</v>
      </c>
      <c r="L9" s="20" t="n">
        <v>0.64788491</v>
      </c>
      <c r="M9" s="18" t="n">
        <v>0.28198945</v>
      </c>
      <c r="N9" s="20" t="n">
        <v>0.15913969</v>
      </c>
      <c r="O9" s="18" t="n">
        <v>0</v>
      </c>
      <c r="P9" s="20" t="n">
        <v>0</v>
      </c>
      <c r="Q9" s="18" t="n">
        <v>19.58075884</v>
      </c>
      <c r="R9" s="20" t="n">
        <v>1.47097222</v>
      </c>
    </row>
    <row r="10" spans="1:18">
      <c r="A10" s="15" t="s">
        <v>570</v>
      </c>
      <c r="B10" s="17" t="n">
        <v>10036</v>
      </c>
      <c r="C10" s="18">
        <f>(7920.0/B10*100)</f>
        <v/>
      </c>
      <c r="D10" s="19" t="n">
        <v>2116</v>
      </c>
      <c r="E10" s="18" t="n">
        <v>49.60223737</v>
      </c>
      <c r="F10" s="20" t="n">
        <v>1.42597628</v>
      </c>
      <c r="G10" s="18" t="n">
        <v>38.74293194</v>
      </c>
      <c r="H10" s="20" t="n">
        <v>1.5252504</v>
      </c>
      <c r="I10" s="18" t="s">
        <v>567</v>
      </c>
      <c r="J10" s="20" t="s">
        <v>567</v>
      </c>
      <c r="K10" s="18" t="n">
        <v>1.2574087</v>
      </c>
      <c r="L10" s="20" t="n">
        <v>0.35387513</v>
      </c>
      <c r="M10" s="18" t="n">
        <v>0</v>
      </c>
      <c r="N10" s="20" t="n">
        <v>0</v>
      </c>
      <c r="O10" s="18" t="n">
        <v>0</v>
      </c>
      <c r="P10" s="20" t="n">
        <v>0</v>
      </c>
      <c r="Q10" s="18" t="n">
        <v>10.39742199</v>
      </c>
      <c r="R10" s="20" t="n">
        <v>0.9199810899999999</v>
      </c>
    </row>
    <row r="11" spans="1:18">
      <c r="A11" s="15" t="s">
        <v>571</v>
      </c>
      <c r="B11" s="17" t="n">
        <v>3553</v>
      </c>
      <c r="C11" s="18">
        <f>(2889.0/B11*100)</f>
        <v/>
      </c>
      <c r="D11" s="19" t="n">
        <v>664</v>
      </c>
      <c r="E11" s="18" t="n">
        <v>55.83669112</v>
      </c>
      <c r="F11" s="20" t="n">
        <v>2.49170572</v>
      </c>
      <c r="G11" s="18" t="n">
        <v>13.8301879</v>
      </c>
      <c r="H11" s="20" t="n">
        <v>1.55156502</v>
      </c>
      <c r="I11" s="18" t="s">
        <v>567</v>
      </c>
      <c r="J11" s="20" t="s">
        <v>567</v>
      </c>
      <c r="K11" s="18" t="n">
        <v>3.96280863</v>
      </c>
      <c r="L11" s="20" t="n">
        <v>0.85056073</v>
      </c>
      <c r="M11" s="18" t="n">
        <v>0</v>
      </c>
      <c r="N11" s="20" t="n">
        <v>0</v>
      </c>
      <c r="O11" s="18" t="n">
        <v>0</v>
      </c>
      <c r="P11" s="20" t="n">
        <v>0</v>
      </c>
      <c r="Q11" s="18" t="n">
        <v>26.37031235</v>
      </c>
      <c r="R11" s="20" t="n">
        <v>1.95498111</v>
      </c>
    </row>
    <row r="12" spans="1:18">
      <c r="A12" s="15" t="s">
        <v>572</v>
      </c>
      <c r="B12" s="17" t="n">
        <v>3472</v>
      </c>
      <c r="C12" s="18">
        <f>(2750.0/B12*100)</f>
        <v/>
      </c>
      <c r="D12" s="19" t="n">
        <v>722</v>
      </c>
      <c r="E12" s="18" t="n">
        <v>34.65229144</v>
      </c>
      <c r="F12" s="20" t="n">
        <v>1.84321542</v>
      </c>
      <c r="G12" s="18" t="n">
        <v>29.8510442</v>
      </c>
      <c r="H12" s="20" t="n">
        <v>1.77190956</v>
      </c>
      <c r="I12" s="18" t="s">
        <v>567</v>
      </c>
      <c r="J12" s="20" t="s">
        <v>567</v>
      </c>
      <c r="K12" s="18" t="n">
        <v>1.92464189</v>
      </c>
      <c r="L12" s="20" t="n">
        <v>0.45186764</v>
      </c>
      <c r="M12" s="18" t="n">
        <v>0</v>
      </c>
      <c r="N12" s="20" t="n">
        <v>0</v>
      </c>
      <c r="O12" s="18" t="n">
        <v>0</v>
      </c>
      <c r="P12" s="20" t="n">
        <v>0</v>
      </c>
      <c r="Q12" s="18" t="n">
        <v>33.57202247</v>
      </c>
      <c r="R12" s="20" t="n">
        <v>2.22027955</v>
      </c>
    </row>
    <row r="13" spans="1:18">
      <c r="A13" s="15" t="s">
        <v>573</v>
      </c>
      <c r="B13" s="17" t="n">
        <v>3559</v>
      </c>
      <c r="C13" s="18">
        <f>(2867.0/B13*100)</f>
        <v/>
      </c>
      <c r="D13" s="19" t="n">
        <v>692</v>
      </c>
      <c r="E13" s="18" t="n">
        <v>55.05742124</v>
      </c>
      <c r="F13" s="20" t="n">
        <v>2.79905266</v>
      </c>
      <c r="G13" s="18" t="n">
        <v>24.39715717</v>
      </c>
      <c r="H13" s="20" t="n">
        <v>1.87621445</v>
      </c>
      <c r="I13" s="18" t="s">
        <v>567</v>
      </c>
      <c r="J13" s="20" t="s">
        <v>567</v>
      </c>
      <c r="K13" s="18" t="n">
        <v>1.79950474</v>
      </c>
      <c r="L13" s="20" t="n">
        <v>0.5421044699999999</v>
      </c>
      <c r="M13" s="18" t="n">
        <v>0.13450935</v>
      </c>
      <c r="N13" s="20" t="n">
        <v>0.13629298</v>
      </c>
      <c r="O13" s="18" t="n">
        <v>0</v>
      </c>
      <c r="P13" s="20" t="n">
        <v>0</v>
      </c>
      <c r="Q13" s="18" t="n">
        <v>18.61140749</v>
      </c>
      <c r="R13" s="20" t="n">
        <v>1.8735694</v>
      </c>
    </row>
    <row r="14" spans="1:18">
      <c r="A14" s="15" t="s">
        <v>574</v>
      </c>
      <c r="B14" s="17" t="n">
        <v>2799</v>
      </c>
      <c r="C14" s="18">
        <f>(2225.0/B14*100)</f>
        <v/>
      </c>
      <c r="D14" s="19" t="n">
        <v>574</v>
      </c>
      <c r="E14" s="18" t="n">
        <v>45.41691801</v>
      </c>
      <c r="F14" s="20" t="n">
        <v>2.54275649</v>
      </c>
      <c r="G14" s="18" t="n">
        <v>33.74724618</v>
      </c>
      <c r="H14" s="20" t="n">
        <v>1.86589748</v>
      </c>
      <c r="I14" s="18" t="s">
        <v>567</v>
      </c>
      <c r="J14" s="20" t="s">
        <v>567</v>
      </c>
      <c r="K14" s="18" t="n">
        <v>1.08465105</v>
      </c>
      <c r="L14" s="20" t="n">
        <v>0.4584281</v>
      </c>
      <c r="M14" s="18" t="n">
        <v>0</v>
      </c>
      <c r="N14" s="20" t="n">
        <v>0</v>
      </c>
      <c r="O14" s="18" t="n">
        <v>0</v>
      </c>
      <c r="P14" s="20" t="n">
        <v>0</v>
      </c>
      <c r="Q14" s="18" t="n">
        <v>19.75118476</v>
      </c>
      <c r="R14" s="20" t="n">
        <v>1.94023251</v>
      </c>
    </row>
    <row r="15" spans="1:18">
      <c r="A15" s="15" t="s">
        <v>575</v>
      </c>
      <c r="B15" s="17" t="n">
        <v>3019</v>
      </c>
      <c r="C15" s="18">
        <f>(2359.0/B15*100)</f>
        <v/>
      </c>
      <c r="D15" s="19" t="n">
        <v>660</v>
      </c>
      <c r="E15" s="18" t="n">
        <v>44.92900701</v>
      </c>
      <c r="F15" s="20" t="n">
        <v>2.03453941</v>
      </c>
      <c r="G15" s="18" t="n">
        <v>32.60019517</v>
      </c>
      <c r="H15" s="20" t="n">
        <v>1.9664824</v>
      </c>
      <c r="I15" s="18" t="s">
        <v>567</v>
      </c>
      <c r="J15" s="20" t="s">
        <v>567</v>
      </c>
      <c r="K15" s="18" t="n">
        <v>0.61072677</v>
      </c>
      <c r="L15" s="20" t="n">
        <v>0.31804323</v>
      </c>
      <c r="M15" s="18" t="n">
        <v>0</v>
      </c>
      <c r="N15" s="20" t="n">
        <v>0</v>
      </c>
      <c r="O15" s="18" t="n">
        <v>0</v>
      </c>
      <c r="P15" s="20" t="n">
        <v>0</v>
      </c>
      <c r="Q15" s="18" t="n">
        <v>21.86007104</v>
      </c>
      <c r="R15" s="20" t="n">
        <v>1.5962839</v>
      </c>
    </row>
    <row r="16" spans="1:18">
      <c r="A16" s="15" t="s">
        <v>576</v>
      </c>
      <c r="B16" s="17" t="n">
        <v>2997</v>
      </c>
      <c r="C16" s="18">
        <f>(2345.0/B16*100)</f>
        <v/>
      </c>
      <c r="D16" s="19" t="n">
        <v>652</v>
      </c>
      <c r="E16" s="18" t="n">
        <v>35.46603774</v>
      </c>
      <c r="F16" s="20" t="n">
        <v>1.87229641</v>
      </c>
      <c r="G16" s="18" t="n">
        <v>25.49608779</v>
      </c>
      <c r="H16" s="20" t="n">
        <v>1.7925505</v>
      </c>
      <c r="I16" s="18" t="s">
        <v>567</v>
      </c>
      <c r="J16" s="20" t="s">
        <v>567</v>
      </c>
      <c r="K16" s="18" t="n">
        <v>3.72882913</v>
      </c>
      <c r="L16" s="20" t="n">
        <v>0.59236851</v>
      </c>
      <c r="M16" s="18" t="n">
        <v>0</v>
      </c>
      <c r="N16" s="20" t="n">
        <v>0</v>
      </c>
      <c r="O16" s="18" t="n">
        <v>0</v>
      </c>
      <c r="P16" s="20" t="n">
        <v>0</v>
      </c>
      <c r="Q16" s="18" t="n">
        <v>35.30904534</v>
      </c>
      <c r="R16" s="20" t="n">
        <v>1.8444903</v>
      </c>
    </row>
    <row r="17" spans="1:18">
      <c r="A17" s="15" t="s">
        <v>577</v>
      </c>
      <c r="B17" s="17" t="n">
        <v>3307</v>
      </c>
      <c r="C17" s="18">
        <f>(2629.0/B17*100)</f>
        <v/>
      </c>
      <c r="D17" s="19" t="n">
        <v>678</v>
      </c>
      <c r="E17" s="18" t="n">
        <v>40.99095946</v>
      </c>
      <c r="F17" s="20" t="n">
        <v>2.17700314</v>
      </c>
      <c r="G17" s="18" t="n">
        <v>30.04558482</v>
      </c>
      <c r="H17" s="20" t="n">
        <v>2.30408785</v>
      </c>
      <c r="I17" s="18" t="s">
        <v>567</v>
      </c>
      <c r="J17" s="20" t="s">
        <v>567</v>
      </c>
      <c r="K17" s="18" t="n">
        <v>2.56024009</v>
      </c>
      <c r="L17" s="20" t="n">
        <v>0.62082934</v>
      </c>
      <c r="M17" s="18" t="n">
        <v>0</v>
      </c>
      <c r="N17" s="20" t="n">
        <v>0</v>
      </c>
      <c r="O17" s="18" t="n">
        <v>0</v>
      </c>
      <c r="P17" s="20" t="n">
        <v>0</v>
      </c>
      <c r="Q17" s="18" t="n">
        <v>26.40321564</v>
      </c>
      <c r="R17" s="20" t="n">
        <v>2.02326725</v>
      </c>
    </row>
    <row r="18" spans="1:18">
      <c r="A18" s="15" t="s">
        <v>578</v>
      </c>
      <c r="B18" s="17" t="n">
        <v>2826</v>
      </c>
      <c r="C18" s="18">
        <f>(2212.0/B18*100)</f>
        <v/>
      </c>
      <c r="D18" s="19" t="n">
        <v>614</v>
      </c>
      <c r="E18" s="18" t="n">
        <v>50.40012143</v>
      </c>
      <c r="F18" s="20" t="n">
        <v>2.01644909</v>
      </c>
      <c r="G18" s="18" t="n">
        <v>18.63334835</v>
      </c>
      <c r="H18" s="20" t="n">
        <v>1.63434513</v>
      </c>
      <c r="I18" s="18" t="s">
        <v>567</v>
      </c>
      <c r="J18" s="20" t="s">
        <v>567</v>
      </c>
      <c r="K18" s="18" t="n">
        <v>3.80702034</v>
      </c>
      <c r="L18" s="20" t="n">
        <v>0.99765311</v>
      </c>
      <c r="M18" s="18" t="n">
        <v>0</v>
      </c>
      <c r="N18" s="20" t="n">
        <v>0</v>
      </c>
      <c r="O18" s="18" t="n">
        <v>0</v>
      </c>
      <c r="P18" s="20" t="n">
        <v>0</v>
      </c>
      <c r="Q18" s="18" t="n">
        <v>27.15950988</v>
      </c>
      <c r="R18" s="20" t="n">
        <v>2.12523878</v>
      </c>
    </row>
    <row r="19" spans="1:18">
      <c r="A19" s="15" t="s">
        <v>579</v>
      </c>
      <c r="B19" s="17" t="n">
        <v>2808</v>
      </c>
      <c r="C19" s="18">
        <f>(2246.0/B19*100)</f>
        <v/>
      </c>
      <c r="D19" s="19" t="n">
        <v>562</v>
      </c>
      <c r="E19" s="18" t="n">
        <v>37.68630744</v>
      </c>
      <c r="F19" s="20" t="n">
        <v>2.43823746</v>
      </c>
      <c r="G19" s="18" t="n">
        <v>26.42596986</v>
      </c>
      <c r="H19" s="20" t="n">
        <v>1.96442636</v>
      </c>
      <c r="I19" s="18" t="s">
        <v>567</v>
      </c>
      <c r="J19" s="20" t="s">
        <v>567</v>
      </c>
      <c r="K19" s="18" t="n">
        <v>2.07517016</v>
      </c>
      <c r="L19" s="20" t="n">
        <v>0.61099655</v>
      </c>
      <c r="M19" s="18" t="n">
        <v>0</v>
      </c>
      <c r="N19" s="20" t="n">
        <v>0</v>
      </c>
      <c r="O19" s="18" t="n">
        <v>0</v>
      </c>
      <c r="P19" s="20" t="n">
        <v>0</v>
      </c>
      <c r="Q19" s="18" t="n">
        <v>33.81255254</v>
      </c>
      <c r="R19" s="20" t="n">
        <v>2.4713382</v>
      </c>
    </row>
    <row r="20" spans="1:18">
      <c r="A20" s="15" t="s">
        <v>580</v>
      </c>
      <c r="B20" s="17" t="n">
        <v>1630</v>
      </c>
      <c r="C20" s="18">
        <f>(1273.0/B20*100)</f>
        <v/>
      </c>
      <c r="D20" s="19" t="n">
        <v>357</v>
      </c>
      <c r="E20" s="18" t="n">
        <v>55.48938471</v>
      </c>
      <c r="F20" s="20" t="n">
        <v>2.66114287</v>
      </c>
      <c r="G20" s="18" t="n">
        <v>19.06716332</v>
      </c>
      <c r="H20" s="20" t="n">
        <v>2.20323634</v>
      </c>
      <c r="I20" s="18" t="s">
        <v>567</v>
      </c>
      <c r="J20" s="20" t="s">
        <v>567</v>
      </c>
      <c r="K20" s="18" t="n">
        <v>2.88078495</v>
      </c>
      <c r="L20" s="20" t="n">
        <v>0.75637159</v>
      </c>
      <c r="M20" s="18" t="n">
        <v>0.25476069</v>
      </c>
      <c r="N20" s="20" t="n">
        <v>0.25457104</v>
      </c>
      <c r="O20" s="18" t="n">
        <v>0</v>
      </c>
      <c r="P20" s="20" t="n">
        <v>0</v>
      </c>
      <c r="Q20" s="18" t="n">
        <v>22.30790632</v>
      </c>
      <c r="R20" s="20" t="n">
        <v>2.10603534</v>
      </c>
    </row>
    <row r="21" spans="1:18">
      <c r="A21" s="15" t="s">
        <v>581</v>
      </c>
      <c r="B21" s="17" t="n">
        <v>2908</v>
      </c>
      <c r="C21" s="18">
        <f>(2267.0/B21*100)</f>
        <v/>
      </c>
      <c r="D21" s="19" t="n">
        <v>641</v>
      </c>
      <c r="E21" s="18" t="n">
        <v>54.79700725</v>
      </c>
      <c r="F21" s="20" t="n">
        <v>2.34883962</v>
      </c>
      <c r="G21" s="18" t="n">
        <v>22.74211366</v>
      </c>
      <c r="H21" s="20" t="n">
        <v>1.88350857</v>
      </c>
      <c r="I21" s="18" t="s">
        <v>567</v>
      </c>
      <c r="J21" s="20" t="s">
        <v>567</v>
      </c>
      <c r="K21" s="18" t="n">
        <v>2.07465396</v>
      </c>
      <c r="L21" s="20" t="n">
        <v>0.57760272</v>
      </c>
      <c r="M21" s="18" t="n">
        <v>0</v>
      </c>
      <c r="N21" s="20" t="n">
        <v>0</v>
      </c>
      <c r="O21" s="18" t="n">
        <v>0</v>
      </c>
      <c r="P21" s="20" t="n">
        <v>0</v>
      </c>
      <c r="Q21" s="18" t="n">
        <v>20.38622513</v>
      </c>
      <c r="R21" s="20" t="n">
        <v>1.72240257</v>
      </c>
    </row>
    <row r="22" spans="1:18">
      <c r="A22" s="15" t="s">
        <v>582</v>
      </c>
      <c r="B22" s="17" t="n">
        <v>2931</v>
      </c>
      <c r="C22" s="18">
        <f>(2321.0/B22*100)</f>
        <v/>
      </c>
      <c r="D22" s="19" t="n">
        <v>610</v>
      </c>
      <c r="E22" s="18" t="n">
        <v>50.81659229</v>
      </c>
      <c r="F22" s="20" t="n">
        <v>1.74505587</v>
      </c>
      <c r="G22" s="18" t="n">
        <v>20.44522885</v>
      </c>
      <c r="H22" s="20" t="n">
        <v>1.84543537</v>
      </c>
      <c r="I22" s="18" t="s">
        <v>567</v>
      </c>
      <c r="J22" s="20" t="s">
        <v>567</v>
      </c>
      <c r="K22" s="18" t="n">
        <v>3.83634472</v>
      </c>
      <c r="L22" s="20" t="n">
        <v>0.95367402</v>
      </c>
      <c r="M22" s="18" t="n">
        <v>0</v>
      </c>
      <c r="N22" s="20" t="n">
        <v>0</v>
      </c>
      <c r="O22" s="18" t="n">
        <v>0</v>
      </c>
      <c r="P22" s="20" t="n">
        <v>0</v>
      </c>
      <c r="Q22" s="18" t="n">
        <v>24.90183413</v>
      </c>
      <c r="R22" s="20" t="n">
        <v>1.85577408</v>
      </c>
    </row>
    <row r="23" spans="1:18">
      <c r="A23" s="15" t="s">
        <v>583</v>
      </c>
      <c r="B23" s="17" t="n">
        <v>5791</v>
      </c>
      <c r="C23" s="18">
        <f>(4523.0/B23*100)</f>
        <v/>
      </c>
      <c r="D23" s="19" t="n">
        <v>1268</v>
      </c>
      <c r="E23" s="18" t="n">
        <v>42.22921858</v>
      </c>
      <c r="F23" s="20" t="n">
        <v>1.61320272</v>
      </c>
      <c r="G23" s="18" t="n">
        <v>24.94914413</v>
      </c>
      <c r="H23" s="20" t="n">
        <v>2.05273786</v>
      </c>
      <c r="I23" s="18" t="s">
        <v>567</v>
      </c>
      <c r="J23" s="20" t="s">
        <v>567</v>
      </c>
      <c r="K23" s="18" t="n">
        <v>3.78118154</v>
      </c>
      <c r="L23" s="20" t="n">
        <v>0.73761511</v>
      </c>
      <c r="M23" s="18" t="n">
        <v>0.16814129</v>
      </c>
      <c r="N23" s="20" t="n">
        <v>0.12870353</v>
      </c>
      <c r="O23" s="18" t="n">
        <v>0</v>
      </c>
      <c r="P23" s="20" t="n">
        <v>0</v>
      </c>
      <c r="Q23" s="18" t="n">
        <v>28.87231447</v>
      </c>
      <c r="R23" s="20" t="n">
        <v>1.81878498</v>
      </c>
    </row>
    <row r="24" spans="1:18">
      <c r="A24" s="15" t="s">
        <v>584</v>
      </c>
      <c r="B24" s="17" t="n">
        <v>3338</v>
      </c>
      <c r="C24" s="18">
        <f>(2636.0/B24*100)</f>
        <v/>
      </c>
      <c r="D24" s="19" t="n">
        <v>702</v>
      </c>
      <c r="E24" s="18" t="n">
        <v>44.41541526</v>
      </c>
      <c r="F24" s="20" t="n">
        <v>1.83668753</v>
      </c>
      <c r="G24" s="18" t="n">
        <v>38.91237804</v>
      </c>
      <c r="H24" s="20" t="n">
        <v>1.85252047</v>
      </c>
      <c r="I24" s="18" t="s">
        <v>567</v>
      </c>
      <c r="J24" s="20" t="s">
        <v>567</v>
      </c>
      <c r="K24" s="18" t="n">
        <v>0.70845685</v>
      </c>
      <c r="L24" s="20" t="n">
        <v>0.37057239</v>
      </c>
      <c r="M24" s="18" t="n">
        <v>0</v>
      </c>
      <c r="N24" s="20" t="n">
        <v>0</v>
      </c>
      <c r="O24" s="18" t="n">
        <v>0</v>
      </c>
      <c r="P24" s="20" t="n">
        <v>0</v>
      </c>
      <c r="Q24" s="18" t="n">
        <v>15.96374984</v>
      </c>
      <c r="R24" s="20" t="n">
        <v>1.45258627</v>
      </c>
    </row>
    <row r="25" spans="1:18">
      <c r="A25" s="15" t="s">
        <v>585</v>
      </c>
      <c r="B25" s="17" t="n">
        <v>2912</v>
      </c>
      <c r="C25" s="18">
        <f>(2283.0/B25*100)</f>
        <v/>
      </c>
      <c r="D25" s="19" t="n">
        <v>629</v>
      </c>
      <c r="E25" s="18" t="n">
        <v>49.47881452</v>
      </c>
      <c r="F25" s="20" t="n">
        <v>2.19851451</v>
      </c>
      <c r="G25" s="18" t="n">
        <v>36.58548198</v>
      </c>
      <c r="H25" s="20" t="n">
        <v>2.28194533</v>
      </c>
      <c r="I25" s="18" t="s">
        <v>567</v>
      </c>
      <c r="J25" s="20" t="s">
        <v>567</v>
      </c>
      <c r="K25" s="18" t="n">
        <v>0.62208523</v>
      </c>
      <c r="L25" s="20" t="n">
        <v>0.37918497</v>
      </c>
      <c r="M25" s="18" t="n">
        <v>0</v>
      </c>
      <c r="N25" s="20" t="n">
        <v>0</v>
      </c>
      <c r="O25" s="18" t="n">
        <v>0</v>
      </c>
      <c r="P25" s="20" t="n">
        <v>0</v>
      </c>
      <c r="Q25" s="18" t="n">
        <v>13.31361827</v>
      </c>
      <c r="R25" s="20" t="n">
        <v>1.60316765</v>
      </c>
    </row>
    <row r="26" spans="1:18">
      <c r="A26" s="15" t="s">
        <v>586</v>
      </c>
      <c r="B26" s="17" t="n">
        <v>2450</v>
      </c>
      <c r="C26" s="18">
        <f>(1937.0/B26*100)</f>
        <v/>
      </c>
      <c r="D26" s="19" t="n">
        <v>513</v>
      </c>
      <c r="E26" s="18" t="n">
        <v>54.11352941</v>
      </c>
      <c r="F26" s="20" t="n">
        <v>2.42930679</v>
      </c>
      <c r="G26" s="18" t="n">
        <v>22.174016</v>
      </c>
      <c r="H26" s="20" t="n">
        <v>1.69544255</v>
      </c>
      <c r="I26" s="18" t="s">
        <v>567</v>
      </c>
      <c r="J26" s="20" t="s">
        <v>567</v>
      </c>
      <c r="K26" s="18" t="n">
        <v>1.0745884</v>
      </c>
      <c r="L26" s="20" t="n">
        <v>0.42823909</v>
      </c>
      <c r="M26" s="18" t="n">
        <v>0</v>
      </c>
      <c r="N26" s="20" t="n">
        <v>0</v>
      </c>
      <c r="O26" s="18" t="n">
        <v>0</v>
      </c>
      <c r="P26" s="20" t="n">
        <v>0</v>
      </c>
      <c r="Q26" s="18" t="n">
        <v>22.6378662</v>
      </c>
      <c r="R26" s="20" t="n">
        <v>2.0860263</v>
      </c>
    </row>
    <row r="27" spans="1:18">
      <c r="A27" s="15" t="s">
        <v>587</v>
      </c>
      <c r="B27" s="17" t="n">
        <v>2616</v>
      </c>
      <c r="C27" s="18">
        <f>(2024.0/B27*100)</f>
        <v/>
      </c>
      <c r="D27" s="19" t="n">
        <v>592</v>
      </c>
      <c r="E27" s="18" t="n">
        <v>46.57676103</v>
      </c>
      <c r="F27" s="20" t="n">
        <v>1.82728166</v>
      </c>
      <c r="G27" s="18" t="n">
        <v>22.55417245</v>
      </c>
      <c r="H27" s="20" t="n">
        <v>1.67196916</v>
      </c>
      <c r="I27" s="18" t="s">
        <v>567</v>
      </c>
      <c r="J27" s="20" t="s">
        <v>567</v>
      </c>
      <c r="K27" s="18" t="n">
        <v>3.69987541</v>
      </c>
      <c r="L27" s="20" t="n">
        <v>0.78663035</v>
      </c>
      <c r="M27" s="18" t="n">
        <v>0</v>
      </c>
      <c r="N27" s="20" t="n">
        <v>0</v>
      </c>
      <c r="O27" s="18" t="n">
        <v>0</v>
      </c>
      <c r="P27" s="20" t="n">
        <v>0</v>
      </c>
      <c r="Q27" s="18" t="n">
        <v>27.16919111</v>
      </c>
      <c r="R27" s="20" t="n">
        <v>1.66610568</v>
      </c>
    </row>
    <row r="28" spans="1:18">
      <c r="A28" s="15" t="s">
        <v>588</v>
      </c>
      <c r="B28" s="17" t="n">
        <v>3765</v>
      </c>
      <c r="C28" s="18">
        <f>(3056.0/B28*100)</f>
        <v/>
      </c>
      <c r="D28" s="19" t="n">
        <v>709</v>
      </c>
      <c r="E28" s="18" t="n">
        <v>79.22522425</v>
      </c>
      <c r="F28" s="20" t="n">
        <v>1.99811487</v>
      </c>
      <c r="G28" s="18" t="n">
        <v>13.10934751</v>
      </c>
      <c r="H28" s="20" t="n">
        <v>1.44002093</v>
      </c>
      <c r="I28" s="18" t="s">
        <v>567</v>
      </c>
      <c r="J28" s="20" t="s">
        <v>567</v>
      </c>
      <c r="K28" s="18" t="n">
        <v>1.76860845</v>
      </c>
      <c r="L28" s="20" t="n">
        <v>0.45644004</v>
      </c>
      <c r="M28" s="18" t="n">
        <v>0.419996</v>
      </c>
      <c r="N28" s="20" t="n">
        <v>0.30976154</v>
      </c>
      <c r="O28" s="18" t="n">
        <v>0</v>
      </c>
      <c r="P28" s="20" t="n">
        <v>0</v>
      </c>
      <c r="Q28" s="18" t="n">
        <v>5.47682379</v>
      </c>
      <c r="R28" s="20" t="n">
        <v>1.03071257</v>
      </c>
    </row>
    <row r="29" spans="1:18">
      <c r="A29" s="15" t="s">
        <v>589</v>
      </c>
      <c r="B29" s="17" t="n">
        <v>2685</v>
      </c>
      <c r="C29" s="18">
        <f>(2150.0/B29*100)</f>
        <v/>
      </c>
      <c r="D29" s="19" t="n">
        <v>535</v>
      </c>
      <c r="E29" s="18" t="n">
        <v>56.56137115</v>
      </c>
      <c r="F29" s="20" t="n">
        <v>2.3175711</v>
      </c>
      <c r="G29" s="18" t="n">
        <v>35.99021194</v>
      </c>
      <c r="H29" s="20" t="n">
        <v>2.33081826</v>
      </c>
      <c r="I29" s="18" t="s">
        <v>567</v>
      </c>
      <c r="J29" s="20" t="s">
        <v>567</v>
      </c>
      <c r="K29" s="18" t="n">
        <v>1.16166056</v>
      </c>
      <c r="L29" s="20" t="n">
        <v>0.49813043</v>
      </c>
      <c r="M29" s="18" t="n">
        <v>0</v>
      </c>
      <c r="N29" s="20" t="n">
        <v>0</v>
      </c>
      <c r="O29" s="18" t="n">
        <v>0</v>
      </c>
      <c r="P29" s="20" t="n">
        <v>0</v>
      </c>
      <c r="Q29" s="18" t="n">
        <v>6.28675635</v>
      </c>
      <c r="R29" s="20" t="n">
        <v>1.18887564</v>
      </c>
    </row>
    <row r="30" spans="1:18">
      <c r="A30" s="15" t="s">
        <v>590</v>
      </c>
      <c r="B30" s="17" t="n">
        <v>2263</v>
      </c>
      <c r="C30" s="18">
        <f>(1783.0/B30*100)</f>
        <v/>
      </c>
      <c r="D30" s="19" t="n">
        <v>480</v>
      </c>
      <c r="E30" s="18" t="n">
        <v>46.679542</v>
      </c>
      <c r="F30" s="20" t="n">
        <v>2.34225103</v>
      </c>
      <c r="G30" s="18" t="n">
        <v>30.04095607</v>
      </c>
      <c r="H30" s="20" t="n">
        <v>1.96407136</v>
      </c>
      <c r="I30" s="18" t="s">
        <v>567</v>
      </c>
      <c r="J30" s="20" t="s">
        <v>567</v>
      </c>
      <c r="K30" s="18" t="n">
        <v>4.45097938</v>
      </c>
      <c r="L30" s="20" t="n">
        <v>1.26800023</v>
      </c>
      <c r="M30" s="18" t="n">
        <v>0</v>
      </c>
      <c r="N30" s="20" t="n">
        <v>0</v>
      </c>
      <c r="O30" s="18" t="n">
        <v>0</v>
      </c>
      <c r="P30" s="20" t="n">
        <v>0</v>
      </c>
      <c r="Q30" s="18" t="n">
        <v>18.82852256</v>
      </c>
      <c r="R30" s="20" t="n">
        <v>1.50502662</v>
      </c>
    </row>
    <row r="31" spans="1:18">
      <c r="A31" s="15" t="s">
        <v>591</v>
      </c>
      <c r="B31" s="17" t="n">
        <v>2750</v>
      </c>
      <c r="C31" s="18">
        <f>(2136.0/B31*100)</f>
        <v/>
      </c>
      <c r="D31" s="19" t="n">
        <v>614</v>
      </c>
      <c r="E31" s="18" t="n">
        <v>50.22867988</v>
      </c>
      <c r="F31" s="20" t="n">
        <v>2.0728855</v>
      </c>
      <c r="G31" s="18" t="n">
        <v>24.09329092</v>
      </c>
      <c r="H31" s="20" t="n">
        <v>1.9839062</v>
      </c>
      <c r="I31" s="18" t="s">
        <v>567</v>
      </c>
      <c r="J31" s="20" t="s">
        <v>567</v>
      </c>
      <c r="K31" s="18" t="n">
        <v>3.05774622</v>
      </c>
      <c r="L31" s="20" t="n">
        <v>0.75449613</v>
      </c>
      <c r="M31" s="18" t="n">
        <v>0</v>
      </c>
      <c r="N31" s="20" t="n">
        <v>0</v>
      </c>
      <c r="O31" s="18" t="n">
        <v>0</v>
      </c>
      <c r="P31" s="20" t="n">
        <v>0</v>
      </c>
      <c r="Q31" s="18" t="n">
        <v>22.62028299</v>
      </c>
      <c r="R31" s="20" t="n">
        <v>1.77577693</v>
      </c>
    </row>
    <row r="32" spans="1:18">
      <c r="A32" s="15" t="s">
        <v>592</v>
      </c>
      <c r="B32" s="17" t="n">
        <v>2269</v>
      </c>
      <c r="C32" s="18">
        <f>(1758.0/B32*100)</f>
        <v/>
      </c>
      <c r="D32" s="19" t="n">
        <v>511</v>
      </c>
      <c r="E32" s="18" t="n">
        <v>38.02748145</v>
      </c>
      <c r="F32" s="20" t="n">
        <v>2.16136508</v>
      </c>
      <c r="G32" s="18" t="n">
        <v>31.01654578</v>
      </c>
      <c r="H32" s="20" t="n">
        <v>2.10364417</v>
      </c>
      <c r="I32" s="18" t="s">
        <v>567</v>
      </c>
      <c r="J32" s="20" t="s">
        <v>567</v>
      </c>
      <c r="K32" s="18" t="n">
        <v>0.56308355</v>
      </c>
      <c r="L32" s="20" t="n">
        <v>0.32676195</v>
      </c>
      <c r="M32" s="18" t="n">
        <v>0</v>
      </c>
      <c r="N32" s="20" t="n">
        <v>0</v>
      </c>
      <c r="O32" s="18" t="n">
        <v>0</v>
      </c>
      <c r="P32" s="20" t="n">
        <v>0</v>
      </c>
      <c r="Q32" s="18" t="n">
        <v>30.39288922</v>
      </c>
      <c r="R32" s="20" t="n">
        <v>1.96442978</v>
      </c>
    </row>
    <row r="33" spans="1:18">
      <c r="A33" s="15" t="s">
        <v>593</v>
      </c>
      <c r="B33" s="17" t="n">
        <v>3674</v>
      </c>
      <c r="C33" s="18">
        <f>(2936.0/B33*100)</f>
        <v/>
      </c>
      <c r="D33" s="19" t="n">
        <v>738</v>
      </c>
      <c r="E33" s="18" t="n">
        <v>47.05025876</v>
      </c>
      <c r="F33" s="20" t="n">
        <v>2.09207343</v>
      </c>
      <c r="G33" s="18" t="n">
        <v>22.26043161</v>
      </c>
      <c r="H33" s="20" t="n">
        <v>2.15031593</v>
      </c>
      <c r="I33" s="18" t="s">
        <v>567</v>
      </c>
      <c r="J33" s="20" t="s">
        <v>567</v>
      </c>
      <c r="K33" s="18" t="n">
        <v>1.40011553</v>
      </c>
      <c r="L33" s="20" t="n">
        <v>0.49384163</v>
      </c>
      <c r="M33" s="18" t="n">
        <v>0.17156152</v>
      </c>
      <c r="N33" s="20" t="n">
        <v>0.17024784</v>
      </c>
      <c r="O33" s="18" t="n">
        <v>0</v>
      </c>
      <c r="P33" s="20" t="n">
        <v>0</v>
      </c>
      <c r="Q33" s="18" t="n">
        <v>29.11763257</v>
      </c>
      <c r="R33" s="20" t="n">
        <v>1.92767143</v>
      </c>
    </row>
    <row r="34" spans="1:18">
      <c r="A34" s="15" t="s">
        <v>594</v>
      </c>
      <c r="B34" s="17" t="n">
        <v>3315</v>
      </c>
      <c r="C34" s="18">
        <f>(2634.0/B34*100)</f>
        <v/>
      </c>
      <c r="D34" s="19" t="n">
        <v>681</v>
      </c>
      <c r="E34" s="18" t="n">
        <v>50.16463643</v>
      </c>
      <c r="F34" s="20" t="n">
        <v>2.29301369</v>
      </c>
      <c r="G34" s="18" t="n">
        <v>14.59096742</v>
      </c>
      <c r="H34" s="20" t="n">
        <v>1.41581141</v>
      </c>
      <c r="I34" s="18" t="s">
        <v>567</v>
      </c>
      <c r="J34" s="20" t="s">
        <v>567</v>
      </c>
      <c r="K34" s="18" t="n">
        <v>2.48998696</v>
      </c>
      <c r="L34" s="20" t="n">
        <v>0.67088194</v>
      </c>
      <c r="M34" s="18" t="n">
        <v>0.32062195</v>
      </c>
      <c r="N34" s="20" t="n">
        <v>0.2195391</v>
      </c>
      <c r="O34" s="18" t="n">
        <v>0</v>
      </c>
      <c r="P34" s="20" t="n">
        <v>0</v>
      </c>
      <c r="Q34" s="18" t="n">
        <v>32.43378723</v>
      </c>
      <c r="R34" s="20" t="n">
        <v>2.10686183</v>
      </c>
    </row>
    <row r="35" spans="1:18">
      <c r="A35" s="15" t="s">
        <v>595</v>
      </c>
      <c r="B35" s="17" t="n">
        <v>3505</v>
      </c>
      <c r="C35" s="18">
        <f>(2732.0/B35*100)</f>
        <v/>
      </c>
      <c r="D35" s="19" t="n">
        <v>773</v>
      </c>
      <c r="E35" s="18" t="n">
        <v>48.38560952</v>
      </c>
      <c r="F35" s="20" t="n">
        <v>2.30157085</v>
      </c>
      <c r="G35" s="18" t="n">
        <v>22.90958262</v>
      </c>
      <c r="H35" s="20" t="n">
        <v>1.89809916</v>
      </c>
      <c r="I35" s="18" t="s">
        <v>567</v>
      </c>
      <c r="J35" s="20" t="s">
        <v>567</v>
      </c>
      <c r="K35" s="18" t="n">
        <v>1.80774182</v>
      </c>
      <c r="L35" s="20" t="n">
        <v>0.5916183</v>
      </c>
      <c r="M35" s="18" t="n">
        <v>0.47173289</v>
      </c>
      <c r="N35" s="20" t="n">
        <v>0.33525826</v>
      </c>
      <c r="O35" s="18" t="n">
        <v>0</v>
      </c>
      <c r="P35" s="20" t="n">
        <v>0</v>
      </c>
      <c r="Q35" s="18" t="n">
        <v>26.42533315</v>
      </c>
      <c r="R35" s="20" t="n">
        <v>1.9029798</v>
      </c>
    </row>
    <row r="36" spans="1:18">
      <c r="A36" s="15" t="s">
        <v>596</v>
      </c>
      <c r="B36" s="17" t="n">
        <v>3332</v>
      </c>
      <c r="C36" s="18">
        <f>(2685.0/B36*100)</f>
        <v/>
      </c>
      <c r="D36" s="19" t="n">
        <v>647</v>
      </c>
      <c r="E36" s="18" t="n">
        <v>47.99874675</v>
      </c>
      <c r="F36" s="20" t="n">
        <v>2.09441537</v>
      </c>
      <c r="G36" s="18" t="n">
        <v>30.3330495</v>
      </c>
      <c r="H36" s="20" t="n">
        <v>1.91986723</v>
      </c>
      <c r="I36" s="18" t="s">
        <v>567</v>
      </c>
      <c r="J36" s="20" t="s">
        <v>567</v>
      </c>
      <c r="K36" s="18" t="n">
        <v>3.00406107</v>
      </c>
      <c r="L36" s="20" t="n">
        <v>0.61044858</v>
      </c>
      <c r="M36" s="18" t="n">
        <v>0.14676401</v>
      </c>
      <c r="N36" s="20" t="n">
        <v>0.147715</v>
      </c>
      <c r="O36" s="18" t="n">
        <v>0</v>
      </c>
      <c r="P36" s="20" t="n">
        <v>0</v>
      </c>
      <c r="Q36" s="18" t="n">
        <v>18.51737868</v>
      </c>
      <c r="R36" s="20" t="n">
        <v>1.98630981</v>
      </c>
    </row>
    <row r="37" spans="1:18">
      <c r="A37" s="15" t="s">
        <v>597</v>
      </c>
      <c r="B37" s="17" t="n">
        <v>2727</v>
      </c>
      <c r="C37" s="18">
        <f>(2186.0/B37*100)</f>
        <v/>
      </c>
      <c r="D37" s="19" t="n">
        <v>541</v>
      </c>
      <c r="E37" s="18" t="n">
        <v>46.22525141</v>
      </c>
      <c r="F37" s="20" t="n">
        <v>2.473406</v>
      </c>
      <c r="G37" s="18" t="n">
        <v>18.27566842</v>
      </c>
      <c r="H37" s="20" t="n">
        <v>1.77327608</v>
      </c>
      <c r="I37" s="18" t="s">
        <v>567</v>
      </c>
      <c r="J37" s="20" t="s">
        <v>567</v>
      </c>
      <c r="K37" s="18" t="n">
        <v>4.79647696</v>
      </c>
      <c r="L37" s="20" t="n">
        <v>0.94335424</v>
      </c>
      <c r="M37" s="18" t="n">
        <v>0</v>
      </c>
      <c r="N37" s="20" t="n">
        <v>0</v>
      </c>
      <c r="O37" s="18" t="n">
        <v>0</v>
      </c>
      <c r="P37" s="20" t="n">
        <v>0</v>
      </c>
      <c r="Q37" s="18" t="n">
        <v>30.7026032</v>
      </c>
      <c r="R37" s="20" t="n">
        <v>1.97671973</v>
      </c>
    </row>
    <row r="38" spans="1:18">
      <c r="A38" s="15" t="s">
        <v>598</v>
      </c>
      <c r="B38" s="17" t="n">
        <v>3053</v>
      </c>
      <c r="C38" s="18">
        <f>(2423.0/B38*100)</f>
        <v/>
      </c>
      <c r="D38" s="19" t="n">
        <v>630</v>
      </c>
      <c r="E38" s="18" t="n">
        <v>44.19188846</v>
      </c>
      <c r="F38" s="20" t="n">
        <v>2.16435527</v>
      </c>
      <c r="G38" s="18" t="n">
        <v>28.21082407</v>
      </c>
      <c r="H38" s="20" t="n">
        <v>1.70959662</v>
      </c>
      <c r="I38" s="18" t="s">
        <v>567</v>
      </c>
      <c r="J38" s="20" t="s">
        <v>567</v>
      </c>
      <c r="K38" s="18" t="n">
        <v>2.35622072</v>
      </c>
      <c r="L38" s="20" t="n">
        <v>0.6791935</v>
      </c>
      <c r="M38" s="18" t="n">
        <v>2.49775122</v>
      </c>
      <c r="N38" s="20" t="n">
        <v>0.72115753</v>
      </c>
      <c r="O38" s="18" t="n">
        <v>0</v>
      </c>
      <c r="P38" s="20" t="n">
        <v>0</v>
      </c>
      <c r="Q38" s="18" t="n">
        <v>22.74331554</v>
      </c>
      <c r="R38" s="20" t="n">
        <v>1.53301958</v>
      </c>
    </row>
    <row r="39" spans="1:18">
      <c r="A39" s="15" t="s">
        <v>599</v>
      </c>
      <c r="B39" s="17" t="n">
        <v>2957</v>
      </c>
      <c r="C39" s="18">
        <f>(2319.0/B39*100)</f>
        <v/>
      </c>
      <c r="D39" s="19" t="n">
        <v>638</v>
      </c>
      <c r="E39" s="18" t="n">
        <v>56.94753944</v>
      </c>
      <c r="F39" s="20" t="n">
        <v>2.24957475</v>
      </c>
      <c r="G39" s="18" t="n">
        <v>14.11773063</v>
      </c>
      <c r="H39" s="20" t="n">
        <v>1.6248261</v>
      </c>
      <c r="I39" s="18" t="s">
        <v>567</v>
      </c>
      <c r="J39" s="20" t="s">
        <v>567</v>
      </c>
      <c r="K39" s="18" t="n">
        <v>1.55914189</v>
      </c>
      <c r="L39" s="20" t="n">
        <v>0.44180522</v>
      </c>
      <c r="M39" s="18" t="n">
        <v>0</v>
      </c>
      <c r="N39" s="20" t="n">
        <v>0</v>
      </c>
      <c r="O39" s="18" t="n">
        <v>0</v>
      </c>
      <c r="P39" s="20" t="n">
        <v>0</v>
      </c>
      <c r="Q39" s="18" t="n">
        <v>27.37558805</v>
      </c>
      <c r="R39" s="20" t="n">
        <v>1.88847502</v>
      </c>
    </row>
    <row r="40" spans="1:18">
      <c r="A40" s="15" t="s">
        <v>600</v>
      </c>
      <c r="B40" s="17" t="n">
        <v>7235</v>
      </c>
      <c r="C40" s="18">
        <f>(5667.0/B40*100)</f>
        <v/>
      </c>
      <c r="D40" s="19" t="n">
        <v>1568</v>
      </c>
      <c r="E40" s="18" t="n">
        <v>39.86056964</v>
      </c>
      <c r="F40" s="20" t="n">
        <v>1.9201017</v>
      </c>
      <c r="G40" s="18" t="n">
        <v>31.8613528</v>
      </c>
      <c r="H40" s="20" t="n">
        <v>1.85983615</v>
      </c>
      <c r="I40" s="18" t="s">
        <v>567</v>
      </c>
      <c r="J40" s="20" t="s">
        <v>567</v>
      </c>
      <c r="K40" s="18" t="n">
        <v>2.48667727</v>
      </c>
      <c r="L40" s="20" t="n">
        <v>0.67143762</v>
      </c>
      <c r="M40" s="18" t="n">
        <v>0.0523899</v>
      </c>
      <c r="N40" s="20" t="n">
        <v>0.04998915</v>
      </c>
      <c r="O40" s="18" t="n">
        <v>0</v>
      </c>
      <c r="P40" s="20" t="n">
        <v>0</v>
      </c>
      <c r="Q40" s="18" t="n">
        <v>25.73901039</v>
      </c>
      <c r="R40" s="20" t="n">
        <v>1.80470212</v>
      </c>
    </row>
    <row r="41" spans="1:18">
      <c r="A41" s="15" t="s">
        <v>601</v>
      </c>
      <c r="B41" s="17" t="n">
        <v>2858</v>
      </c>
      <c r="C41" s="18">
        <f>(2297.0/B41*100)</f>
        <v/>
      </c>
      <c r="D41" s="19" t="n">
        <v>561</v>
      </c>
      <c r="E41" s="18" t="n">
        <v>44.50764627</v>
      </c>
      <c r="F41" s="20" t="n">
        <v>2.24770353</v>
      </c>
      <c r="G41" s="18" t="n">
        <v>48.02084492</v>
      </c>
      <c r="H41" s="20" t="n">
        <v>2.51925715</v>
      </c>
      <c r="I41" s="18" t="s">
        <v>567</v>
      </c>
      <c r="J41" s="20" t="s">
        <v>567</v>
      </c>
      <c r="K41" s="18" t="n">
        <v>1.57257498</v>
      </c>
      <c r="L41" s="20" t="n">
        <v>0.61546086</v>
      </c>
      <c r="M41" s="18" t="n">
        <v>0</v>
      </c>
      <c r="N41" s="20" t="n">
        <v>0</v>
      </c>
      <c r="O41" s="18" t="n">
        <v>0</v>
      </c>
      <c r="P41" s="20" t="n">
        <v>0</v>
      </c>
      <c r="Q41" s="18" t="n">
        <v>5.89893383</v>
      </c>
      <c r="R41" s="20" t="n">
        <v>1.06123179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(9429.0/B46*100)</f>
        <v/>
      </c>
      <c r="D46" s="19" t="n">
        <v>1639</v>
      </c>
      <c r="E46" s="18" t="n">
        <v>52.0135894</v>
      </c>
      <c r="F46" s="20" t="n">
        <v>1.75562037</v>
      </c>
      <c r="G46" s="18" t="n">
        <v>15.34858966</v>
      </c>
      <c r="H46" s="20" t="n">
        <v>1.29222096</v>
      </c>
      <c r="I46" s="18" t="s">
        <v>567</v>
      </c>
      <c r="J46" s="20" t="s">
        <v>567</v>
      </c>
      <c r="K46" s="18" t="n">
        <v>7.45469581</v>
      </c>
      <c r="L46" s="20" t="n">
        <v>0.94198826</v>
      </c>
      <c r="M46" s="18" t="n">
        <v>0.35826069</v>
      </c>
      <c r="N46" s="20" t="n">
        <v>0.17128555</v>
      </c>
      <c r="O46" s="18" t="n">
        <v>0</v>
      </c>
      <c r="P46" s="20" t="n">
        <v>0</v>
      </c>
      <c r="Q46" s="18" t="n">
        <v>24.82486444</v>
      </c>
      <c r="R46" s="20" t="n">
        <v>1.47348163</v>
      </c>
    </row>
    <row r="47" spans="1:18">
      <c r="A47" s="15" t="s">
        <v>607</v>
      </c>
      <c r="B47" s="17" t="n">
        <v>3105</v>
      </c>
      <c r="C47" s="18">
        <f>(2498.0/B47*100)</f>
        <v/>
      </c>
      <c r="D47" s="19" t="n">
        <v>607</v>
      </c>
      <c r="E47" s="18" t="n">
        <v>33.78139018</v>
      </c>
      <c r="F47" s="20" t="n">
        <v>1.90720819</v>
      </c>
      <c r="G47" s="18" t="n">
        <v>19.82302881</v>
      </c>
      <c r="H47" s="20" t="n">
        <v>2.04100383</v>
      </c>
      <c r="I47" s="18" t="s">
        <v>567</v>
      </c>
      <c r="J47" s="20" t="s">
        <v>567</v>
      </c>
      <c r="K47" s="18" t="n">
        <v>3.36595773</v>
      </c>
      <c r="L47" s="20" t="n">
        <v>0.8003647</v>
      </c>
      <c r="M47" s="18" t="n">
        <v>0</v>
      </c>
      <c r="N47" s="20" t="n">
        <v>0</v>
      </c>
      <c r="O47" s="18" t="n">
        <v>0</v>
      </c>
      <c r="P47" s="20" t="n">
        <v>0</v>
      </c>
      <c r="Q47" s="18" t="n">
        <v>43.02962328</v>
      </c>
      <c r="R47" s="20" t="n">
        <v>2.34660771</v>
      </c>
    </row>
    <row r="48" spans="1:18">
      <c r="A48" s="15" t="s">
        <v>608</v>
      </c>
      <c r="B48" s="17" t="n">
        <v>5159</v>
      </c>
      <c r="C48" s="18">
        <f>(4050.0/B48*100)</f>
        <v/>
      </c>
      <c r="D48" s="19" t="n">
        <v>1109</v>
      </c>
      <c r="E48" s="18" t="n">
        <v>56.04691378</v>
      </c>
      <c r="F48" s="20" t="n">
        <v>1.86706751</v>
      </c>
      <c r="G48" s="18" t="n">
        <v>30.71815369</v>
      </c>
      <c r="H48" s="20" t="n">
        <v>2.00231453</v>
      </c>
      <c r="I48" s="18" t="s">
        <v>567</v>
      </c>
      <c r="J48" s="20" t="s">
        <v>567</v>
      </c>
      <c r="K48" s="18" t="n">
        <v>1.20799549</v>
      </c>
      <c r="L48" s="20" t="n">
        <v>0.42986522</v>
      </c>
      <c r="M48" s="18" t="n">
        <v>0</v>
      </c>
      <c r="N48" s="20" t="n">
        <v>0</v>
      </c>
      <c r="O48" s="18" t="n">
        <v>0</v>
      </c>
      <c r="P48" s="20" t="n">
        <v>0</v>
      </c>
      <c r="Q48" s="18" t="n">
        <v>12.02693704</v>
      </c>
      <c r="R48" s="20" t="n">
        <v>1.5521859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(4506.0/B50*100)</f>
        <v/>
      </c>
      <c r="D50" s="19" t="n">
        <v>1131</v>
      </c>
      <c r="E50" s="18" t="n">
        <v>65.53245398</v>
      </c>
      <c r="F50" s="20" t="n">
        <v>1.81525836</v>
      </c>
      <c r="G50" s="18" t="n">
        <v>17.55325339</v>
      </c>
      <c r="H50" s="20" t="n">
        <v>1.59652049</v>
      </c>
      <c r="I50" s="18" t="s">
        <v>567</v>
      </c>
      <c r="J50" s="20" t="s">
        <v>567</v>
      </c>
      <c r="K50" s="18" t="n">
        <v>6.58962127</v>
      </c>
      <c r="L50" s="20" t="n">
        <v>1.0052877</v>
      </c>
      <c r="M50" s="18" t="n">
        <v>0.14665178</v>
      </c>
      <c r="N50" s="20" t="n">
        <v>0.10675442</v>
      </c>
      <c r="O50" s="18" t="n">
        <v>0</v>
      </c>
      <c r="P50" s="20" t="n">
        <v>0</v>
      </c>
      <c r="Q50" s="18" t="n">
        <v>10.17801958</v>
      </c>
      <c r="R50" s="20" t="n">
        <v>1.1180533</v>
      </c>
    </row>
    <row r="51" spans="1:18">
      <c r="A51" s="15" t="s">
        <v>611</v>
      </c>
      <c r="B51" s="17" t="n">
        <v>3372</v>
      </c>
      <c r="C51" s="18">
        <f>(2815.0/B51*100)</f>
        <v/>
      </c>
      <c r="D51" s="19" t="n">
        <v>557</v>
      </c>
      <c r="E51" s="18" t="n">
        <v>71.55776218</v>
      </c>
      <c r="F51" s="20" t="n">
        <v>2.16385635</v>
      </c>
      <c r="G51" s="18" t="n">
        <v>10.78230496</v>
      </c>
      <c r="H51" s="20" t="n">
        <v>1.43612126</v>
      </c>
      <c r="I51" s="18" t="s">
        <v>567</v>
      </c>
      <c r="J51" s="20" t="s">
        <v>567</v>
      </c>
      <c r="K51" s="18" t="n">
        <v>1.89826836</v>
      </c>
      <c r="L51" s="20" t="n">
        <v>0.50350851</v>
      </c>
      <c r="M51" s="18" t="n">
        <v>0</v>
      </c>
      <c r="N51" s="20" t="n">
        <v>0</v>
      </c>
      <c r="O51" s="18" t="n">
        <v>0</v>
      </c>
      <c r="P51" s="20" t="n">
        <v>0</v>
      </c>
      <c r="Q51" s="18" t="n">
        <v>15.7616645</v>
      </c>
      <c r="R51" s="20" t="n">
        <v>1.9741936</v>
      </c>
    </row>
    <row r="52" spans="1:18">
      <c r="A52" s="15" t="s">
        <v>612</v>
      </c>
      <c r="B52" s="17" t="n">
        <v>2796</v>
      </c>
      <c r="C52" s="18">
        <f>(2162.0/B52*100)</f>
        <v/>
      </c>
      <c r="D52" s="19" t="n">
        <v>634</v>
      </c>
      <c r="E52" s="18" t="n">
        <v>37.77613034</v>
      </c>
      <c r="F52" s="20" t="n">
        <v>1.55102456</v>
      </c>
      <c r="G52" s="18" t="n">
        <v>23.89849113</v>
      </c>
      <c r="H52" s="20" t="n">
        <v>1.72866006</v>
      </c>
      <c r="I52" s="18" t="s">
        <v>567</v>
      </c>
      <c r="J52" s="20" t="s">
        <v>567</v>
      </c>
      <c r="K52" s="18" t="n">
        <v>3.00642496</v>
      </c>
      <c r="L52" s="20" t="n">
        <v>0.73406512</v>
      </c>
      <c r="M52" s="18" t="n">
        <v>0</v>
      </c>
      <c r="N52" s="20" t="n">
        <v>0</v>
      </c>
      <c r="O52" s="18" t="n">
        <v>0</v>
      </c>
      <c r="P52" s="20" t="n">
        <v>0</v>
      </c>
      <c r="Q52" s="18" t="n">
        <v>35.31895357</v>
      </c>
      <c r="R52" s="20" t="n">
        <v>1.77243015</v>
      </c>
    </row>
    <row r="53" spans="1:18">
      <c r="A53" s="15" t="s">
        <v>613</v>
      </c>
      <c r="B53" s="17" t="n">
        <v>2811</v>
      </c>
      <c r="C53" s="18">
        <f>(2220.0/B53*100)</f>
        <v/>
      </c>
      <c r="D53" s="19" t="n">
        <v>591</v>
      </c>
      <c r="E53" s="18" t="n">
        <v>52.10617792</v>
      </c>
      <c r="F53" s="20" t="n">
        <v>1.95218907</v>
      </c>
      <c r="G53" s="18" t="n">
        <v>8.10861865</v>
      </c>
      <c r="H53" s="20" t="n">
        <v>1.13258053</v>
      </c>
      <c r="I53" s="18" t="s">
        <v>567</v>
      </c>
      <c r="J53" s="20" t="s">
        <v>567</v>
      </c>
      <c r="K53" s="18" t="n">
        <v>2.96066136</v>
      </c>
      <c r="L53" s="20" t="n">
        <v>0.72922548</v>
      </c>
      <c r="M53" s="18" t="n">
        <v>0</v>
      </c>
      <c r="N53" s="20" t="n">
        <v>0</v>
      </c>
      <c r="O53" s="18" t="n">
        <v>0</v>
      </c>
      <c r="P53" s="20" t="n">
        <v>0</v>
      </c>
      <c r="Q53" s="18" t="n">
        <v>36.82454207</v>
      </c>
      <c r="R53" s="20" t="n">
        <v>2.08394997</v>
      </c>
    </row>
    <row r="54" spans="1:18">
      <c r="A54" s="15" t="s">
        <v>614</v>
      </c>
      <c r="B54" s="17" t="n">
        <v>2266</v>
      </c>
      <c r="C54" s="18">
        <f>(1746.0/B54*100)</f>
        <v/>
      </c>
      <c r="D54" s="19" t="n">
        <v>520</v>
      </c>
      <c r="E54" s="18" t="n">
        <v>49.14492267</v>
      </c>
      <c r="F54" s="20" t="n">
        <v>2.72636671</v>
      </c>
      <c r="G54" s="18" t="n">
        <v>8.631879489999999</v>
      </c>
      <c r="H54" s="20" t="n">
        <v>1.32304896</v>
      </c>
      <c r="I54" s="18" t="s">
        <v>567</v>
      </c>
      <c r="J54" s="20" t="s">
        <v>567</v>
      </c>
      <c r="K54" s="18" t="n">
        <v>25.14970008</v>
      </c>
      <c r="L54" s="20" t="n">
        <v>2.56097409</v>
      </c>
      <c r="M54" s="18" t="n">
        <v>0.36082648</v>
      </c>
      <c r="N54" s="20" t="n">
        <v>0.25122172</v>
      </c>
      <c r="O54" s="18" t="n">
        <v>0</v>
      </c>
      <c r="P54" s="20" t="n">
        <v>0</v>
      </c>
      <c r="Q54" s="18" t="n">
        <v>16.71267128</v>
      </c>
      <c r="R54" s="20" t="n">
        <v>1.77010395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(2074.0/B56*100)</f>
        <v/>
      </c>
      <c r="D56" s="19" t="n">
        <v>610</v>
      </c>
      <c r="E56" s="18" t="n">
        <v>63.24276805</v>
      </c>
      <c r="F56" s="20" t="n">
        <v>2.11552738</v>
      </c>
      <c r="G56" s="18" t="n">
        <v>26.72807327</v>
      </c>
      <c r="H56" s="20" t="n">
        <v>2.09801228</v>
      </c>
      <c r="I56" s="18" t="s">
        <v>567</v>
      </c>
      <c r="J56" s="20" t="s">
        <v>567</v>
      </c>
      <c r="K56" s="18" t="n">
        <v>1.11175017</v>
      </c>
      <c r="L56" s="20" t="n">
        <v>0.53798264</v>
      </c>
      <c r="M56" s="18" t="n">
        <v>0</v>
      </c>
      <c r="N56" s="20" t="n">
        <v>0</v>
      </c>
      <c r="O56" s="18" t="n">
        <v>0</v>
      </c>
      <c r="P56" s="20" t="n">
        <v>0</v>
      </c>
      <c r="Q56" s="18" t="n">
        <v>8.91740851</v>
      </c>
      <c r="R56" s="20" t="n">
        <v>1.22962435</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(2607.0/B61*100)</f>
        <v/>
      </c>
      <c r="D61" s="19" t="n">
        <v>717</v>
      </c>
      <c r="E61" s="18" t="n">
        <v>44.04937663</v>
      </c>
      <c r="F61" s="20" t="n">
        <v>2.03487928</v>
      </c>
      <c r="G61" s="18" t="n">
        <v>31.02190487</v>
      </c>
      <c r="H61" s="20" t="n">
        <v>1.90743944</v>
      </c>
      <c r="I61" s="18" t="s">
        <v>567</v>
      </c>
      <c r="J61" s="20" t="s">
        <v>567</v>
      </c>
      <c r="K61" s="18" t="n">
        <v>1.3304515</v>
      </c>
      <c r="L61" s="20" t="n">
        <v>0.45915443</v>
      </c>
      <c r="M61" s="18" t="n">
        <v>0</v>
      </c>
      <c r="N61" s="20" t="n">
        <v>0</v>
      </c>
      <c r="O61" s="18" t="n">
        <v>0</v>
      </c>
      <c r="P61" s="20" t="n">
        <v>0</v>
      </c>
      <c r="Q61" s="18" t="n">
        <v>23.598267</v>
      </c>
      <c r="R61" s="20" t="n">
        <v>1.86077936</v>
      </c>
    </row>
    <row r="62" spans="1:18">
      <c r="A62" s="15" t="s">
        <v>622</v>
      </c>
      <c r="B62" s="17" t="n">
        <v>2246</v>
      </c>
      <c r="C62" s="18">
        <f>(1813.0/B62*100)</f>
        <v/>
      </c>
      <c r="D62" s="19" t="n">
        <v>433</v>
      </c>
      <c r="E62" s="18" t="n">
        <v>58.50402919</v>
      </c>
      <c r="F62" s="20" t="n">
        <v>2.28727978</v>
      </c>
      <c r="G62" s="18" t="n">
        <v>33.42698338</v>
      </c>
      <c r="H62" s="20" t="n">
        <v>2.12359732</v>
      </c>
      <c r="I62" s="18" t="s">
        <v>567</v>
      </c>
      <c r="J62" s="20" t="s">
        <v>567</v>
      </c>
      <c r="K62" s="18" t="n">
        <v>0</v>
      </c>
      <c r="L62" s="20" t="n">
        <v>0</v>
      </c>
      <c r="M62" s="18" t="n">
        <v>0.22935079</v>
      </c>
      <c r="N62" s="20" t="n">
        <v>0.23066991</v>
      </c>
      <c r="O62" s="18" t="n">
        <v>0</v>
      </c>
      <c r="P62" s="20" t="n">
        <v>0</v>
      </c>
      <c r="Q62" s="18" t="n">
        <v>7.83963664</v>
      </c>
      <c r="R62" s="20" t="n">
        <v>1.27180872</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(2264.0/B66*100)</f>
        <v/>
      </c>
      <c r="D66" s="19" t="n">
        <v>630</v>
      </c>
      <c r="E66" s="18" t="n">
        <v>33.16697376</v>
      </c>
      <c r="F66" s="20" t="n">
        <v>1.65983544</v>
      </c>
      <c r="G66" s="18" t="n">
        <v>8.96504249</v>
      </c>
      <c r="H66" s="20" t="n">
        <v>1.00560787</v>
      </c>
      <c r="I66" s="18" t="s">
        <v>567</v>
      </c>
      <c r="J66" s="20" t="s">
        <v>567</v>
      </c>
      <c r="K66" s="18" t="n">
        <v>9.06001024</v>
      </c>
      <c r="L66" s="20" t="n">
        <v>1.1325256</v>
      </c>
      <c r="M66" s="18" t="n">
        <v>0.44766919</v>
      </c>
      <c r="N66" s="20" t="n">
        <v>0.25813829</v>
      </c>
      <c r="O66" s="18" t="n">
        <v>0</v>
      </c>
      <c r="P66" s="20" t="n">
        <v>0</v>
      </c>
      <c r="Q66" s="18" t="n">
        <v>48.36030432</v>
      </c>
      <c r="R66" s="20" t="n">
        <v>1.87395514</v>
      </c>
    </row>
    <row r="67" spans="1:18">
      <c r="A67" s="15" t="s">
        <v>627</v>
      </c>
      <c r="B67" s="17" t="n">
        <v>3511</v>
      </c>
      <c r="C67" s="18">
        <f>(2913.0/B67*100)</f>
        <v/>
      </c>
      <c r="D67" s="19" t="n">
        <v>598</v>
      </c>
      <c r="E67" s="18" t="n">
        <v>65.92343851</v>
      </c>
      <c r="F67" s="20" t="n">
        <v>1.92225682</v>
      </c>
      <c r="G67" s="18" t="n">
        <v>12.31429513</v>
      </c>
      <c r="H67" s="20" t="n">
        <v>1.78390484</v>
      </c>
      <c r="I67" s="18" t="s">
        <v>567</v>
      </c>
      <c r="J67" s="20" t="s">
        <v>567</v>
      </c>
      <c r="K67" s="18" t="n">
        <v>2.97627318</v>
      </c>
      <c r="L67" s="20" t="n">
        <v>0.96083186</v>
      </c>
      <c r="M67" s="18" t="n">
        <v>0.26161084</v>
      </c>
      <c r="N67" s="20" t="n">
        <v>0.18505556</v>
      </c>
      <c r="O67" s="18" t="n">
        <v>0</v>
      </c>
      <c r="P67" s="20" t="n">
        <v>0</v>
      </c>
      <c r="Q67" s="18" t="n">
        <v>18.52438234</v>
      </c>
      <c r="R67" s="20" t="n">
        <v>1.52815902</v>
      </c>
    </row>
    <row r="68" spans="1:18">
      <c r="A68" s="15" t="s">
        <v>628</v>
      </c>
      <c r="B68" s="17" t="n">
        <v>6049</v>
      </c>
      <c r="C68" s="18">
        <f>(4721.0/B68*100)</f>
        <v/>
      </c>
      <c r="D68" s="19" t="n">
        <v>1328</v>
      </c>
      <c r="E68" s="18" t="n">
        <v>56.09169676</v>
      </c>
      <c r="F68" s="20" t="n">
        <v>1.28709041</v>
      </c>
      <c r="G68" s="18" t="n">
        <v>12.00859665</v>
      </c>
      <c r="H68" s="20" t="n">
        <v>0.81825317</v>
      </c>
      <c r="I68" s="18" t="s">
        <v>567</v>
      </c>
      <c r="J68" s="20" t="s">
        <v>567</v>
      </c>
      <c r="K68" s="18" t="n">
        <v>9.478235809999999</v>
      </c>
      <c r="L68" s="20" t="n">
        <v>0.78788552</v>
      </c>
      <c r="M68" s="18" t="n">
        <v>0.07551173</v>
      </c>
      <c r="N68" s="20" t="n">
        <v>0.07434201999999999</v>
      </c>
      <c r="O68" s="18" t="n">
        <v>0</v>
      </c>
      <c r="P68" s="20" t="n">
        <v>0</v>
      </c>
      <c r="Q68" s="18" t="n">
        <v>22.34595905</v>
      </c>
      <c r="R68" s="20" t="n">
        <v>1.14945238</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(2360.0/B70*100)</f>
        <v/>
      </c>
      <c r="D70" s="19" t="n">
        <v>569</v>
      </c>
      <c r="E70" s="18" t="n">
        <v>40.44014266</v>
      </c>
      <c r="F70" s="20" t="n">
        <v>1.94387322</v>
      </c>
      <c r="G70" s="18" t="n">
        <v>28.28982954</v>
      </c>
      <c r="H70" s="20" t="n">
        <v>1.90145118</v>
      </c>
      <c r="I70" s="18" t="s">
        <v>567</v>
      </c>
      <c r="J70" s="20" t="s">
        <v>567</v>
      </c>
      <c r="K70" s="18" t="n">
        <v>2.2112029</v>
      </c>
      <c r="L70" s="20" t="n">
        <v>0.57091428</v>
      </c>
      <c r="M70" s="18" t="n">
        <v>0</v>
      </c>
      <c r="N70" s="20" t="n">
        <v>0</v>
      </c>
      <c r="O70" s="18" t="n">
        <v>0</v>
      </c>
      <c r="P70" s="20" t="n">
        <v>0</v>
      </c>
      <c r="Q70" s="18" t="n">
        <v>29.0588249</v>
      </c>
      <c r="R70" s="20" t="n">
        <v>2.60790504</v>
      </c>
    </row>
    <row r="71" spans="1:18">
      <c r="A71" s="15" t="s">
        <v>631</v>
      </c>
      <c r="B71" s="17" t="n">
        <v>3142</v>
      </c>
      <c r="C71" s="18">
        <f>(2473.0/B71*100)</f>
        <v/>
      </c>
      <c r="D71" s="19" t="n">
        <v>669</v>
      </c>
      <c r="E71" s="18" t="n">
        <v>61.36830305</v>
      </c>
      <c r="F71" s="20" t="n">
        <v>2.11250534</v>
      </c>
      <c r="G71" s="18" t="n">
        <v>32.3766355</v>
      </c>
      <c r="H71" s="20" t="n">
        <v>2.07711147</v>
      </c>
      <c r="I71" s="18" t="s">
        <v>567</v>
      </c>
      <c r="J71" s="20" t="s">
        <v>567</v>
      </c>
      <c r="K71" s="18" t="n">
        <v>0.60472739</v>
      </c>
      <c r="L71" s="20" t="n">
        <v>0.32303767</v>
      </c>
      <c r="M71" s="18" t="n">
        <v>0</v>
      </c>
      <c r="N71" s="20" t="n">
        <v>0</v>
      </c>
      <c r="O71" s="18" t="n">
        <v>0</v>
      </c>
      <c r="P71" s="20" t="n">
        <v>0</v>
      </c>
      <c r="Q71" s="18" t="n">
        <v>5.65033407</v>
      </c>
      <c r="R71" s="20" t="n">
        <v>1.00745714</v>
      </c>
    </row>
    <row r="72" spans="1:18">
      <c r="A72" s="15" t="s">
        <v>632</v>
      </c>
      <c r="B72" s="17" t="n">
        <v>3889</v>
      </c>
      <c r="C72" s="18">
        <f>(3017.0/B72*100)</f>
        <v/>
      </c>
      <c r="D72" s="19" t="n">
        <v>872</v>
      </c>
      <c r="E72" s="18" t="n">
        <v>59.77349675</v>
      </c>
      <c r="F72" s="20" t="n">
        <v>1.52580495</v>
      </c>
      <c r="G72" s="18" t="n">
        <v>30.56070673</v>
      </c>
      <c r="H72" s="20" t="n">
        <v>1.46553701</v>
      </c>
      <c r="I72" s="18" t="s">
        <v>567</v>
      </c>
      <c r="J72" s="20" t="s">
        <v>567</v>
      </c>
      <c r="K72" s="18" t="n">
        <v>0.32076851</v>
      </c>
      <c r="L72" s="20" t="n">
        <v>0.15227668</v>
      </c>
      <c r="M72" s="18" t="n">
        <v>0.09173826</v>
      </c>
      <c r="N72" s="20" t="n">
        <v>0.09186323</v>
      </c>
      <c r="O72" s="18" t="n">
        <v>0</v>
      </c>
      <c r="P72" s="20" t="n">
        <v>0</v>
      </c>
      <c r="Q72" s="18" t="n">
        <v>9.25328975</v>
      </c>
      <c r="R72" s="20" t="n">
        <v>0.82487619</v>
      </c>
    </row>
    <row r="73" spans="1:18">
      <c r="A73" s="15" t="s">
        <v>633</v>
      </c>
      <c r="B73" s="17" t="n">
        <v>3597</v>
      </c>
      <c r="C73" s="18">
        <f>(2850.0/B73*100)</f>
        <v/>
      </c>
      <c r="D73" s="19" t="n">
        <v>747</v>
      </c>
      <c r="E73" s="18" t="n">
        <v>72.99723424</v>
      </c>
      <c r="F73" s="20" t="n">
        <v>2.28751497</v>
      </c>
      <c r="G73" s="18" t="n">
        <v>24.03501119</v>
      </c>
      <c r="H73" s="20" t="n">
        <v>2.14692734</v>
      </c>
      <c r="I73" s="18" t="s">
        <v>567</v>
      </c>
      <c r="J73" s="20" t="s">
        <v>567</v>
      </c>
      <c r="K73" s="18" t="n">
        <v>0.18875716</v>
      </c>
      <c r="L73" s="20" t="n">
        <v>0.18354691</v>
      </c>
      <c r="M73" s="18" t="n">
        <v>0.0143661</v>
      </c>
      <c r="N73" s="20" t="n">
        <v>0.01457923</v>
      </c>
      <c r="O73" s="18" t="n">
        <v>0</v>
      </c>
      <c r="P73" s="20" t="n">
        <v>0</v>
      </c>
      <c r="Q73" s="18" t="n">
        <v>2.7646313</v>
      </c>
      <c r="R73" s="20" t="n">
        <v>0.6180995500000001</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(1946.0/B75*100)</f>
        <v/>
      </c>
      <c r="D75" s="19" t="n">
        <v>460</v>
      </c>
      <c r="E75" s="18" t="n">
        <v>37.48643124</v>
      </c>
      <c r="F75" s="20" t="n">
        <v>2.45620764</v>
      </c>
      <c r="G75" s="18" t="n">
        <v>8.45700566</v>
      </c>
      <c r="H75" s="20" t="n">
        <v>1.33658878</v>
      </c>
      <c r="I75" s="18" t="s">
        <v>567</v>
      </c>
      <c r="J75" s="20" t="s">
        <v>567</v>
      </c>
      <c r="K75" s="18" t="n">
        <v>9.8644189</v>
      </c>
      <c r="L75" s="20" t="n">
        <v>1.66757655</v>
      </c>
      <c r="M75" s="18" t="n">
        <v>0.46397162</v>
      </c>
      <c r="N75" s="20" t="n">
        <v>0.35305583</v>
      </c>
      <c r="O75" s="18" t="n">
        <v>0</v>
      </c>
      <c r="P75" s="20" t="n">
        <v>0</v>
      </c>
      <c r="Q75" s="18" t="n">
        <v>43.72817258</v>
      </c>
      <c r="R75" s="20" t="n">
        <v>2.07235692</v>
      </c>
    </row>
    <row r="76" spans="1:18">
      <c r="A76" s="15" t="s">
        <v>636</v>
      </c>
      <c r="B76" s="17" t="n">
        <v>7052</v>
      </c>
      <c r="C76" s="18">
        <f>(5542.0/B76*100)</f>
        <v/>
      </c>
      <c r="D76" s="19" t="n">
        <v>1510</v>
      </c>
      <c r="E76" s="18" t="n">
        <v>64.5466117</v>
      </c>
      <c r="F76" s="20" t="n">
        <v>1.53041414</v>
      </c>
      <c r="G76" s="18" t="n">
        <v>18.19353603</v>
      </c>
      <c r="H76" s="20" t="n">
        <v>1.12478047</v>
      </c>
      <c r="I76" s="18" t="s">
        <v>567</v>
      </c>
      <c r="J76" s="20" t="s">
        <v>567</v>
      </c>
      <c r="K76" s="18" t="n">
        <v>2.51591944</v>
      </c>
      <c r="L76" s="20" t="n">
        <v>0.40889398</v>
      </c>
      <c r="M76" s="18" t="n">
        <v>0.19926208</v>
      </c>
      <c r="N76" s="20" t="n">
        <v>0.1395891</v>
      </c>
      <c r="O76" s="18" t="n">
        <v>0</v>
      </c>
      <c r="P76" s="20" t="n">
        <v>0</v>
      </c>
      <c r="Q76" s="18" t="n">
        <v>14.54467074</v>
      </c>
      <c r="R76" s="20" t="n">
        <v>0.95140426</v>
      </c>
    </row>
    <row r="77" spans="1:18">
      <c r="A77" s="15" t="s">
        <v>637</v>
      </c>
      <c r="B77" s="17" t="n">
        <v>2908</v>
      </c>
      <c r="C77" s="18">
        <f>(2307.0/B77*100)</f>
        <v/>
      </c>
      <c r="D77" s="19" t="n">
        <v>601</v>
      </c>
      <c r="E77" s="18" t="n">
        <v>37.51829992</v>
      </c>
      <c r="F77" s="20" t="n">
        <v>2.15904258</v>
      </c>
      <c r="G77" s="18" t="n">
        <v>20.13423049</v>
      </c>
      <c r="H77" s="20" t="n">
        <v>1.92268766</v>
      </c>
      <c r="I77" s="18" t="s">
        <v>567</v>
      </c>
      <c r="J77" s="20" t="s">
        <v>567</v>
      </c>
      <c r="K77" s="18" t="n">
        <v>7.76582648</v>
      </c>
      <c r="L77" s="20" t="n">
        <v>1.11987978</v>
      </c>
      <c r="M77" s="18" t="n">
        <v>0.13405097</v>
      </c>
      <c r="N77" s="20" t="n">
        <v>0.13533221</v>
      </c>
      <c r="O77" s="18" t="n">
        <v>0</v>
      </c>
      <c r="P77" s="20" t="n">
        <v>0</v>
      </c>
      <c r="Q77" s="18" t="n">
        <v>34.44759214</v>
      </c>
      <c r="R77" s="20" t="n">
        <v>2.37721131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(3229.0/B81*100)</f>
        <v/>
      </c>
      <c r="D81" s="19" t="n">
        <v>934</v>
      </c>
      <c r="E81" s="18" t="n">
        <v>81.42050611000001</v>
      </c>
      <c r="F81" s="20" t="n">
        <v>1.65277485</v>
      </c>
      <c r="G81" s="18" t="n">
        <v>12.01390714</v>
      </c>
      <c r="H81" s="20" t="n">
        <v>1.54643097</v>
      </c>
      <c r="I81" s="18" t="s">
        <v>567</v>
      </c>
      <c r="J81" s="20" t="s">
        <v>567</v>
      </c>
      <c r="K81" s="18" t="n">
        <v>1.34692636</v>
      </c>
      <c r="L81" s="20" t="n">
        <v>0.4743002</v>
      </c>
      <c r="M81" s="18" t="n">
        <v>0</v>
      </c>
      <c r="N81" s="20" t="n">
        <v>0</v>
      </c>
      <c r="O81" s="18" t="n">
        <v>0</v>
      </c>
      <c r="P81" s="20" t="n">
        <v>0</v>
      </c>
      <c r="Q81" s="18" t="n">
        <v>5.21866038</v>
      </c>
      <c r="R81" s="20" t="n">
        <v>0.91799392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(5844.0/B7*100)</f>
        <v/>
      </c>
      <c r="D7" s="19" t="n">
        <v>1523</v>
      </c>
      <c r="E7" s="18" t="n">
        <v>32.67282512</v>
      </c>
      <c r="F7" s="20" t="n">
        <v>1.43250325</v>
      </c>
      <c r="G7" s="18" t="n">
        <v>64.81130838</v>
      </c>
      <c r="H7" s="20" t="n">
        <v>1.46242628</v>
      </c>
      <c r="I7" s="18" t="s">
        <v>567</v>
      </c>
      <c r="J7" s="20" t="s">
        <v>567</v>
      </c>
      <c r="K7" s="18" t="n">
        <v>2.51586651</v>
      </c>
      <c r="L7" s="20" t="n">
        <v>0.47262008</v>
      </c>
      <c r="M7" s="18" t="n">
        <v>0</v>
      </c>
      <c r="N7" s="20" t="n">
        <v>0</v>
      </c>
      <c r="O7" s="18" t="n">
        <v>0</v>
      </c>
      <c r="P7" s="20" t="n">
        <v>0</v>
      </c>
      <c r="Q7" s="18" t="n">
        <v>0</v>
      </c>
      <c r="R7" s="20" t="n">
        <v>0</v>
      </c>
    </row>
    <row r="8" spans="1:18">
      <c r="A8" s="15" t="s">
        <v>568</v>
      </c>
      <c r="B8" s="17" t="n">
        <v>3564</v>
      </c>
      <c r="C8" s="18">
        <f>(2781.0/B8*100)</f>
        <v/>
      </c>
      <c r="D8" s="19" t="n">
        <v>783</v>
      </c>
      <c r="E8" s="18" t="n">
        <v>21.21831127</v>
      </c>
      <c r="F8" s="20" t="n">
        <v>1.75525347</v>
      </c>
      <c r="G8" s="18" t="n">
        <v>75.83832006999999</v>
      </c>
      <c r="H8" s="20" t="n">
        <v>1.89683382</v>
      </c>
      <c r="I8" s="18" t="s">
        <v>567</v>
      </c>
      <c r="J8" s="20" t="s">
        <v>567</v>
      </c>
      <c r="K8" s="18" t="n">
        <v>2.94336866</v>
      </c>
      <c r="L8" s="20" t="n">
        <v>0.48212555</v>
      </c>
      <c r="M8" s="18" t="n">
        <v>0</v>
      </c>
      <c r="N8" s="20" t="n">
        <v>0</v>
      </c>
      <c r="O8" s="18" t="n">
        <v>0</v>
      </c>
      <c r="P8" s="20" t="n">
        <v>0</v>
      </c>
      <c r="Q8" s="18" t="n">
        <v>0</v>
      </c>
      <c r="R8" s="20" t="n">
        <v>0</v>
      </c>
    </row>
    <row r="9" spans="1:18">
      <c r="A9" s="15" t="s">
        <v>569</v>
      </c>
      <c r="B9" s="17" t="n">
        <v>4899</v>
      </c>
      <c r="C9" s="18">
        <f>(3870.0/B9*100)</f>
        <v/>
      </c>
      <c r="D9" s="19" t="n">
        <v>1029</v>
      </c>
      <c r="E9" s="18" t="n">
        <v>23.30985932</v>
      </c>
      <c r="F9" s="20" t="n">
        <v>1.41734569</v>
      </c>
      <c r="G9" s="18" t="n">
        <v>73.29753866999999</v>
      </c>
      <c r="H9" s="20" t="n">
        <v>1.5847726</v>
      </c>
      <c r="I9" s="18" t="s">
        <v>567</v>
      </c>
      <c r="J9" s="20" t="s">
        <v>567</v>
      </c>
      <c r="K9" s="18" t="n">
        <v>3.39260201</v>
      </c>
      <c r="L9" s="20" t="n">
        <v>0.66293371</v>
      </c>
      <c r="M9" s="18" t="n">
        <v>0</v>
      </c>
      <c r="N9" s="20" t="n">
        <v>0</v>
      </c>
      <c r="O9" s="18" t="n">
        <v>0</v>
      </c>
      <c r="P9" s="20" t="n">
        <v>0</v>
      </c>
      <c r="Q9" s="18" t="n">
        <v>0</v>
      </c>
      <c r="R9" s="20" t="n">
        <v>0</v>
      </c>
    </row>
    <row r="10" spans="1:18">
      <c r="A10" s="15" t="s">
        <v>570</v>
      </c>
      <c r="B10" s="17" t="n">
        <v>10036</v>
      </c>
      <c r="C10" s="18">
        <f>(7920.0/B10*100)</f>
        <v/>
      </c>
      <c r="D10" s="19" t="n">
        <v>2116</v>
      </c>
      <c r="E10" s="18" t="n">
        <v>27.74996898</v>
      </c>
      <c r="F10" s="20" t="n">
        <v>1.32361896</v>
      </c>
      <c r="G10" s="18" t="n">
        <v>70.50645493</v>
      </c>
      <c r="H10" s="20" t="n">
        <v>1.40770067</v>
      </c>
      <c r="I10" s="18" t="s">
        <v>567</v>
      </c>
      <c r="J10" s="20" t="s">
        <v>567</v>
      </c>
      <c r="K10" s="18" t="n">
        <v>1.74357609</v>
      </c>
      <c r="L10" s="20" t="n">
        <v>0.46056242</v>
      </c>
      <c r="M10" s="18" t="n">
        <v>0</v>
      </c>
      <c r="N10" s="20" t="n">
        <v>0</v>
      </c>
      <c r="O10" s="18" t="n">
        <v>0</v>
      </c>
      <c r="P10" s="20" t="n">
        <v>0</v>
      </c>
      <c r="Q10" s="18" t="n">
        <v>0</v>
      </c>
      <c r="R10" s="20" t="n">
        <v>0</v>
      </c>
    </row>
    <row r="11" spans="1:18">
      <c r="A11" s="15" t="s">
        <v>571</v>
      </c>
      <c r="B11" s="17" t="n">
        <v>3553</v>
      </c>
      <c r="C11" s="18">
        <f>(2888.0/B11*100)</f>
        <v/>
      </c>
      <c r="D11" s="19" t="n">
        <v>665</v>
      </c>
      <c r="E11" s="18" t="n">
        <v>33.96929557</v>
      </c>
      <c r="F11" s="20" t="n">
        <v>2.19862006</v>
      </c>
      <c r="G11" s="18" t="n">
        <v>60.27860364</v>
      </c>
      <c r="H11" s="20" t="n">
        <v>2.10350678</v>
      </c>
      <c r="I11" s="18" t="s">
        <v>567</v>
      </c>
      <c r="J11" s="20" t="s">
        <v>567</v>
      </c>
      <c r="K11" s="18" t="n">
        <v>5.75210079</v>
      </c>
      <c r="L11" s="20" t="n">
        <v>1.10905876</v>
      </c>
      <c r="M11" s="18" t="n">
        <v>0</v>
      </c>
      <c r="N11" s="20" t="n">
        <v>0</v>
      </c>
      <c r="O11" s="18" t="n">
        <v>0</v>
      </c>
      <c r="P11" s="20" t="n">
        <v>0</v>
      </c>
      <c r="Q11" s="18" t="n">
        <v>0</v>
      </c>
      <c r="R11" s="20" t="n">
        <v>0</v>
      </c>
    </row>
    <row r="12" spans="1:18">
      <c r="A12" s="15" t="s">
        <v>572</v>
      </c>
      <c r="B12" s="17" t="n">
        <v>3472</v>
      </c>
      <c r="C12" s="18">
        <f>(2750.0/B12*100)</f>
        <v/>
      </c>
      <c r="D12" s="19" t="n">
        <v>722</v>
      </c>
      <c r="E12" s="18" t="n">
        <v>32.52717285</v>
      </c>
      <c r="F12" s="20" t="n">
        <v>2.35756588</v>
      </c>
      <c r="G12" s="18" t="n">
        <v>65.25768743</v>
      </c>
      <c r="H12" s="20" t="n">
        <v>2.31672969</v>
      </c>
      <c r="I12" s="18" t="s">
        <v>567</v>
      </c>
      <c r="J12" s="20" t="s">
        <v>567</v>
      </c>
      <c r="K12" s="18" t="n">
        <v>2.21513972</v>
      </c>
      <c r="L12" s="20" t="n">
        <v>0.47575136</v>
      </c>
      <c r="M12" s="18" t="n">
        <v>0</v>
      </c>
      <c r="N12" s="20" t="n">
        <v>0</v>
      </c>
      <c r="O12" s="18" t="n">
        <v>0</v>
      </c>
      <c r="P12" s="20" t="n">
        <v>0</v>
      </c>
      <c r="Q12" s="18" t="n">
        <v>0</v>
      </c>
      <c r="R12" s="20" t="n">
        <v>0</v>
      </c>
    </row>
    <row r="13" spans="1:18">
      <c r="A13" s="15" t="s">
        <v>573</v>
      </c>
      <c r="B13" s="17" t="n">
        <v>3559</v>
      </c>
      <c r="C13" s="18">
        <f>(2867.0/B13*100)</f>
        <v/>
      </c>
      <c r="D13" s="19" t="n">
        <v>692</v>
      </c>
      <c r="E13" s="18" t="n">
        <v>24.72006732</v>
      </c>
      <c r="F13" s="20" t="n">
        <v>1.94472926</v>
      </c>
      <c r="G13" s="18" t="n">
        <v>73.24397834</v>
      </c>
      <c r="H13" s="20" t="n">
        <v>1.93712677</v>
      </c>
      <c r="I13" s="18" t="s">
        <v>567</v>
      </c>
      <c r="J13" s="20" t="s">
        <v>567</v>
      </c>
      <c r="K13" s="18" t="n">
        <v>2.03595434</v>
      </c>
      <c r="L13" s="20" t="n">
        <v>0.5399309</v>
      </c>
      <c r="M13" s="18" t="n">
        <v>0</v>
      </c>
      <c r="N13" s="20" t="n">
        <v>0</v>
      </c>
      <c r="O13" s="18" t="n">
        <v>0</v>
      </c>
      <c r="P13" s="20" t="n">
        <v>0</v>
      </c>
      <c r="Q13" s="18" t="n">
        <v>0</v>
      </c>
      <c r="R13" s="20" t="n">
        <v>0</v>
      </c>
    </row>
    <row r="14" spans="1:18">
      <c r="A14" s="15" t="s">
        <v>574</v>
      </c>
      <c r="B14" s="17" t="n">
        <v>2799</v>
      </c>
      <c r="C14" s="18">
        <f>(2224.0/B14*100)</f>
        <v/>
      </c>
      <c r="D14" s="19" t="n">
        <v>575</v>
      </c>
      <c r="E14" s="18" t="n">
        <v>21.81837699</v>
      </c>
      <c r="F14" s="20" t="n">
        <v>2.06855928</v>
      </c>
      <c r="G14" s="18" t="n">
        <v>77.09866024</v>
      </c>
      <c r="H14" s="20" t="n">
        <v>2.14465145</v>
      </c>
      <c r="I14" s="18" t="s">
        <v>567</v>
      </c>
      <c r="J14" s="20" t="s">
        <v>567</v>
      </c>
      <c r="K14" s="18" t="n">
        <v>1.08296277</v>
      </c>
      <c r="L14" s="20" t="n">
        <v>0.45773759</v>
      </c>
      <c r="M14" s="18" t="n">
        <v>0</v>
      </c>
      <c r="N14" s="20" t="n">
        <v>0</v>
      </c>
      <c r="O14" s="18" t="n">
        <v>0</v>
      </c>
      <c r="P14" s="20" t="n">
        <v>0</v>
      </c>
      <c r="Q14" s="18" t="n">
        <v>0</v>
      </c>
      <c r="R14" s="20" t="n">
        <v>0</v>
      </c>
    </row>
    <row r="15" spans="1:18">
      <c r="A15" s="15" t="s">
        <v>575</v>
      </c>
      <c r="B15" s="17" t="n">
        <v>3019</v>
      </c>
      <c r="C15" s="18">
        <f>(2359.0/B15*100)</f>
        <v/>
      </c>
      <c r="D15" s="19" t="n">
        <v>660</v>
      </c>
      <c r="E15" s="18" t="n">
        <v>27.68474923</v>
      </c>
      <c r="F15" s="20" t="n">
        <v>1.89479883</v>
      </c>
      <c r="G15" s="18" t="n">
        <v>71.53566384</v>
      </c>
      <c r="H15" s="20" t="n">
        <v>2.00524252</v>
      </c>
      <c r="I15" s="18" t="s">
        <v>567</v>
      </c>
      <c r="J15" s="20" t="s">
        <v>567</v>
      </c>
      <c r="K15" s="18" t="n">
        <v>0.77958693</v>
      </c>
      <c r="L15" s="20" t="n">
        <v>0.36399064</v>
      </c>
      <c r="M15" s="18" t="n">
        <v>0</v>
      </c>
      <c r="N15" s="20" t="n">
        <v>0</v>
      </c>
      <c r="O15" s="18" t="n">
        <v>0</v>
      </c>
      <c r="P15" s="20" t="n">
        <v>0</v>
      </c>
      <c r="Q15" s="18" t="n">
        <v>0</v>
      </c>
      <c r="R15" s="20" t="n">
        <v>0</v>
      </c>
    </row>
    <row r="16" spans="1:18">
      <c r="A16" s="15" t="s">
        <v>576</v>
      </c>
      <c r="B16" s="17" t="n">
        <v>2997</v>
      </c>
      <c r="C16" s="18">
        <f>(2346.0/B16*100)</f>
        <v/>
      </c>
      <c r="D16" s="19" t="n">
        <v>651</v>
      </c>
      <c r="E16" s="18" t="n">
        <v>25.36638527</v>
      </c>
      <c r="F16" s="20" t="n">
        <v>1.95953788</v>
      </c>
      <c r="G16" s="18" t="n">
        <v>70.0364168</v>
      </c>
      <c r="H16" s="20" t="n">
        <v>2.06055038</v>
      </c>
      <c r="I16" s="18" t="s">
        <v>567</v>
      </c>
      <c r="J16" s="20" t="s">
        <v>567</v>
      </c>
      <c r="K16" s="18" t="n">
        <v>4.59719793</v>
      </c>
      <c r="L16" s="20" t="n">
        <v>0.63058014</v>
      </c>
      <c r="M16" s="18" t="n">
        <v>0</v>
      </c>
      <c r="N16" s="20" t="n">
        <v>0</v>
      </c>
      <c r="O16" s="18" t="n">
        <v>0</v>
      </c>
      <c r="P16" s="20" t="n">
        <v>0</v>
      </c>
      <c r="Q16" s="18" t="n">
        <v>0</v>
      </c>
      <c r="R16" s="20" t="n">
        <v>0</v>
      </c>
    </row>
    <row r="17" spans="1:18">
      <c r="A17" s="15" t="s">
        <v>577</v>
      </c>
      <c r="B17" s="17" t="n">
        <v>3307</v>
      </c>
      <c r="C17" s="18">
        <f>(2627.0/B17*100)</f>
        <v/>
      </c>
      <c r="D17" s="19" t="n">
        <v>680</v>
      </c>
      <c r="E17" s="18" t="n">
        <v>22.05717724</v>
      </c>
      <c r="F17" s="20" t="n">
        <v>1.53830971</v>
      </c>
      <c r="G17" s="18" t="n">
        <v>75.26572858</v>
      </c>
      <c r="H17" s="20" t="n">
        <v>1.65585814</v>
      </c>
      <c r="I17" s="18" t="s">
        <v>567</v>
      </c>
      <c r="J17" s="20" t="s">
        <v>567</v>
      </c>
      <c r="K17" s="18" t="n">
        <v>2.67709418</v>
      </c>
      <c r="L17" s="20" t="n">
        <v>0.65725912</v>
      </c>
      <c r="M17" s="18" t="n">
        <v>0</v>
      </c>
      <c r="N17" s="20" t="n">
        <v>0</v>
      </c>
      <c r="O17" s="18" t="n">
        <v>0</v>
      </c>
      <c r="P17" s="20" t="n">
        <v>0</v>
      </c>
      <c r="Q17" s="18" t="n">
        <v>0</v>
      </c>
      <c r="R17" s="20" t="n">
        <v>0</v>
      </c>
    </row>
    <row r="18" spans="1:18">
      <c r="A18" s="15" t="s">
        <v>578</v>
      </c>
      <c r="B18" s="17" t="n">
        <v>2826</v>
      </c>
      <c r="C18" s="18">
        <f>(2212.0/B18*100)</f>
        <v/>
      </c>
      <c r="D18" s="19" t="n">
        <v>614</v>
      </c>
      <c r="E18" s="18" t="n">
        <v>35.1654219</v>
      </c>
      <c r="F18" s="20" t="n">
        <v>2.35031333</v>
      </c>
      <c r="G18" s="18" t="n">
        <v>60.25213732</v>
      </c>
      <c r="H18" s="20" t="n">
        <v>2.49366224</v>
      </c>
      <c r="I18" s="18" t="s">
        <v>567</v>
      </c>
      <c r="J18" s="20" t="s">
        <v>567</v>
      </c>
      <c r="K18" s="18" t="n">
        <v>4.58244078</v>
      </c>
      <c r="L18" s="20" t="n">
        <v>1.04581053</v>
      </c>
      <c r="M18" s="18" t="n">
        <v>0</v>
      </c>
      <c r="N18" s="20" t="n">
        <v>0</v>
      </c>
      <c r="O18" s="18" t="n">
        <v>0</v>
      </c>
      <c r="P18" s="20" t="n">
        <v>0</v>
      </c>
      <c r="Q18" s="18" t="n">
        <v>0</v>
      </c>
      <c r="R18" s="20" t="n">
        <v>0</v>
      </c>
    </row>
    <row r="19" spans="1:18">
      <c r="A19" s="15" t="s">
        <v>579</v>
      </c>
      <c r="B19" s="17" t="n">
        <v>2808</v>
      </c>
      <c r="C19" s="18">
        <f>(2246.0/B19*100)</f>
        <v/>
      </c>
      <c r="D19" s="19" t="n">
        <v>562</v>
      </c>
      <c r="E19" s="18" t="n">
        <v>40.47887048</v>
      </c>
      <c r="F19" s="20" t="n">
        <v>2.26453073</v>
      </c>
      <c r="G19" s="18" t="n">
        <v>57.03465028</v>
      </c>
      <c r="H19" s="20" t="n">
        <v>2.23151941</v>
      </c>
      <c r="I19" s="18" t="s">
        <v>567</v>
      </c>
      <c r="J19" s="20" t="s">
        <v>567</v>
      </c>
      <c r="K19" s="18" t="n">
        <v>2.48647924</v>
      </c>
      <c r="L19" s="20" t="n">
        <v>0.74641463</v>
      </c>
      <c r="M19" s="18" t="n">
        <v>0</v>
      </c>
      <c r="N19" s="20" t="n">
        <v>0</v>
      </c>
      <c r="O19" s="18" t="n">
        <v>0</v>
      </c>
      <c r="P19" s="20" t="n">
        <v>0</v>
      </c>
      <c r="Q19" s="18" t="n">
        <v>0</v>
      </c>
      <c r="R19" s="20" t="n">
        <v>0</v>
      </c>
    </row>
    <row r="20" spans="1:18">
      <c r="A20" s="15" t="s">
        <v>580</v>
      </c>
      <c r="B20" s="17" t="n">
        <v>1630</v>
      </c>
      <c r="C20" s="18">
        <f>(1273.0/B20*100)</f>
        <v/>
      </c>
      <c r="D20" s="19" t="n">
        <v>357</v>
      </c>
      <c r="E20" s="18" t="n">
        <v>35.70649523</v>
      </c>
      <c r="F20" s="20" t="n">
        <v>2.65822799</v>
      </c>
      <c r="G20" s="18" t="n">
        <v>59.92430319</v>
      </c>
      <c r="H20" s="20" t="n">
        <v>2.85123616</v>
      </c>
      <c r="I20" s="18" t="s">
        <v>567</v>
      </c>
      <c r="J20" s="20" t="s">
        <v>567</v>
      </c>
      <c r="K20" s="18" t="n">
        <v>4.36920158</v>
      </c>
      <c r="L20" s="20" t="n">
        <v>1.08248468</v>
      </c>
      <c r="M20" s="18" t="n">
        <v>0</v>
      </c>
      <c r="N20" s="20" t="n">
        <v>0</v>
      </c>
      <c r="O20" s="18" t="n">
        <v>0</v>
      </c>
      <c r="P20" s="20" t="n">
        <v>0</v>
      </c>
      <c r="Q20" s="18" t="n">
        <v>0</v>
      </c>
      <c r="R20" s="20" t="n">
        <v>0</v>
      </c>
    </row>
    <row r="21" spans="1:18">
      <c r="A21" s="15" t="s">
        <v>581</v>
      </c>
      <c r="B21" s="17" t="n">
        <v>2908</v>
      </c>
      <c r="C21" s="18">
        <f>(2267.0/B21*100)</f>
        <v/>
      </c>
      <c r="D21" s="19" t="n">
        <v>641</v>
      </c>
      <c r="E21" s="18" t="n">
        <v>32.06059888</v>
      </c>
      <c r="F21" s="20" t="n">
        <v>2.26814355</v>
      </c>
      <c r="G21" s="18" t="n">
        <v>65.66146621</v>
      </c>
      <c r="H21" s="20" t="n">
        <v>2.38260645</v>
      </c>
      <c r="I21" s="18" t="s">
        <v>567</v>
      </c>
      <c r="J21" s="20" t="s">
        <v>567</v>
      </c>
      <c r="K21" s="18" t="n">
        <v>2.27793491</v>
      </c>
      <c r="L21" s="20" t="n">
        <v>0.60569081</v>
      </c>
      <c r="M21" s="18" t="n">
        <v>0</v>
      </c>
      <c r="N21" s="20" t="n">
        <v>0</v>
      </c>
      <c r="O21" s="18" t="n">
        <v>0</v>
      </c>
      <c r="P21" s="20" t="n">
        <v>0</v>
      </c>
      <c r="Q21" s="18" t="n">
        <v>0</v>
      </c>
      <c r="R21" s="20" t="n">
        <v>0</v>
      </c>
    </row>
    <row r="22" spans="1:18">
      <c r="A22" s="15" t="s">
        <v>582</v>
      </c>
      <c r="B22" s="17" t="n">
        <v>2931</v>
      </c>
      <c r="C22" s="18">
        <f>(2322.0/B22*100)</f>
        <v/>
      </c>
      <c r="D22" s="19" t="n">
        <v>609</v>
      </c>
      <c r="E22" s="18" t="n">
        <v>37.71701212</v>
      </c>
      <c r="F22" s="20" t="n">
        <v>2.57534699</v>
      </c>
      <c r="G22" s="18" t="n">
        <v>57.77416344</v>
      </c>
      <c r="H22" s="20" t="n">
        <v>2.64561513</v>
      </c>
      <c r="I22" s="18" t="s">
        <v>567</v>
      </c>
      <c r="J22" s="20" t="s">
        <v>567</v>
      </c>
      <c r="K22" s="18" t="n">
        <v>4.50882444</v>
      </c>
      <c r="L22" s="20" t="n">
        <v>1.000659</v>
      </c>
      <c r="M22" s="18" t="n">
        <v>0</v>
      </c>
      <c r="N22" s="20" t="n">
        <v>0</v>
      </c>
      <c r="O22" s="18" t="n">
        <v>0</v>
      </c>
      <c r="P22" s="20" t="n">
        <v>0</v>
      </c>
      <c r="Q22" s="18" t="n">
        <v>0</v>
      </c>
      <c r="R22" s="20" t="n">
        <v>0</v>
      </c>
    </row>
    <row r="23" spans="1:18">
      <c r="A23" s="15" t="s">
        <v>583</v>
      </c>
      <c r="B23" s="17" t="n">
        <v>5791</v>
      </c>
      <c r="C23" s="18">
        <f>(4522.0/B23*100)</f>
        <v/>
      </c>
      <c r="D23" s="19" t="n">
        <v>1269</v>
      </c>
      <c r="E23" s="18" t="n">
        <v>32.75283849</v>
      </c>
      <c r="F23" s="20" t="n">
        <v>1.82084057</v>
      </c>
      <c r="G23" s="18" t="n">
        <v>62.45775238</v>
      </c>
      <c r="H23" s="20" t="n">
        <v>1.96288419</v>
      </c>
      <c r="I23" s="18" t="s">
        <v>567</v>
      </c>
      <c r="J23" s="20" t="s">
        <v>567</v>
      </c>
      <c r="K23" s="18" t="n">
        <v>4.78940913</v>
      </c>
      <c r="L23" s="20" t="n">
        <v>0.71117028</v>
      </c>
      <c r="M23" s="18" t="n">
        <v>0</v>
      </c>
      <c r="N23" s="20" t="n">
        <v>0</v>
      </c>
      <c r="O23" s="18" t="n">
        <v>0</v>
      </c>
      <c r="P23" s="20" t="n">
        <v>0</v>
      </c>
      <c r="Q23" s="18" t="n">
        <v>0</v>
      </c>
      <c r="R23" s="20" t="n">
        <v>0</v>
      </c>
    </row>
    <row r="24" spans="1:18">
      <c r="A24" s="15" t="s">
        <v>584</v>
      </c>
      <c r="B24" s="17" t="n">
        <v>3338</v>
      </c>
      <c r="C24" s="18">
        <f>(2635.0/B24*100)</f>
        <v/>
      </c>
      <c r="D24" s="19" t="n">
        <v>703</v>
      </c>
      <c r="E24" s="18" t="n">
        <v>10.69337306</v>
      </c>
      <c r="F24" s="20" t="n">
        <v>1.26924995</v>
      </c>
      <c r="G24" s="18" t="n">
        <v>88.15016175</v>
      </c>
      <c r="H24" s="20" t="n">
        <v>1.3337762</v>
      </c>
      <c r="I24" s="18" t="s">
        <v>567</v>
      </c>
      <c r="J24" s="20" t="s">
        <v>567</v>
      </c>
      <c r="K24" s="18" t="n">
        <v>1.15646519</v>
      </c>
      <c r="L24" s="20" t="n">
        <v>0.45685393</v>
      </c>
      <c r="M24" s="18" t="n">
        <v>0</v>
      </c>
      <c r="N24" s="20" t="n">
        <v>0</v>
      </c>
      <c r="O24" s="18" t="n">
        <v>0</v>
      </c>
      <c r="P24" s="20" t="n">
        <v>0</v>
      </c>
      <c r="Q24" s="18" t="n">
        <v>0</v>
      </c>
      <c r="R24" s="20" t="n">
        <v>0</v>
      </c>
    </row>
    <row r="25" spans="1:18">
      <c r="A25" s="15" t="s">
        <v>585</v>
      </c>
      <c r="B25" s="17" t="n">
        <v>2912</v>
      </c>
      <c r="C25" s="18">
        <f>(2283.0/B25*100)</f>
        <v/>
      </c>
      <c r="D25" s="19" t="n">
        <v>629</v>
      </c>
      <c r="E25" s="18" t="n">
        <v>20.53867839</v>
      </c>
      <c r="F25" s="20" t="n">
        <v>1.83141729</v>
      </c>
      <c r="G25" s="18" t="n">
        <v>78.64935121000001</v>
      </c>
      <c r="H25" s="20" t="n">
        <v>1.87760256</v>
      </c>
      <c r="I25" s="18" t="s">
        <v>567</v>
      </c>
      <c r="J25" s="20" t="s">
        <v>567</v>
      </c>
      <c r="K25" s="18" t="n">
        <v>0.8119704</v>
      </c>
      <c r="L25" s="20" t="n">
        <v>0.42549753</v>
      </c>
      <c r="M25" s="18" t="n">
        <v>0</v>
      </c>
      <c r="N25" s="20" t="n">
        <v>0</v>
      </c>
      <c r="O25" s="18" t="n">
        <v>0</v>
      </c>
      <c r="P25" s="20" t="n">
        <v>0</v>
      </c>
      <c r="Q25" s="18" t="n">
        <v>0</v>
      </c>
      <c r="R25" s="20" t="n">
        <v>0</v>
      </c>
    </row>
    <row r="26" spans="1:18">
      <c r="A26" s="15" t="s">
        <v>586</v>
      </c>
      <c r="B26" s="17" t="n">
        <v>2450</v>
      </c>
      <c r="C26" s="18">
        <f>(1937.0/B26*100)</f>
        <v/>
      </c>
      <c r="D26" s="19" t="n">
        <v>513</v>
      </c>
      <c r="E26" s="18" t="n">
        <v>28.33044616</v>
      </c>
      <c r="F26" s="20" t="n">
        <v>2.43924792</v>
      </c>
      <c r="G26" s="18" t="n">
        <v>70.46113396</v>
      </c>
      <c r="H26" s="20" t="n">
        <v>2.44651447</v>
      </c>
      <c r="I26" s="18" t="s">
        <v>567</v>
      </c>
      <c r="J26" s="20" t="s">
        <v>567</v>
      </c>
      <c r="K26" s="18" t="n">
        <v>1.20841988</v>
      </c>
      <c r="L26" s="20" t="n">
        <v>0.44324734</v>
      </c>
      <c r="M26" s="18" t="n">
        <v>0</v>
      </c>
      <c r="N26" s="20" t="n">
        <v>0</v>
      </c>
      <c r="O26" s="18" t="n">
        <v>0</v>
      </c>
      <c r="P26" s="20" t="n">
        <v>0</v>
      </c>
      <c r="Q26" s="18" t="n">
        <v>0</v>
      </c>
      <c r="R26" s="20" t="n">
        <v>0</v>
      </c>
    </row>
    <row r="27" spans="1:18">
      <c r="A27" s="15" t="s">
        <v>587</v>
      </c>
      <c r="B27" s="17" t="n">
        <v>2616</v>
      </c>
      <c r="C27" s="18">
        <f>(2025.0/B27*100)</f>
        <v/>
      </c>
      <c r="D27" s="19" t="n">
        <v>591</v>
      </c>
      <c r="E27" s="18" t="n">
        <v>31.09764178</v>
      </c>
      <c r="F27" s="20" t="n">
        <v>1.96098964</v>
      </c>
      <c r="G27" s="18" t="n">
        <v>64.8592135</v>
      </c>
      <c r="H27" s="20" t="n">
        <v>1.91154338</v>
      </c>
      <c r="I27" s="18" t="s">
        <v>567</v>
      </c>
      <c r="J27" s="20" t="s">
        <v>567</v>
      </c>
      <c r="K27" s="18" t="n">
        <v>4.04314472</v>
      </c>
      <c r="L27" s="20" t="n">
        <v>0.83142669</v>
      </c>
      <c r="M27" s="18" t="n">
        <v>0</v>
      </c>
      <c r="N27" s="20" t="n">
        <v>0</v>
      </c>
      <c r="O27" s="18" t="n">
        <v>0</v>
      </c>
      <c r="P27" s="20" t="n">
        <v>0</v>
      </c>
      <c r="Q27" s="18" t="n">
        <v>0</v>
      </c>
      <c r="R27" s="20" t="n">
        <v>0</v>
      </c>
    </row>
    <row r="28" spans="1:18">
      <c r="A28" s="15" t="s">
        <v>588</v>
      </c>
      <c r="B28" s="17" t="n">
        <v>3765</v>
      </c>
      <c r="C28" s="18">
        <f>(3056.0/B28*100)</f>
        <v/>
      </c>
      <c r="D28" s="19" t="n">
        <v>709</v>
      </c>
      <c r="E28" s="18" t="n">
        <v>30.36212084</v>
      </c>
      <c r="F28" s="20" t="n">
        <v>1.72532238</v>
      </c>
      <c r="G28" s="18" t="n">
        <v>66.7722514</v>
      </c>
      <c r="H28" s="20" t="n">
        <v>1.75214795</v>
      </c>
      <c r="I28" s="18" t="s">
        <v>567</v>
      </c>
      <c r="J28" s="20" t="s">
        <v>567</v>
      </c>
      <c r="K28" s="18" t="n">
        <v>2.86562776</v>
      </c>
      <c r="L28" s="20" t="n">
        <v>0.68602818</v>
      </c>
      <c r="M28" s="18" t="n">
        <v>0</v>
      </c>
      <c r="N28" s="20" t="n">
        <v>0</v>
      </c>
      <c r="O28" s="18" t="n">
        <v>0</v>
      </c>
      <c r="P28" s="20" t="n">
        <v>0</v>
      </c>
      <c r="Q28" s="18" t="n">
        <v>0</v>
      </c>
      <c r="R28" s="20" t="n">
        <v>0</v>
      </c>
    </row>
    <row r="29" spans="1:18">
      <c r="A29" s="15" t="s">
        <v>589</v>
      </c>
      <c r="B29" s="17" t="n">
        <v>2685</v>
      </c>
      <c r="C29" s="18">
        <f>(2150.0/B29*100)</f>
        <v/>
      </c>
      <c r="D29" s="19" t="n">
        <v>535</v>
      </c>
      <c r="E29" s="18" t="n">
        <v>28.45262819</v>
      </c>
      <c r="F29" s="20" t="n">
        <v>2.23370074</v>
      </c>
      <c r="G29" s="18" t="n">
        <v>70.25440958</v>
      </c>
      <c r="H29" s="20" t="n">
        <v>2.26178234</v>
      </c>
      <c r="I29" s="18" t="s">
        <v>567</v>
      </c>
      <c r="J29" s="20" t="s">
        <v>567</v>
      </c>
      <c r="K29" s="18" t="n">
        <v>1.29296224</v>
      </c>
      <c r="L29" s="20" t="n">
        <v>0.51317683</v>
      </c>
      <c r="M29" s="18" t="n">
        <v>0</v>
      </c>
      <c r="N29" s="20" t="n">
        <v>0</v>
      </c>
      <c r="O29" s="18" t="n">
        <v>0</v>
      </c>
      <c r="P29" s="20" t="n">
        <v>0</v>
      </c>
      <c r="Q29" s="18" t="n">
        <v>0</v>
      </c>
      <c r="R29" s="20" t="n">
        <v>0</v>
      </c>
    </row>
    <row r="30" spans="1:18">
      <c r="A30" s="15" t="s">
        <v>590</v>
      </c>
      <c r="B30" s="17" t="n">
        <v>2263</v>
      </c>
      <c r="C30" s="18">
        <f>(1783.0/B30*100)</f>
        <v/>
      </c>
      <c r="D30" s="19" t="n">
        <v>480</v>
      </c>
      <c r="E30" s="18" t="n">
        <v>37.22274694</v>
      </c>
      <c r="F30" s="20" t="n">
        <v>1.97638462</v>
      </c>
      <c r="G30" s="18" t="n">
        <v>57.95217741</v>
      </c>
      <c r="H30" s="20" t="n">
        <v>2.0592505</v>
      </c>
      <c r="I30" s="18" t="s">
        <v>567</v>
      </c>
      <c r="J30" s="20" t="s">
        <v>567</v>
      </c>
      <c r="K30" s="18" t="n">
        <v>4.82507565</v>
      </c>
      <c r="L30" s="20" t="n">
        <v>1.3065896</v>
      </c>
      <c r="M30" s="18" t="n">
        <v>0</v>
      </c>
      <c r="N30" s="20" t="n">
        <v>0</v>
      </c>
      <c r="O30" s="18" t="n">
        <v>0</v>
      </c>
      <c r="P30" s="20" t="n">
        <v>0</v>
      </c>
      <c r="Q30" s="18" t="n">
        <v>0</v>
      </c>
      <c r="R30" s="20" t="n">
        <v>0</v>
      </c>
    </row>
    <row r="31" spans="1:18">
      <c r="A31" s="15" t="s">
        <v>591</v>
      </c>
      <c r="B31" s="17" t="n">
        <v>2750</v>
      </c>
      <c r="C31" s="18">
        <f>(2137.0/B31*100)</f>
        <v/>
      </c>
      <c r="D31" s="19" t="n">
        <v>613</v>
      </c>
      <c r="E31" s="18" t="n">
        <v>32.88708061</v>
      </c>
      <c r="F31" s="20" t="n">
        <v>1.92545732</v>
      </c>
      <c r="G31" s="18" t="n">
        <v>64.05038939000001</v>
      </c>
      <c r="H31" s="20" t="n">
        <v>2.01465054</v>
      </c>
      <c r="I31" s="18" t="s">
        <v>567</v>
      </c>
      <c r="J31" s="20" t="s">
        <v>567</v>
      </c>
      <c r="K31" s="18" t="n">
        <v>3.06253001</v>
      </c>
      <c r="L31" s="20" t="n">
        <v>0.755555</v>
      </c>
      <c r="M31" s="18" t="n">
        <v>0</v>
      </c>
      <c r="N31" s="20" t="n">
        <v>0</v>
      </c>
      <c r="O31" s="18" t="n">
        <v>0</v>
      </c>
      <c r="P31" s="20" t="n">
        <v>0</v>
      </c>
      <c r="Q31" s="18" t="n">
        <v>0</v>
      </c>
      <c r="R31" s="20" t="n">
        <v>0</v>
      </c>
    </row>
    <row r="32" spans="1:18">
      <c r="A32" s="15" t="s">
        <v>592</v>
      </c>
      <c r="B32" s="17" t="n">
        <v>2269</v>
      </c>
      <c r="C32" s="18">
        <f>(1758.0/B32*100)</f>
        <v/>
      </c>
      <c r="D32" s="19" t="n">
        <v>511</v>
      </c>
      <c r="E32" s="18" t="n">
        <v>36.29930938</v>
      </c>
      <c r="F32" s="20" t="n">
        <v>2.40600266</v>
      </c>
      <c r="G32" s="18" t="n">
        <v>62.47297555</v>
      </c>
      <c r="H32" s="20" t="n">
        <v>2.43699728</v>
      </c>
      <c r="I32" s="18" t="s">
        <v>567</v>
      </c>
      <c r="J32" s="20" t="s">
        <v>567</v>
      </c>
      <c r="K32" s="18" t="n">
        <v>1.22771507</v>
      </c>
      <c r="L32" s="20" t="n">
        <v>0.51329355</v>
      </c>
      <c r="M32" s="18" t="n">
        <v>0</v>
      </c>
      <c r="N32" s="20" t="n">
        <v>0</v>
      </c>
      <c r="O32" s="18" t="n">
        <v>0</v>
      </c>
      <c r="P32" s="20" t="n">
        <v>0</v>
      </c>
      <c r="Q32" s="18" t="n">
        <v>0</v>
      </c>
      <c r="R32" s="20" t="n">
        <v>0</v>
      </c>
    </row>
    <row r="33" spans="1:18">
      <c r="A33" s="15" t="s">
        <v>593</v>
      </c>
      <c r="B33" s="17" t="n">
        <v>3674</v>
      </c>
      <c r="C33" s="18">
        <f>(2935.0/B33*100)</f>
        <v/>
      </c>
      <c r="D33" s="19" t="n">
        <v>739</v>
      </c>
      <c r="E33" s="18" t="n">
        <v>24.70247286</v>
      </c>
      <c r="F33" s="20" t="n">
        <v>1.79767514</v>
      </c>
      <c r="G33" s="18" t="n">
        <v>73.87476943999999</v>
      </c>
      <c r="H33" s="20" t="n">
        <v>1.85226733</v>
      </c>
      <c r="I33" s="18" t="s">
        <v>567</v>
      </c>
      <c r="J33" s="20" t="s">
        <v>567</v>
      </c>
      <c r="K33" s="18" t="n">
        <v>1.4227577</v>
      </c>
      <c r="L33" s="20" t="n">
        <v>0.49427271</v>
      </c>
      <c r="M33" s="18" t="n">
        <v>0</v>
      </c>
      <c r="N33" s="20" t="n">
        <v>0</v>
      </c>
      <c r="O33" s="18" t="n">
        <v>0</v>
      </c>
      <c r="P33" s="20" t="n">
        <v>0</v>
      </c>
      <c r="Q33" s="18" t="n">
        <v>0</v>
      </c>
      <c r="R33" s="20" t="n">
        <v>0</v>
      </c>
    </row>
    <row r="34" spans="1:18">
      <c r="A34" s="15" t="s">
        <v>594</v>
      </c>
      <c r="B34" s="17" t="n">
        <v>3315</v>
      </c>
      <c r="C34" s="18">
        <f>(2634.0/B34*100)</f>
        <v/>
      </c>
      <c r="D34" s="19" t="n">
        <v>681</v>
      </c>
      <c r="E34" s="18" t="n">
        <v>36.52614674</v>
      </c>
      <c r="F34" s="20" t="n">
        <v>2.03722722</v>
      </c>
      <c r="G34" s="18" t="n">
        <v>60.36159969</v>
      </c>
      <c r="H34" s="20" t="n">
        <v>2.08046586</v>
      </c>
      <c r="I34" s="18" t="s">
        <v>567</v>
      </c>
      <c r="J34" s="20" t="s">
        <v>567</v>
      </c>
      <c r="K34" s="18" t="n">
        <v>3.11225357</v>
      </c>
      <c r="L34" s="20" t="n">
        <v>0.76618528</v>
      </c>
      <c r="M34" s="18" t="n">
        <v>0</v>
      </c>
      <c r="N34" s="20" t="n">
        <v>0</v>
      </c>
      <c r="O34" s="18" t="n">
        <v>0</v>
      </c>
      <c r="P34" s="20" t="n">
        <v>0</v>
      </c>
      <c r="Q34" s="18" t="n">
        <v>0</v>
      </c>
      <c r="R34" s="20" t="n">
        <v>0</v>
      </c>
    </row>
    <row r="35" spans="1:18">
      <c r="A35" s="15" t="s">
        <v>595</v>
      </c>
      <c r="B35" s="17" t="n">
        <v>3505</v>
      </c>
      <c r="C35" s="18">
        <f>(2732.0/B35*100)</f>
        <v/>
      </c>
      <c r="D35" s="19" t="n">
        <v>773</v>
      </c>
      <c r="E35" s="18" t="n">
        <v>28.8135426</v>
      </c>
      <c r="F35" s="20" t="n">
        <v>2.21569413</v>
      </c>
      <c r="G35" s="18" t="n">
        <v>69.37871558000001</v>
      </c>
      <c r="H35" s="20" t="n">
        <v>2.27433085</v>
      </c>
      <c r="I35" s="18" t="s">
        <v>567</v>
      </c>
      <c r="J35" s="20" t="s">
        <v>567</v>
      </c>
      <c r="K35" s="18" t="n">
        <v>1.80774182</v>
      </c>
      <c r="L35" s="20" t="n">
        <v>0.5916183</v>
      </c>
      <c r="M35" s="18" t="n">
        <v>0</v>
      </c>
      <c r="N35" s="20" t="n">
        <v>0</v>
      </c>
      <c r="O35" s="18" t="n">
        <v>0</v>
      </c>
      <c r="P35" s="20" t="n">
        <v>0</v>
      </c>
      <c r="Q35" s="18" t="n">
        <v>0</v>
      </c>
      <c r="R35" s="20" t="n">
        <v>0</v>
      </c>
    </row>
    <row r="36" spans="1:18">
      <c r="A36" s="15" t="s">
        <v>596</v>
      </c>
      <c r="B36" s="17" t="n">
        <v>3332</v>
      </c>
      <c r="C36" s="18">
        <f>(2685.0/B36*100)</f>
        <v/>
      </c>
      <c r="D36" s="19" t="n">
        <v>647</v>
      </c>
      <c r="E36" s="18" t="n">
        <v>31.30877153</v>
      </c>
      <c r="F36" s="20" t="n">
        <v>1.96802498</v>
      </c>
      <c r="G36" s="18" t="n">
        <v>65.68716740000001</v>
      </c>
      <c r="H36" s="20" t="n">
        <v>2.09033961</v>
      </c>
      <c r="I36" s="18" t="s">
        <v>567</v>
      </c>
      <c r="J36" s="20" t="s">
        <v>567</v>
      </c>
      <c r="K36" s="18" t="n">
        <v>3.00406107</v>
      </c>
      <c r="L36" s="20" t="n">
        <v>0.61044858</v>
      </c>
      <c r="M36" s="18" t="n">
        <v>0</v>
      </c>
      <c r="N36" s="20" t="n">
        <v>0</v>
      </c>
      <c r="O36" s="18" t="n">
        <v>0</v>
      </c>
      <c r="P36" s="20" t="n">
        <v>0</v>
      </c>
      <c r="Q36" s="18" t="n">
        <v>0</v>
      </c>
      <c r="R36" s="20" t="n">
        <v>0</v>
      </c>
    </row>
    <row r="37" spans="1:18">
      <c r="A37" s="15" t="s">
        <v>597</v>
      </c>
      <c r="B37" s="17" t="n">
        <v>2727</v>
      </c>
      <c r="C37" s="18">
        <f>(2186.0/B37*100)</f>
        <v/>
      </c>
      <c r="D37" s="19" t="n">
        <v>541</v>
      </c>
      <c r="E37" s="18" t="n">
        <v>33.37901575</v>
      </c>
      <c r="F37" s="20" t="n">
        <v>2.11569327</v>
      </c>
      <c r="G37" s="18" t="n">
        <v>61.03818056</v>
      </c>
      <c r="H37" s="20" t="n">
        <v>2.16322393</v>
      </c>
      <c r="I37" s="18" t="s">
        <v>567</v>
      </c>
      <c r="J37" s="20" t="s">
        <v>567</v>
      </c>
      <c r="K37" s="18" t="n">
        <v>5.58280368</v>
      </c>
      <c r="L37" s="20" t="n">
        <v>1.00306541</v>
      </c>
      <c r="M37" s="18" t="n">
        <v>0</v>
      </c>
      <c r="N37" s="20" t="n">
        <v>0</v>
      </c>
      <c r="O37" s="18" t="n">
        <v>0</v>
      </c>
      <c r="P37" s="20" t="n">
        <v>0</v>
      </c>
      <c r="Q37" s="18" t="n">
        <v>0</v>
      </c>
      <c r="R37" s="20" t="n">
        <v>0</v>
      </c>
    </row>
    <row r="38" spans="1:18">
      <c r="A38" s="15" t="s">
        <v>598</v>
      </c>
      <c r="B38" s="17" t="n">
        <v>3053</v>
      </c>
      <c r="C38" s="18">
        <f>(2423.0/B38*100)</f>
        <v/>
      </c>
      <c r="D38" s="19" t="n">
        <v>630</v>
      </c>
      <c r="E38" s="18" t="n">
        <v>30.05215758</v>
      </c>
      <c r="F38" s="20" t="n">
        <v>2.121013</v>
      </c>
      <c r="G38" s="18" t="n">
        <v>66.72776858</v>
      </c>
      <c r="H38" s="20" t="n">
        <v>2.20123908</v>
      </c>
      <c r="I38" s="18" t="s">
        <v>567</v>
      </c>
      <c r="J38" s="20" t="s">
        <v>567</v>
      </c>
      <c r="K38" s="18" t="n">
        <v>3.22007385</v>
      </c>
      <c r="L38" s="20" t="n">
        <v>0.79199706</v>
      </c>
      <c r="M38" s="18" t="n">
        <v>0</v>
      </c>
      <c r="N38" s="20" t="n">
        <v>0</v>
      </c>
      <c r="O38" s="18" t="n">
        <v>0</v>
      </c>
      <c r="P38" s="20" t="n">
        <v>0</v>
      </c>
      <c r="Q38" s="18" t="n">
        <v>0</v>
      </c>
      <c r="R38" s="20" t="n">
        <v>0</v>
      </c>
    </row>
    <row r="39" spans="1:18">
      <c r="A39" s="15" t="s">
        <v>599</v>
      </c>
      <c r="B39" s="17" t="n">
        <v>2957</v>
      </c>
      <c r="C39" s="18">
        <f>(2320.0/B39*100)</f>
        <v/>
      </c>
      <c r="D39" s="19" t="n">
        <v>637</v>
      </c>
      <c r="E39" s="18" t="n">
        <v>50.08989314</v>
      </c>
      <c r="F39" s="20" t="n">
        <v>2.51193494</v>
      </c>
      <c r="G39" s="18" t="n">
        <v>47.75753926</v>
      </c>
      <c r="H39" s="20" t="n">
        <v>2.44092835</v>
      </c>
      <c r="I39" s="18" t="s">
        <v>567</v>
      </c>
      <c r="J39" s="20" t="s">
        <v>567</v>
      </c>
      <c r="K39" s="18" t="n">
        <v>2.1525676</v>
      </c>
      <c r="L39" s="20" t="n">
        <v>0.48390533</v>
      </c>
      <c r="M39" s="18" t="n">
        <v>0</v>
      </c>
      <c r="N39" s="20" t="n">
        <v>0</v>
      </c>
      <c r="O39" s="18" t="n">
        <v>0</v>
      </c>
      <c r="P39" s="20" t="n">
        <v>0</v>
      </c>
      <c r="Q39" s="18" t="n">
        <v>0</v>
      </c>
      <c r="R39" s="20" t="n">
        <v>0</v>
      </c>
    </row>
    <row r="40" spans="1:18">
      <c r="A40" s="15" t="s">
        <v>600</v>
      </c>
      <c r="B40" s="17" t="n">
        <v>7235</v>
      </c>
      <c r="C40" s="18">
        <f>(5668.0/B40*100)</f>
        <v/>
      </c>
      <c r="D40" s="19" t="n">
        <v>1567</v>
      </c>
      <c r="E40" s="18" t="n">
        <v>30.97485512</v>
      </c>
      <c r="F40" s="20" t="n">
        <v>1.79365663</v>
      </c>
      <c r="G40" s="18" t="n">
        <v>66.46268532000001</v>
      </c>
      <c r="H40" s="20" t="n">
        <v>1.83104853</v>
      </c>
      <c r="I40" s="18" t="s">
        <v>567</v>
      </c>
      <c r="J40" s="20" t="s">
        <v>567</v>
      </c>
      <c r="K40" s="18" t="n">
        <v>2.56245956</v>
      </c>
      <c r="L40" s="20" t="n">
        <v>0.67292751</v>
      </c>
      <c r="M40" s="18" t="n">
        <v>0</v>
      </c>
      <c r="N40" s="20" t="n">
        <v>0</v>
      </c>
      <c r="O40" s="18" t="n">
        <v>0</v>
      </c>
      <c r="P40" s="20" t="n">
        <v>0</v>
      </c>
      <c r="Q40" s="18" t="n">
        <v>0</v>
      </c>
      <c r="R40" s="20" t="n">
        <v>0</v>
      </c>
    </row>
    <row r="41" spans="1:18">
      <c r="A41" s="15" t="s">
        <v>601</v>
      </c>
      <c r="B41" s="17" t="n">
        <v>2858</v>
      </c>
      <c r="C41" s="18">
        <f>(2296.0/B41*100)</f>
        <v/>
      </c>
      <c r="D41" s="19" t="n">
        <v>562</v>
      </c>
      <c r="E41" s="18" t="n">
        <v>29.90190082</v>
      </c>
      <c r="F41" s="20" t="n">
        <v>1.87511047</v>
      </c>
      <c r="G41" s="18" t="n">
        <v>67.42592439000001</v>
      </c>
      <c r="H41" s="20" t="n">
        <v>1.98524591</v>
      </c>
      <c r="I41" s="18" t="s">
        <v>567</v>
      </c>
      <c r="J41" s="20" t="s">
        <v>567</v>
      </c>
      <c r="K41" s="18" t="n">
        <v>2.67217478</v>
      </c>
      <c r="L41" s="20" t="n">
        <v>0.86447408</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(9430.0/B46*100)</f>
        <v/>
      </c>
      <c r="D46" s="19" t="n">
        <v>1638</v>
      </c>
      <c r="E46" s="18" t="n">
        <v>41.64632661</v>
      </c>
      <c r="F46" s="20" t="n">
        <v>1.76451013</v>
      </c>
      <c r="G46" s="18" t="n">
        <v>48.90526313</v>
      </c>
      <c r="H46" s="20" t="n">
        <v>1.78877207</v>
      </c>
      <c r="I46" s="18" t="s">
        <v>567</v>
      </c>
      <c r="J46" s="20" t="s">
        <v>567</v>
      </c>
      <c r="K46" s="18" t="n">
        <v>9.448410259999999</v>
      </c>
      <c r="L46" s="20" t="n">
        <v>1.04525823</v>
      </c>
      <c r="M46" s="18" t="n">
        <v>0</v>
      </c>
      <c r="N46" s="20" t="n">
        <v>0</v>
      </c>
      <c r="O46" s="18" t="n">
        <v>0</v>
      </c>
      <c r="P46" s="20" t="n">
        <v>0</v>
      </c>
      <c r="Q46" s="18" t="n">
        <v>0</v>
      </c>
      <c r="R46" s="20" t="n">
        <v>0</v>
      </c>
    </row>
    <row r="47" spans="1:18">
      <c r="A47" s="15" t="s">
        <v>607</v>
      </c>
      <c r="B47" s="17" t="n">
        <v>3105</v>
      </c>
      <c r="C47" s="18">
        <f>(2499.0/B47*100)</f>
        <v/>
      </c>
      <c r="D47" s="19" t="n">
        <v>606</v>
      </c>
      <c r="E47" s="18" t="n">
        <v>36.1269018</v>
      </c>
      <c r="F47" s="20" t="n">
        <v>2.12789215</v>
      </c>
      <c r="G47" s="18" t="n">
        <v>59.72537115</v>
      </c>
      <c r="H47" s="20" t="n">
        <v>2.2028447</v>
      </c>
      <c r="I47" s="18" t="s">
        <v>567</v>
      </c>
      <c r="J47" s="20" t="s">
        <v>567</v>
      </c>
      <c r="K47" s="18" t="n">
        <v>4.14772705</v>
      </c>
      <c r="L47" s="20" t="n">
        <v>0.83629782</v>
      </c>
      <c r="M47" s="18" t="n">
        <v>0</v>
      </c>
      <c r="N47" s="20" t="n">
        <v>0</v>
      </c>
      <c r="O47" s="18" t="n">
        <v>0</v>
      </c>
      <c r="P47" s="20" t="n">
        <v>0</v>
      </c>
      <c r="Q47" s="18" t="n">
        <v>0</v>
      </c>
      <c r="R47" s="20" t="n">
        <v>0</v>
      </c>
    </row>
    <row r="48" spans="1:18">
      <c r="A48" s="15" t="s">
        <v>608</v>
      </c>
      <c r="B48" s="17" t="n">
        <v>5159</v>
      </c>
      <c r="C48" s="18">
        <f>(4049.0/B48*100)</f>
        <v/>
      </c>
      <c r="D48" s="19" t="n">
        <v>1110</v>
      </c>
      <c r="E48" s="18" t="n">
        <v>17.50420506</v>
      </c>
      <c r="F48" s="20" t="n">
        <v>1.53218337</v>
      </c>
      <c r="G48" s="18" t="n">
        <v>81.13205291</v>
      </c>
      <c r="H48" s="20" t="n">
        <v>1.563979</v>
      </c>
      <c r="I48" s="18" t="s">
        <v>567</v>
      </c>
      <c r="J48" s="20" t="s">
        <v>567</v>
      </c>
      <c r="K48" s="18" t="n">
        <v>1.36374203</v>
      </c>
      <c r="L48" s="20" t="n">
        <v>0.45495404</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(4505.0/B50*100)</f>
        <v/>
      </c>
      <c r="D50" s="19" t="n">
        <v>1132</v>
      </c>
      <c r="E50" s="18" t="n">
        <v>42.0691461</v>
      </c>
      <c r="F50" s="20" t="n">
        <v>1.80644668</v>
      </c>
      <c r="G50" s="18" t="n">
        <v>49.06424054</v>
      </c>
      <c r="H50" s="20" t="n">
        <v>1.72121817</v>
      </c>
      <c r="I50" s="18" t="s">
        <v>567</v>
      </c>
      <c r="J50" s="20" t="s">
        <v>567</v>
      </c>
      <c r="K50" s="18" t="n">
        <v>8.866613360000001</v>
      </c>
      <c r="L50" s="20" t="n">
        <v>1.27922024</v>
      </c>
      <c r="M50" s="18" t="n">
        <v>0</v>
      </c>
      <c r="N50" s="20" t="n">
        <v>0</v>
      </c>
      <c r="O50" s="18" t="n">
        <v>0</v>
      </c>
      <c r="P50" s="20" t="n">
        <v>0</v>
      </c>
      <c r="Q50" s="18" t="n">
        <v>0</v>
      </c>
      <c r="R50" s="20" t="n">
        <v>0</v>
      </c>
    </row>
    <row r="51" spans="1:18">
      <c r="A51" s="15" t="s">
        <v>611</v>
      </c>
      <c r="B51" s="17" t="n">
        <v>3372</v>
      </c>
      <c r="C51" s="18">
        <f>(2815.0/B51*100)</f>
        <v/>
      </c>
      <c r="D51" s="19" t="n">
        <v>557</v>
      </c>
      <c r="E51" s="18" t="n">
        <v>48.98420636</v>
      </c>
      <c r="F51" s="20" t="n">
        <v>2.29041531</v>
      </c>
      <c r="G51" s="18" t="n">
        <v>47.76336911</v>
      </c>
      <c r="H51" s="20" t="n">
        <v>2.38470804</v>
      </c>
      <c r="I51" s="18" t="s">
        <v>567</v>
      </c>
      <c r="J51" s="20" t="s">
        <v>567</v>
      </c>
      <c r="K51" s="18" t="n">
        <v>3.25242453</v>
      </c>
      <c r="L51" s="20" t="n">
        <v>0.8101309</v>
      </c>
      <c r="M51" s="18" t="n">
        <v>0</v>
      </c>
      <c r="N51" s="20" t="n">
        <v>0</v>
      </c>
      <c r="O51" s="18" t="n">
        <v>0</v>
      </c>
      <c r="P51" s="20" t="n">
        <v>0</v>
      </c>
      <c r="Q51" s="18" t="n">
        <v>0</v>
      </c>
      <c r="R51" s="20" t="n">
        <v>0</v>
      </c>
    </row>
    <row r="52" spans="1:18">
      <c r="A52" s="15" t="s">
        <v>612</v>
      </c>
      <c r="B52" s="17" t="n">
        <v>2796</v>
      </c>
      <c r="C52" s="18">
        <f>(2161.0/B52*100)</f>
        <v/>
      </c>
      <c r="D52" s="19" t="n">
        <v>635</v>
      </c>
      <c r="E52" s="18" t="n">
        <v>31.23597271</v>
      </c>
      <c r="F52" s="20" t="n">
        <v>1.93958436</v>
      </c>
      <c r="G52" s="18" t="n">
        <v>65.76241947</v>
      </c>
      <c r="H52" s="20" t="n">
        <v>2.19854378</v>
      </c>
      <c r="I52" s="18" t="s">
        <v>567</v>
      </c>
      <c r="J52" s="20" t="s">
        <v>567</v>
      </c>
      <c r="K52" s="18" t="n">
        <v>3.00160782</v>
      </c>
      <c r="L52" s="20" t="n">
        <v>0.732843</v>
      </c>
      <c r="M52" s="18" t="n">
        <v>0</v>
      </c>
      <c r="N52" s="20" t="n">
        <v>0</v>
      </c>
      <c r="O52" s="18" t="n">
        <v>0</v>
      </c>
      <c r="P52" s="20" t="n">
        <v>0</v>
      </c>
      <c r="Q52" s="18" t="n">
        <v>0</v>
      </c>
      <c r="R52" s="20" t="n">
        <v>0</v>
      </c>
    </row>
    <row r="53" spans="1:18">
      <c r="A53" s="15" t="s">
        <v>613</v>
      </c>
      <c r="B53" s="17" t="n">
        <v>2811</v>
      </c>
      <c r="C53" s="18">
        <f>(2220.0/B53*100)</f>
        <v/>
      </c>
      <c r="D53" s="19" t="n">
        <v>591</v>
      </c>
      <c r="E53" s="18" t="n">
        <v>55.04568063</v>
      </c>
      <c r="F53" s="20" t="n">
        <v>2.1203959</v>
      </c>
      <c r="G53" s="18" t="n">
        <v>41.549858</v>
      </c>
      <c r="H53" s="20" t="n">
        <v>2.15292592</v>
      </c>
      <c r="I53" s="18" t="s">
        <v>567</v>
      </c>
      <c r="J53" s="20" t="s">
        <v>567</v>
      </c>
      <c r="K53" s="18" t="n">
        <v>3.40446138</v>
      </c>
      <c r="L53" s="20" t="n">
        <v>0.79404766</v>
      </c>
      <c r="M53" s="18" t="n">
        <v>0</v>
      </c>
      <c r="N53" s="20" t="n">
        <v>0</v>
      </c>
      <c r="O53" s="18" t="n">
        <v>0</v>
      </c>
      <c r="P53" s="20" t="n">
        <v>0</v>
      </c>
      <c r="Q53" s="18" t="n">
        <v>0</v>
      </c>
      <c r="R53" s="20" t="n">
        <v>0</v>
      </c>
    </row>
    <row r="54" spans="1:18">
      <c r="A54" s="15" t="s">
        <v>614</v>
      </c>
      <c r="B54" s="17" t="n">
        <v>2266</v>
      </c>
      <c r="C54" s="18">
        <f>(1746.0/B54*100)</f>
        <v/>
      </c>
      <c r="D54" s="19" t="n">
        <v>520</v>
      </c>
      <c r="E54" s="18" t="n">
        <v>41.10820875</v>
      </c>
      <c r="F54" s="20" t="n">
        <v>2.66645376</v>
      </c>
      <c r="G54" s="18" t="n">
        <v>28.89058561</v>
      </c>
      <c r="H54" s="20" t="n">
        <v>2.15033447</v>
      </c>
      <c r="I54" s="18" t="s">
        <v>567</v>
      </c>
      <c r="J54" s="20" t="s">
        <v>567</v>
      </c>
      <c r="K54" s="18" t="n">
        <v>30.00120564</v>
      </c>
      <c r="L54" s="20" t="n">
        <v>2.54132527</v>
      </c>
      <c r="M54" s="18" t="n">
        <v>0</v>
      </c>
      <c r="N54" s="20" t="n">
        <v>0</v>
      </c>
      <c r="O54" s="18" t="n">
        <v>0</v>
      </c>
      <c r="P54" s="20" t="n">
        <v>0</v>
      </c>
      <c r="Q54" s="18" t="n">
        <v>0</v>
      </c>
      <c r="R54" s="20" t="n">
        <v>0</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(2075.0/B56*100)</f>
        <v/>
      </c>
      <c r="D56" s="19" t="n">
        <v>609</v>
      </c>
      <c r="E56" s="18" t="n">
        <v>19.12045477</v>
      </c>
      <c r="F56" s="20" t="n">
        <v>1.64684889</v>
      </c>
      <c r="G56" s="18" t="n">
        <v>79.46010267</v>
      </c>
      <c r="H56" s="20" t="n">
        <v>1.67262557</v>
      </c>
      <c r="I56" s="18" t="s">
        <v>567</v>
      </c>
      <c r="J56" s="20" t="s">
        <v>567</v>
      </c>
      <c r="K56" s="18" t="n">
        <v>1.41944256</v>
      </c>
      <c r="L56" s="20" t="n">
        <v>0.5784910599999999</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(2607.0/B61*100)</f>
        <v/>
      </c>
      <c r="D61" s="19" t="n">
        <v>717</v>
      </c>
      <c r="E61" s="18" t="n">
        <v>34.16197618</v>
      </c>
      <c r="F61" s="20" t="n">
        <v>2.16106602</v>
      </c>
      <c r="G61" s="18" t="n">
        <v>63.63264209</v>
      </c>
      <c r="H61" s="20" t="n">
        <v>2.22322827</v>
      </c>
      <c r="I61" s="18" t="s">
        <v>567</v>
      </c>
      <c r="J61" s="20" t="s">
        <v>567</v>
      </c>
      <c r="K61" s="18" t="n">
        <v>2.20538173</v>
      </c>
      <c r="L61" s="20" t="n">
        <v>0.50072614</v>
      </c>
      <c r="M61" s="18" t="n">
        <v>0</v>
      </c>
      <c r="N61" s="20" t="n">
        <v>0</v>
      </c>
      <c r="O61" s="18" t="n">
        <v>0</v>
      </c>
      <c r="P61" s="20" t="n">
        <v>0</v>
      </c>
      <c r="Q61" s="18" t="n">
        <v>0</v>
      </c>
      <c r="R61" s="20" t="n">
        <v>0</v>
      </c>
    </row>
    <row r="62" spans="1:18">
      <c r="A62" s="15" t="s">
        <v>622</v>
      </c>
      <c r="B62" s="17" t="n">
        <v>2246</v>
      </c>
      <c r="C62" s="18">
        <f>(1812.0/B62*100)</f>
        <v/>
      </c>
      <c r="D62" s="19" t="n">
        <v>434</v>
      </c>
      <c r="E62" s="18" t="n">
        <v>21.2022636</v>
      </c>
      <c r="F62" s="20" t="n">
        <v>2.18419151</v>
      </c>
      <c r="G62" s="18" t="n">
        <v>78.79773640000001</v>
      </c>
      <c r="H62" s="20" t="n">
        <v>2.18419151</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(2264.0/B66*100)</f>
        <v/>
      </c>
      <c r="D66" s="19" t="n">
        <v>630</v>
      </c>
      <c r="E66" s="18" t="n">
        <v>35.71395399</v>
      </c>
      <c r="F66" s="20" t="n">
        <v>1.87730996</v>
      </c>
      <c r="G66" s="18" t="n">
        <v>54.25501747</v>
      </c>
      <c r="H66" s="20" t="n">
        <v>1.89675242</v>
      </c>
      <c r="I66" s="18" t="s">
        <v>567</v>
      </c>
      <c r="J66" s="20" t="s">
        <v>567</v>
      </c>
      <c r="K66" s="18" t="n">
        <v>10.03102854</v>
      </c>
      <c r="L66" s="20" t="n">
        <v>1.2134204</v>
      </c>
      <c r="M66" s="18" t="n">
        <v>0</v>
      </c>
      <c r="N66" s="20" t="n">
        <v>0</v>
      </c>
      <c r="O66" s="18" t="n">
        <v>0</v>
      </c>
      <c r="P66" s="20" t="n">
        <v>0</v>
      </c>
      <c r="Q66" s="18" t="n">
        <v>0</v>
      </c>
      <c r="R66" s="20" t="n">
        <v>0</v>
      </c>
    </row>
    <row r="67" spans="1:18">
      <c r="A67" s="15" t="s">
        <v>627</v>
      </c>
      <c r="B67" s="17" t="n">
        <v>3511</v>
      </c>
      <c r="C67" s="18">
        <f>(2911.0/B67*100)</f>
        <v/>
      </c>
      <c r="D67" s="19" t="n">
        <v>600</v>
      </c>
      <c r="E67" s="18" t="n">
        <v>47.84281615</v>
      </c>
      <c r="F67" s="20" t="n">
        <v>2.0279831</v>
      </c>
      <c r="G67" s="18" t="n">
        <v>47.00114271</v>
      </c>
      <c r="H67" s="20" t="n">
        <v>2.032657</v>
      </c>
      <c r="I67" s="18" t="s">
        <v>567</v>
      </c>
      <c r="J67" s="20" t="s">
        <v>567</v>
      </c>
      <c r="K67" s="18" t="n">
        <v>5.15604114</v>
      </c>
      <c r="L67" s="20" t="n">
        <v>1.21132325</v>
      </c>
      <c r="M67" s="18" t="n">
        <v>0</v>
      </c>
      <c r="N67" s="20" t="n">
        <v>0</v>
      </c>
      <c r="O67" s="18" t="n">
        <v>0</v>
      </c>
      <c r="P67" s="20" t="n">
        <v>0</v>
      </c>
      <c r="Q67" s="18" t="n">
        <v>0</v>
      </c>
      <c r="R67" s="20" t="n">
        <v>0</v>
      </c>
    </row>
    <row r="68" spans="1:18">
      <c r="A68" s="15" t="s">
        <v>628</v>
      </c>
      <c r="B68" s="17" t="n">
        <v>6049</v>
      </c>
      <c r="C68" s="18">
        <f>(4720.0/B68*100)</f>
        <v/>
      </c>
      <c r="D68" s="19" t="n">
        <v>1329</v>
      </c>
      <c r="E68" s="18" t="n">
        <v>46.50276642</v>
      </c>
      <c r="F68" s="20" t="n">
        <v>1.18737217</v>
      </c>
      <c r="G68" s="18" t="n">
        <v>42.1567474</v>
      </c>
      <c r="H68" s="20" t="n">
        <v>1.26077365</v>
      </c>
      <c r="I68" s="18" t="s">
        <v>567</v>
      </c>
      <c r="J68" s="20" t="s">
        <v>567</v>
      </c>
      <c r="K68" s="18" t="n">
        <v>11.34048618</v>
      </c>
      <c r="L68" s="20" t="n">
        <v>0.84535007</v>
      </c>
      <c r="M68" s="18" t="n">
        <v>0</v>
      </c>
      <c r="N68" s="20" t="n">
        <v>0</v>
      </c>
      <c r="O68" s="18" t="n">
        <v>0</v>
      </c>
      <c r="P68" s="20" t="n">
        <v>0</v>
      </c>
      <c r="Q68" s="18" t="n">
        <v>0</v>
      </c>
      <c r="R68" s="20" t="n">
        <v>0</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(2360.0/B70*100)</f>
        <v/>
      </c>
      <c r="D70" s="19" t="n">
        <v>569</v>
      </c>
      <c r="E70" s="18" t="n">
        <v>27.83298915</v>
      </c>
      <c r="F70" s="20" t="n">
        <v>1.85342747</v>
      </c>
      <c r="G70" s="18" t="n">
        <v>69.95580794999999</v>
      </c>
      <c r="H70" s="20" t="n">
        <v>1.80080103</v>
      </c>
      <c r="I70" s="18" t="s">
        <v>567</v>
      </c>
      <c r="J70" s="20" t="s">
        <v>567</v>
      </c>
      <c r="K70" s="18" t="n">
        <v>2.2112029</v>
      </c>
      <c r="L70" s="20" t="n">
        <v>0.57091428</v>
      </c>
      <c r="M70" s="18" t="n">
        <v>0</v>
      </c>
      <c r="N70" s="20" t="n">
        <v>0</v>
      </c>
      <c r="O70" s="18" t="n">
        <v>0</v>
      </c>
      <c r="P70" s="20" t="n">
        <v>0</v>
      </c>
      <c r="Q70" s="18" t="n">
        <v>0</v>
      </c>
      <c r="R70" s="20" t="n">
        <v>0</v>
      </c>
    </row>
    <row r="71" spans="1:18">
      <c r="A71" s="15" t="s">
        <v>631</v>
      </c>
      <c r="B71" s="17" t="n">
        <v>3142</v>
      </c>
      <c r="C71" s="18">
        <f>(2473.0/B71*100)</f>
        <v/>
      </c>
      <c r="D71" s="19" t="n">
        <v>669</v>
      </c>
      <c r="E71" s="18" t="n">
        <v>21.82182317</v>
      </c>
      <c r="F71" s="20" t="n">
        <v>1.69124458</v>
      </c>
      <c r="G71" s="18" t="n">
        <v>77.37616803</v>
      </c>
      <c r="H71" s="20" t="n">
        <v>1.73523859</v>
      </c>
      <c r="I71" s="18" t="s">
        <v>567</v>
      </c>
      <c r="J71" s="20" t="s">
        <v>567</v>
      </c>
      <c r="K71" s="18" t="n">
        <v>0.8020088</v>
      </c>
      <c r="L71" s="20" t="n">
        <v>0.2114243</v>
      </c>
      <c r="M71" s="18" t="n">
        <v>0</v>
      </c>
      <c r="N71" s="20" t="n">
        <v>0</v>
      </c>
      <c r="O71" s="18" t="n">
        <v>0</v>
      </c>
      <c r="P71" s="20" t="n">
        <v>0</v>
      </c>
      <c r="Q71" s="18" t="n">
        <v>0</v>
      </c>
      <c r="R71" s="20" t="n">
        <v>0</v>
      </c>
    </row>
    <row r="72" spans="1:18">
      <c r="A72" s="15" t="s">
        <v>632</v>
      </c>
      <c r="B72" s="17" t="n">
        <v>3889</v>
      </c>
      <c r="C72" s="18">
        <f>(3016.0/B72*100)</f>
        <v/>
      </c>
      <c r="D72" s="19" t="n">
        <v>873</v>
      </c>
      <c r="E72" s="18" t="n">
        <v>21.20827004</v>
      </c>
      <c r="F72" s="20" t="n">
        <v>1.62445823</v>
      </c>
      <c r="G72" s="18" t="n">
        <v>78.47114078</v>
      </c>
      <c r="H72" s="20" t="n">
        <v>1.62509986</v>
      </c>
      <c r="I72" s="18" t="s">
        <v>567</v>
      </c>
      <c r="J72" s="20" t="s">
        <v>567</v>
      </c>
      <c r="K72" s="18" t="n">
        <v>0.32058918</v>
      </c>
      <c r="L72" s="20" t="n">
        <v>0.15218985</v>
      </c>
      <c r="M72" s="18" t="n">
        <v>0</v>
      </c>
      <c r="N72" s="20" t="n">
        <v>0</v>
      </c>
      <c r="O72" s="18" t="n">
        <v>0</v>
      </c>
      <c r="P72" s="20" t="n">
        <v>0</v>
      </c>
      <c r="Q72" s="18" t="n">
        <v>0</v>
      </c>
      <c r="R72" s="20" t="n">
        <v>0</v>
      </c>
    </row>
    <row r="73" spans="1:18">
      <c r="A73" s="15" t="s">
        <v>633</v>
      </c>
      <c r="B73" s="17" t="n">
        <v>3597</v>
      </c>
      <c r="C73" s="18">
        <f>(2850.0/B73*100)</f>
        <v/>
      </c>
      <c r="D73" s="19" t="n">
        <v>747</v>
      </c>
      <c r="E73" s="18" t="n">
        <v>47.47596945</v>
      </c>
      <c r="F73" s="20" t="n">
        <v>2.29732906</v>
      </c>
      <c r="G73" s="18" t="n">
        <v>51.6275156</v>
      </c>
      <c r="H73" s="20" t="n">
        <v>2.23056668</v>
      </c>
      <c r="I73" s="18" t="s">
        <v>567</v>
      </c>
      <c r="J73" s="20" t="s">
        <v>567</v>
      </c>
      <c r="K73" s="18" t="n">
        <v>0.89651495</v>
      </c>
      <c r="L73" s="20" t="n">
        <v>0.44424437</v>
      </c>
      <c r="M73" s="18" t="n">
        <v>0</v>
      </c>
      <c r="N73" s="20" t="n">
        <v>0</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(1946.0/B75*100)</f>
        <v/>
      </c>
      <c r="D75" s="19" t="n">
        <v>460</v>
      </c>
      <c r="E75" s="18" t="n">
        <v>41.14747511</v>
      </c>
      <c r="F75" s="20" t="n">
        <v>2.54278006</v>
      </c>
      <c r="G75" s="18" t="n">
        <v>47.19034396</v>
      </c>
      <c r="H75" s="20" t="n">
        <v>2.66850337</v>
      </c>
      <c r="I75" s="18" t="s">
        <v>567</v>
      </c>
      <c r="J75" s="20" t="s">
        <v>567</v>
      </c>
      <c r="K75" s="18" t="n">
        <v>11.66218093</v>
      </c>
      <c r="L75" s="20" t="n">
        <v>1.77446844</v>
      </c>
      <c r="M75" s="18" t="n">
        <v>0</v>
      </c>
      <c r="N75" s="20" t="n">
        <v>0</v>
      </c>
      <c r="O75" s="18" t="n">
        <v>0</v>
      </c>
      <c r="P75" s="20" t="n">
        <v>0</v>
      </c>
      <c r="Q75" s="18" t="n">
        <v>0</v>
      </c>
      <c r="R75" s="20" t="n">
        <v>0</v>
      </c>
    </row>
    <row r="76" spans="1:18">
      <c r="A76" s="15" t="s">
        <v>636</v>
      </c>
      <c r="B76" s="17" t="n">
        <v>7052</v>
      </c>
      <c r="C76" s="18">
        <f>(5542.0/B76*100)</f>
        <v/>
      </c>
      <c r="D76" s="19" t="n">
        <v>1510</v>
      </c>
      <c r="E76" s="18" t="n">
        <v>49.01050795</v>
      </c>
      <c r="F76" s="20" t="n">
        <v>1.75306688</v>
      </c>
      <c r="G76" s="18" t="n">
        <v>47.4534071</v>
      </c>
      <c r="H76" s="20" t="n">
        <v>1.87241444</v>
      </c>
      <c r="I76" s="18" t="s">
        <v>567</v>
      </c>
      <c r="J76" s="20" t="s">
        <v>567</v>
      </c>
      <c r="K76" s="18" t="n">
        <v>3.53608495</v>
      </c>
      <c r="L76" s="20" t="n">
        <v>0.57491506</v>
      </c>
      <c r="M76" s="18" t="n">
        <v>0</v>
      </c>
      <c r="N76" s="20" t="n">
        <v>0</v>
      </c>
      <c r="O76" s="18" t="n">
        <v>0</v>
      </c>
      <c r="P76" s="20" t="n">
        <v>0</v>
      </c>
      <c r="Q76" s="18" t="n">
        <v>0</v>
      </c>
      <c r="R76" s="20" t="n">
        <v>0</v>
      </c>
    </row>
    <row r="77" spans="1:18">
      <c r="A77" s="15" t="s">
        <v>637</v>
      </c>
      <c r="B77" s="17" t="n">
        <v>2908</v>
      </c>
      <c r="C77" s="18">
        <f>(2307.0/B77*100)</f>
        <v/>
      </c>
      <c r="D77" s="19" t="n">
        <v>601</v>
      </c>
      <c r="E77" s="18" t="n">
        <v>35.4519831</v>
      </c>
      <c r="F77" s="20" t="n">
        <v>2.1236516</v>
      </c>
      <c r="G77" s="18" t="n">
        <v>56.06233486</v>
      </c>
      <c r="H77" s="20" t="n">
        <v>2.25994377</v>
      </c>
      <c r="I77" s="18" t="s">
        <v>567</v>
      </c>
      <c r="J77" s="20" t="s">
        <v>567</v>
      </c>
      <c r="K77" s="18" t="n">
        <v>8.48568204</v>
      </c>
      <c r="L77" s="20" t="n">
        <v>1.15097208</v>
      </c>
      <c r="M77" s="18" t="n">
        <v>0</v>
      </c>
      <c r="N77" s="20" t="n">
        <v>0</v>
      </c>
      <c r="O77" s="18" t="n">
        <v>0</v>
      </c>
      <c r="P77" s="20" t="n">
        <v>0</v>
      </c>
      <c r="Q77" s="18" t="n">
        <v>0</v>
      </c>
      <c r="R77" s="20" t="n">
        <v>0</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(3230.0/B81*100)</f>
        <v/>
      </c>
      <c r="D81" s="19" t="n">
        <v>933</v>
      </c>
      <c r="E81" s="18" t="n">
        <v>33.22991404</v>
      </c>
      <c r="F81" s="20" t="n">
        <v>1.72383228</v>
      </c>
      <c r="G81" s="18" t="n">
        <v>64.74379831</v>
      </c>
      <c r="H81" s="20" t="n">
        <v>1.79491588</v>
      </c>
      <c r="I81" s="18" t="s">
        <v>567</v>
      </c>
      <c r="J81" s="20" t="s">
        <v>567</v>
      </c>
      <c r="K81" s="18" t="n">
        <v>2.02628765</v>
      </c>
      <c r="L81" s="20" t="n">
        <v>0.55192393</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(5796.0/B7*100)</f>
        <v/>
      </c>
      <c r="D7" s="19" t="n">
        <v>1571</v>
      </c>
      <c r="E7" s="18" t="n">
        <v>7.60706067</v>
      </c>
      <c r="F7" s="20" t="n">
        <v>0.87091476</v>
      </c>
      <c r="G7" s="18" t="n">
        <v>85.78898728</v>
      </c>
      <c r="H7" s="20" t="n">
        <v>1.07947217</v>
      </c>
      <c r="I7" s="18" t="s">
        <v>567</v>
      </c>
      <c r="J7" s="20" t="s">
        <v>567</v>
      </c>
      <c r="K7" s="18" t="n">
        <v>0.03202061</v>
      </c>
      <c r="L7" s="20" t="n">
        <v>0.03234132</v>
      </c>
      <c r="M7" s="18" t="n">
        <v>0</v>
      </c>
      <c r="N7" s="20" t="n">
        <v>0</v>
      </c>
      <c r="O7" s="18" t="n">
        <v>0</v>
      </c>
      <c r="P7" s="20" t="n">
        <v>0</v>
      </c>
      <c r="Q7" s="18" t="n">
        <v>6.57193144</v>
      </c>
      <c r="R7" s="20" t="n">
        <v>0.77230718</v>
      </c>
    </row>
    <row r="8" spans="1:18">
      <c r="A8" s="15" t="s">
        <v>568</v>
      </c>
      <c r="B8" s="17" t="n">
        <v>3564</v>
      </c>
      <c r="C8" s="18">
        <f>(2763.0/B8*100)</f>
        <v/>
      </c>
      <c r="D8" s="19" t="n">
        <v>801</v>
      </c>
      <c r="E8" s="18" t="n">
        <v>10.10113246</v>
      </c>
      <c r="F8" s="20" t="n">
        <v>1.29678389</v>
      </c>
      <c r="G8" s="18" t="n">
        <v>84.3457509</v>
      </c>
      <c r="H8" s="20" t="n">
        <v>1.43110036</v>
      </c>
      <c r="I8" s="18" t="s">
        <v>567</v>
      </c>
      <c r="J8" s="20" t="s">
        <v>567</v>
      </c>
      <c r="K8" s="18" t="n">
        <v>0.06317774</v>
      </c>
      <c r="L8" s="20" t="n">
        <v>0.06188693</v>
      </c>
      <c r="M8" s="18" t="n">
        <v>0</v>
      </c>
      <c r="N8" s="20" t="n">
        <v>0</v>
      </c>
      <c r="O8" s="18" t="n">
        <v>0</v>
      </c>
      <c r="P8" s="20" t="n">
        <v>0</v>
      </c>
      <c r="Q8" s="18" t="n">
        <v>5.48993889</v>
      </c>
      <c r="R8" s="20" t="n">
        <v>0.78280068</v>
      </c>
    </row>
    <row r="9" spans="1:18">
      <c r="A9" s="15" t="s">
        <v>569</v>
      </c>
      <c r="B9" s="17" t="n">
        <v>4899</v>
      </c>
      <c r="C9" s="18">
        <f>(3883.0/B9*100)</f>
        <v/>
      </c>
      <c r="D9" s="19" t="n">
        <v>1016</v>
      </c>
      <c r="E9" s="18" t="n">
        <v>10.23896351</v>
      </c>
      <c r="F9" s="20" t="n">
        <v>0.9572569399999999</v>
      </c>
      <c r="G9" s="18" t="n">
        <v>83.59199396</v>
      </c>
      <c r="H9" s="20" t="n">
        <v>1.33872752</v>
      </c>
      <c r="I9" s="18" t="s">
        <v>567</v>
      </c>
      <c r="J9" s="20" t="s">
        <v>567</v>
      </c>
      <c r="K9" s="18" t="n">
        <v>0.14400286</v>
      </c>
      <c r="L9" s="20" t="n">
        <v>0.15236206</v>
      </c>
      <c r="M9" s="18" t="n">
        <v>0</v>
      </c>
      <c r="N9" s="20" t="n">
        <v>0</v>
      </c>
      <c r="O9" s="18" t="n">
        <v>0</v>
      </c>
      <c r="P9" s="20" t="n">
        <v>0</v>
      </c>
      <c r="Q9" s="18" t="n">
        <v>6.02503967</v>
      </c>
      <c r="R9" s="20" t="n">
        <v>0.97358367</v>
      </c>
    </row>
    <row r="10" spans="1:18">
      <c r="A10" s="15" t="s">
        <v>570</v>
      </c>
      <c r="B10" s="17" t="n">
        <v>10036</v>
      </c>
      <c r="C10" s="18">
        <f>(7823.0/B10*100)</f>
        <v/>
      </c>
      <c r="D10" s="19" t="n">
        <v>2213</v>
      </c>
      <c r="E10" s="18" t="n">
        <v>5.56133626</v>
      </c>
      <c r="F10" s="20" t="n">
        <v>0.65222676</v>
      </c>
      <c r="G10" s="18" t="n">
        <v>87.90545115</v>
      </c>
      <c r="H10" s="20" t="n">
        <v>0.94504109</v>
      </c>
      <c r="I10" s="18" t="s">
        <v>567</v>
      </c>
      <c r="J10" s="20" t="s">
        <v>567</v>
      </c>
      <c r="K10" s="18" t="n">
        <v>0.12136885</v>
      </c>
      <c r="L10" s="20" t="n">
        <v>0.08549411</v>
      </c>
      <c r="M10" s="18" t="n">
        <v>0</v>
      </c>
      <c r="N10" s="20" t="n">
        <v>0</v>
      </c>
      <c r="O10" s="18" t="n">
        <v>0</v>
      </c>
      <c r="P10" s="20" t="n">
        <v>0</v>
      </c>
      <c r="Q10" s="18" t="n">
        <v>6.41184374</v>
      </c>
      <c r="R10" s="20" t="n">
        <v>0.69330548</v>
      </c>
    </row>
    <row r="11" spans="1:18">
      <c r="A11" s="15" t="s">
        <v>571</v>
      </c>
      <c r="B11" s="17" t="n">
        <v>3553</v>
      </c>
      <c r="C11" s="18">
        <f>(2763.0/B11*100)</f>
        <v/>
      </c>
      <c r="D11" s="19" t="n">
        <v>790</v>
      </c>
      <c r="E11" s="18" t="n">
        <v>12.1910123</v>
      </c>
      <c r="F11" s="20" t="n">
        <v>1.81432105</v>
      </c>
      <c r="G11" s="18" t="n">
        <v>80.74346885999999</v>
      </c>
      <c r="H11" s="20" t="n">
        <v>1.97650662</v>
      </c>
      <c r="I11" s="18" t="s">
        <v>567</v>
      </c>
      <c r="J11" s="20" t="s">
        <v>567</v>
      </c>
      <c r="K11" s="18" t="n">
        <v>0</v>
      </c>
      <c r="L11" s="20" t="n">
        <v>0</v>
      </c>
      <c r="M11" s="18" t="n">
        <v>0</v>
      </c>
      <c r="N11" s="20" t="n">
        <v>0</v>
      </c>
      <c r="O11" s="18" t="n">
        <v>0</v>
      </c>
      <c r="P11" s="20" t="n">
        <v>0</v>
      </c>
      <c r="Q11" s="18" t="n">
        <v>7.06551884</v>
      </c>
      <c r="R11" s="20" t="n">
        <v>1.08387139</v>
      </c>
    </row>
    <row r="12" spans="1:18">
      <c r="A12" s="15" t="s">
        <v>572</v>
      </c>
      <c r="B12" s="17" t="n">
        <v>3472</v>
      </c>
      <c r="C12" s="18">
        <f>(2716.0/B12*100)</f>
        <v/>
      </c>
      <c r="D12" s="19" t="n">
        <v>756</v>
      </c>
      <c r="E12" s="18" t="n">
        <v>18.5669746</v>
      </c>
      <c r="F12" s="20" t="n">
        <v>1.44887686</v>
      </c>
      <c r="G12" s="18" t="n">
        <v>77.49851400999999</v>
      </c>
      <c r="H12" s="20" t="n">
        <v>1.63831475</v>
      </c>
      <c r="I12" s="18" t="s">
        <v>567</v>
      </c>
      <c r="J12" s="20" t="s">
        <v>567</v>
      </c>
      <c r="K12" s="18" t="n">
        <v>0</v>
      </c>
      <c r="L12" s="20" t="n">
        <v>0</v>
      </c>
      <c r="M12" s="18" t="n">
        <v>0</v>
      </c>
      <c r="N12" s="20" t="n">
        <v>0</v>
      </c>
      <c r="O12" s="18" t="n">
        <v>0</v>
      </c>
      <c r="P12" s="20" t="n">
        <v>0</v>
      </c>
      <c r="Q12" s="18" t="n">
        <v>3.93451139</v>
      </c>
      <c r="R12" s="20" t="n">
        <v>0.873814</v>
      </c>
    </row>
    <row r="13" spans="1:18">
      <c r="A13" s="15" t="s">
        <v>573</v>
      </c>
      <c r="B13" s="17" t="n">
        <v>3559</v>
      </c>
      <c r="C13" s="18">
        <f>(2839.0/B13*100)</f>
        <v/>
      </c>
      <c r="D13" s="19" t="n">
        <v>720</v>
      </c>
      <c r="E13" s="18" t="n">
        <v>11.45390841</v>
      </c>
      <c r="F13" s="20" t="n">
        <v>1.31318286</v>
      </c>
      <c r="G13" s="18" t="n">
        <v>85.67644857000001</v>
      </c>
      <c r="H13" s="20" t="n">
        <v>1.38904793</v>
      </c>
      <c r="I13" s="18" t="s">
        <v>567</v>
      </c>
      <c r="J13" s="20" t="s">
        <v>567</v>
      </c>
      <c r="K13" s="18" t="n">
        <v>0.30210236</v>
      </c>
      <c r="L13" s="20" t="n">
        <v>0.32248525</v>
      </c>
      <c r="M13" s="18" t="n">
        <v>0</v>
      </c>
      <c r="N13" s="20" t="n">
        <v>0</v>
      </c>
      <c r="O13" s="18" t="n">
        <v>0</v>
      </c>
      <c r="P13" s="20" t="n">
        <v>0</v>
      </c>
      <c r="Q13" s="18" t="n">
        <v>2.56754065</v>
      </c>
      <c r="R13" s="20" t="n">
        <v>0.68838048</v>
      </c>
    </row>
    <row r="14" spans="1:18">
      <c r="A14" s="15" t="s">
        <v>574</v>
      </c>
      <c r="B14" s="17" t="n">
        <v>2799</v>
      </c>
      <c r="C14" s="18">
        <f>(2150.0/B14*100)</f>
        <v/>
      </c>
      <c r="D14" s="19" t="n">
        <v>649</v>
      </c>
      <c r="E14" s="18" t="n">
        <v>7.23850248</v>
      </c>
      <c r="F14" s="20" t="n">
        <v>1.08043975</v>
      </c>
      <c r="G14" s="18" t="n">
        <v>89.98102333999999</v>
      </c>
      <c r="H14" s="20" t="n">
        <v>1.3272358</v>
      </c>
      <c r="I14" s="18" t="s">
        <v>567</v>
      </c>
      <c r="J14" s="20" t="s">
        <v>567</v>
      </c>
      <c r="K14" s="18" t="n">
        <v>0</v>
      </c>
      <c r="L14" s="20" t="n">
        <v>0</v>
      </c>
      <c r="M14" s="18" t="n">
        <v>0</v>
      </c>
      <c r="N14" s="20" t="n">
        <v>0</v>
      </c>
      <c r="O14" s="18" t="n">
        <v>0</v>
      </c>
      <c r="P14" s="20" t="n">
        <v>0</v>
      </c>
      <c r="Q14" s="18" t="n">
        <v>2.78047418</v>
      </c>
      <c r="R14" s="20" t="n">
        <v>0.70476935</v>
      </c>
    </row>
    <row r="15" spans="1:18">
      <c r="A15" s="15" t="s">
        <v>575</v>
      </c>
      <c r="B15" s="17" t="n">
        <v>3019</v>
      </c>
      <c r="C15" s="18">
        <f>(2322.0/B15*100)</f>
        <v/>
      </c>
      <c r="D15" s="19" t="n">
        <v>697</v>
      </c>
      <c r="E15" s="18" t="n">
        <v>14.09735963</v>
      </c>
      <c r="F15" s="20" t="n">
        <v>1.69953771</v>
      </c>
      <c r="G15" s="18" t="n">
        <v>83.44634118</v>
      </c>
      <c r="H15" s="20" t="n">
        <v>1.68885253</v>
      </c>
      <c r="I15" s="18" t="s">
        <v>567</v>
      </c>
      <c r="J15" s="20" t="s">
        <v>567</v>
      </c>
      <c r="K15" s="18" t="n">
        <v>0</v>
      </c>
      <c r="L15" s="20" t="n">
        <v>0</v>
      </c>
      <c r="M15" s="18" t="n">
        <v>0</v>
      </c>
      <c r="N15" s="20" t="n">
        <v>0</v>
      </c>
      <c r="O15" s="18" t="n">
        <v>0</v>
      </c>
      <c r="P15" s="20" t="n">
        <v>0</v>
      </c>
      <c r="Q15" s="18" t="n">
        <v>2.45629918</v>
      </c>
      <c r="R15" s="20" t="n">
        <v>0.51898534</v>
      </c>
    </row>
    <row r="16" spans="1:18">
      <c r="A16" s="15" t="s">
        <v>576</v>
      </c>
      <c r="B16" s="17" t="n">
        <v>2997</v>
      </c>
      <c r="C16" s="18">
        <f>(2364.0/B16*100)</f>
        <v/>
      </c>
      <c r="D16" s="19" t="n">
        <v>633</v>
      </c>
      <c r="E16" s="18" t="n">
        <v>7.37085991</v>
      </c>
      <c r="F16" s="20" t="n">
        <v>1.39981038</v>
      </c>
      <c r="G16" s="18" t="n">
        <v>84.5580818</v>
      </c>
      <c r="H16" s="20" t="n">
        <v>2.0091642</v>
      </c>
      <c r="I16" s="18" t="s">
        <v>567</v>
      </c>
      <c r="J16" s="20" t="s">
        <v>567</v>
      </c>
      <c r="K16" s="18" t="n">
        <v>0.82481667</v>
      </c>
      <c r="L16" s="20" t="n">
        <v>0.3890832</v>
      </c>
      <c r="M16" s="18" t="n">
        <v>0</v>
      </c>
      <c r="N16" s="20" t="n">
        <v>0</v>
      </c>
      <c r="O16" s="18" t="n">
        <v>0</v>
      </c>
      <c r="P16" s="20" t="n">
        <v>0</v>
      </c>
      <c r="Q16" s="18" t="n">
        <v>7.24624162</v>
      </c>
      <c r="R16" s="20" t="n">
        <v>1.15322765</v>
      </c>
    </row>
    <row r="17" spans="1:18">
      <c r="A17" s="15" t="s">
        <v>577</v>
      </c>
      <c r="B17" s="17" t="n">
        <v>3307</v>
      </c>
      <c r="C17" s="18">
        <f>(2595.0/B17*100)</f>
        <v/>
      </c>
      <c r="D17" s="19" t="n">
        <v>712</v>
      </c>
      <c r="E17" s="18" t="n">
        <v>10.18128022</v>
      </c>
      <c r="F17" s="20" t="n">
        <v>1.04745981</v>
      </c>
      <c r="G17" s="18" t="n">
        <v>86.38323783</v>
      </c>
      <c r="H17" s="20" t="n">
        <v>1.1527027</v>
      </c>
      <c r="I17" s="18" t="s">
        <v>567</v>
      </c>
      <c r="J17" s="20" t="s">
        <v>567</v>
      </c>
      <c r="K17" s="18" t="n">
        <v>0</v>
      </c>
      <c r="L17" s="20" t="n">
        <v>0</v>
      </c>
      <c r="M17" s="18" t="n">
        <v>0</v>
      </c>
      <c r="N17" s="20" t="n">
        <v>0</v>
      </c>
      <c r="O17" s="18" t="n">
        <v>0</v>
      </c>
      <c r="P17" s="20" t="n">
        <v>0</v>
      </c>
      <c r="Q17" s="18" t="n">
        <v>3.43548195</v>
      </c>
      <c r="R17" s="20" t="n">
        <v>0.70530702</v>
      </c>
    </row>
    <row r="18" spans="1:18">
      <c r="A18" s="15" t="s">
        <v>578</v>
      </c>
      <c r="B18" s="17" t="n">
        <v>2826</v>
      </c>
      <c r="C18" s="18">
        <f>(2212.0/B18*100)</f>
        <v/>
      </c>
      <c r="D18" s="19" t="n">
        <v>614</v>
      </c>
      <c r="E18" s="18" t="n">
        <v>15.98127031</v>
      </c>
      <c r="F18" s="20" t="n">
        <v>1.84776382</v>
      </c>
      <c r="G18" s="18" t="n">
        <v>77.51437365</v>
      </c>
      <c r="H18" s="20" t="n">
        <v>1.81239305</v>
      </c>
      <c r="I18" s="18" t="s">
        <v>567</v>
      </c>
      <c r="J18" s="20" t="s">
        <v>567</v>
      </c>
      <c r="K18" s="18" t="n">
        <v>0</v>
      </c>
      <c r="L18" s="20" t="n">
        <v>0</v>
      </c>
      <c r="M18" s="18" t="n">
        <v>0</v>
      </c>
      <c r="N18" s="20" t="n">
        <v>0</v>
      </c>
      <c r="O18" s="18" t="n">
        <v>0</v>
      </c>
      <c r="P18" s="20" t="n">
        <v>0</v>
      </c>
      <c r="Q18" s="18" t="n">
        <v>6.50435604</v>
      </c>
      <c r="R18" s="20" t="n">
        <v>1.08430001</v>
      </c>
    </row>
    <row r="19" spans="1:18">
      <c r="A19" s="15" t="s">
        <v>579</v>
      </c>
      <c r="B19" s="17" t="n">
        <v>2808</v>
      </c>
      <c r="C19" s="18">
        <f>(2181.0/B19*100)</f>
        <v/>
      </c>
      <c r="D19" s="19" t="n">
        <v>627</v>
      </c>
      <c r="E19" s="18" t="n">
        <v>16.78381825</v>
      </c>
      <c r="F19" s="20" t="n">
        <v>1.91922913</v>
      </c>
      <c r="G19" s="18" t="n">
        <v>79.88797778999999</v>
      </c>
      <c r="H19" s="20" t="n">
        <v>1.97702092</v>
      </c>
      <c r="I19" s="18" t="s">
        <v>567</v>
      </c>
      <c r="J19" s="20" t="s">
        <v>567</v>
      </c>
      <c r="K19" s="18" t="n">
        <v>0</v>
      </c>
      <c r="L19" s="20" t="n">
        <v>0</v>
      </c>
      <c r="M19" s="18" t="n">
        <v>0</v>
      </c>
      <c r="N19" s="20" t="n">
        <v>0</v>
      </c>
      <c r="O19" s="18" t="n">
        <v>0</v>
      </c>
      <c r="P19" s="20" t="n">
        <v>0</v>
      </c>
      <c r="Q19" s="18" t="n">
        <v>3.32820397</v>
      </c>
      <c r="R19" s="20" t="n">
        <v>0.7011859499999999</v>
      </c>
    </row>
    <row r="20" spans="1:18">
      <c r="A20" s="15" t="s">
        <v>580</v>
      </c>
      <c r="B20" s="17" t="n">
        <v>1630</v>
      </c>
      <c r="C20" s="18">
        <f>(1285.0/B20*100)</f>
        <v/>
      </c>
      <c r="D20" s="19" t="n">
        <v>345</v>
      </c>
      <c r="E20" s="18" t="n">
        <v>15.10130846</v>
      </c>
      <c r="F20" s="20" t="n">
        <v>2.09834468</v>
      </c>
      <c r="G20" s="18" t="n">
        <v>76.34824372999999</v>
      </c>
      <c r="H20" s="20" t="n">
        <v>2.28507499</v>
      </c>
      <c r="I20" s="18" t="s">
        <v>567</v>
      </c>
      <c r="J20" s="20" t="s">
        <v>567</v>
      </c>
      <c r="K20" s="18" t="n">
        <v>0.56754863</v>
      </c>
      <c r="L20" s="20" t="n">
        <v>0.40339978</v>
      </c>
      <c r="M20" s="18" t="n">
        <v>0</v>
      </c>
      <c r="N20" s="20" t="n">
        <v>0</v>
      </c>
      <c r="O20" s="18" t="n">
        <v>0</v>
      </c>
      <c r="P20" s="20" t="n">
        <v>0</v>
      </c>
      <c r="Q20" s="18" t="n">
        <v>7.98289918</v>
      </c>
      <c r="R20" s="20" t="n">
        <v>1.19763283</v>
      </c>
    </row>
    <row r="21" spans="1:18">
      <c r="A21" s="15" t="s">
        <v>581</v>
      </c>
      <c r="B21" s="17" t="n">
        <v>2908</v>
      </c>
      <c r="C21" s="18">
        <f>(2244.0/B21*100)</f>
        <v/>
      </c>
      <c r="D21" s="19" t="n">
        <v>664</v>
      </c>
      <c r="E21" s="18" t="n">
        <v>7.98150855</v>
      </c>
      <c r="F21" s="20" t="n">
        <v>1.08844534</v>
      </c>
      <c r="G21" s="18" t="n">
        <v>87.53966192</v>
      </c>
      <c r="H21" s="20" t="n">
        <v>1.30635416</v>
      </c>
      <c r="I21" s="18" t="s">
        <v>567</v>
      </c>
      <c r="J21" s="20" t="s">
        <v>567</v>
      </c>
      <c r="K21" s="18" t="n">
        <v>0</v>
      </c>
      <c r="L21" s="20" t="n">
        <v>0</v>
      </c>
      <c r="M21" s="18" t="n">
        <v>0</v>
      </c>
      <c r="N21" s="20" t="n">
        <v>0</v>
      </c>
      <c r="O21" s="18" t="n">
        <v>0</v>
      </c>
      <c r="P21" s="20" t="n">
        <v>0</v>
      </c>
      <c r="Q21" s="18" t="n">
        <v>4.47882953</v>
      </c>
      <c r="R21" s="20" t="n">
        <v>0.97830636</v>
      </c>
    </row>
    <row r="22" spans="1:18">
      <c r="A22" s="15" t="s">
        <v>582</v>
      </c>
      <c r="B22" s="17" t="n">
        <v>2931</v>
      </c>
      <c r="C22" s="18">
        <f>(2285.0/B22*100)</f>
        <v/>
      </c>
      <c r="D22" s="19" t="n">
        <v>646</v>
      </c>
      <c r="E22" s="18" t="n">
        <v>14.11246793</v>
      </c>
      <c r="F22" s="20" t="n">
        <v>1.52130406</v>
      </c>
      <c r="G22" s="18" t="n">
        <v>78.2471316</v>
      </c>
      <c r="H22" s="20" t="n">
        <v>1.97807445</v>
      </c>
      <c r="I22" s="18" t="s">
        <v>567</v>
      </c>
      <c r="J22" s="20" t="s">
        <v>567</v>
      </c>
      <c r="K22" s="18" t="n">
        <v>0</v>
      </c>
      <c r="L22" s="20" t="n">
        <v>0</v>
      </c>
      <c r="M22" s="18" t="n">
        <v>0</v>
      </c>
      <c r="N22" s="20" t="n">
        <v>0</v>
      </c>
      <c r="O22" s="18" t="n">
        <v>0</v>
      </c>
      <c r="P22" s="20" t="n">
        <v>0</v>
      </c>
      <c r="Q22" s="18" t="n">
        <v>7.64040046</v>
      </c>
      <c r="R22" s="20" t="n">
        <v>1.10786828</v>
      </c>
    </row>
    <row r="23" spans="1:18">
      <c r="A23" s="15" t="s">
        <v>583</v>
      </c>
      <c r="B23" s="17" t="n">
        <v>5791</v>
      </c>
      <c r="C23" s="18">
        <f>(4520.0/B23*100)</f>
        <v/>
      </c>
      <c r="D23" s="19" t="n">
        <v>1271</v>
      </c>
      <c r="E23" s="18" t="n">
        <v>13.17612043</v>
      </c>
      <c r="F23" s="20" t="n">
        <v>1.22392129</v>
      </c>
      <c r="G23" s="18" t="n">
        <v>80.55187685</v>
      </c>
      <c r="H23" s="20" t="n">
        <v>1.78560075</v>
      </c>
      <c r="I23" s="18" t="s">
        <v>567</v>
      </c>
      <c r="J23" s="20" t="s">
        <v>567</v>
      </c>
      <c r="K23" s="18" t="n">
        <v>0.22687962</v>
      </c>
      <c r="L23" s="20" t="n">
        <v>0.16592781</v>
      </c>
      <c r="M23" s="18" t="n">
        <v>0</v>
      </c>
      <c r="N23" s="20" t="n">
        <v>0</v>
      </c>
      <c r="O23" s="18" t="n">
        <v>0</v>
      </c>
      <c r="P23" s="20" t="n">
        <v>0</v>
      </c>
      <c r="Q23" s="18" t="n">
        <v>6.04512311</v>
      </c>
      <c r="R23" s="20" t="n">
        <v>1.03389339</v>
      </c>
    </row>
    <row r="24" spans="1:18">
      <c r="A24" s="15" t="s">
        <v>584</v>
      </c>
      <c r="B24" s="17" t="n">
        <v>3338</v>
      </c>
      <c r="C24" s="18">
        <f>(2588.0/B24*100)</f>
        <v/>
      </c>
      <c r="D24" s="19" t="n">
        <v>750</v>
      </c>
      <c r="E24" s="18" t="n">
        <v>8.698189040000001</v>
      </c>
      <c r="F24" s="20" t="n">
        <v>0.9868409299999999</v>
      </c>
      <c r="G24" s="18" t="n">
        <v>88.49497491</v>
      </c>
      <c r="H24" s="20" t="n">
        <v>1.13844686</v>
      </c>
      <c r="I24" s="18" t="s">
        <v>567</v>
      </c>
      <c r="J24" s="20" t="s">
        <v>567</v>
      </c>
      <c r="K24" s="18" t="n">
        <v>0.38885838</v>
      </c>
      <c r="L24" s="20" t="n">
        <v>0.22390759</v>
      </c>
      <c r="M24" s="18" t="n">
        <v>0</v>
      </c>
      <c r="N24" s="20" t="n">
        <v>0</v>
      </c>
      <c r="O24" s="18" t="n">
        <v>0</v>
      </c>
      <c r="P24" s="20" t="n">
        <v>0</v>
      </c>
      <c r="Q24" s="18" t="n">
        <v>2.41797766</v>
      </c>
      <c r="R24" s="20" t="n">
        <v>0.47127589</v>
      </c>
    </row>
    <row r="25" spans="1:18">
      <c r="A25" s="15" t="s">
        <v>585</v>
      </c>
      <c r="B25" s="17" t="n">
        <v>2912</v>
      </c>
      <c r="C25" s="18">
        <f>(2269.0/B25*100)</f>
        <v/>
      </c>
      <c r="D25" s="19" t="n">
        <v>643</v>
      </c>
      <c r="E25" s="18" t="n">
        <v>8.39363374</v>
      </c>
      <c r="F25" s="20" t="n">
        <v>1.35639079</v>
      </c>
      <c r="G25" s="18" t="n">
        <v>89.92513997</v>
      </c>
      <c r="H25" s="20" t="n">
        <v>1.4918876</v>
      </c>
      <c r="I25" s="18" t="s">
        <v>567</v>
      </c>
      <c r="J25" s="20" t="s">
        <v>567</v>
      </c>
      <c r="K25" s="18" t="n">
        <v>0</v>
      </c>
      <c r="L25" s="20" t="n">
        <v>0</v>
      </c>
      <c r="M25" s="18" t="n">
        <v>0</v>
      </c>
      <c r="N25" s="20" t="n">
        <v>0</v>
      </c>
      <c r="O25" s="18" t="n">
        <v>0</v>
      </c>
      <c r="P25" s="20" t="n">
        <v>0</v>
      </c>
      <c r="Q25" s="18" t="n">
        <v>1.68122629</v>
      </c>
      <c r="R25" s="20" t="n">
        <v>0.6322908</v>
      </c>
    </row>
    <row r="26" spans="1:18">
      <c r="A26" s="15" t="s">
        <v>586</v>
      </c>
      <c r="B26" s="17" t="n">
        <v>2450</v>
      </c>
      <c r="C26" s="18">
        <f>(1889.0/B26*100)</f>
        <v/>
      </c>
      <c r="D26" s="19" t="n">
        <v>561</v>
      </c>
      <c r="E26" s="18" t="n">
        <v>11.95344443</v>
      </c>
      <c r="F26" s="20" t="n">
        <v>1.24014284</v>
      </c>
      <c r="G26" s="18" t="n">
        <v>84.75437687</v>
      </c>
      <c r="H26" s="20" t="n">
        <v>1.39923878</v>
      </c>
      <c r="I26" s="18" t="s">
        <v>567</v>
      </c>
      <c r="J26" s="20" t="s">
        <v>567</v>
      </c>
      <c r="K26" s="18" t="n">
        <v>0</v>
      </c>
      <c r="L26" s="20" t="n">
        <v>0</v>
      </c>
      <c r="M26" s="18" t="n">
        <v>0</v>
      </c>
      <c r="N26" s="20" t="n">
        <v>0</v>
      </c>
      <c r="O26" s="18" t="n">
        <v>0</v>
      </c>
      <c r="P26" s="20" t="n">
        <v>0</v>
      </c>
      <c r="Q26" s="18" t="n">
        <v>3.2921787</v>
      </c>
      <c r="R26" s="20" t="n">
        <v>0.75245006</v>
      </c>
    </row>
    <row r="27" spans="1:18">
      <c r="A27" s="15" t="s">
        <v>587</v>
      </c>
      <c r="B27" s="17" t="n">
        <v>2616</v>
      </c>
      <c r="C27" s="18">
        <f>(2057.0/B27*100)</f>
        <v/>
      </c>
      <c r="D27" s="19" t="n">
        <v>559</v>
      </c>
      <c r="E27" s="18" t="n">
        <v>12.87055481</v>
      </c>
      <c r="F27" s="20" t="n">
        <v>1.37592373</v>
      </c>
      <c r="G27" s="18" t="n">
        <v>81.52854666</v>
      </c>
      <c r="H27" s="20" t="n">
        <v>1.69089057</v>
      </c>
      <c r="I27" s="18" t="s">
        <v>567</v>
      </c>
      <c r="J27" s="20" t="s">
        <v>567</v>
      </c>
      <c r="K27" s="18" t="n">
        <v>0</v>
      </c>
      <c r="L27" s="20" t="n">
        <v>0</v>
      </c>
      <c r="M27" s="18" t="n">
        <v>0</v>
      </c>
      <c r="N27" s="20" t="n">
        <v>0</v>
      </c>
      <c r="O27" s="18" t="n">
        <v>0</v>
      </c>
      <c r="P27" s="20" t="n">
        <v>0</v>
      </c>
      <c r="Q27" s="18" t="n">
        <v>5.60089853</v>
      </c>
      <c r="R27" s="20" t="n">
        <v>1.11341005</v>
      </c>
    </row>
    <row r="28" spans="1:18">
      <c r="A28" s="15" t="s">
        <v>588</v>
      </c>
      <c r="B28" s="17" t="n">
        <v>3765</v>
      </c>
      <c r="C28" s="18">
        <f>(2892.0/B28*100)</f>
        <v/>
      </c>
      <c r="D28" s="19" t="n">
        <v>873</v>
      </c>
      <c r="E28" s="18" t="n">
        <v>19.86859636</v>
      </c>
      <c r="F28" s="20" t="n">
        <v>1.35972424</v>
      </c>
      <c r="G28" s="18" t="n">
        <v>72.51630381</v>
      </c>
      <c r="H28" s="20" t="n">
        <v>1.60040245</v>
      </c>
      <c r="I28" s="18" t="s">
        <v>567</v>
      </c>
      <c r="J28" s="20" t="s">
        <v>567</v>
      </c>
      <c r="K28" s="18" t="n">
        <v>0</v>
      </c>
      <c r="L28" s="20" t="n">
        <v>0</v>
      </c>
      <c r="M28" s="18" t="n">
        <v>0</v>
      </c>
      <c r="N28" s="20" t="n">
        <v>0</v>
      </c>
      <c r="O28" s="18" t="n">
        <v>0</v>
      </c>
      <c r="P28" s="20" t="n">
        <v>0</v>
      </c>
      <c r="Q28" s="18" t="n">
        <v>7.61509983</v>
      </c>
      <c r="R28" s="20" t="n">
        <v>1.08500879</v>
      </c>
    </row>
    <row r="29" spans="1:18">
      <c r="A29" s="15" t="s">
        <v>589</v>
      </c>
      <c r="B29" s="17" t="n">
        <v>2685</v>
      </c>
      <c r="C29" s="18">
        <f>(2100.0/B29*100)</f>
        <v/>
      </c>
      <c r="D29" s="19" t="n">
        <v>585</v>
      </c>
      <c r="E29" s="18" t="n">
        <v>14.2204466</v>
      </c>
      <c r="F29" s="20" t="n">
        <v>1.54535657</v>
      </c>
      <c r="G29" s="18" t="n">
        <v>79.79370578</v>
      </c>
      <c r="H29" s="20" t="n">
        <v>1.83504557</v>
      </c>
      <c r="I29" s="18" t="s">
        <v>567</v>
      </c>
      <c r="J29" s="20" t="s">
        <v>567</v>
      </c>
      <c r="K29" s="18" t="n">
        <v>0.17633862</v>
      </c>
      <c r="L29" s="20" t="n">
        <v>0.17606746</v>
      </c>
      <c r="M29" s="18" t="n">
        <v>0</v>
      </c>
      <c r="N29" s="20" t="n">
        <v>0</v>
      </c>
      <c r="O29" s="18" t="n">
        <v>0</v>
      </c>
      <c r="P29" s="20" t="n">
        <v>0</v>
      </c>
      <c r="Q29" s="18" t="n">
        <v>5.809509</v>
      </c>
      <c r="R29" s="20" t="n">
        <v>0.86772494</v>
      </c>
    </row>
    <row r="30" spans="1:18">
      <c r="A30" s="15" t="s">
        <v>590</v>
      </c>
      <c r="B30" s="17" t="n">
        <v>2263</v>
      </c>
      <c r="C30" s="18">
        <f>(1751.0/B30*100)</f>
        <v/>
      </c>
      <c r="D30" s="19" t="n">
        <v>512</v>
      </c>
      <c r="E30" s="18" t="n">
        <v>9.26551622</v>
      </c>
      <c r="F30" s="20" t="n">
        <v>1.38957196</v>
      </c>
      <c r="G30" s="18" t="n">
        <v>83.67218151</v>
      </c>
      <c r="H30" s="20" t="n">
        <v>1.84730005</v>
      </c>
      <c r="I30" s="18" t="s">
        <v>567</v>
      </c>
      <c r="J30" s="20" t="s">
        <v>567</v>
      </c>
      <c r="K30" s="18" t="n">
        <v>0</v>
      </c>
      <c r="L30" s="20" t="n">
        <v>0</v>
      </c>
      <c r="M30" s="18" t="n">
        <v>0</v>
      </c>
      <c r="N30" s="20" t="n">
        <v>0</v>
      </c>
      <c r="O30" s="18" t="n">
        <v>0</v>
      </c>
      <c r="P30" s="20" t="n">
        <v>0</v>
      </c>
      <c r="Q30" s="18" t="n">
        <v>7.06230227</v>
      </c>
      <c r="R30" s="20" t="n">
        <v>1.17392197</v>
      </c>
    </row>
    <row r="31" spans="1:18">
      <c r="A31" s="15" t="s">
        <v>591</v>
      </c>
      <c r="B31" s="17" t="n">
        <v>2750</v>
      </c>
      <c r="C31" s="18">
        <f>(2145.0/B31*100)</f>
        <v/>
      </c>
      <c r="D31" s="19" t="n">
        <v>605</v>
      </c>
      <c r="E31" s="18" t="n">
        <v>12.29465314</v>
      </c>
      <c r="F31" s="20" t="n">
        <v>1.26248229</v>
      </c>
      <c r="G31" s="18" t="n">
        <v>80.74138404</v>
      </c>
      <c r="H31" s="20" t="n">
        <v>1.52350357</v>
      </c>
      <c r="I31" s="18" t="s">
        <v>567</v>
      </c>
      <c r="J31" s="20" t="s">
        <v>567</v>
      </c>
      <c r="K31" s="18" t="n">
        <v>0.33816201</v>
      </c>
      <c r="L31" s="20" t="n">
        <v>0.23772894</v>
      </c>
      <c r="M31" s="18" t="n">
        <v>0</v>
      </c>
      <c r="N31" s="20" t="n">
        <v>0</v>
      </c>
      <c r="O31" s="18" t="n">
        <v>0</v>
      </c>
      <c r="P31" s="20" t="n">
        <v>0</v>
      </c>
      <c r="Q31" s="18" t="n">
        <v>6.62580081</v>
      </c>
      <c r="R31" s="20" t="n">
        <v>1.11825091</v>
      </c>
    </row>
    <row r="32" spans="1:18">
      <c r="A32" s="15" t="s">
        <v>592</v>
      </c>
      <c r="B32" s="17" t="n">
        <v>2269</v>
      </c>
      <c r="C32" s="18">
        <f>(1761.0/B32*100)</f>
        <v/>
      </c>
      <c r="D32" s="19" t="n">
        <v>508</v>
      </c>
      <c r="E32" s="18" t="n">
        <v>11.71340344</v>
      </c>
      <c r="F32" s="20" t="n">
        <v>1.41302398</v>
      </c>
      <c r="G32" s="18" t="n">
        <v>85.12937125000001</v>
      </c>
      <c r="H32" s="20" t="n">
        <v>1.64715022</v>
      </c>
      <c r="I32" s="18" t="s">
        <v>567</v>
      </c>
      <c r="J32" s="20" t="s">
        <v>567</v>
      </c>
      <c r="K32" s="18" t="n">
        <v>0</v>
      </c>
      <c r="L32" s="20" t="n">
        <v>0</v>
      </c>
      <c r="M32" s="18" t="n">
        <v>0</v>
      </c>
      <c r="N32" s="20" t="n">
        <v>0</v>
      </c>
      <c r="O32" s="18" t="n">
        <v>0</v>
      </c>
      <c r="P32" s="20" t="n">
        <v>0</v>
      </c>
      <c r="Q32" s="18" t="n">
        <v>3.15722531</v>
      </c>
      <c r="R32" s="20" t="n">
        <v>0.7769577600000001</v>
      </c>
    </row>
    <row r="33" spans="1:18">
      <c r="A33" s="15" t="s">
        <v>593</v>
      </c>
      <c r="B33" s="17" t="n">
        <v>3674</v>
      </c>
      <c r="C33" s="18">
        <f>(2838.0/B33*100)</f>
        <v/>
      </c>
      <c r="D33" s="19" t="n">
        <v>836</v>
      </c>
      <c r="E33" s="18" t="n">
        <v>7.36205911</v>
      </c>
      <c r="F33" s="20" t="n">
        <v>0.81794486</v>
      </c>
      <c r="G33" s="18" t="n">
        <v>88.17391344000001</v>
      </c>
      <c r="H33" s="20" t="n">
        <v>1.12751874</v>
      </c>
      <c r="I33" s="18" t="s">
        <v>567</v>
      </c>
      <c r="J33" s="20" t="s">
        <v>567</v>
      </c>
      <c r="K33" s="18" t="n">
        <v>0.04606735</v>
      </c>
      <c r="L33" s="20" t="n">
        <v>0.05703444</v>
      </c>
      <c r="M33" s="18" t="n">
        <v>0</v>
      </c>
      <c r="N33" s="20" t="n">
        <v>0</v>
      </c>
      <c r="O33" s="18" t="n">
        <v>0</v>
      </c>
      <c r="P33" s="20" t="n">
        <v>0</v>
      </c>
      <c r="Q33" s="18" t="n">
        <v>4.4179601</v>
      </c>
      <c r="R33" s="20" t="n">
        <v>0.7817454700000001</v>
      </c>
    </row>
    <row r="34" spans="1:18">
      <c r="A34" s="15" t="s">
        <v>594</v>
      </c>
      <c r="B34" s="17" t="n">
        <v>3315</v>
      </c>
      <c r="C34" s="18">
        <f>(2598.0/B34*100)</f>
        <v/>
      </c>
      <c r="D34" s="19" t="n">
        <v>717</v>
      </c>
      <c r="E34" s="18" t="n">
        <v>23.72104868</v>
      </c>
      <c r="F34" s="20" t="n">
        <v>1.81152868</v>
      </c>
      <c r="G34" s="18" t="n">
        <v>71.92678467</v>
      </c>
      <c r="H34" s="20" t="n">
        <v>1.76439701</v>
      </c>
      <c r="I34" s="18" t="s">
        <v>567</v>
      </c>
      <c r="J34" s="20" t="s">
        <v>567</v>
      </c>
      <c r="K34" s="18" t="n">
        <v>0</v>
      </c>
      <c r="L34" s="20" t="n">
        <v>0</v>
      </c>
      <c r="M34" s="18" t="n">
        <v>0</v>
      </c>
      <c r="N34" s="20" t="n">
        <v>0</v>
      </c>
      <c r="O34" s="18" t="n">
        <v>0</v>
      </c>
      <c r="P34" s="20" t="n">
        <v>0</v>
      </c>
      <c r="Q34" s="18" t="n">
        <v>4.35216665</v>
      </c>
      <c r="R34" s="20" t="n">
        <v>0.73544822</v>
      </c>
    </row>
    <row r="35" spans="1:18">
      <c r="A35" s="15" t="s">
        <v>595</v>
      </c>
      <c r="B35" s="17" t="n">
        <v>3505</v>
      </c>
      <c r="C35" s="18">
        <f>(2784.0/B35*100)</f>
        <v/>
      </c>
      <c r="D35" s="19" t="n">
        <v>721</v>
      </c>
      <c r="E35" s="18" t="n">
        <v>4.86653375</v>
      </c>
      <c r="F35" s="20" t="n">
        <v>0.9536438699999999</v>
      </c>
      <c r="G35" s="18" t="n">
        <v>88.7665272</v>
      </c>
      <c r="H35" s="20" t="n">
        <v>1.27698884</v>
      </c>
      <c r="I35" s="18" t="s">
        <v>567</v>
      </c>
      <c r="J35" s="20" t="s">
        <v>567</v>
      </c>
      <c r="K35" s="18" t="n">
        <v>0.0692415</v>
      </c>
      <c r="L35" s="20" t="n">
        <v>0.07014789</v>
      </c>
      <c r="M35" s="18" t="n">
        <v>0</v>
      </c>
      <c r="N35" s="20" t="n">
        <v>0</v>
      </c>
      <c r="O35" s="18" t="n">
        <v>0</v>
      </c>
      <c r="P35" s="20" t="n">
        <v>0</v>
      </c>
      <c r="Q35" s="18" t="n">
        <v>6.29769756</v>
      </c>
      <c r="R35" s="20" t="n">
        <v>0.94009025</v>
      </c>
    </row>
    <row r="36" spans="1:18">
      <c r="A36" s="15" t="s">
        <v>596</v>
      </c>
      <c r="B36" s="17" t="n">
        <v>3332</v>
      </c>
      <c r="C36" s="18">
        <f>(2585.0/B36*100)</f>
        <v/>
      </c>
      <c r="D36" s="19" t="n">
        <v>747</v>
      </c>
      <c r="E36" s="18" t="n">
        <v>11.10234371</v>
      </c>
      <c r="F36" s="20" t="n">
        <v>1.15915758</v>
      </c>
      <c r="G36" s="18" t="n">
        <v>81.86252909</v>
      </c>
      <c r="H36" s="20" t="n">
        <v>1.44477263</v>
      </c>
      <c r="I36" s="18" t="s">
        <v>567</v>
      </c>
      <c r="J36" s="20" t="s">
        <v>567</v>
      </c>
      <c r="K36" s="18" t="n">
        <v>0.27017899</v>
      </c>
      <c r="L36" s="20" t="n">
        <v>0.19851979</v>
      </c>
      <c r="M36" s="18" t="n">
        <v>0</v>
      </c>
      <c r="N36" s="20" t="n">
        <v>0</v>
      </c>
      <c r="O36" s="18" t="n">
        <v>0</v>
      </c>
      <c r="P36" s="20" t="n">
        <v>0</v>
      </c>
      <c r="Q36" s="18" t="n">
        <v>6.76494821</v>
      </c>
      <c r="R36" s="20" t="n">
        <v>1.03982426</v>
      </c>
    </row>
    <row r="37" spans="1:18">
      <c r="A37" s="15" t="s">
        <v>597</v>
      </c>
      <c r="B37" s="17" t="n">
        <v>2727</v>
      </c>
      <c r="C37" s="18">
        <f>(2108.0/B37*100)</f>
        <v/>
      </c>
      <c r="D37" s="19" t="n">
        <v>619</v>
      </c>
      <c r="E37" s="18" t="n">
        <v>12.84354097</v>
      </c>
      <c r="F37" s="20" t="n">
        <v>1.32263638</v>
      </c>
      <c r="G37" s="18" t="n">
        <v>81.67470544</v>
      </c>
      <c r="H37" s="20" t="n">
        <v>1.83631618</v>
      </c>
      <c r="I37" s="18" t="s">
        <v>567</v>
      </c>
      <c r="J37" s="20" t="s">
        <v>567</v>
      </c>
      <c r="K37" s="18" t="n">
        <v>0.14194196</v>
      </c>
      <c r="L37" s="20" t="n">
        <v>0.14173677</v>
      </c>
      <c r="M37" s="18" t="n">
        <v>0</v>
      </c>
      <c r="N37" s="20" t="n">
        <v>0</v>
      </c>
      <c r="O37" s="18" t="n">
        <v>0</v>
      </c>
      <c r="P37" s="20" t="n">
        <v>0</v>
      </c>
      <c r="Q37" s="18" t="n">
        <v>5.33981163</v>
      </c>
      <c r="R37" s="20" t="n">
        <v>1.07672038</v>
      </c>
    </row>
    <row r="38" spans="1:18">
      <c r="A38" s="15" t="s">
        <v>598</v>
      </c>
      <c r="B38" s="17" t="n">
        <v>3053</v>
      </c>
      <c r="C38" s="18">
        <f>(2370.0/B38*100)</f>
        <v/>
      </c>
      <c r="D38" s="19" t="n">
        <v>683</v>
      </c>
      <c r="E38" s="18" t="n">
        <v>12.53133179</v>
      </c>
      <c r="F38" s="20" t="n">
        <v>1.57295555</v>
      </c>
      <c r="G38" s="18" t="n">
        <v>83.76046035</v>
      </c>
      <c r="H38" s="20" t="n">
        <v>1.77499135</v>
      </c>
      <c r="I38" s="18" t="s">
        <v>567</v>
      </c>
      <c r="J38" s="20" t="s">
        <v>567</v>
      </c>
      <c r="K38" s="18" t="n">
        <v>0.18843384</v>
      </c>
      <c r="L38" s="20" t="n">
        <v>0.1860688</v>
      </c>
      <c r="M38" s="18" t="n">
        <v>0</v>
      </c>
      <c r="N38" s="20" t="n">
        <v>0</v>
      </c>
      <c r="O38" s="18" t="n">
        <v>0</v>
      </c>
      <c r="P38" s="20" t="n">
        <v>0</v>
      </c>
      <c r="Q38" s="18" t="n">
        <v>3.51977402</v>
      </c>
      <c r="R38" s="20" t="n">
        <v>0.74573259</v>
      </c>
    </row>
    <row r="39" spans="1:18">
      <c r="A39" s="15" t="s">
        <v>599</v>
      </c>
      <c r="B39" s="17" t="n">
        <v>2957</v>
      </c>
      <c r="C39" s="18">
        <f>(2265.0/B39*100)</f>
        <v/>
      </c>
      <c r="D39" s="19" t="n">
        <v>692</v>
      </c>
      <c r="E39" s="18" t="n">
        <v>23.24417288</v>
      </c>
      <c r="F39" s="20" t="n">
        <v>2.32731152</v>
      </c>
      <c r="G39" s="18" t="n">
        <v>71.30866279</v>
      </c>
      <c r="H39" s="20" t="n">
        <v>2.56564617</v>
      </c>
      <c r="I39" s="18" t="s">
        <v>567</v>
      </c>
      <c r="J39" s="20" t="s">
        <v>567</v>
      </c>
      <c r="K39" s="18" t="n">
        <v>0</v>
      </c>
      <c r="L39" s="20" t="n">
        <v>0</v>
      </c>
      <c r="M39" s="18" t="n">
        <v>0</v>
      </c>
      <c r="N39" s="20" t="n">
        <v>0</v>
      </c>
      <c r="O39" s="18" t="n">
        <v>0</v>
      </c>
      <c r="P39" s="20" t="n">
        <v>0</v>
      </c>
      <c r="Q39" s="18" t="n">
        <v>5.44716433</v>
      </c>
      <c r="R39" s="20" t="n">
        <v>0.8429823</v>
      </c>
    </row>
    <row r="40" spans="1:18">
      <c r="A40" s="15" t="s">
        <v>600</v>
      </c>
      <c r="B40" s="17" t="n">
        <v>7235</v>
      </c>
      <c r="C40" s="18">
        <f>(5666.0/B40*100)</f>
        <v/>
      </c>
      <c r="D40" s="19" t="n">
        <v>1569</v>
      </c>
      <c r="E40" s="18" t="n">
        <v>5.36464502</v>
      </c>
      <c r="F40" s="20" t="n">
        <v>0.90303298</v>
      </c>
      <c r="G40" s="18" t="n">
        <v>89.04536585</v>
      </c>
      <c r="H40" s="20" t="n">
        <v>1.10618887</v>
      </c>
      <c r="I40" s="18" t="s">
        <v>567</v>
      </c>
      <c r="J40" s="20" t="s">
        <v>567</v>
      </c>
      <c r="K40" s="18" t="n">
        <v>0</v>
      </c>
      <c r="L40" s="20" t="n">
        <v>0</v>
      </c>
      <c r="M40" s="18" t="n">
        <v>0</v>
      </c>
      <c r="N40" s="20" t="n">
        <v>0</v>
      </c>
      <c r="O40" s="18" t="n">
        <v>0</v>
      </c>
      <c r="P40" s="20" t="n">
        <v>0</v>
      </c>
      <c r="Q40" s="18" t="n">
        <v>5.58998912</v>
      </c>
      <c r="R40" s="20" t="n">
        <v>0.90895438</v>
      </c>
    </row>
    <row r="41" spans="1:18">
      <c r="A41" s="15" t="s">
        <v>601</v>
      </c>
      <c r="B41" s="17" t="n">
        <v>2858</v>
      </c>
      <c r="C41" s="18">
        <f>(2280.0/B41*100)</f>
        <v/>
      </c>
      <c r="D41" s="19" t="n">
        <v>578</v>
      </c>
      <c r="E41" s="18" t="n">
        <v>7.90411219</v>
      </c>
      <c r="F41" s="20" t="n">
        <v>1.01027482</v>
      </c>
      <c r="G41" s="18" t="n">
        <v>85.93023841999999</v>
      </c>
      <c r="H41" s="20" t="n">
        <v>1.62117518</v>
      </c>
      <c r="I41" s="18" t="s">
        <v>567</v>
      </c>
      <c r="J41" s="20" t="s">
        <v>567</v>
      </c>
      <c r="K41" s="18" t="n">
        <v>0</v>
      </c>
      <c r="L41" s="20" t="n">
        <v>0</v>
      </c>
      <c r="M41" s="18" t="n">
        <v>0</v>
      </c>
      <c r="N41" s="20" t="n">
        <v>0</v>
      </c>
      <c r="O41" s="18" t="n">
        <v>0</v>
      </c>
      <c r="P41" s="20" t="n">
        <v>0</v>
      </c>
      <c r="Q41" s="18" t="n">
        <v>6.16564939</v>
      </c>
      <c r="R41" s="20" t="n">
        <v>1.6492101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(8881.0/B46*100)</f>
        <v/>
      </c>
      <c r="D46" s="19" t="n">
        <v>2187</v>
      </c>
      <c r="E46" s="18" t="n">
        <v>23.55155389</v>
      </c>
      <c r="F46" s="20" t="n">
        <v>1.20884891</v>
      </c>
      <c r="G46" s="18" t="n">
        <v>62.63007039</v>
      </c>
      <c r="H46" s="20" t="n">
        <v>1.64693121</v>
      </c>
      <c r="I46" s="18" t="s">
        <v>567</v>
      </c>
      <c r="J46" s="20" t="s">
        <v>567</v>
      </c>
      <c r="K46" s="18" t="n">
        <v>0.26022389</v>
      </c>
      <c r="L46" s="20" t="n">
        <v>0.17037938</v>
      </c>
      <c r="M46" s="18" t="n">
        <v>0</v>
      </c>
      <c r="N46" s="20" t="n">
        <v>0</v>
      </c>
      <c r="O46" s="18" t="n">
        <v>0</v>
      </c>
      <c r="P46" s="20" t="n">
        <v>0</v>
      </c>
      <c r="Q46" s="18" t="n">
        <v>13.55815184</v>
      </c>
      <c r="R46" s="20" t="n">
        <v>1.06135209</v>
      </c>
    </row>
    <row r="47" spans="1:18">
      <c r="A47" s="15" t="s">
        <v>607</v>
      </c>
      <c r="B47" s="17" t="n">
        <v>3105</v>
      </c>
      <c r="C47" s="18">
        <f>(2390.0/B47*100)</f>
        <v/>
      </c>
      <c r="D47" s="19" t="n">
        <v>715</v>
      </c>
      <c r="E47" s="18" t="n">
        <v>26.35835026</v>
      </c>
      <c r="F47" s="20" t="n">
        <v>2.01896137</v>
      </c>
      <c r="G47" s="18" t="n">
        <v>67.72704593</v>
      </c>
      <c r="H47" s="20" t="n">
        <v>2.16764855</v>
      </c>
      <c r="I47" s="18" t="s">
        <v>567</v>
      </c>
      <c r="J47" s="20" t="s">
        <v>567</v>
      </c>
      <c r="K47" s="18" t="n">
        <v>0.12810617</v>
      </c>
      <c r="L47" s="20" t="n">
        <v>0.12835887</v>
      </c>
      <c r="M47" s="18" t="n">
        <v>0</v>
      </c>
      <c r="N47" s="20" t="n">
        <v>0</v>
      </c>
      <c r="O47" s="18" t="n">
        <v>0</v>
      </c>
      <c r="P47" s="20" t="n">
        <v>0</v>
      </c>
      <c r="Q47" s="18" t="n">
        <v>5.78649764</v>
      </c>
      <c r="R47" s="20" t="n">
        <v>1.03620122</v>
      </c>
    </row>
    <row r="48" spans="1:18">
      <c r="A48" s="15" t="s">
        <v>608</v>
      </c>
      <c r="B48" s="17" t="n">
        <v>5159</v>
      </c>
      <c r="C48" s="18">
        <f>(4037.0/B48*100)</f>
        <v/>
      </c>
      <c r="D48" s="19" t="n">
        <v>1122</v>
      </c>
      <c r="E48" s="18" t="n">
        <v>8.0502305</v>
      </c>
      <c r="F48" s="20" t="n">
        <v>1.34464842</v>
      </c>
      <c r="G48" s="18" t="n">
        <v>86.42913536</v>
      </c>
      <c r="H48" s="20" t="n">
        <v>1.54378809</v>
      </c>
      <c r="I48" s="18" t="s">
        <v>567</v>
      </c>
      <c r="J48" s="20" t="s">
        <v>567</v>
      </c>
      <c r="K48" s="18" t="n">
        <v>0</v>
      </c>
      <c r="L48" s="20" t="n">
        <v>0</v>
      </c>
      <c r="M48" s="18" t="n">
        <v>0</v>
      </c>
      <c r="N48" s="20" t="n">
        <v>0</v>
      </c>
      <c r="O48" s="18" t="n">
        <v>0</v>
      </c>
      <c r="P48" s="20" t="n">
        <v>0</v>
      </c>
      <c r="Q48" s="18" t="n">
        <v>5.52063414</v>
      </c>
      <c r="R48" s="20" t="n">
        <v>0.79064378</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(4362.0/B50*100)</f>
        <v/>
      </c>
      <c r="D50" s="19" t="n">
        <v>1275</v>
      </c>
      <c r="E50" s="18" t="n">
        <v>22.0695181</v>
      </c>
      <c r="F50" s="20" t="n">
        <v>1.53933988</v>
      </c>
      <c r="G50" s="18" t="n">
        <v>69.09566749</v>
      </c>
      <c r="H50" s="20" t="n">
        <v>1.82900372</v>
      </c>
      <c r="I50" s="18" t="s">
        <v>567</v>
      </c>
      <c r="J50" s="20" t="s">
        <v>567</v>
      </c>
      <c r="K50" s="18" t="n">
        <v>0.42115138</v>
      </c>
      <c r="L50" s="20" t="n">
        <v>0.38983656</v>
      </c>
      <c r="M50" s="18" t="n">
        <v>0</v>
      </c>
      <c r="N50" s="20" t="n">
        <v>0</v>
      </c>
      <c r="O50" s="18" t="n">
        <v>0</v>
      </c>
      <c r="P50" s="20" t="n">
        <v>0</v>
      </c>
      <c r="Q50" s="18" t="n">
        <v>8.41366303</v>
      </c>
      <c r="R50" s="20" t="n">
        <v>1.15580317</v>
      </c>
    </row>
    <row r="51" spans="1:18">
      <c r="A51" s="15" t="s">
        <v>611</v>
      </c>
      <c r="B51" s="17" t="n">
        <v>3372</v>
      </c>
      <c r="C51" s="18">
        <f>(2744.0/B51*100)</f>
        <v/>
      </c>
      <c r="D51" s="19" t="n">
        <v>628</v>
      </c>
      <c r="E51" s="18" t="n">
        <v>19.14208866</v>
      </c>
      <c r="F51" s="20" t="n">
        <v>1.89795203</v>
      </c>
      <c r="G51" s="18" t="n">
        <v>71.09221545</v>
      </c>
      <c r="H51" s="20" t="n">
        <v>2.1795316</v>
      </c>
      <c r="I51" s="18" t="s">
        <v>567</v>
      </c>
      <c r="J51" s="20" t="s">
        <v>567</v>
      </c>
      <c r="K51" s="18" t="n">
        <v>0</v>
      </c>
      <c r="L51" s="20" t="n">
        <v>0</v>
      </c>
      <c r="M51" s="18" t="n">
        <v>0</v>
      </c>
      <c r="N51" s="20" t="n">
        <v>0</v>
      </c>
      <c r="O51" s="18" t="n">
        <v>0</v>
      </c>
      <c r="P51" s="20" t="n">
        <v>0</v>
      </c>
      <c r="Q51" s="18" t="n">
        <v>9.76569589</v>
      </c>
      <c r="R51" s="20" t="n">
        <v>1.33270997</v>
      </c>
    </row>
    <row r="52" spans="1:18">
      <c r="A52" s="15" t="s">
        <v>612</v>
      </c>
      <c r="B52" s="17" t="n">
        <v>2796</v>
      </c>
      <c r="C52" s="18">
        <f>(2202.0/B52*100)</f>
        <v/>
      </c>
      <c r="D52" s="19" t="n">
        <v>594</v>
      </c>
      <c r="E52" s="18" t="n">
        <v>17.04205833</v>
      </c>
      <c r="F52" s="20" t="n">
        <v>1.56186534</v>
      </c>
      <c r="G52" s="18" t="n">
        <v>79.96744391999999</v>
      </c>
      <c r="H52" s="20" t="n">
        <v>1.88004302</v>
      </c>
      <c r="I52" s="18" t="s">
        <v>567</v>
      </c>
      <c r="J52" s="20" t="s">
        <v>567</v>
      </c>
      <c r="K52" s="18" t="n">
        <v>0</v>
      </c>
      <c r="L52" s="20" t="n">
        <v>0</v>
      </c>
      <c r="M52" s="18" t="n">
        <v>0</v>
      </c>
      <c r="N52" s="20" t="n">
        <v>0</v>
      </c>
      <c r="O52" s="18" t="n">
        <v>0</v>
      </c>
      <c r="P52" s="20" t="n">
        <v>0</v>
      </c>
      <c r="Q52" s="18" t="n">
        <v>2.99049775</v>
      </c>
      <c r="R52" s="20" t="n">
        <v>0.85300686</v>
      </c>
    </row>
    <row r="53" spans="1:18">
      <c r="A53" s="15" t="s">
        <v>613</v>
      </c>
      <c r="B53" s="17" t="n">
        <v>2811</v>
      </c>
      <c r="C53" s="18">
        <f>(2168.0/B53*100)</f>
        <v/>
      </c>
      <c r="D53" s="19" t="n">
        <v>643</v>
      </c>
      <c r="E53" s="18" t="n">
        <v>14.97930587</v>
      </c>
      <c r="F53" s="20" t="n">
        <v>1.5280419</v>
      </c>
      <c r="G53" s="18" t="n">
        <v>70.40647864</v>
      </c>
      <c r="H53" s="20" t="n">
        <v>1.89852654</v>
      </c>
      <c r="I53" s="18" t="s">
        <v>567</v>
      </c>
      <c r="J53" s="20" t="s">
        <v>567</v>
      </c>
      <c r="K53" s="18" t="n">
        <v>0.65776261</v>
      </c>
      <c r="L53" s="20" t="n">
        <v>0.33325139</v>
      </c>
      <c r="M53" s="18" t="n">
        <v>0</v>
      </c>
      <c r="N53" s="20" t="n">
        <v>0</v>
      </c>
      <c r="O53" s="18" t="n">
        <v>0</v>
      </c>
      <c r="P53" s="20" t="n">
        <v>0</v>
      </c>
      <c r="Q53" s="18" t="n">
        <v>13.95645288</v>
      </c>
      <c r="R53" s="20" t="n">
        <v>1.49176327</v>
      </c>
    </row>
    <row r="54" spans="1:18">
      <c r="A54" s="15" t="s">
        <v>614</v>
      </c>
      <c r="B54" s="17" t="n">
        <v>2266</v>
      </c>
      <c r="C54" s="18">
        <f>(1759.0/B54*100)</f>
        <v/>
      </c>
      <c r="D54" s="19" t="n">
        <v>507</v>
      </c>
      <c r="E54" s="18" t="n">
        <v>34.8394538</v>
      </c>
      <c r="F54" s="20" t="n">
        <v>2.4917207</v>
      </c>
      <c r="G54" s="18" t="n">
        <v>49.88760716</v>
      </c>
      <c r="H54" s="20" t="n">
        <v>2.57057721</v>
      </c>
      <c r="I54" s="18" t="s">
        <v>567</v>
      </c>
      <c r="J54" s="20" t="s">
        <v>567</v>
      </c>
      <c r="K54" s="18" t="n">
        <v>2.77240733</v>
      </c>
      <c r="L54" s="20" t="n">
        <v>0.77416093</v>
      </c>
      <c r="M54" s="18" t="n">
        <v>0</v>
      </c>
      <c r="N54" s="20" t="n">
        <v>0</v>
      </c>
      <c r="O54" s="18" t="n">
        <v>0</v>
      </c>
      <c r="P54" s="20" t="n">
        <v>0</v>
      </c>
      <c r="Q54" s="18" t="n">
        <v>12.50053171</v>
      </c>
      <c r="R54" s="20" t="n">
        <v>1.71930624</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(2116.0/B56*100)</f>
        <v/>
      </c>
      <c r="D56" s="19" t="n">
        <v>568</v>
      </c>
      <c r="E56" s="18" t="n">
        <v>5.68751063</v>
      </c>
      <c r="F56" s="20" t="n">
        <v>1.07814732</v>
      </c>
      <c r="G56" s="18" t="n">
        <v>90.76727344</v>
      </c>
      <c r="H56" s="20" t="n">
        <v>1.12147095</v>
      </c>
      <c r="I56" s="18" t="s">
        <v>567</v>
      </c>
      <c r="J56" s="20" t="s">
        <v>567</v>
      </c>
      <c r="K56" s="18" t="n">
        <v>0</v>
      </c>
      <c r="L56" s="20" t="n">
        <v>0</v>
      </c>
      <c r="M56" s="18" t="n">
        <v>0</v>
      </c>
      <c r="N56" s="20" t="n">
        <v>0</v>
      </c>
      <c r="O56" s="18" t="n">
        <v>0</v>
      </c>
      <c r="P56" s="20" t="n">
        <v>0</v>
      </c>
      <c r="Q56" s="18" t="n">
        <v>3.54521592</v>
      </c>
      <c r="R56" s="20" t="n">
        <v>0.72047048</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(2595.0/B61*100)</f>
        <v/>
      </c>
      <c r="D61" s="19" t="n">
        <v>729</v>
      </c>
      <c r="E61" s="18" t="n">
        <v>10.0653461</v>
      </c>
      <c r="F61" s="20" t="n">
        <v>1.13642725</v>
      </c>
      <c r="G61" s="18" t="n">
        <v>84.96847717</v>
      </c>
      <c r="H61" s="20" t="n">
        <v>1.29472716</v>
      </c>
      <c r="I61" s="18" t="s">
        <v>567</v>
      </c>
      <c r="J61" s="20" t="s">
        <v>567</v>
      </c>
      <c r="K61" s="18" t="n">
        <v>0</v>
      </c>
      <c r="L61" s="20" t="n">
        <v>0</v>
      </c>
      <c r="M61" s="18" t="n">
        <v>0</v>
      </c>
      <c r="N61" s="20" t="n">
        <v>0</v>
      </c>
      <c r="O61" s="18" t="n">
        <v>0</v>
      </c>
      <c r="P61" s="20" t="n">
        <v>0</v>
      </c>
      <c r="Q61" s="18" t="n">
        <v>4.96617672</v>
      </c>
      <c r="R61" s="20" t="n">
        <v>0.89177717</v>
      </c>
    </row>
    <row r="62" spans="1:18">
      <c r="A62" s="15" t="s">
        <v>622</v>
      </c>
      <c r="B62" s="17" t="n">
        <v>2246</v>
      </c>
      <c r="C62" s="18">
        <f>(1724.0/B62*100)</f>
        <v/>
      </c>
      <c r="D62" s="19" t="n">
        <v>522</v>
      </c>
      <c r="E62" s="18" t="n">
        <v>7.85091247</v>
      </c>
      <c r="F62" s="20" t="n">
        <v>1.1992671</v>
      </c>
      <c r="G62" s="18" t="n">
        <v>89.07178153</v>
      </c>
      <c r="H62" s="20" t="n">
        <v>1.3442569</v>
      </c>
      <c r="I62" s="18" t="s">
        <v>567</v>
      </c>
      <c r="J62" s="20" t="s">
        <v>567</v>
      </c>
      <c r="K62" s="18" t="n">
        <v>0.19676073</v>
      </c>
      <c r="L62" s="20" t="n">
        <v>0.19617101</v>
      </c>
      <c r="M62" s="18" t="n">
        <v>0</v>
      </c>
      <c r="N62" s="20" t="n">
        <v>0</v>
      </c>
      <c r="O62" s="18" t="n">
        <v>0</v>
      </c>
      <c r="P62" s="20" t="n">
        <v>0</v>
      </c>
      <c r="Q62" s="18" t="n">
        <v>2.88054527</v>
      </c>
      <c r="R62" s="20" t="n">
        <v>0.6470706000000001</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(2253.0/B66*100)</f>
        <v/>
      </c>
      <c r="D66" s="19" t="n">
        <v>641</v>
      </c>
      <c r="E66" s="18" t="n">
        <v>18.86721601</v>
      </c>
      <c r="F66" s="20" t="n">
        <v>1.6924874</v>
      </c>
      <c r="G66" s="18" t="n">
        <v>73.39902017999999</v>
      </c>
      <c r="H66" s="20" t="n">
        <v>1.79924995</v>
      </c>
      <c r="I66" s="18" t="s">
        <v>567</v>
      </c>
      <c r="J66" s="20" t="s">
        <v>567</v>
      </c>
      <c r="K66" s="18" t="n">
        <v>0.15965097</v>
      </c>
      <c r="L66" s="20" t="n">
        <v>0.15766232</v>
      </c>
      <c r="M66" s="18" t="n">
        <v>0</v>
      </c>
      <c r="N66" s="20" t="n">
        <v>0</v>
      </c>
      <c r="O66" s="18" t="n">
        <v>0</v>
      </c>
      <c r="P66" s="20" t="n">
        <v>0</v>
      </c>
      <c r="Q66" s="18" t="n">
        <v>7.57411283</v>
      </c>
      <c r="R66" s="20" t="n">
        <v>0.92404045</v>
      </c>
    </row>
    <row r="67" spans="1:18">
      <c r="A67" s="15" t="s">
        <v>627</v>
      </c>
      <c r="B67" s="17" t="n">
        <v>3511</v>
      </c>
      <c r="C67" s="18">
        <f>(2755.0/B67*100)</f>
        <v/>
      </c>
      <c r="D67" s="19" t="n">
        <v>756</v>
      </c>
      <c r="E67" s="18" t="n">
        <v>24.3650649</v>
      </c>
      <c r="F67" s="20" t="n">
        <v>1.50963863</v>
      </c>
      <c r="G67" s="18" t="n">
        <v>65.24176541</v>
      </c>
      <c r="H67" s="20" t="n">
        <v>1.66036892</v>
      </c>
      <c r="I67" s="18" t="s">
        <v>567</v>
      </c>
      <c r="J67" s="20" t="s">
        <v>567</v>
      </c>
      <c r="K67" s="18" t="n">
        <v>0</v>
      </c>
      <c r="L67" s="20" t="n">
        <v>0</v>
      </c>
      <c r="M67" s="18" t="n">
        <v>0</v>
      </c>
      <c r="N67" s="20" t="n">
        <v>0</v>
      </c>
      <c r="O67" s="18" t="n">
        <v>0</v>
      </c>
      <c r="P67" s="20" t="n">
        <v>0</v>
      </c>
      <c r="Q67" s="18" t="n">
        <v>10.39316969</v>
      </c>
      <c r="R67" s="20" t="n">
        <v>1.25353172</v>
      </c>
    </row>
    <row r="68" spans="1:18">
      <c r="A68" s="15" t="s">
        <v>628</v>
      </c>
      <c r="B68" s="17" t="n">
        <v>6049</v>
      </c>
      <c r="C68" s="18">
        <f>(4694.0/B68*100)</f>
        <v/>
      </c>
      <c r="D68" s="19" t="n">
        <v>1355</v>
      </c>
      <c r="E68" s="18" t="n">
        <v>18.56197075</v>
      </c>
      <c r="F68" s="20" t="n">
        <v>0.96318463</v>
      </c>
      <c r="G68" s="18" t="n">
        <v>66.7991672</v>
      </c>
      <c r="H68" s="20" t="n">
        <v>1.36657949</v>
      </c>
      <c r="I68" s="18" t="s">
        <v>567</v>
      </c>
      <c r="J68" s="20" t="s">
        <v>567</v>
      </c>
      <c r="K68" s="18" t="n">
        <v>0.69572734</v>
      </c>
      <c r="L68" s="20" t="n">
        <v>0.23343803</v>
      </c>
      <c r="M68" s="18" t="n">
        <v>0</v>
      </c>
      <c r="N68" s="20" t="n">
        <v>0</v>
      </c>
      <c r="O68" s="18" t="n">
        <v>0</v>
      </c>
      <c r="P68" s="20" t="n">
        <v>0</v>
      </c>
      <c r="Q68" s="18" t="n">
        <v>13.94313471</v>
      </c>
      <c r="R68" s="20" t="n">
        <v>1.09047977</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(2274.0/B70*100)</f>
        <v/>
      </c>
      <c r="D70" s="19" t="n">
        <v>655</v>
      </c>
      <c r="E70" s="18" t="n">
        <v>14.09186983</v>
      </c>
      <c r="F70" s="20" t="n">
        <v>1.26358243</v>
      </c>
      <c r="G70" s="18" t="n">
        <v>81.45543902</v>
      </c>
      <c r="H70" s="20" t="n">
        <v>1.3967289</v>
      </c>
      <c r="I70" s="18" t="s">
        <v>567</v>
      </c>
      <c r="J70" s="20" t="s">
        <v>567</v>
      </c>
      <c r="K70" s="18" t="n">
        <v>0</v>
      </c>
      <c r="L70" s="20" t="n">
        <v>0</v>
      </c>
      <c r="M70" s="18" t="n">
        <v>0</v>
      </c>
      <c r="N70" s="20" t="n">
        <v>0</v>
      </c>
      <c r="O70" s="18" t="n">
        <v>0</v>
      </c>
      <c r="P70" s="20" t="n">
        <v>0</v>
      </c>
      <c r="Q70" s="18" t="n">
        <v>4.45269115</v>
      </c>
      <c r="R70" s="20" t="n">
        <v>0.88075565</v>
      </c>
    </row>
    <row r="71" spans="1:18">
      <c r="A71" s="15" t="s">
        <v>631</v>
      </c>
      <c r="B71" s="17" t="n">
        <v>3142</v>
      </c>
      <c r="C71" s="18">
        <f>(2441.0/B71*100)</f>
        <v/>
      </c>
      <c r="D71" s="19" t="n">
        <v>701</v>
      </c>
      <c r="E71" s="18" t="n">
        <v>4.00345686</v>
      </c>
      <c r="F71" s="20" t="n">
        <v>0.6519229</v>
      </c>
      <c r="G71" s="18" t="n">
        <v>92.86315073999999</v>
      </c>
      <c r="H71" s="20" t="n">
        <v>0.84739604</v>
      </c>
      <c r="I71" s="18" t="s">
        <v>567</v>
      </c>
      <c r="J71" s="20" t="s">
        <v>567</v>
      </c>
      <c r="K71" s="18" t="n">
        <v>0</v>
      </c>
      <c r="L71" s="20" t="n">
        <v>0</v>
      </c>
      <c r="M71" s="18" t="n">
        <v>0</v>
      </c>
      <c r="N71" s="20" t="n">
        <v>0</v>
      </c>
      <c r="O71" s="18" t="n">
        <v>0</v>
      </c>
      <c r="P71" s="20" t="n">
        <v>0</v>
      </c>
      <c r="Q71" s="18" t="n">
        <v>3.13339239</v>
      </c>
      <c r="R71" s="20" t="n">
        <v>0.5880665</v>
      </c>
    </row>
    <row r="72" spans="1:18">
      <c r="A72" s="15" t="s">
        <v>632</v>
      </c>
      <c r="B72" s="17" t="n">
        <v>3889</v>
      </c>
      <c r="C72" s="18">
        <f>(3053.0/B72*100)</f>
        <v/>
      </c>
      <c r="D72" s="19" t="n">
        <v>836</v>
      </c>
      <c r="E72" s="18" t="n">
        <v>3.73908981</v>
      </c>
      <c r="F72" s="20" t="n">
        <v>0.61499804</v>
      </c>
      <c r="G72" s="18" t="n">
        <v>91.20585549</v>
      </c>
      <c r="H72" s="20" t="n">
        <v>0.8879138600000001</v>
      </c>
      <c r="I72" s="18" t="s">
        <v>567</v>
      </c>
      <c r="J72" s="20" t="s">
        <v>567</v>
      </c>
      <c r="K72" s="18" t="n">
        <v>0</v>
      </c>
      <c r="L72" s="20" t="n">
        <v>0</v>
      </c>
      <c r="M72" s="18" t="n">
        <v>0</v>
      </c>
      <c r="N72" s="20" t="n">
        <v>0</v>
      </c>
      <c r="O72" s="18" t="n">
        <v>0</v>
      </c>
      <c r="P72" s="20" t="n">
        <v>0</v>
      </c>
      <c r="Q72" s="18" t="n">
        <v>5.0550547</v>
      </c>
      <c r="R72" s="20" t="n">
        <v>0.6229343899999999</v>
      </c>
    </row>
    <row r="73" spans="1:18">
      <c r="A73" s="15" t="s">
        <v>633</v>
      </c>
      <c r="B73" s="17" t="n">
        <v>3597</v>
      </c>
      <c r="C73" s="18">
        <f>(2821.0/B73*100)</f>
        <v/>
      </c>
      <c r="D73" s="19" t="n">
        <v>776</v>
      </c>
      <c r="E73" s="18" t="n">
        <v>7.91884906</v>
      </c>
      <c r="F73" s="20" t="n">
        <v>1.54146264</v>
      </c>
      <c r="G73" s="18" t="n">
        <v>76.09843845</v>
      </c>
      <c r="H73" s="20" t="n">
        <v>2.30426339</v>
      </c>
      <c r="I73" s="18" t="s">
        <v>567</v>
      </c>
      <c r="J73" s="20" t="s">
        <v>567</v>
      </c>
      <c r="K73" s="18" t="n">
        <v>0</v>
      </c>
      <c r="L73" s="20" t="n">
        <v>0</v>
      </c>
      <c r="M73" s="18" t="n">
        <v>0</v>
      </c>
      <c r="N73" s="20" t="n">
        <v>0</v>
      </c>
      <c r="O73" s="18" t="n">
        <v>0</v>
      </c>
      <c r="P73" s="20" t="n">
        <v>0</v>
      </c>
      <c r="Q73" s="18" t="n">
        <v>15.98271249</v>
      </c>
      <c r="R73" s="20" t="n">
        <v>1.85188474</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(1910.0/B75*100)</f>
        <v/>
      </c>
      <c r="D75" s="19" t="n">
        <v>496</v>
      </c>
      <c r="E75" s="18" t="n">
        <v>19.02107134</v>
      </c>
      <c r="F75" s="20" t="n">
        <v>1.990784</v>
      </c>
      <c r="G75" s="18" t="n">
        <v>68.84294169</v>
      </c>
      <c r="H75" s="20" t="n">
        <v>2.5373512</v>
      </c>
      <c r="I75" s="18" t="s">
        <v>567</v>
      </c>
      <c r="J75" s="20" t="s">
        <v>567</v>
      </c>
      <c r="K75" s="18" t="n">
        <v>1.44166213</v>
      </c>
      <c r="L75" s="20" t="n">
        <v>0.50492104</v>
      </c>
      <c r="M75" s="18" t="n">
        <v>0</v>
      </c>
      <c r="N75" s="20" t="n">
        <v>0</v>
      </c>
      <c r="O75" s="18" t="n">
        <v>0</v>
      </c>
      <c r="P75" s="20" t="n">
        <v>0</v>
      </c>
      <c r="Q75" s="18" t="n">
        <v>10.69432485</v>
      </c>
      <c r="R75" s="20" t="n">
        <v>1.6780816</v>
      </c>
    </row>
    <row r="76" spans="1:18">
      <c r="A76" s="15" t="s">
        <v>636</v>
      </c>
      <c r="B76" s="17" t="n">
        <v>7052</v>
      </c>
      <c r="C76" s="18">
        <f>(5551.0/B76*100)</f>
        <v/>
      </c>
      <c r="D76" s="19" t="n">
        <v>1501</v>
      </c>
      <c r="E76" s="18" t="n">
        <v>19.49506434</v>
      </c>
      <c r="F76" s="20" t="n">
        <v>1.39862259</v>
      </c>
      <c r="G76" s="18" t="n">
        <v>70.12132538</v>
      </c>
      <c r="H76" s="20" t="n">
        <v>1.74872818</v>
      </c>
      <c r="I76" s="18" t="s">
        <v>567</v>
      </c>
      <c r="J76" s="20" t="s">
        <v>567</v>
      </c>
      <c r="K76" s="18" t="n">
        <v>0.68077708</v>
      </c>
      <c r="L76" s="20" t="n">
        <v>0.2392223</v>
      </c>
      <c r="M76" s="18" t="n">
        <v>0</v>
      </c>
      <c r="N76" s="20" t="n">
        <v>0</v>
      </c>
      <c r="O76" s="18" t="n">
        <v>0</v>
      </c>
      <c r="P76" s="20" t="n">
        <v>0</v>
      </c>
      <c r="Q76" s="18" t="n">
        <v>9.70283319</v>
      </c>
      <c r="R76" s="20" t="n">
        <v>0.77064099</v>
      </c>
    </row>
    <row r="77" spans="1:18">
      <c r="A77" s="15" t="s">
        <v>637</v>
      </c>
      <c r="B77" s="17" t="n">
        <v>2908</v>
      </c>
      <c r="C77" s="18">
        <f>(2248.0/B77*100)</f>
        <v/>
      </c>
      <c r="D77" s="19" t="n">
        <v>660</v>
      </c>
      <c r="E77" s="18" t="n">
        <v>18.28745093</v>
      </c>
      <c r="F77" s="20" t="n">
        <v>1.3316307</v>
      </c>
      <c r="G77" s="18" t="n">
        <v>75.50677116999999</v>
      </c>
      <c r="H77" s="20" t="n">
        <v>1.84753871</v>
      </c>
      <c r="I77" s="18" t="s">
        <v>567</v>
      </c>
      <c r="J77" s="20" t="s">
        <v>567</v>
      </c>
      <c r="K77" s="18" t="n">
        <v>0.34762365</v>
      </c>
      <c r="L77" s="20" t="n">
        <v>0.26755061</v>
      </c>
      <c r="M77" s="18" t="n">
        <v>0</v>
      </c>
      <c r="N77" s="20" t="n">
        <v>0</v>
      </c>
      <c r="O77" s="18" t="n">
        <v>0</v>
      </c>
      <c r="P77" s="20" t="n">
        <v>0</v>
      </c>
      <c r="Q77" s="18" t="n">
        <v>5.85815425</v>
      </c>
      <c r="R77" s="20" t="n">
        <v>1.07314173</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(3234.0/B81*100)</f>
        <v/>
      </c>
      <c r="D81" s="19" t="n">
        <v>929</v>
      </c>
      <c r="E81" s="18" t="n">
        <v>10.56907081</v>
      </c>
      <c r="F81" s="20" t="n">
        <v>1.25278852</v>
      </c>
      <c r="G81" s="18" t="n">
        <v>82.24770967000001</v>
      </c>
      <c r="H81" s="20" t="n">
        <v>1.52888268</v>
      </c>
      <c r="I81" s="18" t="s">
        <v>567</v>
      </c>
      <c r="J81" s="20" t="s">
        <v>567</v>
      </c>
      <c r="K81" s="18" t="n">
        <v>0.19783557</v>
      </c>
      <c r="L81" s="20" t="n">
        <v>0.23540642</v>
      </c>
      <c r="M81" s="18" t="n">
        <v>0</v>
      </c>
      <c r="N81" s="20" t="n">
        <v>0</v>
      </c>
      <c r="O81" s="18" t="n">
        <v>0</v>
      </c>
      <c r="P81" s="20" t="n">
        <v>0</v>
      </c>
      <c r="Q81" s="18" t="n">
        <v>6.98538395</v>
      </c>
      <c r="R81" s="20" t="n">
        <v>1.00907502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(5797.0/B7*100)</f>
        <v/>
      </c>
      <c r="D7" s="19" t="n">
        <v>1570</v>
      </c>
      <c r="E7" s="18" t="n">
        <v>33.50039582</v>
      </c>
      <c r="F7" s="20" t="n">
        <v>1.74314638</v>
      </c>
      <c r="G7" s="18" t="n">
        <v>62.96470342</v>
      </c>
      <c r="H7" s="20" t="n">
        <v>1.77267881</v>
      </c>
      <c r="I7" s="18" t="s">
        <v>567</v>
      </c>
      <c r="J7" s="20" t="s">
        <v>567</v>
      </c>
      <c r="K7" s="18" t="n">
        <v>0.03205538</v>
      </c>
      <c r="L7" s="20" t="n">
        <v>0.03237588</v>
      </c>
      <c r="M7" s="18" t="n">
        <v>0</v>
      </c>
      <c r="N7" s="20" t="n">
        <v>0</v>
      </c>
      <c r="O7" s="18" t="n">
        <v>0</v>
      </c>
      <c r="P7" s="20" t="n">
        <v>0</v>
      </c>
      <c r="Q7" s="18" t="n">
        <v>3.50284538</v>
      </c>
      <c r="R7" s="20" t="n">
        <v>0.44581453</v>
      </c>
    </row>
    <row r="8" spans="1:18">
      <c r="A8" s="15" t="s">
        <v>568</v>
      </c>
      <c r="B8" s="17" t="n">
        <v>3564</v>
      </c>
      <c r="C8" s="18">
        <f>(2763.0/B8*100)</f>
        <v/>
      </c>
      <c r="D8" s="19" t="n">
        <v>801</v>
      </c>
      <c r="E8" s="18" t="n">
        <v>53.66663716</v>
      </c>
      <c r="F8" s="20" t="n">
        <v>2.41154996</v>
      </c>
      <c r="G8" s="18" t="n">
        <v>42.83303841</v>
      </c>
      <c r="H8" s="20" t="n">
        <v>2.43620878</v>
      </c>
      <c r="I8" s="18" t="s">
        <v>567</v>
      </c>
      <c r="J8" s="20" t="s">
        <v>567</v>
      </c>
      <c r="K8" s="18" t="n">
        <v>0.06317774</v>
      </c>
      <c r="L8" s="20" t="n">
        <v>0.06188693</v>
      </c>
      <c r="M8" s="18" t="n">
        <v>0</v>
      </c>
      <c r="N8" s="20" t="n">
        <v>0</v>
      </c>
      <c r="O8" s="18" t="n">
        <v>0</v>
      </c>
      <c r="P8" s="20" t="n">
        <v>0</v>
      </c>
      <c r="Q8" s="18" t="n">
        <v>3.43714668</v>
      </c>
      <c r="R8" s="20" t="n">
        <v>0.65738504</v>
      </c>
    </row>
    <row r="9" spans="1:18">
      <c r="A9" s="15" t="s">
        <v>569</v>
      </c>
      <c r="B9" s="17" t="n">
        <v>4899</v>
      </c>
      <c r="C9" s="18">
        <f>(3883.0/B9*100)</f>
        <v/>
      </c>
      <c r="D9" s="19" t="n">
        <v>1016</v>
      </c>
      <c r="E9" s="18" t="n">
        <v>32.29643993</v>
      </c>
      <c r="F9" s="20" t="n">
        <v>1.947589</v>
      </c>
      <c r="G9" s="18" t="n">
        <v>64.8790324</v>
      </c>
      <c r="H9" s="20" t="n">
        <v>1.93914795</v>
      </c>
      <c r="I9" s="18" t="s">
        <v>567</v>
      </c>
      <c r="J9" s="20" t="s">
        <v>567</v>
      </c>
      <c r="K9" s="18" t="n">
        <v>0.14400286</v>
      </c>
      <c r="L9" s="20" t="n">
        <v>0.15236206</v>
      </c>
      <c r="M9" s="18" t="n">
        <v>0</v>
      </c>
      <c r="N9" s="20" t="n">
        <v>0</v>
      </c>
      <c r="O9" s="18" t="n">
        <v>0</v>
      </c>
      <c r="P9" s="20" t="n">
        <v>0</v>
      </c>
      <c r="Q9" s="18" t="n">
        <v>2.68052482</v>
      </c>
      <c r="R9" s="20" t="n">
        <v>0.56465462</v>
      </c>
    </row>
    <row r="10" spans="1:18">
      <c r="A10" s="15" t="s">
        <v>570</v>
      </c>
      <c r="B10" s="17" t="n">
        <v>10036</v>
      </c>
      <c r="C10" s="18">
        <f>(7824.0/B10*100)</f>
        <v/>
      </c>
      <c r="D10" s="19" t="n">
        <v>2212</v>
      </c>
      <c r="E10" s="18" t="n">
        <v>28.23462491</v>
      </c>
      <c r="F10" s="20" t="n">
        <v>1.62607824</v>
      </c>
      <c r="G10" s="18" t="n">
        <v>67.91399276</v>
      </c>
      <c r="H10" s="20" t="n">
        <v>1.62608466</v>
      </c>
      <c r="I10" s="18" t="s">
        <v>567</v>
      </c>
      <c r="J10" s="20" t="s">
        <v>567</v>
      </c>
      <c r="K10" s="18" t="n">
        <v>0.12137286</v>
      </c>
      <c r="L10" s="20" t="n">
        <v>0.08549684</v>
      </c>
      <c r="M10" s="18" t="n">
        <v>0</v>
      </c>
      <c r="N10" s="20" t="n">
        <v>0</v>
      </c>
      <c r="O10" s="18" t="n">
        <v>0</v>
      </c>
      <c r="P10" s="20" t="n">
        <v>0</v>
      </c>
      <c r="Q10" s="18" t="n">
        <v>3.73000947</v>
      </c>
      <c r="R10" s="20" t="n">
        <v>0.53986475</v>
      </c>
    </row>
    <row r="11" spans="1:18">
      <c r="A11" s="15" t="s">
        <v>571</v>
      </c>
      <c r="B11" s="17" t="n">
        <v>3553</v>
      </c>
      <c r="C11" s="18">
        <f>(2763.0/B11*100)</f>
        <v/>
      </c>
      <c r="D11" s="19" t="n">
        <v>790</v>
      </c>
      <c r="E11" s="18" t="n">
        <v>49.34866733</v>
      </c>
      <c r="F11" s="20" t="n">
        <v>2.32901331</v>
      </c>
      <c r="G11" s="18" t="n">
        <v>45.83652856</v>
      </c>
      <c r="H11" s="20" t="n">
        <v>2.59701208</v>
      </c>
      <c r="I11" s="18" t="s">
        <v>567</v>
      </c>
      <c r="J11" s="20" t="s">
        <v>567</v>
      </c>
      <c r="K11" s="18" t="n">
        <v>0</v>
      </c>
      <c r="L11" s="20" t="n">
        <v>0</v>
      </c>
      <c r="M11" s="18" t="n">
        <v>0</v>
      </c>
      <c r="N11" s="20" t="n">
        <v>0</v>
      </c>
      <c r="O11" s="18" t="n">
        <v>0</v>
      </c>
      <c r="P11" s="20" t="n">
        <v>0</v>
      </c>
      <c r="Q11" s="18" t="n">
        <v>4.81480411</v>
      </c>
      <c r="R11" s="20" t="n">
        <v>0.87854368</v>
      </c>
    </row>
    <row r="12" spans="1:18">
      <c r="A12" s="15" t="s">
        <v>572</v>
      </c>
      <c r="B12" s="17" t="n">
        <v>3472</v>
      </c>
      <c r="C12" s="18">
        <f>(2716.0/B12*100)</f>
        <v/>
      </c>
      <c r="D12" s="19" t="n">
        <v>756</v>
      </c>
      <c r="E12" s="18" t="n">
        <v>57.35290497</v>
      </c>
      <c r="F12" s="20" t="n">
        <v>1.88585831</v>
      </c>
      <c r="G12" s="18" t="n">
        <v>39.22940062</v>
      </c>
      <c r="H12" s="20" t="n">
        <v>1.64013076</v>
      </c>
      <c r="I12" s="18" t="s">
        <v>567</v>
      </c>
      <c r="J12" s="20" t="s">
        <v>567</v>
      </c>
      <c r="K12" s="18" t="n">
        <v>0</v>
      </c>
      <c r="L12" s="20" t="n">
        <v>0</v>
      </c>
      <c r="M12" s="18" t="n">
        <v>0</v>
      </c>
      <c r="N12" s="20" t="n">
        <v>0</v>
      </c>
      <c r="O12" s="18" t="n">
        <v>0</v>
      </c>
      <c r="P12" s="20" t="n">
        <v>0</v>
      </c>
      <c r="Q12" s="18" t="n">
        <v>3.41769441</v>
      </c>
      <c r="R12" s="20" t="n">
        <v>1.04785006</v>
      </c>
    </row>
    <row r="13" spans="1:18">
      <c r="A13" s="15" t="s">
        <v>573</v>
      </c>
      <c r="B13" s="17" t="n">
        <v>3559</v>
      </c>
      <c r="C13" s="18">
        <f>(2839.0/B13*100)</f>
        <v/>
      </c>
      <c r="D13" s="19" t="n">
        <v>720</v>
      </c>
      <c r="E13" s="18" t="n">
        <v>43.50226063</v>
      </c>
      <c r="F13" s="20" t="n">
        <v>2.49144912</v>
      </c>
      <c r="G13" s="18" t="n">
        <v>55.13635157</v>
      </c>
      <c r="H13" s="20" t="n">
        <v>2.49492268</v>
      </c>
      <c r="I13" s="18" t="s">
        <v>567</v>
      </c>
      <c r="J13" s="20" t="s">
        <v>567</v>
      </c>
      <c r="K13" s="18" t="n">
        <v>0.30210236</v>
      </c>
      <c r="L13" s="20" t="n">
        <v>0.32248525</v>
      </c>
      <c r="M13" s="18" t="n">
        <v>0</v>
      </c>
      <c r="N13" s="20" t="n">
        <v>0</v>
      </c>
      <c r="O13" s="18" t="n">
        <v>0</v>
      </c>
      <c r="P13" s="20" t="n">
        <v>0</v>
      </c>
      <c r="Q13" s="18" t="n">
        <v>1.05928544</v>
      </c>
      <c r="R13" s="20" t="n">
        <v>0.32093062</v>
      </c>
    </row>
    <row r="14" spans="1:18">
      <c r="A14" s="15" t="s">
        <v>574</v>
      </c>
      <c r="B14" s="17" t="n">
        <v>2799</v>
      </c>
      <c r="C14" s="18">
        <f>(2150.0/B14*100)</f>
        <v/>
      </c>
      <c r="D14" s="19" t="n">
        <v>649</v>
      </c>
      <c r="E14" s="18" t="n">
        <v>41.20103815</v>
      </c>
      <c r="F14" s="20" t="n">
        <v>2.09021787</v>
      </c>
      <c r="G14" s="18" t="n">
        <v>57.39843929</v>
      </c>
      <c r="H14" s="20" t="n">
        <v>2.1337426</v>
      </c>
      <c r="I14" s="18" t="s">
        <v>567</v>
      </c>
      <c r="J14" s="20" t="s">
        <v>567</v>
      </c>
      <c r="K14" s="18" t="n">
        <v>0</v>
      </c>
      <c r="L14" s="20" t="n">
        <v>0</v>
      </c>
      <c r="M14" s="18" t="n">
        <v>0</v>
      </c>
      <c r="N14" s="20" t="n">
        <v>0</v>
      </c>
      <c r="O14" s="18" t="n">
        <v>0</v>
      </c>
      <c r="P14" s="20" t="n">
        <v>0</v>
      </c>
      <c r="Q14" s="18" t="n">
        <v>1.40052255</v>
      </c>
      <c r="R14" s="20" t="n">
        <v>0.38674803</v>
      </c>
    </row>
    <row r="15" spans="1:18">
      <c r="A15" s="15" t="s">
        <v>575</v>
      </c>
      <c r="B15" s="17" t="n">
        <v>3019</v>
      </c>
      <c r="C15" s="18">
        <f>(2322.0/B15*100)</f>
        <v/>
      </c>
      <c r="D15" s="19" t="n">
        <v>697</v>
      </c>
      <c r="E15" s="18" t="n">
        <v>49.12859099</v>
      </c>
      <c r="F15" s="20" t="n">
        <v>2.25153899</v>
      </c>
      <c r="G15" s="18" t="n">
        <v>49.34198673</v>
      </c>
      <c r="H15" s="20" t="n">
        <v>2.25237182</v>
      </c>
      <c r="I15" s="18" t="s">
        <v>567</v>
      </c>
      <c r="J15" s="20" t="s">
        <v>567</v>
      </c>
      <c r="K15" s="18" t="n">
        <v>0</v>
      </c>
      <c r="L15" s="20" t="n">
        <v>0</v>
      </c>
      <c r="M15" s="18" t="n">
        <v>0</v>
      </c>
      <c r="N15" s="20" t="n">
        <v>0</v>
      </c>
      <c r="O15" s="18" t="n">
        <v>0</v>
      </c>
      <c r="P15" s="20" t="n">
        <v>0</v>
      </c>
      <c r="Q15" s="18" t="n">
        <v>1.52942228</v>
      </c>
      <c r="R15" s="20" t="n">
        <v>0.52938794</v>
      </c>
    </row>
    <row r="16" spans="1:18">
      <c r="A16" s="15" t="s">
        <v>576</v>
      </c>
      <c r="B16" s="17" t="n">
        <v>2997</v>
      </c>
      <c r="C16" s="18">
        <f>(2364.0/B16*100)</f>
        <v/>
      </c>
      <c r="D16" s="19" t="n">
        <v>633</v>
      </c>
      <c r="E16" s="18" t="n">
        <v>44.74669539</v>
      </c>
      <c r="F16" s="20" t="n">
        <v>1.95533983</v>
      </c>
      <c r="G16" s="18" t="n">
        <v>50.0168487</v>
      </c>
      <c r="H16" s="20" t="n">
        <v>1.85984571</v>
      </c>
      <c r="I16" s="18" t="s">
        <v>567</v>
      </c>
      <c r="J16" s="20" t="s">
        <v>567</v>
      </c>
      <c r="K16" s="18" t="n">
        <v>0.82481667</v>
      </c>
      <c r="L16" s="20" t="n">
        <v>0.3890832</v>
      </c>
      <c r="M16" s="18" t="n">
        <v>0</v>
      </c>
      <c r="N16" s="20" t="n">
        <v>0</v>
      </c>
      <c r="O16" s="18" t="n">
        <v>0</v>
      </c>
      <c r="P16" s="20" t="n">
        <v>0</v>
      </c>
      <c r="Q16" s="18" t="n">
        <v>4.41163923</v>
      </c>
      <c r="R16" s="20" t="n">
        <v>0.80383</v>
      </c>
    </row>
    <row r="17" spans="1:18">
      <c r="A17" s="15" t="s">
        <v>577</v>
      </c>
      <c r="B17" s="17" t="n">
        <v>3307</v>
      </c>
      <c r="C17" s="18">
        <f>(2595.0/B17*100)</f>
        <v/>
      </c>
      <c r="D17" s="19" t="n">
        <v>712</v>
      </c>
      <c r="E17" s="18" t="n">
        <v>48.53269155</v>
      </c>
      <c r="F17" s="20" t="n">
        <v>1.77643215</v>
      </c>
      <c r="G17" s="18" t="n">
        <v>50.02204441</v>
      </c>
      <c r="H17" s="20" t="n">
        <v>1.75623859</v>
      </c>
      <c r="I17" s="18" t="s">
        <v>567</v>
      </c>
      <c r="J17" s="20" t="s">
        <v>567</v>
      </c>
      <c r="K17" s="18" t="n">
        <v>0</v>
      </c>
      <c r="L17" s="20" t="n">
        <v>0</v>
      </c>
      <c r="M17" s="18" t="n">
        <v>0</v>
      </c>
      <c r="N17" s="20" t="n">
        <v>0</v>
      </c>
      <c r="O17" s="18" t="n">
        <v>0</v>
      </c>
      <c r="P17" s="20" t="n">
        <v>0</v>
      </c>
      <c r="Q17" s="18" t="n">
        <v>1.44526405</v>
      </c>
      <c r="R17" s="20" t="n">
        <v>0.54766095</v>
      </c>
    </row>
    <row r="18" spans="1:18">
      <c r="A18" s="15" t="s">
        <v>578</v>
      </c>
      <c r="B18" s="17" t="n">
        <v>2826</v>
      </c>
      <c r="C18" s="18">
        <f>(2212.0/B18*100)</f>
        <v/>
      </c>
      <c r="D18" s="19" t="n">
        <v>614</v>
      </c>
      <c r="E18" s="18" t="n">
        <v>59.30889437</v>
      </c>
      <c r="F18" s="20" t="n">
        <v>2.17882015</v>
      </c>
      <c r="G18" s="18" t="n">
        <v>35.32436716</v>
      </c>
      <c r="H18" s="20" t="n">
        <v>2.01544675</v>
      </c>
      <c r="I18" s="18" t="s">
        <v>567</v>
      </c>
      <c r="J18" s="20" t="s">
        <v>567</v>
      </c>
      <c r="K18" s="18" t="n">
        <v>0</v>
      </c>
      <c r="L18" s="20" t="n">
        <v>0</v>
      </c>
      <c r="M18" s="18" t="n">
        <v>0</v>
      </c>
      <c r="N18" s="20" t="n">
        <v>0</v>
      </c>
      <c r="O18" s="18" t="n">
        <v>0</v>
      </c>
      <c r="P18" s="20" t="n">
        <v>0</v>
      </c>
      <c r="Q18" s="18" t="n">
        <v>5.36673846</v>
      </c>
      <c r="R18" s="20" t="n">
        <v>1.04221398</v>
      </c>
    </row>
    <row r="19" spans="1:18">
      <c r="A19" s="15" t="s">
        <v>579</v>
      </c>
      <c r="B19" s="17" t="n">
        <v>2808</v>
      </c>
      <c r="C19" s="18">
        <f>(2181.0/B19*100)</f>
        <v/>
      </c>
      <c r="D19" s="19" t="n">
        <v>627</v>
      </c>
      <c r="E19" s="18" t="n">
        <v>48.35370822</v>
      </c>
      <c r="F19" s="20" t="n">
        <v>2.02572235</v>
      </c>
      <c r="G19" s="18" t="n">
        <v>49.7705115</v>
      </c>
      <c r="H19" s="20" t="n">
        <v>2.00903778</v>
      </c>
      <c r="I19" s="18" t="s">
        <v>567</v>
      </c>
      <c r="J19" s="20" t="s">
        <v>567</v>
      </c>
      <c r="K19" s="18" t="n">
        <v>0</v>
      </c>
      <c r="L19" s="20" t="n">
        <v>0</v>
      </c>
      <c r="M19" s="18" t="n">
        <v>0</v>
      </c>
      <c r="N19" s="20" t="n">
        <v>0</v>
      </c>
      <c r="O19" s="18" t="n">
        <v>0</v>
      </c>
      <c r="P19" s="20" t="n">
        <v>0</v>
      </c>
      <c r="Q19" s="18" t="n">
        <v>1.87578028</v>
      </c>
      <c r="R19" s="20" t="n">
        <v>0.47359466</v>
      </c>
    </row>
    <row r="20" spans="1:18">
      <c r="A20" s="15" t="s">
        <v>580</v>
      </c>
      <c r="B20" s="17" t="n">
        <v>1630</v>
      </c>
      <c r="C20" s="18">
        <f>(1286.0/B20*100)</f>
        <v/>
      </c>
      <c r="D20" s="19" t="n">
        <v>344</v>
      </c>
      <c r="E20" s="18" t="n">
        <v>45.47245171</v>
      </c>
      <c r="F20" s="20" t="n">
        <v>2.77180784</v>
      </c>
      <c r="G20" s="18" t="n">
        <v>49.0701905</v>
      </c>
      <c r="H20" s="20" t="n">
        <v>2.58102853</v>
      </c>
      <c r="I20" s="18" t="s">
        <v>567</v>
      </c>
      <c r="J20" s="20" t="s">
        <v>567</v>
      </c>
      <c r="K20" s="18" t="n">
        <v>0.5689330500000001</v>
      </c>
      <c r="L20" s="20" t="n">
        <v>0.40440019</v>
      </c>
      <c r="M20" s="18" t="n">
        <v>0</v>
      </c>
      <c r="N20" s="20" t="n">
        <v>0</v>
      </c>
      <c r="O20" s="18" t="n">
        <v>0</v>
      </c>
      <c r="P20" s="20" t="n">
        <v>0</v>
      </c>
      <c r="Q20" s="18" t="n">
        <v>4.88842474</v>
      </c>
      <c r="R20" s="20" t="n">
        <v>1.28270023</v>
      </c>
    </row>
    <row r="21" spans="1:18">
      <c r="A21" s="15" t="s">
        <v>581</v>
      </c>
      <c r="B21" s="17" t="n">
        <v>2908</v>
      </c>
      <c r="C21" s="18">
        <f>(2244.0/B21*100)</f>
        <v/>
      </c>
      <c r="D21" s="19" t="n">
        <v>664</v>
      </c>
      <c r="E21" s="18" t="n">
        <v>40.67722712</v>
      </c>
      <c r="F21" s="20" t="n">
        <v>2.44014021</v>
      </c>
      <c r="G21" s="18" t="n">
        <v>55.45514415</v>
      </c>
      <c r="H21" s="20" t="n">
        <v>2.46423921</v>
      </c>
      <c r="I21" s="18" t="s">
        <v>567</v>
      </c>
      <c r="J21" s="20" t="s">
        <v>567</v>
      </c>
      <c r="K21" s="18" t="n">
        <v>0</v>
      </c>
      <c r="L21" s="20" t="n">
        <v>0</v>
      </c>
      <c r="M21" s="18" t="n">
        <v>0</v>
      </c>
      <c r="N21" s="20" t="n">
        <v>0</v>
      </c>
      <c r="O21" s="18" t="n">
        <v>0</v>
      </c>
      <c r="P21" s="20" t="n">
        <v>0</v>
      </c>
      <c r="Q21" s="18" t="n">
        <v>3.86762872</v>
      </c>
      <c r="R21" s="20" t="n">
        <v>0.85737417</v>
      </c>
    </row>
    <row r="22" spans="1:18">
      <c r="A22" s="15" t="s">
        <v>582</v>
      </c>
      <c r="B22" s="17" t="n">
        <v>2931</v>
      </c>
      <c r="C22" s="18">
        <f>(2285.0/B22*100)</f>
        <v/>
      </c>
      <c r="D22" s="19" t="n">
        <v>646</v>
      </c>
      <c r="E22" s="18" t="n">
        <v>37.10325071</v>
      </c>
      <c r="F22" s="20" t="n">
        <v>2.51352892</v>
      </c>
      <c r="G22" s="18" t="n">
        <v>57.5159451</v>
      </c>
      <c r="H22" s="20" t="n">
        <v>2.74446403</v>
      </c>
      <c r="I22" s="18" t="s">
        <v>567</v>
      </c>
      <c r="J22" s="20" t="s">
        <v>567</v>
      </c>
      <c r="K22" s="18" t="n">
        <v>0</v>
      </c>
      <c r="L22" s="20" t="n">
        <v>0</v>
      </c>
      <c r="M22" s="18" t="n">
        <v>0</v>
      </c>
      <c r="N22" s="20" t="n">
        <v>0</v>
      </c>
      <c r="O22" s="18" t="n">
        <v>0</v>
      </c>
      <c r="P22" s="20" t="n">
        <v>0</v>
      </c>
      <c r="Q22" s="18" t="n">
        <v>5.38080419</v>
      </c>
      <c r="R22" s="20" t="n">
        <v>1.03115111</v>
      </c>
    </row>
    <row r="23" spans="1:18">
      <c r="A23" s="15" t="s">
        <v>583</v>
      </c>
      <c r="B23" s="17" t="n">
        <v>5791</v>
      </c>
      <c r="C23" s="18">
        <f>(4520.0/B23*100)</f>
        <v/>
      </c>
      <c r="D23" s="19" t="n">
        <v>1271</v>
      </c>
      <c r="E23" s="18" t="n">
        <v>53.83660168</v>
      </c>
      <c r="F23" s="20" t="n">
        <v>1.80796035</v>
      </c>
      <c r="G23" s="18" t="n">
        <v>41.48726232</v>
      </c>
      <c r="H23" s="20" t="n">
        <v>1.92807466</v>
      </c>
      <c r="I23" s="18" t="s">
        <v>567</v>
      </c>
      <c r="J23" s="20" t="s">
        <v>567</v>
      </c>
      <c r="K23" s="18" t="n">
        <v>0.22687962</v>
      </c>
      <c r="L23" s="20" t="n">
        <v>0.16592781</v>
      </c>
      <c r="M23" s="18" t="n">
        <v>0</v>
      </c>
      <c r="N23" s="20" t="n">
        <v>0</v>
      </c>
      <c r="O23" s="18" t="n">
        <v>0</v>
      </c>
      <c r="P23" s="20" t="n">
        <v>0</v>
      </c>
      <c r="Q23" s="18" t="n">
        <v>4.44925638</v>
      </c>
      <c r="R23" s="20" t="n">
        <v>0.93436153</v>
      </c>
    </row>
    <row r="24" spans="1:18">
      <c r="A24" s="15" t="s">
        <v>584</v>
      </c>
      <c r="B24" s="17" t="n">
        <v>3338</v>
      </c>
      <c r="C24" s="18">
        <f>(2588.0/B24*100)</f>
        <v/>
      </c>
      <c r="D24" s="19" t="n">
        <v>750</v>
      </c>
      <c r="E24" s="18" t="n">
        <v>19.73943943</v>
      </c>
      <c r="F24" s="20" t="n">
        <v>1.4678033</v>
      </c>
      <c r="G24" s="18" t="n">
        <v>78.63235807</v>
      </c>
      <c r="H24" s="20" t="n">
        <v>1.53661165</v>
      </c>
      <c r="I24" s="18" t="s">
        <v>567</v>
      </c>
      <c r="J24" s="20" t="s">
        <v>567</v>
      </c>
      <c r="K24" s="18" t="n">
        <v>0.38885838</v>
      </c>
      <c r="L24" s="20" t="n">
        <v>0.22390759</v>
      </c>
      <c r="M24" s="18" t="n">
        <v>0</v>
      </c>
      <c r="N24" s="20" t="n">
        <v>0</v>
      </c>
      <c r="O24" s="18" t="n">
        <v>0</v>
      </c>
      <c r="P24" s="20" t="n">
        <v>0</v>
      </c>
      <c r="Q24" s="18" t="n">
        <v>1.23934412</v>
      </c>
      <c r="R24" s="20" t="n">
        <v>0.34653833</v>
      </c>
    </row>
    <row r="25" spans="1:18">
      <c r="A25" s="15" t="s">
        <v>585</v>
      </c>
      <c r="B25" s="17" t="n">
        <v>2912</v>
      </c>
      <c r="C25" s="18">
        <f>(2269.0/B25*100)</f>
        <v/>
      </c>
      <c r="D25" s="19" t="n">
        <v>643</v>
      </c>
      <c r="E25" s="18" t="n">
        <v>33.1959388</v>
      </c>
      <c r="F25" s="20" t="n">
        <v>2.12625136</v>
      </c>
      <c r="G25" s="18" t="n">
        <v>65.26970401</v>
      </c>
      <c r="H25" s="20" t="n">
        <v>2.06224503</v>
      </c>
      <c r="I25" s="18" t="s">
        <v>567</v>
      </c>
      <c r="J25" s="20" t="s">
        <v>567</v>
      </c>
      <c r="K25" s="18" t="n">
        <v>0</v>
      </c>
      <c r="L25" s="20" t="n">
        <v>0</v>
      </c>
      <c r="M25" s="18" t="n">
        <v>0</v>
      </c>
      <c r="N25" s="20" t="n">
        <v>0</v>
      </c>
      <c r="O25" s="18" t="n">
        <v>0</v>
      </c>
      <c r="P25" s="20" t="n">
        <v>0</v>
      </c>
      <c r="Q25" s="18" t="n">
        <v>1.53435718</v>
      </c>
      <c r="R25" s="20" t="n">
        <v>0.6200991</v>
      </c>
    </row>
    <row r="26" spans="1:18">
      <c r="A26" s="15" t="s">
        <v>586</v>
      </c>
      <c r="B26" s="17" t="n">
        <v>2450</v>
      </c>
      <c r="C26" s="18">
        <f>(1889.0/B26*100)</f>
        <v/>
      </c>
      <c r="D26" s="19" t="n">
        <v>561</v>
      </c>
      <c r="E26" s="18" t="n">
        <v>47.47852709</v>
      </c>
      <c r="F26" s="20" t="n">
        <v>2.41449797</v>
      </c>
      <c r="G26" s="18" t="n">
        <v>49.27825596</v>
      </c>
      <c r="H26" s="20" t="n">
        <v>2.27896828</v>
      </c>
      <c r="I26" s="18" t="s">
        <v>567</v>
      </c>
      <c r="J26" s="20" t="s">
        <v>567</v>
      </c>
      <c r="K26" s="18" t="n">
        <v>0</v>
      </c>
      <c r="L26" s="20" t="n">
        <v>0</v>
      </c>
      <c r="M26" s="18" t="n">
        <v>0</v>
      </c>
      <c r="N26" s="20" t="n">
        <v>0</v>
      </c>
      <c r="O26" s="18" t="n">
        <v>0</v>
      </c>
      <c r="P26" s="20" t="n">
        <v>0</v>
      </c>
      <c r="Q26" s="18" t="n">
        <v>3.24321695</v>
      </c>
      <c r="R26" s="20" t="n">
        <v>0.92954634</v>
      </c>
    </row>
    <row r="27" spans="1:18">
      <c r="A27" s="15" t="s">
        <v>587</v>
      </c>
      <c r="B27" s="17" t="n">
        <v>2616</v>
      </c>
      <c r="C27" s="18">
        <f>(2057.0/B27*100)</f>
        <v/>
      </c>
      <c r="D27" s="19" t="n">
        <v>559</v>
      </c>
      <c r="E27" s="18" t="n">
        <v>48.78376512</v>
      </c>
      <c r="F27" s="20" t="n">
        <v>2.13847201</v>
      </c>
      <c r="G27" s="18" t="n">
        <v>47.57983272</v>
      </c>
      <c r="H27" s="20" t="n">
        <v>2.36438297</v>
      </c>
      <c r="I27" s="18" t="s">
        <v>567</v>
      </c>
      <c r="J27" s="20" t="s">
        <v>567</v>
      </c>
      <c r="K27" s="18" t="n">
        <v>0</v>
      </c>
      <c r="L27" s="20" t="n">
        <v>0</v>
      </c>
      <c r="M27" s="18" t="n">
        <v>0</v>
      </c>
      <c r="N27" s="20" t="n">
        <v>0</v>
      </c>
      <c r="O27" s="18" t="n">
        <v>0</v>
      </c>
      <c r="P27" s="20" t="n">
        <v>0</v>
      </c>
      <c r="Q27" s="18" t="n">
        <v>3.63640215</v>
      </c>
      <c r="R27" s="20" t="n">
        <v>0.77626826</v>
      </c>
    </row>
    <row r="28" spans="1:18">
      <c r="A28" s="15" t="s">
        <v>588</v>
      </c>
      <c r="B28" s="17" t="n">
        <v>3765</v>
      </c>
      <c r="C28" s="18">
        <f>(2893.0/B28*100)</f>
        <v/>
      </c>
      <c r="D28" s="19" t="n">
        <v>872</v>
      </c>
      <c r="E28" s="18" t="n">
        <v>74.19476027</v>
      </c>
      <c r="F28" s="20" t="n">
        <v>1.75787845</v>
      </c>
      <c r="G28" s="18" t="n">
        <v>21.67290064</v>
      </c>
      <c r="H28" s="20" t="n">
        <v>1.6713565</v>
      </c>
      <c r="I28" s="18" t="s">
        <v>567</v>
      </c>
      <c r="J28" s="20" t="s">
        <v>567</v>
      </c>
      <c r="K28" s="18" t="n">
        <v>0</v>
      </c>
      <c r="L28" s="20" t="n">
        <v>0</v>
      </c>
      <c r="M28" s="18" t="n">
        <v>0</v>
      </c>
      <c r="N28" s="20" t="n">
        <v>0</v>
      </c>
      <c r="O28" s="18" t="n">
        <v>0</v>
      </c>
      <c r="P28" s="20" t="n">
        <v>0</v>
      </c>
      <c r="Q28" s="18" t="n">
        <v>4.13233909</v>
      </c>
      <c r="R28" s="20" t="n">
        <v>0.97764874</v>
      </c>
    </row>
    <row r="29" spans="1:18">
      <c r="A29" s="15" t="s">
        <v>589</v>
      </c>
      <c r="B29" s="17" t="n">
        <v>2685</v>
      </c>
      <c r="C29" s="18">
        <f>(2100.0/B29*100)</f>
        <v/>
      </c>
      <c r="D29" s="19" t="n">
        <v>585</v>
      </c>
      <c r="E29" s="18" t="n">
        <v>37.21504222</v>
      </c>
      <c r="F29" s="20" t="n">
        <v>2.33596956</v>
      </c>
      <c r="G29" s="18" t="n">
        <v>57.82858219</v>
      </c>
      <c r="H29" s="20" t="n">
        <v>2.36764451</v>
      </c>
      <c r="I29" s="18" t="s">
        <v>567</v>
      </c>
      <c r="J29" s="20" t="s">
        <v>567</v>
      </c>
      <c r="K29" s="18" t="n">
        <v>0.17633862</v>
      </c>
      <c r="L29" s="20" t="n">
        <v>0.17606746</v>
      </c>
      <c r="M29" s="18" t="n">
        <v>0</v>
      </c>
      <c r="N29" s="20" t="n">
        <v>0</v>
      </c>
      <c r="O29" s="18" t="n">
        <v>0</v>
      </c>
      <c r="P29" s="20" t="n">
        <v>0</v>
      </c>
      <c r="Q29" s="18" t="n">
        <v>4.78003697</v>
      </c>
      <c r="R29" s="20" t="n">
        <v>0.74569343</v>
      </c>
    </row>
    <row r="30" spans="1:18">
      <c r="A30" s="15" t="s">
        <v>590</v>
      </c>
      <c r="B30" s="17" t="n">
        <v>2263</v>
      </c>
      <c r="C30" s="18">
        <f>(1751.0/B30*100)</f>
        <v/>
      </c>
      <c r="D30" s="19" t="n">
        <v>512</v>
      </c>
      <c r="E30" s="18" t="n">
        <v>34.80406622</v>
      </c>
      <c r="F30" s="20" t="n">
        <v>2.36183639</v>
      </c>
      <c r="G30" s="18" t="n">
        <v>61.55344559</v>
      </c>
      <c r="H30" s="20" t="n">
        <v>2.36509712</v>
      </c>
      <c r="I30" s="18" t="s">
        <v>567</v>
      </c>
      <c r="J30" s="20" t="s">
        <v>567</v>
      </c>
      <c r="K30" s="18" t="n">
        <v>0</v>
      </c>
      <c r="L30" s="20" t="n">
        <v>0</v>
      </c>
      <c r="M30" s="18" t="n">
        <v>0</v>
      </c>
      <c r="N30" s="20" t="n">
        <v>0</v>
      </c>
      <c r="O30" s="18" t="n">
        <v>0</v>
      </c>
      <c r="P30" s="20" t="n">
        <v>0</v>
      </c>
      <c r="Q30" s="18" t="n">
        <v>3.6424882</v>
      </c>
      <c r="R30" s="20" t="n">
        <v>0.85458373</v>
      </c>
    </row>
    <row r="31" spans="1:18">
      <c r="A31" s="15" t="s">
        <v>591</v>
      </c>
      <c r="B31" s="17" t="n">
        <v>2750</v>
      </c>
      <c r="C31" s="18">
        <f>(2145.0/B31*100)</f>
        <v/>
      </c>
      <c r="D31" s="19" t="n">
        <v>605</v>
      </c>
      <c r="E31" s="18" t="n">
        <v>42.38318904</v>
      </c>
      <c r="F31" s="20" t="n">
        <v>2.16236479</v>
      </c>
      <c r="G31" s="18" t="n">
        <v>53.94157899</v>
      </c>
      <c r="H31" s="20" t="n">
        <v>2.33087625</v>
      </c>
      <c r="I31" s="18" t="s">
        <v>567</v>
      </c>
      <c r="J31" s="20" t="s">
        <v>567</v>
      </c>
      <c r="K31" s="18" t="n">
        <v>0.33816201</v>
      </c>
      <c r="L31" s="20" t="n">
        <v>0.23772894</v>
      </c>
      <c r="M31" s="18" t="n">
        <v>0</v>
      </c>
      <c r="N31" s="20" t="n">
        <v>0</v>
      </c>
      <c r="O31" s="18" t="n">
        <v>0</v>
      </c>
      <c r="P31" s="20" t="n">
        <v>0</v>
      </c>
      <c r="Q31" s="18" t="n">
        <v>3.33706997</v>
      </c>
      <c r="R31" s="20" t="n">
        <v>0.85720995</v>
      </c>
    </row>
    <row r="32" spans="1:18">
      <c r="A32" s="15" t="s">
        <v>592</v>
      </c>
      <c r="B32" s="17" t="n">
        <v>2269</v>
      </c>
      <c r="C32" s="18">
        <f>(1761.0/B32*100)</f>
        <v/>
      </c>
      <c r="D32" s="19" t="n">
        <v>508</v>
      </c>
      <c r="E32" s="18" t="n">
        <v>50.32502214</v>
      </c>
      <c r="F32" s="20" t="n">
        <v>2.48554664</v>
      </c>
      <c r="G32" s="18" t="n">
        <v>47.05970609</v>
      </c>
      <c r="H32" s="20" t="n">
        <v>2.527483</v>
      </c>
      <c r="I32" s="18" t="s">
        <v>567</v>
      </c>
      <c r="J32" s="20" t="s">
        <v>567</v>
      </c>
      <c r="K32" s="18" t="n">
        <v>0</v>
      </c>
      <c r="L32" s="20" t="n">
        <v>0</v>
      </c>
      <c r="M32" s="18" t="n">
        <v>0</v>
      </c>
      <c r="N32" s="20" t="n">
        <v>0</v>
      </c>
      <c r="O32" s="18" t="n">
        <v>0</v>
      </c>
      <c r="P32" s="20" t="n">
        <v>0</v>
      </c>
      <c r="Q32" s="18" t="n">
        <v>2.61527176</v>
      </c>
      <c r="R32" s="20" t="n">
        <v>0.72125298</v>
      </c>
    </row>
    <row r="33" spans="1:18">
      <c r="A33" s="15" t="s">
        <v>593</v>
      </c>
      <c r="B33" s="17" t="n">
        <v>3674</v>
      </c>
      <c r="C33" s="18">
        <f>(2839.0/B33*100)</f>
        <v/>
      </c>
      <c r="D33" s="19" t="n">
        <v>835</v>
      </c>
      <c r="E33" s="18" t="n">
        <v>33.67685895</v>
      </c>
      <c r="F33" s="20" t="n">
        <v>2.21705472</v>
      </c>
      <c r="G33" s="18" t="n">
        <v>63.49384856</v>
      </c>
      <c r="H33" s="20" t="n">
        <v>2.32374061</v>
      </c>
      <c r="I33" s="18" t="s">
        <v>567</v>
      </c>
      <c r="J33" s="20" t="s">
        <v>567</v>
      </c>
      <c r="K33" s="18" t="n">
        <v>0.04607969</v>
      </c>
      <c r="L33" s="20" t="n">
        <v>0.05704964</v>
      </c>
      <c r="M33" s="18" t="n">
        <v>0</v>
      </c>
      <c r="N33" s="20" t="n">
        <v>0</v>
      </c>
      <c r="O33" s="18" t="n">
        <v>0</v>
      </c>
      <c r="P33" s="20" t="n">
        <v>0</v>
      </c>
      <c r="Q33" s="18" t="n">
        <v>2.7832128</v>
      </c>
      <c r="R33" s="20" t="n">
        <v>0.72379143</v>
      </c>
    </row>
    <row r="34" spans="1:18">
      <c r="A34" s="15" t="s">
        <v>594</v>
      </c>
      <c r="B34" s="17" t="n">
        <v>3315</v>
      </c>
      <c r="C34" s="18">
        <f>(2599.0/B34*100)</f>
        <v/>
      </c>
      <c r="D34" s="19" t="n">
        <v>716</v>
      </c>
      <c r="E34" s="18" t="n">
        <v>60.1312055</v>
      </c>
      <c r="F34" s="20" t="n">
        <v>1.75148922</v>
      </c>
      <c r="G34" s="18" t="n">
        <v>36.06626255</v>
      </c>
      <c r="H34" s="20" t="n">
        <v>1.80503587</v>
      </c>
      <c r="I34" s="18" t="s">
        <v>567</v>
      </c>
      <c r="J34" s="20" t="s">
        <v>567</v>
      </c>
      <c r="K34" s="18" t="n">
        <v>0</v>
      </c>
      <c r="L34" s="20" t="n">
        <v>0</v>
      </c>
      <c r="M34" s="18" t="n">
        <v>0</v>
      </c>
      <c r="N34" s="20" t="n">
        <v>0</v>
      </c>
      <c r="O34" s="18" t="n">
        <v>0</v>
      </c>
      <c r="P34" s="20" t="n">
        <v>0</v>
      </c>
      <c r="Q34" s="18" t="n">
        <v>3.80253195</v>
      </c>
      <c r="R34" s="20" t="n">
        <v>0.79092935</v>
      </c>
    </row>
    <row r="35" spans="1:18">
      <c r="A35" s="15" t="s">
        <v>595</v>
      </c>
      <c r="B35" s="17" t="n">
        <v>3505</v>
      </c>
      <c r="C35" s="18">
        <f>(2784.0/B35*100)</f>
        <v/>
      </c>
      <c r="D35" s="19" t="n">
        <v>721</v>
      </c>
      <c r="E35" s="18" t="n">
        <v>40.18311315</v>
      </c>
      <c r="F35" s="20" t="n">
        <v>2.47812132</v>
      </c>
      <c r="G35" s="18" t="n">
        <v>56.50673621</v>
      </c>
      <c r="H35" s="20" t="n">
        <v>2.60469602</v>
      </c>
      <c r="I35" s="18" t="s">
        <v>567</v>
      </c>
      <c r="J35" s="20" t="s">
        <v>567</v>
      </c>
      <c r="K35" s="18" t="n">
        <v>0.0692415</v>
      </c>
      <c r="L35" s="20" t="n">
        <v>0.07014789</v>
      </c>
      <c r="M35" s="18" t="n">
        <v>0</v>
      </c>
      <c r="N35" s="20" t="n">
        <v>0</v>
      </c>
      <c r="O35" s="18" t="n">
        <v>0</v>
      </c>
      <c r="P35" s="20" t="n">
        <v>0</v>
      </c>
      <c r="Q35" s="18" t="n">
        <v>3.24090913</v>
      </c>
      <c r="R35" s="20" t="n">
        <v>0.68739691</v>
      </c>
    </row>
    <row r="36" spans="1:18">
      <c r="A36" s="15" t="s">
        <v>596</v>
      </c>
      <c r="B36" s="17" t="n">
        <v>3332</v>
      </c>
      <c r="C36" s="18">
        <f>(2585.0/B36*100)</f>
        <v/>
      </c>
      <c r="D36" s="19" t="n">
        <v>747</v>
      </c>
      <c r="E36" s="18" t="n">
        <v>38.58127651</v>
      </c>
      <c r="F36" s="20" t="n">
        <v>2.01788499</v>
      </c>
      <c r="G36" s="18" t="n">
        <v>56.24731526</v>
      </c>
      <c r="H36" s="20" t="n">
        <v>1.96585654</v>
      </c>
      <c r="I36" s="18" t="s">
        <v>567</v>
      </c>
      <c r="J36" s="20" t="s">
        <v>567</v>
      </c>
      <c r="K36" s="18" t="n">
        <v>0.27017899</v>
      </c>
      <c r="L36" s="20" t="n">
        <v>0.19851979</v>
      </c>
      <c r="M36" s="18" t="n">
        <v>0</v>
      </c>
      <c r="N36" s="20" t="n">
        <v>0</v>
      </c>
      <c r="O36" s="18" t="n">
        <v>0</v>
      </c>
      <c r="P36" s="20" t="n">
        <v>0</v>
      </c>
      <c r="Q36" s="18" t="n">
        <v>4.90122923</v>
      </c>
      <c r="R36" s="20" t="n">
        <v>1.01625401</v>
      </c>
    </row>
    <row r="37" spans="1:18">
      <c r="A37" s="15" t="s">
        <v>597</v>
      </c>
      <c r="B37" s="17" t="n">
        <v>2727</v>
      </c>
      <c r="C37" s="18">
        <f>(2108.0/B37*100)</f>
        <v/>
      </c>
      <c r="D37" s="19" t="n">
        <v>619</v>
      </c>
      <c r="E37" s="18" t="n">
        <v>51.27911283</v>
      </c>
      <c r="F37" s="20" t="n">
        <v>1.93303337</v>
      </c>
      <c r="G37" s="18" t="n">
        <v>44.67062224</v>
      </c>
      <c r="H37" s="20" t="n">
        <v>2.18377507</v>
      </c>
      <c r="I37" s="18" t="s">
        <v>567</v>
      </c>
      <c r="J37" s="20" t="s">
        <v>567</v>
      </c>
      <c r="K37" s="18" t="n">
        <v>0.14194196</v>
      </c>
      <c r="L37" s="20" t="n">
        <v>0.14173677</v>
      </c>
      <c r="M37" s="18" t="n">
        <v>0</v>
      </c>
      <c r="N37" s="20" t="n">
        <v>0</v>
      </c>
      <c r="O37" s="18" t="n">
        <v>0</v>
      </c>
      <c r="P37" s="20" t="n">
        <v>0</v>
      </c>
      <c r="Q37" s="18" t="n">
        <v>3.90832298</v>
      </c>
      <c r="R37" s="20" t="n">
        <v>0.90330255</v>
      </c>
    </row>
    <row r="38" spans="1:18">
      <c r="A38" s="15" t="s">
        <v>598</v>
      </c>
      <c r="B38" s="17" t="n">
        <v>3053</v>
      </c>
      <c r="C38" s="18">
        <f>(2370.0/B38*100)</f>
        <v/>
      </c>
      <c r="D38" s="19" t="n">
        <v>683</v>
      </c>
      <c r="E38" s="18" t="n">
        <v>44.85246531</v>
      </c>
      <c r="F38" s="20" t="n">
        <v>1.89138221</v>
      </c>
      <c r="G38" s="18" t="n">
        <v>51.6696333</v>
      </c>
      <c r="H38" s="20" t="n">
        <v>1.87155511</v>
      </c>
      <c r="I38" s="18" t="s">
        <v>567</v>
      </c>
      <c r="J38" s="20" t="s">
        <v>567</v>
      </c>
      <c r="K38" s="18" t="n">
        <v>0.18843384</v>
      </c>
      <c r="L38" s="20" t="n">
        <v>0.1860688</v>
      </c>
      <c r="M38" s="18" t="n">
        <v>0</v>
      </c>
      <c r="N38" s="20" t="n">
        <v>0</v>
      </c>
      <c r="O38" s="18" t="n">
        <v>0</v>
      </c>
      <c r="P38" s="20" t="n">
        <v>0</v>
      </c>
      <c r="Q38" s="18" t="n">
        <v>3.28946755</v>
      </c>
      <c r="R38" s="20" t="n">
        <v>0.89776942</v>
      </c>
    </row>
    <row r="39" spans="1:18">
      <c r="A39" s="15" t="s">
        <v>599</v>
      </c>
      <c r="B39" s="17" t="n">
        <v>2957</v>
      </c>
      <c r="C39" s="18">
        <f>(2265.0/B39*100)</f>
        <v/>
      </c>
      <c r="D39" s="19" t="n">
        <v>692</v>
      </c>
      <c r="E39" s="18" t="n">
        <v>74.58048798</v>
      </c>
      <c r="F39" s="20" t="n">
        <v>1.90707179</v>
      </c>
      <c r="G39" s="18" t="n">
        <v>21.91605302</v>
      </c>
      <c r="H39" s="20" t="n">
        <v>1.76526925</v>
      </c>
      <c r="I39" s="18" t="s">
        <v>567</v>
      </c>
      <c r="J39" s="20" t="s">
        <v>567</v>
      </c>
      <c r="K39" s="18" t="n">
        <v>0</v>
      </c>
      <c r="L39" s="20" t="n">
        <v>0</v>
      </c>
      <c r="M39" s="18" t="n">
        <v>0</v>
      </c>
      <c r="N39" s="20" t="n">
        <v>0</v>
      </c>
      <c r="O39" s="18" t="n">
        <v>0</v>
      </c>
      <c r="P39" s="20" t="n">
        <v>0</v>
      </c>
      <c r="Q39" s="18" t="n">
        <v>3.503459</v>
      </c>
      <c r="R39" s="20" t="n">
        <v>0.88473663</v>
      </c>
    </row>
    <row r="40" spans="1:18">
      <c r="A40" s="15" t="s">
        <v>600</v>
      </c>
      <c r="B40" s="17" t="n">
        <v>7235</v>
      </c>
      <c r="C40" s="18">
        <f>(5666.0/B40*100)</f>
        <v/>
      </c>
      <c r="D40" s="19" t="n">
        <v>1569</v>
      </c>
      <c r="E40" s="18" t="n">
        <v>30.51608996</v>
      </c>
      <c r="F40" s="20" t="n">
        <v>1.80603369</v>
      </c>
      <c r="G40" s="18" t="n">
        <v>65.95358509</v>
      </c>
      <c r="H40" s="20" t="n">
        <v>1.9609809</v>
      </c>
      <c r="I40" s="18" t="s">
        <v>567</v>
      </c>
      <c r="J40" s="20" t="s">
        <v>567</v>
      </c>
      <c r="K40" s="18" t="n">
        <v>0</v>
      </c>
      <c r="L40" s="20" t="n">
        <v>0</v>
      </c>
      <c r="M40" s="18" t="n">
        <v>0</v>
      </c>
      <c r="N40" s="20" t="n">
        <v>0</v>
      </c>
      <c r="O40" s="18" t="n">
        <v>0</v>
      </c>
      <c r="P40" s="20" t="n">
        <v>0</v>
      </c>
      <c r="Q40" s="18" t="n">
        <v>3.53032496</v>
      </c>
      <c r="R40" s="20" t="n">
        <v>0.76565865</v>
      </c>
    </row>
    <row r="41" spans="1:18">
      <c r="A41" s="15" t="s">
        <v>601</v>
      </c>
      <c r="B41" s="17" t="n">
        <v>2858</v>
      </c>
      <c r="C41" s="18">
        <f>(2280.0/B41*100)</f>
        <v/>
      </c>
      <c r="D41" s="19" t="n">
        <v>578</v>
      </c>
      <c r="E41" s="18" t="n">
        <v>28.56557841</v>
      </c>
      <c r="F41" s="20" t="n">
        <v>1.92098689</v>
      </c>
      <c r="G41" s="18" t="n">
        <v>68.28102889</v>
      </c>
      <c r="H41" s="20" t="n">
        <v>1.86741747</v>
      </c>
      <c r="I41" s="18" t="s">
        <v>567</v>
      </c>
      <c r="J41" s="20" t="s">
        <v>567</v>
      </c>
      <c r="K41" s="18" t="n">
        <v>0</v>
      </c>
      <c r="L41" s="20" t="n">
        <v>0</v>
      </c>
      <c r="M41" s="18" t="n">
        <v>0</v>
      </c>
      <c r="N41" s="20" t="n">
        <v>0</v>
      </c>
      <c r="O41" s="18" t="n">
        <v>0</v>
      </c>
      <c r="P41" s="20" t="n">
        <v>0</v>
      </c>
      <c r="Q41" s="18" t="n">
        <v>3.1533927</v>
      </c>
      <c r="R41" s="20" t="n">
        <v>1.13107461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(8892.0/B46*100)</f>
        <v/>
      </c>
      <c r="D46" s="19" t="n">
        <v>2176</v>
      </c>
      <c r="E46" s="18" t="n">
        <v>66.29833549999999</v>
      </c>
      <c r="F46" s="20" t="n">
        <v>1.41418782</v>
      </c>
      <c r="G46" s="18" t="n">
        <v>26.10601277</v>
      </c>
      <c r="H46" s="20" t="n">
        <v>1.5091155</v>
      </c>
      <c r="I46" s="18" t="s">
        <v>567</v>
      </c>
      <c r="J46" s="20" t="s">
        <v>567</v>
      </c>
      <c r="K46" s="18" t="n">
        <v>0.29619113</v>
      </c>
      <c r="L46" s="20" t="n">
        <v>0.17454148</v>
      </c>
      <c r="M46" s="18" t="n">
        <v>0</v>
      </c>
      <c r="N46" s="20" t="n">
        <v>0</v>
      </c>
      <c r="O46" s="18" t="n">
        <v>0</v>
      </c>
      <c r="P46" s="20" t="n">
        <v>0</v>
      </c>
      <c r="Q46" s="18" t="n">
        <v>7.29946059</v>
      </c>
      <c r="R46" s="20" t="n">
        <v>0.88788007</v>
      </c>
    </row>
    <row r="47" spans="1:18">
      <c r="A47" s="15" t="s">
        <v>607</v>
      </c>
      <c r="B47" s="17" t="n">
        <v>3105</v>
      </c>
      <c r="C47" s="18">
        <f>(2390.0/B47*100)</f>
        <v/>
      </c>
      <c r="D47" s="19" t="n">
        <v>715</v>
      </c>
      <c r="E47" s="18" t="n">
        <v>61.84498476</v>
      </c>
      <c r="F47" s="20" t="n">
        <v>2.50050738</v>
      </c>
      <c r="G47" s="18" t="n">
        <v>33.68107225</v>
      </c>
      <c r="H47" s="20" t="n">
        <v>2.59836769</v>
      </c>
      <c r="I47" s="18" t="s">
        <v>567</v>
      </c>
      <c r="J47" s="20" t="s">
        <v>567</v>
      </c>
      <c r="K47" s="18" t="n">
        <v>0.25851367</v>
      </c>
      <c r="L47" s="20" t="n">
        <v>0.01085384</v>
      </c>
      <c r="M47" s="18" t="n">
        <v>0</v>
      </c>
      <c r="N47" s="20" t="n">
        <v>0</v>
      </c>
      <c r="O47" s="18" t="n">
        <v>0</v>
      </c>
      <c r="P47" s="20" t="n">
        <v>0</v>
      </c>
      <c r="Q47" s="18" t="n">
        <v>4.21542932</v>
      </c>
      <c r="R47" s="20" t="n">
        <v>0.84916859</v>
      </c>
    </row>
    <row r="48" spans="1:18">
      <c r="A48" s="15" t="s">
        <v>608</v>
      </c>
      <c r="B48" s="17" t="n">
        <v>5159</v>
      </c>
      <c r="C48" s="18">
        <f>(4037.0/B48*100)</f>
        <v/>
      </c>
      <c r="D48" s="19" t="n">
        <v>1122</v>
      </c>
      <c r="E48" s="18" t="n">
        <v>37.8745038</v>
      </c>
      <c r="F48" s="20" t="n">
        <v>2.53964805</v>
      </c>
      <c r="G48" s="18" t="n">
        <v>57.84520949</v>
      </c>
      <c r="H48" s="20" t="n">
        <v>2.62645914</v>
      </c>
      <c r="I48" s="18" t="s">
        <v>567</v>
      </c>
      <c r="J48" s="20" t="s">
        <v>567</v>
      </c>
      <c r="K48" s="18" t="n">
        <v>0</v>
      </c>
      <c r="L48" s="20" t="n">
        <v>0</v>
      </c>
      <c r="M48" s="18" t="n">
        <v>0</v>
      </c>
      <c r="N48" s="20" t="n">
        <v>0</v>
      </c>
      <c r="O48" s="18" t="n">
        <v>0</v>
      </c>
      <c r="P48" s="20" t="n">
        <v>0</v>
      </c>
      <c r="Q48" s="18" t="n">
        <v>4.28028671</v>
      </c>
      <c r="R48" s="20" t="n">
        <v>0.75855699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(4364.0/B50*100)</f>
        <v/>
      </c>
      <c r="D50" s="19" t="n">
        <v>1273</v>
      </c>
      <c r="E50" s="18" t="n">
        <v>69.97830461</v>
      </c>
      <c r="F50" s="20" t="n">
        <v>1.65743979</v>
      </c>
      <c r="G50" s="18" t="n">
        <v>23.77324176</v>
      </c>
      <c r="H50" s="20" t="n">
        <v>1.58887056</v>
      </c>
      <c r="I50" s="18" t="s">
        <v>567</v>
      </c>
      <c r="J50" s="20" t="s">
        <v>567</v>
      </c>
      <c r="K50" s="18" t="n">
        <v>0.42222669</v>
      </c>
      <c r="L50" s="20" t="n">
        <v>0.39085925</v>
      </c>
      <c r="M50" s="18" t="n">
        <v>0</v>
      </c>
      <c r="N50" s="20" t="n">
        <v>0</v>
      </c>
      <c r="O50" s="18" t="n">
        <v>0</v>
      </c>
      <c r="P50" s="20" t="n">
        <v>0</v>
      </c>
      <c r="Q50" s="18" t="n">
        <v>5.82622695</v>
      </c>
      <c r="R50" s="20" t="n">
        <v>0.9542295200000001</v>
      </c>
    </row>
    <row r="51" spans="1:18">
      <c r="A51" s="15" t="s">
        <v>611</v>
      </c>
      <c r="B51" s="17" t="n">
        <v>3372</v>
      </c>
      <c r="C51" s="18">
        <f>(2744.0/B51*100)</f>
        <v/>
      </c>
      <c r="D51" s="19" t="n">
        <v>628</v>
      </c>
      <c r="E51" s="18" t="n">
        <v>73.71813971</v>
      </c>
      <c r="F51" s="20" t="n">
        <v>2.19089335</v>
      </c>
      <c r="G51" s="18" t="n">
        <v>20.10517094</v>
      </c>
      <c r="H51" s="20" t="n">
        <v>1.80101397</v>
      </c>
      <c r="I51" s="18" t="s">
        <v>567</v>
      </c>
      <c r="J51" s="20" t="s">
        <v>567</v>
      </c>
      <c r="K51" s="18" t="n">
        <v>0.11382961</v>
      </c>
      <c r="L51" s="20" t="n">
        <v>0.1144925</v>
      </c>
      <c r="M51" s="18" t="n">
        <v>0</v>
      </c>
      <c r="N51" s="20" t="n">
        <v>0</v>
      </c>
      <c r="O51" s="18" t="n">
        <v>0</v>
      </c>
      <c r="P51" s="20" t="n">
        <v>0</v>
      </c>
      <c r="Q51" s="18" t="n">
        <v>6.06285974</v>
      </c>
      <c r="R51" s="20" t="n">
        <v>1.06869037</v>
      </c>
    </row>
    <row r="52" spans="1:18">
      <c r="A52" s="15" t="s">
        <v>612</v>
      </c>
      <c r="B52" s="17" t="n">
        <v>2796</v>
      </c>
      <c r="C52" s="18">
        <f>(2202.0/B52*100)</f>
        <v/>
      </c>
      <c r="D52" s="19" t="n">
        <v>594</v>
      </c>
      <c r="E52" s="18" t="n">
        <v>65.17239576</v>
      </c>
      <c r="F52" s="20" t="n">
        <v>2.38511605</v>
      </c>
      <c r="G52" s="18" t="n">
        <v>32.91659402</v>
      </c>
      <c r="H52" s="20" t="n">
        <v>2.41468292</v>
      </c>
      <c r="I52" s="18" t="s">
        <v>567</v>
      </c>
      <c r="J52" s="20" t="s">
        <v>567</v>
      </c>
      <c r="K52" s="18" t="n">
        <v>0</v>
      </c>
      <c r="L52" s="20" t="n">
        <v>0</v>
      </c>
      <c r="M52" s="18" t="n">
        <v>0</v>
      </c>
      <c r="N52" s="20" t="n">
        <v>0</v>
      </c>
      <c r="O52" s="18" t="n">
        <v>0</v>
      </c>
      <c r="P52" s="20" t="n">
        <v>0</v>
      </c>
      <c r="Q52" s="18" t="n">
        <v>1.91101022</v>
      </c>
      <c r="R52" s="20" t="n">
        <v>0.65316648</v>
      </c>
    </row>
    <row r="53" spans="1:18">
      <c r="A53" s="15" t="s">
        <v>613</v>
      </c>
      <c r="B53" s="17" t="n">
        <v>2811</v>
      </c>
      <c r="C53" s="18">
        <f>(2168.0/B53*100)</f>
        <v/>
      </c>
      <c r="D53" s="19" t="n">
        <v>643</v>
      </c>
      <c r="E53" s="18" t="n">
        <v>48.75930645</v>
      </c>
      <c r="F53" s="20" t="n">
        <v>2.15654581</v>
      </c>
      <c r="G53" s="18" t="n">
        <v>40.83778999</v>
      </c>
      <c r="H53" s="20" t="n">
        <v>1.81258073</v>
      </c>
      <c r="I53" s="18" t="s">
        <v>567</v>
      </c>
      <c r="J53" s="20" t="s">
        <v>567</v>
      </c>
      <c r="K53" s="18" t="n">
        <v>0.65776261</v>
      </c>
      <c r="L53" s="20" t="n">
        <v>0.33325139</v>
      </c>
      <c r="M53" s="18" t="n">
        <v>0</v>
      </c>
      <c r="N53" s="20" t="n">
        <v>0</v>
      </c>
      <c r="O53" s="18" t="n">
        <v>0</v>
      </c>
      <c r="P53" s="20" t="n">
        <v>0</v>
      </c>
      <c r="Q53" s="18" t="n">
        <v>9.74514095</v>
      </c>
      <c r="R53" s="20" t="n">
        <v>1.18914676</v>
      </c>
    </row>
    <row r="54" spans="1:18">
      <c r="A54" s="15" t="s">
        <v>614</v>
      </c>
      <c r="B54" s="17" t="n">
        <v>2266</v>
      </c>
      <c r="C54" s="18">
        <f>(1759.0/B54*100)</f>
        <v/>
      </c>
      <c r="D54" s="19" t="n">
        <v>507</v>
      </c>
      <c r="E54" s="18" t="n">
        <v>81.65793631</v>
      </c>
      <c r="F54" s="20" t="n">
        <v>1.92018625</v>
      </c>
      <c r="G54" s="18" t="n">
        <v>5.62081337</v>
      </c>
      <c r="H54" s="20" t="n">
        <v>1.11493108</v>
      </c>
      <c r="I54" s="18" t="s">
        <v>567</v>
      </c>
      <c r="J54" s="20" t="s">
        <v>567</v>
      </c>
      <c r="K54" s="18" t="n">
        <v>2.77240733</v>
      </c>
      <c r="L54" s="20" t="n">
        <v>0.77416093</v>
      </c>
      <c r="M54" s="18" t="n">
        <v>0</v>
      </c>
      <c r="N54" s="20" t="n">
        <v>0</v>
      </c>
      <c r="O54" s="18" t="n">
        <v>0</v>
      </c>
      <c r="P54" s="20" t="n">
        <v>0</v>
      </c>
      <c r="Q54" s="18" t="n">
        <v>9.948842989999999</v>
      </c>
      <c r="R54" s="20" t="n">
        <v>1.55939695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(2116.0/B56*100)</f>
        <v/>
      </c>
      <c r="D56" s="19" t="n">
        <v>568</v>
      </c>
      <c r="E56" s="18" t="n">
        <v>33.91604851</v>
      </c>
      <c r="F56" s="20" t="n">
        <v>2.4609276</v>
      </c>
      <c r="G56" s="18" t="n">
        <v>63.21915658</v>
      </c>
      <c r="H56" s="20" t="n">
        <v>2.29366625</v>
      </c>
      <c r="I56" s="18" t="s">
        <v>567</v>
      </c>
      <c r="J56" s="20" t="s">
        <v>567</v>
      </c>
      <c r="K56" s="18" t="n">
        <v>0</v>
      </c>
      <c r="L56" s="20" t="n">
        <v>0</v>
      </c>
      <c r="M56" s="18" t="n">
        <v>0</v>
      </c>
      <c r="N56" s="20" t="n">
        <v>0</v>
      </c>
      <c r="O56" s="18" t="n">
        <v>0</v>
      </c>
      <c r="P56" s="20" t="n">
        <v>0</v>
      </c>
      <c r="Q56" s="18" t="n">
        <v>2.86479491</v>
      </c>
      <c r="R56" s="20" t="n">
        <v>0.69407354</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(2595.0/B61*100)</f>
        <v/>
      </c>
      <c r="D61" s="19" t="n">
        <v>729</v>
      </c>
      <c r="E61" s="18" t="n">
        <v>65.38841407</v>
      </c>
      <c r="F61" s="20" t="n">
        <v>1.91822721</v>
      </c>
      <c r="G61" s="18" t="n">
        <v>32.02635606</v>
      </c>
      <c r="H61" s="20" t="n">
        <v>1.8931068</v>
      </c>
      <c r="I61" s="18" t="s">
        <v>567</v>
      </c>
      <c r="J61" s="20" t="s">
        <v>567</v>
      </c>
      <c r="K61" s="18" t="n">
        <v>0</v>
      </c>
      <c r="L61" s="20" t="n">
        <v>0</v>
      </c>
      <c r="M61" s="18" t="n">
        <v>0</v>
      </c>
      <c r="N61" s="20" t="n">
        <v>0</v>
      </c>
      <c r="O61" s="18" t="n">
        <v>0</v>
      </c>
      <c r="P61" s="20" t="n">
        <v>0</v>
      </c>
      <c r="Q61" s="18" t="n">
        <v>2.58522987</v>
      </c>
      <c r="R61" s="20" t="n">
        <v>0.62916531</v>
      </c>
    </row>
    <row r="62" spans="1:18">
      <c r="A62" s="15" t="s">
        <v>622</v>
      </c>
      <c r="B62" s="17" t="n">
        <v>2246</v>
      </c>
      <c r="C62" s="18">
        <f>(1724.0/B62*100)</f>
        <v/>
      </c>
      <c r="D62" s="19" t="n">
        <v>522</v>
      </c>
      <c r="E62" s="18" t="n">
        <v>36.44580905</v>
      </c>
      <c r="F62" s="20" t="n">
        <v>2.04241384</v>
      </c>
      <c r="G62" s="18" t="n">
        <v>61.62602026</v>
      </c>
      <c r="H62" s="20" t="n">
        <v>2.05639578</v>
      </c>
      <c r="I62" s="18" t="s">
        <v>567</v>
      </c>
      <c r="J62" s="20" t="s">
        <v>567</v>
      </c>
      <c r="K62" s="18" t="n">
        <v>0.19676073</v>
      </c>
      <c r="L62" s="20" t="n">
        <v>0.19617101</v>
      </c>
      <c r="M62" s="18" t="n">
        <v>0</v>
      </c>
      <c r="N62" s="20" t="n">
        <v>0</v>
      </c>
      <c r="O62" s="18" t="n">
        <v>0</v>
      </c>
      <c r="P62" s="20" t="n">
        <v>0</v>
      </c>
      <c r="Q62" s="18" t="n">
        <v>1.73140996</v>
      </c>
      <c r="R62" s="20" t="n">
        <v>0.55926995</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(2253.0/B66*100)</f>
        <v/>
      </c>
      <c r="D66" s="19" t="n">
        <v>641</v>
      </c>
      <c r="E66" s="18" t="n">
        <v>67.49221195</v>
      </c>
      <c r="F66" s="20" t="n">
        <v>1.92078897</v>
      </c>
      <c r="G66" s="18" t="n">
        <v>25.00535156</v>
      </c>
      <c r="H66" s="20" t="n">
        <v>1.76289049</v>
      </c>
      <c r="I66" s="18" t="s">
        <v>567</v>
      </c>
      <c r="J66" s="20" t="s">
        <v>567</v>
      </c>
      <c r="K66" s="18" t="n">
        <v>0.15965097</v>
      </c>
      <c r="L66" s="20" t="n">
        <v>0.15766232</v>
      </c>
      <c r="M66" s="18" t="n">
        <v>0</v>
      </c>
      <c r="N66" s="20" t="n">
        <v>0</v>
      </c>
      <c r="O66" s="18" t="n">
        <v>0</v>
      </c>
      <c r="P66" s="20" t="n">
        <v>0</v>
      </c>
      <c r="Q66" s="18" t="n">
        <v>7.34278552</v>
      </c>
      <c r="R66" s="20" t="n">
        <v>1.02969313</v>
      </c>
    </row>
    <row r="67" spans="1:18">
      <c r="A67" s="15" t="s">
        <v>627</v>
      </c>
      <c r="B67" s="17" t="n">
        <v>3511</v>
      </c>
      <c r="C67" s="18">
        <f>(2757.0/B67*100)</f>
        <v/>
      </c>
      <c r="D67" s="19" t="n">
        <v>754</v>
      </c>
      <c r="E67" s="18" t="n">
        <v>73.84960769</v>
      </c>
      <c r="F67" s="20" t="n">
        <v>1.80038267</v>
      </c>
      <c r="G67" s="18" t="n">
        <v>20.49154983</v>
      </c>
      <c r="H67" s="20" t="n">
        <v>1.69063477</v>
      </c>
      <c r="I67" s="18" t="s">
        <v>567</v>
      </c>
      <c r="J67" s="20" t="s">
        <v>567</v>
      </c>
      <c r="K67" s="18" t="n">
        <v>0</v>
      </c>
      <c r="L67" s="20" t="n">
        <v>0</v>
      </c>
      <c r="M67" s="18" t="n">
        <v>0</v>
      </c>
      <c r="N67" s="20" t="n">
        <v>0</v>
      </c>
      <c r="O67" s="18" t="n">
        <v>0</v>
      </c>
      <c r="P67" s="20" t="n">
        <v>0</v>
      </c>
      <c r="Q67" s="18" t="n">
        <v>5.65884248</v>
      </c>
      <c r="R67" s="20" t="n">
        <v>0.95133799</v>
      </c>
    </row>
    <row r="68" spans="1:18">
      <c r="A68" s="15" t="s">
        <v>628</v>
      </c>
      <c r="B68" s="17" t="n">
        <v>6049</v>
      </c>
      <c r="C68" s="18">
        <f>(4694.0/B68*100)</f>
        <v/>
      </c>
      <c r="D68" s="19" t="n">
        <v>1355</v>
      </c>
      <c r="E68" s="18" t="n">
        <v>52.7606084</v>
      </c>
      <c r="F68" s="20" t="n">
        <v>1.35711809</v>
      </c>
      <c r="G68" s="18" t="n">
        <v>34.51227453</v>
      </c>
      <c r="H68" s="20" t="n">
        <v>1.26310276</v>
      </c>
      <c r="I68" s="18" t="s">
        <v>567</v>
      </c>
      <c r="J68" s="20" t="s">
        <v>567</v>
      </c>
      <c r="K68" s="18" t="n">
        <v>0.76905862</v>
      </c>
      <c r="L68" s="20" t="n">
        <v>0.2453336</v>
      </c>
      <c r="M68" s="18" t="n">
        <v>0</v>
      </c>
      <c r="N68" s="20" t="n">
        <v>0</v>
      </c>
      <c r="O68" s="18" t="n">
        <v>0</v>
      </c>
      <c r="P68" s="20" t="n">
        <v>0</v>
      </c>
      <c r="Q68" s="18" t="n">
        <v>11.95805845</v>
      </c>
      <c r="R68" s="20" t="n">
        <v>0.99746273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(2274.0/B70*100)</f>
        <v/>
      </c>
      <c r="D70" s="19" t="n">
        <v>655</v>
      </c>
      <c r="E70" s="18" t="n">
        <v>58.58386555</v>
      </c>
      <c r="F70" s="20" t="n">
        <v>2.63589468</v>
      </c>
      <c r="G70" s="18" t="n">
        <v>38.86697571</v>
      </c>
      <c r="H70" s="20" t="n">
        <v>2.69497581</v>
      </c>
      <c r="I70" s="18" t="s">
        <v>567</v>
      </c>
      <c r="J70" s="20" t="s">
        <v>567</v>
      </c>
      <c r="K70" s="18" t="n">
        <v>0</v>
      </c>
      <c r="L70" s="20" t="n">
        <v>0</v>
      </c>
      <c r="M70" s="18" t="n">
        <v>0</v>
      </c>
      <c r="N70" s="20" t="n">
        <v>0</v>
      </c>
      <c r="O70" s="18" t="n">
        <v>0</v>
      </c>
      <c r="P70" s="20" t="n">
        <v>0</v>
      </c>
      <c r="Q70" s="18" t="n">
        <v>2.54915874</v>
      </c>
      <c r="R70" s="20" t="n">
        <v>0.69533694</v>
      </c>
    </row>
    <row r="71" spans="1:18">
      <c r="A71" s="15" t="s">
        <v>631</v>
      </c>
      <c r="B71" s="17" t="n">
        <v>3142</v>
      </c>
      <c r="C71" s="18">
        <f>(2441.0/B71*100)</f>
        <v/>
      </c>
      <c r="D71" s="19" t="n">
        <v>701</v>
      </c>
      <c r="E71" s="18" t="n">
        <v>18.88302226</v>
      </c>
      <c r="F71" s="20" t="n">
        <v>1.65041912</v>
      </c>
      <c r="G71" s="18" t="n">
        <v>78.93648553</v>
      </c>
      <c r="H71" s="20" t="n">
        <v>1.68074842</v>
      </c>
      <c r="I71" s="18" t="s">
        <v>567</v>
      </c>
      <c r="J71" s="20" t="s">
        <v>567</v>
      </c>
      <c r="K71" s="18" t="n">
        <v>0</v>
      </c>
      <c r="L71" s="20" t="n">
        <v>0</v>
      </c>
      <c r="M71" s="18" t="n">
        <v>0</v>
      </c>
      <c r="N71" s="20" t="n">
        <v>0</v>
      </c>
      <c r="O71" s="18" t="n">
        <v>0</v>
      </c>
      <c r="P71" s="20" t="n">
        <v>0</v>
      </c>
      <c r="Q71" s="18" t="n">
        <v>2.18049221</v>
      </c>
      <c r="R71" s="20" t="n">
        <v>0.5144810399999999</v>
      </c>
    </row>
    <row r="72" spans="1:18">
      <c r="A72" s="15" t="s">
        <v>632</v>
      </c>
      <c r="B72" s="17" t="n">
        <v>3889</v>
      </c>
      <c r="C72" s="18">
        <f>(3053.0/B72*100)</f>
        <v/>
      </c>
      <c r="D72" s="19" t="n">
        <v>836</v>
      </c>
      <c r="E72" s="18" t="n">
        <v>22.87068313</v>
      </c>
      <c r="F72" s="20" t="n">
        <v>1.57536664</v>
      </c>
      <c r="G72" s="18" t="n">
        <v>73.1967439</v>
      </c>
      <c r="H72" s="20" t="n">
        <v>1.65983059</v>
      </c>
      <c r="I72" s="18" t="s">
        <v>567</v>
      </c>
      <c r="J72" s="20" t="s">
        <v>567</v>
      </c>
      <c r="K72" s="18" t="n">
        <v>0</v>
      </c>
      <c r="L72" s="20" t="n">
        <v>0</v>
      </c>
      <c r="M72" s="18" t="n">
        <v>0</v>
      </c>
      <c r="N72" s="20" t="n">
        <v>0</v>
      </c>
      <c r="O72" s="18" t="n">
        <v>0</v>
      </c>
      <c r="P72" s="20" t="n">
        <v>0</v>
      </c>
      <c r="Q72" s="18" t="n">
        <v>3.93257297</v>
      </c>
      <c r="R72" s="20" t="n">
        <v>0.58519239</v>
      </c>
    </row>
    <row r="73" spans="1:18">
      <c r="A73" s="15" t="s">
        <v>633</v>
      </c>
      <c r="B73" s="17" t="n">
        <v>3597</v>
      </c>
      <c r="C73" s="18">
        <f>(2821.0/B73*100)</f>
        <v/>
      </c>
      <c r="D73" s="19" t="n">
        <v>776</v>
      </c>
      <c r="E73" s="18" t="n">
        <v>54.850808</v>
      </c>
      <c r="F73" s="20" t="n">
        <v>2.05070818</v>
      </c>
      <c r="G73" s="18" t="n">
        <v>35.01678625</v>
      </c>
      <c r="H73" s="20" t="n">
        <v>2.35888632</v>
      </c>
      <c r="I73" s="18" t="s">
        <v>567</v>
      </c>
      <c r="J73" s="20" t="s">
        <v>567</v>
      </c>
      <c r="K73" s="18" t="n">
        <v>0</v>
      </c>
      <c r="L73" s="20" t="n">
        <v>0</v>
      </c>
      <c r="M73" s="18" t="n">
        <v>0</v>
      </c>
      <c r="N73" s="20" t="n">
        <v>0</v>
      </c>
      <c r="O73" s="18" t="n">
        <v>0</v>
      </c>
      <c r="P73" s="20" t="n">
        <v>0</v>
      </c>
      <c r="Q73" s="18" t="n">
        <v>10.13240575</v>
      </c>
      <c r="R73" s="20" t="n">
        <v>1.5738618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(1914.0/B75*100)</f>
        <v/>
      </c>
      <c r="D75" s="19" t="n">
        <v>492</v>
      </c>
      <c r="E75" s="18" t="n">
        <v>75.91175964</v>
      </c>
      <c r="F75" s="20" t="n">
        <v>1.948277</v>
      </c>
      <c r="G75" s="18" t="n">
        <v>15.763874</v>
      </c>
      <c r="H75" s="20" t="n">
        <v>1.57627202</v>
      </c>
      <c r="I75" s="18" t="s">
        <v>567</v>
      </c>
      <c r="J75" s="20" t="s">
        <v>567</v>
      </c>
      <c r="K75" s="18" t="n">
        <v>1.45246187</v>
      </c>
      <c r="L75" s="20" t="n">
        <v>0.508463</v>
      </c>
      <c r="M75" s="18" t="n">
        <v>0</v>
      </c>
      <c r="N75" s="20" t="n">
        <v>0</v>
      </c>
      <c r="O75" s="18" t="n">
        <v>0</v>
      </c>
      <c r="P75" s="20" t="n">
        <v>0</v>
      </c>
      <c r="Q75" s="18" t="n">
        <v>6.87190449</v>
      </c>
      <c r="R75" s="20" t="n">
        <v>1.19700452</v>
      </c>
    </row>
    <row r="76" spans="1:18">
      <c r="A76" s="15" t="s">
        <v>636</v>
      </c>
      <c r="B76" s="17" t="n">
        <v>7052</v>
      </c>
      <c r="C76" s="18">
        <f>(5551.0/B76*100)</f>
        <v/>
      </c>
      <c r="D76" s="19" t="n">
        <v>1501</v>
      </c>
      <c r="E76" s="18" t="n">
        <v>54.70774517</v>
      </c>
      <c r="F76" s="20" t="n">
        <v>1.66078318</v>
      </c>
      <c r="G76" s="18" t="n">
        <v>36.61235945</v>
      </c>
      <c r="H76" s="20" t="n">
        <v>1.68358178</v>
      </c>
      <c r="I76" s="18" t="s">
        <v>567</v>
      </c>
      <c r="J76" s="20" t="s">
        <v>567</v>
      </c>
      <c r="K76" s="18" t="n">
        <v>0.68077708</v>
      </c>
      <c r="L76" s="20" t="n">
        <v>0.2392223</v>
      </c>
      <c r="M76" s="18" t="n">
        <v>0</v>
      </c>
      <c r="N76" s="20" t="n">
        <v>0</v>
      </c>
      <c r="O76" s="18" t="n">
        <v>0</v>
      </c>
      <c r="P76" s="20" t="n">
        <v>0</v>
      </c>
      <c r="Q76" s="18" t="n">
        <v>7.99911829</v>
      </c>
      <c r="R76" s="20" t="n">
        <v>0.7455948</v>
      </c>
    </row>
    <row r="77" spans="1:18">
      <c r="A77" s="15" t="s">
        <v>637</v>
      </c>
      <c r="B77" s="17" t="n">
        <v>2908</v>
      </c>
      <c r="C77" s="18">
        <f>(2248.0/B77*100)</f>
        <v/>
      </c>
      <c r="D77" s="19" t="n">
        <v>660</v>
      </c>
      <c r="E77" s="18" t="n">
        <v>62.76627309</v>
      </c>
      <c r="F77" s="20" t="n">
        <v>2.02338885</v>
      </c>
      <c r="G77" s="18" t="n">
        <v>33.25464493</v>
      </c>
      <c r="H77" s="20" t="n">
        <v>1.91390398</v>
      </c>
      <c r="I77" s="18" t="s">
        <v>567</v>
      </c>
      <c r="J77" s="20" t="s">
        <v>567</v>
      </c>
      <c r="K77" s="18" t="n">
        <v>0.34762365</v>
      </c>
      <c r="L77" s="20" t="n">
        <v>0.26755061</v>
      </c>
      <c r="M77" s="18" t="n">
        <v>0</v>
      </c>
      <c r="N77" s="20" t="n">
        <v>0</v>
      </c>
      <c r="O77" s="18" t="n">
        <v>0</v>
      </c>
      <c r="P77" s="20" t="n">
        <v>0</v>
      </c>
      <c r="Q77" s="18" t="n">
        <v>3.63145833</v>
      </c>
      <c r="R77" s="20" t="n">
        <v>0.75181461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(3234.0/B81*100)</f>
        <v/>
      </c>
      <c r="D81" s="19" t="n">
        <v>929</v>
      </c>
      <c r="E81" s="18" t="n">
        <v>43.86391219</v>
      </c>
      <c r="F81" s="20" t="n">
        <v>2.04179341</v>
      </c>
      <c r="G81" s="18" t="n">
        <v>53.47514182</v>
      </c>
      <c r="H81" s="20" t="n">
        <v>2.02891037</v>
      </c>
      <c r="I81" s="18" t="s">
        <v>567</v>
      </c>
      <c r="J81" s="20" t="s">
        <v>567</v>
      </c>
      <c r="K81" s="18" t="n">
        <v>0.19783557</v>
      </c>
      <c r="L81" s="20" t="n">
        <v>0.23540642</v>
      </c>
      <c r="M81" s="18" t="n">
        <v>0</v>
      </c>
      <c r="N81" s="20" t="n">
        <v>0</v>
      </c>
      <c r="O81" s="18" t="n">
        <v>0</v>
      </c>
      <c r="P81" s="20" t="n">
        <v>0</v>
      </c>
      <c r="Q81" s="18" t="n">
        <v>2.46311041</v>
      </c>
      <c r="R81" s="20" t="n">
        <v>0.60932779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770</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7367</v>
      </c>
      <c r="C7" s="18">
        <f>(5795.0/B7*100)</f>
        <v/>
      </c>
      <c r="D7" s="19" t="n">
        <v>1572</v>
      </c>
      <c r="E7" s="18" t="n">
        <v>45.30261296</v>
      </c>
      <c r="F7" s="20" t="n">
        <v>1.83537178</v>
      </c>
      <c r="G7" s="18" t="n">
        <v>14.47197528</v>
      </c>
      <c r="H7" s="20" t="n">
        <v>1.06476403</v>
      </c>
      <c r="I7" s="18" t="n">
        <v>37.2292618</v>
      </c>
      <c r="J7" s="20" t="n">
        <v>1.84128452</v>
      </c>
      <c r="K7" s="18" t="s">
        <v>567</v>
      </c>
      <c r="L7" s="20" t="s">
        <v>567</v>
      </c>
      <c r="M7" s="18" t="n">
        <v>0.03198149</v>
      </c>
      <c r="N7" s="20" t="n">
        <v>0.03230175</v>
      </c>
      <c r="O7" s="18" t="n">
        <v>0.01700977</v>
      </c>
      <c r="P7" s="20" t="n">
        <v>0.01157114</v>
      </c>
      <c r="Q7" s="18" t="n">
        <v>0</v>
      </c>
      <c r="R7" s="20" t="n">
        <v>0</v>
      </c>
      <c r="S7" s="18" t="n">
        <v>2.94715871</v>
      </c>
      <c r="T7" s="20" t="n">
        <v>0.50955799</v>
      </c>
    </row>
    <row r="8" spans="1:20">
      <c r="A8" s="15" t="s">
        <v>568</v>
      </c>
      <c r="B8" s="17" t="n">
        <v>3564</v>
      </c>
      <c r="C8" s="18">
        <f>(2763.0/B8*100)</f>
        <v/>
      </c>
      <c r="D8" s="19" t="n">
        <v>801</v>
      </c>
      <c r="E8" s="18" t="n">
        <v>43.90774571</v>
      </c>
      <c r="F8" s="20" t="n">
        <v>1.76814281</v>
      </c>
      <c r="G8" s="18" t="n">
        <v>18.94986875</v>
      </c>
      <c r="H8" s="20" t="n">
        <v>1.59298805</v>
      </c>
      <c r="I8" s="18" t="n">
        <v>33.41273765</v>
      </c>
      <c r="J8" s="20" t="n">
        <v>2.22007597</v>
      </c>
      <c r="K8" s="18" t="s">
        <v>567</v>
      </c>
      <c r="L8" s="20" t="s">
        <v>567</v>
      </c>
      <c r="M8" s="18" t="n">
        <v>0.06317774</v>
      </c>
      <c r="N8" s="20" t="n">
        <v>0.06188693</v>
      </c>
      <c r="O8" s="18" t="n">
        <v>0</v>
      </c>
      <c r="P8" s="20" t="n">
        <v>0</v>
      </c>
      <c r="Q8" s="18" t="n">
        <v>0</v>
      </c>
      <c r="R8" s="20" t="n">
        <v>0</v>
      </c>
      <c r="S8" s="18" t="n">
        <v>3.66647014</v>
      </c>
      <c r="T8" s="20" t="n">
        <v>0.76644453</v>
      </c>
    </row>
    <row r="9" spans="1:20">
      <c r="A9" s="15" t="s">
        <v>569</v>
      </c>
      <c r="B9" s="17" t="n">
        <v>4899</v>
      </c>
      <c r="C9" s="18">
        <f>(3883.0/B9*100)</f>
        <v/>
      </c>
      <c r="D9" s="19" t="n">
        <v>1016</v>
      </c>
      <c r="E9" s="18" t="n">
        <v>40.79256408</v>
      </c>
      <c r="F9" s="20" t="n">
        <v>1.54862959</v>
      </c>
      <c r="G9" s="18" t="n">
        <v>16.84993519</v>
      </c>
      <c r="H9" s="20" t="n">
        <v>1.13017756</v>
      </c>
      <c r="I9" s="18" t="n">
        <v>40.20442523</v>
      </c>
      <c r="J9" s="20" t="n">
        <v>1.74077735</v>
      </c>
      <c r="K9" s="18" t="s">
        <v>567</v>
      </c>
      <c r="L9" s="20" t="s">
        <v>567</v>
      </c>
      <c r="M9" s="18" t="n">
        <v>0.14400286</v>
      </c>
      <c r="N9" s="20" t="n">
        <v>0.15236206</v>
      </c>
      <c r="O9" s="18" t="n">
        <v>0.66728726</v>
      </c>
      <c r="P9" s="20" t="n">
        <v>0.27200495</v>
      </c>
      <c r="Q9" s="18" t="n">
        <v>0</v>
      </c>
      <c r="R9" s="20" t="n">
        <v>0</v>
      </c>
      <c r="S9" s="18" t="n">
        <v>1.34178539</v>
      </c>
      <c r="T9" s="20" t="n">
        <v>0.38935299</v>
      </c>
    </row>
    <row r="10" spans="1:20">
      <c r="A10" s="15" t="s">
        <v>570</v>
      </c>
      <c r="B10" s="17" t="n">
        <v>10036</v>
      </c>
      <c r="C10" s="18">
        <f>(7823.0/B10*100)</f>
        <v/>
      </c>
      <c r="D10" s="19" t="n">
        <v>2213</v>
      </c>
      <c r="E10" s="18" t="n">
        <v>44.67183376</v>
      </c>
      <c r="F10" s="20" t="n">
        <v>1.52879837</v>
      </c>
      <c r="G10" s="18" t="n">
        <v>13.8676667</v>
      </c>
      <c r="H10" s="20" t="n">
        <v>1.07428388</v>
      </c>
      <c r="I10" s="18" t="n">
        <v>39.33459566</v>
      </c>
      <c r="J10" s="20" t="n">
        <v>1.59926724</v>
      </c>
      <c r="K10" s="18" t="s">
        <v>567</v>
      </c>
      <c r="L10" s="20" t="s">
        <v>567</v>
      </c>
      <c r="M10" s="18" t="n">
        <v>0.12801972</v>
      </c>
      <c r="N10" s="20" t="n">
        <v>0.08580891</v>
      </c>
      <c r="O10" s="18" t="n">
        <v>0.09344466999999999</v>
      </c>
      <c r="P10" s="20" t="n">
        <v>0.0980343</v>
      </c>
      <c r="Q10" s="18" t="n">
        <v>0</v>
      </c>
      <c r="R10" s="20" t="n">
        <v>0</v>
      </c>
      <c r="S10" s="18" t="n">
        <v>1.90443949</v>
      </c>
      <c r="T10" s="20" t="n">
        <v>0.36393202</v>
      </c>
    </row>
    <row r="11" spans="1:20">
      <c r="A11" s="15" t="s">
        <v>571</v>
      </c>
      <c r="B11" s="17" t="n">
        <v>3553</v>
      </c>
      <c r="C11" s="18">
        <f>(2763.0/B11*100)</f>
        <v/>
      </c>
      <c r="D11" s="19" t="n">
        <v>790</v>
      </c>
      <c r="E11" s="18" t="n">
        <v>48.56701075</v>
      </c>
      <c r="F11" s="20" t="n">
        <v>2.05358642</v>
      </c>
      <c r="G11" s="18" t="n">
        <v>21.21549591</v>
      </c>
      <c r="H11" s="20" t="n">
        <v>1.38422962</v>
      </c>
      <c r="I11" s="18" t="n">
        <v>26.95488919</v>
      </c>
      <c r="J11" s="20" t="n">
        <v>1.94718773</v>
      </c>
      <c r="K11" s="18" t="s">
        <v>567</v>
      </c>
      <c r="L11" s="20" t="s">
        <v>567</v>
      </c>
      <c r="M11" s="18" t="n">
        <v>0</v>
      </c>
      <c r="N11" s="20" t="n">
        <v>0</v>
      </c>
      <c r="O11" s="18" t="n">
        <v>0</v>
      </c>
      <c r="P11" s="20" t="n">
        <v>0</v>
      </c>
      <c r="Q11" s="18" t="n">
        <v>0</v>
      </c>
      <c r="R11" s="20" t="n">
        <v>0</v>
      </c>
      <c r="S11" s="18" t="n">
        <v>3.26260415</v>
      </c>
      <c r="T11" s="20" t="n">
        <v>0.73800586</v>
      </c>
    </row>
    <row r="12" spans="1:20">
      <c r="A12" s="15" t="s">
        <v>572</v>
      </c>
      <c r="B12" s="17" t="n">
        <v>3472</v>
      </c>
      <c r="C12" s="18">
        <f>(2716.0/B12*100)</f>
        <v/>
      </c>
      <c r="D12" s="19" t="n">
        <v>756</v>
      </c>
      <c r="E12" s="18" t="n">
        <v>40.08641934</v>
      </c>
      <c r="F12" s="20" t="n">
        <v>2.31054371</v>
      </c>
      <c r="G12" s="18" t="n">
        <v>25.48971071</v>
      </c>
      <c r="H12" s="20" t="n">
        <v>1.9425961</v>
      </c>
      <c r="I12" s="18" t="n">
        <v>32.58302038</v>
      </c>
      <c r="J12" s="20" t="n">
        <v>1.95067995</v>
      </c>
      <c r="K12" s="18" t="s">
        <v>567</v>
      </c>
      <c r="L12" s="20" t="s">
        <v>567</v>
      </c>
      <c r="M12" s="18" t="n">
        <v>0</v>
      </c>
      <c r="N12" s="20" t="n">
        <v>0</v>
      </c>
      <c r="O12" s="18" t="n">
        <v>0.15763375</v>
      </c>
      <c r="P12" s="20" t="n">
        <v>0.23653341</v>
      </c>
      <c r="Q12" s="18" t="n">
        <v>0</v>
      </c>
      <c r="R12" s="20" t="n">
        <v>0</v>
      </c>
      <c r="S12" s="18" t="n">
        <v>1.68321582</v>
      </c>
      <c r="T12" s="20" t="n">
        <v>0.7012164400000001</v>
      </c>
    </row>
    <row r="13" spans="1:20">
      <c r="A13" s="15" t="s">
        <v>573</v>
      </c>
      <c r="B13" s="17" t="n">
        <v>3559</v>
      </c>
      <c r="C13" s="18">
        <f>(2840.0/B13*100)</f>
        <v/>
      </c>
      <c r="D13" s="19" t="n">
        <v>719</v>
      </c>
      <c r="E13" s="18" t="n">
        <v>40.17888649</v>
      </c>
      <c r="F13" s="20" t="n">
        <v>2.32933737</v>
      </c>
      <c r="G13" s="18" t="n">
        <v>21.89951277</v>
      </c>
      <c r="H13" s="20" t="n">
        <v>1.96993363</v>
      </c>
      <c r="I13" s="18" t="n">
        <v>35.87151462</v>
      </c>
      <c r="J13" s="20" t="n">
        <v>2.13096832</v>
      </c>
      <c r="K13" s="18" t="s">
        <v>567</v>
      </c>
      <c r="L13" s="20" t="s">
        <v>567</v>
      </c>
      <c r="M13" s="18" t="n">
        <v>0.30281921</v>
      </c>
      <c r="N13" s="20" t="n">
        <v>0.32324345</v>
      </c>
      <c r="O13" s="18" t="n">
        <v>0.62708102</v>
      </c>
      <c r="P13" s="20" t="n">
        <v>0.5157271</v>
      </c>
      <c r="Q13" s="18" t="n">
        <v>0</v>
      </c>
      <c r="R13" s="20" t="n">
        <v>0</v>
      </c>
      <c r="S13" s="18" t="n">
        <v>1.12018589</v>
      </c>
      <c r="T13" s="20" t="n">
        <v>0.45747339</v>
      </c>
    </row>
    <row r="14" spans="1:20">
      <c r="A14" s="15" t="s">
        <v>574</v>
      </c>
      <c r="B14" s="17" t="n">
        <v>2799</v>
      </c>
      <c r="C14" s="18">
        <f>(2150.0/B14*100)</f>
        <v/>
      </c>
      <c r="D14" s="19" t="n">
        <v>649</v>
      </c>
      <c r="E14" s="18" t="n">
        <v>38.9289796</v>
      </c>
      <c r="F14" s="20" t="n">
        <v>1.98858383</v>
      </c>
      <c r="G14" s="18" t="n">
        <v>21.06501802</v>
      </c>
      <c r="H14" s="20" t="n">
        <v>1.85200603</v>
      </c>
      <c r="I14" s="18" t="n">
        <v>39.0444983</v>
      </c>
      <c r="J14" s="20" t="n">
        <v>1.82263074</v>
      </c>
      <c r="K14" s="18" t="s">
        <v>567</v>
      </c>
      <c r="L14" s="20" t="s">
        <v>567</v>
      </c>
      <c r="M14" s="18" t="n">
        <v>0</v>
      </c>
      <c r="N14" s="20" t="n">
        <v>0</v>
      </c>
      <c r="O14" s="18" t="n">
        <v>0</v>
      </c>
      <c r="P14" s="20" t="n">
        <v>0</v>
      </c>
      <c r="Q14" s="18" t="n">
        <v>0</v>
      </c>
      <c r="R14" s="20" t="n">
        <v>0</v>
      </c>
      <c r="S14" s="18" t="n">
        <v>0.96150409</v>
      </c>
      <c r="T14" s="20" t="n">
        <v>0.44509209</v>
      </c>
    </row>
    <row r="15" spans="1:20">
      <c r="A15" s="15" t="s">
        <v>575</v>
      </c>
      <c r="B15" s="17" t="n">
        <v>3019</v>
      </c>
      <c r="C15" s="18">
        <f>(2322.0/B15*100)</f>
        <v/>
      </c>
      <c r="D15" s="19" t="n">
        <v>697</v>
      </c>
      <c r="E15" s="18" t="n">
        <v>45.01614683</v>
      </c>
      <c r="F15" s="20" t="n">
        <v>1.71500767</v>
      </c>
      <c r="G15" s="18" t="n">
        <v>16.64568445</v>
      </c>
      <c r="H15" s="20" t="n">
        <v>1.27118751</v>
      </c>
      <c r="I15" s="18" t="n">
        <v>36.48754626</v>
      </c>
      <c r="J15" s="20" t="n">
        <v>1.55219027</v>
      </c>
      <c r="K15" s="18" t="s">
        <v>567</v>
      </c>
      <c r="L15" s="20" t="s">
        <v>567</v>
      </c>
      <c r="M15" s="18" t="n">
        <v>0</v>
      </c>
      <c r="N15" s="20" t="n">
        <v>0</v>
      </c>
      <c r="O15" s="18" t="n">
        <v>0</v>
      </c>
      <c r="P15" s="20" t="n">
        <v>0</v>
      </c>
      <c r="Q15" s="18" t="n">
        <v>0</v>
      </c>
      <c r="R15" s="20" t="n">
        <v>0</v>
      </c>
      <c r="S15" s="18" t="n">
        <v>1.85062246</v>
      </c>
      <c r="T15" s="20" t="n">
        <v>0.47980221</v>
      </c>
    </row>
    <row r="16" spans="1:20">
      <c r="A16" s="15" t="s">
        <v>576</v>
      </c>
      <c r="B16" s="17" t="n">
        <v>2997</v>
      </c>
      <c r="C16" s="18">
        <f>(2364.0/B16*100)</f>
        <v/>
      </c>
      <c r="D16" s="19" t="n">
        <v>633</v>
      </c>
      <c r="E16" s="18" t="n">
        <v>41.69543522</v>
      </c>
      <c r="F16" s="20" t="n">
        <v>1.86290258</v>
      </c>
      <c r="G16" s="18" t="n">
        <v>16.79756751</v>
      </c>
      <c r="H16" s="20" t="n">
        <v>1.38936258</v>
      </c>
      <c r="I16" s="18" t="n">
        <v>35.56752389</v>
      </c>
      <c r="J16" s="20" t="n">
        <v>1.92890873</v>
      </c>
      <c r="K16" s="18" t="s">
        <v>567</v>
      </c>
      <c r="L16" s="20" t="s">
        <v>567</v>
      </c>
      <c r="M16" s="18" t="n">
        <v>0.82481667</v>
      </c>
      <c r="N16" s="20" t="n">
        <v>0.3890832</v>
      </c>
      <c r="O16" s="18" t="n">
        <v>0</v>
      </c>
      <c r="P16" s="20" t="n">
        <v>0</v>
      </c>
      <c r="Q16" s="18" t="n">
        <v>0</v>
      </c>
      <c r="R16" s="20" t="n">
        <v>0</v>
      </c>
      <c r="S16" s="18" t="n">
        <v>5.1146567</v>
      </c>
      <c r="T16" s="20" t="n">
        <v>1.01883418</v>
      </c>
    </row>
    <row r="17" spans="1:20">
      <c r="A17" s="15" t="s">
        <v>577</v>
      </c>
      <c r="B17" s="17" t="n">
        <v>3307</v>
      </c>
      <c r="C17" s="18">
        <f>(2595.0/B17*100)</f>
        <v/>
      </c>
      <c r="D17" s="19" t="n">
        <v>712</v>
      </c>
      <c r="E17" s="18" t="n">
        <v>40.30119942</v>
      </c>
      <c r="F17" s="20" t="n">
        <v>1.71384596</v>
      </c>
      <c r="G17" s="18" t="n">
        <v>18.06516121</v>
      </c>
      <c r="H17" s="20" t="n">
        <v>1.81966562</v>
      </c>
      <c r="I17" s="18" t="n">
        <v>39.81512595</v>
      </c>
      <c r="J17" s="20" t="n">
        <v>2.00335894</v>
      </c>
      <c r="K17" s="18" t="s">
        <v>567</v>
      </c>
      <c r="L17" s="20" t="s">
        <v>567</v>
      </c>
      <c r="M17" s="18" t="n">
        <v>0</v>
      </c>
      <c r="N17" s="20" t="n">
        <v>0</v>
      </c>
      <c r="O17" s="18" t="n">
        <v>0</v>
      </c>
      <c r="P17" s="20" t="n">
        <v>0</v>
      </c>
      <c r="Q17" s="18" t="n">
        <v>0</v>
      </c>
      <c r="R17" s="20" t="n">
        <v>0</v>
      </c>
      <c r="S17" s="18" t="n">
        <v>1.81851342</v>
      </c>
      <c r="T17" s="20" t="n">
        <v>0.49916842</v>
      </c>
    </row>
    <row r="18" spans="1:20">
      <c r="A18" s="15" t="s">
        <v>578</v>
      </c>
      <c r="B18" s="17" t="n">
        <v>2826</v>
      </c>
      <c r="C18" s="18">
        <f>(2212.0/B18*100)</f>
        <v/>
      </c>
      <c r="D18" s="19" t="n">
        <v>614</v>
      </c>
      <c r="E18" s="18" t="n">
        <v>49.70357778</v>
      </c>
      <c r="F18" s="20" t="n">
        <v>2.18958409</v>
      </c>
      <c r="G18" s="18" t="n">
        <v>24.75650502</v>
      </c>
      <c r="H18" s="20" t="n">
        <v>1.89777112</v>
      </c>
      <c r="I18" s="18" t="n">
        <v>22.45526513</v>
      </c>
      <c r="J18" s="20" t="n">
        <v>2.12811406</v>
      </c>
      <c r="K18" s="18" t="s">
        <v>567</v>
      </c>
      <c r="L18" s="20" t="s">
        <v>567</v>
      </c>
      <c r="M18" s="18" t="n">
        <v>0</v>
      </c>
      <c r="N18" s="20" t="n">
        <v>0</v>
      </c>
      <c r="O18" s="18" t="n">
        <v>0</v>
      </c>
      <c r="P18" s="20" t="n">
        <v>0</v>
      </c>
      <c r="Q18" s="18" t="n">
        <v>0</v>
      </c>
      <c r="R18" s="20" t="n">
        <v>0</v>
      </c>
      <c r="S18" s="18" t="n">
        <v>3.08465207</v>
      </c>
      <c r="T18" s="20" t="n">
        <v>0.81163889</v>
      </c>
    </row>
    <row r="19" spans="1:20">
      <c r="A19" s="15" t="s">
        <v>579</v>
      </c>
      <c r="B19" s="17" t="n">
        <v>2808</v>
      </c>
      <c r="C19" s="18">
        <f>(2182.0/B19*100)</f>
        <v/>
      </c>
      <c r="D19" s="19" t="n">
        <v>626</v>
      </c>
      <c r="E19" s="18" t="n">
        <v>50.89691459</v>
      </c>
      <c r="F19" s="20" t="n">
        <v>2.32898226</v>
      </c>
      <c r="G19" s="18" t="n">
        <v>21.02270701</v>
      </c>
      <c r="H19" s="20" t="n">
        <v>1.83269317</v>
      </c>
      <c r="I19" s="18" t="n">
        <v>25.82334381</v>
      </c>
      <c r="J19" s="20" t="n">
        <v>2.13960146</v>
      </c>
      <c r="K19" s="18" t="s">
        <v>567</v>
      </c>
      <c r="L19" s="20" t="s">
        <v>567</v>
      </c>
      <c r="M19" s="18" t="n">
        <v>0</v>
      </c>
      <c r="N19" s="20" t="n">
        <v>0</v>
      </c>
      <c r="O19" s="18" t="n">
        <v>0.12834903</v>
      </c>
      <c r="P19" s="20" t="n">
        <v>0.12764462</v>
      </c>
      <c r="Q19" s="18" t="n">
        <v>0</v>
      </c>
      <c r="R19" s="20" t="n">
        <v>0</v>
      </c>
      <c r="S19" s="18" t="n">
        <v>2.12868556</v>
      </c>
      <c r="T19" s="20" t="n">
        <v>0.65761459</v>
      </c>
    </row>
    <row r="20" spans="1:20">
      <c r="A20" s="15" t="s">
        <v>580</v>
      </c>
      <c r="B20" s="17" t="n">
        <v>1630</v>
      </c>
      <c r="C20" s="18">
        <f>(1285.0/B20*100)</f>
        <v/>
      </c>
      <c r="D20" s="19" t="n">
        <v>345</v>
      </c>
      <c r="E20" s="18" t="n">
        <v>53.63052053</v>
      </c>
      <c r="F20" s="20" t="n">
        <v>2.95562735</v>
      </c>
      <c r="G20" s="18" t="n">
        <v>21.40697096</v>
      </c>
      <c r="H20" s="20" t="n">
        <v>2.16133488</v>
      </c>
      <c r="I20" s="18" t="n">
        <v>21.45830282</v>
      </c>
      <c r="J20" s="20" t="n">
        <v>2.12895998</v>
      </c>
      <c r="K20" s="18" t="s">
        <v>567</v>
      </c>
      <c r="L20" s="20" t="s">
        <v>567</v>
      </c>
      <c r="M20" s="18" t="n">
        <v>0.56754863</v>
      </c>
      <c r="N20" s="20" t="n">
        <v>0.40339978</v>
      </c>
      <c r="O20" s="18" t="n">
        <v>0</v>
      </c>
      <c r="P20" s="20" t="n">
        <v>0</v>
      </c>
      <c r="Q20" s="18" t="n">
        <v>0</v>
      </c>
      <c r="R20" s="20" t="n">
        <v>0</v>
      </c>
      <c r="S20" s="18" t="n">
        <v>2.93665707</v>
      </c>
      <c r="T20" s="20" t="n">
        <v>0.92499233</v>
      </c>
    </row>
    <row r="21" spans="1:20">
      <c r="A21" s="15" t="s">
        <v>581</v>
      </c>
      <c r="B21" s="17" t="n">
        <v>2908</v>
      </c>
      <c r="C21" s="18">
        <f>(2244.0/B21*100)</f>
        <v/>
      </c>
      <c r="D21" s="19" t="n">
        <v>664</v>
      </c>
      <c r="E21" s="18" t="n">
        <v>51.67876774</v>
      </c>
      <c r="F21" s="20" t="n">
        <v>2.18876681</v>
      </c>
      <c r="G21" s="18" t="n">
        <v>13.71509027</v>
      </c>
      <c r="H21" s="20" t="n">
        <v>1.49376864</v>
      </c>
      <c r="I21" s="18" t="n">
        <v>33.2580388</v>
      </c>
      <c r="J21" s="20" t="n">
        <v>1.83357893</v>
      </c>
      <c r="K21" s="18" t="s">
        <v>567</v>
      </c>
      <c r="L21" s="20" t="s">
        <v>567</v>
      </c>
      <c r="M21" s="18" t="n">
        <v>0</v>
      </c>
      <c r="N21" s="20" t="n">
        <v>0</v>
      </c>
      <c r="O21" s="18" t="n">
        <v>0.12642142</v>
      </c>
      <c r="P21" s="20" t="n">
        <v>0.12606155</v>
      </c>
      <c r="Q21" s="18" t="n">
        <v>0</v>
      </c>
      <c r="R21" s="20" t="n">
        <v>0</v>
      </c>
      <c r="S21" s="18" t="n">
        <v>1.22168177</v>
      </c>
      <c r="T21" s="20" t="n">
        <v>0.44954973</v>
      </c>
    </row>
    <row r="22" spans="1:20">
      <c r="A22" s="15" t="s">
        <v>582</v>
      </c>
      <c r="B22" s="17" t="n">
        <v>2931</v>
      </c>
      <c r="C22" s="18">
        <f>(2285.0/B22*100)</f>
        <v/>
      </c>
      <c r="D22" s="19" t="n">
        <v>646</v>
      </c>
      <c r="E22" s="18" t="n">
        <v>52.38723819</v>
      </c>
      <c r="F22" s="20" t="n">
        <v>2.38674699</v>
      </c>
      <c r="G22" s="18" t="n">
        <v>16.77992741</v>
      </c>
      <c r="H22" s="20" t="n">
        <v>1.44538399</v>
      </c>
      <c r="I22" s="18" t="n">
        <v>26.26799545</v>
      </c>
      <c r="J22" s="20" t="n">
        <v>2.90194815</v>
      </c>
      <c r="K22" s="18" t="s">
        <v>567</v>
      </c>
      <c r="L22" s="20" t="s">
        <v>567</v>
      </c>
      <c r="M22" s="18" t="n">
        <v>0</v>
      </c>
      <c r="N22" s="20" t="n">
        <v>0</v>
      </c>
      <c r="O22" s="18" t="n">
        <v>0</v>
      </c>
      <c r="P22" s="20" t="n">
        <v>0</v>
      </c>
      <c r="Q22" s="18" t="n">
        <v>0</v>
      </c>
      <c r="R22" s="20" t="n">
        <v>0</v>
      </c>
      <c r="S22" s="18" t="n">
        <v>4.56483895</v>
      </c>
      <c r="T22" s="20" t="n">
        <v>1.02251712</v>
      </c>
    </row>
    <row r="23" spans="1:20">
      <c r="A23" s="15" t="s">
        <v>583</v>
      </c>
      <c r="B23" s="17" t="n">
        <v>5791</v>
      </c>
      <c r="C23" s="18">
        <f>(4520.0/B23*100)</f>
        <v/>
      </c>
      <c r="D23" s="19" t="n">
        <v>1271</v>
      </c>
      <c r="E23" s="18" t="n">
        <v>45.73629356</v>
      </c>
      <c r="F23" s="20" t="n">
        <v>2.12604931</v>
      </c>
      <c r="G23" s="18" t="n">
        <v>18.41271891</v>
      </c>
      <c r="H23" s="20" t="n">
        <v>1.44652126</v>
      </c>
      <c r="I23" s="18" t="n">
        <v>31.00100209</v>
      </c>
      <c r="J23" s="20" t="n">
        <v>1.82077416</v>
      </c>
      <c r="K23" s="18" t="s">
        <v>567</v>
      </c>
      <c r="L23" s="20" t="s">
        <v>567</v>
      </c>
      <c r="M23" s="18" t="n">
        <v>0.22687962</v>
      </c>
      <c r="N23" s="20" t="n">
        <v>0.16592781</v>
      </c>
      <c r="O23" s="18" t="n">
        <v>0.14674075</v>
      </c>
      <c r="P23" s="20" t="n">
        <v>0.11255683</v>
      </c>
      <c r="Q23" s="18" t="n">
        <v>0</v>
      </c>
      <c r="R23" s="20" t="n">
        <v>0</v>
      </c>
      <c r="S23" s="18" t="n">
        <v>4.47636508</v>
      </c>
      <c r="T23" s="20" t="n">
        <v>0.9135914000000001</v>
      </c>
    </row>
    <row r="24" spans="1:20">
      <c r="A24" s="15" t="s">
        <v>584</v>
      </c>
      <c r="B24" s="17" t="n">
        <v>3338</v>
      </c>
      <c r="C24" s="18">
        <f>(2588.0/B24*100)</f>
        <v/>
      </c>
      <c r="D24" s="19" t="n">
        <v>750</v>
      </c>
      <c r="E24" s="18" t="n">
        <v>33.42765304</v>
      </c>
      <c r="F24" s="20" t="n">
        <v>2.19554663</v>
      </c>
      <c r="G24" s="18" t="n">
        <v>38.61092777</v>
      </c>
      <c r="H24" s="20" t="n">
        <v>1.59745454</v>
      </c>
      <c r="I24" s="18" t="n">
        <v>26.56196697</v>
      </c>
      <c r="J24" s="20" t="n">
        <v>1.82703364</v>
      </c>
      <c r="K24" s="18" t="s">
        <v>567</v>
      </c>
      <c r="L24" s="20" t="s">
        <v>567</v>
      </c>
      <c r="M24" s="18" t="n">
        <v>0.38885838</v>
      </c>
      <c r="N24" s="20" t="n">
        <v>0.22390759</v>
      </c>
      <c r="O24" s="18" t="n">
        <v>0</v>
      </c>
      <c r="P24" s="20" t="n">
        <v>0</v>
      </c>
      <c r="Q24" s="18" t="n">
        <v>0</v>
      </c>
      <c r="R24" s="20" t="n">
        <v>0</v>
      </c>
      <c r="S24" s="18" t="n">
        <v>1.01059384</v>
      </c>
      <c r="T24" s="20" t="n">
        <v>0.39113436</v>
      </c>
    </row>
    <row r="25" spans="1:20">
      <c r="A25" s="15" t="s">
        <v>585</v>
      </c>
      <c r="B25" s="17" t="n">
        <v>2912</v>
      </c>
      <c r="C25" s="18">
        <f>(2269.0/B25*100)</f>
        <v/>
      </c>
      <c r="D25" s="19" t="n">
        <v>643</v>
      </c>
      <c r="E25" s="18" t="n">
        <v>53.0305296</v>
      </c>
      <c r="F25" s="20" t="n">
        <v>2.00397246</v>
      </c>
      <c r="G25" s="18" t="n">
        <v>19.0237948</v>
      </c>
      <c r="H25" s="20" t="n">
        <v>1.52531333</v>
      </c>
      <c r="I25" s="18" t="n">
        <v>26.55313566</v>
      </c>
      <c r="J25" s="20" t="n">
        <v>1.89612933</v>
      </c>
      <c r="K25" s="18" t="s">
        <v>567</v>
      </c>
      <c r="L25" s="20" t="s">
        <v>567</v>
      </c>
      <c r="M25" s="18" t="n">
        <v>0</v>
      </c>
      <c r="N25" s="20" t="n">
        <v>0</v>
      </c>
      <c r="O25" s="18" t="n">
        <v>0</v>
      </c>
      <c r="P25" s="20" t="n">
        <v>0</v>
      </c>
      <c r="Q25" s="18" t="n">
        <v>0</v>
      </c>
      <c r="R25" s="20" t="n">
        <v>0</v>
      </c>
      <c r="S25" s="18" t="n">
        <v>1.39253995</v>
      </c>
      <c r="T25" s="20" t="n">
        <v>0.42640348</v>
      </c>
    </row>
    <row r="26" spans="1:20">
      <c r="A26" s="15" t="s">
        <v>586</v>
      </c>
      <c r="B26" s="17" t="n">
        <v>2450</v>
      </c>
      <c r="C26" s="18">
        <f>(1890.0/B26*100)</f>
        <v/>
      </c>
      <c r="D26" s="19" t="n">
        <v>560</v>
      </c>
      <c r="E26" s="18" t="n">
        <v>43.2134304</v>
      </c>
      <c r="F26" s="20" t="n">
        <v>1.81496304</v>
      </c>
      <c r="G26" s="18" t="n">
        <v>29.02759966</v>
      </c>
      <c r="H26" s="20" t="n">
        <v>1.79287808</v>
      </c>
      <c r="I26" s="18" t="n">
        <v>27.38016946</v>
      </c>
      <c r="J26" s="20" t="n">
        <v>1.91762435</v>
      </c>
      <c r="K26" s="18" t="s">
        <v>567</v>
      </c>
      <c r="L26" s="20" t="s">
        <v>567</v>
      </c>
      <c r="M26" s="18" t="n">
        <v>0</v>
      </c>
      <c r="N26" s="20" t="n">
        <v>0</v>
      </c>
      <c r="O26" s="18" t="n">
        <v>0.19147926</v>
      </c>
      <c r="P26" s="20" t="n">
        <v>0.22261211</v>
      </c>
      <c r="Q26" s="18" t="n">
        <v>0</v>
      </c>
      <c r="R26" s="20" t="n">
        <v>0</v>
      </c>
      <c r="S26" s="18" t="n">
        <v>0.18732122</v>
      </c>
      <c r="T26" s="20" t="n">
        <v>0.19001901</v>
      </c>
    </row>
    <row r="27" spans="1:20">
      <c r="A27" s="15" t="s">
        <v>587</v>
      </c>
      <c r="B27" s="17" t="n">
        <v>2616</v>
      </c>
      <c r="C27" s="18">
        <f>(2057.0/B27*100)</f>
        <v/>
      </c>
      <c r="D27" s="19" t="n">
        <v>559</v>
      </c>
      <c r="E27" s="18" t="n">
        <v>44.76452245</v>
      </c>
      <c r="F27" s="20" t="n">
        <v>2.08591682</v>
      </c>
      <c r="G27" s="18" t="n">
        <v>18.85872625</v>
      </c>
      <c r="H27" s="20" t="n">
        <v>1.75826376</v>
      </c>
      <c r="I27" s="18" t="n">
        <v>33.09249589</v>
      </c>
      <c r="J27" s="20" t="n">
        <v>1.85824484</v>
      </c>
      <c r="K27" s="18" t="s">
        <v>567</v>
      </c>
      <c r="L27" s="20" t="s">
        <v>567</v>
      </c>
      <c r="M27" s="18" t="n">
        <v>0</v>
      </c>
      <c r="N27" s="20" t="n">
        <v>0</v>
      </c>
      <c r="O27" s="18" t="n">
        <v>0</v>
      </c>
      <c r="P27" s="20" t="n">
        <v>0</v>
      </c>
      <c r="Q27" s="18" t="n">
        <v>0</v>
      </c>
      <c r="R27" s="20" t="n">
        <v>0</v>
      </c>
      <c r="S27" s="18" t="n">
        <v>3.28425541</v>
      </c>
      <c r="T27" s="20" t="n">
        <v>0.76305762</v>
      </c>
    </row>
    <row r="28" spans="1:20">
      <c r="A28" s="15" t="s">
        <v>588</v>
      </c>
      <c r="B28" s="17" t="n">
        <v>3765</v>
      </c>
      <c r="C28" s="18">
        <f>(2899.0/B28*100)</f>
        <v/>
      </c>
      <c r="D28" s="19" t="n">
        <v>866</v>
      </c>
      <c r="E28" s="18" t="n">
        <v>58.03983732</v>
      </c>
      <c r="F28" s="20" t="n">
        <v>1.90476513</v>
      </c>
      <c r="G28" s="18" t="n">
        <v>26.09802516</v>
      </c>
      <c r="H28" s="20" t="n">
        <v>1.51398428</v>
      </c>
      <c r="I28" s="18" t="n">
        <v>13.39166864</v>
      </c>
      <c r="J28" s="20" t="n">
        <v>1.33498329</v>
      </c>
      <c r="K28" s="18" t="s">
        <v>567</v>
      </c>
      <c r="L28" s="20" t="s">
        <v>567</v>
      </c>
      <c r="M28" s="18" t="n">
        <v>0</v>
      </c>
      <c r="N28" s="20" t="n">
        <v>0</v>
      </c>
      <c r="O28" s="18" t="n">
        <v>0.3360767</v>
      </c>
      <c r="P28" s="20" t="n">
        <v>0.24992349</v>
      </c>
      <c r="Q28" s="18" t="n">
        <v>0</v>
      </c>
      <c r="R28" s="20" t="n">
        <v>0</v>
      </c>
      <c r="S28" s="18" t="n">
        <v>2.13439218</v>
      </c>
      <c r="T28" s="20" t="n">
        <v>0.66280257</v>
      </c>
    </row>
    <row r="29" spans="1:20">
      <c r="A29" s="15" t="s">
        <v>589</v>
      </c>
      <c r="B29" s="17" t="n">
        <v>2685</v>
      </c>
      <c r="C29" s="18">
        <f>(2100.0/B29*100)</f>
        <v/>
      </c>
      <c r="D29" s="19" t="n">
        <v>585</v>
      </c>
      <c r="E29" s="18" t="n">
        <v>38.88691349</v>
      </c>
      <c r="F29" s="20" t="n">
        <v>2.23398438</v>
      </c>
      <c r="G29" s="18" t="n">
        <v>18.58775627</v>
      </c>
      <c r="H29" s="20" t="n">
        <v>1.78384431</v>
      </c>
      <c r="I29" s="18" t="n">
        <v>40.37796941</v>
      </c>
      <c r="J29" s="20" t="n">
        <v>2.30731063</v>
      </c>
      <c r="K29" s="18" t="s">
        <v>567</v>
      </c>
      <c r="L29" s="20" t="s">
        <v>567</v>
      </c>
      <c r="M29" s="18" t="n">
        <v>0.17633862</v>
      </c>
      <c r="N29" s="20" t="n">
        <v>0.17606746</v>
      </c>
      <c r="O29" s="18" t="n">
        <v>0</v>
      </c>
      <c r="P29" s="20" t="n">
        <v>0</v>
      </c>
      <c r="Q29" s="18" t="n">
        <v>0</v>
      </c>
      <c r="R29" s="20" t="n">
        <v>0</v>
      </c>
      <c r="S29" s="18" t="n">
        <v>1.97102221</v>
      </c>
      <c r="T29" s="20" t="n">
        <v>0.6779032699999999</v>
      </c>
    </row>
    <row r="30" spans="1:20">
      <c r="A30" s="15" t="s">
        <v>590</v>
      </c>
      <c r="B30" s="17" t="n">
        <v>2263</v>
      </c>
      <c r="C30" s="18">
        <f>(1752.0/B30*100)</f>
        <v/>
      </c>
      <c r="D30" s="19" t="n">
        <v>511</v>
      </c>
      <c r="E30" s="18" t="n">
        <v>40.3955368</v>
      </c>
      <c r="F30" s="20" t="n">
        <v>2.59481603</v>
      </c>
      <c r="G30" s="18" t="n">
        <v>12.80252674</v>
      </c>
      <c r="H30" s="20" t="n">
        <v>1.40356228</v>
      </c>
      <c r="I30" s="18" t="n">
        <v>43.57569878</v>
      </c>
      <c r="J30" s="20" t="n">
        <v>2.83510188</v>
      </c>
      <c r="K30" s="18" t="s">
        <v>567</v>
      </c>
      <c r="L30" s="20" t="s">
        <v>567</v>
      </c>
      <c r="M30" s="18" t="n">
        <v>0</v>
      </c>
      <c r="N30" s="20" t="n">
        <v>0</v>
      </c>
      <c r="O30" s="18" t="n">
        <v>0</v>
      </c>
      <c r="P30" s="20" t="n">
        <v>0</v>
      </c>
      <c r="Q30" s="18" t="n">
        <v>0</v>
      </c>
      <c r="R30" s="20" t="n">
        <v>0</v>
      </c>
      <c r="S30" s="18" t="n">
        <v>3.22623769</v>
      </c>
      <c r="T30" s="20" t="n">
        <v>0.87050953</v>
      </c>
    </row>
    <row r="31" spans="1:20">
      <c r="A31" s="15" t="s">
        <v>591</v>
      </c>
      <c r="B31" s="17" t="n">
        <v>2750</v>
      </c>
      <c r="C31" s="18">
        <f>(2146.0/B31*100)</f>
        <v/>
      </c>
      <c r="D31" s="19" t="n">
        <v>604</v>
      </c>
      <c r="E31" s="18" t="n">
        <v>42.4238761</v>
      </c>
      <c r="F31" s="20" t="n">
        <v>2.33358568</v>
      </c>
      <c r="G31" s="18" t="n">
        <v>22.40920304</v>
      </c>
      <c r="H31" s="20" t="n">
        <v>1.55140445</v>
      </c>
      <c r="I31" s="18" t="n">
        <v>32.42301016</v>
      </c>
      <c r="J31" s="20" t="n">
        <v>2.14299004</v>
      </c>
      <c r="K31" s="18" t="s">
        <v>567</v>
      </c>
      <c r="L31" s="20" t="s">
        <v>567</v>
      </c>
      <c r="M31" s="18" t="n">
        <v>0.33870529</v>
      </c>
      <c r="N31" s="20" t="n">
        <v>0.23811195</v>
      </c>
      <c r="O31" s="18" t="n">
        <v>0</v>
      </c>
      <c r="P31" s="20" t="n">
        <v>0</v>
      </c>
      <c r="Q31" s="18" t="n">
        <v>0</v>
      </c>
      <c r="R31" s="20" t="n">
        <v>0</v>
      </c>
      <c r="S31" s="18" t="n">
        <v>2.40520542</v>
      </c>
      <c r="T31" s="20" t="n">
        <v>0.72750569</v>
      </c>
    </row>
    <row r="32" spans="1:20">
      <c r="A32" s="15" t="s">
        <v>592</v>
      </c>
      <c r="B32" s="17" t="n">
        <v>2269</v>
      </c>
      <c r="C32" s="18">
        <f>(1761.0/B32*100)</f>
        <v/>
      </c>
      <c r="D32" s="19" t="n">
        <v>508</v>
      </c>
      <c r="E32" s="18" t="n">
        <v>47.55985065</v>
      </c>
      <c r="F32" s="20" t="n">
        <v>1.99989741</v>
      </c>
      <c r="G32" s="18" t="n">
        <v>21.16320105</v>
      </c>
      <c r="H32" s="20" t="n">
        <v>1.7513141</v>
      </c>
      <c r="I32" s="18" t="n">
        <v>29.60874117</v>
      </c>
      <c r="J32" s="20" t="n">
        <v>2.03012861</v>
      </c>
      <c r="K32" s="18" t="s">
        <v>567</v>
      </c>
      <c r="L32" s="20" t="s">
        <v>567</v>
      </c>
      <c r="M32" s="18" t="n">
        <v>0</v>
      </c>
      <c r="N32" s="20" t="n">
        <v>0</v>
      </c>
      <c r="O32" s="18" t="n">
        <v>0</v>
      </c>
      <c r="P32" s="20" t="n">
        <v>0</v>
      </c>
      <c r="Q32" s="18" t="n">
        <v>0</v>
      </c>
      <c r="R32" s="20" t="n">
        <v>0</v>
      </c>
      <c r="S32" s="18" t="n">
        <v>1.66820713</v>
      </c>
      <c r="T32" s="20" t="n">
        <v>0.58154472</v>
      </c>
    </row>
    <row r="33" spans="1:20">
      <c r="A33" s="15" t="s">
        <v>593</v>
      </c>
      <c r="B33" s="17" t="n">
        <v>3674</v>
      </c>
      <c r="C33" s="18">
        <f>(2842.0/B33*100)</f>
        <v/>
      </c>
      <c r="D33" s="19" t="n">
        <v>832</v>
      </c>
      <c r="E33" s="18" t="n">
        <v>39.12463364</v>
      </c>
      <c r="F33" s="20" t="n">
        <v>1.78993121</v>
      </c>
      <c r="G33" s="18" t="n">
        <v>21.93311356</v>
      </c>
      <c r="H33" s="20" t="n">
        <v>1.40853538</v>
      </c>
      <c r="I33" s="18" t="n">
        <v>37.49402034</v>
      </c>
      <c r="J33" s="20" t="n">
        <v>2.15443805</v>
      </c>
      <c r="K33" s="18" t="s">
        <v>567</v>
      </c>
      <c r="L33" s="20" t="s">
        <v>567</v>
      </c>
      <c r="M33" s="18" t="n">
        <v>0.04629849</v>
      </c>
      <c r="N33" s="20" t="n">
        <v>0.05731809</v>
      </c>
      <c r="O33" s="18" t="n">
        <v>0</v>
      </c>
      <c r="P33" s="20" t="n">
        <v>0</v>
      </c>
      <c r="Q33" s="18" t="n">
        <v>0</v>
      </c>
      <c r="R33" s="20" t="n">
        <v>0</v>
      </c>
      <c r="S33" s="18" t="n">
        <v>1.40193397</v>
      </c>
      <c r="T33" s="20" t="n">
        <v>0.65597345</v>
      </c>
    </row>
    <row r="34" spans="1:20">
      <c r="A34" s="15" t="s">
        <v>594</v>
      </c>
      <c r="B34" s="17" t="n">
        <v>3315</v>
      </c>
      <c r="C34" s="18">
        <f>(2599.0/B34*100)</f>
        <v/>
      </c>
      <c r="D34" s="19" t="n">
        <v>716</v>
      </c>
      <c r="E34" s="18" t="n">
        <v>50.88738783</v>
      </c>
      <c r="F34" s="20" t="n">
        <v>2.11871639</v>
      </c>
      <c r="G34" s="18" t="n">
        <v>24.98691025</v>
      </c>
      <c r="H34" s="20" t="n">
        <v>1.75737945</v>
      </c>
      <c r="I34" s="18" t="n">
        <v>21.76989873</v>
      </c>
      <c r="J34" s="20" t="n">
        <v>1.73063388</v>
      </c>
      <c r="K34" s="18" t="s">
        <v>567</v>
      </c>
      <c r="L34" s="20" t="s">
        <v>567</v>
      </c>
      <c r="M34" s="18" t="n">
        <v>0</v>
      </c>
      <c r="N34" s="20" t="n">
        <v>0</v>
      </c>
      <c r="O34" s="18" t="n">
        <v>0.31963737</v>
      </c>
      <c r="P34" s="20" t="n">
        <v>0.2708232</v>
      </c>
      <c r="Q34" s="18" t="n">
        <v>0</v>
      </c>
      <c r="R34" s="20" t="n">
        <v>0</v>
      </c>
      <c r="S34" s="18" t="n">
        <v>2.03616583</v>
      </c>
      <c r="T34" s="20" t="n">
        <v>0.52150279</v>
      </c>
    </row>
    <row r="35" spans="1:20">
      <c r="A35" s="15" t="s">
        <v>595</v>
      </c>
      <c r="B35" s="17" t="n">
        <v>3505</v>
      </c>
      <c r="C35" s="18">
        <f>(2785.0/B35*100)</f>
        <v/>
      </c>
      <c r="D35" s="19" t="n">
        <v>720</v>
      </c>
      <c r="E35" s="18" t="n">
        <v>43.64020493</v>
      </c>
      <c r="F35" s="20" t="n">
        <v>2.41477591</v>
      </c>
      <c r="G35" s="18" t="n">
        <v>26.51644643</v>
      </c>
      <c r="H35" s="20" t="n">
        <v>2.28997815</v>
      </c>
      <c r="I35" s="18" t="n">
        <v>28.48161905</v>
      </c>
      <c r="J35" s="20" t="n">
        <v>2.54816391</v>
      </c>
      <c r="K35" s="18" t="s">
        <v>567</v>
      </c>
      <c r="L35" s="20" t="s">
        <v>567</v>
      </c>
      <c r="M35" s="18" t="n">
        <v>0.06928210999999999</v>
      </c>
      <c r="N35" s="20" t="n">
        <v>0.07018882</v>
      </c>
      <c r="O35" s="18" t="n">
        <v>0</v>
      </c>
      <c r="P35" s="20" t="n">
        <v>0</v>
      </c>
      <c r="Q35" s="18" t="n">
        <v>0</v>
      </c>
      <c r="R35" s="20" t="n">
        <v>0</v>
      </c>
      <c r="S35" s="18" t="n">
        <v>1.29244748</v>
      </c>
      <c r="T35" s="20" t="n">
        <v>0.45472208</v>
      </c>
    </row>
    <row r="36" spans="1:20">
      <c r="A36" s="15" t="s">
        <v>596</v>
      </c>
      <c r="B36" s="17" t="n">
        <v>3332</v>
      </c>
      <c r="C36" s="18">
        <f>(2585.0/B36*100)</f>
        <v/>
      </c>
      <c r="D36" s="19" t="n">
        <v>747</v>
      </c>
      <c r="E36" s="18" t="n">
        <v>49.20390337</v>
      </c>
      <c r="F36" s="20" t="n">
        <v>2.10844126</v>
      </c>
      <c r="G36" s="18" t="n">
        <v>18.37799946</v>
      </c>
      <c r="H36" s="20" t="n">
        <v>1.52830751</v>
      </c>
      <c r="I36" s="18" t="n">
        <v>28.85350879</v>
      </c>
      <c r="J36" s="20" t="n">
        <v>1.96031494</v>
      </c>
      <c r="K36" s="18" t="s">
        <v>567</v>
      </c>
      <c r="L36" s="20" t="s">
        <v>567</v>
      </c>
      <c r="M36" s="18" t="n">
        <v>0.27017899</v>
      </c>
      <c r="N36" s="20" t="n">
        <v>0.19851979</v>
      </c>
      <c r="O36" s="18" t="n">
        <v>0</v>
      </c>
      <c r="P36" s="20" t="n">
        <v>0</v>
      </c>
      <c r="Q36" s="18" t="n">
        <v>0</v>
      </c>
      <c r="R36" s="20" t="n">
        <v>0</v>
      </c>
      <c r="S36" s="18" t="n">
        <v>3.29440939</v>
      </c>
      <c r="T36" s="20" t="n">
        <v>0.65853233</v>
      </c>
    </row>
    <row r="37" spans="1:20">
      <c r="A37" s="15" t="s">
        <v>597</v>
      </c>
      <c r="B37" s="17" t="n">
        <v>2727</v>
      </c>
      <c r="C37" s="18">
        <f>(2109.0/B37*100)</f>
        <v/>
      </c>
      <c r="D37" s="19" t="n">
        <v>618</v>
      </c>
      <c r="E37" s="18" t="n">
        <v>40.81429574</v>
      </c>
      <c r="F37" s="20" t="n">
        <v>2.24463007</v>
      </c>
      <c r="G37" s="18" t="n">
        <v>20.38357963</v>
      </c>
      <c r="H37" s="20" t="n">
        <v>1.81066275</v>
      </c>
      <c r="I37" s="18" t="n">
        <v>34.32910322</v>
      </c>
      <c r="J37" s="20" t="n">
        <v>2.33650761</v>
      </c>
      <c r="K37" s="18" t="s">
        <v>567</v>
      </c>
      <c r="L37" s="20" t="s">
        <v>567</v>
      </c>
      <c r="M37" s="18" t="n">
        <v>0.29415839</v>
      </c>
      <c r="N37" s="20" t="n">
        <v>0.20886586</v>
      </c>
      <c r="O37" s="18" t="n">
        <v>0</v>
      </c>
      <c r="P37" s="20" t="n">
        <v>0</v>
      </c>
      <c r="Q37" s="18" t="n">
        <v>0</v>
      </c>
      <c r="R37" s="20" t="n">
        <v>0</v>
      </c>
      <c r="S37" s="18" t="n">
        <v>4.17886302</v>
      </c>
      <c r="T37" s="20" t="n">
        <v>0.71153881</v>
      </c>
    </row>
    <row r="38" spans="1:20">
      <c r="A38" s="15" t="s">
        <v>598</v>
      </c>
      <c r="B38" s="17" t="n">
        <v>3053</v>
      </c>
      <c r="C38" s="18">
        <f>(2372.0/B38*100)</f>
        <v/>
      </c>
      <c r="D38" s="19" t="n">
        <v>681</v>
      </c>
      <c r="E38" s="18" t="n">
        <v>37.60722243</v>
      </c>
      <c r="F38" s="20" t="n">
        <v>2.46920088</v>
      </c>
      <c r="G38" s="18" t="n">
        <v>20.59159251</v>
      </c>
      <c r="H38" s="20" t="n">
        <v>1.6854605</v>
      </c>
      <c r="I38" s="18" t="n">
        <v>37.55730792</v>
      </c>
      <c r="J38" s="20" t="n">
        <v>2.15008172</v>
      </c>
      <c r="K38" s="18" t="s">
        <v>567</v>
      </c>
      <c r="L38" s="20" t="s">
        <v>567</v>
      </c>
      <c r="M38" s="18" t="n">
        <v>0.18884269</v>
      </c>
      <c r="N38" s="20" t="n">
        <v>0.18646851</v>
      </c>
      <c r="O38" s="18" t="n">
        <v>1.60358106</v>
      </c>
      <c r="P38" s="20" t="n">
        <v>0.5002672</v>
      </c>
      <c r="Q38" s="18" t="n">
        <v>0</v>
      </c>
      <c r="R38" s="20" t="n">
        <v>0</v>
      </c>
      <c r="S38" s="18" t="n">
        <v>2.4514534</v>
      </c>
      <c r="T38" s="20" t="n">
        <v>0.58723222</v>
      </c>
    </row>
    <row r="39" spans="1:20">
      <c r="A39" s="15" t="s">
        <v>599</v>
      </c>
      <c r="B39" s="17" t="n">
        <v>2957</v>
      </c>
      <c r="C39" s="18">
        <f>(2265.0/B39*100)</f>
        <v/>
      </c>
      <c r="D39" s="19" t="n">
        <v>692</v>
      </c>
      <c r="E39" s="18" t="n">
        <v>72.14980115</v>
      </c>
      <c r="F39" s="20" t="n">
        <v>2.12417107</v>
      </c>
      <c r="G39" s="18" t="n">
        <v>19.57051421</v>
      </c>
      <c r="H39" s="20" t="n">
        <v>1.77995504</v>
      </c>
      <c r="I39" s="18" t="n">
        <v>6.14922391</v>
      </c>
      <c r="J39" s="20" t="n">
        <v>1.14788028</v>
      </c>
      <c r="K39" s="18" t="s">
        <v>567</v>
      </c>
      <c r="L39" s="20" t="s">
        <v>567</v>
      </c>
      <c r="M39" s="18" t="n">
        <v>0</v>
      </c>
      <c r="N39" s="20" t="n">
        <v>0</v>
      </c>
      <c r="O39" s="18" t="n">
        <v>0</v>
      </c>
      <c r="P39" s="20" t="n">
        <v>0</v>
      </c>
      <c r="Q39" s="18" t="n">
        <v>0</v>
      </c>
      <c r="R39" s="20" t="n">
        <v>0</v>
      </c>
      <c r="S39" s="18" t="n">
        <v>2.13046073</v>
      </c>
      <c r="T39" s="20" t="n">
        <v>0.49810164</v>
      </c>
    </row>
    <row r="40" spans="1:20">
      <c r="A40" s="15" t="s">
        <v>600</v>
      </c>
      <c r="B40" s="17" t="n">
        <v>7235</v>
      </c>
      <c r="C40" s="18">
        <f>(5667.0/B40*100)</f>
        <v/>
      </c>
      <c r="D40" s="19" t="n">
        <v>1568</v>
      </c>
      <c r="E40" s="18" t="n">
        <v>50.16664601</v>
      </c>
      <c r="F40" s="20" t="n">
        <v>2.11912553</v>
      </c>
      <c r="G40" s="18" t="n">
        <v>16.40847688</v>
      </c>
      <c r="H40" s="20" t="n">
        <v>1.49403609</v>
      </c>
      <c r="I40" s="18" t="n">
        <v>32.12870988</v>
      </c>
      <c r="J40" s="20" t="n">
        <v>1.62599709</v>
      </c>
      <c r="K40" s="18" t="s">
        <v>567</v>
      </c>
      <c r="L40" s="20" t="s">
        <v>567</v>
      </c>
      <c r="M40" s="18" t="n">
        <v>0.20776448</v>
      </c>
      <c r="N40" s="20" t="n">
        <v>0.2229827</v>
      </c>
      <c r="O40" s="18" t="n">
        <v>0</v>
      </c>
      <c r="P40" s="20" t="n">
        <v>0</v>
      </c>
      <c r="Q40" s="18" t="n">
        <v>0</v>
      </c>
      <c r="R40" s="20" t="n">
        <v>0</v>
      </c>
      <c r="S40" s="18" t="n">
        <v>1.08840275</v>
      </c>
      <c r="T40" s="20" t="n">
        <v>0.36660346</v>
      </c>
    </row>
    <row r="41" spans="1:20">
      <c r="A41" s="15" t="s">
        <v>601</v>
      </c>
      <c r="B41" s="17" t="n">
        <v>2858</v>
      </c>
      <c r="C41" s="18">
        <f>(2281.0/B41*100)</f>
        <v/>
      </c>
      <c r="D41" s="19" t="n">
        <v>577</v>
      </c>
      <c r="E41" s="18" t="n">
        <v>52.4256207</v>
      </c>
      <c r="F41" s="20" t="n">
        <v>2.64105372</v>
      </c>
      <c r="G41" s="18" t="n">
        <v>14.26169035</v>
      </c>
      <c r="H41" s="20" t="n">
        <v>1.67618796</v>
      </c>
      <c r="I41" s="18" t="n">
        <v>30.85407866</v>
      </c>
      <c r="J41" s="20" t="n">
        <v>2.13827989</v>
      </c>
      <c r="K41" s="18" t="s">
        <v>567</v>
      </c>
      <c r="L41" s="20" t="s">
        <v>567</v>
      </c>
      <c r="M41" s="18" t="n">
        <v>0</v>
      </c>
      <c r="N41" s="20" t="n">
        <v>0</v>
      </c>
      <c r="O41" s="18" t="n">
        <v>0</v>
      </c>
      <c r="P41" s="20" t="n">
        <v>0</v>
      </c>
      <c r="Q41" s="18" t="n">
        <v>0</v>
      </c>
      <c r="R41" s="20" t="n">
        <v>0</v>
      </c>
      <c r="S41" s="18" t="n">
        <v>2.45861029</v>
      </c>
      <c r="T41" s="20" t="n">
        <v>1.19168252</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11068</v>
      </c>
      <c r="C46" s="18">
        <f>(8938.0/B46*100)</f>
        <v/>
      </c>
      <c r="D46" s="19" t="n">
        <v>2130</v>
      </c>
      <c r="E46" s="18" t="n">
        <v>57.45111258</v>
      </c>
      <c r="F46" s="20" t="n">
        <v>1.2441025</v>
      </c>
      <c r="G46" s="18" t="n">
        <v>19.85720533</v>
      </c>
      <c r="H46" s="20" t="n">
        <v>1.23318706</v>
      </c>
      <c r="I46" s="18" t="n">
        <v>12.25592137</v>
      </c>
      <c r="J46" s="20" t="n">
        <v>1.04363734</v>
      </c>
      <c r="K46" s="18" t="s">
        <v>567</v>
      </c>
      <c r="L46" s="20" t="s">
        <v>567</v>
      </c>
      <c r="M46" s="18" t="n">
        <v>0.50291832</v>
      </c>
      <c r="N46" s="20" t="n">
        <v>0.21696221</v>
      </c>
      <c r="O46" s="18" t="n">
        <v>0.73111413</v>
      </c>
      <c r="P46" s="20" t="n">
        <v>0.25700114</v>
      </c>
      <c r="Q46" s="18" t="n">
        <v>0</v>
      </c>
      <c r="R46" s="20" t="n">
        <v>0</v>
      </c>
      <c r="S46" s="18" t="n">
        <v>9.20172827</v>
      </c>
      <c r="T46" s="20" t="n">
        <v>1.00532345</v>
      </c>
    </row>
    <row r="47" spans="1:20">
      <c r="A47" s="15" t="s">
        <v>607</v>
      </c>
      <c r="B47" s="17" t="n">
        <v>3105</v>
      </c>
      <c r="C47" s="18">
        <f>(2389.0/B47*100)</f>
        <v/>
      </c>
      <c r="D47" s="19" t="n">
        <v>716</v>
      </c>
      <c r="E47" s="18" t="n">
        <v>58.69055836</v>
      </c>
      <c r="F47" s="20" t="n">
        <v>1.94799507</v>
      </c>
      <c r="G47" s="18" t="n">
        <v>19.34632042</v>
      </c>
      <c r="H47" s="20" t="n">
        <v>1.76012371</v>
      </c>
      <c r="I47" s="18" t="n">
        <v>15.62180665</v>
      </c>
      <c r="J47" s="20" t="n">
        <v>1.88447321</v>
      </c>
      <c r="K47" s="18" t="s">
        <v>567</v>
      </c>
      <c r="L47" s="20" t="s">
        <v>567</v>
      </c>
      <c r="M47" s="18" t="n">
        <v>0.25812793</v>
      </c>
      <c r="N47" s="20" t="n">
        <v>0.01082931</v>
      </c>
      <c r="O47" s="18" t="n">
        <v>0.52687871</v>
      </c>
      <c r="P47" s="20" t="n">
        <v>0.3175251</v>
      </c>
      <c r="Q47" s="18" t="n">
        <v>0</v>
      </c>
      <c r="R47" s="20" t="n">
        <v>0</v>
      </c>
      <c r="S47" s="18" t="n">
        <v>5.55630792</v>
      </c>
      <c r="T47" s="20" t="n">
        <v>1.20847403</v>
      </c>
    </row>
    <row r="48" spans="1:20">
      <c r="A48" s="15" t="s">
        <v>608</v>
      </c>
      <c r="B48" s="17" t="n">
        <v>5159</v>
      </c>
      <c r="C48" s="18">
        <f>(4038.0/B48*100)</f>
        <v/>
      </c>
      <c r="D48" s="19" t="n">
        <v>1121</v>
      </c>
      <c r="E48" s="18" t="n">
        <v>41.01723288</v>
      </c>
      <c r="F48" s="20" t="n">
        <v>2.09330072</v>
      </c>
      <c r="G48" s="18" t="n">
        <v>19.52899357</v>
      </c>
      <c r="H48" s="20" t="n">
        <v>1.51600202</v>
      </c>
      <c r="I48" s="18" t="n">
        <v>37.26408173</v>
      </c>
      <c r="J48" s="20" t="n">
        <v>2.31037159</v>
      </c>
      <c r="K48" s="18" t="s">
        <v>567</v>
      </c>
      <c r="L48" s="20" t="s">
        <v>567</v>
      </c>
      <c r="M48" s="18" t="n">
        <v>0</v>
      </c>
      <c r="N48" s="20" t="n">
        <v>0</v>
      </c>
      <c r="O48" s="18" t="n">
        <v>0</v>
      </c>
      <c r="P48" s="20" t="n">
        <v>0</v>
      </c>
      <c r="Q48" s="18" t="n">
        <v>0</v>
      </c>
      <c r="R48" s="20" t="n">
        <v>0</v>
      </c>
      <c r="S48" s="18" t="n">
        <v>2.18969182</v>
      </c>
      <c r="T48" s="20" t="n">
        <v>0.66933985</v>
      </c>
    </row>
    <row r="49" spans="1:20">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5637</v>
      </c>
      <c r="C50" s="18">
        <f>(4368.0/B50*100)</f>
        <v/>
      </c>
      <c r="D50" s="19" t="n">
        <v>1269</v>
      </c>
      <c r="E50" s="18" t="n">
        <v>54.16211172</v>
      </c>
      <c r="F50" s="20" t="n">
        <v>1.87095211</v>
      </c>
      <c r="G50" s="18" t="n">
        <v>22.94177623</v>
      </c>
      <c r="H50" s="20" t="n">
        <v>1.29705346</v>
      </c>
      <c r="I50" s="18" t="n">
        <v>19.27971809</v>
      </c>
      <c r="J50" s="20" t="n">
        <v>1.52715147</v>
      </c>
      <c r="K50" s="18" t="s">
        <v>567</v>
      </c>
      <c r="L50" s="20" t="s">
        <v>567</v>
      </c>
      <c r="M50" s="18" t="n">
        <v>0.5841606499999999</v>
      </c>
      <c r="N50" s="20" t="n">
        <v>0.41858401</v>
      </c>
      <c r="O50" s="18" t="n">
        <v>0.10021287</v>
      </c>
      <c r="P50" s="20" t="n">
        <v>0.12633934</v>
      </c>
      <c r="Q50" s="18" t="n">
        <v>0</v>
      </c>
      <c r="R50" s="20" t="n">
        <v>0</v>
      </c>
      <c r="S50" s="18" t="n">
        <v>2.93202044</v>
      </c>
      <c r="T50" s="20" t="n">
        <v>0.65842734</v>
      </c>
    </row>
    <row r="51" spans="1:20">
      <c r="A51" s="15" t="s">
        <v>611</v>
      </c>
      <c r="B51" s="17" t="n">
        <v>3372</v>
      </c>
      <c r="C51" s="18">
        <f>(2747.0/B51*100)</f>
        <v/>
      </c>
      <c r="D51" s="19" t="n">
        <v>625</v>
      </c>
      <c r="E51" s="18" t="n">
        <v>53.10726186</v>
      </c>
      <c r="F51" s="20" t="n">
        <v>1.98652739</v>
      </c>
      <c r="G51" s="18" t="n">
        <v>25.03140501</v>
      </c>
      <c r="H51" s="20" t="n">
        <v>2.02034772</v>
      </c>
      <c r="I51" s="18" t="n">
        <v>17.58679355</v>
      </c>
      <c r="J51" s="20" t="n">
        <v>1.48698692</v>
      </c>
      <c r="K51" s="18" t="s">
        <v>567</v>
      </c>
      <c r="L51" s="20" t="s">
        <v>567</v>
      </c>
      <c r="M51" s="18" t="n">
        <v>0.11411937</v>
      </c>
      <c r="N51" s="20" t="n">
        <v>0.11478347</v>
      </c>
      <c r="O51" s="18" t="n">
        <v>0</v>
      </c>
      <c r="P51" s="20" t="n">
        <v>0</v>
      </c>
      <c r="Q51" s="18" t="n">
        <v>0</v>
      </c>
      <c r="R51" s="20" t="n">
        <v>0</v>
      </c>
      <c r="S51" s="18" t="n">
        <v>4.16042021</v>
      </c>
      <c r="T51" s="20" t="n">
        <v>0.78798886</v>
      </c>
    </row>
    <row r="52" spans="1:20">
      <c r="A52" s="15" t="s">
        <v>612</v>
      </c>
      <c r="B52" s="17" t="n">
        <v>2796</v>
      </c>
      <c r="C52" s="18">
        <f>(2202.0/B52*100)</f>
        <v/>
      </c>
      <c r="D52" s="19" t="n">
        <v>594</v>
      </c>
      <c r="E52" s="18" t="n">
        <v>42.91590058</v>
      </c>
      <c r="F52" s="20" t="n">
        <v>2.00038659</v>
      </c>
      <c r="G52" s="18" t="n">
        <v>24.77929958</v>
      </c>
      <c r="H52" s="20" t="n">
        <v>1.69837047</v>
      </c>
      <c r="I52" s="18" t="n">
        <v>30.26457103</v>
      </c>
      <c r="J52" s="20" t="n">
        <v>2.0057835</v>
      </c>
      <c r="K52" s="18" t="s">
        <v>567</v>
      </c>
      <c r="L52" s="20" t="s">
        <v>567</v>
      </c>
      <c r="M52" s="18" t="n">
        <v>0</v>
      </c>
      <c r="N52" s="20" t="n">
        <v>0</v>
      </c>
      <c r="O52" s="18" t="n">
        <v>0</v>
      </c>
      <c r="P52" s="20" t="n">
        <v>0</v>
      </c>
      <c r="Q52" s="18" t="n">
        <v>0</v>
      </c>
      <c r="R52" s="20" t="n">
        <v>0</v>
      </c>
      <c r="S52" s="18" t="n">
        <v>2.04022881</v>
      </c>
      <c r="T52" s="20" t="n">
        <v>0.4993764</v>
      </c>
    </row>
    <row r="53" spans="1:20">
      <c r="A53" s="15" t="s">
        <v>613</v>
      </c>
      <c r="B53" s="17" t="n">
        <v>2811</v>
      </c>
      <c r="C53" s="18">
        <f>(2168.0/B53*100)</f>
        <v/>
      </c>
      <c r="D53" s="19" t="n">
        <v>643</v>
      </c>
      <c r="E53" s="18" t="n">
        <v>59.12636454</v>
      </c>
      <c r="F53" s="20" t="n">
        <v>1.8602727</v>
      </c>
      <c r="G53" s="18" t="n">
        <v>20.22547421</v>
      </c>
      <c r="H53" s="20" t="n">
        <v>1.69305465</v>
      </c>
      <c r="I53" s="18" t="n">
        <v>14.35483906</v>
      </c>
      <c r="J53" s="20" t="n">
        <v>1.54442049</v>
      </c>
      <c r="K53" s="18" t="s">
        <v>567</v>
      </c>
      <c r="L53" s="20" t="s">
        <v>567</v>
      </c>
      <c r="M53" s="18" t="n">
        <v>0.65776261</v>
      </c>
      <c r="N53" s="20" t="n">
        <v>0.33325139</v>
      </c>
      <c r="O53" s="18" t="n">
        <v>0</v>
      </c>
      <c r="P53" s="20" t="n">
        <v>0</v>
      </c>
      <c r="Q53" s="18" t="n">
        <v>0</v>
      </c>
      <c r="R53" s="20" t="n">
        <v>0</v>
      </c>
      <c r="S53" s="18" t="n">
        <v>5.63555959</v>
      </c>
      <c r="T53" s="20" t="n">
        <v>0.84845804</v>
      </c>
    </row>
    <row r="54" spans="1:20">
      <c r="A54" s="15" t="s">
        <v>614</v>
      </c>
      <c r="B54" s="17" t="n">
        <v>2266</v>
      </c>
      <c r="C54" s="18">
        <f>(1759.0/B54*100)</f>
        <v/>
      </c>
      <c r="D54" s="19" t="n">
        <v>507</v>
      </c>
      <c r="E54" s="18" t="n">
        <v>61.5969679</v>
      </c>
      <c r="F54" s="20" t="n">
        <v>2.59350077</v>
      </c>
      <c r="G54" s="18" t="n">
        <v>12.2192609</v>
      </c>
      <c r="H54" s="20" t="n">
        <v>1.59460153</v>
      </c>
      <c r="I54" s="18" t="n">
        <v>5.86857988</v>
      </c>
      <c r="J54" s="20" t="n">
        <v>1.2873605</v>
      </c>
      <c r="K54" s="18" t="s">
        <v>567</v>
      </c>
      <c r="L54" s="20" t="s">
        <v>567</v>
      </c>
      <c r="M54" s="18" t="n">
        <v>3.38576215</v>
      </c>
      <c r="N54" s="20" t="n">
        <v>0.82569963</v>
      </c>
      <c r="O54" s="18" t="n">
        <v>1.22105135</v>
      </c>
      <c r="P54" s="20" t="n">
        <v>1.09089443</v>
      </c>
      <c r="Q54" s="18" t="n">
        <v>0</v>
      </c>
      <c r="R54" s="20" t="n">
        <v>0</v>
      </c>
      <c r="S54" s="18" t="n">
        <v>15.70837782</v>
      </c>
      <c r="T54" s="20" t="n">
        <v>1.97289215</v>
      </c>
    </row>
    <row r="55" spans="1:20">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2684</v>
      </c>
      <c r="C56" s="18">
        <f>(2117.0/B56*100)</f>
        <v/>
      </c>
      <c r="D56" s="19" t="n">
        <v>567</v>
      </c>
      <c r="E56" s="18" t="n">
        <v>45.83934452</v>
      </c>
      <c r="F56" s="20" t="n">
        <v>2.1327247</v>
      </c>
      <c r="G56" s="18" t="n">
        <v>19.40529135</v>
      </c>
      <c r="H56" s="20" t="n">
        <v>2.3508067</v>
      </c>
      <c r="I56" s="18" t="n">
        <v>33.53391121</v>
      </c>
      <c r="J56" s="20" t="n">
        <v>2.34488793</v>
      </c>
      <c r="K56" s="18" t="s">
        <v>567</v>
      </c>
      <c r="L56" s="20" t="s">
        <v>567</v>
      </c>
      <c r="M56" s="18" t="n">
        <v>0</v>
      </c>
      <c r="N56" s="20" t="n">
        <v>0</v>
      </c>
      <c r="O56" s="18" t="n">
        <v>0</v>
      </c>
      <c r="P56" s="20" t="n">
        <v>0</v>
      </c>
      <c r="Q56" s="18" t="n">
        <v>0</v>
      </c>
      <c r="R56" s="20" t="n">
        <v>0</v>
      </c>
      <c r="S56" s="18" t="n">
        <v>1.22145292</v>
      </c>
      <c r="T56" s="20" t="n">
        <v>0.51627353</v>
      </c>
    </row>
    <row r="57" spans="1:20">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3324</v>
      </c>
      <c r="C61" s="18">
        <f>(2595.0/B61*100)</f>
        <v/>
      </c>
      <c r="D61" s="19" t="n">
        <v>729</v>
      </c>
      <c r="E61" s="18" t="n">
        <v>57.88970621</v>
      </c>
      <c r="F61" s="20" t="n">
        <v>2.17797662</v>
      </c>
      <c r="G61" s="18" t="n">
        <v>24.6236993</v>
      </c>
      <c r="H61" s="20" t="n">
        <v>1.61389227</v>
      </c>
      <c r="I61" s="18" t="n">
        <v>15.39601918</v>
      </c>
      <c r="J61" s="20" t="n">
        <v>1.59641912</v>
      </c>
      <c r="K61" s="18" t="s">
        <v>567</v>
      </c>
      <c r="L61" s="20" t="s">
        <v>567</v>
      </c>
      <c r="M61" s="18" t="n">
        <v>0</v>
      </c>
      <c r="N61" s="20" t="n">
        <v>0</v>
      </c>
      <c r="O61" s="18" t="n">
        <v>0.17197176</v>
      </c>
      <c r="P61" s="20" t="n">
        <v>0.13893871</v>
      </c>
      <c r="Q61" s="18" t="n">
        <v>0</v>
      </c>
      <c r="R61" s="20" t="n">
        <v>0</v>
      </c>
      <c r="S61" s="18" t="n">
        <v>1.91860355</v>
      </c>
      <c r="T61" s="20" t="n">
        <v>0.60937595</v>
      </c>
    </row>
    <row r="62" spans="1:20">
      <c r="A62" s="15" t="s">
        <v>622</v>
      </c>
      <c r="B62" s="17" t="n">
        <v>2246</v>
      </c>
      <c r="C62" s="18">
        <f>(1724.0/B62*100)</f>
        <v/>
      </c>
      <c r="D62" s="19" t="n">
        <v>522</v>
      </c>
      <c r="E62" s="18" t="n">
        <v>42.67866467</v>
      </c>
      <c r="F62" s="20" t="n">
        <v>2.07621173</v>
      </c>
      <c r="G62" s="18" t="n">
        <v>20.48148177</v>
      </c>
      <c r="H62" s="20" t="n">
        <v>2.05059926</v>
      </c>
      <c r="I62" s="18" t="n">
        <v>36.45289029</v>
      </c>
      <c r="J62" s="20" t="n">
        <v>2.24550258</v>
      </c>
      <c r="K62" s="18" t="s">
        <v>567</v>
      </c>
      <c r="L62" s="20" t="s">
        <v>567</v>
      </c>
      <c r="M62" s="18" t="n">
        <v>0.19676073</v>
      </c>
      <c r="N62" s="20" t="n">
        <v>0.19617101</v>
      </c>
      <c r="O62" s="18" t="n">
        <v>0</v>
      </c>
      <c r="P62" s="20" t="n">
        <v>0</v>
      </c>
      <c r="Q62" s="18" t="n">
        <v>0</v>
      </c>
      <c r="R62" s="20" t="n">
        <v>0</v>
      </c>
      <c r="S62" s="18" t="n">
        <v>0.19020255</v>
      </c>
      <c r="T62" s="20" t="n">
        <v>0.1898355</v>
      </c>
    </row>
    <row r="63" spans="1:20">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2894</v>
      </c>
      <c r="C66" s="18">
        <f>(2254.0/B66*100)</f>
        <v/>
      </c>
      <c r="D66" s="19" t="n">
        <v>640</v>
      </c>
      <c r="E66" s="18" t="n">
        <v>49.75917876</v>
      </c>
      <c r="F66" s="20" t="n">
        <v>1.84526394</v>
      </c>
      <c r="G66" s="18" t="n">
        <v>27.13479277</v>
      </c>
      <c r="H66" s="20" t="n">
        <v>1.83365998</v>
      </c>
      <c r="I66" s="18" t="n">
        <v>9.73442097</v>
      </c>
      <c r="J66" s="20" t="n">
        <v>1.13714351</v>
      </c>
      <c r="K66" s="18" t="s">
        <v>567</v>
      </c>
      <c r="L66" s="20" t="s">
        <v>567</v>
      </c>
      <c r="M66" s="18" t="n">
        <v>0.29999049</v>
      </c>
      <c r="N66" s="20" t="n">
        <v>0.20963878</v>
      </c>
      <c r="O66" s="18" t="n">
        <v>0.43581604</v>
      </c>
      <c r="P66" s="20" t="n">
        <v>0.25252065</v>
      </c>
      <c r="Q66" s="18" t="n">
        <v>0</v>
      </c>
      <c r="R66" s="20" t="n">
        <v>0</v>
      </c>
      <c r="S66" s="18" t="n">
        <v>12.63580096</v>
      </c>
      <c r="T66" s="20" t="n">
        <v>1.27130828</v>
      </c>
    </row>
    <row r="67" spans="1:20">
      <c r="A67" s="15" t="s">
        <v>627</v>
      </c>
      <c r="B67" s="17" t="n">
        <v>3511</v>
      </c>
      <c r="C67" s="18">
        <f>(2766.0/B67*100)</f>
        <v/>
      </c>
      <c r="D67" s="19" t="n">
        <v>745</v>
      </c>
      <c r="E67" s="18" t="n">
        <v>54.47050822</v>
      </c>
      <c r="F67" s="20" t="n">
        <v>1.71158473</v>
      </c>
      <c r="G67" s="18" t="n">
        <v>24.02841223</v>
      </c>
      <c r="H67" s="20" t="n">
        <v>1.64721406</v>
      </c>
      <c r="I67" s="18" t="n">
        <v>16.97313088</v>
      </c>
      <c r="J67" s="20" t="n">
        <v>1.39518599</v>
      </c>
      <c r="K67" s="18" t="s">
        <v>567</v>
      </c>
      <c r="L67" s="20" t="s">
        <v>567</v>
      </c>
      <c r="M67" s="18" t="n">
        <v>0</v>
      </c>
      <c r="N67" s="20" t="n">
        <v>0</v>
      </c>
      <c r="O67" s="18" t="n">
        <v>0.15101421</v>
      </c>
      <c r="P67" s="20" t="n">
        <v>0.15107946</v>
      </c>
      <c r="Q67" s="18" t="n">
        <v>0</v>
      </c>
      <c r="R67" s="20" t="n">
        <v>0</v>
      </c>
      <c r="S67" s="18" t="n">
        <v>4.37693447</v>
      </c>
      <c r="T67" s="20" t="n">
        <v>0.72168717</v>
      </c>
    </row>
    <row r="68" spans="1:20">
      <c r="A68" s="15" t="s">
        <v>628</v>
      </c>
      <c r="B68" s="17" t="n">
        <v>6049</v>
      </c>
      <c r="C68" s="18">
        <f>(4693.0/B68*100)</f>
        <v/>
      </c>
      <c r="D68" s="19" t="n">
        <v>1356</v>
      </c>
      <c r="E68" s="18" t="n">
        <v>57.06690695</v>
      </c>
      <c r="F68" s="20" t="n">
        <v>1.35348124</v>
      </c>
      <c r="G68" s="18" t="n">
        <v>19.60402988</v>
      </c>
      <c r="H68" s="20" t="n">
        <v>1.09690769</v>
      </c>
      <c r="I68" s="18" t="n">
        <v>12.86165666</v>
      </c>
      <c r="J68" s="20" t="n">
        <v>0.87400753</v>
      </c>
      <c r="K68" s="18" t="s">
        <v>567</v>
      </c>
      <c r="L68" s="20" t="s">
        <v>567</v>
      </c>
      <c r="M68" s="18" t="n">
        <v>0.99615268</v>
      </c>
      <c r="N68" s="20" t="n">
        <v>0.28195212</v>
      </c>
      <c r="O68" s="18" t="n">
        <v>0</v>
      </c>
      <c r="P68" s="20" t="n">
        <v>0</v>
      </c>
      <c r="Q68" s="18" t="n">
        <v>0</v>
      </c>
      <c r="R68" s="20" t="n">
        <v>0</v>
      </c>
      <c r="S68" s="18" t="n">
        <v>9.47125383</v>
      </c>
      <c r="T68" s="20" t="n">
        <v>0.78407331</v>
      </c>
    </row>
    <row r="69" spans="1:20">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2929</v>
      </c>
      <c r="C70" s="18">
        <f>(2277.0/B70*100)</f>
        <v/>
      </c>
      <c r="D70" s="19" t="n">
        <v>652</v>
      </c>
      <c r="E70" s="18" t="n">
        <v>40.23659565</v>
      </c>
      <c r="F70" s="20" t="n">
        <v>2.12825678</v>
      </c>
      <c r="G70" s="18" t="n">
        <v>32.72259967</v>
      </c>
      <c r="H70" s="20" t="n">
        <v>2.36061188</v>
      </c>
      <c r="I70" s="18" t="n">
        <v>24.42345271</v>
      </c>
      <c r="J70" s="20" t="n">
        <v>2.2253328</v>
      </c>
      <c r="K70" s="18" t="s">
        <v>567</v>
      </c>
      <c r="L70" s="20" t="s">
        <v>567</v>
      </c>
      <c r="M70" s="18" t="n">
        <v>0</v>
      </c>
      <c r="N70" s="20" t="n">
        <v>0</v>
      </c>
      <c r="O70" s="18" t="n">
        <v>0.21323156</v>
      </c>
      <c r="P70" s="20" t="n">
        <v>0.16003887</v>
      </c>
      <c r="Q70" s="18" t="n">
        <v>0</v>
      </c>
      <c r="R70" s="20" t="n">
        <v>0</v>
      </c>
      <c r="S70" s="18" t="n">
        <v>2.40412041</v>
      </c>
      <c r="T70" s="20" t="n">
        <v>0.67367417</v>
      </c>
    </row>
    <row r="71" spans="1:20">
      <c r="A71" s="15" t="s">
        <v>631</v>
      </c>
      <c r="B71" s="17" t="n">
        <v>3142</v>
      </c>
      <c r="C71" s="18">
        <f>(2441.0/B71*100)</f>
        <v/>
      </c>
      <c r="D71" s="19" t="n">
        <v>701</v>
      </c>
      <c r="E71" s="18" t="n">
        <v>39.19738614</v>
      </c>
      <c r="F71" s="20" t="n">
        <v>1.84964016</v>
      </c>
      <c r="G71" s="18" t="n">
        <v>14.07655184</v>
      </c>
      <c r="H71" s="20" t="n">
        <v>1.51454984</v>
      </c>
      <c r="I71" s="18" t="n">
        <v>45.68674103</v>
      </c>
      <c r="J71" s="20" t="n">
        <v>1.90778391</v>
      </c>
      <c r="K71" s="18" t="s">
        <v>567</v>
      </c>
      <c r="L71" s="20" t="s">
        <v>567</v>
      </c>
      <c r="M71" s="18" t="n">
        <v>0</v>
      </c>
      <c r="N71" s="20" t="n">
        <v>0</v>
      </c>
      <c r="O71" s="18" t="n">
        <v>0</v>
      </c>
      <c r="P71" s="20" t="n">
        <v>0</v>
      </c>
      <c r="Q71" s="18" t="n">
        <v>0</v>
      </c>
      <c r="R71" s="20" t="n">
        <v>0</v>
      </c>
      <c r="S71" s="18" t="n">
        <v>1.039321</v>
      </c>
      <c r="T71" s="20" t="n">
        <v>0.32409322</v>
      </c>
    </row>
    <row r="72" spans="1:20">
      <c r="A72" s="15" t="s">
        <v>632</v>
      </c>
      <c r="B72" s="17" t="n">
        <v>3889</v>
      </c>
      <c r="C72" s="18">
        <f>(3054.0/B72*100)</f>
        <v/>
      </c>
      <c r="D72" s="19" t="n">
        <v>835</v>
      </c>
      <c r="E72" s="18" t="n">
        <v>33.83375852</v>
      </c>
      <c r="F72" s="20" t="n">
        <v>1.53765416</v>
      </c>
      <c r="G72" s="18" t="n">
        <v>21.06811557</v>
      </c>
      <c r="H72" s="20" t="n">
        <v>1.39251293</v>
      </c>
      <c r="I72" s="18" t="n">
        <v>44.07499499</v>
      </c>
      <c r="J72" s="20" t="n">
        <v>1.9548541</v>
      </c>
      <c r="K72" s="18" t="s">
        <v>567</v>
      </c>
      <c r="L72" s="20" t="s">
        <v>567</v>
      </c>
      <c r="M72" s="18" t="n">
        <v>0</v>
      </c>
      <c r="N72" s="20" t="n">
        <v>0</v>
      </c>
      <c r="O72" s="18" t="n">
        <v>0</v>
      </c>
      <c r="P72" s="20" t="n">
        <v>0</v>
      </c>
      <c r="Q72" s="18" t="n">
        <v>0</v>
      </c>
      <c r="R72" s="20" t="n">
        <v>0</v>
      </c>
      <c r="S72" s="18" t="n">
        <v>1.02313092</v>
      </c>
      <c r="T72" s="20" t="n">
        <v>0.34639613</v>
      </c>
    </row>
    <row r="73" spans="1:20">
      <c r="A73" s="15" t="s">
        <v>633</v>
      </c>
      <c r="B73" s="17" t="n">
        <v>3597</v>
      </c>
      <c r="C73" s="18">
        <f>(2824.0/B73*100)</f>
        <v/>
      </c>
      <c r="D73" s="19" t="n">
        <v>773</v>
      </c>
      <c r="E73" s="18" t="n">
        <v>74.81855527</v>
      </c>
      <c r="F73" s="20" t="n">
        <v>1.94548133</v>
      </c>
      <c r="G73" s="18" t="n">
        <v>12.9979478</v>
      </c>
      <c r="H73" s="20" t="n">
        <v>1.64596716</v>
      </c>
      <c r="I73" s="18" t="n">
        <v>10.29261483</v>
      </c>
      <c r="J73" s="20" t="n">
        <v>1.4853091</v>
      </c>
      <c r="K73" s="18" t="s">
        <v>567</v>
      </c>
      <c r="L73" s="20" t="s">
        <v>567</v>
      </c>
      <c r="M73" s="18" t="n">
        <v>0</v>
      </c>
      <c r="N73" s="20" t="n">
        <v>0</v>
      </c>
      <c r="O73" s="18" t="n">
        <v>0.19618269</v>
      </c>
      <c r="P73" s="20" t="n">
        <v>0.18290993</v>
      </c>
      <c r="Q73" s="18" t="n">
        <v>0</v>
      </c>
      <c r="R73" s="20" t="n">
        <v>0</v>
      </c>
      <c r="S73" s="18" t="n">
        <v>1.6946994</v>
      </c>
      <c r="T73" s="20" t="n">
        <v>0.5960313</v>
      </c>
    </row>
    <row r="74" spans="1:20">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2406</v>
      </c>
      <c r="C75" s="18">
        <f>(1917.0/B75*100)</f>
        <v/>
      </c>
      <c r="D75" s="19" t="n">
        <v>489</v>
      </c>
      <c r="E75" s="18" t="n">
        <v>60.25980168</v>
      </c>
      <c r="F75" s="20" t="n">
        <v>2.10070725</v>
      </c>
      <c r="G75" s="18" t="n">
        <v>24.18923717</v>
      </c>
      <c r="H75" s="20" t="n">
        <v>1.78407206</v>
      </c>
      <c r="I75" s="18" t="n">
        <v>5.54084929</v>
      </c>
      <c r="J75" s="20" t="n">
        <v>0.95859341</v>
      </c>
      <c r="K75" s="18" t="s">
        <v>567</v>
      </c>
      <c r="L75" s="20" t="s">
        <v>567</v>
      </c>
      <c r="M75" s="18" t="n">
        <v>1.46066824</v>
      </c>
      <c r="N75" s="20" t="n">
        <v>0.51110699</v>
      </c>
      <c r="O75" s="18" t="n">
        <v>1.0246769</v>
      </c>
      <c r="P75" s="20" t="n">
        <v>0.67962992</v>
      </c>
      <c r="Q75" s="18" t="n">
        <v>0</v>
      </c>
      <c r="R75" s="20" t="n">
        <v>0</v>
      </c>
      <c r="S75" s="18" t="n">
        <v>7.52476673</v>
      </c>
      <c r="T75" s="20" t="n">
        <v>1.54986473</v>
      </c>
    </row>
    <row r="76" spans="1:20">
      <c r="A76" s="15" t="s">
        <v>636</v>
      </c>
      <c r="B76" s="17" t="n">
        <v>7052</v>
      </c>
      <c r="C76" s="18">
        <f>(5552.0/B76*100)</f>
        <v/>
      </c>
      <c r="D76" s="19" t="n">
        <v>1500</v>
      </c>
      <c r="E76" s="18" t="n">
        <v>60.62630004</v>
      </c>
      <c r="F76" s="20" t="n">
        <v>1.66633376</v>
      </c>
      <c r="G76" s="18" t="n">
        <v>18.71641458</v>
      </c>
      <c r="H76" s="20" t="n">
        <v>1.37115925</v>
      </c>
      <c r="I76" s="18" t="n">
        <v>15.06444483</v>
      </c>
      <c r="J76" s="20" t="n">
        <v>1.20737543</v>
      </c>
      <c r="K76" s="18" t="s">
        <v>567</v>
      </c>
      <c r="L76" s="20" t="s">
        <v>567</v>
      </c>
      <c r="M76" s="18" t="n">
        <v>0.68099118</v>
      </c>
      <c r="N76" s="20" t="n">
        <v>0.23929545</v>
      </c>
      <c r="O76" s="18" t="n">
        <v>0.14768052</v>
      </c>
      <c r="P76" s="20" t="n">
        <v>0.09370992</v>
      </c>
      <c r="Q76" s="18" t="n">
        <v>0</v>
      </c>
      <c r="R76" s="20" t="n">
        <v>0</v>
      </c>
      <c r="S76" s="18" t="n">
        <v>4.76416885</v>
      </c>
      <c r="T76" s="20" t="n">
        <v>0.64901242</v>
      </c>
    </row>
    <row r="77" spans="1:20">
      <c r="A77" s="15" t="s">
        <v>637</v>
      </c>
      <c r="B77" s="17" t="n">
        <v>2908</v>
      </c>
      <c r="C77" s="18">
        <f>(2251.0/B77*100)</f>
        <v/>
      </c>
      <c r="D77" s="19" t="n">
        <v>657</v>
      </c>
      <c r="E77" s="18" t="n">
        <v>56.0318499</v>
      </c>
      <c r="F77" s="20" t="n">
        <v>2.36008933</v>
      </c>
      <c r="G77" s="18" t="n">
        <v>19.49469228</v>
      </c>
      <c r="H77" s="20" t="n">
        <v>1.61946228</v>
      </c>
      <c r="I77" s="18" t="n">
        <v>19.44164529</v>
      </c>
      <c r="J77" s="20" t="n">
        <v>1.74288407</v>
      </c>
      <c r="K77" s="18" t="s">
        <v>567</v>
      </c>
      <c r="L77" s="20" t="s">
        <v>567</v>
      </c>
      <c r="M77" s="18" t="n">
        <v>0.34984674</v>
      </c>
      <c r="N77" s="20" t="n">
        <v>0.26924994</v>
      </c>
      <c r="O77" s="18" t="n">
        <v>0.12375479</v>
      </c>
      <c r="P77" s="20" t="n">
        <v>0.12426718</v>
      </c>
      <c r="Q77" s="18" t="n">
        <v>0</v>
      </c>
      <c r="R77" s="20" t="n">
        <v>0</v>
      </c>
      <c r="S77" s="18" t="n">
        <v>4.558211</v>
      </c>
      <c r="T77" s="20" t="n">
        <v>0.9159670600000001</v>
      </c>
    </row>
    <row r="78" spans="1:20">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4163</v>
      </c>
      <c r="C81" s="18">
        <f>(3234.0/B81*100)</f>
        <v/>
      </c>
      <c r="D81" s="19" t="n">
        <v>929</v>
      </c>
      <c r="E81" s="18" t="n">
        <v>63.03833042</v>
      </c>
      <c r="F81" s="20" t="n">
        <v>2.13143717</v>
      </c>
      <c r="G81" s="18" t="n">
        <v>20.33586157</v>
      </c>
      <c r="H81" s="20" t="n">
        <v>1.712285</v>
      </c>
      <c r="I81" s="18" t="n">
        <v>16.2782692</v>
      </c>
      <c r="J81" s="20" t="n">
        <v>1.71110559</v>
      </c>
      <c r="K81" s="18" t="s">
        <v>567</v>
      </c>
      <c r="L81" s="20" t="s">
        <v>567</v>
      </c>
      <c r="M81" s="18" t="n">
        <v>0.19783557</v>
      </c>
      <c r="N81" s="20" t="n">
        <v>0.23540642</v>
      </c>
      <c r="O81" s="18" t="n">
        <v>0</v>
      </c>
      <c r="P81" s="20" t="n">
        <v>0</v>
      </c>
      <c r="Q81" s="18" t="n">
        <v>0</v>
      </c>
      <c r="R81" s="20" t="n">
        <v>0</v>
      </c>
      <c r="S81" s="18" t="n">
        <v>0.14970324</v>
      </c>
      <c r="T81" s="20" t="n">
        <v>0.14883156</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(5805.0/B7*100)</f>
        <v/>
      </c>
      <c r="D7" s="19" t="n">
        <v>1562</v>
      </c>
      <c r="E7" s="18" t="n">
        <v>15.18243673</v>
      </c>
      <c r="F7" s="20" t="n">
        <v>1.21196169</v>
      </c>
      <c r="G7" s="18" t="n">
        <v>84.07900231000001</v>
      </c>
      <c r="H7" s="20" t="n">
        <v>1.22008211</v>
      </c>
      <c r="I7" s="18" t="s">
        <v>567</v>
      </c>
      <c r="J7" s="20" t="s">
        <v>567</v>
      </c>
      <c r="K7" s="18" t="n">
        <v>0.03223649</v>
      </c>
      <c r="L7" s="20" t="n">
        <v>0.03256011</v>
      </c>
      <c r="M7" s="18" t="n">
        <v>0</v>
      </c>
      <c r="N7" s="20" t="n">
        <v>0</v>
      </c>
      <c r="O7" s="18" t="n">
        <v>0</v>
      </c>
      <c r="P7" s="20" t="n">
        <v>0</v>
      </c>
      <c r="Q7" s="18" t="n">
        <v>0.70632447</v>
      </c>
      <c r="R7" s="20" t="n">
        <v>0.20823552</v>
      </c>
    </row>
    <row r="8" spans="1:18">
      <c r="A8" s="15" t="s">
        <v>568</v>
      </c>
      <c r="B8" s="17" t="n">
        <v>3564</v>
      </c>
      <c r="C8" s="18">
        <f>(2765.0/B8*100)</f>
        <v/>
      </c>
      <c r="D8" s="19" t="n">
        <v>799</v>
      </c>
      <c r="E8" s="18" t="n">
        <v>20.59643398</v>
      </c>
      <c r="F8" s="20" t="n">
        <v>1.68026145</v>
      </c>
      <c r="G8" s="18" t="n">
        <v>77.79719994</v>
      </c>
      <c r="H8" s="20" t="n">
        <v>1.69680488</v>
      </c>
      <c r="I8" s="18" t="s">
        <v>567</v>
      </c>
      <c r="J8" s="20" t="s">
        <v>567</v>
      </c>
      <c r="K8" s="18" t="n">
        <v>0.06348036</v>
      </c>
      <c r="L8" s="20" t="n">
        <v>0.06216836</v>
      </c>
      <c r="M8" s="18" t="n">
        <v>0</v>
      </c>
      <c r="N8" s="20" t="n">
        <v>0</v>
      </c>
      <c r="O8" s="18" t="n">
        <v>0</v>
      </c>
      <c r="P8" s="20" t="n">
        <v>0</v>
      </c>
      <c r="Q8" s="18" t="n">
        <v>1.54288572</v>
      </c>
      <c r="R8" s="20" t="n">
        <v>0.54519753</v>
      </c>
    </row>
    <row r="9" spans="1:18">
      <c r="A9" s="15" t="s">
        <v>569</v>
      </c>
      <c r="B9" s="17" t="n">
        <v>4899</v>
      </c>
      <c r="C9" s="18">
        <f>(3886.0/B9*100)</f>
        <v/>
      </c>
      <c r="D9" s="19" t="n">
        <v>1013</v>
      </c>
      <c r="E9" s="18" t="n">
        <v>15.83991798</v>
      </c>
      <c r="F9" s="20" t="n">
        <v>1.27611567</v>
      </c>
      <c r="G9" s="18" t="n">
        <v>83.90981399</v>
      </c>
      <c r="H9" s="20" t="n">
        <v>1.30831511</v>
      </c>
      <c r="I9" s="18" t="s">
        <v>567</v>
      </c>
      <c r="J9" s="20" t="s">
        <v>567</v>
      </c>
      <c r="K9" s="18" t="n">
        <v>0.14453147</v>
      </c>
      <c r="L9" s="20" t="n">
        <v>0.15293674</v>
      </c>
      <c r="M9" s="18" t="n">
        <v>0</v>
      </c>
      <c r="N9" s="20" t="n">
        <v>0</v>
      </c>
      <c r="O9" s="18" t="n">
        <v>0</v>
      </c>
      <c r="P9" s="20" t="n">
        <v>0</v>
      </c>
      <c r="Q9" s="18" t="n">
        <v>0.10573655</v>
      </c>
      <c r="R9" s="20" t="n">
        <v>0.12857176</v>
      </c>
    </row>
    <row r="10" spans="1:18">
      <c r="A10" s="15" t="s">
        <v>570</v>
      </c>
      <c r="B10" s="17" t="n">
        <v>10036</v>
      </c>
      <c r="C10" s="18">
        <f>(7827.0/B10*100)</f>
        <v/>
      </c>
      <c r="D10" s="19" t="n">
        <v>2209</v>
      </c>
      <c r="E10" s="18" t="n">
        <v>9.419697709999999</v>
      </c>
      <c r="F10" s="20" t="n">
        <v>0.74075969</v>
      </c>
      <c r="G10" s="18" t="n">
        <v>89.49528913</v>
      </c>
      <c r="H10" s="20" t="n">
        <v>0.82093376</v>
      </c>
      <c r="I10" s="18" t="s">
        <v>567</v>
      </c>
      <c r="J10" s="20" t="s">
        <v>567</v>
      </c>
      <c r="K10" s="18" t="n">
        <v>0.12828269</v>
      </c>
      <c r="L10" s="20" t="n">
        <v>0.08598513000000001</v>
      </c>
      <c r="M10" s="18" t="n">
        <v>0</v>
      </c>
      <c r="N10" s="20" t="n">
        <v>0</v>
      </c>
      <c r="O10" s="18" t="n">
        <v>0</v>
      </c>
      <c r="P10" s="20" t="n">
        <v>0</v>
      </c>
      <c r="Q10" s="18" t="n">
        <v>0.95673047</v>
      </c>
      <c r="R10" s="20" t="n">
        <v>0.31745837</v>
      </c>
    </row>
    <row r="11" spans="1:18">
      <c r="A11" s="15" t="s">
        <v>571</v>
      </c>
      <c r="B11" s="17" t="n">
        <v>3553</v>
      </c>
      <c r="C11" s="18">
        <f>(2767.0/B11*100)</f>
        <v/>
      </c>
      <c r="D11" s="19" t="n">
        <v>786</v>
      </c>
      <c r="E11" s="18" t="n">
        <v>29.59006319</v>
      </c>
      <c r="F11" s="20" t="n">
        <v>2.03652603</v>
      </c>
      <c r="G11" s="18" t="n">
        <v>69.43901042</v>
      </c>
      <c r="H11" s="20" t="n">
        <v>2.05402229</v>
      </c>
      <c r="I11" s="18" t="s">
        <v>567</v>
      </c>
      <c r="J11" s="20" t="s">
        <v>567</v>
      </c>
      <c r="K11" s="18" t="n">
        <v>0</v>
      </c>
      <c r="L11" s="20" t="n">
        <v>0</v>
      </c>
      <c r="M11" s="18" t="n">
        <v>0</v>
      </c>
      <c r="N11" s="20" t="n">
        <v>0</v>
      </c>
      <c r="O11" s="18" t="n">
        <v>0</v>
      </c>
      <c r="P11" s="20" t="n">
        <v>0</v>
      </c>
      <c r="Q11" s="18" t="n">
        <v>0.97092639</v>
      </c>
      <c r="R11" s="20" t="n">
        <v>0.40231464</v>
      </c>
    </row>
    <row r="12" spans="1:18">
      <c r="A12" s="15" t="s">
        <v>572</v>
      </c>
      <c r="B12" s="17" t="n">
        <v>3472</v>
      </c>
      <c r="C12" s="18">
        <f>(2719.0/B12*100)</f>
        <v/>
      </c>
      <c r="D12" s="19" t="n">
        <v>753</v>
      </c>
      <c r="E12" s="18" t="n">
        <v>21.23672091</v>
      </c>
      <c r="F12" s="20" t="n">
        <v>2.08461513</v>
      </c>
      <c r="G12" s="18" t="n">
        <v>78.13422180000001</v>
      </c>
      <c r="H12" s="20" t="n">
        <v>2.13487599</v>
      </c>
      <c r="I12" s="18" t="s">
        <v>567</v>
      </c>
      <c r="J12" s="20" t="s">
        <v>567</v>
      </c>
      <c r="K12" s="18" t="n">
        <v>0</v>
      </c>
      <c r="L12" s="20" t="n">
        <v>0</v>
      </c>
      <c r="M12" s="18" t="n">
        <v>0</v>
      </c>
      <c r="N12" s="20" t="n">
        <v>0</v>
      </c>
      <c r="O12" s="18" t="n">
        <v>0</v>
      </c>
      <c r="P12" s="20" t="n">
        <v>0</v>
      </c>
      <c r="Q12" s="18" t="n">
        <v>0.62905729</v>
      </c>
      <c r="R12" s="20" t="n">
        <v>0.25023641</v>
      </c>
    </row>
    <row r="13" spans="1:18">
      <c r="A13" s="15" t="s">
        <v>573</v>
      </c>
      <c r="B13" s="17" t="n">
        <v>3559</v>
      </c>
      <c r="C13" s="18">
        <f>(2841.0/B13*100)</f>
        <v/>
      </c>
      <c r="D13" s="19" t="n">
        <v>718</v>
      </c>
      <c r="E13" s="18" t="n">
        <v>17.01448637</v>
      </c>
      <c r="F13" s="20" t="n">
        <v>1.75897912</v>
      </c>
      <c r="G13" s="18" t="n">
        <v>82.26654524</v>
      </c>
      <c r="H13" s="20" t="n">
        <v>1.75790841</v>
      </c>
      <c r="I13" s="18" t="s">
        <v>567</v>
      </c>
      <c r="J13" s="20" t="s">
        <v>567</v>
      </c>
      <c r="K13" s="18" t="n">
        <v>0.303222</v>
      </c>
      <c r="L13" s="20" t="n">
        <v>0.32361165</v>
      </c>
      <c r="M13" s="18" t="n">
        <v>0</v>
      </c>
      <c r="N13" s="20" t="n">
        <v>0</v>
      </c>
      <c r="O13" s="18" t="n">
        <v>0</v>
      </c>
      <c r="P13" s="20" t="n">
        <v>0</v>
      </c>
      <c r="Q13" s="18" t="n">
        <v>0.41574639</v>
      </c>
      <c r="R13" s="20" t="n">
        <v>0.24659265</v>
      </c>
    </row>
    <row r="14" spans="1:18">
      <c r="A14" s="15" t="s">
        <v>574</v>
      </c>
      <c r="B14" s="17" t="n">
        <v>2799</v>
      </c>
      <c r="C14" s="18">
        <f>(2151.0/B14*100)</f>
        <v/>
      </c>
      <c r="D14" s="19" t="n">
        <v>648</v>
      </c>
      <c r="E14" s="18" t="n">
        <v>12.47203119</v>
      </c>
      <c r="F14" s="20" t="n">
        <v>1.22975078</v>
      </c>
      <c r="G14" s="18" t="n">
        <v>87.13103378</v>
      </c>
      <c r="H14" s="20" t="n">
        <v>1.24923629</v>
      </c>
      <c r="I14" s="18" t="s">
        <v>567</v>
      </c>
      <c r="J14" s="20" t="s">
        <v>567</v>
      </c>
      <c r="K14" s="18" t="n">
        <v>0</v>
      </c>
      <c r="L14" s="20" t="n">
        <v>0</v>
      </c>
      <c r="M14" s="18" t="n">
        <v>0</v>
      </c>
      <c r="N14" s="20" t="n">
        <v>0</v>
      </c>
      <c r="O14" s="18" t="n">
        <v>0</v>
      </c>
      <c r="P14" s="20" t="n">
        <v>0</v>
      </c>
      <c r="Q14" s="18" t="n">
        <v>0.39693503</v>
      </c>
      <c r="R14" s="20" t="n">
        <v>0.23316211</v>
      </c>
    </row>
    <row r="15" spans="1:18">
      <c r="A15" s="15" t="s">
        <v>575</v>
      </c>
      <c r="B15" s="17" t="n">
        <v>3019</v>
      </c>
      <c r="C15" s="18">
        <f>(2322.0/B15*100)</f>
        <v/>
      </c>
      <c r="D15" s="19" t="n">
        <v>697</v>
      </c>
      <c r="E15" s="18" t="n">
        <v>17.60612721</v>
      </c>
      <c r="F15" s="20" t="n">
        <v>1.29193824</v>
      </c>
      <c r="G15" s="18" t="n">
        <v>81.94356252</v>
      </c>
      <c r="H15" s="20" t="n">
        <v>1.28059091</v>
      </c>
      <c r="I15" s="18" t="s">
        <v>567</v>
      </c>
      <c r="J15" s="20" t="s">
        <v>567</v>
      </c>
      <c r="K15" s="18" t="n">
        <v>0</v>
      </c>
      <c r="L15" s="20" t="n">
        <v>0</v>
      </c>
      <c r="M15" s="18" t="n">
        <v>0</v>
      </c>
      <c r="N15" s="20" t="n">
        <v>0</v>
      </c>
      <c r="O15" s="18" t="n">
        <v>0</v>
      </c>
      <c r="P15" s="20" t="n">
        <v>0</v>
      </c>
      <c r="Q15" s="18" t="n">
        <v>0.45031026</v>
      </c>
      <c r="R15" s="20" t="n">
        <v>0.26709942</v>
      </c>
    </row>
    <row r="16" spans="1:18">
      <c r="A16" s="15" t="s">
        <v>576</v>
      </c>
      <c r="B16" s="17" t="n">
        <v>2997</v>
      </c>
      <c r="C16" s="18">
        <f>(2364.0/B16*100)</f>
        <v/>
      </c>
      <c r="D16" s="19" t="n">
        <v>633</v>
      </c>
      <c r="E16" s="18" t="n">
        <v>18.66699451</v>
      </c>
      <c r="F16" s="20" t="n">
        <v>1.69415552</v>
      </c>
      <c r="G16" s="18" t="n">
        <v>79.62166093</v>
      </c>
      <c r="H16" s="20" t="n">
        <v>1.7533184</v>
      </c>
      <c r="I16" s="18" t="s">
        <v>567</v>
      </c>
      <c r="J16" s="20" t="s">
        <v>567</v>
      </c>
      <c r="K16" s="18" t="n">
        <v>0.82481667</v>
      </c>
      <c r="L16" s="20" t="n">
        <v>0.3890832</v>
      </c>
      <c r="M16" s="18" t="n">
        <v>0</v>
      </c>
      <c r="N16" s="20" t="n">
        <v>0</v>
      </c>
      <c r="O16" s="18" t="n">
        <v>0</v>
      </c>
      <c r="P16" s="20" t="n">
        <v>0</v>
      </c>
      <c r="Q16" s="18" t="n">
        <v>0.88652789</v>
      </c>
      <c r="R16" s="20" t="n">
        <v>0.37631749</v>
      </c>
    </row>
    <row r="17" spans="1:18">
      <c r="A17" s="15" t="s">
        <v>577</v>
      </c>
      <c r="B17" s="17" t="n">
        <v>3307</v>
      </c>
      <c r="C17" s="18">
        <f>(2597.0/B17*100)</f>
        <v/>
      </c>
      <c r="D17" s="19" t="n">
        <v>710</v>
      </c>
      <c r="E17" s="18" t="n">
        <v>16.17142675</v>
      </c>
      <c r="F17" s="20" t="n">
        <v>1.47744762</v>
      </c>
      <c r="G17" s="18" t="n">
        <v>83.3187781</v>
      </c>
      <c r="H17" s="20" t="n">
        <v>1.48284975</v>
      </c>
      <c r="I17" s="18" t="s">
        <v>567</v>
      </c>
      <c r="J17" s="20" t="s">
        <v>567</v>
      </c>
      <c r="K17" s="18" t="n">
        <v>0</v>
      </c>
      <c r="L17" s="20" t="n">
        <v>0</v>
      </c>
      <c r="M17" s="18" t="n">
        <v>0</v>
      </c>
      <c r="N17" s="20" t="n">
        <v>0</v>
      </c>
      <c r="O17" s="18" t="n">
        <v>0</v>
      </c>
      <c r="P17" s="20" t="n">
        <v>0</v>
      </c>
      <c r="Q17" s="18" t="n">
        <v>0.50979515</v>
      </c>
      <c r="R17" s="20" t="n">
        <v>0.2959549</v>
      </c>
    </row>
    <row r="18" spans="1:18">
      <c r="A18" s="15" t="s">
        <v>578</v>
      </c>
      <c r="B18" s="17" t="n">
        <v>2826</v>
      </c>
      <c r="C18" s="18">
        <f>(2215.0/B18*100)</f>
        <v/>
      </c>
      <c r="D18" s="19" t="n">
        <v>611</v>
      </c>
      <c r="E18" s="18" t="n">
        <v>30.4376523</v>
      </c>
      <c r="F18" s="20" t="n">
        <v>2.25277062</v>
      </c>
      <c r="G18" s="18" t="n">
        <v>68.23971303</v>
      </c>
      <c r="H18" s="20" t="n">
        <v>2.22879583</v>
      </c>
      <c r="I18" s="18" t="s">
        <v>567</v>
      </c>
      <c r="J18" s="20" t="s">
        <v>567</v>
      </c>
      <c r="K18" s="18" t="n">
        <v>0</v>
      </c>
      <c r="L18" s="20" t="n">
        <v>0</v>
      </c>
      <c r="M18" s="18" t="n">
        <v>0</v>
      </c>
      <c r="N18" s="20" t="n">
        <v>0</v>
      </c>
      <c r="O18" s="18" t="n">
        <v>0</v>
      </c>
      <c r="P18" s="20" t="n">
        <v>0</v>
      </c>
      <c r="Q18" s="18" t="n">
        <v>1.32263466</v>
      </c>
      <c r="R18" s="20" t="n">
        <v>0.53386672</v>
      </c>
    </row>
    <row r="19" spans="1:18">
      <c r="A19" s="15" t="s">
        <v>579</v>
      </c>
      <c r="B19" s="17" t="n">
        <v>2808</v>
      </c>
      <c r="C19" s="18">
        <f>(2183.0/B19*100)</f>
        <v/>
      </c>
      <c r="D19" s="19" t="n">
        <v>625</v>
      </c>
      <c r="E19" s="18" t="n">
        <v>26.1841847</v>
      </c>
      <c r="F19" s="20" t="n">
        <v>1.93038007</v>
      </c>
      <c r="G19" s="18" t="n">
        <v>73.32620706</v>
      </c>
      <c r="H19" s="20" t="n">
        <v>1.88493556</v>
      </c>
      <c r="I19" s="18" t="s">
        <v>567</v>
      </c>
      <c r="J19" s="20" t="s">
        <v>567</v>
      </c>
      <c r="K19" s="18" t="n">
        <v>0</v>
      </c>
      <c r="L19" s="20" t="n">
        <v>0</v>
      </c>
      <c r="M19" s="18" t="n">
        <v>0</v>
      </c>
      <c r="N19" s="20" t="n">
        <v>0</v>
      </c>
      <c r="O19" s="18" t="n">
        <v>0</v>
      </c>
      <c r="P19" s="20" t="n">
        <v>0</v>
      </c>
      <c r="Q19" s="18" t="n">
        <v>0.48960824</v>
      </c>
      <c r="R19" s="20" t="n">
        <v>0.38188803</v>
      </c>
    </row>
    <row r="20" spans="1:18">
      <c r="A20" s="15" t="s">
        <v>580</v>
      </c>
      <c r="B20" s="17" t="n">
        <v>1630</v>
      </c>
      <c r="C20" s="18">
        <f>(1286.0/B20*100)</f>
        <v/>
      </c>
      <c r="D20" s="19" t="n">
        <v>344</v>
      </c>
      <c r="E20" s="18" t="n">
        <v>22.58073189</v>
      </c>
      <c r="F20" s="20" t="n">
        <v>2.30800965</v>
      </c>
      <c r="G20" s="18" t="n">
        <v>75.34403227</v>
      </c>
      <c r="H20" s="20" t="n">
        <v>2.32022281</v>
      </c>
      <c r="I20" s="18" t="s">
        <v>567</v>
      </c>
      <c r="J20" s="20" t="s">
        <v>567</v>
      </c>
      <c r="K20" s="18" t="n">
        <v>0.81300837</v>
      </c>
      <c r="L20" s="20" t="n">
        <v>0.47489187</v>
      </c>
      <c r="M20" s="18" t="n">
        <v>0</v>
      </c>
      <c r="N20" s="20" t="n">
        <v>0</v>
      </c>
      <c r="O20" s="18" t="n">
        <v>0</v>
      </c>
      <c r="P20" s="20" t="n">
        <v>0</v>
      </c>
      <c r="Q20" s="18" t="n">
        <v>1.26222748</v>
      </c>
      <c r="R20" s="20" t="n">
        <v>0.59651862</v>
      </c>
    </row>
    <row r="21" spans="1:18">
      <c r="A21" s="15" t="s">
        <v>581</v>
      </c>
      <c r="B21" s="17" t="n">
        <v>2908</v>
      </c>
      <c r="C21" s="18">
        <f>(2244.0/B21*100)</f>
        <v/>
      </c>
      <c r="D21" s="19" t="n">
        <v>664</v>
      </c>
      <c r="E21" s="18" t="n">
        <v>15.49440392</v>
      </c>
      <c r="F21" s="20" t="n">
        <v>1.71996245</v>
      </c>
      <c r="G21" s="18" t="n">
        <v>83.93021186999999</v>
      </c>
      <c r="H21" s="20" t="n">
        <v>1.74669384</v>
      </c>
      <c r="I21" s="18" t="s">
        <v>567</v>
      </c>
      <c r="J21" s="20" t="s">
        <v>567</v>
      </c>
      <c r="K21" s="18" t="n">
        <v>0.15856356</v>
      </c>
      <c r="L21" s="20" t="n">
        <v>0.16976078</v>
      </c>
      <c r="M21" s="18" t="n">
        <v>0</v>
      </c>
      <c r="N21" s="20" t="n">
        <v>0</v>
      </c>
      <c r="O21" s="18" t="n">
        <v>0</v>
      </c>
      <c r="P21" s="20" t="n">
        <v>0</v>
      </c>
      <c r="Q21" s="18" t="n">
        <v>0.41682065</v>
      </c>
      <c r="R21" s="20" t="n">
        <v>0.21877029</v>
      </c>
    </row>
    <row r="22" spans="1:18">
      <c r="A22" s="15" t="s">
        <v>582</v>
      </c>
      <c r="B22" s="17" t="n">
        <v>2931</v>
      </c>
      <c r="C22" s="18">
        <f>(2273.0/B22*100)</f>
        <v/>
      </c>
      <c r="D22" s="19" t="n">
        <v>658</v>
      </c>
      <c r="E22" s="18" t="n">
        <v>25.71295465</v>
      </c>
      <c r="F22" s="20" t="n">
        <v>2.18295895</v>
      </c>
      <c r="G22" s="18" t="n">
        <v>72.1885711</v>
      </c>
      <c r="H22" s="20" t="n">
        <v>2.15176892</v>
      </c>
      <c r="I22" s="18" t="s">
        <v>567</v>
      </c>
      <c r="J22" s="20" t="s">
        <v>567</v>
      </c>
      <c r="K22" s="18" t="n">
        <v>0</v>
      </c>
      <c r="L22" s="20" t="n">
        <v>0</v>
      </c>
      <c r="M22" s="18" t="n">
        <v>0</v>
      </c>
      <c r="N22" s="20" t="n">
        <v>0</v>
      </c>
      <c r="O22" s="18" t="n">
        <v>0</v>
      </c>
      <c r="P22" s="20" t="n">
        <v>0</v>
      </c>
      <c r="Q22" s="18" t="n">
        <v>2.09847425</v>
      </c>
      <c r="R22" s="20" t="n">
        <v>0.55532719</v>
      </c>
    </row>
    <row r="23" spans="1:18">
      <c r="A23" s="15" t="s">
        <v>583</v>
      </c>
      <c r="B23" s="17" t="n">
        <v>5791</v>
      </c>
      <c r="C23" s="18">
        <f>(4525.0/B23*100)</f>
        <v/>
      </c>
      <c r="D23" s="19" t="n">
        <v>1266</v>
      </c>
      <c r="E23" s="18" t="n">
        <v>23.48502871</v>
      </c>
      <c r="F23" s="20" t="n">
        <v>2.38262587</v>
      </c>
      <c r="G23" s="18" t="n">
        <v>75.6270325</v>
      </c>
      <c r="H23" s="20" t="n">
        <v>2.43199426</v>
      </c>
      <c r="I23" s="18" t="s">
        <v>567</v>
      </c>
      <c r="J23" s="20" t="s">
        <v>567</v>
      </c>
      <c r="K23" s="18" t="n">
        <v>0.22783416</v>
      </c>
      <c r="L23" s="20" t="n">
        <v>0.16664018</v>
      </c>
      <c r="M23" s="18" t="n">
        <v>0</v>
      </c>
      <c r="N23" s="20" t="n">
        <v>0</v>
      </c>
      <c r="O23" s="18" t="n">
        <v>0</v>
      </c>
      <c r="P23" s="20" t="n">
        <v>0</v>
      </c>
      <c r="Q23" s="18" t="n">
        <v>0.66010463</v>
      </c>
      <c r="R23" s="20" t="n">
        <v>0.38982917</v>
      </c>
    </row>
    <row r="24" spans="1:18">
      <c r="A24" s="15" t="s">
        <v>584</v>
      </c>
      <c r="B24" s="17" t="n">
        <v>3338</v>
      </c>
      <c r="C24" s="18">
        <f>(2588.0/B24*100)</f>
        <v/>
      </c>
      <c r="D24" s="19" t="n">
        <v>750</v>
      </c>
      <c r="E24" s="18" t="n">
        <v>13.72437729</v>
      </c>
      <c r="F24" s="20" t="n">
        <v>1.36618947</v>
      </c>
      <c r="G24" s="18" t="n">
        <v>85.88676433000001</v>
      </c>
      <c r="H24" s="20" t="n">
        <v>1.3671321</v>
      </c>
      <c r="I24" s="18" t="s">
        <v>567</v>
      </c>
      <c r="J24" s="20" t="s">
        <v>567</v>
      </c>
      <c r="K24" s="18" t="n">
        <v>0.38885838</v>
      </c>
      <c r="L24" s="20" t="n">
        <v>0.22390759</v>
      </c>
      <c r="M24" s="18" t="n">
        <v>0</v>
      </c>
      <c r="N24" s="20" t="n">
        <v>0</v>
      </c>
      <c r="O24" s="18" t="n">
        <v>0</v>
      </c>
      <c r="P24" s="20" t="n">
        <v>0</v>
      </c>
      <c r="Q24" s="18" t="n">
        <v>0</v>
      </c>
      <c r="R24" s="20" t="n">
        <v>0</v>
      </c>
    </row>
    <row r="25" spans="1:18">
      <c r="A25" s="15" t="s">
        <v>585</v>
      </c>
      <c r="B25" s="17" t="n">
        <v>2912</v>
      </c>
      <c r="C25" s="18">
        <f>(2269.0/B25*100)</f>
        <v/>
      </c>
      <c r="D25" s="19" t="n">
        <v>643</v>
      </c>
      <c r="E25" s="18" t="n">
        <v>14.92251996</v>
      </c>
      <c r="F25" s="20" t="n">
        <v>1.61339183</v>
      </c>
      <c r="G25" s="18" t="n">
        <v>84.64469672</v>
      </c>
      <c r="H25" s="20" t="n">
        <v>1.6526621</v>
      </c>
      <c r="I25" s="18" t="s">
        <v>567</v>
      </c>
      <c r="J25" s="20" t="s">
        <v>567</v>
      </c>
      <c r="K25" s="18" t="n">
        <v>0</v>
      </c>
      <c r="L25" s="20" t="n">
        <v>0</v>
      </c>
      <c r="M25" s="18" t="n">
        <v>0</v>
      </c>
      <c r="N25" s="20" t="n">
        <v>0</v>
      </c>
      <c r="O25" s="18" t="n">
        <v>0</v>
      </c>
      <c r="P25" s="20" t="n">
        <v>0</v>
      </c>
      <c r="Q25" s="18" t="n">
        <v>0.43278332</v>
      </c>
      <c r="R25" s="20" t="n">
        <v>0.25942734</v>
      </c>
    </row>
    <row r="26" spans="1:18">
      <c r="A26" s="15" t="s">
        <v>586</v>
      </c>
      <c r="B26" s="17" t="n">
        <v>2450</v>
      </c>
      <c r="C26" s="18">
        <f>(1892.0/B26*100)</f>
        <v/>
      </c>
      <c r="D26" s="19" t="n">
        <v>558</v>
      </c>
      <c r="E26" s="18" t="n">
        <v>20.64182014</v>
      </c>
      <c r="F26" s="20" t="n">
        <v>1.77749762</v>
      </c>
      <c r="G26" s="18" t="n">
        <v>79.04821248</v>
      </c>
      <c r="H26" s="20" t="n">
        <v>1.76029766</v>
      </c>
      <c r="I26" s="18" t="s">
        <v>567</v>
      </c>
      <c r="J26" s="20" t="s">
        <v>567</v>
      </c>
      <c r="K26" s="18" t="n">
        <v>0</v>
      </c>
      <c r="L26" s="20" t="n">
        <v>0</v>
      </c>
      <c r="M26" s="18" t="n">
        <v>0</v>
      </c>
      <c r="N26" s="20" t="n">
        <v>0</v>
      </c>
      <c r="O26" s="18" t="n">
        <v>0</v>
      </c>
      <c r="P26" s="20" t="n">
        <v>0</v>
      </c>
      <c r="Q26" s="18" t="n">
        <v>0.30996738</v>
      </c>
      <c r="R26" s="20" t="n">
        <v>0.21992932</v>
      </c>
    </row>
    <row r="27" spans="1:18">
      <c r="A27" s="15" t="s">
        <v>587</v>
      </c>
      <c r="B27" s="17" t="n">
        <v>2616</v>
      </c>
      <c r="C27" s="18">
        <f>(2058.0/B27*100)</f>
        <v/>
      </c>
      <c r="D27" s="19" t="n">
        <v>558</v>
      </c>
      <c r="E27" s="18" t="n">
        <v>21.68253648</v>
      </c>
      <c r="F27" s="20" t="n">
        <v>1.98869404</v>
      </c>
      <c r="G27" s="18" t="n">
        <v>77.0092497</v>
      </c>
      <c r="H27" s="20" t="n">
        <v>1.94218733</v>
      </c>
      <c r="I27" s="18" t="s">
        <v>567</v>
      </c>
      <c r="J27" s="20" t="s">
        <v>567</v>
      </c>
      <c r="K27" s="18" t="n">
        <v>0</v>
      </c>
      <c r="L27" s="20" t="n">
        <v>0</v>
      </c>
      <c r="M27" s="18" t="n">
        <v>0</v>
      </c>
      <c r="N27" s="20" t="n">
        <v>0</v>
      </c>
      <c r="O27" s="18" t="n">
        <v>0</v>
      </c>
      <c r="P27" s="20" t="n">
        <v>0</v>
      </c>
      <c r="Q27" s="18" t="n">
        <v>1.30821383</v>
      </c>
      <c r="R27" s="20" t="n">
        <v>0.57266547</v>
      </c>
    </row>
    <row r="28" spans="1:18">
      <c r="A28" s="15" t="s">
        <v>588</v>
      </c>
      <c r="B28" s="17" t="n">
        <v>3765</v>
      </c>
      <c r="C28" s="18">
        <f>(2910.0/B28*100)</f>
        <v/>
      </c>
      <c r="D28" s="19" t="n">
        <v>855</v>
      </c>
      <c r="E28" s="18" t="n">
        <v>35.41635468</v>
      </c>
      <c r="F28" s="20" t="n">
        <v>2.03571403</v>
      </c>
      <c r="G28" s="18" t="n">
        <v>64.31091655</v>
      </c>
      <c r="H28" s="20" t="n">
        <v>2.06046492</v>
      </c>
      <c r="I28" s="18" t="s">
        <v>567</v>
      </c>
      <c r="J28" s="20" t="s">
        <v>567</v>
      </c>
      <c r="K28" s="18" t="n">
        <v>0.07467535</v>
      </c>
      <c r="L28" s="20" t="n">
        <v>0.07510994</v>
      </c>
      <c r="M28" s="18" t="n">
        <v>0</v>
      </c>
      <c r="N28" s="20" t="n">
        <v>0</v>
      </c>
      <c r="O28" s="18" t="n">
        <v>0</v>
      </c>
      <c r="P28" s="20" t="n">
        <v>0</v>
      </c>
      <c r="Q28" s="18" t="n">
        <v>0.19805343</v>
      </c>
      <c r="R28" s="20" t="n">
        <v>0.12746276</v>
      </c>
    </row>
    <row r="29" spans="1:18">
      <c r="A29" s="15" t="s">
        <v>589</v>
      </c>
      <c r="B29" s="17" t="n">
        <v>2685</v>
      </c>
      <c r="C29" s="18">
        <f>(2100.0/B29*100)</f>
        <v/>
      </c>
      <c r="D29" s="19" t="n">
        <v>585</v>
      </c>
      <c r="E29" s="18" t="n">
        <v>14.22348634</v>
      </c>
      <c r="F29" s="20" t="n">
        <v>1.62704759</v>
      </c>
      <c r="G29" s="18" t="n">
        <v>85.14933259999999</v>
      </c>
      <c r="H29" s="20" t="n">
        <v>1.69239076</v>
      </c>
      <c r="I29" s="18" t="s">
        <v>567</v>
      </c>
      <c r="J29" s="20" t="s">
        <v>567</v>
      </c>
      <c r="K29" s="18" t="n">
        <v>0.17633862</v>
      </c>
      <c r="L29" s="20" t="n">
        <v>0.17606746</v>
      </c>
      <c r="M29" s="18" t="n">
        <v>0</v>
      </c>
      <c r="N29" s="20" t="n">
        <v>0</v>
      </c>
      <c r="O29" s="18" t="n">
        <v>0</v>
      </c>
      <c r="P29" s="20" t="n">
        <v>0</v>
      </c>
      <c r="Q29" s="18" t="n">
        <v>0.45084244</v>
      </c>
      <c r="R29" s="20" t="n">
        <v>0.27474947</v>
      </c>
    </row>
    <row r="30" spans="1:18">
      <c r="A30" s="15" t="s">
        <v>590</v>
      </c>
      <c r="B30" s="17" t="n">
        <v>2263</v>
      </c>
      <c r="C30" s="18">
        <f>(1756.0/B30*100)</f>
        <v/>
      </c>
      <c r="D30" s="19" t="n">
        <v>507</v>
      </c>
      <c r="E30" s="18" t="n">
        <v>15.39934069</v>
      </c>
      <c r="F30" s="20" t="n">
        <v>1.57694583</v>
      </c>
      <c r="G30" s="18" t="n">
        <v>83.18792386</v>
      </c>
      <c r="H30" s="20" t="n">
        <v>1.66272459</v>
      </c>
      <c r="I30" s="18" t="s">
        <v>567</v>
      </c>
      <c r="J30" s="20" t="s">
        <v>567</v>
      </c>
      <c r="K30" s="18" t="n">
        <v>0</v>
      </c>
      <c r="L30" s="20" t="n">
        <v>0</v>
      </c>
      <c r="M30" s="18" t="n">
        <v>0</v>
      </c>
      <c r="N30" s="20" t="n">
        <v>0</v>
      </c>
      <c r="O30" s="18" t="n">
        <v>0</v>
      </c>
      <c r="P30" s="20" t="n">
        <v>0</v>
      </c>
      <c r="Q30" s="18" t="n">
        <v>1.41273545</v>
      </c>
      <c r="R30" s="20" t="n">
        <v>0.50943755</v>
      </c>
    </row>
    <row r="31" spans="1:18">
      <c r="A31" s="15" t="s">
        <v>591</v>
      </c>
      <c r="B31" s="17" t="n">
        <v>2750</v>
      </c>
      <c r="C31" s="18">
        <f>(2152.0/B31*100)</f>
        <v/>
      </c>
      <c r="D31" s="19" t="n">
        <v>598</v>
      </c>
      <c r="E31" s="18" t="n">
        <v>19.39299727</v>
      </c>
      <c r="F31" s="20" t="n">
        <v>1.57328488</v>
      </c>
      <c r="G31" s="18" t="n">
        <v>79.55965514</v>
      </c>
      <c r="H31" s="20" t="n">
        <v>1.61011802</v>
      </c>
      <c r="I31" s="18" t="s">
        <v>567</v>
      </c>
      <c r="J31" s="20" t="s">
        <v>567</v>
      </c>
      <c r="K31" s="18" t="n">
        <v>0.34217828</v>
      </c>
      <c r="L31" s="20" t="n">
        <v>0.24057225</v>
      </c>
      <c r="M31" s="18" t="n">
        <v>0</v>
      </c>
      <c r="N31" s="20" t="n">
        <v>0</v>
      </c>
      <c r="O31" s="18" t="n">
        <v>0</v>
      </c>
      <c r="P31" s="20" t="n">
        <v>0</v>
      </c>
      <c r="Q31" s="18" t="n">
        <v>0.70516931</v>
      </c>
      <c r="R31" s="20" t="n">
        <v>0.32413274</v>
      </c>
    </row>
    <row r="32" spans="1:18">
      <c r="A32" s="15" t="s">
        <v>592</v>
      </c>
      <c r="B32" s="17" t="n">
        <v>2269</v>
      </c>
      <c r="C32" s="18">
        <f>(1762.0/B32*100)</f>
        <v/>
      </c>
      <c r="D32" s="19" t="n">
        <v>507</v>
      </c>
      <c r="E32" s="18" t="n">
        <v>14.64879734</v>
      </c>
      <c r="F32" s="20" t="n">
        <v>1.51689617</v>
      </c>
      <c r="G32" s="18" t="n">
        <v>84.77426909</v>
      </c>
      <c r="H32" s="20" t="n">
        <v>1.53824938</v>
      </c>
      <c r="I32" s="18" t="s">
        <v>567</v>
      </c>
      <c r="J32" s="20" t="s">
        <v>567</v>
      </c>
      <c r="K32" s="18" t="n">
        <v>0</v>
      </c>
      <c r="L32" s="20" t="n">
        <v>0</v>
      </c>
      <c r="M32" s="18" t="n">
        <v>0</v>
      </c>
      <c r="N32" s="20" t="n">
        <v>0</v>
      </c>
      <c r="O32" s="18" t="n">
        <v>0</v>
      </c>
      <c r="P32" s="20" t="n">
        <v>0</v>
      </c>
      <c r="Q32" s="18" t="n">
        <v>0.57693357</v>
      </c>
      <c r="R32" s="20" t="n">
        <v>0.3108825</v>
      </c>
    </row>
    <row r="33" spans="1:18">
      <c r="A33" s="15" t="s">
        <v>593</v>
      </c>
      <c r="B33" s="17" t="n">
        <v>3674</v>
      </c>
      <c r="C33" s="18">
        <f>(2844.0/B33*100)</f>
        <v/>
      </c>
      <c r="D33" s="19" t="n">
        <v>830</v>
      </c>
      <c r="E33" s="18" t="n">
        <v>17.71738471</v>
      </c>
      <c r="F33" s="20" t="n">
        <v>1.5936945</v>
      </c>
      <c r="G33" s="18" t="n">
        <v>81.35179074</v>
      </c>
      <c r="H33" s="20" t="n">
        <v>1.6490764</v>
      </c>
      <c r="I33" s="18" t="s">
        <v>567</v>
      </c>
      <c r="J33" s="20" t="s">
        <v>567</v>
      </c>
      <c r="K33" s="18" t="n">
        <v>0.04651077</v>
      </c>
      <c r="L33" s="20" t="n">
        <v>0.0575851</v>
      </c>
      <c r="M33" s="18" t="n">
        <v>0</v>
      </c>
      <c r="N33" s="20" t="n">
        <v>0</v>
      </c>
      <c r="O33" s="18" t="n">
        <v>0</v>
      </c>
      <c r="P33" s="20" t="n">
        <v>0</v>
      </c>
      <c r="Q33" s="18" t="n">
        <v>0.88431379</v>
      </c>
      <c r="R33" s="20" t="n">
        <v>0.48275365</v>
      </c>
    </row>
    <row r="34" spans="1:18">
      <c r="A34" s="15" t="s">
        <v>594</v>
      </c>
      <c r="B34" s="17" t="n">
        <v>3315</v>
      </c>
      <c r="C34" s="18">
        <f>(2601.0/B34*100)</f>
        <v/>
      </c>
      <c r="D34" s="19" t="n">
        <v>714</v>
      </c>
      <c r="E34" s="18" t="n">
        <v>24.56892631</v>
      </c>
      <c r="F34" s="20" t="n">
        <v>1.81443178</v>
      </c>
      <c r="G34" s="18" t="n">
        <v>74.59230339</v>
      </c>
      <c r="H34" s="20" t="n">
        <v>1.86797068</v>
      </c>
      <c r="I34" s="18" t="s">
        <v>567</v>
      </c>
      <c r="J34" s="20" t="s">
        <v>567</v>
      </c>
      <c r="K34" s="18" t="n">
        <v>0</v>
      </c>
      <c r="L34" s="20" t="n">
        <v>0</v>
      </c>
      <c r="M34" s="18" t="n">
        <v>0</v>
      </c>
      <c r="N34" s="20" t="n">
        <v>0</v>
      </c>
      <c r="O34" s="18" t="n">
        <v>0</v>
      </c>
      <c r="P34" s="20" t="n">
        <v>0</v>
      </c>
      <c r="Q34" s="18" t="n">
        <v>0.8387703</v>
      </c>
      <c r="R34" s="20" t="n">
        <v>0.28068655</v>
      </c>
    </row>
    <row r="35" spans="1:18">
      <c r="A35" s="15" t="s">
        <v>595</v>
      </c>
      <c r="B35" s="17" t="n">
        <v>3505</v>
      </c>
      <c r="C35" s="18">
        <f>(2784.0/B35*100)</f>
        <v/>
      </c>
      <c r="D35" s="19" t="n">
        <v>721</v>
      </c>
      <c r="E35" s="18" t="n">
        <v>17.40589662</v>
      </c>
      <c r="F35" s="20" t="n">
        <v>1.80383034</v>
      </c>
      <c r="G35" s="18" t="n">
        <v>82.34396279000001</v>
      </c>
      <c r="H35" s="20" t="n">
        <v>1.8027351</v>
      </c>
      <c r="I35" s="18" t="s">
        <v>567</v>
      </c>
      <c r="J35" s="20" t="s">
        <v>567</v>
      </c>
      <c r="K35" s="18" t="n">
        <v>0.18730495</v>
      </c>
      <c r="L35" s="20" t="n">
        <v>0.13906735</v>
      </c>
      <c r="M35" s="18" t="n">
        <v>0</v>
      </c>
      <c r="N35" s="20" t="n">
        <v>0</v>
      </c>
      <c r="O35" s="18" t="n">
        <v>0</v>
      </c>
      <c r="P35" s="20" t="n">
        <v>0</v>
      </c>
      <c r="Q35" s="18" t="n">
        <v>0.06283565000000001</v>
      </c>
      <c r="R35" s="20" t="n">
        <v>0.06437991</v>
      </c>
    </row>
    <row r="36" spans="1:18">
      <c r="A36" s="15" t="s">
        <v>596</v>
      </c>
      <c r="B36" s="17" t="n">
        <v>3332</v>
      </c>
      <c r="C36" s="18">
        <f>(2588.0/B36*100)</f>
        <v/>
      </c>
      <c r="D36" s="19" t="n">
        <v>744</v>
      </c>
      <c r="E36" s="18" t="n">
        <v>21.2955264</v>
      </c>
      <c r="F36" s="20" t="n">
        <v>1.54914754</v>
      </c>
      <c r="G36" s="18" t="n">
        <v>77.71276548</v>
      </c>
      <c r="H36" s="20" t="n">
        <v>1.64641693</v>
      </c>
      <c r="I36" s="18" t="s">
        <v>567</v>
      </c>
      <c r="J36" s="20" t="s">
        <v>567</v>
      </c>
      <c r="K36" s="18" t="n">
        <v>0.2711998</v>
      </c>
      <c r="L36" s="20" t="n">
        <v>0.19919755</v>
      </c>
      <c r="M36" s="18" t="n">
        <v>0</v>
      </c>
      <c r="N36" s="20" t="n">
        <v>0</v>
      </c>
      <c r="O36" s="18" t="n">
        <v>0</v>
      </c>
      <c r="P36" s="20" t="n">
        <v>0</v>
      </c>
      <c r="Q36" s="18" t="n">
        <v>0.72050831</v>
      </c>
      <c r="R36" s="20" t="n">
        <v>0.33789939</v>
      </c>
    </row>
    <row r="37" spans="1:18">
      <c r="A37" s="15" t="s">
        <v>597</v>
      </c>
      <c r="B37" s="17" t="n">
        <v>2727</v>
      </c>
      <c r="C37" s="18">
        <f>(2115.0/B37*100)</f>
        <v/>
      </c>
      <c r="D37" s="19" t="n">
        <v>612</v>
      </c>
      <c r="E37" s="18" t="n">
        <v>18.7634762</v>
      </c>
      <c r="F37" s="20" t="n">
        <v>1.57022168</v>
      </c>
      <c r="G37" s="18" t="n">
        <v>80.25569706</v>
      </c>
      <c r="H37" s="20" t="n">
        <v>1.60487353</v>
      </c>
      <c r="I37" s="18" t="s">
        <v>567</v>
      </c>
      <c r="J37" s="20" t="s">
        <v>567</v>
      </c>
      <c r="K37" s="18" t="n">
        <v>0.29669227</v>
      </c>
      <c r="L37" s="20" t="n">
        <v>0.21067609</v>
      </c>
      <c r="M37" s="18" t="n">
        <v>0</v>
      </c>
      <c r="N37" s="20" t="n">
        <v>0</v>
      </c>
      <c r="O37" s="18" t="n">
        <v>0</v>
      </c>
      <c r="P37" s="20" t="n">
        <v>0</v>
      </c>
      <c r="Q37" s="18" t="n">
        <v>0.68413448</v>
      </c>
      <c r="R37" s="20" t="n">
        <v>0.35685481</v>
      </c>
    </row>
    <row r="38" spans="1:18">
      <c r="A38" s="15" t="s">
        <v>598</v>
      </c>
      <c r="B38" s="17" t="n">
        <v>3053</v>
      </c>
      <c r="C38" s="18">
        <f>(2383.0/B38*100)</f>
        <v/>
      </c>
      <c r="D38" s="19" t="n">
        <v>670</v>
      </c>
      <c r="E38" s="18" t="n">
        <v>16.86677637</v>
      </c>
      <c r="F38" s="20" t="n">
        <v>1.46549763</v>
      </c>
      <c r="G38" s="18" t="n">
        <v>82.21196906</v>
      </c>
      <c r="H38" s="20" t="n">
        <v>1.53735276</v>
      </c>
      <c r="I38" s="18" t="s">
        <v>567</v>
      </c>
      <c r="J38" s="20" t="s">
        <v>567</v>
      </c>
      <c r="K38" s="18" t="n">
        <v>0.19326203</v>
      </c>
      <c r="L38" s="20" t="n">
        <v>0.1908274</v>
      </c>
      <c r="M38" s="18" t="n">
        <v>0</v>
      </c>
      <c r="N38" s="20" t="n">
        <v>0</v>
      </c>
      <c r="O38" s="18" t="n">
        <v>0</v>
      </c>
      <c r="P38" s="20" t="n">
        <v>0</v>
      </c>
      <c r="Q38" s="18" t="n">
        <v>0.72799253</v>
      </c>
      <c r="R38" s="20" t="n">
        <v>0.3445703</v>
      </c>
    </row>
    <row r="39" spans="1:18">
      <c r="A39" s="15" t="s">
        <v>599</v>
      </c>
      <c r="B39" s="17" t="n">
        <v>2957</v>
      </c>
      <c r="C39" s="18">
        <f>(2265.0/B39*100)</f>
        <v/>
      </c>
      <c r="D39" s="19" t="n">
        <v>692</v>
      </c>
      <c r="E39" s="18" t="n">
        <v>40.32211192</v>
      </c>
      <c r="F39" s="20" t="n">
        <v>2.63358315</v>
      </c>
      <c r="G39" s="18" t="n">
        <v>59.12268325</v>
      </c>
      <c r="H39" s="20" t="n">
        <v>2.6030283</v>
      </c>
      <c r="I39" s="18" t="s">
        <v>567</v>
      </c>
      <c r="J39" s="20" t="s">
        <v>567</v>
      </c>
      <c r="K39" s="18" t="n">
        <v>0</v>
      </c>
      <c r="L39" s="20" t="n">
        <v>0</v>
      </c>
      <c r="M39" s="18" t="n">
        <v>0</v>
      </c>
      <c r="N39" s="20" t="n">
        <v>0</v>
      </c>
      <c r="O39" s="18" t="n">
        <v>0</v>
      </c>
      <c r="P39" s="20" t="n">
        <v>0</v>
      </c>
      <c r="Q39" s="18" t="n">
        <v>0.55520484</v>
      </c>
      <c r="R39" s="20" t="n">
        <v>0.2985945</v>
      </c>
    </row>
    <row r="40" spans="1:18">
      <c r="A40" s="15" t="s">
        <v>600</v>
      </c>
      <c r="B40" s="17" t="n">
        <v>7235</v>
      </c>
      <c r="C40" s="18">
        <f>(5668.0/B40*100)</f>
        <v/>
      </c>
      <c r="D40" s="19" t="n">
        <v>1567</v>
      </c>
      <c r="E40" s="18" t="n">
        <v>13.65555383</v>
      </c>
      <c r="F40" s="20" t="n">
        <v>1.65187969</v>
      </c>
      <c r="G40" s="18" t="n">
        <v>84.90449895</v>
      </c>
      <c r="H40" s="20" t="n">
        <v>1.73317971</v>
      </c>
      <c r="I40" s="18" t="s">
        <v>567</v>
      </c>
      <c r="J40" s="20" t="s">
        <v>567</v>
      </c>
      <c r="K40" s="18" t="n">
        <v>0.20778363</v>
      </c>
      <c r="L40" s="20" t="n">
        <v>0.22300328</v>
      </c>
      <c r="M40" s="18" t="n">
        <v>0</v>
      </c>
      <c r="N40" s="20" t="n">
        <v>0</v>
      </c>
      <c r="O40" s="18" t="n">
        <v>0</v>
      </c>
      <c r="P40" s="20" t="n">
        <v>0</v>
      </c>
      <c r="Q40" s="18" t="n">
        <v>1.23216358</v>
      </c>
      <c r="R40" s="20" t="n">
        <v>0.5328744399999999</v>
      </c>
    </row>
    <row r="41" spans="1:18">
      <c r="A41" s="15" t="s">
        <v>601</v>
      </c>
      <c r="B41" s="17" t="n">
        <v>2858</v>
      </c>
      <c r="C41" s="18">
        <f>(2283.0/B41*100)</f>
        <v/>
      </c>
      <c r="D41" s="19" t="n">
        <v>575</v>
      </c>
      <c r="E41" s="18" t="n">
        <v>12.66108082</v>
      </c>
      <c r="F41" s="20" t="n">
        <v>1.51684687</v>
      </c>
      <c r="G41" s="18" t="n">
        <v>86.67664258000001</v>
      </c>
      <c r="H41" s="20" t="n">
        <v>1.65336294</v>
      </c>
      <c r="I41" s="18" t="s">
        <v>567</v>
      </c>
      <c r="J41" s="20" t="s">
        <v>567</v>
      </c>
      <c r="K41" s="18" t="n">
        <v>0</v>
      </c>
      <c r="L41" s="20" t="n">
        <v>0</v>
      </c>
      <c r="M41" s="18" t="n">
        <v>0</v>
      </c>
      <c r="N41" s="20" t="n">
        <v>0</v>
      </c>
      <c r="O41" s="18" t="n">
        <v>0</v>
      </c>
      <c r="P41" s="20" t="n">
        <v>0</v>
      </c>
      <c r="Q41" s="18" t="n">
        <v>0.6622766</v>
      </c>
      <c r="R41" s="20" t="n">
        <v>0.56952418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(9038.0/B46*100)</f>
        <v/>
      </c>
      <c r="D46" s="19" t="n">
        <v>2030</v>
      </c>
      <c r="E46" s="18" t="n">
        <v>44.63045039</v>
      </c>
      <c r="F46" s="20" t="n">
        <v>1.68509929</v>
      </c>
      <c r="G46" s="18" t="n">
        <v>53.29397006</v>
      </c>
      <c r="H46" s="20" t="n">
        <v>1.68077219</v>
      </c>
      <c r="I46" s="18" t="s">
        <v>567</v>
      </c>
      <c r="J46" s="20" t="s">
        <v>567</v>
      </c>
      <c r="K46" s="18" t="n">
        <v>0.55089549</v>
      </c>
      <c r="L46" s="20" t="n">
        <v>0.22875555</v>
      </c>
      <c r="M46" s="18" t="n">
        <v>0</v>
      </c>
      <c r="N46" s="20" t="n">
        <v>0</v>
      </c>
      <c r="O46" s="18" t="n">
        <v>0</v>
      </c>
      <c r="P46" s="20" t="n">
        <v>0</v>
      </c>
      <c r="Q46" s="18" t="n">
        <v>1.52468406</v>
      </c>
      <c r="R46" s="20" t="n">
        <v>0.34386065</v>
      </c>
    </row>
    <row r="47" spans="1:18">
      <c r="A47" s="15" t="s">
        <v>607</v>
      </c>
      <c r="B47" s="17" t="n">
        <v>3105</v>
      </c>
      <c r="C47" s="18">
        <f>(2394.0/B47*100)</f>
        <v/>
      </c>
      <c r="D47" s="19" t="n">
        <v>711</v>
      </c>
      <c r="E47" s="18" t="n">
        <v>36.72638677</v>
      </c>
      <c r="F47" s="20" t="n">
        <v>2.17233836</v>
      </c>
      <c r="G47" s="18" t="n">
        <v>62.35102661</v>
      </c>
      <c r="H47" s="20" t="n">
        <v>2.24114069</v>
      </c>
      <c r="I47" s="18" t="s">
        <v>567</v>
      </c>
      <c r="J47" s="20" t="s">
        <v>567</v>
      </c>
      <c r="K47" s="18" t="n">
        <v>0.25997364</v>
      </c>
      <c r="L47" s="20" t="n">
        <v>0.01098627</v>
      </c>
      <c r="M47" s="18" t="n">
        <v>0</v>
      </c>
      <c r="N47" s="20" t="n">
        <v>0</v>
      </c>
      <c r="O47" s="18" t="n">
        <v>0</v>
      </c>
      <c r="P47" s="20" t="n">
        <v>0</v>
      </c>
      <c r="Q47" s="18" t="n">
        <v>0.66261298</v>
      </c>
      <c r="R47" s="20" t="n">
        <v>0.30867251</v>
      </c>
    </row>
    <row r="48" spans="1:18">
      <c r="A48" s="15" t="s">
        <v>608</v>
      </c>
      <c r="B48" s="17" t="n">
        <v>5159</v>
      </c>
      <c r="C48" s="18">
        <f>(4041.0/B48*100)</f>
        <v/>
      </c>
      <c r="D48" s="19" t="n">
        <v>1118</v>
      </c>
      <c r="E48" s="18" t="n">
        <v>17.89159215</v>
      </c>
      <c r="F48" s="20" t="n">
        <v>2.12281811</v>
      </c>
      <c r="G48" s="18" t="n">
        <v>81.59957027999999</v>
      </c>
      <c r="H48" s="20" t="n">
        <v>2.17763907</v>
      </c>
      <c r="I48" s="18" t="s">
        <v>567</v>
      </c>
      <c r="J48" s="20" t="s">
        <v>567</v>
      </c>
      <c r="K48" s="18" t="n">
        <v>0</v>
      </c>
      <c r="L48" s="20" t="n">
        <v>0</v>
      </c>
      <c r="M48" s="18" t="n">
        <v>0</v>
      </c>
      <c r="N48" s="20" t="n">
        <v>0</v>
      </c>
      <c r="O48" s="18" t="n">
        <v>0</v>
      </c>
      <c r="P48" s="20" t="n">
        <v>0</v>
      </c>
      <c r="Q48" s="18" t="n">
        <v>0.50883757</v>
      </c>
      <c r="R48" s="20" t="n">
        <v>0.25859934</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(4375.0/B50*100)</f>
        <v/>
      </c>
      <c r="D50" s="19" t="n">
        <v>1262</v>
      </c>
      <c r="E50" s="18" t="n">
        <v>39.11744475</v>
      </c>
      <c r="F50" s="20" t="n">
        <v>2.05972826</v>
      </c>
      <c r="G50" s="18" t="n">
        <v>59.30958211</v>
      </c>
      <c r="H50" s="20" t="n">
        <v>2.02640903</v>
      </c>
      <c r="I50" s="18" t="s">
        <v>567</v>
      </c>
      <c r="J50" s="20" t="s">
        <v>567</v>
      </c>
      <c r="K50" s="18" t="n">
        <v>0.58922185</v>
      </c>
      <c r="L50" s="20" t="n">
        <v>0.42219375</v>
      </c>
      <c r="M50" s="18" t="n">
        <v>0</v>
      </c>
      <c r="N50" s="20" t="n">
        <v>0</v>
      </c>
      <c r="O50" s="18" t="n">
        <v>0</v>
      </c>
      <c r="P50" s="20" t="n">
        <v>0</v>
      </c>
      <c r="Q50" s="18" t="n">
        <v>0.9837512899999999</v>
      </c>
      <c r="R50" s="20" t="n">
        <v>0.36644085</v>
      </c>
    </row>
    <row r="51" spans="1:18">
      <c r="A51" s="15" t="s">
        <v>611</v>
      </c>
      <c r="B51" s="17" t="n">
        <v>3372</v>
      </c>
      <c r="C51" s="18">
        <f>(2752.0/B51*100)</f>
        <v/>
      </c>
      <c r="D51" s="19" t="n">
        <v>620</v>
      </c>
      <c r="E51" s="18" t="n">
        <v>34.63035385</v>
      </c>
      <c r="F51" s="20" t="n">
        <v>2.02370579</v>
      </c>
      <c r="G51" s="18" t="n">
        <v>64.17155726999999</v>
      </c>
      <c r="H51" s="20" t="n">
        <v>2.02317026</v>
      </c>
      <c r="I51" s="18" t="s">
        <v>567</v>
      </c>
      <c r="J51" s="20" t="s">
        <v>567</v>
      </c>
      <c r="K51" s="18" t="n">
        <v>0.11544184</v>
      </c>
      <c r="L51" s="20" t="n">
        <v>0.11610486</v>
      </c>
      <c r="M51" s="18" t="n">
        <v>0</v>
      </c>
      <c r="N51" s="20" t="n">
        <v>0</v>
      </c>
      <c r="O51" s="18" t="n">
        <v>0</v>
      </c>
      <c r="P51" s="20" t="n">
        <v>0</v>
      </c>
      <c r="Q51" s="18" t="n">
        <v>1.08264705</v>
      </c>
      <c r="R51" s="20" t="n">
        <v>0.42701151</v>
      </c>
    </row>
    <row r="52" spans="1:18">
      <c r="A52" s="15" t="s">
        <v>612</v>
      </c>
      <c r="B52" s="17" t="n">
        <v>2796</v>
      </c>
      <c r="C52" s="18">
        <f>(2203.0/B52*100)</f>
        <v/>
      </c>
      <c r="D52" s="19" t="n">
        <v>593</v>
      </c>
      <c r="E52" s="18" t="n">
        <v>25.01400406</v>
      </c>
      <c r="F52" s="20" t="n">
        <v>2.17346646</v>
      </c>
      <c r="G52" s="18" t="n">
        <v>74.64262728</v>
      </c>
      <c r="H52" s="20" t="n">
        <v>2.20073798</v>
      </c>
      <c r="I52" s="18" t="s">
        <v>567</v>
      </c>
      <c r="J52" s="20" t="s">
        <v>567</v>
      </c>
      <c r="K52" s="18" t="n">
        <v>0</v>
      </c>
      <c r="L52" s="20" t="n">
        <v>0</v>
      </c>
      <c r="M52" s="18" t="n">
        <v>0</v>
      </c>
      <c r="N52" s="20" t="n">
        <v>0</v>
      </c>
      <c r="O52" s="18" t="n">
        <v>0</v>
      </c>
      <c r="P52" s="20" t="n">
        <v>0</v>
      </c>
      <c r="Q52" s="18" t="n">
        <v>0.34336866</v>
      </c>
      <c r="R52" s="20" t="n">
        <v>0.24393533</v>
      </c>
    </row>
    <row r="53" spans="1:18">
      <c r="A53" s="15" t="s">
        <v>613</v>
      </c>
      <c r="B53" s="17" t="n">
        <v>2811</v>
      </c>
      <c r="C53" s="18">
        <f>(2170.0/B53*100)</f>
        <v/>
      </c>
      <c r="D53" s="19" t="n">
        <v>641</v>
      </c>
      <c r="E53" s="18" t="n">
        <v>37.31433309</v>
      </c>
      <c r="F53" s="20" t="n">
        <v>1.88174999</v>
      </c>
      <c r="G53" s="18" t="n">
        <v>60.86255069</v>
      </c>
      <c r="H53" s="20" t="n">
        <v>1.89292934</v>
      </c>
      <c r="I53" s="18" t="s">
        <v>567</v>
      </c>
      <c r="J53" s="20" t="s">
        <v>567</v>
      </c>
      <c r="K53" s="18" t="n">
        <v>0.65931481</v>
      </c>
      <c r="L53" s="20" t="n">
        <v>0.33400608</v>
      </c>
      <c r="M53" s="18" t="n">
        <v>0</v>
      </c>
      <c r="N53" s="20" t="n">
        <v>0</v>
      </c>
      <c r="O53" s="18" t="n">
        <v>0</v>
      </c>
      <c r="P53" s="20" t="n">
        <v>0</v>
      </c>
      <c r="Q53" s="18" t="n">
        <v>1.16380141</v>
      </c>
      <c r="R53" s="20" t="n">
        <v>0.43170324</v>
      </c>
    </row>
    <row r="54" spans="1:18">
      <c r="A54" s="15" t="s">
        <v>614</v>
      </c>
      <c r="B54" s="17" t="n">
        <v>2266</v>
      </c>
      <c r="C54" s="18">
        <f>(1759.0/B54*100)</f>
        <v/>
      </c>
      <c r="D54" s="19" t="n">
        <v>507</v>
      </c>
      <c r="E54" s="18" t="n">
        <v>58.00500829</v>
      </c>
      <c r="F54" s="20" t="n">
        <v>2.38857916</v>
      </c>
      <c r="G54" s="18" t="n">
        <v>31.7307751</v>
      </c>
      <c r="H54" s="20" t="n">
        <v>2.60264837</v>
      </c>
      <c r="I54" s="18" t="s">
        <v>567</v>
      </c>
      <c r="J54" s="20" t="s">
        <v>567</v>
      </c>
      <c r="K54" s="18" t="n">
        <v>5.92481124</v>
      </c>
      <c r="L54" s="20" t="n">
        <v>0.96655872</v>
      </c>
      <c r="M54" s="18" t="n">
        <v>0</v>
      </c>
      <c r="N54" s="20" t="n">
        <v>0</v>
      </c>
      <c r="O54" s="18" t="n">
        <v>0</v>
      </c>
      <c r="P54" s="20" t="n">
        <v>0</v>
      </c>
      <c r="Q54" s="18" t="n">
        <v>4.33940537</v>
      </c>
      <c r="R54" s="20" t="n">
        <v>1.08580233</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(2119.0/B56*100)</f>
        <v/>
      </c>
      <c r="D56" s="19" t="n">
        <v>565</v>
      </c>
      <c r="E56" s="18" t="n">
        <v>12.90029245</v>
      </c>
      <c r="F56" s="20" t="n">
        <v>1.68557777</v>
      </c>
      <c r="G56" s="18" t="n">
        <v>86.67497401999999</v>
      </c>
      <c r="H56" s="20" t="n">
        <v>1.70271672</v>
      </c>
      <c r="I56" s="18" t="s">
        <v>567</v>
      </c>
      <c r="J56" s="20" t="s">
        <v>567</v>
      </c>
      <c r="K56" s="18" t="n">
        <v>0</v>
      </c>
      <c r="L56" s="20" t="n">
        <v>0</v>
      </c>
      <c r="M56" s="18" t="n">
        <v>0</v>
      </c>
      <c r="N56" s="20" t="n">
        <v>0</v>
      </c>
      <c r="O56" s="18" t="n">
        <v>0</v>
      </c>
      <c r="P56" s="20" t="n">
        <v>0</v>
      </c>
      <c r="Q56" s="18" t="n">
        <v>0.42473353</v>
      </c>
      <c r="R56" s="20" t="n">
        <v>0.26953988</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(2595.0/B61*100)</f>
        <v/>
      </c>
      <c r="D61" s="19" t="n">
        <v>729</v>
      </c>
      <c r="E61" s="18" t="n">
        <v>24.351628</v>
      </c>
      <c r="F61" s="20" t="n">
        <v>1.92052924</v>
      </c>
      <c r="G61" s="18" t="n">
        <v>75.05707975</v>
      </c>
      <c r="H61" s="20" t="n">
        <v>1.95763331</v>
      </c>
      <c r="I61" s="18" t="s">
        <v>567</v>
      </c>
      <c r="J61" s="20" t="s">
        <v>567</v>
      </c>
      <c r="K61" s="18" t="n">
        <v>0.15757974</v>
      </c>
      <c r="L61" s="20" t="n">
        <v>0.14663406</v>
      </c>
      <c r="M61" s="18" t="n">
        <v>0</v>
      </c>
      <c r="N61" s="20" t="n">
        <v>0</v>
      </c>
      <c r="O61" s="18" t="n">
        <v>0</v>
      </c>
      <c r="P61" s="20" t="n">
        <v>0</v>
      </c>
      <c r="Q61" s="18" t="n">
        <v>0.4337125</v>
      </c>
      <c r="R61" s="20" t="n">
        <v>0.29190068</v>
      </c>
    </row>
    <row r="62" spans="1:18">
      <c r="A62" s="15" t="s">
        <v>622</v>
      </c>
      <c r="B62" s="17" t="n">
        <v>2246</v>
      </c>
      <c r="C62" s="18">
        <f>(1725.0/B62*100)</f>
        <v/>
      </c>
      <c r="D62" s="19" t="n">
        <v>521</v>
      </c>
      <c r="E62" s="18" t="n">
        <v>12.52404263</v>
      </c>
      <c r="F62" s="20" t="n">
        <v>1.57054016</v>
      </c>
      <c r="G62" s="18" t="n">
        <v>87.27882167999999</v>
      </c>
      <c r="H62" s="20" t="n">
        <v>1.57604845</v>
      </c>
      <c r="I62" s="18" t="s">
        <v>567</v>
      </c>
      <c r="J62" s="20" t="s">
        <v>567</v>
      </c>
      <c r="K62" s="18" t="n">
        <v>0.19713569</v>
      </c>
      <c r="L62" s="20" t="n">
        <v>0.19654492</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(2259.0/B66*100)</f>
        <v/>
      </c>
      <c r="D66" s="19" t="n">
        <v>635</v>
      </c>
      <c r="E66" s="18" t="n">
        <v>40.02331185</v>
      </c>
      <c r="F66" s="20" t="n">
        <v>2.29111158</v>
      </c>
      <c r="G66" s="18" t="n">
        <v>57.63281959</v>
      </c>
      <c r="H66" s="20" t="n">
        <v>2.30824091</v>
      </c>
      <c r="I66" s="18" t="s">
        <v>567</v>
      </c>
      <c r="J66" s="20" t="s">
        <v>567</v>
      </c>
      <c r="K66" s="18" t="n">
        <v>0.30240391</v>
      </c>
      <c r="L66" s="20" t="n">
        <v>0.21142626</v>
      </c>
      <c r="M66" s="18" t="n">
        <v>0</v>
      </c>
      <c r="N66" s="20" t="n">
        <v>0</v>
      </c>
      <c r="O66" s="18" t="n">
        <v>0</v>
      </c>
      <c r="P66" s="20" t="n">
        <v>0</v>
      </c>
      <c r="Q66" s="18" t="n">
        <v>2.04146465</v>
      </c>
      <c r="R66" s="20" t="n">
        <v>0.57457631</v>
      </c>
    </row>
    <row r="67" spans="1:18">
      <c r="A67" s="15" t="s">
        <v>627</v>
      </c>
      <c r="B67" s="17" t="n">
        <v>3511</v>
      </c>
      <c r="C67" s="18">
        <f>(2786.0/B67*100)</f>
        <v/>
      </c>
      <c r="D67" s="19" t="n">
        <v>725</v>
      </c>
      <c r="E67" s="18" t="n">
        <v>41.83139507</v>
      </c>
      <c r="F67" s="20" t="n">
        <v>2.11155188</v>
      </c>
      <c r="G67" s="18" t="n">
        <v>57.50098639</v>
      </c>
      <c r="H67" s="20" t="n">
        <v>2.05734134</v>
      </c>
      <c r="I67" s="18" t="s">
        <v>567</v>
      </c>
      <c r="J67" s="20" t="s">
        <v>567</v>
      </c>
      <c r="K67" s="18" t="n">
        <v>0</v>
      </c>
      <c r="L67" s="20" t="n">
        <v>0</v>
      </c>
      <c r="M67" s="18" t="n">
        <v>0</v>
      </c>
      <c r="N67" s="20" t="n">
        <v>0</v>
      </c>
      <c r="O67" s="18" t="n">
        <v>0</v>
      </c>
      <c r="P67" s="20" t="n">
        <v>0</v>
      </c>
      <c r="Q67" s="18" t="n">
        <v>0.66761854</v>
      </c>
      <c r="R67" s="20" t="n">
        <v>0.31233826</v>
      </c>
    </row>
    <row r="68" spans="1:18">
      <c r="A68" s="15" t="s">
        <v>628</v>
      </c>
      <c r="B68" s="17" t="n">
        <v>6049</v>
      </c>
      <c r="C68" s="18">
        <f>(4695.0/B68*100)</f>
        <v/>
      </c>
      <c r="D68" s="19" t="n">
        <v>1354</v>
      </c>
      <c r="E68" s="18" t="n">
        <v>37.7728731</v>
      </c>
      <c r="F68" s="20" t="n">
        <v>1.38889797</v>
      </c>
      <c r="G68" s="18" t="n">
        <v>57.93853865</v>
      </c>
      <c r="H68" s="20" t="n">
        <v>1.45445445</v>
      </c>
      <c r="I68" s="18" t="s">
        <v>567</v>
      </c>
      <c r="J68" s="20" t="s">
        <v>567</v>
      </c>
      <c r="K68" s="18" t="n">
        <v>1.21069734</v>
      </c>
      <c r="L68" s="20" t="n">
        <v>0.3225441</v>
      </c>
      <c r="M68" s="18" t="n">
        <v>0</v>
      </c>
      <c r="N68" s="20" t="n">
        <v>0</v>
      </c>
      <c r="O68" s="18" t="n">
        <v>0</v>
      </c>
      <c r="P68" s="20" t="n">
        <v>0</v>
      </c>
      <c r="Q68" s="18" t="n">
        <v>3.07789091</v>
      </c>
      <c r="R68" s="20" t="n">
        <v>0.50274732</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(2285.0/B70*100)</f>
        <v/>
      </c>
      <c r="D70" s="19" t="n">
        <v>644</v>
      </c>
      <c r="E70" s="18" t="n">
        <v>22.24256804</v>
      </c>
      <c r="F70" s="20" t="n">
        <v>1.85492766</v>
      </c>
      <c r="G70" s="18" t="n">
        <v>77.31027582999999</v>
      </c>
      <c r="H70" s="20" t="n">
        <v>1.91846247</v>
      </c>
      <c r="I70" s="18" t="s">
        <v>567</v>
      </c>
      <c r="J70" s="20" t="s">
        <v>567</v>
      </c>
      <c r="K70" s="18" t="n">
        <v>0</v>
      </c>
      <c r="L70" s="20" t="n">
        <v>0</v>
      </c>
      <c r="M70" s="18" t="n">
        <v>0</v>
      </c>
      <c r="N70" s="20" t="n">
        <v>0</v>
      </c>
      <c r="O70" s="18" t="n">
        <v>0</v>
      </c>
      <c r="P70" s="20" t="n">
        <v>0</v>
      </c>
      <c r="Q70" s="18" t="n">
        <v>0.44715613</v>
      </c>
      <c r="R70" s="20" t="n">
        <v>0.29241402</v>
      </c>
    </row>
    <row r="71" spans="1:18">
      <c r="A71" s="15" t="s">
        <v>631</v>
      </c>
      <c r="B71" s="17" t="n">
        <v>3142</v>
      </c>
      <c r="C71" s="18">
        <f>(2441.0/B71*100)</f>
        <v/>
      </c>
      <c r="D71" s="19" t="n">
        <v>701</v>
      </c>
      <c r="E71" s="18" t="n">
        <v>6.87443735</v>
      </c>
      <c r="F71" s="20" t="n">
        <v>0.9065633400000001</v>
      </c>
      <c r="G71" s="18" t="n">
        <v>92.96114295</v>
      </c>
      <c r="H71" s="20" t="n">
        <v>0.91455392</v>
      </c>
      <c r="I71" s="18" t="s">
        <v>567</v>
      </c>
      <c r="J71" s="20" t="s">
        <v>567</v>
      </c>
      <c r="K71" s="18" t="n">
        <v>0</v>
      </c>
      <c r="L71" s="20" t="n">
        <v>0</v>
      </c>
      <c r="M71" s="18" t="n">
        <v>0</v>
      </c>
      <c r="N71" s="20" t="n">
        <v>0</v>
      </c>
      <c r="O71" s="18" t="n">
        <v>0</v>
      </c>
      <c r="P71" s="20" t="n">
        <v>0</v>
      </c>
      <c r="Q71" s="18" t="n">
        <v>0.1644197</v>
      </c>
      <c r="R71" s="20" t="n">
        <v>0.16443863</v>
      </c>
    </row>
    <row r="72" spans="1:18">
      <c r="A72" s="15" t="s">
        <v>632</v>
      </c>
      <c r="B72" s="17" t="n">
        <v>3889</v>
      </c>
      <c r="C72" s="18">
        <f>(3053.0/B72*100)</f>
        <v/>
      </c>
      <c r="D72" s="19" t="n">
        <v>836</v>
      </c>
      <c r="E72" s="18" t="n">
        <v>12.02787806</v>
      </c>
      <c r="F72" s="20" t="n">
        <v>1.06741121</v>
      </c>
      <c r="G72" s="18" t="n">
        <v>87.37223760000001</v>
      </c>
      <c r="H72" s="20" t="n">
        <v>1.10149638</v>
      </c>
      <c r="I72" s="18" t="s">
        <v>567</v>
      </c>
      <c r="J72" s="20" t="s">
        <v>567</v>
      </c>
      <c r="K72" s="18" t="n">
        <v>0</v>
      </c>
      <c r="L72" s="20" t="n">
        <v>0</v>
      </c>
      <c r="M72" s="18" t="n">
        <v>0</v>
      </c>
      <c r="N72" s="20" t="n">
        <v>0</v>
      </c>
      <c r="O72" s="18" t="n">
        <v>0</v>
      </c>
      <c r="P72" s="20" t="n">
        <v>0</v>
      </c>
      <c r="Q72" s="18" t="n">
        <v>0.59988433</v>
      </c>
      <c r="R72" s="20" t="n">
        <v>0.25472568</v>
      </c>
    </row>
    <row r="73" spans="1:18">
      <c r="A73" s="15" t="s">
        <v>633</v>
      </c>
      <c r="B73" s="17" t="n">
        <v>3597</v>
      </c>
      <c r="C73" s="18">
        <f>(2830.0/B73*100)</f>
        <v/>
      </c>
      <c r="D73" s="19" t="n">
        <v>767</v>
      </c>
      <c r="E73" s="18" t="n">
        <v>32.78327783</v>
      </c>
      <c r="F73" s="20" t="n">
        <v>2.22546467</v>
      </c>
      <c r="G73" s="18" t="n">
        <v>67.21672217</v>
      </c>
      <c r="H73" s="20" t="n">
        <v>2.22546467</v>
      </c>
      <c r="I73" s="18" t="s">
        <v>567</v>
      </c>
      <c r="J73" s="20" t="s">
        <v>567</v>
      </c>
      <c r="K73" s="18" t="n">
        <v>0</v>
      </c>
      <c r="L73" s="20" t="n">
        <v>0</v>
      </c>
      <c r="M73" s="18" t="n">
        <v>0</v>
      </c>
      <c r="N73" s="20" t="n">
        <v>0</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(1924.0/B75*100)</f>
        <v/>
      </c>
      <c r="D75" s="19" t="n">
        <v>482</v>
      </c>
      <c r="E75" s="18" t="n">
        <v>49.56180428</v>
      </c>
      <c r="F75" s="20" t="n">
        <v>2.35729041</v>
      </c>
      <c r="G75" s="18" t="n">
        <v>46.81132454</v>
      </c>
      <c r="H75" s="20" t="n">
        <v>2.396596</v>
      </c>
      <c r="I75" s="18" t="s">
        <v>567</v>
      </c>
      <c r="J75" s="20" t="s">
        <v>567</v>
      </c>
      <c r="K75" s="18" t="n">
        <v>1.66983513</v>
      </c>
      <c r="L75" s="20" t="n">
        <v>0.529373</v>
      </c>
      <c r="M75" s="18" t="n">
        <v>0</v>
      </c>
      <c r="N75" s="20" t="n">
        <v>0</v>
      </c>
      <c r="O75" s="18" t="n">
        <v>0</v>
      </c>
      <c r="P75" s="20" t="n">
        <v>0</v>
      </c>
      <c r="Q75" s="18" t="n">
        <v>1.95703604</v>
      </c>
      <c r="R75" s="20" t="n">
        <v>0.59907343</v>
      </c>
    </row>
    <row r="76" spans="1:18">
      <c r="A76" s="15" t="s">
        <v>636</v>
      </c>
      <c r="B76" s="17" t="n">
        <v>7052</v>
      </c>
      <c r="C76" s="18">
        <f>(5554.0/B76*100)</f>
        <v/>
      </c>
      <c r="D76" s="19" t="n">
        <v>1498</v>
      </c>
      <c r="E76" s="18" t="n">
        <v>30.8201632</v>
      </c>
      <c r="F76" s="20" t="n">
        <v>1.38032468</v>
      </c>
      <c r="G76" s="18" t="n">
        <v>66.66872884999999</v>
      </c>
      <c r="H76" s="20" t="n">
        <v>1.49166675</v>
      </c>
      <c r="I76" s="18" t="s">
        <v>567</v>
      </c>
      <c r="J76" s="20" t="s">
        <v>567</v>
      </c>
      <c r="K76" s="18" t="n">
        <v>0.68261539</v>
      </c>
      <c r="L76" s="20" t="n">
        <v>0.23981193</v>
      </c>
      <c r="M76" s="18" t="n">
        <v>0</v>
      </c>
      <c r="N76" s="20" t="n">
        <v>0</v>
      </c>
      <c r="O76" s="18" t="n">
        <v>0</v>
      </c>
      <c r="P76" s="20" t="n">
        <v>0</v>
      </c>
      <c r="Q76" s="18" t="n">
        <v>1.82849257</v>
      </c>
      <c r="R76" s="20" t="n">
        <v>0.37218636</v>
      </c>
    </row>
    <row r="77" spans="1:18">
      <c r="A77" s="15" t="s">
        <v>637</v>
      </c>
      <c r="B77" s="17" t="n">
        <v>2908</v>
      </c>
      <c r="C77" s="18">
        <f>(2260.0/B77*100)</f>
        <v/>
      </c>
      <c r="D77" s="19" t="n">
        <v>648</v>
      </c>
      <c r="E77" s="18" t="n">
        <v>35.4980941</v>
      </c>
      <c r="F77" s="20" t="n">
        <v>2.26063393</v>
      </c>
      <c r="G77" s="18" t="n">
        <v>62.62494498</v>
      </c>
      <c r="H77" s="20" t="n">
        <v>2.17521513</v>
      </c>
      <c r="I77" s="18" t="s">
        <v>567</v>
      </c>
      <c r="J77" s="20" t="s">
        <v>567</v>
      </c>
      <c r="K77" s="18" t="n">
        <v>0.35428633</v>
      </c>
      <c r="L77" s="20" t="n">
        <v>0.27276577</v>
      </c>
      <c r="M77" s="18" t="n">
        <v>0</v>
      </c>
      <c r="N77" s="20" t="n">
        <v>0</v>
      </c>
      <c r="O77" s="18" t="n">
        <v>0</v>
      </c>
      <c r="P77" s="20" t="n">
        <v>0</v>
      </c>
      <c r="Q77" s="18" t="n">
        <v>1.52267459</v>
      </c>
      <c r="R77" s="20" t="n">
        <v>0.47954508</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(3236.0/B81*100)</f>
        <v/>
      </c>
      <c r="D81" s="19" t="n">
        <v>927</v>
      </c>
      <c r="E81" s="18" t="n">
        <v>27.33773206</v>
      </c>
      <c r="F81" s="20" t="n">
        <v>2.1734696</v>
      </c>
      <c r="G81" s="18" t="n">
        <v>72.31747661</v>
      </c>
      <c r="H81" s="20" t="n">
        <v>2.20463166</v>
      </c>
      <c r="I81" s="18" t="s">
        <v>567</v>
      </c>
      <c r="J81" s="20" t="s">
        <v>567</v>
      </c>
      <c r="K81" s="18" t="n">
        <v>0.19858299</v>
      </c>
      <c r="L81" s="20" t="n">
        <v>0.2362905</v>
      </c>
      <c r="M81" s="18" t="n">
        <v>0</v>
      </c>
      <c r="N81" s="20" t="n">
        <v>0</v>
      </c>
      <c r="O81" s="18" t="n">
        <v>0</v>
      </c>
      <c r="P81" s="20" t="n">
        <v>0</v>
      </c>
      <c r="Q81" s="18" t="n">
        <v>0.14620835</v>
      </c>
      <c r="R81" s="20" t="n">
        <v>0.14191139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(5809.0/B7*100)</f>
        <v/>
      </c>
      <c r="D7" s="19" t="n">
        <v>1558</v>
      </c>
      <c r="E7" s="18" t="n">
        <v>39.56697272</v>
      </c>
      <c r="F7" s="20" t="n">
        <v>1.55134464</v>
      </c>
      <c r="G7" s="18" t="n">
        <v>56.19633147</v>
      </c>
      <c r="H7" s="20" t="n">
        <v>1.68704581</v>
      </c>
      <c r="I7" s="18" t="s">
        <v>567</v>
      </c>
      <c r="J7" s="20" t="s">
        <v>567</v>
      </c>
      <c r="K7" s="18" t="n">
        <v>0.12827859</v>
      </c>
      <c r="L7" s="20" t="n">
        <v>0.10945915</v>
      </c>
      <c r="M7" s="18" t="n">
        <v>0</v>
      </c>
      <c r="N7" s="20" t="n">
        <v>0</v>
      </c>
      <c r="O7" s="18" t="n">
        <v>0</v>
      </c>
      <c r="P7" s="20" t="n">
        <v>0</v>
      </c>
      <c r="Q7" s="18" t="n">
        <v>4.10841722</v>
      </c>
      <c r="R7" s="20" t="n">
        <v>0.56744825</v>
      </c>
    </row>
    <row r="8" spans="1:18">
      <c r="A8" s="15" t="s">
        <v>568</v>
      </c>
      <c r="B8" s="17" t="n">
        <v>3564</v>
      </c>
      <c r="C8" s="18">
        <f>(2765.0/B8*100)</f>
        <v/>
      </c>
      <c r="D8" s="19" t="n">
        <v>799</v>
      </c>
      <c r="E8" s="18" t="n">
        <v>49.71382962</v>
      </c>
      <c r="F8" s="20" t="n">
        <v>2.60903774</v>
      </c>
      <c r="G8" s="18" t="n">
        <v>48.38394107</v>
      </c>
      <c r="H8" s="20" t="n">
        <v>2.54923516</v>
      </c>
      <c r="I8" s="18" t="s">
        <v>567</v>
      </c>
      <c r="J8" s="20" t="s">
        <v>567</v>
      </c>
      <c r="K8" s="18" t="n">
        <v>0.06348036</v>
      </c>
      <c r="L8" s="20" t="n">
        <v>0.06216836</v>
      </c>
      <c r="M8" s="18" t="n">
        <v>0</v>
      </c>
      <c r="N8" s="20" t="n">
        <v>0</v>
      </c>
      <c r="O8" s="18" t="n">
        <v>0</v>
      </c>
      <c r="P8" s="20" t="n">
        <v>0</v>
      </c>
      <c r="Q8" s="18" t="n">
        <v>1.83874895</v>
      </c>
      <c r="R8" s="20" t="n">
        <v>0.48012498</v>
      </c>
    </row>
    <row r="9" spans="1:18">
      <c r="A9" s="15" t="s">
        <v>569</v>
      </c>
      <c r="B9" s="17" t="n">
        <v>4899</v>
      </c>
      <c r="C9" s="18">
        <f>(3887.0/B9*100)</f>
        <v/>
      </c>
      <c r="D9" s="19" t="n">
        <v>1012</v>
      </c>
      <c r="E9" s="18" t="n">
        <v>39.24562903</v>
      </c>
      <c r="F9" s="20" t="n">
        <v>1.67308372</v>
      </c>
      <c r="G9" s="18" t="n">
        <v>56.94239406</v>
      </c>
      <c r="H9" s="20" t="n">
        <v>1.84223485</v>
      </c>
      <c r="I9" s="18" t="s">
        <v>567</v>
      </c>
      <c r="J9" s="20" t="s">
        <v>567</v>
      </c>
      <c r="K9" s="18" t="n">
        <v>0.2762276</v>
      </c>
      <c r="L9" s="20" t="n">
        <v>0.20597502</v>
      </c>
      <c r="M9" s="18" t="n">
        <v>0</v>
      </c>
      <c r="N9" s="20" t="n">
        <v>0</v>
      </c>
      <c r="O9" s="18" t="n">
        <v>0</v>
      </c>
      <c r="P9" s="20" t="n">
        <v>0</v>
      </c>
      <c r="Q9" s="18" t="n">
        <v>3.53574931</v>
      </c>
      <c r="R9" s="20" t="n">
        <v>0.7042575599999999</v>
      </c>
    </row>
    <row r="10" spans="1:18">
      <c r="A10" s="15" t="s">
        <v>570</v>
      </c>
      <c r="B10" s="17" t="n">
        <v>10036</v>
      </c>
      <c r="C10" s="18">
        <f>(7827.0/B10*100)</f>
        <v/>
      </c>
      <c r="D10" s="19" t="n">
        <v>2209</v>
      </c>
      <c r="E10" s="18" t="n">
        <v>38.11664013</v>
      </c>
      <c r="F10" s="20" t="n">
        <v>1.38084737</v>
      </c>
      <c r="G10" s="18" t="n">
        <v>59.44242563</v>
      </c>
      <c r="H10" s="20" t="n">
        <v>1.45881404</v>
      </c>
      <c r="I10" s="18" t="s">
        <v>567</v>
      </c>
      <c r="J10" s="20" t="s">
        <v>567</v>
      </c>
      <c r="K10" s="18" t="n">
        <v>0.22938773</v>
      </c>
      <c r="L10" s="20" t="n">
        <v>0.13357799</v>
      </c>
      <c r="M10" s="18" t="n">
        <v>0</v>
      </c>
      <c r="N10" s="20" t="n">
        <v>0</v>
      </c>
      <c r="O10" s="18" t="n">
        <v>0</v>
      </c>
      <c r="P10" s="20" t="n">
        <v>0</v>
      </c>
      <c r="Q10" s="18" t="n">
        <v>2.21154651</v>
      </c>
      <c r="R10" s="20" t="n">
        <v>0.37423921</v>
      </c>
    </row>
    <row r="11" spans="1:18">
      <c r="A11" s="15" t="s">
        <v>571</v>
      </c>
      <c r="B11" s="17" t="n">
        <v>3553</v>
      </c>
      <c r="C11" s="18">
        <f>(2768.0/B11*100)</f>
        <v/>
      </c>
      <c r="D11" s="19" t="n">
        <v>785</v>
      </c>
      <c r="E11" s="18" t="n">
        <v>58.48331061</v>
      </c>
      <c r="F11" s="20" t="n">
        <v>2.11299917</v>
      </c>
      <c r="G11" s="18" t="n">
        <v>35.59049146</v>
      </c>
      <c r="H11" s="20" t="n">
        <v>1.83931327</v>
      </c>
      <c r="I11" s="18" t="s">
        <v>567</v>
      </c>
      <c r="J11" s="20" t="s">
        <v>567</v>
      </c>
      <c r="K11" s="18" t="n">
        <v>0.30524073</v>
      </c>
      <c r="L11" s="20" t="n">
        <v>0.21025263</v>
      </c>
      <c r="M11" s="18" t="n">
        <v>0</v>
      </c>
      <c r="N11" s="20" t="n">
        <v>0</v>
      </c>
      <c r="O11" s="18" t="n">
        <v>0</v>
      </c>
      <c r="P11" s="20" t="n">
        <v>0</v>
      </c>
      <c r="Q11" s="18" t="n">
        <v>5.6209572</v>
      </c>
      <c r="R11" s="20" t="n">
        <v>1.04893962</v>
      </c>
    </row>
    <row r="12" spans="1:18">
      <c r="A12" s="15" t="s">
        <v>572</v>
      </c>
      <c r="B12" s="17" t="n">
        <v>3472</v>
      </c>
      <c r="C12" s="18">
        <f>(2719.0/B12*100)</f>
        <v/>
      </c>
      <c r="D12" s="19" t="n">
        <v>753</v>
      </c>
      <c r="E12" s="18" t="n">
        <v>46.57547068</v>
      </c>
      <c r="F12" s="20" t="n">
        <v>1.89834657</v>
      </c>
      <c r="G12" s="18" t="n">
        <v>51.13272431</v>
      </c>
      <c r="H12" s="20" t="n">
        <v>1.99263829</v>
      </c>
      <c r="I12" s="18" t="s">
        <v>567</v>
      </c>
      <c r="J12" s="20" t="s">
        <v>567</v>
      </c>
      <c r="K12" s="18" t="n">
        <v>0</v>
      </c>
      <c r="L12" s="20" t="n">
        <v>0</v>
      </c>
      <c r="M12" s="18" t="n">
        <v>0</v>
      </c>
      <c r="N12" s="20" t="n">
        <v>0</v>
      </c>
      <c r="O12" s="18" t="n">
        <v>0</v>
      </c>
      <c r="P12" s="20" t="n">
        <v>0</v>
      </c>
      <c r="Q12" s="18" t="n">
        <v>2.29180501</v>
      </c>
      <c r="R12" s="20" t="n">
        <v>0.64273006</v>
      </c>
    </row>
    <row r="13" spans="1:18">
      <c r="A13" s="15" t="s">
        <v>573</v>
      </c>
      <c r="B13" s="17" t="n">
        <v>3559</v>
      </c>
      <c r="C13" s="18">
        <f>(2840.0/B13*100)</f>
        <v/>
      </c>
      <c r="D13" s="19" t="n">
        <v>719</v>
      </c>
      <c r="E13" s="18" t="n">
        <v>53.91391471</v>
      </c>
      <c r="F13" s="20" t="n">
        <v>2.40908966</v>
      </c>
      <c r="G13" s="18" t="n">
        <v>43.95992119</v>
      </c>
      <c r="H13" s="20" t="n">
        <v>2.37417589</v>
      </c>
      <c r="I13" s="18" t="s">
        <v>567</v>
      </c>
      <c r="J13" s="20" t="s">
        <v>567</v>
      </c>
      <c r="K13" s="18" t="n">
        <v>0.41147459</v>
      </c>
      <c r="L13" s="20" t="n">
        <v>0.34355045</v>
      </c>
      <c r="M13" s="18" t="n">
        <v>0</v>
      </c>
      <c r="N13" s="20" t="n">
        <v>0</v>
      </c>
      <c r="O13" s="18" t="n">
        <v>0</v>
      </c>
      <c r="P13" s="20" t="n">
        <v>0</v>
      </c>
      <c r="Q13" s="18" t="n">
        <v>1.7146895</v>
      </c>
      <c r="R13" s="20" t="n">
        <v>0.56073609</v>
      </c>
    </row>
    <row r="14" spans="1:18">
      <c r="A14" s="15" t="s">
        <v>574</v>
      </c>
      <c r="B14" s="17" t="n">
        <v>2799</v>
      </c>
      <c r="C14" s="18">
        <f>(2151.0/B14*100)</f>
        <v/>
      </c>
      <c r="D14" s="19" t="n">
        <v>648</v>
      </c>
      <c r="E14" s="18" t="n">
        <v>42.64203142</v>
      </c>
      <c r="F14" s="20" t="n">
        <v>2.11778458</v>
      </c>
      <c r="G14" s="18" t="n">
        <v>54.78070914</v>
      </c>
      <c r="H14" s="20" t="n">
        <v>2.37700981</v>
      </c>
      <c r="I14" s="18" t="s">
        <v>567</v>
      </c>
      <c r="J14" s="20" t="s">
        <v>567</v>
      </c>
      <c r="K14" s="18" t="n">
        <v>0</v>
      </c>
      <c r="L14" s="20" t="n">
        <v>0</v>
      </c>
      <c r="M14" s="18" t="n">
        <v>0</v>
      </c>
      <c r="N14" s="20" t="n">
        <v>0</v>
      </c>
      <c r="O14" s="18" t="n">
        <v>0</v>
      </c>
      <c r="P14" s="20" t="n">
        <v>0</v>
      </c>
      <c r="Q14" s="18" t="n">
        <v>2.57725944</v>
      </c>
      <c r="R14" s="20" t="n">
        <v>0.75523111</v>
      </c>
    </row>
    <row r="15" spans="1:18">
      <c r="A15" s="15" t="s">
        <v>575</v>
      </c>
      <c r="B15" s="17" t="n">
        <v>3019</v>
      </c>
      <c r="C15" s="18">
        <f>(2322.0/B15*100)</f>
        <v/>
      </c>
      <c r="D15" s="19" t="n">
        <v>697</v>
      </c>
      <c r="E15" s="18" t="n">
        <v>38.10568986</v>
      </c>
      <c r="F15" s="20" t="n">
        <v>1.73376705</v>
      </c>
      <c r="G15" s="18" t="n">
        <v>58.12224814</v>
      </c>
      <c r="H15" s="20" t="n">
        <v>1.65458351</v>
      </c>
      <c r="I15" s="18" t="s">
        <v>567</v>
      </c>
      <c r="J15" s="20" t="s">
        <v>567</v>
      </c>
      <c r="K15" s="18" t="n">
        <v>0</v>
      </c>
      <c r="L15" s="20" t="n">
        <v>0</v>
      </c>
      <c r="M15" s="18" t="n">
        <v>0</v>
      </c>
      <c r="N15" s="20" t="n">
        <v>0</v>
      </c>
      <c r="O15" s="18" t="n">
        <v>0</v>
      </c>
      <c r="P15" s="20" t="n">
        <v>0</v>
      </c>
      <c r="Q15" s="18" t="n">
        <v>3.77206199</v>
      </c>
      <c r="R15" s="20" t="n">
        <v>0.6926574</v>
      </c>
    </row>
    <row r="16" spans="1:18">
      <c r="A16" s="15" t="s">
        <v>576</v>
      </c>
      <c r="B16" s="17" t="n">
        <v>2997</v>
      </c>
      <c r="C16" s="18">
        <f>(2366.0/B16*100)</f>
        <v/>
      </c>
      <c r="D16" s="19" t="n">
        <v>631</v>
      </c>
      <c r="E16" s="18" t="n">
        <v>42.58189422</v>
      </c>
      <c r="F16" s="20" t="n">
        <v>2.03715791</v>
      </c>
      <c r="G16" s="18" t="n">
        <v>51.98827735</v>
      </c>
      <c r="H16" s="20" t="n">
        <v>1.88666941</v>
      </c>
      <c r="I16" s="18" t="s">
        <v>567</v>
      </c>
      <c r="J16" s="20" t="s">
        <v>567</v>
      </c>
      <c r="K16" s="18" t="n">
        <v>0.82766542</v>
      </c>
      <c r="L16" s="20" t="n">
        <v>0.39042467</v>
      </c>
      <c r="M16" s="18" t="n">
        <v>0</v>
      </c>
      <c r="N16" s="20" t="n">
        <v>0</v>
      </c>
      <c r="O16" s="18" t="n">
        <v>0</v>
      </c>
      <c r="P16" s="20" t="n">
        <v>0</v>
      </c>
      <c r="Q16" s="18" t="n">
        <v>4.602163</v>
      </c>
      <c r="R16" s="20" t="n">
        <v>0.8578224</v>
      </c>
    </row>
    <row r="17" spans="1:18">
      <c r="A17" s="15" t="s">
        <v>577</v>
      </c>
      <c r="B17" s="17" t="n">
        <v>3307</v>
      </c>
      <c r="C17" s="18">
        <f>(2598.0/B17*100)</f>
        <v/>
      </c>
      <c r="D17" s="19" t="n">
        <v>709</v>
      </c>
      <c r="E17" s="18" t="n">
        <v>42.26553378</v>
      </c>
      <c r="F17" s="20" t="n">
        <v>2.31254121</v>
      </c>
      <c r="G17" s="18" t="n">
        <v>54.28929128</v>
      </c>
      <c r="H17" s="20" t="n">
        <v>2.312789</v>
      </c>
      <c r="I17" s="18" t="s">
        <v>567</v>
      </c>
      <c r="J17" s="20" t="s">
        <v>567</v>
      </c>
      <c r="K17" s="18" t="n">
        <v>0</v>
      </c>
      <c r="L17" s="20" t="n">
        <v>0</v>
      </c>
      <c r="M17" s="18" t="n">
        <v>0</v>
      </c>
      <c r="N17" s="20" t="n">
        <v>0</v>
      </c>
      <c r="O17" s="18" t="n">
        <v>0</v>
      </c>
      <c r="P17" s="20" t="n">
        <v>0</v>
      </c>
      <c r="Q17" s="18" t="n">
        <v>3.44517494</v>
      </c>
      <c r="R17" s="20" t="n">
        <v>0.68214056</v>
      </c>
    </row>
    <row r="18" spans="1:18">
      <c r="A18" s="15" t="s">
        <v>578</v>
      </c>
      <c r="B18" s="17" t="n">
        <v>2826</v>
      </c>
      <c r="C18" s="18">
        <f>(2215.0/B18*100)</f>
        <v/>
      </c>
      <c r="D18" s="19" t="n">
        <v>611</v>
      </c>
      <c r="E18" s="18" t="n">
        <v>55.42612995</v>
      </c>
      <c r="F18" s="20" t="n">
        <v>2.45353552</v>
      </c>
      <c r="G18" s="18" t="n">
        <v>40.22063937</v>
      </c>
      <c r="H18" s="20" t="n">
        <v>2.49375102</v>
      </c>
      <c r="I18" s="18" t="s">
        <v>567</v>
      </c>
      <c r="J18" s="20" t="s">
        <v>567</v>
      </c>
      <c r="K18" s="18" t="n">
        <v>0</v>
      </c>
      <c r="L18" s="20" t="n">
        <v>0</v>
      </c>
      <c r="M18" s="18" t="n">
        <v>0</v>
      </c>
      <c r="N18" s="20" t="n">
        <v>0</v>
      </c>
      <c r="O18" s="18" t="n">
        <v>0</v>
      </c>
      <c r="P18" s="20" t="n">
        <v>0</v>
      </c>
      <c r="Q18" s="18" t="n">
        <v>4.35323068</v>
      </c>
      <c r="R18" s="20" t="n">
        <v>0.6875615899999999</v>
      </c>
    </row>
    <row r="19" spans="1:18">
      <c r="A19" s="15" t="s">
        <v>579</v>
      </c>
      <c r="B19" s="17" t="n">
        <v>2808</v>
      </c>
      <c r="C19" s="18">
        <f>(2184.0/B19*100)</f>
        <v/>
      </c>
      <c r="D19" s="19" t="n">
        <v>624</v>
      </c>
      <c r="E19" s="18" t="n">
        <v>43.99589412</v>
      </c>
      <c r="F19" s="20" t="n">
        <v>2.30300586</v>
      </c>
      <c r="G19" s="18" t="n">
        <v>53.41810156</v>
      </c>
      <c r="H19" s="20" t="n">
        <v>2.23283142</v>
      </c>
      <c r="I19" s="18" t="s">
        <v>567</v>
      </c>
      <c r="J19" s="20" t="s">
        <v>567</v>
      </c>
      <c r="K19" s="18" t="n">
        <v>0</v>
      </c>
      <c r="L19" s="20" t="n">
        <v>0</v>
      </c>
      <c r="M19" s="18" t="n">
        <v>0</v>
      </c>
      <c r="N19" s="20" t="n">
        <v>0</v>
      </c>
      <c r="O19" s="18" t="n">
        <v>0</v>
      </c>
      <c r="P19" s="20" t="n">
        <v>0</v>
      </c>
      <c r="Q19" s="18" t="n">
        <v>2.58600432</v>
      </c>
      <c r="R19" s="20" t="n">
        <v>0.73746639</v>
      </c>
    </row>
    <row r="20" spans="1:18">
      <c r="A20" s="15" t="s">
        <v>580</v>
      </c>
      <c r="B20" s="17" t="n">
        <v>1630</v>
      </c>
      <c r="C20" s="18">
        <f>(1288.0/B20*100)</f>
        <v/>
      </c>
      <c r="D20" s="19" t="n">
        <v>342</v>
      </c>
      <c r="E20" s="18" t="n">
        <v>55.65404556</v>
      </c>
      <c r="F20" s="20" t="n">
        <v>2.76400026</v>
      </c>
      <c r="G20" s="18" t="n">
        <v>38.9040328</v>
      </c>
      <c r="H20" s="20" t="n">
        <v>2.73783126</v>
      </c>
      <c r="I20" s="18" t="s">
        <v>567</v>
      </c>
      <c r="J20" s="20" t="s">
        <v>567</v>
      </c>
      <c r="K20" s="18" t="n">
        <v>0.81802673</v>
      </c>
      <c r="L20" s="20" t="n">
        <v>0.4778935</v>
      </c>
      <c r="M20" s="18" t="n">
        <v>0</v>
      </c>
      <c r="N20" s="20" t="n">
        <v>0</v>
      </c>
      <c r="O20" s="18" t="n">
        <v>0</v>
      </c>
      <c r="P20" s="20" t="n">
        <v>0</v>
      </c>
      <c r="Q20" s="18" t="n">
        <v>4.62389491</v>
      </c>
      <c r="R20" s="20" t="n">
        <v>1.03903585</v>
      </c>
    </row>
    <row r="21" spans="1:18">
      <c r="A21" s="15" t="s">
        <v>581</v>
      </c>
      <c r="B21" s="17" t="n">
        <v>2908</v>
      </c>
      <c r="C21" s="18">
        <f>(2244.0/B21*100)</f>
        <v/>
      </c>
      <c r="D21" s="19" t="n">
        <v>664</v>
      </c>
      <c r="E21" s="18" t="n">
        <v>43.63757245</v>
      </c>
      <c r="F21" s="20" t="n">
        <v>2.21295696</v>
      </c>
      <c r="G21" s="18" t="n">
        <v>54.31931658</v>
      </c>
      <c r="H21" s="20" t="n">
        <v>2.21709631</v>
      </c>
      <c r="I21" s="18" t="s">
        <v>567</v>
      </c>
      <c r="J21" s="20" t="s">
        <v>567</v>
      </c>
      <c r="K21" s="18" t="n">
        <v>0.15856356</v>
      </c>
      <c r="L21" s="20" t="n">
        <v>0.16976078</v>
      </c>
      <c r="M21" s="18" t="n">
        <v>0</v>
      </c>
      <c r="N21" s="20" t="n">
        <v>0</v>
      </c>
      <c r="O21" s="18" t="n">
        <v>0</v>
      </c>
      <c r="P21" s="20" t="n">
        <v>0</v>
      </c>
      <c r="Q21" s="18" t="n">
        <v>1.88454741</v>
      </c>
      <c r="R21" s="20" t="n">
        <v>0.5434722</v>
      </c>
    </row>
    <row r="22" spans="1:18">
      <c r="A22" s="15" t="s">
        <v>582</v>
      </c>
      <c r="B22" s="17" t="n">
        <v>2931</v>
      </c>
      <c r="C22" s="18">
        <f>(2275.0/B22*100)</f>
        <v/>
      </c>
      <c r="D22" s="19" t="n">
        <v>656</v>
      </c>
      <c r="E22" s="18" t="n">
        <v>45.74972924</v>
      </c>
      <c r="F22" s="20" t="n">
        <v>2.60397404</v>
      </c>
      <c r="G22" s="18" t="n">
        <v>47.41551743</v>
      </c>
      <c r="H22" s="20" t="n">
        <v>2.52228527</v>
      </c>
      <c r="I22" s="18" t="s">
        <v>567</v>
      </c>
      <c r="J22" s="20" t="s">
        <v>567</v>
      </c>
      <c r="K22" s="18" t="n">
        <v>0.22593051</v>
      </c>
      <c r="L22" s="20" t="n">
        <v>0.24467983</v>
      </c>
      <c r="M22" s="18" t="n">
        <v>0</v>
      </c>
      <c r="N22" s="20" t="n">
        <v>0</v>
      </c>
      <c r="O22" s="18" t="n">
        <v>0</v>
      </c>
      <c r="P22" s="20" t="n">
        <v>0</v>
      </c>
      <c r="Q22" s="18" t="n">
        <v>6.60882281</v>
      </c>
      <c r="R22" s="20" t="n">
        <v>1.08851305</v>
      </c>
    </row>
    <row r="23" spans="1:18">
      <c r="A23" s="15" t="s">
        <v>583</v>
      </c>
      <c r="B23" s="17" t="n">
        <v>5791</v>
      </c>
      <c r="C23" s="18">
        <f>(4527.0/B23*100)</f>
        <v/>
      </c>
      <c r="D23" s="19" t="n">
        <v>1264</v>
      </c>
      <c r="E23" s="18" t="n">
        <v>46.27931734</v>
      </c>
      <c r="F23" s="20" t="n">
        <v>2.0303479</v>
      </c>
      <c r="G23" s="18" t="n">
        <v>48.18053123</v>
      </c>
      <c r="H23" s="20" t="n">
        <v>2.00426635</v>
      </c>
      <c r="I23" s="18" t="s">
        <v>567</v>
      </c>
      <c r="J23" s="20" t="s">
        <v>567</v>
      </c>
      <c r="K23" s="18" t="n">
        <v>0.62184735</v>
      </c>
      <c r="L23" s="20" t="n">
        <v>0.38483958</v>
      </c>
      <c r="M23" s="18" t="n">
        <v>0</v>
      </c>
      <c r="N23" s="20" t="n">
        <v>0</v>
      </c>
      <c r="O23" s="18" t="n">
        <v>0</v>
      </c>
      <c r="P23" s="20" t="n">
        <v>0</v>
      </c>
      <c r="Q23" s="18" t="n">
        <v>4.91830408</v>
      </c>
      <c r="R23" s="20" t="n">
        <v>0.84999397</v>
      </c>
    </row>
    <row r="24" spans="1:18">
      <c r="A24" s="15" t="s">
        <v>584</v>
      </c>
      <c r="B24" s="17" t="n">
        <v>3338</v>
      </c>
      <c r="C24" s="18">
        <f>(2591.0/B24*100)</f>
        <v/>
      </c>
      <c r="D24" s="19" t="n">
        <v>747</v>
      </c>
      <c r="E24" s="18" t="n">
        <v>30.56341837</v>
      </c>
      <c r="F24" s="20" t="n">
        <v>1.94126809</v>
      </c>
      <c r="G24" s="18" t="n">
        <v>66.0214469</v>
      </c>
      <c r="H24" s="20" t="n">
        <v>2.01606519</v>
      </c>
      <c r="I24" s="18" t="s">
        <v>567</v>
      </c>
      <c r="J24" s="20" t="s">
        <v>567</v>
      </c>
      <c r="K24" s="18" t="n">
        <v>0.39049182</v>
      </c>
      <c r="L24" s="20" t="n">
        <v>0.22486076</v>
      </c>
      <c r="M24" s="18" t="n">
        <v>0</v>
      </c>
      <c r="N24" s="20" t="n">
        <v>0</v>
      </c>
      <c r="O24" s="18" t="n">
        <v>0</v>
      </c>
      <c r="P24" s="20" t="n">
        <v>0</v>
      </c>
      <c r="Q24" s="18" t="n">
        <v>3.02464292</v>
      </c>
      <c r="R24" s="20" t="n">
        <v>0.61358729</v>
      </c>
    </row>
    <row r="25" spans="1:18">
      <c r="A25" s="15" t="s">
        <v>585</v>
      </c>
      <c r="B25" s="17" t="n">
        <v>2912</v>
      </c>
      <c r="C25" s="18">
        <f>(2269.0/B25*100)</f>
        <v/>
      </c>
      <c r="D25" s="19" t="n">
        <v>643</v>
      </c>
      <c r="E25" s="18" t="n">
        <v>35.62108004</v>
      </c>
      <c r="F25" s="20" t="n">
        <v>1.9757122</v>
      </c>
      <c r="G25" s="18" t="n">
        <v>60.96872451</v>
      </c>
      <c r="H25" s="20" t="n">
        <v>2.02923875</v>
      </c>
      <c r="I25" s="18" t="s">
        <v>567</v>
      </c>
      <c r="J25" s="20" t="s">
        <v>567</v>
      </c>
      <c r="K25" s="18" t="n">
        <v>0</v>
      </c>
      <c r="L25" s="20" t="n">
        <v>0</v>
      </c>
      <c r="M25" s="18" t="n">
        <v>0</v>
      </c>
      <c r="N25" s="20" t="n">
        <v>0</v>
      </c>
      <c r="O25" s="18" t="n">
        <v>0</v>
      </c>
      <c r="P25" s="20" t="n">
        <v>0</v>
      </c>
      <c r="Q25" s="18" t="n">
        <v>3.41019544</v>
      </c>
      <c r="R25" s="20" t="n">
        <v>0.77519845</v>
      </c>
    </row>
    <row r="26" spans="1:18">
      <c r="A26" s="15" t="s">
        <v>586</v>
      </c>
      <c r="B26" s="17" t="n">
        <v>2450</v>
      </c>
      <c r="C26" s="18">
        <f>(1893.0/B26*100)</f>
        <v/>
      </c>
      <c r="D26" s="19" t="n">
        <v>557</v>
      </c>
      <c r="E26" s="18" t="n">
        <v>50.36210817</v>
      </c>
      <c r="F26" s="20" t="n">
        <v>2.16337349</v>
      </c>
      <c r="G26" s="18" t="n">
        <v>46.11109132</v>
      </c>
      <c r="H26" s="20" t="n">
        <v>2.14894953</v>
      </c>
      <c r="I26" s="18" t="s">
        <v>567</v>
      </c>
      <c r="J26" s="20" t="s">
        <v>567</v>
      </c>
      <c r="K26" s="18" t="n">
        <v>0</v>
      </c>
      <c r="L26" s="20" t="n">
        <v>0</v>
      </c>
      <c r="M26" s="18" t="n">
        <v>0</v>
      </c>
      <c r="N26" s="20" t="n">
        <v>0</v>
      </c>
      <c r="O26" s="18" t="n">
        <v>0</v>
      </c>
      <c r="P26" s="20" t="n">
        <v>0</v>
      </c>
      <c r="Q26" s="18" t="n">
        <v>3.52680051</v>
      </c>
      <c r="R26" s="20" t="n">
        <v>0.73168851</v>
      </c>
    </row>
    <row r="27" spans="1:18">
      <c r="A27" s="15" t="s">
        <v>587</v>
      </c>
      <c r="B27" s="17" t="n">
        <v>2616</v>
      </c>
      <c r="C27" s="18">
        <f>(2058.0/B27*100)</f>
        <v/>
      </c>
      <c r="D27" s="19" t="n">
        <v>558</v>
      </c>
      <c r="E27" s="18" t="n">
        <v>51.16968637</v>
      </c>
      <c r="F27" s="20" t="n">
        <v>2.1340202</v>
      </c>
      <c r="G27" s="18" t="n">
        <v>46.26079366</v>
      </c>
      <c r="H27" s="20" t="n">
        <v>2.13558624</v>
      </c>
      <c r="I27" s="18" t="s">
        <v>567</v>
      </c>
      <c r="J27" s="20" t="s">
        <v>567</v>
      </c>
      <c r="K27" s="18" t="n">
        <v>0</v>
      </c>
      <c r="L27" s="20" t="n">
        <v>0</v>
      </c>
      <c r="M27" s="18" t="n">
        <v>0</v>
      </c>
      <c r="N27" s="20" t="n">
        <v>0</v>
      </c>
      <c r="O27" s="18" t="n">
        <v>0</v>
      </c>
      <c r="P27" s="20" t="n">
        <v>0</v>
      </c>
      <c r="Q27" s="18" t="n">
        <v>2.56951996</v>
      </c>
      <c r="R27" s="20" t="n">
        <v>0.61824614</v>
      </c>
    </row>
    <row r="28" spans="1:18">
      <c r="A28" s="15" t="s">
        <v>588</v>
      </c>
      <c r="B28" s="17" t="n">
        <v>3765</v>
      </c>
      <c r="C28" s="18">
        <f>(2913.0/B28*100)</f>
        <v/>
      </c>
      <c r="D28" s="19" t="n">
        <v>852</v>
      </c>
      <c r="E28" s="18" t="n">
        <v>63.39313292</v>
      </c>
      <c r="F28" s="20" t="n">
        <v>1.60428497</v>
      </c>
      <c r="G28" s="18" t="n">
        <v>32.57806265</v>
      </c>
      <c r="H28" s="20" t="n">
        <v>1.59591329</v>
      </c>
      <c r="I28" s="18" t="s">
        <v>567</v>
      </c>
      <c r="J28" s="20" t="s">
        <v>567</v>
      </c>
      <c r="K28" s="18" t="n">
        <v>0.1499875</v>
      </c>
      <c r="L28" s="20" t="n">
        <v>0.15085537</v>
      </c>
      <c r="M28" s="18" t="n">
        <v>0</v>
      </c>
      <c r="N28" s="20" t="n">
        <v>0</v>
      </c>
      <c r="O28" s="18" t="n">
        <v>0</v>
      </c>
      <c r="P28" s="20" t="n">
        <v>0</v>
      </c>
      <c r="Q28" s="18" t="n">
        <v>3.87881693</v>
      </c>
      <c r="R28" s="20" t="n">
        <v>0.92503941</v>
      </c>
    </row>
    <row r="29" spans="1:18">
      <c r="A29" s="15" t="s">
        <v>589</v>
      </c>
      <c r="B29" s="17" t="n">
        <v>2685</v>
      </c>
      <c r="C29" s="18">
        <f>(2100.0/B29*100)</f>
        <v/>
      </c>
      <c r="D29" s="19" t="n">
        <v>585</v>
      </c>
      <c r="E29" s="18" t="n">
        <v>47.45637807</v>
      </c>
      <c r="F29" s="20" t="n">
        <v>1.79140946</v>
      </c>
      <c r="G29" s="18" t="n">
        <v>48.00867397</v>
      </c>
      <c r="H29" s="20" t="n">
        <v>1.689651</v>
      </c>
      <c r="I29" s="18" t="s">
        <v>567</v>
      </c>
      <c r="J29" s="20" t="s">
        <v>567</v>
      </c>
      <c r="K29" s="18" t="n">
        <v>0.17633862</v>
      </c>
      <c r="L29" s="20" t="n">
        <v>0.17606746</v>
      </c>
      <c r="M29" s="18" t="n">
        <v>0</v>
      </c>
      <c r="N29" s="20" t="n">
        <v>0</v>
      </c>
      <c r="O29" s="18" t="n">
        <v>0</v>
      </c>
      <c r="P29" s="20" t="n">
        <v>0</v>
      </c>
      <c r="Q29" s="18" t="n">
        <v>4.35860934</v>
      </c>
      <c r="R29" s="20" t="n">
        <v>0.75553683</v>
      </c>
    </row>
    <row r="30" spans="1:18">
      <c r="A30" s="15" t="s">
        <v>590</v>
      </c>
      <c r="B30" s="17" t="n">
        <v>2263</v>
      </c>
      <c r="C30" s="18">
        <f>(1757.0/B30*100)</f>
        <v/>
      </c>
      <c r="D30" s="19" t="n">
        <v>506</v>
      </c>
      <c r="E30" s="18" t="n">
        <v>40.60346778</v>
      </c>
      <c r="F30" s="20" t="n">
        <v>2.65276139</v>
      </c>
      <c r="G30" s="18" t="n">
        <v>55.99143856</v>
      </c>
      <c r="H30" s="20" t="n">
        <v>2.58687923</v>
      </c>
      <c r="I30" s="18" t="s">
        <v>567</v>
      </c>
      <c r="J30" s="20" t="s">
        <v>567</v>
      </c>
      <c r="K30" s="18" t="n">
        <v>0.19712334</v>
      </c>
      <c r="L30" s="20" t="n">
        <v>0.17369708</v>
      </c>
      <c r="M30" s="18" t="n">
        <v>0</v>
      </c>
      <c r="N30" s="20" t="n">
        <v>0</v>
      </c>
      <c r="O30" s="18" t="n">
        <v>0</v>
      </c>
      <c r="P30" s="20" t="n">
        <v>0</v>
      </c>
      <c r="Q30" s="18" t="n">
        <v>3.20797032</v>
      </c>
      <c r="R30" s="20" t="n">
        <v>0.79564665</v>
      </c>
    </row>
    <row r="31" spans="1:18">
      <c r="A31" s="15" t="s">
        <v>591</v>
      </c>
      <c r="B31" s="17" t="n">
        <v>2750</v>
      </c>
      <c r="C31" s="18">
        <f>(2152.0/B31*100)</f>
        <v/>
      </c>
      <c r="D31" s="19" t="n">
        <v>598</v>
      </c>
      <c r="E31" s="18" t="n">
        <v>47.73608777</v>
      </c>
      <c r="F31" s="20" t="n">
        <v>2.22031873</v>
      </c>
      <c r="G31" s="18" t="n">
        <v>48.58402112</v>
      </c>
      <c r="H31" s="20" t="n">
        <v>2.30648771</v>
      </c>
      <c r="I31" s="18" t="s">
        <v>567</v>
      </c>
      <c r="J31" s="20" t="s">
        <v>567</v>
      </c>
      <c r="K31" s="18" t="n">
        <v>0.51734221</v>
      </c>
      <c r="L31" s="20" t="n">
        <v>0.31430039</v>
      </c>
      <c r="M31" s="18" t="n">
        <v>0</v>
      </c>
      <c r="N31" s="20" t="n">
        <v>0</v>
      </c>
      <c r="O31" s="18" t="n">
        <v>0</v>
      </c>
      <c r="P31" s="20" t="n">
        <v>0</v>
      </c>
      <c r="Q31" s="18" t="n">
        <v>3.1625489</v>
      </c>
      <c r="R31" s="20" t="n">
        <v>0.72603495</v>
      </c>
    </row>
    <row r="32" spans="1:18">
      <c r="A32" s="15" t="s">
        <v>592</v>
      </c>
      <c r="B32" s="17" t="n">
        <v>2269</v>
      </c>
      <c r="C32" s="18">
        <f>(1763.0/B32*100)</f>
        <v/>
      </c>
      <c r="D32" s="19" t="n">
        <v>506</v>
      </c>
      <c r="E32" s="18" t="n">
        <v>45.20031198</v>
      </c>
      <c r="F32" s="20" t="n">
        <v>2.09138281</v>
      </c>
      <c r="G32" s="18" t="n">
        <v>52.50664918</v>
      </c>
      <c r="H32" s="20" t="n">
        <v>2.14565397</v>
      </c>
      <c r="I32" s="18" t="s">
        <v>567</v>
      </c>
      <c r="J32" s="20" t="s">
        <v>567</v>
      </c>
      <c r="K32" s="18" t="n">
        <v>0.23774108</v>
      </c>
      <c r="L32" s="20" t="n">
        <v>0.23366201</v>
      </c>
      <c r="M32" s="18" t="n">
        <v>0</v>
      </c>
      <c r="N32" s="20" t="n">
        <v>0</v>
      </c>
      <c r="O32" s="18" t="n">
        <v>0</v>
      </c>
      <c r="P32" s="20" t="n">
        <v>0</v>
      </c>
      <c r="Q32" s="18" t="n">
        <v>2.05529776</v>
      </c>
      <c r="R32" s="20" t="n">
        <v>0.65043913</v>
      </c>
    </row>
    <row r="33" spans="1:18">
      <c r="A33" s="15" t="s">
        <v>593</v>
      </c>
      <c r="B33" s="17" t="n">
        <v>3674</v>
      </c>
      <c r="C33" s="18">
        <f>(2845.0/B33*100)</f>
        <v/>
      </c>
      <c r="D33" s="19" t="n">
        <v>829</v>
      </c>
      <c r="E33" s="18" t="n">
        <v>37.11138122</v>
      </c>
      <c r="F33" s="20" t="n">
        <v>2.17210823</v>
      </c>
      <c r="G33" s="18" t="n">
        <v>57.92661232</v>
      </c>
      <c r="H33" s="20" t="n">
        <v>2.19271344</v>
      </c>
      <c r="I33" s="18" t="s">
        <v>567</v>
      </c>
      <c r="J33" s="20" t="s">
        <v>567</v>
      </c>
      <c r="K33" s="18" t="n">
        <v>0.04658721</v>
      </c>
      <c r="L33" s="20" t="n">
        <v>0.0576805</v>
      </c>
      <c r="M33" s="18" t="n">
        <v>0</v>
      </c>
      <c r="N33" s="20" t="n">
        <v>0</v>
      </c>
      <c r="O33" s="18" t="n">
        <v>0</v>
      </c>
      <c r="P33" s="20" t="n">
        <v>0</v>
      </c>
      <c r="Q33" s="18" t="n">
        <v>4.91541925</v>
      </c>
      <c r="R33" s="20" t="n">
        <v>0.76908004</v>
      </c>
    </row>
    <row r="34" spans="1:18">
      <c r="A34" s="15" t="s">
        <v>594</v>
      </c>
      <c r="B34" s="17" t="n">
        <v>3315</v>
      </c>
      <c r="C34" s="18">
        <f>(2603.0/B34*100)</f>
        <v/>
      </c>
      <c r="D34" s="19" t="n">
        <v>712</v>
      </c>
      <c r="E34" s="18" t="n">
        <v>47.83837831</v>
      </c>
      <c r="F34" s="20" t="n">
        <v>2.09578629</v>
      </c>
      <c r="G34" s="18" t="n">
        <v>47.915775</v>
      </c>
      <c r="H34" s="20" t="n">
        <v>2.03835733</v>
      </c>
      <c r="I34" s="18" t="s">
        <v>567</v>
      </c>
      <c r="J34" s="20" t="s">
        <v>567</v>
      </c>
      <c r="K34" s="18" t="n">
        <v>0</v>
      </c>
      <c r="L34" s="20" t="n">
        <v>0</v>
      </c>
      <c r="M34" s="18" t="n">
        <v>0</v>
      </c>
      <c r="N34" s="20" t="n">
        <v>0</v>
      </c>
      <c r="O34" s="18" t="n">
        <v>0</v>
      </c>
      <c r="P34" s="20" t="n">
        <v>0</v>
      </c>
      <c r="Q34" s="18" t="n">
        <v>4.24584669</v>
      </c>
      <c r="R34" s="20" t="n">
        <v>0.86127339</v>
      </c>
    </row>
    <row r="35" spans="1:18">
      <c r="A35" s="15" t="s">
        <v>595</v>
      </c>
      <c r="B35" s="17" t="n">
        <v>3505</v>
      </c>
      <c r="C35" s="18">
        <f>(2784.0/B35*100)</f>
        <v/>
      </c>
      <c r="D35" s="19" t="n">
        <v>721</v>
      </c>
      <c r="E35" s="18" t="n">
        <v>45.49050211</v>
      </c>
      <c r="F35" s="20" t="n">
        <v>2.30734699</v>
      </c>
      <c r="G35" s="18" t="n">
        <v>52.16667451</v>
      </c>
      <c r="H35" s="20" t="n">
        <v>2.48656961</v>
      </c>
      <c r="I35" s="18" t="s">
        <v>567</v>
      </c>
      <c r="J35" s="20" t="s">
        <v>567</v>
      </c>
      <c r="K35" s="18" t="n">
        <v>0.18730495</v>
      </c>
      <c r="L35" s="20" t="n">
        <v>0.13906735</v>
      </c>
      <c r="M35" s="18" t="n">
        <v>0</v>
      </c>
      <c r="N35" s="20" t="n">
        <v>0</v>
      </c>
      <c r="O35" s="18" t="n">
        <v>0</v>
      </c>
      <c r="P35" s="20" t="n">
        <v>0</v>
      </c>
      <c r="Q35" s="18" t="n">
        <v>2.15551843</v>
      </c>
      <c r="R35" s="20" t="n">
        <v>0.64816934</v>
      </c>
    </row>
    <row r="36" spans="1:18">
      <c r="A36" s="15" t="s">
        <v>596</v>
      </c>
      <c r="B36" s="17" t="n">
        <v>3332</v>
      </c>
      <c r="C36" s="18">
        <f>(2589.0/B36*100)</f>
        <v/>
      </c>
      <c r="D36" s="19" t="n">
        <v>743</v>
      </c>
      <c r="E36" s="18" t="n">
        <v>51.61645198</v>
      </c>
      <c r="F36" s="20" t="n">
        <v>1.88432247</v>
      </c>
      <c r="G36" s="18" t="n">
        <v>44.64053345</v>
      </c>
      <c r="H36" s="20" t="n">
        <v>1.78107634</v>
      </c>
      <c r="I36" s="18" t="s">
        <v>567</v>
      </c>
      <c r="J36" s="20" t="s">
        <v>567</v>
      </c>
      <c r="K36" s="18" t="n">
        <v>0.43496173</v>
      </c>
      <c r="L36" s="20" t="n">
        <v>0.25562429</v>
      </c>
      <c r="M36" s="18" t="n">
        <v>0</v>
      </c>
      <c r="N36" s="20" t="n">
        <v>0</v>
      </c>
      <c r="O36" s="18" t="n">
        <v>0</v>
      </c>
      <c r="P36" s="20" t="n">
        <v>0</v>
      </c>
      <c r="Q36" s="18" t="n">
        <v>3.30805285</v>
      </c>
      <c r="R36" s="20" t="n">
        <v>0.58814688</v>
      </c>
    </row>
    <row r="37" spans="1:18">
      <c r="A37" s="15" t="s">
        <v>597</v>
      </c>
      <c r="B37" s="17" t="n">
        <v>2727</v>
      </c>
      <c r="C37" s="18">
        <f>(2115.0/B37*100)</f>
        <v/>
      </c>
      <c r="D37" s="19" t="n">
        <v>612</v>
      </c>
      <c r="E37" s="18" t="n">
        <v>46.84448247</v>
      </c>
      <c r="F37" s="20" t="n">
        <v>2.00114874</v>
      </c>
      <c r="G37" s="18" t="n">
        <v>47.57799874</v>
      </c>
      <c r="H37" s="20" t="n">
        <v>2.20200442</v>
      </c>
      <c r="I37" s="18" t="s">
        <v>567</v>
      </c>
      <c r="J37" s="20" t="s">
        <v>567</v>
      </c>
      <c r="K37" s="18" t="n">
        <v>0.43977648</v>
      </c>
      <c r="L37" s="20" t="n">
        <v>0.25525235</v>
      </c>
      <c r="M37" s="18" t="n">
        <v>0</v>
      </c>
      <c r="N37" s="20" t="n">
        <v>0</v>
      </c>
      <c r="O37" s="18" t="n">
        <v>0</v>
      </c>
      <c r="P37" s="20" t="n">
        <v>0</v>
      </c>
      <c r="Q37" s="18" t="n">
        <v>5.13774232</v>
      </c>
      <c r="R37" s="20" t="n">
        <v>0.86021353</v>
      </c>
    </row>
    <row r="38" spans="1:18">
      <c r="A38" s="15" t="s">
        <v>598</v>
      </c>
      <c r="B38" s="17" t="n">
        <v>3053</v>
      </c>
      <c r="C38" s="18">
        <f>(2383.0/B38*100)</f>
        <v/>
      </c>
      <c r="D38" s="19" t="n">
        <v>670</v>
      </c>
      <c r="E38" s="18" t="n">
        <v>41.99928556</v>
      </c>
      <c r="F38" s="20" t="n">
        <v>2.17635827</v>
      </c>
      <c r="G38" s="18" t="n">
        <v>55.35427403</v>
      </c>
      <c r="H38" s="20" t="n">
        <v>2.23362708</v>
      </c>
      <c r="I38" s="18" t="s">
        <v>567</v>
      </c>
      <c r="J38" s="20" t="s">
        <v>567</v>
      </c>
      <c r="K38" s="18" t="n">
        <v>0.19326203</v>
      </c>
      <c r="L38" s="20" t="n">
        <v>0.1908274</v>
      </c>
      <c r="M38" s="18" t="n">
        <v>0</v>
      </c>
      <c r="N38" s="20" t="n">
        <v>0</v>
      </c>
      <c r="O38" s="18" t="n">
        <v>0</v>
      </c>
      <c r="P38" s="20" t="n">
        <v>0</v>
      </c>
      <c r="Q38" s="18" t="n">
        <v>2.45317837</v>
      </c>
      <c r="R38" s="20" t="n">
        <v>0.66717284</v>
      </c>
    </row>
    <row r="39" spans="1:18">
      <c r="A39" s="15" t="s">
        <v>599</v>
      </c>
      <c r="B39" s="17" t="n">
        <v>2957</v>
      </c>
      <c r="C39" s="18">
        <f>(2265.0/B39*100)</f>
        <v/>
      </c>
      <c r="D39" s="19" t="n">
        <v>692</v>
      </c>
      <c r="E39" s="18" t="n">
        <v>57.34276094</v>
      </c>
      <c r="F39" s="20" t="n">
        <v>2.41947904</v>
      </c>
      <c r="G39" s="18" t="n">
        <v>38.02349922</v>
      </c>
      <c r="H39" s="20" t="n">
        <v>2.3236969</v>
      </c>
      <c r="I39" s="18" t="s">
        <v>567</v>
      </c>
      <c r="J39" s="20" t="s">
        <v>567</v>
      </c>
      <c r="K39" s="18" t="n">
        <v>0</v>
      </c>
      <c r="L39" s="20" t="n">
        <v>0</v>
      </c>
      <c r="M39" s="18" t="n">
        <v>0</v>
      </c>
      <c r="N39" s="20" t="n">
        <v>0</v>
      </c>
      <c r="O39" s="18" t="n">
        <v>0</v>
      </c>
      <c r="P39" s="20" t="n">
        <v>0</v>
      </c>
      <c r="Q39" s="18" t="n">
        <v>4.63373984</v>
      </c>
      <c r="R39" s="20" t="n">
        <v>0.75991729</v>
      </c>
    </row>
    <row r="40" spans="1:18">
      <c r="A40" s="15" t="s">
        <v>600</v>
      </c>
      <c r="B40" s="17" t="n">
        <v>7235</v>
      </c>
      <c r="C40" s="18">
        <f>(5669.0/B40*100)</f>
        <v/>
      </c>
      <c r="D40" s="19" t="n">
        <v>1566</v>
      </c>
      <c r="E40" s="18" t="n">
        <v>39.5312608</v>
      </c>
      <c r="F40" s="20" t="n">
        <v>2.20918888</v>
      </c>
      <c r="G40" s="18" t="n">
        <v>57.36434871</v>
      </c>
      <c r="H40" s="20" t="n">
        <v>2.0624671</v>
      </c>
      <c r="I40" s="18" t="s">
        <v>567</v>
      </c>
      <c r="J40" s="20" t="s">
        <v>567</v>
      </c>
      <c r="K40" s="18" t="n">
        <v>0.50005613</v>
      </c>
      <c r="L40" s="20" t="n">
        <v>0.36431424</v>
      </c>
      <c r="M40" s="18" t="n">
        <v>0</v>
      </c>
      <c r="N40" s="20" t="n">
        <v>0</v>
      </c>
      <c r="O40" s="18" t="n">
        <v>0</v>
      </c>
      <c r="P40" s="20" t="n">
        <v>0</v>
      </c>
      <c r="Q40" s="18" t="n">
        <v>2.60433436</v>
      </c>
      <c r="R40" s="20" t="n">
        <v>0.58797638</v>
      </c>
    </row>
    <row r="41" spans="1:18">
      <c r="A41" s="15" t="s">
        <v>601</v>
      </c>
      <c r="B41" s="17" t="n">
        <v>2858</v>
      </c>
      <c r="C41" s="18">
        <f>(2284.0/B41*100)</f>
        <v/>
      </c>
      <c r="D41" s="19" t="n">
        <v>574</v>
      </c>
      <c r="E41" s="18" t="n">
        <v>45.57724136</v>
      </c>
      <c r="F41" s="20" t="n">
        <v>2.40170313</v>
      </c>
      <c r="G41" s="18" t="n">
        <v>52.80966221</v>
      </c>
      <c r="H41" s="20" t="n">
        <v>2.36919873</v>
      </c>
      <c r="I41" s="18" t="s">
        <v>567</v>
      </c>
      <c r="J41" s="20" t="s">
        <v>567</v>
      </c>
      <c r="K41" s="18" t="n">
        <v>0.17625206</v>
      </c>
      <c r="L41" s="20" t="n">
        <v>0.16852581</v>
      </c>
      <c r="M41" s="18" t="n">
        <v>0</v>
      </c>
      <c r="N41" s="20" t="n">
        <v>0</v>
      </c>
      <c r="O41" s="18" t="n">
        <v>0</v>
      </c>
      <c r="P41" s="20" t="n">
        <v>0</v>
      </c>
      <c r="Q41" s="18" t="n">
        <v>1.43684438</v>
      </c>
      <c r="R41" s="20" t="n">
        <v>0.55397788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(9077.0/B46*100)</f>
        <v/>
      </c>
      <c r="D46" s="19" t="n">
        <v>1991</v>
      </c>
      <c r="E46" s="18" t="n">
        <v>60.23089612</v>
      </c>
      <c r="F46" s="20" t="n">
        <v>1.62599261</v>
      </c>
      <c r="G46" s="18" t="n">
        <v>30.76309761</v>
      </c>
      <c r="H46" s="20" t="n">
        <v>1.64524303</v>
      </c>
      <c r="I46" s="18" t="s">
        <v>567</v>
      </c>
      <c r="J46" s="20" t="s">
        <v>567</v>
      </c>
      <c r="K46" s="18" t="n">
        <v>0.90936637</v>
      </c>
      <c r="L46" s="20" t="n">
        <v>0.26899167</v>
      </c>
      <c r="M46" s="18" t="n">
        <v>0</v>
      </c>
      <c r="N46" s="20" t="n">
        <v>0</v>
      </c>
      <c r="O46" s="18" t="n">
        <v>0</v>
      </c>
      <c r="P46" s="20" t="n">
        <v>0</v>
      </c>
      <c r="Q46" s="18" t="n">
        <v>8.096639890000001</v>
      </c>
      <c r="R46" s="20" t="n">
        <v>0.79418984</v>
      </c>
    </row>
    <row r="47" spans="1:18">
      <c r="A47" s="15" t="s">
        <v>607</v>
      </c>
      <c r="B47" s="17" t="n">
        <v>3105</v>
      </c>
      <c r="C47" s="18">
        <f>(2394.0/B47*100)</f>
        <v/>
      </c>
      <c r="D47" s="19" t="n">
        <v>711</v>
      </c>
      <c r="E47" s="18" t="n">
        <v>52.98558231</v>
      </c>
      <c r="F47" s="20" t="n">
        <v>2.05094731</v>
      </c>
      <c r="G47" s="18" t="n">
        <v>41.56387525</v>
      </c>
      <c r="H47" s="20" t="n">
        <v>2.15593372</v>
      </c>
      <c r="I47" s="18" t="s">
        <v>567</v>
      </c>
      <c r="J47" s="20" t="s">
        <v>567</v>
      </c>
      <c r="K47" s="18" t="n">
        <v>0.25997364</v>
      </c>
      <c r="L47" s="20" t="n">
        <v>0.01098627</v>
      </c>
      <c r="M47" s="18" t="n">
        <v>0</v>
      </c>
      <c r="N47" s="20" t="n">
        <v>0</v>
      </c>
      <c r="O47" s="18" t="n">
        <v>0</v>
      </c>
      <c r="P47" s="20" t="n">
        <v>0</v>
      </c>
      <c r="Q47" s="18" t="n">
        <v>5.1905688</v>
      </c>
      <c r="R47" s="20" t="n">
        <v>0.84980483</v>
      </c>
    </row>
    <row r="48" spans="1:18">
      <c r="A48" s="15" t="s">
        <v>608</v>
      </c>
      <c r="B48" s="17" t="n">
        <v>5159</v>
      </c>
      <c r="C48" s="18">
        <f>(4042.0/B48*100)</f>
        <v/>
      </c>
      <c r="D48" s="19" t="n">
        <v>1117</v>
      </c>
      <c r="E48" s="18" t="n">
        <v>34.58817767</v>
      </c>
      <c r="F48" s="20" t="n">
        <v>2.22192489</v>
      </c>
      <c r="G48" s="18" t="n">
        <v>64.14346510999999</v>
      </c>
      <c r="H48" s="20" t="n">
        <v>2.29442534</v>
      </c>
      <c r="I48" s="18" t="s">
        <v>567</v>
      </c>
      <c r="J48" s="20" t="s">
        <v>567</v>
      </c>
      <c r="K48" s="18" t="n">
        <v>0</v>
      </c>
      <c r="L48" s="20" t="n">
        <v>0</v>
      </c>
      <c r="M48" s="18" t="n">
        <v>0</v>
      </c>
      <c r="N48" s="20" t="n">
        <v>0</v>
      </c>
      <c r="O48" s="18" t="n">
        <v>0</v>
      </c>
      <c r="P48" s="20" t="n">
        <v>0</v>
      </c>
      <c r="Q48" s="18" t="n">
        <v>1.26835722</v>
      </c>
      <c r="R48" s="20" t="n">
        <v>0.4262993</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(4378.0/B50*100)</f>
        <v/>
      </c>
      <c r="D50" s="19" t="n">
        <v>1259</v>
      </c>
      <c r="E50" s="18" t="n">
        <v>61.35963333</v>
      </c>
      <c r="F50" s="20" t="n">
        <v>1.54418836</v>
      </c>
      <c r="G50" s="18" t="n">
        <v>35.21023989</v>
      </c>
      <c r="H50" s="20" t="n">
        <v>1.47361079</v>
      </c>
      <c r="I50" s="18" t="s">
        <v>567</v>
      </c>
      <c r="J50" s="20" t="s">
        <v>567</v>
      </c>
      <c r="K50" s="18" t="n">
        <v>0.7738727</v>
      </c>
      <c r="L50" s="20" t="n">
        <v>0.45436854</v>
      </c>
      <c r="M50" s="18" t="n">
        <v>0</v>
      </c>
      <c r="N50" s="20" t="n">
        <v>0</v>
      </c>
      <c r="O50" s="18" t="n">
        <v>0</v>
      </c>
      <c r="P50" s="20" t="n">
        <v>0</v>
      </c>
      <c r="Q50" s="18" t="n">
        <v>2.65625409</v>
      </c>
      <c r="R50" s="20" t="n">
        <v>0.59963839</v>
      </c>
    </row>
    <row r="51" spans="1:18">
      <c r="A51" s="15" t="s">
        <v>611</v>
      </c>
      <c r="B51" s="17" t="n">
        <v>3372</v>
      </c>
      <c r="C51" s="18">
        <f>(2753.0/B51*100)</f>
        <v/>
      </c>
      <c r="D51" s="19" t="n">
        <v>619</v>
      </c>
      <c r="E51" s="18" t="n">
        <v>68.00689328</v>
      </c>
      <c r="F51" s="20" t="n">
        <v>2.12476865</v>
      </c>
      <c r="G51" s="18" t="n">
        <v>28.62873808</v>
      </c>
      <c r="H51" s="20" t="n">
        <v>1.95601415</v>
      </c>
      <c r="I51" s="18" t="s">
        <v>567</v>
      </c>
      <c r="J51" s="20" t="s">
        <v>567</v>
      </c>
      <c r="K51" s="18" t="n">
        <v>0.11562763</v>
      </c>
      <c r="L51" s="20" t="n">
        <v>0.11629466</v>
      </c>
      <c r="M51" s="18" t="n">
        <v>0</v>
      </c>
      <c r="N51" s="20" t="n">
        <v>0</v>
      </c>
      <c r="O51" s="18" t="n">
        <v>0</v>
      </c>
      <c r="P51" s="20" t="n">
        <v>0</v>
      </c>
      <c r="Q51" s="18" t="n">
        <v>3.24874101</v>
      </c>
      <c r="R51" s="20" t="n">
        <v>0.98160082</v>
      </c>
    </row>
    <row r="52" spans="1:18">
      <c r="A52" s="15" t="s">
        <v>612</v>
      </c>
      <c r="B52" s="17" t="n">
        <v>2796</v>
      </c>
      <c r="C52" s="18">
        <f>(2204.0/B52*100)</f>
        <v/>
      </c>
      <c r="D52" s="19" t="n">
        <v>592</v>
      </c>
      <c r="E52" s="18" t="n">
        <v>51.26681874</v>
      </c>
      <c r="F52" s="20" t="n">
        <v>2.14249632</v>
      </c>
      <c r="G52" s="18" t="n">
        <v>45.42376344</v>
      </c>
      <c r="H52" s="20" t="n">
        <v>2.17225397</v>
      </c>
      <c r="I52" s="18" t="s">
        <v>567</v>
      </c>
      <c r="J52" s="20" t="s">
        <v>567</v>
      </c>
      <c r="K52" s="18" t="n">
        <v>0.1269142</v>
      </c>
      <c r="L52" s="20" t="n">
        <v>0.12842786</v>
      </c>
      <c r="M52" s="18" t="n">
        <v>0</v>
      </c>
      <c r="N52" s="20" t="n">
        <v>0</v>
      </c>
      <c r="O52" s="18" t="n">
        <v>0</v>
      </c>
      <c r="P52" s="20" t="n">
        <v>0</v>
      </c>
      <c r="Q52" s="18" t="n">
        <v>3.18250361</v>
      </c>
      <c r="R52" s="20" t="n">
        <v>0.7764982</v>
      </c>
    </row>
    <row r="53" spans="1:18">
      <c r="A53" s="15" t="s">
        <v>613</v>
      </c>
      <c r="B53" s="17" t="n">
        <v>2811</v>
      </c>
      <c r="C53" s="18">
        <f>(2171.0/B53*100)</f>
        <v/>
      </c>
      <c r="D53" s="19" t="n">
        <v>640</v>
      </c>
      <c r="E53" s="18" t="n">
        <v>57.22436701</v>
      </c>
      <c r="F53" s="20" t="n">
        <v>2.06186095</v>
      </c>
      <c r="G53" s="18" t="n">
        <v>34.70901433</v>
      </c>
      <c r="H53" s="20" t="n">
        <v>1.88302016</v>
      </c>
      <c r="I53" s="18" t="s">
        <v>567</v>
      </c>
      <c r="J53" s="20" t="s">
        <v>567</v>
      </c>
      <c r="K53" s="18" t="n">
        <v>0.87552823</v>
      </c>
      <c r="L53" s="20" t="n">
        <v>0.36808726</v>
      </c>
      <c r="M53" s="18" t="n">
        <v>0</v>
      </c>
      <c r="N53" s="20" t="n">
        <v>0</v>
      </c>
      <c r="O53" s="18" t="n">
        <v>0</v>
      </c>
      <c r="P53" s="20" t="n">
        <v>0</v>
      </c>
      <c r="Q53" s="18" t="n">
        <v>7.19109043</v>
      </c>
      <c r="R53" s="20" t="n">
        <v>1.03209469</v>
      </c>
    </row>
    <row r="54" spans="1:18">
      <c r="A54" s="15" t="s">
        <v>614</v>
      </c>
      <c r="B54" s="17" t="n">
        <v>2266</v>
      </c>
      <c r="C54" s="18">
        <f>(1761.0/B54*100)</f>
        <v/>
      </c>
      <c r="D54" s="19" t="n">
        <v>505</v>
      </c>
      <c r="E54" s="18" t="n">
        <v>57.55312002</v>
      </c>
      <c r="F54" s="20" t="n">
        <v>2.5925288</v>
      </c>
      <c r="G54" s="18" t="n">
        <v>24.09522431</v>
      </c>
      <c r="H54" s="20" t="n">
        <v>1.83397412</v>
      </c>
      <c r="I54" s="18" t="s">
        <v>567</v>
      </c>
      <c r="J54" s="20" t="s">
        <v>567</v>
      </c>
      <c r="K54" s="18" t="n">
        <v>6.81418007</v>
      </c>
      <c r="L54" s="20" t="n">
        <v>1.16629325</v>
      </c>
      <c r="M54" s="18" t="n">
        <v>0</v>
      </c>
      <c r="N54" s="20" t="n">
        <v>0</v>
      </c>
      <c r="O54" s="18" t="n">
        <v>0</v>
      </c>
      <c r="P54" s="20" t="n">
        <v>0</v>
      </c>
      <c r="Q54" s="18" t="n">
        <v>11.53747561</v>
      </c>
      <c r="R54" s="20" t="n">
        <v>1.89768832</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(2118.0/B56*100)</f>
        <v/>
      </c>
      <c r="D56" s="19" t="n">
        <v>566</v>
      </c>
      <c r="E56" s="18" t="n">
        <v>41.23475555</v>
      </c>
      <c r="F56" s="20" t="n">
        <v>2.83609927</v>
      </c>
      <c r="G56" s="18" t="n">
        <v>57.33005615</v>
      </c>
      <c r="H56" s="20" t="n">
        <v>2.81643538</v>
      </c>
      <c r="I56" s="18" t="s">
        <v>567</v>
      </c>
      <c r="J56" s="20" t="s">
        <v>567</v>
      </c>
      <c r="K56" s="18" t="n">
        <v>0.22667965</v>
      </c>
      <c r="L56" s="20" t="n">
        <v>0.24925297</v>
      </c>
      <c r="M56" s="18" t="n">
        <v>0</v>
      </c>
      <c r="N56" s="20" t="n">
        <v>0</v>
      </c>
      <c r="O56" s="18" t="n">
        <v>0</v>
      </c>
      <c r="P56" s="20" t="n">
        <v>0</v>
      </c>
      <c r="Q56" s="18" t="n">
        <v>1.20850865</v>
      </c>
      <c r="R56" s="20" t="n">
        <v>0.48387852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(2595.0/B61*100)</f>
        <v/>
      </c>
      <c r="D61" s="19" t="n">
        <v>729</v>
      </c>
      <c r="E61" s="18" t="n">
        <v>58.38648794</v>
      </c>
      <c r="F61" s="20" t="n">
        <v>2.08672812</v>
      </c>
      <c r="G61" s="18" t="n">
        <v>37.82367824</v>
      </c>
      <c r="H61" s="20" t="n">
        <v>2.24128185</v>
      </c>
      <c r="I61" s="18" t="s">
        <v>567</v>
      </c>
      <c r="J61" s="20" t="s">
        <v>567</v>
      </c>
      <c r="K61" s="18" t="n">
        <v>0.27880362</v>
      </c>
      <c r="L61" s="20" t="n">
        <v>0.22452179</v>
      </c>
      <c r="M61" s="18" t="n">
        <v>0</v>
      </c>
      <c r="N61" s="20" t="n">
        <v>0</v>
      </c>
      <c r="O61" s="18" t="n">
        <v>0</v>
      </c>
      <c r="P61" s="20" t="n">
        <v>0</v>
      </c>
      <c r="Q61" s="18" t="n">
        <v>3.5110302</v>
      </c>
      <c r="R61" s="20" t="n">
        <v>0.72718996</v>
      </c>
    </row>
    <row r="62" spans="1:18">
      <c r="A62" s="15" t="s">
        <v>622</v>
      </c>
      <c r="B62" s="17" t="n">
        <v>2246</v>
      </c>
      <c r="C62" s="18">
        <f>(1726.0/B62*100)</f>
        <v/>
      </c>
      <c r="D62" s="19" t="n">
        <v>520</v>
      </c>
      <c r="E62" s="18" t="n">
        <v>36.52821321</v>
      </c>
      <c r="F62" s="20" t="n">
        <v>1.95232142</v>
      </c>
      <c r="G62" s="18" t="n">
        <v>61.92522875</v>
      </c>
      <c r="H62" s="20" t="n">
        <v>1.97275489</v>
      </c>
      <c r="I62" s="18" t="s">
        <v>567</v>
      </c>
      <c r="J62" s="20" t="s">
        <v>567</v>
      </c>
      <c r="K62" s="18" t="n">
        <v>0.19751207</v>
      </c>
      <c r="L62" s="20" t="n">
        <v>0.19691578</v>
      </c>
      <c r="M62" s="18" t="n">
        <v>0</v>
      </c>
      <c r="N62" s="20" t="n">
        <v>0</v>
      </c>
      <c r="O62" s="18" t="n">
        <v>0</v>
      </c>
      <c r="P62" s="20" t="n">
        <v>0</v>
      </c>
      <c r="Q62" s="18" t="n">
        <v>1.34904596</v>
      </c>
      <c r="R62" s="20" t="n">
        <v>0.4814373</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(2259.0/B66*100)</f>
        <v/>
      </c>
      <c r="D66" s="19" t="n">
        <v>635</v>
      </c>
      <c r="E66" s="18" t="n">
        <v>61.58283237</v>
      </c>
      <c r="F66" s="20" t="n">
        <v>2.05828567</v>
      </c>
      <c r="G66" s="18" t="n">
        <v>28.0017899</v>
      </c>
      <c r="H66" s="20" t="n">
        <v>1.82544437</v>
      </c>
      <c r="I66" s="18" t="s">
        <v>567</v>
      </c>
      <c r="J66" s="20" t="s">
        <v>567</v>
      </c>
      <c r="K66" s="18" t="n">
        <v>0.46600304</v>
      </c>
      <c r="L66" s="20" t="n">
        <v>0.26376685</v>
      </c>
      <c r="M66" s="18" t="n">
        <v>0</v>
      </c>
      <c r="N66" s="20" t="n">
        <v>0</v>
      </c>
      <c r="O66" s="18" t="n">
        <v>0</v>
      </c>
      <c r="P66" s="20" t="n">
        <v>0</v>
      </c>
      <c r="Q66" s="18" t="n">
        <v>9.9493747</v>
      </c>
      <c r="R66" s="20" t="n">
        <v>1.11400836</v>
      </c>
    </row>
    <row r="67" spans="1:18">
      <c r="A67" s="15" t="s">
        <v>627</v>
      </c>
      <c r="B67" s="17" t="n">
        <v>3511</v>
      </c>
      <c r="C67" s="18">
        <f>(2796.0/B67*100)</f>
        <v/>
      </c>
      <c r="D67" s="19" t="n">
        <v>715</v>
      </c>
      <c r="E67" s="18" t="n">
        <v>60.83664752</v>
      </c>
      <c r="F67" s="20" t="n">
        <v>1.67882809</v>
      </c>
      <c r="G67" s="18" t="n">
        <v>33.01810452</v>
      </c>
      <c r="H67" s="20" t="n">
        <v>1.68144938</v>
      </c>
      <c r="I67" s="18" t="s">
        <v>567</v>
      </c>
      <c r="J67" s="20" t="s">
        <v>567</v>
      </c>
      <c r="K67" s="18" t="n">
        <v>0</v>
      </c>
      <c r="L67" s="20" t="n">
        <v>0</v>
      </c>
      <c r="M67" s="18" t="n">
        <v>0</v>
      </c>
      <c r="N67" s="20" t="n">
        <v>0</v>
      </c>
      <c r="O67" s="18" t="n">
        <v>0</v>
      </c>
      <c r="P67" s="20" t="n">
        <v>0</v>
      </c>
      <c r="Q67" s="18" t="n">
        <v>6.14524796</v>
      </c>
      <c r="R67" s="20" t="n">
        <v>0.98693868</v>
      </c>
    </row>
    <row r="68" spans="1:18">
      <c r="A68" s="15" t="s">
        <v>628</v>
      </c>
      <c r="B68" s="17" t="n">
        <v>6049</v>
      </c>
      <c r="C68" s="18">
        <f>(4695.0/B68*100)</f>
        <v/>
      </c>
      <c r="D68" s="19" t="n">
        <v>1354</v>
      </c>
      <c r="E68" s="18" t="n">
        <v>58.61568817</v>
      </c>
      <c r="F68" s="20" t="n">
        <v>1.4136962</v>
      </c>
      <c r="G68" s="18" t="n">
        <v>32.63102103</v>
      </c>
      <c r="H68" s="20" t="n">
        <v>1.32618204</v>
      </c>
      <c r="I68" s="18" t="s">
        <v>567</v>
      </c>
      <c r="J68" s="20" t="s">
        <v>567</v>
      </c>
      <c r="K68" s="18" t="n">
        <v>1.58708065</v>
      </c>
      <c r="L68" s="20" t="n">
        <v>0.36025182</v>
      </c>
      <c r="M68" s="18" t="n">
        <v>0</v>
      </c>
      <c r="N68" s="20" t="n">
        <v>0</v>
      </c>
      <c r="O68" s="18" t="n">
        <v>0</v>
      </c>
      <c r="P68" s="20" t="n">
        <v>0</v>
      </c>
      <c r="Q68" s="18" t="n">
        <v>7.16621014</v>
      </c>
      <c r="R68" s="20" t="n">
        <v>0.61267322</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(2290.0/B70*100)</f>
        <v/>
      </c>
      <c r="D70" s="19" t="n">
        <v>639</v>
      </c>
      <c r="E70" s="18" t="n">
        <v>55.75963037</v>
      </c>
      <c r="F70" s="20" t="n">
        <v>1.79569856</v>
      </c>
      <c r="G70" s="18" t="n">
        <v>41.27657774</v>
      </c>
      <c r="H70" s="20" t="n">
        <v>1.81872167</v>
      </c>
      <c r="I70" s="18" t="s">
        <v>567</v>
      </c>
      <c r="J70" s="20" t="s">
        <v>567</v>
      </c>
      <c r="K70" s="18" t="n">
        <v>0</v>
      </c>
      <c r="L70" s="20" t="n">
        <v>0</v>
      </c>
      <c r="M70" s="18" t="n">
        <v>0</v>
      </c>
      <c r="N70" s="20" t="n">
        <v>0</v>
      </c>
      <c r="O70" s="18" t="n">
        <v>0</v>
      </c>
      <c r="P70" s="20" t="n">
        <v>0</v>
      </c>
      <c r="Q70" s="18" t="n">
        <v>2.96379189</v>
      </c>
      <c r="R70" s="20" t="n">
        <v>0.64099335</v>
      </c>
    </row>
    <row r="71" spans="1:18">
      <c r="A71" s="15" t="s">
        <v>631</v>
      </c>
      <c r="B71" s="17" t="n">
        <v>3142</v>
      </c>
      <c r="C71" s="18">
        <f>(2441.0/B71*100)</f>
        <v/>
      </c>
      <c r="D71" s="19" t="n">
        <v>701</v>
      </c>
      <c r="E71" s="18" t="n">
        <v>27.40870854</v>
      </c>
      <c r="F71" s="20" t="n">
        <v>1.82397674</v>
      </c>
      <c r="G71" s="18" t="n">
        <v>70.37397205000001</v>
      </c>
      <c r="H71" s="20" t="n">
        <v>1.84674347</v>
      </c>
      <c r="I71" s="18" t="s">
        <v>567</v>
      </c>
      <c r="J71" s="20" t="s">
        <v>567</v>
      </c>
      <c r="K71" s="18" t="n">
        <v>0.13771912</v>
      </c>
      <c r="L71" s="20" t="n">
        <v>0.13727795</v>
      </c>
      <c r="M71" s="18" t="n">
        <v>0</v>
      </c>
      <c r="N71" s="20" t="n">
        <v>0</v>
      </c>
      <c r="O71" s="18" t="n">
        <v>0</v>
      </c>
      <c r="P71" s="20" t="n">
        <v>0</v>
      </c>
      <c r="Q71" s="18" t="n">
        <v>2.07960028</v>
      </c>
      <c r="R71" s="20" t="n">
        <v>0.51703906</v>
      </c>
    </row>
    <row r="72" spans="1:18">
      <c r="A72" s="15" t="s">
        <v>632</v>
      </c>
      <c r="B72" s="17" t="n">
        <v>3889</v>
      </c>
      <c r="C72" s="18">
        <f>(3053.0/B72*100)</f>
        <v/>
      </c>
      <c r="D72" s="19" t="n">
        <v>836</v>
      </c>
      <c r="E72" s="18" t="n">
        <v>36.94242179</v>
      </c>
      <c r="F72" s="20" t="n">
        <v>1.87534275</v>
      </c>
      <c r="G72" s="18" t="n">
        <v>61.59522637</v>
      </c>
      <c r="H72" s="20" t="n">
        <v>1.90011108</v>
      </c>
      <c r="I72" s="18" t="s">
        <v>567</v>
      </c>
      <c r="J72" s="20" t="s">
        <v>567</v>
      </c>
      <c r="K72" s="18" t="n">
        <v>0</v>
      </c>
      <c r="L72" s="20" t="n">
        <v>0</v>
      </c>
      <c r="M72" s="18" t="n">
        <v>0</v>
      </c>
      <c r="N72" s="20" t="n">
        <v>0</v>
      </c>
      <c r="O72" s="18" t="n">
        <v>0</v>
      </c>
      <c r="P72" s="20" t="n">
        <v>0</v>
      </c>
      <c r="Q72" s="18" t="n">
        <v>1.46235184</v>
      </c>
      <c r="R72" s="20" t="n">
        <v>0.46167859</v>
      </c>
    </row>
    <row r="73" spans="1:18">
      <c r="A73" s="15" t="s">
        <v>633</v>
      </c>
      <c r="B73" s="17" t="n">
        <v>3597</v>
      </c>
      <c r="C73" s="18">
        <f>(2835.0/B73*100)</f>
        <v/>
      </c>
      <c r="D73" s="19" t="n">
        <v>762</v>
      </c>
      <c r="E73" s="18" t="n">
        <v>64.33459347</v>
      </c>
      <c r="F73" s="20" t="n">
        <v>2.29146553</v>
      </c>
      <c r="G73" s="18" t="n">
        <v>30.69425741</v>
      </c>
      <c r="H73" s="20" t="n">
        <v>2.31476038</v>
      </c>
      <c r="I73" s="18" t="s">
        <v>567</v>
      </c>
      <c r="J73" s="20" t="s">
        <v>567</v>
      </c>
      <c r="K73" s="18" t="n">
        <v>0</v>
      </c>
      <c r="L73" s="20" t="n">
        <v>0</v>
      </c>
      <c r="M73" s="18" t="n">
        <v>0</v>
      </c>
      <c r="N73" s="20" t="n">
        <v>0</v>
      </c>
      <c r="O73" s="18" t="n">
        <v>0</v>
      </c>
      <c r="P73" s="20" t="n">
        <v>0</v>
      </c>
      <c r="Q73" s="18" t="n">
        <v>4.97114912</v>
      </c>
      <c r="R73" s="20" t="n">
        <v>1.00988059</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(1927.0/B75*100)</f>
        <v/>
      </c>
      <c r="D75" s="19" t="n">
        <v>479</v>
      </c>
      <c r="E75" s="18" t="n">
        <v>56.77451726</v>
      </c>
      <c r="F75" s="20" t="n">
        <v>2.35949129</v>
      </c>
      <c r="G75" s="18" t="n">
        <v>30.64168125</v>
      </c>
      <c r="H75" s="20" t="n">
        <v>2.24826899</v>
      </c>
      <c r="I75" s="18" t="s">
        <v>567</v>
      </c>
      <c r="J75" s="20" t="s">
        <v>567</v>
      </c>
      <c r="K75" s="18" t="n">
        <v>1.86291082</v>
      </c>
      <c r="L75" s="20" t="n">
        <v>0.5587368700000001</v>
      </c>
      <c r="M75" s="18" t="n">
        <v>0</v>
      </c>
      <c r="N75" s="20" t="n">
        <v>0</v>
      </c>
      <c r="O75" s="18" t="n">
        <v>0</v>
      </c>
      <c r="P75" s="20" t="n">
        <v>0</v>
      </c>
      <c r="Q75" s="18" t="n">
        <v>10.72089068</v>
      </c>
      <c r="R75" s="20" t="n">
        <v>1.57928453</v>
      </c>
    </row>
    <row r="76" spans="1:18">
      <c r="A76" s="15" t="s">
        <v>636</v>
      </c>
      <c r="B76" s="17" t="n">
        <v>7052</v>
      </c>
      <c r="C76" s="18">
        <f>(5554.0/B76*100)</f>
        <v/>
      </c>
      <c r="D76" s="19" t="n">
        <v>1498</v>
      </c>
      <c r="E76" s="18" t="n">
        <v>58.63825005</v>
      </c>
      <c r="F76" s="20" t="n">
        <v>1.98281403</v>
      </c>
      <c r="G76" s="18" t="n">
        <v>35.85414728</v>
      </c>
      <c r="H76" s="20" t="n">
        <v>1.95465816</v>
      </c>
      <c r="I76" s="18" t="s">
        <v>567</v>
      </c>
      <c r="J76" s="20" t="s">
        <v>567</v>
      </c>
      <c r="K76" s="18" t="n">
        <v>0.68261539</v>
      </c>
      <c r="L76" s="20" t="n">
        <v>0.23981193</v>
      </c>
      <c r="M76" s="18" t="n">
        <v>0</v>
      </c>
      <c r="N76" s="20" t="n">
        <v>0</v>
      </c>
      <c r="O76" s="18" t="n">
        <v>0</v>
      </c>
      <c r="P76" s="20" t="n">
        <v>0</v>
      </c>
      <c r="Q76" s="18" t="n">
        <v>4.82498727</v>
      </c>
      <c r="R76" s="20" t="n">
        <v>0.70160983</v>
      </c>
    </row>
    <row r="77" spans="1:18">
      <c r="A77" s="15" t="s">
        <v>637</v>
      </c>
      <c r="B77" s="17" t="n">
        <v>2908</v>
      </c>
      <c r="C77" s="18">
        <f>(2259.0/B77*100)</f>
        <v/>
      </c>
      <c r="D77" s="19" t="n">
        <v>649</v>
      </c>
      <c r="E77" s="18" t="n">
        <v>58.15510045</v>
      </c>
      <c r="F77" s="20" t="n">
        <v>1.87120427</v>
      </c>
      <c r="G77" s="18" t="n">
        <v>34.98263483</v>
      </c>
      <c r="H77" s="20" t="n">
        <v>1.92267719</v>
      </c>
      <c r="I77" s="18" t="s">
        <v>567</v>
      </c>
      <c r="J77" s="20" t="s">
        <v>567</v>
      </c>
      <c r="K77" s="18" t="n">
        <v>0.35395964</v>
      </c>
      <c r="L77" s="20" t="n">
        <v>0.27251776</v>
      </c>
      <c r="M77" s="18" t="n">
        <v>0</v>
      </c>
      <c r="N77" s="20" t="n">
        <v>0</v>
      </c>
      <c r="O77" s="18" t="n">
        <v>0</v>
      </c>
      <c r="P77" s="20" t="n">
        <v>0</v>
      </c>
      <c r="Q77" s="18" t="n">
        <v>6.50830508</v>
      </c>
      <c r="R77" s="20" t="n">
        <v>1.12627095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(3236.0/B81*100)</f>
        <v/>
      </c>
      <c r="D81" s="19" t="n">
        <v>927</v>
      </c>
      <c r="E81" s="18" t="n">
        <v>62.32582089</v>
      </c>
      <c r="F81" s="20" t="n">
        <v>1.98656006</v>
      </c>
      <c r="G81" s="18" t="n">
        <v>36.41769298</v>
      </c>
      <c r="H81" s="20" t="n">
        <v>2.00300353</v>
      </c>
      <c r="I81" s="18" t="s">
        <v>567</v>
      </c>
      <c r="J81" s="20" t="s">
        <v>567</v>
      </c>
      <c r="K81" s="18" t="n">
        <v>0.19865138</v>
      </c>
      <c r="L81" s="20" t="n">
        <v>0.23636284</v>
      </c>
      <c r="M81" s="18" t="n">
        <v>0</v>
      </c>
      <c r="N81" s="20" t="n">
        <v>0</v>
      </c>
      <c r="O81" s="18" t="n">
        <v>0</v>
      </c>
      <c r="P81" s="20" t="n">
        <v>0</v>
      </c>
      <c r="Q81" s="18" t="n">
        <v>1.05783474</v>
      </c>
      <c r="R81" s="20" t="n">
        <v>0.40273529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(5814.0/B7*100)</f>
        <v/>
      </c>
      <c r="D7" s="19" t="n">
        <v>1553</v>
      </c>
      <c r="E7" s="18" t="n">
        <v>23.38000587</v>
      </c>
      <c r="F7" s="20" t="n">
        <v>1.48692865</v>
      </c>
      <c r="G7" s="18" t="n">
        <v>74.99442578</v>
      </c>
      <c r="H7" s="20" t="n">
        <v>1.51526382</v>
      </c>
      <c r="I7" s="18" t="s">
        <v>567</v>
      </c>
      <c r="J7" s="20" t="s">
        <v>567</v>
      </c>
      <c r="K7" s="18" t="n">
        <v>0.14538507</v>
      </c>
      <c r="L7" s="20" t="n">
        <v>0.11082458</v>
      </c>
      <c r="M7" s="18" t="n">
        <v>0</v>
      </c>
      <c r="N7" s="20" t="n">
        <v>0</v>
      </c>
      <c r="O7" s="18" t="n">
        <v>0</v>
      </c>
      <c r="P7" s="20" t="n">
        <v>0</v>
      </c>
      <c r="Q7" s="18" t="n">
        <v>1.48018328</v>
      </c>
      <c r="R7" s="20" t="n">
        <v>0.34014632</v>
      </c>
    </row>
    <row r="8" spans="1:18">
      <c r="A8" s="15" t="s">
        <v>568</v>
      </c>
      <c r="B8" s="17" t="n">
        <v>3564</v>
      </c>
      <c r="C8" s="18">
        <f>(2765.0/B8*100)</f>
        <v/>
      </c>
      <c r="D8" s="19" t="n">
        <v>799</v>
      </c>
      <c r="E8" s="18" t="n">
        <v>25.6651795</v>
      </c>
      <c r="F8" s="20" t="n">
        <v>2.12058971</v>
      </c>
      <c r="G8" s="18" t="n">
        <v>72.96065917999999</v>
      </c>
      <c r="H8" s="20" t="n">
        <v>2.10217168</v>
      </c>
      <c r="I8" s="18" t="s">
        <v>567</v>
      </c>
      <c r="J8" s="20" t="s">
        <v>567</v>
      </c>
      <c r="K8" s="18" t="n">
        <v>0.06348036</v>
      </c>
      <c r="L8" s="20" t="n">
        <v>0.06216836</v>
      </c>
      <c r="M8" s="18" t="n">
        <v>0</v>
      </c>
      <c r="N8" s="20" t="n">
        <v>0</v>
      </c>
      <c r="O8" s="18" t="n">
        <v>0</v>
      </c>
      <c r="P8" s="20" t="n">
        <v>0</v>
      </c>
      <c r="Q8" s="18" t="n">
        <v>1.31068096</v>
      </c>
      <c r="R8" s="20" t="n">
        <v>0.49824948</v>
      </c>
    </row>
    <row r="9" spans="1:18">
      <c r="A9" s="15" t="s">
        <v>569</v>
      </c>
      <c r="B9" s="17" t="n">
        <v>4899</v>
      </c>
      <c r="C9" s="18">
        <f>(3888.0/B9*100)</f>
        <v/>
      </c>
      <c r="D9" s="19" t="n">
        <v>1011</v>
      </c>
      <c r="E9" s="18" t="n">
        <v>26.42204839</v>
      </c>
      <c r="F9" s="20" t="n">
        <v>1.31798041</v>
      </c>
      <c r="G9" s="18" t="n">
        <v>72.16357513</v>
      </c>
      <c r="H9" s="20" t="n">
        <v>1.34585253</v>
      </c>
      <c r="I9" s="18" t="s">
        <v>567</v>
      </c>
      <c r="J9" s="20" t="s">
        <v>567</v>
      </c>
      <c r="K9" s="18" t="n">
        <v>0.34269348</v>
      </c>
      <c r="L9" s="20" t="n">
        <v>0.21647354</v>
      </c>
      <c r="M9" s="18" t="n">
        <v>0</v>
      </c>
      <c r="N9" s="20" t="n">
        <v>0</v>
      </c>
      <c r="O9" s="18" t="n">
        <v>0</v>
      </c>
      <c r="P9" s="20" t="n">
        <v>0</v>
      </c>
      <c r="Q9" s="18" t="n">
        <v>1.071683</v>
      </c>
      <c r="R9" s="20" t="n">
        <v>0.40013629</v>
      </c>
    </row>
    <row r="10" spans="1:18">
      <c r="A10" s="15" t="s">
        <v>570</v>
      </c>
      <c r="B10" s="17" t="n">
        <v>10036</v>
      </c>
      <c r="C10" s="18">
        <f>(7826.0/B10*100)</f>
        <v/>
      </c>
      <c r="D10" s="19" t="n">
        <v>2210</v>
      </c>
      <c r="E10" s="18" t="n">
        <v>22.93989767</v>
      </c>
      <c r="F10" s="20" t="n">
        <v>1.23558926</v>
      </c>
      <c r="G10" s="18" t="n">
        <v>75.35820633</v>
      </c>
      <c r="H10" s="20" t="n">
        <v>1.24539649</v>
      </c>
      <c r="I10" s="18" t="s">
        <v>567</v>
      </c>
      <c r="J10" s="20" t="s">
        <v>567</v>
      </c>
      <c r="K10" s="18" t="n">
        <v>0.43194306</v>
      </c>
      <c r="L10" s="20" t="n">
        <v>0.20785359</v>
      </c>
      <c r="M10" s="18" t="n">
        <v>0</v>
      </c>
      <c r="N10" s="20" t="n">
        <v>0</v>
      </c>
      <c r="O10" s="18" t="n">
        <v>0</v>
      </c>
      <c r="P10" s="20" t="n">
        <v>0</v>
      </c>
      <c r="Q10" s="18" t="n">
        <v>1.26995294</v>
      </c>
      <c r="R10" s="20" t="n">
        <v>0.34156853</v>
      </c>
    </row>
    <row r="11" spans="1:18">
      <c r="A11" s="15" t="s">
        <v>571</v>
      </c>
      <c r="B11" s="17" t="n">
        <v>3553</v>
      </c>
      <c r="C11" s="18">
        <f>(2773.0/B11*100)</f>
        <v/>
      </c>
      <c r="D11" s="19" t="n">
        <v>780</v>
      </c>
      <c r="E11" s="18" t="n">
        <v>35.1576277</v>
      </c>
      <c r="F11" s="20" t="n">
        <v>2.02943286</v>
      </c>
      <c r="G11" s="18" t="n">
        <v>62.80607716</v>
      </c>
      <c r="H11" s="20" t="n">
        <v>2.23445513</v>
      </c>
      <c r="I11" s="18" t="s">
        <v>567</v>
      </c>
      <c r="J11" s="20" t="s">
        <v>567</v>
      </c>
      <c r="K11" s="18" t="n">
        <v>0.52636269</v>
      </c>
      <c r="L11" s="20" t="n">
        <v>0.30291767</v>
      </c>
      <c r="M11" s="18" t="n">
        <v>0</v>
      </c>
      <c r="N11" s="20" t="n">
        <v>0</v>
      </c>
      <c r="O11" s="18" t="n">
        <v>0</v>
      </c>
      <c r="P11" s="20" t="n">
        <v>0</v>
      </c>
      <c r="Q11" s="18" t="n">
        <v>1.50993244</v>
      </c>
      <c r="R11" s="20" t="n">
        <v>0.45691072</v>
      </c>
    </row>
    <row r="12" spans="1:18">
      <c r="A12" s="15" t="s">
        <v>572</v>
      </c>
      <c r="B12" s="17" t="n">
        <v>3472</v>
      </c>
      <c r="C12" s="18">
        <f>(2721.0/B12*100)</f>
        <v/>
      </c>
      <c r="D12" s="19" t="n">
        <v>751</v>
      </c>
      <c r="E12" s="18" t="n">
        <v>26.89010237</v>
      </c>
      <c r="F12" s="20" t="n">
        <v>2.04460632</v>
      </c>
      <c r="G12" s="18" t="n">
        <v>72.06079862</v>
      </c>
      <c r="H12" s="20" t="n">
        <v>2.05780199</v>
      </c>
      <c r="I12" s="18" t="s">
        <v>567</v>
      </c>
      <c r="J12" s="20" t="s">
        <v>567</v>
      </c>
      <c r="K12" s="18" t="n">
        <v>0</v>
      </c>
      <c r="L12" s="20" t="n">
        <v>0</v>
      </c>
      <c r="M12" s="18" t="n">
        <v>0</v>
      </c>
      <c r="N12" s="20" t="n">
        <v>0</v>
      </c>
      <c r="O12" s="18" t="n">
        <v>0</v>
      </c>
      <c r="P12" s="20" t="n">
        <v>0</v>
      </c>
      <c r="Q12" s="18" t="n">
        <v>1.04909901</v>
      </c>
      <c r="R12" s="20" t="n">
        <v>0.48642946</v>
      </c>
    </row>
    <row r="13" spans="1:18">
      <c r="A13" s="15" t="s">
        <v>573</v>
      </c>
      <c r="B13" s="17" t="n">
        <v>3559</v>
      </c>
      <c r="C13" s="18">
        <f>(2841.0/B13*100)</f>
        <v/>
      </c>
      <c r="D13" s="19" t="n">
        <v>718</v>
      </c>
      <c r="E13" s="18" t="n">
        <v>24.09061253</v>
      </c>
      <c r="F13" s="20" t="n">
        <v>2.04318345</v>
      </c>
      <c r="G13" s="18" t="n">
        <v>74.85525967</v>
      </c>
      <c r="H13" s="20" t="n">
        <v>2.08155384</v>
      </c>
      <c r="I13" s="18" t="s">
        <v>567</v>
      </c>
      <c r="J13" s="20" t="s">
        <v>567</v>
      </c>
      <c r="K13" s="18" t="n">
        <v>0.41157557</v>
      </c>
      <c r="L13" s="20" t="n">
        <v>0.34364156</v>
      </c>
      <c r="M13" s="18" t="n">
        <v>0</v>
      </c>
      <c r="N13" s="20" t="n">
        <v>0</v>
      </c>
      <c r="O13" s="18" t="n">
        <v>0</v>
      </c>
      <c r="P13" s="20" t="n">
        <v>0</v>
      </c>
      <c r="Q13" s="18" t="n">
        <v>0.6425522299999999</v>
      </c>
      <c r="R13" s="20" t="n">
        <v>0.37535414</v>
      </c>
    </row>
    <row r="14" spans="1:18">
      <c r="A14" s="15" t="s">
        <v>574</v>
      </c>
      <c r="B14" s="17" t="n">
        <v>2799</v>
      </c>
      <c r="C14" s="18">
        <f>(2151.0/B14*100)</f>
        <v/>
      </c>
      <c r="D14" s="19" t="n">
        <v>648</v>
      </c>
      <c r="E14" s="18" t="n">
        <v>18.13081938</v>
      </c>
      <c r="F14" s="20" t="n">
        <v>1.82814743</v>
      </c>
      <c r="G14" s="18" t="n">
        <v>81.40072409</v>
      </c>
      <c r="H14" s="20" t="n">
        <v>1.90562779</v>
      </c>
      <c r="I14" s="18" t="s">
        <v>567</v>
      </c>
      <c r="J14" s="20" t="s">
        <v>567</v>
      </c>
      <c r="K14" s="18" t="n">
        <v>0.16935741</v>
      </c>
      <c r="L14" s="20" t="n">
        <v>0.14458682</v>
      </c>
      <c r="M14" s="18" t="n">
        <v>0</v>
      </c>
      <c r="N14" s="20" t="n">
        <v>0</v>
      </c>
      <c r="O14" s="18" t="n">
        <v>0</v>
      </c>
      <c r="P14" s="20" t="n">
        <v>0</v>
      </c>
      <c r="Q14" s="18" t="n">
        <v>0.29909912</v>
      </c>
      <c r="R14" s="20" t="n">
        <v>0.21276936</v>
      </c>
    </row>
    <row r="15" spans="1:18">
      <c r="A15" s="15" t="s">
        <v>575</v>
      </c>
      <c r="B15" s="17" t="n">
        <v>3019</v>
      </c>
      <c r="C15" s="18">
        <f>(2323.0/B15*100)</f>
        <v/>
      </c>
      <c r="D15" s="19" t="n">
        <v>696</v>
      </c>
      <c r="E15" s="18" t="n">
        <v>22.75572182</v>
      </c>
      <c r="F15" s="20" t="n">
        <v>1.72638019</v>
      </c>
      <c r="G15" s="18" t="n">
        <v>75.98823607</v>
      </c>
      <c r="H15" s="20" t="n">
        <v>1.65518644</v>
      </c>
      <c r="I15" s="18" t="s">
        <v>567</v>
      </c>
      <c r="J15" s="20" t="s">
        <v>567</v>
      </c>
      <c r="K15" s="18" t="n">
        <v>0</v>
      </c>
      <c r="L15" s="20" t="n">
        <v>0</v>
      </c>
      <c r="M15" s="18" t="n">
        <v>0</v>
      </c>
      <c r="N15" s="20" t="n">
        <v>0</v>
      </c>
      <c r="O15" s="18" t="n">
        <v>0</v>
      </c>
      <c r="P15" s="20" t="n">
        <v>0</v>
      </c>
      <c r="Q15" s="18" t="n">
        <v>1.25604211</v>
      </c>
      <c r="R15" s="20" t="n">
        <v>0.40750132</v>
      </c>
    </row>
    <row r="16" spans="1:18">
      <c r="A16" s="15" t="s">
        <v>576</v>
      </c>
      <c r="B16" s="17" t="n">
        <v>2997</v>
      </c>
      <c r="C16" s="18">
        <f>(2369.0/B16*100)</f>
        <v/>
      </c>
      <c r="D16" s="19" t="n">
        <v>628</v>
      </c>
      <c r="E16" s="18" t="n">
        <v>29.31180905</v>
      </c>
      <c r="F16" s="20" t="n">
        <v>1.98932788</v>
      </c>
      <c r="G16" s="18" t="n">
        <v>67.71143288</v>
      </c>
      <c r="H16" s="20" t="n">
        <v>2.19329786</v>
      </c>
      <c r="I16" s="18" t="s">
        <v>567</v>
      </c>
      <c r="J16" s="20" t="s">
        <v>567</v>
      </c>
      <c r="K16" s="18" t="n">
        <v>0.83206039</v>
      </c>
      <c r="L16" s="20" t="n">
        <v>0.39226802</v>
      </c>
      <c r="M16" s="18" t="n">
        <v>0</v>
      </c>
      <c r="N16" s="20" t="n">
        <v>0</v>
      </c>
      <c r="O16" s="18" t="n">
        <v>0</v>
      </c>
      <c r="P16" s="20" t="n">
        <v>0</v>
      </c>
      <c r="Q16" s="18" t="n">
        <v>2.14469767</v>
      </c>
      <c r="R16" s="20" t="n">
        <v>0.75584059</v>
      </c>
    </row>
    <row r="17" spans="1:18">
      <c r="A17" s="15" t="s">
        <v>577</v>
      </c>
      <c r="B17" s="17" t="n">
        <v>3307</v>
      </c>
      <c r="C17" s="18">
        <f>(2598.0/B17*100)</f>
        <v/>
      </c>
      <c r="D17" s="19" t="n">
        <v>709</v>
      </c>
      <c r="E17" s="18" t="n">
        <v>24.69523953</v>
      </c>
      <c r="F17" s="20" t="n">
        <v>1.641248</v>
      </c>
      <c r="G17" s="18" t="n">
        <v>74.27893308</v>
      </c>
      <c r="H17" s="20" t="n">
        <v>1.82182711</v>
      </c>
      <c r="I17" s="18" t="s">
        <v>567</v>
      </c>
      <c r="J17" s="20" t="s">
        <v>567</v>
      </c>
      <c r="K17" s="18" t="n">
        <v>0.22110394</v>
      </c>
      <c r="L17" s="20" t="n">
        <v>0.18030692</v>
      </c>
      <c r="M17" s="18" t="n">
        <v>0</v>
      </c>
      <c r="N17" s="20" t="n">
        <v>0</v>
      </c>
      <c r="O17" s="18" t="n">
        <v>0</v>
      </c>
      <c r="P17" s="20" t="n">
        <v>0</v>
      </c>
      <c r="Q17" s="18" t="n">
        <v>0.80472345</v>
      </c>
      <c r="R17" s="20" t="n">
        <v>0.35611788</v>
      </c>
    </row>
    <row r="18" spans="1:18">
      <c r="A18" s="15" t="s">
        <v>578</v>
      </c>
      <c r="B18" s="17" t="n">
        <v>2826</v>
      </c>
      <c r="C18" s="18">
        <f>(2216.0/B18*100)</f>
        <v/>
      </c>
      <c r="D18" s="19" t="n">
        <v>610</v>
      </c>
      <c r="E18" s="18" t="n">
        <v>38.14479124</v>
      </c>
      <c r="F18" s="20" t="n">
        <v>2.17609432</v>
      </c>
      <c r="G18" s="18" t="n">
        <v>59.46504249</v>
      </c>
      <c r="H18" s="20" t="n">
        <v>2.25377372</v>
      </c>
      <c r="I18" s="18" t="s">
        <v>567</v>
      </c>
      <c r="J18" s="20" t="s">
        <v>567</v>
      </c>
      <c r="K18" s="18" t="n">
        <v>0.20232483</v>
      </c>
      <c r="L18" s="20" t="n">
        <v>0.14713481</v>
      </c>
      <c r="M18" s="18" t="n">
        <v>0</v>
      </c>
      <c r="N18" s="20" t="n">
        <v>0</v>
      </c>
      <c r="O18" s="18" t="n">
        <v>0</v>
      </c>
      <c r="P18" s="20" t="n">
        <v>0</v>
      </c>
      <c r="Q18" s="18" t="n">
        <v>2.18784145</v>
      </c>
      <c r="R18" s="20" t="n">
        <v>0.6686974</v>
      </c>
    </row>
    <row r="19" spans="1:18">
      <c r="A19" s="15" t="s">
        <v>579</v>
      </c>
      <c r="B19" s="17" t="n">
        <v>2808</v>
      </c>
      <c r="C19" s="18">
        <f>(2185.0/B19*100)</f>
        <v/>
      </c>
      <c r="D19" s="19" t="n">
        <v>623</v>
      </c>
      <c r="E19" s="18" t="n">
        <v>36.06825585</v>
      </c>
      <c r="F19" s="20" t="n">
        <v>2.17404148</v>
      </c>
      <c r="G19" s="18" t="n">
        <v>62.75926457</v>
      </c>
      <c r="H19" s="20" t="n">
        <v>2.2489547</v>
      </c>
      <c r="I19" s="18" t="s">
        <v>567</v>
      </c>
      <c r="J19" s="20" t="s">
        <v>567</v>
      </c>
      <c r="K19" s="18" t="n">
        <v>0.36626996</v>
      </c>
      <c r="L19" s="20" t="n">
        <v>0.34700062</v>
      </c>
      <c r="M19" s="18" t="n">
        <v>0</v>
      </c>
      <c r="N19" s="20" t="n">
        <v>0</v>
      </c>
      <c r="O19" s="18" t="n">
        <v>0</v>
      </c>
      <c r="P19" s="20" t="n">
        <v>0</v>
      </c>
      <c r="Q19" s="18" t="n">
        <v>0.80620962</v>
      </c>
      <c r="R19" s="20" t="n">
        <v>0.33129363</v>
      </c>
    </row>
    <row r="20" spans="1:18">
      <c r="A20" s="15" t="s">
        <v>580</v>
      </c>
      <c r="B20" s="17" t="n">
        <v>1630</v>
      </c>
      <c r="C20" s="18">
        <f>(1287.0/B20*100)</f>
        <v/>
      </c>
      <c r="D20" s="19" t="n">
        <v>343</v>
      </c>
      <c r="E20" s="18" t="n">
        <v>27.62417392</v>
      </c>
      <c r="F20" s="20" t="n">
        <v>2.50419421</v>
      </c>
      <c r="G20" s="18" t="n">
        <v>67.97402756</v>
      </c>
      <c r="H20" s="20" t="n">
        <v>2.76378461</v>
      </c>
      <c r="I20" s="18" t="s">
        <v>567</v>
      </c>
      <c r="J20" s="20" t="s">
        <v>567</v>
      </c>
      <c r="K20" s="18" t="n">
        <v>1.4084333</v>
      </c>
      <c r="L20" s="20" t="n">
        <v>0.63708507</v>
      </c>
      <c r="M20" s="18" t="n">
        <v>0</v>
      </c>
      <c r="N20" s="20" t="n">
        <v>0</v>
      </c>
      <c r="O20" s="18" t="n">
        <v>0</v>
      </c>
      <c r="P20" s="20" t="n">
        <v>0</v>
      </c>
      <c r="Q20" s="18" t="n">
        <v>2.99336522</v>
      </c>
      <c r="R20" s="20" t="n">
        <v>1.04202055</v>
      </c>
    </row>
    <row r="21" spans="1:18">
      <c r="A21" s="15" t="s">
        <v>581</v>
      </c>
      <c r="B21" s="17" t="n">
        <v>2908</v>
      </c>
      <c r="C21" s="18">
        <f>(2245.0/B21*100)</f>
        <v/>
      </c>
      <c r="D21" s="19" t="n">
        <v>663</v>
      </c>
      <c r="E21" s="18" t="n">
        <v>26.11962163</v>
      </c>
      <c r="F21" s="20" t="n">
        <v>1.69411421</v>
      </c>
      <c r="G21" s="18" t="n">
        <v>73.12959284</v>
      </c>
      <c r="H21" s="20" t="n">
        <v>1.75854361</v>
      </c>
      <c r="I21" s="18" t="s">
        <v>567</v>
      </c>
      <c r="J21" s="20" t="s">
        <v>567</v>
      </c>
      <c r="K21" s="18" t="n">
        <v>0.15879645</v>
      </c>
      <c r="L21" s="20" t="n">
        <v>0.17000533</v>
      </c>
      <c r="M21" s="18" t="n">
        <v>0</v>
      </c>
      <c r="N21" s="20" t="n">
        <v>0</v>
      </c>
      <c r="O21" s="18" t="n">
        <v>0</v>
      </c>
      <c r="P21" s="20" t="n">
        <v>0</v>
      </c>
      <c r="Q21" s="18" t="n">
        <v>0.5919890799999999</v>
      </c>
      <c r="R21" s="20" t="n">
        <v>0.27118724</v>
      </c>
    </row>
    <row r="22" spans="1:18">
      <c r="A22" s="15" t="s">
        <v>582</v>
      </c>
      <c r="B22" s="17" t="n">
        <v>2931</v>
      </c>
      <c r="C22" s="18">
        <f>(2278.0/B22*100)</f>
        <v/>
      </c>
      <c r="D22" s="19" t="n">
        <v>653</v>
      </c>
      <c r="E22" s="18" t="n">
        <v>36.58381031</v>
      </c>
      <c r="F22" s="20" t="n">
        <v>2.01814445</v>
      </c>
      <c r="G22" s="18" t="n">
        <v>60.28868286</v>
      </c>
      <c r="H22" s="20" t="n">
        <v>2.00915131</v>
      </c>
      <c r="I22" s="18" t="s">
        <v>567</v>
      </c>
      <c r="J22" s="20" t="s">
        <v>567</v>
      </c>
      <c r="K22" s="18" t="n">
        <v>0.40678722</v>
      </c>
      <c r="L22" s="20" t="n">
        <v>0.32972689</v>
      </c>
      <c r="M22" s="18" t="n">
        <v>0</v>
      </c>
      <c r="N22" s="20" t="n">
        <v>0</v>
      </c>
      <c r="O22" s="18" t="n">
        <v>0</v>
      </c>
      <c r="P22" s="20" t="n">
        <v>0</v>
      </c>
      <c r="Q22" s="18" t="n">
        <v>2.72071961</v>
      </c>
      <c r="R22" s="20" t="n">
        <v>0.58226026</v>
      </c>
    </row>
    <row r="23" spans="1:18">
      <c r="A23" s="15" t="s">
        <v>583</v>
      </c>
      <c r="B23" s="17" t="n">
        <v>5791</v>
      </c>
      <c r="C23" s="18">
        <f>(4530.0/B23*100)</f>
        <v/>
      </c>
      <c r="D23" s="19" t="n">
        <v>1261</v>
      </c>
      <c r="E23" s="18" t="n">
        <v>27.4594875</v>
      </c>
      <c r="F23" s="20" t="n">
        <v>2.22798359</v>
      </c>
      <c r="G23" s="18" t="n">
        <v>69.44723071999999</v>
      </c>
      <c r="H23" s="20" t="n">
        <v>2.27533657</v>
      </c>
      <c r="I23" s="18" t="s">
        <v>567</v>
      </c>
      <c r="J23" s="20" t="s">
        <v>567</v>
      </c>
      <c r="K23" s="18" t="n">
        <v>0.6219632</v>
      </c>
      <c r="L23" s="20" t="n">
        <v>0.38535362</v>
      </c>
      <c r="M23" s="18" t="n">
        <v>0</v>
      </c>
      <c r="N23" s="20" t="n">
        <v>0</v>
      </c>
      <c r="O23" s="18" t="n">
        <v>0</v>
      </c>
      <c r="P23" s="20" t="n">
        <v>0</v>
      </c>
      <c r="Q23" s="18" t="n">
        <v>2.47131858</v>
      </c>
      <c r="R23" s="20" t="n">
        <v>0.66470602</v>
      </c>
    </row>
    <row r="24" spans="1:18">
      <c r="A24" s="15" t="s">
        <v>584</v>
      </c>
      <c r="B24" s="17" t="n">
        <v>3338</v>
      </c>
      <c r="C24" s="18">
        <f>(2592.0/B24*100)</f>
        <v/>
      </c>
      <c r="D24" s="19" t="n">
        <v>746</v>
      </c>
      <c r="E24" s="18" t="n">
        <v>19.21113218</v>
      </c>
      <c r="F24" s="20" t="n">
        <v>1.70323187</v>
      </c>
      <c r="G24" s="18" t="n">
        <v>79.70404128</v>
      </c>
      <c r="H24" s="20" t="n">
        <v>1.7147679</v>
      </c>
      <c r="I24" s="18" t="s">
        <v>567</v>
      </c>
      <c r="J24" s="20" t="s">
        <v>567</v>
      </c>
      <c r="K24" s="18" t="n">
        <v>0.39098181</v>
      </c>
      <c r="L24" s="20" t="n">
        <v>0.22516132</v>
      </c>
      <c r="M24" s="18" t="n">
        <v>0</v>
      </c>
      <c r="N24" s="20" t="n">
        <v>0</v>
      </c>
      <c r="O24" s="18" t="n">
        <v>0</v>
      </c>
      <c r="P24" s="20" t="n">
        <v>0</v>
      </c>
      <c r="Q24" s="18" t="n">
        <v>0.69384473</v>
      </c>
      <c r="R24" s="20" t="n">
        <v>0.26273898</v>
      </c>
    </row>
    <row r="25" spans="1:18">
      <c r="A25" s="15" t="s">
        <v>585</v>
      </c>
      <c r="B25" s="17" t="n">
        <v>2912</v>
      </c>
      <c r="C25" s="18">
        <f>(2270.0/B25*100)</f>
        <v/>
      </c>
      <c r="D25" s="19" t="n">
        <v>642</v>
      </c>
      <c r="E25" s="18" t="n">
        <v>25.96328675</v>
      </c>
      <c r="F25" s="20" t="n">
        <v>1.79581059</v>
      </c>
      <c r="G25" s="18" t="n">
        <v>73.24539283</v>
      </c>
      <c r="H25" s="20" t="n">
        <v>1.80145252</v>
      </c>
      <c r="I25" s="18" t="s">
        <v>567</v>
      </c>
      <c r="J25" s="20" t="s">
        <v>567</v>
      </c>
      <c r="K25" s="18" t="n">
        <v>0</v>
      </c>
      <c r="L25" s="20" t="n">
        <v>0</v>
      </c>
      <c r="M25" s="18" t="n">
        <v>0</v>
      </c>
      <c r="N25" s="20" t="n">
        <v>0</v>
      </c>
      <c r="O25" s="18" t="n">
        <v>0</v>
      </c>
      <c r="P25" s="20" t="n">
        <v>0</v>
      </c>
      <c r="Q25" s="18" t="n">
        <v>0.79132041</v>
      </c>
      <c r="R25" s="20" t="n">
        <v>0.3550831</v>
      </c>
    </row>
    <row r="26" spans="1:18">
      <c r="A26" s="15" t="s">
        <v>586</v>
      </c>
      <c r="B26" s="17" t="n">
        <v>2450</v>
      </c>
      <c r="C26" s="18">
        <f>(1891.0/B26*100)</f>
        <v/>
      </c>
      <c r="D26" s="19" t="n">
        <v>559</v>
      </c>
      <c r="E26" s="18" t="n">
        <v>29.2581817</v>
      </c>
      <c r="F26" s="20" t="n">
        <v>1.80676022</v>
      </c>
      <c r="G26" s="18" t="n">
        <v>70.03794911999999</v>
      </c>
      <c r="H26" s="20" t="n">
        <v>1.77105352</v>
      </c>
      <c r="I26" s="18" t="s">
        <v>567</v>
      </c>
      <c r="J26" s="20" t="s">
        <v>567</v>
      </c>
      <c r="K26" s="18" t="n">
        <v>0</v>
      </c>
      <c r="L26" s="20" t="n">
        <v>0</v>
      </c>
      <c r="M26" s="18" t="n">
        <v>0</v>
      </c>
      <c r="N26" s="20" t="n">
        <v>0</v>
      </c>
      <c r="O26" s="18" t="n">
        <v>0</v>
      </c>
      <c r="P26" s="20" t="n">
        <v>0</v>
      </c>
      <c r="Q26" s="18" t="n">
        <v>0.70386918</v>
      </c>
      <c r="R26" s="20" t="n">
        <v>0.3242489</v>
      </c>
    </row>
    <row r="27" spans="1:18">
      <c r="A27" s="15" t="s">
        <v>587</v>
      </c>
      <c r="B27" s="17" t="n">
        <v>2616</v>
      </c>
      <c r="C27" s="18">
        <f>(2058.0/B27*100)</f>
        <v/>
      </c>
      <c r="D27" s="19" t="n">
        <v>558</v>
      </c>
      <c r="E27" s="18" t="n">
        <v>34.73249134</v>
      </c>
      <c r="F27" s="20" t="n">
        <v>1.76958744</v>
      </c>
      <c r="G27" s="18" t="n">
        <v>63.06348932</v>
      </c>
      <c r="H27" s="20" t="n">
        <v>1.87912118</v>
      </c>
      <c r="I27" s="18" t="s">
        <v>567</v>
      </c>
      <c r="J27" s="20" t="s">
        <v>567</v>
      </c>
      <c r="K27" s="18" t="n">
        <v>0.18914152</v>
      </c>
      <c r="L27" s="20" t="n">
        <v>0.18924858</v>
      </c>
      <c r="M27" s="18" t="n">
        <v>0</v>
      </c>
      <c r="N27" s="20" t="n">
        <v>0</v>
      </c>
      <c r="O27" s="18" t="n">
        <v>0</v>
      </c>
      <c r="P27" s="20" t="n">
        <v>0</v>
      </c>
      <c r="Q27" s="18" t="n">
        <v>2.01487782</v>
      </c>
      <c r="R27" s="20" t="n">
        <v>0.53725156</v>
      </c>
    </row>
    <row r="28" spans="1:18">
      <c r="A28" s="15" t="s">
        <v>588</v>
      </c>
      <c r="B28" s="17" t="n">
        <v>3765</v>
      </c>
      <c r="C28" s="18">
        <f>(2920.0/B28*100)</f>
        <v/>
      </c>
      <c r="D28" s="19" t="n">
        <v>845</v>
      </c>
      <c r="E28" s="18" t="n">
        <v>48.91558204</v>
      </c>
      <c r="F28" s="20" t="n">
        <v>1.92155403</v>
      </c>
      <c r="G28" s="18" t="n">
        <v>49.95543722</v>
      </c>
      <c r="H28" s="20" t="n">
        <v>2.01485218</v>
      </c>
      <c r="I28" s="18" t="s">
        <v>567</v>
      </c>
      <c r="J28" s="20" t="s">
        <v>567</v>
      </c>
      <c r="K28" s="18" t="n">
        <v>0.15122867</v>
      </c>
      <c r="L28" s="20" t="n">
        <v>0.15209571</v>
      </c>
      <c r="M28" s="18" t="n">
        <v>0</v>
      </c>
      <c r="N28" s="20" t="n">
        <v>0</v>
      </c>
      <c r="O28" s="18" t="n">
        <v>0</v>
      </c>
      <c r="P28" s="20" t="n">
        <v>0</v>
      </c>
      <c r="Q28" s="18" t="n">
        <v>0.97775207</v>
      </c>
      <c r="R28" s="20" t="n">
        <v>0.43843143</v>
      </c>
    </row>
    <row r="29" spans="1:18">
      <c r="A29" s="15" t="s">
        <v>589</v>
      </c>
      <c r="B29" s="17" t="n">
        <v>2685</v>
      </c>
      <c r="C29" s="18">
        <f>(2100.0/B29*100)</f>
        <v/>
      </c>
      <c r="D29" s="19" t="n">
        <v>585</v>
      </c>
      <c r="E29" s="18" t="n">
        <v>25.71928797</v>
      </c>
      <c r="F29" s="20" t="n">
        <v>1.78086444</v>
      </c>
      <c r="G29" s="18" t="n">
        <v>73.23836297</v>
      </c>
      <c r="H29" s="20" t="n">
        <v>1.83978445</v>
      </c>
      <c r="I29" s="18" t="s">
        <v>567</v>
      </c>
      <c r="J29" s="20" t="s">
        <v>567</v>
      </c>
      <c r="K29" s="18" t="n">
        <v>0.17633862</v>
      </c>
      <c r="L29" s="20" t="n">
        <v>0.17606746</v>
      </c>
      <c r="M29" s="18" t="n">
        <v>0</v>
      </c>
      <c r="N29" s="20" t="n">
        <v>0</v>
      </c>
      <c r="O29" s="18" t="n">
        <v>0</v>
      </c>
      <c r="P29" s="20" t="n">
        <v>0</v>
      </c>
      <c r="Q29" s="18" t="n">
        <v>0.86601044</v>
      </c>
      <c r="R29" s="20" t="n">
        <v>0.38248949</v>
      </c>
    </row>
    <row r="30" spans="1:18">
      <c r="A30" s="15" t="s">
        <v>590</v>
      </c>
      <c r="B30" s="17" t="n">
        <v>2263</v>
      </c>
      <c r="C30" s="18">
        <f>(1758.0/B30*100)</f>
        <v/>
      </c>
      <c r="D30" s="19" t="n">
        <v>505</v>
      </c>
      <c r="E30" s="18" t="n">
        <v>24.82050754</v>
      </c>
      <c r="F30" s="20" t="n">
        <v>1.70844369</v>
      </c>
      <c r="G30" s="18" t="n">
        <v>74.39171141999999</v>
      </c>
      <c r="H30" s="20" t="n">
        <v>1.76814535</v>
      </c>
      <c r="I30" s="18" t="s">
        <v>567</v>
      </c>
      <c r="J30" s="20" t="s">
        <v>567</v>
      </c>
      <c r="K30" s="18" t="n">
        <v>0.19749263</v>
      </c>
      <c r="L30" s="20" t="n">
        <v>0.17404025</v>
      </c>
      <c r="M30" s="18" t="n">
        <v>0</v>
      </c>
      <c r="N30" s="20" t="n">
        <v>0</v>
      </c>
      <c r="O30" s="18" t="n">
        <v>0</v>
      </c>
      <c r="P30" s="20" t="n">
        <v>0</v>
      </c>
      <c r="Q30" s="18" t="n">
        <v>0.5902884</v>
      </c>
      <c r="R30" s="20" t="n">
        <v>0.27514393</v>
      </c>
    </row>
    <row r="31" spans="1:18">
      <c r="A31" s="15" t="s">
        <v>591</v>
      </c>
      <c r="B31" s="17" t="n">
        <v>2750</v>
      </c>
      <c r="C31" s="18">
        <f>(2154.0/B31*100)</f>
        <v/>
      </c>
      <c r="D31" s="19" t="n">
        <v>596</v>
      </c>
      <c r="E31" s="18" t="n">
        <v>23.47248245</v>
      </c>
      <c r="F31" s="20" t="n">
        <v>1.87060574</v>
      </c>
      <c r="G31" s="18" t="n">
        <v>73.87383454</v>
      </c>
      <c r="H31" s="20" t="n">
        <v>1.95660134</v>
      </c>
      <c r="I31" s="18" t="s">
        <v>567</v>
      </c>
      <c r="J31" s="20" t="s">
        <v>567</v>
      </c>
      <c r="K31" s="18" t="n">
        <v>0.82834041</v>
      </c>
      <c r="L31" s="20" t="n">
        <v>0.38046829</v>
      </c>
      <c r="M31" s="18" t="n">
        <v>0</v>
      </c>
      <c r="N31" s="20" t="n">
        <v>0</v>
      </c>
      <c r="O31" s="18" t="n">
        <v>0</v>
      </c>
      <c r="P31" s="20" t="n">
        <v>0</v>
      </c>
      <c r="Q31" s="18" t="n">
        <v>1.8253426</v>
      </c>
      <c r="R31" s="20" t="n">
        <v>0.53248499</v>
      </c>
    </row>
    <row r="32" spans="1:18">
      <c r="A32" s="15" t="s">
        <v>592</v>
      </c>
      <c r="B32" s="17" t="n">
        <v>2269</v>
      </c>
      <c r="C32" s="18">
        <f>(1763.0/B32*100)</f>
        <v/>
      </c>
      <c r="D32" s="19" t="n">
        <v>506</v>
      </c>
      <c r="E32" s="18" t="n">
        <v>25.97098148</v>
      </c>
      <c r="F32" s="20" t="n">
        <v>1.89974985</v>
      </c>
      <c r="G32" s="18" t="n">
        <v>73.79127744</v>
      </c>
      <c r="H32" s="20" t="n">
        <v>1.91186507</v>
      </c>
      <c r="I32" s="18" t="s">
        <v>567</v>
      </c>
      <c r="J32" s="20" t="s">
        <v>567</v>
      </c>
      <c r="K32" s="18" t="n">
        <v>0.23774108</v>
      </c>
      <c r="L32" s="20" t="n">
        <v>0.23366201</v>
      </c>
      <c r="M32" s="18" t="n">
        <v>0</v>
      </c>
      <c r="N32" s="20" t="n">
        <v>0</v>
      </c>
      <c r="O32" s="18" t="n">
        <v>0</v>
      </c>
      <c r="P32" s="20" t="n">
        <v>0</v>
      </c>
      <c r="Q32" s="18" t="n">
        <v>0</v>
      </c>
      <c r="R32" s="20" t="n">
        <v>0</v>
      </c>
    </row>
    <row r="33" spans="1:18">
      <c r="A33" s="15" t="s">
        <v>593</v>
      </c>
      <c r="B33" s="17" t="n">
        <v>3674</v>
      </c>
      <c r="C33" s="18">
        <f>(2852.0/B33*100)</f>
        <v/>
      </c>
      <c r="D33" s="19" t="n">
        <v>822</v>
      </c>
      <c r="E33" s="18" t="n">
        <v>28.18384971</v>
      </c>
      <c r="F33" s="20" t="n">
        <v>1.98072771</v>
      </c>
      <c r="G33" s="18" t="n">
        <v>70.01567722</v>
      </c>
      <c r="H33" s="20" t="n">
        <v>2.1165684</v>
      </c>
      <c r="I33" s="18" t="s">
        <v>567</v>
      </c>
      <c r="J33" s="20" t="s">
        <v>567</v>
      </c>
      <c r="K33" s="18" t="n">
        <v>0.3482937</v>
      </c>
      <c r="L33" s="20" t="n">
        <v>0.18966961</v>
      </c>
      <c r="M33" s="18" t="n">
        <v>0</v>
      </c>
      <c r="N33" s="20" t="n">
        <v>0</v>
      </c>
      <c r="O33" s="18" t="n">
        <v>0</v>
      </c>
      <c r="P33" s="20" t="n">
        <v>0</v>
      </c>
      <c r="Q33" s="18" t="n">
        <v>1.45217937</v>
      </c>
      <c r="R33" s="20" t="n">
        <v>0.54589596</v>
      </c>
    </row>
    <row r="34" spans="1:18">
      <c r="A34" s="15" t="s">
        <v>594</v>
      </c>
      <c r="B34" s="17" t="n">
        <v>3315</v>
      </c>
      <c r="C34" s="18">
        <f>(2606.0/B34*100)</f>
        <v/>
      </c>
      <c r="D34" s="19" t="n">
        <v>709</v>
      </c>
      <c r="E34" s="18" t="n">
        <v>30.83181414</v>
      </c>
      <c r="F34" s="20" t="n">
        <v>1.82211783</v>
      </c>
      <c r="G34" s="18" t="n">
        <v>67.15085808000001</v>
      </c>
      <c r="H34" s="20" t="n">
        <v>1.76644674</v>
      </c>
      <c r="I34" s="18" t="s">
        <v>567</v>
      </c>
      <c r="J34" s="20" t="s">
        <v>567</v>
      </c>
      <c r="K34" s="18" t="n">
        <v>0</v>
      </c>
      <c r="L34" s="20" t="n">
        <v>0</v>
      </c>
      <c r="M34" s="18" t="n">
        <v>0</v>
      </c>
      <c r="N34" s="20" t="n">
        <v>0</v>
      </c>
      <c r="O34" s="18" t="n">
        <v>0</v>
      </c>
      <c r="P34" s="20" t="n">
        <v>0</v>
      </c>
      <c r="Q34" s="18" t="n">
        <v>2.01732778</v>
      </c>
      <c r="R34" s="20" t="n">
        <v>0.43713736</v>
      </c>
    </row>
    <row r="35" spans="1:18">
      <c r="A35" s="15" t="s">
        <v>595</v>
      </c>
      <c r="B35" s="17" t="n">
        <v>3505</v>
      </c>
      <c r="C35" s="18">
        <f>(2784.0/B35*100)</f>
        <v/>
      </c>
      <c r="D35" s="19" t="n">
        <v>721</v>
      </c>
      <c r="E35" s="18" t="n">
        <v>26.03356845</v>
      </c>
      <c r="F35" s="20" t="n">
        <v>2.25894974</v>
      </c>
      <c r="G35" s="18" t="n">
        <v>73.19513824000001</v>
      </c>
      <c r="H35" s="20" t="n">
        <v>2.24278916</v>
      </c>
      <c r="I35" s="18" t="s">
        <v>567</v>
      </c>
      <c r="J35" s="20" t="s">
        <v>567</v>
      </c>
      <c r="K35" s="18" t="n">
        <v>0.18730495</v>
      </c>
      <c r="L35" s="20" t="n">
        <v>0.13906735</v>
      </c>
      <c r="M35" s="18" t="n">
        <v>0</v>
      </c>
      <c r="N35" s="20" t="n">
        <v>0</v>
      </c>
      <c r="O35" s="18" t="n">
        <v>0</v>
      </c>
      <c r="P35" s="20" t="n">
        <v>0</v>
      </c>
      <c r="Q35" s="18" t="n">
        <v>0.58398836</v>
      </c>
      <c r="R35" s="20" t="n">
        <v>0.19691344</v>
      </c>
    </row>
    <row r="36" spans="1:18">
      <c r="A36" s="15" t="s">
        <v>596</v>
      </c>
      <c r="B36" s="17" t="n">
        <v>3332</v>
      </c>
      <c r="C36" s="18">
        <f>(2591.0/B36*100)</f>
        <v/>
      </c>
      <c r="D36" s="19" t="n">
        <v>741</v>
      </c>
      <c r="E36" s="18" t="n">
        <v>23.48742928</v>
      </c>
      <c r="F36" s="20" t="n">
        <v>1.67361235</v>
      </c>
      <c r="G36" s="18" t="n">
        <v>74.27660566</v>
      </c>
      <c r="H36" s="20" t="n">
        <v>1.75242391</v>
      </c>
      <c r="I36" s="18" t="s">
        <v>567</v>
      </c>
      <c r="J36" s="20" t="s">
        <v>567</v>
      </c>
      <c r="K36" s="18" t="n">
        <v>0.80423498</v>
      </c>
      <c r="L36" s="20" t="n">
        <v>0.25506626</v>
      </c>
      <c r="M36" s="18" t="n">
        <v>0</v>
      </c>
      <c r="N36" s="20" t="n">
        <v>0</v>
      </c>
      <c r="O36" s="18" t="n">
        <v>0</v>
      </c>
      <c r="P36" s="20" t="n">
        <v>0</v>
      </c>
      <c r="Q36" s="18" t="n">
        <v>1.43173008</v>
      </c>
      <c r="R36" s="20" t="n">
        <v>0.43628299</v>
      </c>
    </row>
    <row r="37" spans="1:18">
      <c r="A37" s="15" t="s">
        <v>597</v>
      </c>
      <c r="B37" s="17" t="n">
        <v>2727</v>
      </c>
      <c r="C37" s="18">
        <f>(2115.0/B37*100)</f>
        <v/>
      </c>
      <c r="D37" s="19" t="n">
        <v>612</v>
      </c>
      <c r="E37" s="18" t="n">
        <v>26.560132</v>
      </c>
      <c r="F37" s="20" t="n">
        <v>1.73926864</v>
      </c>
      <c r="G37" s="18" t="n">
        <v>71.13285094</v>
      </c>
      <c r="H37" s="20" t="n">
        <v>1.92424465</v>
      </c>
      <c r="I37" s="18" t="s">
        <v>567</v>
      </c>
      <c r="J37" s="20" t="s">
        <v>567</v>
      </c>
      <c r="K37" s="18" t="n">
        <v>0.60434401</v>
      </c>
      <c r="L37" s="20" t="n">
        <v>0.30176055</v>
      </c>
      <c r="M37" s="18" t="n">
        <v>0</v>
      </c>
      <c r="N37" s="20" t="n">
        <v>0</v>
      </c>
      <c r="O37" s="18" t="n">
        <v>0</v>
      </c>
      <c r="P37" s="20" t="n">
        <v>0</v>
      </c>
      <c r="Q37" s="18" t="n">
        <v>1.70267305</v>
      </c>
      <c r="R37" s="20" t="n">
        <v>0.57873692</v>
      </c>
    </row>
    <row r="38" spans="1:18">
      <c r="A38" s="15" t="s">
        <v>598</v>
      </c>
      <c r="B38" s="17" t="n">
        <v>3053</v>
      </c>
      <c r="C38" s="18">
        <f>(2380.0/B38*100)</f>
        <v/>
      </c>
      <c r="D38" s="19" t="n">
        <v>673</v>
      </c>
      <c r="E38" s="18" t="n">
        <v>27.49346235</v>
      </c>
      <c r="F38" s="20" t="n">
        <v>1.90320777</v>
      </c>
      <c r="G38" s="18" t="n">
        <v>71.02206799</v>
      </c>
      <c r="H38" s="20" t="n">
        <v>1.9547711</v>
      </c>
      <c r="I38" s="18" t="s">
        <v>567</v>
      </c>
      <c r="J38" s="20" t="s">
        <v>567</v>
      </c>
      <c r="K38" s="18" t="n">
        <v>0.36544777</v>
      </c>
      <c r="L38" s="20" t="n">
        <v>0.25790841</v>
      </c>
      <c r="M38" s="18" t="n">
        <v>0</v>
      </c>
      <c r="N38" s="20" t="n">
        <v>0</v>
      </c>
      <c r="O38" s="18" t="n">
        <v>0</v>
      </c>
      <c r="P38" s="20" t="n">
        <v>0</v>
      </c>
      <c r="Q38" s="18" t="n">
        <v>1.11902188</v>
      </c>
      <c r="R38" s="20" t="n">
        <v>0.44981733</v>
      </c>
    </row>
    <row r="39" spans="1:18">
      <c r="A39" s="15" t="s">
        <v>599</v>
      </c>
      <c r="B39" s="17" t="n">
        <v>2957</v>
      </c>
      <c r="C39" s="18">
        <f>(2266.0/B39*100)</f>
        <v/>
      </c>
      <c r="D39" s="19" t="n">
        <v>691</v>
      </c>
      <c r="E39" s="18" t="n">
        <v>50.83978362</v>
      </c>
      <c r="F39" s="20" t="n">
        <v>2.82830158</v>
      </c>
      <c r="G39" s="18" t="n">
        <v>47.91592192</v>
      </c>
      <c r="H39" s="20" t="n">
        <v>2.83355608</v>
      </c>
      <c r="I39" s="18" t="s">
        <v>567</v>
      </c>
      <c r="J39" s="20" t="s">
        <v>567</v>
      </c>
      <c r="K39" s="18" t="n">
        <v>0</v>
      </c>
      <c r="L39" s="20" t="n">
        <v>0</v>
      </c>
      <c r="M39" s="18" t="n">
        <v>0</v>
      </c>
      <c r="N39" s="20" t="n">
        <v>0</v>
      </c>
      <c r="O39" s="18" t="n">
        <v>0</v>
      </c>
      <c r="P39" s="20" t="n">
        <v>0</v>
      </c>
      <c r="Q39" s="18" t="n">
        <v>1.24429445</v>
      </c>
      <c r="R39" s="20" t="n">
        <v>0.42259414</v>
      </c>
    </row>
    <row r="40" spans="1:18">
      <c r="A40" s="15" t="s">
        <v>600</v>
      </c>
      <c r="B40" s="17" t="n">
        <v>7235</v>
      </c>
      <c r="C40" s="18">
        <f>(5671.0/B40*100)</f>
        <v/>
      </c>
      <c r="D40" s="19" t="n">
        <v>1564</v>
      </c>
      <c r="E40" s="18" t="n">
        <v>25.60804232</v>
      </c>
      <c r="F40" s="20" t="n">
        <v>1.74853281</v>
      </c>
      <c r="G40" s="18" t="n">
        <v>72.37285703000001</v>
      </c>
      <c r="H40" s="20" t="n">
        <v>1.74928358</v>
      </c>
      <c r="I40" s="18" t="s">
        <v>567</v>
      </c>
      <c r="J40" s="20" t="s">
        <v>567</v>
      </c>
      <c r="K40" s="18" t="n">
        <v>0.74385726</v>
      </c>
      <c r="L40" s="20" t="n">
        <v>0.41886181</v>
      </c>
      <c r="M40" s="18" t="n">
        <v>0</v>
      </c>
      <c r="N40" s="20" t="n">
        <v>0</v>
      </c>
      <c r="O40" s="18" t="n">
        <v>0</v>
      </c>
      <c r="P40" s="20" t="n">
        <v>0</v>
      </c>
      <c r="Q40" s="18" t="n">
        <v>1.27524339</v>
      </c>
      <c r="R40" s="20" t="n">
        <v>0.46176981</v>
      </c>
    </row>
    <row r="41" spans="1:18">
      <c r="A41" s="15" t="s">
        <v>601</v>
      </c>
      <c r="B41" s="17" t="n">
        <v>2858</v>
      </c>
      <c r="C41" s="18">
        <f>(2283.0/B41*100)</f>
        <v/>
      </c>
      <c r="D41" s="19" t="n">
        <v>575</v>
      </c>
      <c r="E41" s="18" t="n">
        <v>32.4546797</v>
      </c>
      <c r="F41" s="20" t="n">
        <v>1.92267249</v>
      </c>
      <c r="G41" s="18" t="n">
        <v>65.964992</v>
      </c>
      <c r="H41" s="20" t="n">
        <v>2.13124531</v>
      </c>
      <c r="I41" s="18" t="s">
        <v>567</v>
      </c>
      <c r="J41" s="20" t="s">
        <v>567</v>
      </c>
      <c r="K41" s="18" t="n">
        <v>0.40335547</v>
      </c>
      <c r="L41" s="20" t="n">
        <v>0.22412372</v>
      </c>
      <c r="M41" s="18" t="n">
        <v>0</v>
      </c>
      <c r="N41" s="20" t="n">
        <v>0</v>
      </c>
      <c r="O41" s="18" t="n">
        <v>0</v>
      </c>
      <c r="P41" s="20" t="n">
        <v>0</v>
      </c>
      <c r="Q41" s="18" t="n">
        <v>1.17697283</v>
      </c>
      <c r="R41" s="20" t="n">
        <v>0.76805618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(9101.0/B46*100)</f>
        <v/>
      </c>
      <c r="D46" s="19" t="n">
        <v>1967</v>
      </c>
      <c r="E46" s="18" t="n">
        <v>53.12646189</v>
      </c>
      <c r="F46" s="20" t="n">
        <v>1.53430535</v>
      </c>
      <c r="G46" s="18" t="n">
        <v>43.56677492</v>
      </c>
      <c r="H46" s="20" t="n">
        <v>1.49367787</v>
      </c>
      <c r="I46" s="18" t="s">
        <v>567</v>
      </c>
      <c r="J46" s="20" t="s">
        <v>567</v>
      </c>
      <c r="K46" s="18" t="n">
        <v>0.97689194</v>
      </c>
      <c r="L46" s="20" t="n">
        <v>0.27626177</v>
      </c>
      <c r="M46" s="18" t="n">
        <v>0</v>
      </c>
      <c r="N46" s="20" t="n">
        <v>0</v>
      </c>
      <c r="O46" s="18" t="n">
        <v>0</v>
      </c>
      <c r="P46" s="20" t="n">
        <v>0</v>
      </c>
      <c r="Q46" s="18" t="n">
        <v>2.32987125</v>
      </c>
      <c r="R46" s="20" t="n">
        <v>0.36908848</v>
      </c>
    </row>
    <row r="47" spans="1:18">
      <c r="A47" s="15" t="s">
        <v>607</v>
      </c>
      <c r="B47" s="17" t="n">
        <v>3105</v>
      </c>
      <c r="C47" s="18">
        <f>(2396.0/B47*100)</f>
        <v/>
      </c>
      <c r="D47" s="19" t="n">
        <v>709</v>
      </c>
      <c r="E47" s="18" t="n">
        <v>40.41844255</v>
      </c>
      <c r="F47" s="20" t="n">
        <v>2.08569541</v>
      </c>
      <c r="G47" s="18" t="n">
        <v>56.68988469</v>
      </c>
      <c r="H47" s="20" t="n">
        <v>2.29010048</v>
      </c>
      <c r="I47" s="18" t="s">
        <v>567</v>
      </c>
      <c r="J47" s="20" t="s">
        <v>567</v>
      </c>
      <c r="K47" s="18" t="n">
        <v>0.54765413</v>
      </c>
      <c r="L47" s="20" t="n">
        <v>0.25651005</v>
      </c>
      <c r="M47" s="18" t="n">
        <v>0</v>
      </c>
      <c r="N47" s="20" t="n">
        <v>0</v>
      </c>
      <c r="O47" s="18" t="n">
        <v>0</v>
      </c>
      <c r="P47" s="20" t="n">
        <v>0</v>
      </c>
      <c r="Q47" s="18" t="n">
        <v>2.34401863</v>
      </c>
      <c r="R47" s="20" t="n">
        <v>0.53981452</v>
      </c>
    </row>
    <row r="48" spans="1:18">
      <c r="A48" s="15" t="s">
        <v>608</v>
      </c>
      <c r="B48" s="17" t="n">
        <v>5159</v>
      </c>
      <c r="C48" s="18">
        <f>(4042.0/B48*100)</f>
        <v/>
      </c>
      <c r="D48" s="19" t="n">
        <v>1117</v>
      </c>
      <c r="E48" s="18" t="n">
        <v>22.46170582</v>
      </c>
      <c r="F48" s="20" t="n">
        <v>1.8741427</v>
      </c>
      <c r="G48" s="18" t="n">
        <v>76.93879973999999</v>
      </c>
      <c r="H48" s="20" t="n">
        <v>1.92813652</v>
      </c>
      <c r="I48" s="18" t="s">
        <v>567</v>
      </c>
      <c r="J48" s="20" t="s">
        <v>567</v>
      </c>
      <c r="K48" s="18" t="n">
        <v>0.20981602</v>
      </c>
      <c r="L48" s="20" t="n">
        <v>0.15263364</v>
      </c>
      <c r="M48" s="18" t="n">
        <v>0</v>
      </c>
      <c r="N48" s="20" t="n">
        <v>0</v>
      </c>
      <c r="O48" s="18" t="n">
        <v>0</v>
      </c>
      <c r="P48" s="20" t="n">
        <v>0</v>
      </c>
      <c r="Q48" s="18" t="n">
        <v>0.38967842</v>
      </c>
      <c r="R48" s="20" t="n">
        <v>0.20068949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(4382.0/B50*100)</f>
        <v/>
      </c>
      <c r="D50" s="19" t="n">
        <v>1255</v>
      </c>
      <c r="E50" s="18" t="n">
        <v>46.37096579</v>
      </c>
      <c r="F50" s="20" t="n">
        <v>2.22187094</v>
      </c>
      <c r="G50" s="18" t="n">
        <v>51.09900823</v>
      </c>
      <c r="H50" s="20" t="n">
        <v>2.1478708</v>
      </c>
      <c r="I50" s="18" t="s">
        <v>567</v>
      </c>
      <c r="J50" s="20" t="s">
        <v>567</v>
      </c>
      <c r="K50" s="18" t="n">
        <v>0.92485354</v>
      </c>
      <c r="L50" s="20" t="n">
        <v>0.46694241</v>
      </c>
      <c r="M50" s="18" t="n">
        <v>0</v>
      </c>
      <c r="N50" s="20" t="n">
        <v>0</v>
      </c>
      <c r="O50" s="18" t="n">
        <v>0</v>
      </c>
      <c r="P50" s="20" t="n">
        <v>0</v>
      </c>
      <c r="Q50" s="18" t="n">
        <v>1.60517244</v>
      </c>
      <c r="R50" s="20" t="n">
        <v>0.48049393</v>
      </c>
    </row>
    <row r="51" spans="1:18">
      <c r="A51" s="15" t="s">
        <v>611</v>
      </c>
      <c r="B51" s="17" t="n">
        <v>3372</v>
      </c>
      <c r="C51" s="18">
        <f>(2757.0/B51*100)</f>
        <v/>
      </c>
      <c r="D51" s="19" t="n">
        <v>615</v>
      </c>
      <c r="E51" s="18" t="n">
        <v>41.05491652</v>
      </c>
      <c r="F51" s="20" t="n">
        <v>2.78226373</v>
      </c>
      <c r="G51" s="18" t="n">
        <v>57.91755298</v>
      </c>
      <c r="H51" s="20" t="n">
        <v>2.79861443</v>
      </c>
      <c r="I51" s="18" t="s">
        <v>567</v>
      </c>
      <c r="J51" s="20" t="s">
        <v>567</v>
      </c>
      <c r="K51" s="18" t="n">
        <v>0.23061592</v>
      </c>
      <c r="L51" s="20" t="n">
        <v>0.15789101</v>
      </c>
      <c r="M51" s="18" t="n">
        <v>0</v>
      </c>
      <c r="N51" s="20" t="n">
        <v>0</v>
      </c>
      <c r="O51" s="18" t="n">
        <v>0</v>
      </c>
      <c r="P51" s="20" t="n">
        <v>0</v>
      </c>
      <c r="Q51" s="18" t="n">
        <v>0.79691458</v>
      </c>
      <c r="R51" s="20" t="n">
        <v>0.34887942</v>
      </c>
    </row>
    <row r="52" spans="1:18">
      <c r="A52" s="15" t="s">
        <v>612</v>
      </c>
      <c r="B52" s="17" t="n">
        <v>2796</v>
      </c>
      <c r="C52" s="18">
        <f>(2204.0/B52*100)</f>
        <v/>
      </c>
      <c r="D52" s="19" t="n">
        <v>592</v>
      </c>
      <c r="E52" s="18" t="n">
        <v>32.68376797</v>
      </c>
      <c r="F52" s="20" t="n">
        <v>2.12000795</v>
      </c>
      <c r="G52" s="18" t="n">
        <v>65.19276739</v>
      </c>
      <c r="H52" s="20" t="n">
        <v>2.24199958</v>
      </c>
      <c r="I52" s="18" t="s">
        <v>567</v>
      </c>
      <c r="J52" s="20" t="s">
        <v>567</v>
      </c>
      <c r="K52" s="18" t="n">
        <v>0.1269142</v>
      </c>
      <c r="L52" s="20" t="n">
        <v>0.12842786</v>
      </c>
      <c r="M52" s="18" t="n">
        <v>0</v>
      </c>
      <c r="N52" s="20" t="n">
        <v>0</v>
      </c>
      <c r="O52" s="18" t="n">
        <v>0</v>
      </c>
      <c r="P52" s="20" t="n">
        <v>0</v>
      </c>
      <c r="Q52" s="18" t="n">
        <v>1.99655043</v>
      </c>
      <c r="R52" s="20" t="n">
        <v>0.6464401400000001</v>
      </c>
    </row>
    <row r="53" spans="1:18">
      <c r="A53" s="15" t="s">
        <v>613</v>
      </c>
      <c r="B53" s="17" t="n">
        <v>2811</v>
      </c>
      <c r="C53" s="18">
        <f>(2170.0/B53*100)</f>
        <v/>
      </c>
      <c r="D53" s="19" t="n">
        <v>641</v>
      </c>
      <c r="E53" s="18" t="n">
        <v>40.94999793</v>
      </c>
      <c r="F53" s="20" t="n">
        <v>1.848052</v>
      </c>
      <c r="G53" s="18" t="n">
        <v>55.54566088</v>
      </c>
      <c r="H53" s="20" t="n">
        <v>1.82166458</v>
      </c>
      <c r="I53" s="18" t="s">
        <v>567</v>
      </c>
      <c r="J53" s="20" t="s">
        <v>567</v>
      </c>
      <c r="K53" s="18" t="n">
        <v>0.87449871</v>
      </c>
      <c r="L53" s="20" t="n">
        <v>0.36766543</v>
      </c>
      <c r="M53" s="18" t="n">
        <v>0</v>
      </c>
      <c r="N53" s="20" t="n">
        <v>0</v>
      </c>
      <c r="O53" s="18" t="n">
        <v>0</v>
      </c>
      <c r="P53" s="20" t="n">
        <v>0</v>
      </c>
      <c r="Q53" s="18" t="n">
        <v>2.62984248</v>
      </c>
      <c r="R53" s="20" t="n">
        <v>0.68315816</v>
      </c>
    </row>
    <row r="54" spans="1:18">
      <c r="A54" s="15" t="s">
        <v>614</v>
      </c>
      <c r="B54" s="17" t="n">
        <v>2266</v>
      </c>
      <c r="C54" s="18">
        <f>(1762.0/B54*100)</f>
        <v/>
      </c>
      <c r="D54" s="19" t="n">
        <v>504</v>
      </c>
      <c r="E54" s="18" t="n">
        <v>59.68254356</v>
      </c>
      <c r="F54" s="20" t="n">
        <v>2.33267592</v>
      </c>
      <c r="G54" s="18" t="n">
        <v>27.87836815</v>
      </c>
      <c r="H54" s="20" t="n">
        <v>2.21903716</v>
      </c>
      <c r="I54" s="18" t="s">
        <v>567</v>
      </c>
      <c r="J54" s="20" t="s">
        <v>567</v>
      </c>
      <c r="K54" s="18" t="n">
        <v>9.00526522</v>
      </c>
      <c r="L54" s="20" t="n">
        <v>1.44466727</v>
      </c>
      <c r="M54" s="18" t="n">
        <v>0</v>
      </c>
      <c r="N54" s="20" t="n">
        <v>0</v>
      </c>
      <c r="O54" s="18" t="n">
        <v>0</v>
      </c>
      <c r="P54" s="20" t="n">
        <v>0</v>
      </c>
      <c r="Q54" s="18" t="n">
        <v>3.43382307</v>
      </c>
      <c r="R54" s="20" t="n">
        <v>1.00944157</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(2117.0/B56*100)</f>
        <v/>
      </c>
      <c r="D56" s="19" t="n">
        <v>567</v>
      </c>
      <c r="E56" s="18" t="n">
        <v>21.60742485</v>
      </c>
      <c r="F56" s="20" t="n">
        <v>1.95528595</v>
      </c>
      <c r="G56" s="18" t="n">
        <v>78.06319975</v>
      </c>
      <c r="H56" s="20" t="n">
        <v>1.99694294</v>
      </c>
      <c r="I56" s="18" t="s">
        <v>567</v>
      </c>
      <c r="J56" s="20" t="s">
        <v>567</v>
      </c>
      <c r="K56" s="18" t="n">
        <v>0.22634343</v>
      </c>
      <c r="L56" s="20" t="n">
        <v>0.24889022</v>
      </c>
      <c r="M56" s="18" t="n">
        <v>0</v>
      </c>
      <c r="N56" s="20" t="n">
        <v>0</v>
      </c>
      <c r="O56" s="18" t="n">
        <v>0</v>
      </c>
      <c r="P56" s="20" t="n">
        <v>0</v>
      </c>
      <c r="Q56" s="18" t="n">
        <v>0.10303197</v>
      </c>
      <c r="R56" s="20" t="n">
        <v>0.10344334</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(2597.0/B61*100)</f>
        <v/>
      </c>
      <c r="D61" s="19" t="n">
        <v>727</v>
      </c>
      <c r="E61" s="18" t="n">
        <v>34.59316517</v>
      </c>
      <c r="F61" s="20" t="n">
        <v>1.80242012</v>
      </c>
      <c r="G61" s="18" t="n">
        <v>63.23782417</v>
      </c>
      <c r="H61" s="20" t="n">
        <v>1.91635307</v>
      </c>
      <c r="I61" s="18" t="s">
        <v>567</v>
      </c>
      <c r="J61" s="20" t="s">
        <v>567</v>
      </c>
      <c r="K61" s="18" t="n">
        <v>0.27898496</v>
      </c>
      <c r="L61" s="20" t="n">
        <v>0.22466702</v>
      </c>
      <c r="M61" s="18" t="n">
        <v>0</v>
      </c>
      <c r="N61" s="20" t="n">
        <v>0</v>
      </c>
      <c r="O61" s="18" t="n">
        <v>0</v>
      </c>
      <c r="P61" s="20" t="n">
        <v>0</v>
      </c>
      <c r="Q61" s="18" t="n">
        <v>1.8900257</v>
      </c>
      <c r="R61" s="20" t="n">
        <v>0.61923073</v>
      </c>
    </row>
    <row r="62" spans="1:18">
      <c r="A62" s="15" t="s">
        <v>622</v>
      </c>
      <c r="B62" s="17" t="n">
        <v>2246</v>
      </c>
      <c r="C62" s="18">
        <f>(1727.0/B62*100)</f>
        <v/>
      </c>
      <c r="D62" s="19" t="n">
        <v>519</v>
      </c>
      <c r="E62" s="18" t="n">
        <v>18.08854929</v>
      </c>
      <c r="F62" s="20" t="n">
        <v>1.61177474</v>
      </c>
      <c r="G62" s="18" t="n">
        <v>81.51795826999999</v>
      </c>
      <c r="H62" s="20" t="n">
        <v>1.61193221</v>
      </c>
      <c r="I62" s="18" t="s">
        <v>567</v>
      </c>
      <c r="J62" s="20" t="s">
        <v>567</v>
      </c>
      <c r="K62" s="18" t="n">
        <v>0.19791903</v>
      </c>
      <c r="L62" s="20" t="n">
        <v>0.19732513</v>
      </c>
      <c r="M62" s="18" t="n">
        <v>0</v>
      </c>
      <c r="N62" s="20" t="n">
        <v>0</v>
      </c>
      <c r="O62" s="18" t="n">
        <v>0</v>
      </c>
      <c r="P62" s="20" t="n">
        <v>0</v>
      </c>
      <c r="Q62" s="18" t="n">
        <v>0.19557342</v>
      </c>
      <c r="R62" s="20" t="n">
        <v>0.13857642</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(2263.0/B66*100)</f>
        <v/>
      </c>
      <c r="D66" s="19" t="n">
        <v>631</v>
      </c>
      <c r="E66" s="18" t="n">
        <v>44.70669954</v>
      </c>
      <c r="F66" s="20" t="n">
        <v>2.05895403</v>
      </c>
      <c r="G66" s="18" t="n">
        <v>49.73216462</v>
      </c>
      <c r="H66" s="20" t="n">
        <v>2.01790106</v>
      </c>
      <c r="I66" s="18" t="s">
        <v>567</v>
      </c>
      <c r="J66" s="20" t="s">
        <v>567</v>
      </c>
      <c r="K66" s="18" t="n">
        <v>0.78495921</v>
      </c>
      <c r="L66" s="20" t="n">
        <v>0.34501597</v>
      </c>
      <c r="M66" s="18" t="n">
        <v>0</v>
      </c>
      <c r="N66" s="20" t="n">
        <v>0</v>
      </c>
      <c r="O66" s="18" t="n">
        <v>0</v>
      </c>
      <c r="P66" s="20" t="n">
        <v>0</v>
      </c>
      <c r="Q66" s="18" t="n">
        <v>4.77617662</v>
      </c>
      <c r="R66" s="20" t="n">
        <v>0.83179278</v>
      </c>
    </row>
    <row r="67" spans="1:18">
      <c r="A67" s="15" t="s">
        <v>627</v>
      </c>
      <c r="B67" s="17" t="n">
        <v>3511</v>
      </c>
      <c r="C67" s="18">
        <f>(2804.0/B67*100)</f>
        <v/>
      </c>
      <c r="D67" s="19" t="n">
        <v>707</v>
      </c>
      <c r="E67" s="18" t="n">
        <v>41.3240751</v>
      </c>
      <c r="F67" s="20" t="n">
        <v>2.07455768</v>
      </c>
      <c r="G67" s="18" t="n">
        <v>57.07691801</v>
      </c>
      <c r="H67" s="20" t="n">
        <v>2.14707733</v>
      </c>
      <c r="I67" s="18" t="s">
        <v>567</v>
      </c>
      <c r="J67" s="20" t="s">
        <v>567</v>
      </c>
      <c r="K67" s="18" t="n">
        <v>0</v>
      </c>
      <c r="L67" s="20" t="n">
        <v>0</v>
      </c>
      <c r="M67" s="18" t="n">
        <v>0</v>
      </c>
      <c r="N67" s="20" t="n">
        <v>0</v>
      </c>
      <c r="O67" s="18" t="n">
        <v>0</v>
      </c>
      <c r="P67" s="20" t="n">
        <v>0</v>
      </c>
      <c r="Q67" s="18" t="n">
        <v>1.59900689</v>
      </c>
      <c r="R67" s="20" t="n">
        <v>0.52590373</v>
      </c>
    </row>
    <row r="68" spans="1:18">
      <c r="A68" s="15" t="s">
        <v>628</v>
      </c>
      <c r="B68" s="17" t="n">
        <v>6049</v>
      </c>
      <c r="C68" s="18">
        <f>(4697.0/B68*100)</f>
        <v/>
      </c>
      <c r="D68" s="19" t="n">
        <v>1352</v>
      </c>
      <c r="E68" s="18" t="n">
        <v>46.96887244</v>
      </c>
      <c r="F68" s="20" t="n">
        <v>1.35877125</v>
      </c>
      <c r="G68" s="18" t="n">
        <v>46.20276174</v>
      </c>
      <c r="H68" s="20" t="n">
        <v>1.24433018</v>
      </c>
      <c r="I68" s="18" t="s">
        <v>567</v>
      </c>
      <c r="J68" s="20" t="s">
        <v>567</v>
      </c>
      <c r="K68" s="18" t="n">
        <v>2.2492612</v>
      </c>
      <c r="L68" s="20" t="n">
        <v>0.4149596</v>
      </c>
      <c r="M68" s="18" t="n">
        <v>0</v>
      </c>
      <c r="N68" s="20" t="n">
        <v>0</v>
      </c>
      <c r="O68" s="18" t="n">
        <v>0</v>
      </c>
      <c r="P68" s="20" t="n">
        <v>0</v>
      </c>
      <c r="Q68" s="18" t="n">
        <v>4.57910462</v>
      </c>
      <c r="R68" s="20" t="n">
        <v>0.57404595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(2291.0/B70*100)</f>
        <v/>
      </c>
      <c r="D70" s="19" t="n">
        <v>638</v>
      </c>
      <c r="E70" s="18" t="n">
        <v>33.19319573</v>
      </c>
      <c r="F70" s="20" t="n">
        <v>2.70175851</v>
      </c>
      <c r="G70" s="18" t="n">
        <v>65.99166705</v>
      </c>
      <c r="H70" s="20" t="n">
        <v>2.7106749</v>
      </c>
      <c r="I70" s="18" t="s">
        <v>567</v>
      </c>
      <c r="J70" s="20" t="s">
        <v>567</v>
      </c>
      <c r="K70" s="18" t="n">
        <v>0</v>
      </c>
      <c r="L70" s="20" t="n">
        <v>0</v>
      </c>
      <c r="M70" s="18" t="n">
        <v>0</v>
      </c>
      <c r="N70" s="20" t="n">
        <v>0</v>
      </c>
      <c r="O70" s="18" t="n">
        <v>0</v>
      </c>
      <c r="P70" s="20" t="n">
        <v>0</v>
      </c>
      <c r="Q70" s="18" t="n">
        <v>0.81513722</v>
      </c>
      <c r="R70" s="20" t="n">
        <v>0.36322022</v>
      </c>
    </row>
    <row r="71" spans="1:18">
      <c r="A71" s="15" t="s">
        <v>631</v>
      </c>
      <c r="B71" s="17" t="n">
        <v>3142</v>
      </c>
      <c r="C71" s="18">
        <f>(2442.0/B71*100)</f>
        <v/>
      </c>
      <c r="D71" s="19" t="n">
        <v>700</v>
      </c>
      <c r="E71" s="18" t="n">
        <v>13.78437336</v>
      </c>
      <c r="F71" s="20" t="n">
        <v>1.30648092</v>
      </c>
      <c r="G71" s="18" t="n">
        <v>85.69324672</v>
      </c>
      <c r="H71" s="20" t="n">
        <v>1.28058222</v>
      </c>
      <c r="I71" s="18" t="s">
        <v>567</v>
      </c>
      <c r="J71" s="20" t="s">
        <v>567</v>
      </c>
      <c r="K71" s="18" t="n">
        <v>0.13789683</v>
      </c>
      <c r="L71" s="20" t="n">
        <v>0.13745909</v>
      </c>
      <c r="M71" s="18" t="n">
        <v>0</v>
      </c>
      <c r="N71" s="20" t="n">
        <v>0</v>
      </c>
      <c r="O71" s="18" t="n">
        <v>0</v>
      </c>
      <c r="P71" s="20" t="n">
        <v>0</v>
      </c>
      <c r="Q71" s="18" t="n">
        <v>0.38448309</v>
      </c>
      <c r="R71" s="20" t="n">
        <v>0.22677789</v>
      </c>
    </row>
    <row r="72" spans="1:18">
      <c r="A72" s="15" t="s">
        <v>632</v>
      </c>
      <c r="B72" s="17" t="n">
        <v>3889</v>
      </c>
      <c r="C72" s="18">
        <f>(3053.0/B72*100)</f>
        <v/>
      </c>
      <c r="D72" s="19" t="n">
        <v>836</v>
      </c>
      <c r="E72" s="18" t="n">
        <v>25.94883851</v>
      </c>
      <c r="F72" s="20" t="n">
        <v>1.67961744</v>
      </c>
      <c r="G72" s="18" t="n">
        <v>73.27861437999999</v>
      </c>
      <c r="H72" s="20" t="n">
        <v>1.77051404</v>
      </c>
      <c r="I72" s="18" t="s">
        <v>567</v>
      </c>
      <c r="J72" s="20" t="s">
        <v>567</v>
      </c>
      <c r="K72" s="18" t="n">
        <v>0</v>
      </c>
      <c r="L72" s="20" t="n">
        <v>0</v>
      </c>
      <c r="M72" s="18" t="n">
        <v>0</v>
      </c>
      <c r="N72" s="20" t="n">
        <v>0</v>
      </c>
      <c r="O72" s="18" t="n">
        <v>0</v>
      </c>
      <c r="P72" s="20" t="n">
        <v>0</v>
      </c>
      <c r="Q72" s="18" t="n">
        <v>0.77254711</v>
      </c>
      <c r="R72" s="20" t="n">
        <v>0.28133734</v>
      </c>
    </row>
    <row r="73" spans="1:18">
      <c r="A73" s="15" t="s">
        <v>633</v>
      </c>
      <c r="B73" s="17" t="n">
        <v>3597</v>
      </c>
      <c r="C73" s="18">
        <f>(2837.0/B73*100)</f>
        <v/>
      </c>
      <c r="D73" s="19" t="n">
        <v>760</v>
      </c>
      <c r="E73" s="18" t="n">
        <v>47.45241366</v>
      </c>
      <c r="F73" s="20" t="n">
        <v>2.19119172</v>
      </c>
      <c r="G73" s="18" t="n">
        <v>52.08086212</v>
      </c>
      <c r="H73" s="20" t="n">
        <v>2.13072895</v>
      </c>
      <c r="I73" s="18" t="s">
        <v>567</v>
      </c>
      <c r="J73" s="20" t="s">
        <v>567</v>
      </c>
      <c r="K73" s="18" t="n">
        <v>0</v>
      </c>
      <c r="L73" s="20" t="n">
        <v>0</v>
      </c>
      <c r="M73" s="18" t="n">
        <v>0</v>
      </c>
      <c r="N73" s="20" t="n">
        <v>0</v>
      </c>
      <c r="O73" s="18" t="n">
        <v>0</v>
      </c>
      <c r="P73" s="20" t="n">
        <v>0</v>
      </c>
      <c r="Q73" s="18" t="n">
        <v>0.46672422</v>
      </c>
      <c r="R73" s="20" t="n">
        <v>0.26895466</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(1927.0/B75*100)</f>
        <v/>
      </c>
      <c r="D75" s="19" t="n">
        <v>479</v>
      </c>
      <c r="E75" s="18" t="n">
        <v>55.0072088</v>
      </c>
      <c r="F75" s="20" t="n">
        <v>2.4688217</v>
      </c>
      <c r="G75" s="18" t="n">
        <v>39.27823405</v>
      </c>
      <c r="H75" s="20" t="n">
        <v>2.37458537</v>
      </c>
      <c r="I75" s="18" t="s">
        <v>567</v>
      </c>
      <c r="J75" s="20" t="s">
        <v>567</v>
      </c>
      <c r="K75" s="18" t="n">
        <v>2.03752738</v>
      </c>
      <c r="L75" s="20" t="n">
        <v>0.57749615</v>
      </c>
      <c r="M75" s="18" t="n">
        <v>0</v>
      </c>
      <c r="N75" s="20" t="n">
        <v>0</v>
      </c>
      <c r="O75" s="18" t="n">
        <v>0</v>
      </c>
      <c r="P75" s="20" t="n">
        <v>0</v>
      </c>
      <c r="Q75" s="18" t="n">
        <v>3.67702977</v>
      </c>
      <c r="R75" s="20" t="n">
        <v>1.1141627</v>
      </c>
    </row>
    <row r="76" spans="1:18">
      <c r="A76" s="15" t="s">
        <v>636</v>
      </c>
      <c r="B76" s="17" t="n">
        <v>7052</v>
      </c>
      <c r="C76" s="18">
        <f>(5562.0/B76*100)</f>
        <v/>
      </c>
      <c r="D76" s="19" t="n">
        <v>1490</v>
      </c>
      <c r="E76" s="18" t="n">
        <v>46.02127853</v>
      </c>
      <c r="F76" s="20" t="n">
        <v>1.88557469</v>
      </c>
      <c r="G76" s="18" t="n">
        <v>50.45403624</v>
      </c>
      <c r="H76" s="20" t="n">
        <v>2.03362037</v>
      </c>
      <c r="I76" s="18" t="s">
        <v>567</v>
      </c>
      <c r="J76" s="20" t="s">
        <v>567</v>
      </c>
      <c r="K76" s="18" t="n">
        <v>0.89874209</v>
      </c>
      <c r="L76" s="20" t="n">
        <v>0.28103977</v>
      </c>
      <c r="M76" s="18" t="n">
        <v>0</v>
      </c>
      <c r="N76" s="20" t="n">
        <v>0</v>
      </c>
      <c r="O76" s="18" t="n">
        <v>0</v>
      </c>
      <c r="P76" s="20" t="n">
        <v>0</v>
      </c>
      <c r="Q76" s="18" t="n">
        <v>2.62594313</v>
      </c>
      <c r="R76" s="20" t="n">
        <v>0.52379458</v>
      </c>
    </row>
    <row r="77" spans="1:18">
      <c r="A77" s="15" t="s">
        <v>637</v>
      </c>
      <c r="B77" s="17" t="n">
        <v>2908</v>
      </c>
      <c r="C77" s="18">
        <f>(2264.0/B77*100)</f>
        <v/>
      </c>
      <c r="D77" s="19" t="n">
        <v>644</v>
      </c>
      <c r="E77" s="18" t="n">
        <v>36.32010418</v>
      </c>
      <c r="F77" s="20" t="n">
        <v>1.88272811</v>
      </c>
      <c r="G77" s="18" t="n">
        <v>59.53069568</v>
      </c>
      <c r="H77" s="20" t="n">
        <v>1.88196465</v>
      </c>
      <c r="I77" s="18" t="s">
        <v>567</v>
      </c>
      <c r="J77" s="20" t="s">
        <v>567</v>
      </c>
      <c r="K77" s="18" t="n">
        <v>0.48499152</v>
      </c>
      <c r="L77" s="20" t="n">
        <v>0.30102298</v>
      </c>
      <c r="M77" s="18" t="n">
        <v>0</v>
      </c>
      <c r="N77" s="20" t="n">
        <v>0</v>
      </c>
      <c r="O77" s="18" t="n">
        <v>0</v>
      </c>
      <c r="P77" s="20" t="n">
        <v>0</v>
      </c>
      <c r="Q77" s="18" t="n">
        <v>3.66420863</v>
      </c>
      <c r="R77" s="20" t="n">
        <v>0.82838393</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(3237.0/B81*100)</f>
        <v/>
      </c>
      <c r="D81" s="19" t="n">
        <v>926</v>
      </c>
      <c r="E81" s="18" t="n">
        <v>39.2956629</v>
      </c>
      <c r="F81" s="20" t="n">
        <v>2.08505661</v>
      </c>
      <c r="G81" s="18" t="n">
        <v>60.35474049</v>
      </c>
      <c r="H81" s="20" t="n">
        <v>2.10410013</v>
      </c>
      <c r="I81" s="18" t="s">
        <v>567</v>
      </c>
      <c r="J81" s="20" t="s">
        <v>567</v>
      </c>
      <c r="K81" s="18" t="n">
        <v>0.19900697</v>
      </c>
      <c r="L81" s="20" t="n">
        <v>0.23678418</v>
      </c>
      <c r="M81" s="18" t="n">
        <v>0</v>
      </c>
      <c r="N81" s="20" t="n">
        <v>0</v>
      </c>
      <c r="O81" s="18" t="n">
        <v>0</v>
      </c>
      <c r="P81" s="20" t="n">
        <v>0</v>
      </c>
      <c r="Q81" s="18" t="n">
        <v>0.15058964</v>
      </c>
      <c r="R81" s="20" t="n">
        <v>0.14947026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(5825.0/B7*100)</f>
        <v/>
      </c>
      <c r="D7" s="19" t="n">
        <v>1542</v>
      </c>
      <c r="E7" s="18" t="n">
        <v>60.39389776</v>
      </c>
      <c r="F7" s="20" t="n">
        <v>1.68236725</v>
      </c>
      <c r="G7" s="18" t="n">
        <v>37.03783284</v>
      </c>
      <c r="H7" s="20" t="n">
        <v>1.66209843</v>
      </c>
      <c r="I7" s="18" t="s">
        <v>567</v>
      </c>
      <c r="J7" s="20" t="s">
        <v>567</v>
      </c>
      <c r="K7" s="18" t="n">
        <v>0.18424881</v>
      </c>
      <c r="L7" s="20" t="n">
        <v>0.11732481</v>
      </c>
      <c r="M7" s="18" t="n">
        <v>0.03534063</v>
      </c>
      <c r="N7" s="20" t="n">
        <v>0.03744926</v>
      </c>
      <c r="O7" s="18" t="n">
        <v>0</v>
      </c>
      <c r="P7" s="20" t="n">
        <v>0</v>
      </c>
      <c r="Q7" s="18" t="n">
        <v>2.34867996</v>
      </c>
      <c r="R7" s="20" t="n">
        <v>0.43625095</v>
      </c>
    </row>
    <row r="8" spans="1:18">
      <c r="A8" s="15" t="s">
        <v>568</v>
      </c>
      <c r="B8" s="17" t="n">
        <v>3564</v>
      </c>
      <c r="C8" s="18">
        <f>(2767.0/B8*100)</f>
        <v/>
      </c>
      <c r="D8" s="19" t="n">
        <v>797</v>
      </c>
      <c r="E8" s="18" t="n">
        <v>71.97139435</v>
      </c>
      <c r="F8" s="20" t="n">
        <v>1.68580797</v>
      </c>
      <c r="G8" s="18" t="n">
        <v>26.25304165</v>
      </c>
      <c r="H8" s="20" t="n">
        <v>1.69909458</v>
      </c>
      <c r="I8" s="18" t="s">
        <v>567</v>
      </c>
      <c r="J8" s="20" t="s">
        <v>567</v>
      </c>
      <c r="K8" s="18" t="n">
        <v>0.06355764</v>
      </c>
      <c r="L8" s="20" t="n">
        <v>0.06224672</v>
      </c>
      <c r="M8" s="18" t="n">
        <v>0</v>
      </c>
      <c r="N8" s="20" t="n">
        <v>0</v>
      </c>
      <c r="O8" s="18" t="n">
        <v>0</v>
      </c>
      <c r="P8" s="20" t="n">
        <v>0</v>
      </c>
      <c r="Q8" s="18" t="n">
        <v>1.71200636</v>
      </c>
      <c r="R8" s="20" t="n">
        <v>0.46969924</v>
      </c>
    </row>
    <row r="9" spans="1:18">
      <c r="A9" s="15" t="s">
        <v>569</v>
      </c>
      <c r="B9" s="17" t="n">
        <v>4899</v>
      </c>
      <c r="C9" s="18">
        <f>(3906.0/B9*100)</f>
        <v/>
      </c>
      <c r="D9" s="19" t="n">
        <v>993</v>
      </c>
      <c r="E9" s="18" t="n">
        <v>68.98375744000001</v>
      </c>
      <c r="F9" s="20" t="n">
        <v>1.52714029</v>
      </c>
      <c r="G9" s="18" t="n">
        <v>28.09754298</v>
      </c>
      <c r="H9" s="20" t="n">
        <v>1.54048248</v>
      </c>
      <c r="I9" s="18" t="s">
        <v>567</v>
      </c>
      <c r="J9" s="20" t="s">
        <v>567</v>
      </c>
      <c r="K9" s="18" t="n">
        <v>0.34961907</v>
      </c>
      <c r="L9" s="20" t="n">
        <v>0.22073293</v>
      </c>
      <c r="M9" s="18" t="n">
        <v>0</v>
      </c>
      <c r="N9" s="20" t="n">
        <v>0</v>
      </c>
      <c r="O9" s="18" t="n">
        <v>0</v>
      </c>
      <c r="P9" s="20" t="n">
        <v>0</v>
      </c>
      <c r="Q9" s="18" t="n">
        <v>2.56908051</v>
      </c>
      <c r="R9" s="20" t="n">
        <v>0.64698992</v>
      </c>
    </row>
    <row r="10" spans="1:18">
      <c r="A10" s="15" t="s">
        <v>570</v>
      </c>
      <c r="B10" s="17" t="n">
        <v>10036</v>
      </c>
      <c r="C10" s="18">
        <f>(7838.0/B10*100)</f>
        <v/>
      </c>
      <c r="D10" s="19" t="n">
        <v>2198</v>
      </c>
      <c r="E10" s="18" t="n">
        <v>60.89498327</v>
      </c>
      <c r="F10" s="20" t="n">
        <v>1.37493585</v>
      </c>
      <c r="G10" s="18" t="n">
        <v>37.14568471</v>
      </c>
      <c r="H10" s="20" t="n">
        <v>1.34924069</v>
      </c>
      <c r="I10" s="18" t="s">
        <v>567</v>
      </c>
      <c r="J10" s="20" t="s">
        <v>567</v>
      </c>
      <c r="K10" s="18" t="n">
        <v>0.50796743</v>
      </c>
      <c r="L10" s="20" t="n">
        <v>0.21441655</v>
      </c>
      <c r="M10" s="18" t="n">
        <v>0</v>
      </c>
      <c r="N10" s="20" t="n">
        <v>0</v>
      </c>
      <c r="O10" s="18" t="n">
        <v>0</v>
      </c>
      <c r="P10" s="20" t="n">
        <v>0</v>
      </c>
      <c r="Q10" s="18" t="n">
        <v>1.45136458</v>
      </c>
      <c r="R10" s="20" t="n">
        <v>0.3990844</v>
      </c>
    </row>
    <row r="11" spans="1:18">
      <c r="A11" s="15" t="s">
        <v>571</v>
      </c>
      <c r="B11" s="17" t="n">
        <v>3553</v>
      </c>
      <c r="C11" s="18">
        <f>(2782.0/B11*100)</f>
        <v/>
      </c>
      <c r="D11" s="19" t="n">
        <v>771</v>
      </c>
      <c r="E11" s="18" t="n">
        <v>79.95620631</v>
      </c>
      <c r="F11" s="20" t="n">
        <v>1.79381061</v>
      </c>
      <c r="G11" s="18" t="n">
        <v>15.16152323</v>
      </c>
      <c r="H11" s="20" t="n">
        <v>1.57376852</v>
      </c>
      <c r="I11" s="18" t="s">
        <v>567</v>
      </c>
      <c r="J11" s="20" t="s">
        <v>567</v>
      </c>
      <c r="K11" s="18" t="n">
        <v>1.07403943</v>
      </c>
      <c r="L11" s="20" t="n">
        <v>0.46341338</v>
      </c>
      <c r="M11" s="18" t="n">
        <v>0</v>
      </c>
      <c r="N11" s="20" t="n">
        <v>0</v>
      </c>
      <c r="O11" s="18" t="n">
        <v>0</v>
      </c>
      <c r="P11" s="20" t="n">
        <v>0</v>
      </c>
      <c r="Q11" s="18" t="n">
        <v>3.80823103</v>
      </c>
      <c r="R11" s="20" t="n">
        <v>0.88148252</v>
      </c>
    </row>
    <row r="12" spans="1:18">
      <c r="A12" s="15" t="s">
        <v>572</v>
      </c>
      <c r="B12" s="17" t="n">
        <v>3472</v>
      </c>
      <c r="C12" s="18">
        <f>(2725.0/B12*100)</f>
        <v/>
      </c>
      <c r="D12" s="19" t="n">
        <v>747</v>
      </c>
      <c r="E12" s="18" t="n">
        <v>78.90848724</v>
      </c>
      <c r="F12" s="20" t="n">
        <v>1.61424622</v>
      </c>
      <c r="G12" s="18" t="n">
        <v>18.29803491</v>
      </c>
      <c r="H12" s="20" t="n">
        <v>1.43316583</v>
      </c>
      <c r="I12" s="18" t="s">
        <v>567</v>
      </c>
      <c r="J12" s="20" t="s">
        <v>567</v>
      </c>
      <c r="K12" s="18" t="n">
        <v>0</v>
      </c>
      <c r="L12" s="20" t="n">
        <v>0</v>
      </c>
      <c r="M12" s="18" t="n">
        <v>0</v>
      </c>
      <c r="N12" s="20" t="n">
        <v>0</v>
      </c>
      <c r="O12" s="18" t="n">
        <v>0</v>
      </c>
      <c r="P12" s="20" t="n">
        <v>0</v>
      </c>
      <c r="Q12" s="18" t="n">
        <v>2.79347785</v>
      </c>
      <c r="R12" s="20" t="n">
        <v>0.71173921</v>
      </c>
    </row>
    <row r="13" spans="1:18">
      <c r="A13" s="15" t="s">
        <v>573</v>
      </c>
      <c r="B13" s="17" t="n">
        <v>3559</v>
      </c>
      <c r="C13" s="18">
        <f>(2843.0/B13*100)</f>
        <v/>
      </c>
      <c r="D13" s="19" t="n">
        <v>716</v>
      </c>
      <c r="E13" s="18" t="n">
        <v>68.40816167</v>
      </c>
      <c r="F13" s="20" t="n">
        <v>2.16927712</v>
      </c>
      <c r="G13" s="18" t="n">
        <v>30.27873306</v>
      </c>
      <c r="H13" s="20" t="n">
        <v>2.20669508</v>
      </c>
      <c r="I13" s="18" t="s">
        <v>567</v>
      </c>
      <c r="J13" s="20" t="s">
        <v>567</v>
      </c>
      <c r="K13" s="18" t="n">
        <v>0.41524185</v>
      </c>
      <c r="L13" s="20" t="n">
        <v>0.3467312</v>
      </c>
      <c r="M13" s="18" t="n">
        <v>0</v>
      </c>
      <c r="N13" s="20" t="n">
        <v>0</v>
      </c>
      <c r="O13" s="18" t="n">
        <v>0</v>
      </c>
      <c r="P13" s="20" t="n">
        <v>0</v>
      </c>
      <c r="Q13" s="18" t="n">
        <v>0.89786341</v>
      </c>
      <c r="R13" s="20" t="n">
        <v>0.37703766</v>
      </c>
    </row>
    <row r="14" spans="1:18">
      <c r="A14" s="15" t="s">
        <v>574</v>
      </c>
      <c r="B14" s="17" t="n">
        <v>2799</v>
      </c>
      <c r="C14" s="18">
        <f>(2154.0/B14*100)</f>
        <v/>
      </c>
      <c r="D14" s="19" t="n">
        <v>645</v>
      </c>
      <c r="E14" s="18" t="n">
        <v>64.60836292</v>
      </c>
      <c r="F14" s="20" t="n">
        <v>1.84139949</v>
      </c>
      <c r="G14" s="18" t="n">
        <v>34.57794505</v>
      </c>
      <c r="H14" s="20" t="n">
        <v>1.87447461</v>
      </c>
      <c r="I14" s="18" t="s">
        <v>567</v>
      </c>
      <c r="J14" s="20" t="s">
        <v>567</v>
      </c>
      <c r="K14" s="18" t="n">
        <v>0.17012695</v>
      </c>
      <c r="L14" s="20" t="n">
        <v>0.14519672</v>
      </c>
      <c r="M14" s="18" t="n">
        <v>0</v>
      </c>
      <c r="N14" s="20" t="n">
        <v>0</v>
      </c>
      <c r="O14" s="18" t="n">
        <v>0</v>
      </c>
      <c r="P14" s="20" t="n">
        <v>0</v>
      </c>
      <c r="Q14" s="18" t="n">
        <v>0.64356507</v>
      </c>
      <c r="R14" s="20" t="n">
        <v>0.33472973</v>
      </c>
    </row>
    <row r="15" spans="1:18">
      <c r="A15" s="15" t="s">
        <v>575</v>
      </c>
      <c r="B15" s="17" t="n">
        <v>3019</v>
      </c>
      <c r="C15" s="18">
        <f>(2325.0/B15*100)</f>
        <v/>
      </c>
      <c r="D15" s="19" t="n">
        <v>694</v>
      </c>
      <c r="E15" s="18" t="n">
        <v>76.18993193999999</v>
      </c>
      <c r="F15" s="20" t="n">
        <v>1.92451637</v>
      </c>
      <c r="G15" s="18" t="n">
        <v>21.87999883</v>
      </c>
      <c r="H15" s="20" t="n">
        <v>1.80409741</v>
      </c>
      <c r="I15" s="18" t="s">
        <v>567</v>
      </c>
      <c r="J15" s="20" t="s">
        <v>567</v>
      </c>
      <c r="K15" s="18" t="n">
        <v>0</v>
      </c>
      <c r="L15" s="20" t="n">
        <v>0</v>
      </c>
      <c r="M15" s="18" t="n">
        <v>0</v>
      </c>
      <c r="N15" s="20" t="n">
        <v>0</v>
      </c>
      <c r="O15" s="18" t="n">
        <v>0</v>
      </c>
      <c r="P15" s="20" t="n">
        <v>0</v>
      </c>
      <c r="Q15" s="18" t="n">
        <v>1.93006923</v>
      </c>
      <c r="R15" s="20" t="n">
        <v>0.54996061</v>
      </c>
    </row>
    <row r="16" spans="1:18">
      <c r="A16" s="15" t="s">
        <v>576</v>
      </c>
      <c r="B16" s="17" t="n">
        <v>2997</v>
      </c>
      <c r="C16" s="18">
        <f>(2373.0/B16*100)</f>
        <v/>
      </c>
      <c r="D16" s="19" t="n">
        <v>624</v>
      </c>
      <c r="E16" s="18" t="n">
        <v>71.20464859000001</v>
      </c>
      <c r="F16" s="20" t="n">
        <v>1.92300078</v>
      </c>
      <c r="G16" s="18" t="n">
        <v>22.84051131</v>
      </c>
      <c r="H16" s="20" t="n">
        <v>1.67144066</v>
      </c>
      <c r="I16" s="18" t="s">
        <v>567</v>
      </c>
      <c r="J16" s="20" t="s">
        <v>567</v>
      </c>
      <c r="K16" s="18" t="n">
        <v>1.25198999</v>
      </c>
      <c r="L16" s="20" t="n">
        <v>0.46305438</v>
      </c>
      <c r="M16" s="18" t="n">
        <v>0</v>
      </c>
      <c r="N16" s="20" t="n">
        <v>0</v>
      </c>
      <c r="O16" s="18" t="n">
        <v>0</v>
      </c>
      <c r="P16" s="20" t="n">
        <v>0</v>
      </c>
      <c r="Q16" s="18" t="n">
        <v>4.70285011</v>
      </c>
      <c r="R16" s="20" t="n">
        <v>0.96572861</v>
      </c>
    </row>
    <row r="17" spans="1:18">
      <c r="A17" s="15" t="s">
        <v>577</v>
      </c>
      <c r="B17" s="17" t="n">
        <v>3307</v>
      </c>
      <c r="C17" s="18">
        <f>(2602.0/B17*100)</f>
        <v/>
      </c>
      <c r="D17" s="19" t="n">
        <v>705</v>
      </c>
      <c r="E17" s="18" t="n">
        <v>70.37822047</v>
      </c>
      <c r="F17" s="20" t="n">
        <v>1.95321751</v>
      </c>
      <c r="G17" s="18" t="n">
        <v>27.27649151</v>
      </c>
      <c r="H17" s="20" t="n">
        <v>1.8869576</v>
      </c>
      <c r="I17" s="18" t="s">
        <v>567</v>
      </c>
      <c r="J17" s="20" t="s">
        <v>567</v>
      </c>
      <c r="K17" s="18" t="n">
        <v>0.22240508</v>
      </c>
      <c r="L17" s="20" t="n">
        <v>0.18112428</v>
      </c>
      <c r="M17" s="18" t="n">
        <v>0</v>
      </c>
      <c r="N17" s="20" t="n">
        <v>0</v>
      </c>
      <c r="O17" s="18" t="n">
        <v>0</v>
      </c>
      <c r="P17" s="20" t="n">
        <v>0</v>
      </c>
      <c r="Q17" s="18" t="n">
        <v>2.12288294</v>
      </c>
      <c r="R17" s="20" t="n">
        <v>0.64061025</v>
      </c>
    </row>
    <row r="18" spans="1:18">
      <c r="A18" s="15" t="s">
        <v>578</v>
      </c>
      <c r="B18" s="17" t="n">
        <v>2826</v>
      </c>
      <c r="C18" s="18">
        <f>(2218.0/B18*100)</f>
        <v/>
      </c>
      <c r="D18" s="19" t="n">
        <v>608</v>
      </c>
      <c r="E18" s="18" t="n">
        <v>77.73572391</v>
      </c>
      <c r="F18" s="20" t="n">
        <v>2.10033181</v>
      </c>
      <c r="G18" s="18" t="n">
        <v>17.54983944</v>
      </c>
      <c r="H18" s="20" t="n">
        <v>1.84472792</v>
      </c>
      <c r="I18" s="18" t="s">
        <v>567</v>
      </c>
      <c r="J18" s="20" t="s">
        <v>567</v>
      </c>
      <c r="K18" s="18" t="n">
        <v>0.20290464</v>
      </c>
      <c r="L18" s="20" t="n">
        <v>0.14754</v>
      </c>
      <c r="M18" s="18" t="n">
        <v>0</v>
      </c>
      <c r="N18" s="20" t="n">
        <v>0</v>
      </c>
      <c r="O18" s="18" t="n">
        <v>0</v>
      </c>
      <c r="P18" s="20" t="n">
        <v>0</v>
      </c>
      <c r="Q18" s="18" t="n">
        <v>4.51153201</v>
      </c>
      <c r="R18" s="20" t="n">
        <v>0.87740792</v>
      </c>
    </row>
    <row r="19" spans="1:18">
      <c r="A19" s="15" t="s">
        <v>579</v>
      </c>
      <c r="B19" s="17" t="n">
        <v>2808</v>
      </c>
      <c r="C19" s="18">
        <f>(2188.0/B19*100)</f>
        <v/>
      </c>
      <c r="D19" s="19" t="n">
        <v>620</v>
      </c>
      <c r="E19" s="18" t="n">
        <v>83.3343208</v>
      </c>
      <c r="F19" s="20" t="n">
        <v>1.44785704</v>
      </c>
      <c r="G19" s="18" t="n">
        <v>14.26313042</v>
      </c>
      <c r="H19" s="20" t="n">
        <v>1.27908006</v>
      </c>
      <c r="I19" s="18" t="s">
        <v>567</v>
      </c>
      <c r="J19" s="20" t="s">
        <v>567</v>
      </c>
      <c r="K19" s="18" t="n">
        <v>0.36782521</v>
      </c>
      <c r="L19" s="20" t="n">
        <v>0.34842994</v>
      </c>
      <c r="M19" s="18" t="n">
        <v>0</v>
      </c>
      <c r="N19" s="20" t="n">
        <v>0</v>
      </c>
      <c r="O19" s="18" t="n">
        <v>0</v>
      </c>
      <c r="P19" s="20" t="n">
        <v>0</v>
      </c>
      <c r="Q19" s="18" t="n">
        <v>2.03472357</v>
      </c>
      <c r="R19" s="20" t="n">
        <v>0.57703024</v>
      </c>
    </row>
    <row r="20" spans="1:18">
      <c r="A20" s="15" t="s">
        <v>580</v>
      </c>
      <c r="B20" s="17" t="n">
        <v>1630</v>
      </c>
      <c r="C20" s="18">
        <f>(1289.0/B20*100)</f>
        <v/>
      </c>
      <c r="D20" s="19" t="n">
        <v>341</v>
      </c>
      <c r="E20" s="18" t="n">
        <v>71.70040396</v>
      </c>
      <c r="F20" s="20" t="n">
        <v>2.75105717</v>
      </c>
      <c r="G20" s="18" t="n">
        <v>23.09998087</v>
      </c>
      <c r="H20" s="20" t="n">
        <v>2.58119543</v>
      </c>
      <c r="I20" s="18" t="s">
        <v>567</v>
      </c>
      <c r="J20" s="20" t="s">
        <v>567</v>
      </c>
      <c r="K20" s="18" t="n">
        <v>1.41607162</v>
      </c>
      <c r="L20" s="20" t="n">
        <v>0.64048391</v>
      </c>
      <c r="M20" s="18" t="n">
        <v>0</v>
      </c>
      <c r="N20" s="20" t="n">
        <v>0</v>
      </c>
      <c r="O20" s="18" t="n">
        <v>0</v>
      </c>
      <c r="P20" s="20" t="n">
        <v>0</v>
      </c>
      <c r="Q20" s="18" t="n">
        <v>3.78354355</v>
      </c>
      <c r="R20" s="20" t="n">
        <v>1.07642635</v>
      </c>
    </row>
    <row r="21" spans="1:18">
      <c r="A21" s="15" t="s">
        <v>581</v>
      </c>
      <c r="B21" s="17" t="n">
        <v>2908</v>
      </c>
      <c r="C21" s="18">
        <f>(2247.0/B21*100)</f>
        <v/>
      </c>
      <c r="D21" s="19" t="n">
        <v>661</v>
      </c>
      <c r="E21" s="18" t="n">
        <v>63.7675032</v>
      </c>
      <c r="F21" s="20" t="n">
        <v>1.89134567</v>
      </c>
      <c r="G21" s="18" t="n">
        <v>34.20272474</v>
      </c>
      <c r="H21" s="20" t="n">
        <v>1.81161171</v>
      </c>
      <c r="I21" s="18" t="s">
        <v>567</v>
      </c>
      <c r="J21" s="20" t="s">
        <v>567</v>
      </c>
      <c r="K21" s="18" t="n">
        <v>0.15924612</v>
      </c>
      <c r="L21" s="20" t="n">
        <v>0.17049203</v>
      </c>
      <c r="M21" s="18" t="n">
        <v>0</v>
      </c>
      <c r="N21" s="20" t="n">
        <v>0</v>
      </c>
      <c r="O21" s="18" t="n">
        <v>0</v>
      </c>
      <c r="P21" s="20" t="n">
        <v>0</v>
      </c>
      <c r="Q21" s="18" t="n">
        <v>1.87052593</v>
      </c>
      <c r="R21" s="20" t="n">
        <v>0.66634592</v>
      </c>
    </row>
    <row r="22" spans="1:18">
      <c r="A22" s="15" t="s">
        <v>582</v>
      </c>
      <c r="B22" s="17" t="n">
        <v>2931</v>
      </c>
      <c r="C22" s="18">
        <f>(2283.0/B22*100)</f>
        <v/>
      </c>
      <c r="D22" s="19" t="n">
        <v>648</v>
      </c>
      <c r="E22" s="18" t="n">
        <v>75.02304884</v>
      </c>
      <c r="F22" s="20" t="n">
        <v>2.20562464</v>
      </c>
      <c r="G22" s="18" t="n">
        <v>20.45686041</v>
      </c>
      <c r="H22" s="20" t="n">
        <v>1.96544642</v>
      </c>
      <c r="I22" s="18" t="s">
        <v>567</v>
      </c>
      <c r="J22" s="20" t="s">
        <v>567</v>
      </c>
      <c r="K22" s="18" t="n">
        <v>0.86394273</v>
      </c>
      <c r="L22" s="20" t="n">
        <v>0.41262714</v>
      </c>
      <c r="M22" s="18" t="n">
        <v>0</v>
      </c>
      <c r="N22" s="20" t="n">
        <v>0</v>
      </c>
      <c r="O22" s="18" t="n">
        <v>0</v>
      </c>
      <c r="P22" s="20" t="n">
        <v>0</v>
      </c>
      <c r="Q22" s="18" t="n">
        <v>3.65614802</v>
      </c>
      <c r="R22" s="20" t="n">
        <v>0.7498911</v>
      </c>
    </row>
    <row r="23" spans="1:18">
      <c r="A23" s="15" t="s">
        <v>583</v>
      </c>
      <c r="B23" s="17" t="n">
        <v>5791</v>
      </c>
      <c r="C23" s="18">
        <f>(4534.0/B23*100)</f>
        <v/>
      </c>
      <c r="D23" s="19" t="n">
        <v>1257</v>
      </c>
      <c r="E23" s="18" t="n">
        <v>73.84064862</v>
      </c>
      <c r="F23" s="20" t="n">
        <v>1.83817737</v>
      </c>
      <c r="G23" s="18" t="n">
        <v>20.31487463</v>
      </c>
      <c r="H23" s="20" t="n">
        <v>1.50678919</v>
      </c>
      <c r="I23" s="18" t="s">
        <v>567</v>
      </c>
      <c r="J23" s="20" t="s">
        <v>567</v>
      </c>
      <c r="K23" s="18" t="n">
        <v>0.76563499</v>
      </c>
      <c r="L23" s="20" t="n">
        <v>0.41053813</v>
      </c>
      <c r="M23" s="18" t="n">
        <v>0.14789915</v>
      </c>
      <c r="N23" s="20" t="n">
        <v>0.11345704</v>
      </c>
      <c r="O23" s="18" t="n">
        <v>0</v>
      </c>
      <c r="P23" s="20" t="n">
        <v>0</v>
      </c>
      <c r="Q23" s="18" t="n">
        <v>4.93094261</v>
      </c>
      <c r="R23" s="20" t="n">
        <v>0.84164383</v>
      </c>
    </row>
    <row r="24" spans="1:18">
      <c r="A24" s="15" t="s">
        <v>584</v>
      </c>
      <c r="B24" s="17" t="n">
        <v>3338</v>
      </c>
      <c r="C24" s="18">
        <f>(2596.0/B24*100)</f>
        <v/>
      </c>
      <c r="D24" s="19" t="n">
        <v>742</v>
      </c>
      <c r="E24" s="18" t="n">
        <v>55.08993838</v>
      </c>
      <c r="F24" s="20" t="n">
        <v>1.94883633</v>
      </c>
      <c r="G24" s="18" t="n">
        <v>41.82977</v>
      </c>
      <c r="H24" s="20" t="n">
        <v>1.98694866</v>
      </c>
      <c r="I24" s="18" t="s">
        <v>567</v>
      </c>
      <c r="J24" s="20" t="s">
        <v>567</v>
      </c>
      <c r="K24" s="18" t="n">
        <v>0.39295831</v>
      </c>
      <c r="L24" s="20" t="n">
        <v>0.22642763</v>
      </c>
      <c r="M24" s="18" t="n">
        <v>0</v>
      </c>
      <c r="N24" s="20" t="n">
        <v>0</v>
      </c>
      <c r="O24" s="18" t="n">
        <v>0</v>
      </c>
      <c r="P24" s="20" t="n">
        <v>0</v>
      </c>
      <c r="Q24" s="18" t="n">
        <v>2.68733331</v>
      </c>
      <c r="R24" s="20" t="n">
        <v>0.59161621</v>
      </c>
    </row>
    <row r="25" spans="1:18">
      <c r="A25" s="15" t="s">
        <v>585</v>
      </c>
      <c r="B25" s="17" t="n">
        <v>2912</v>
      </c>
      <c r="C25" s="18">
        <f>(2269.0/B25*100)</f>
        <v/>
      </c>
      <c r="D25" s="19" t="n">
        <v>643</v>
      </c>
      <c r="E25" s="18" t="n">
        <v>61.56757481</v>
      </c>
      <c r="F25" s="20" t="n">
        <v>2.11319024</v>
      </c>
      <c r="G25" s="18" t="n">
        <v>37.07424091</v>
      </c>
      <c r="H25" s="20" t="n">
        <v>2.15513226</v>
      </c>
      <c r="I25" s="18" t="s">
        <v>567</v>
      </c>
      <c r="J25" s="20" t="s">
        <v>567</v>
      </c>
      <c r="K25" s="18" t="n">
        <v>0.13210621</v>
      </c>
      <c r="L25" s="20" t="n">
        <v>0.13163801</v>
      </c>
      <c r="M25" s="18" t="n">
        <v>0</v>
      </c>
      <c r="N25" s="20" t="n">
        <v>0</v>
      </c>
      <c r="O25" s="18" t="n">
        <v>0</v>
      </c>
      <c r="P25" s="20" t="n">
        <v>0</v>
      </c>
      <c r="Q25" s="18" t="n">
        <v>1.22607806</v>
      </c>
      <c r="R25" s="20" t="n">
        <v>0.41868141</v>
      </c>
    </row>
    <row r="26" spans="1:18">
      <c r="A26" s="15" t="s">
        <v>586</v>
      </c>
      <c r="B26" s="17" t="n">
        <v>2450</v>
      </c>
      <c r="C26" s="18">
        <f>(1894.0/B26*100)</f>
        <v/>
      </c>
      <c r="D26" s="19" t="n">
        <v>556</v>
      </c>
      <c r="E26" s="18" t="n">
        <v>77.4573032</v>
      </c>
      <c r="F26" s="20" t="n">
        <v>1.82062362</v>
      </c>
      <c r="G26" s="18" t="n">
        <v>21.36153986</v>
      </c>
      <c r="H26" s="20" t="n">
        <v>1.86611254</v>
      </c>
      <c r="I26" s="18" t="s">
        <v>567</v>
      </c>
      <c r="J26" s="20" t="s">
        <v>567</v>
      </c>
      <c r="K26" s="18" t="n">
        <v>0</v>
      </c>
      <c r="L26" s="20" t="n">
        <v>0</v>
      </c>
      <c r="M26" s="18" t="n">
        <v>0</v>
      </c>
      <c r="N26" s="20" t="n">
        <v>0</v>
      </c>
      <c r="O26" s="18" t="n">
        <v>0</v>
      </c>
      <c r="P26" s="20" t="n">
        <v>0</v>
      </c>
      <c r="Q26" s="18" t="n">
        <v>1.18115694</v>
      </c>
      <c r="R26" s="20" t="n">
        <v>0.42271532</v>
      </c>
    </row>
    <row r="27" spans="1:18">
      <c r="A27" s="15" t="s">
        <v>587</v>
      </c>
      <c r="B27" s="17" t="n">
        <v>2616</v>
      </c>
      <c r="C27" s="18">
        <f>(2063.0/B27*100)</f>
        <v/>
      </c>
      <c r="D27" s="19" t="n">
        <v>553</v>
      </c>
      <c r="E27" s="18" t="n">
        <v>70.89973000000001</v>
      </c>
      <c r="F27" s="20" t="n">
        <v>2.00376814</v>
      </c>
      <c r="G27" s="18" t="n">
        <v>25.17425194</v>
      </c>
      <c r="H27" s="20" t="n">
        <v>1.82691894</v>
      </c>
      <c r="I27" s="18" t="s">
        <v>567</v>
      </c>
      <c r="J27" s="20" t="s">
        <v>567</v>
      </c>
      <c r="K27" s="18" t="n">
        <v>0.37186251</v>
      </c>
      <c r="L27" s="20" t="n">
        <v>0.26284115</v>
      </c>
      <c r="M27" s="18" t="n">
        <v>0</v>
      </c>
      <c r="N27" s="20" t="n">
        <v>0</v>
      </c>
      <c r="O27" s="18" t="n">
        <v>0</v>
      </c>
      <c r="P27" s="20" t="n">
        <v>0</v>
      </c>
      <c r="Q27" s="18" t="n">
        <v>3.55415554</v>
      </c>
      <c r="R27" s="20" t="n">
        <v>0.8827464900000001</v>
      </c>
    </row>
    <row r="28" spans="1:18">
      <c r="A28" s="15" t="s">
        <v>588</v>
      </c>
      <c r="B28" s="17" t="n">
        <v>3765</v>
      </c>
      <c r="C28" s="18">
        <f>(2947.0/B28*100)</f>
        <v/>
      </c>
      <c r="D28" s="19" t="n">
        <v>818</v>
      </c>
      <c r="E28" s="18" t="n">
        <v>87.40729256</v>
      </c>
      <c r="F28" s="20" t="n">
        <v>1.15432523</v>
      </c>
      <c r="G28" s="18" t="n">
        <v>10.9549879</v>
      </c>
      <c r="H28" s="20" t="n">
        <v>1.1327148</v>
      </c>
      <c r="I28" s="18" t="s">
        <v>567</v>
      </c>
      <c r="J28" s="20" t="s">
        <v>567</v>
      </c>
      <c r="K28" s="18" t="n">
        <v>0.27612588</v>
      </c>
      <c r="L28" s="20" t="n">
        <v>0.20378749</v>
      </c>
      <c r="M28" s="18" t="n">
        <v>0</v>
      </c>
      <c r="N28" s="20" t="n">
        <v>0</v>
      </c>
      <c r="O28" s="18" t="n">
        <v>0</v>
      </c>
      <c r="P28" s="20" t="n">
        <v>0</v>
      </c>
      <c r="Q28" s="18" t="n">
        <v>1.36159367</v>
      </c>
      <c r="R28" s="20" t="n">
        <v>0.44569535</v>
      </c>
    </row>
    <row r="29" spans="1:18">
      <c r="A29" s="15" t="s">
        <v>589</v>
      </c>
      <c r="B29" s="17" t="n">
        <v>2685</v>
      </c>
      <c r="C29" s="18">
        <f>(2101.0/B29*100)</f>
        <v/>
      </c>
      <c r="D29" s="19" t="n">
        <v>584</v>
      </c>
      <c r="E29" s="18" t="n">
        <v>74.66403636</v>
      </c>
      <c r="F29" s="20" t="n">
        <v>1.93963909</v>
      </c>
      <c r="G29" s="18" t="n">
        <v>23.30037069</v>
      </c>
      <c r="H29" s="20" t="n">
        <v>1.88700285</v>
      </c>
      <c r="I29" s="18" t="s">
        <v>567</v>
      </c>
      <c r="J29" s="20" t="s">
        <v>567</v>
      </c>
      <c r="K29" s="18" t="n">
        <v>0.17661697</v>
      </c>
      <c r="L29" s="20" t="n">
        <v>0.17634151</v>
      </c>
      <c r="M29" s="18" t="n">
        <v>0</v>
      </c>
      <c r="N29" s="20" t="n">
        <v>0</v>
      </c>
      <c r="O29" s="18" t="n">
        <v>0</v>
      </c>
      <c r="P29" s="20" t="n">
        <v>0</v>
      </c>
      <c r="Q29" s="18" t="n">
        <v>1.85897598</v>
      </c>
      <c r="R29" s="20" t="n">
        <v>0.66544216</v>
      </c>
    </row>
    <row r="30" spans="1:18">
      <c r="A30" s="15" t="s">
        <v>590</v>
      </c>
      <c r="B30" s="17" t="n">
        <v>2263</v>
      </c>
      <c r="C30" s="18">
        <f>(1764.0/B30*100)</f>
        <v/>
      </c>
      <c r="D30" s="19" t="n">
        <v>499</v>
      </c>
      <c r="E30" s="18" t="n">
        <v>64.49192789999999</v>
      </c>
      <c r="F30" s="20" t="n">
        <v>2.04690965</v>
      </c>
      <c r="G30" s="18" t="n">
        <v>31.97115192</v>
      </c>
      <c r="H30" s="20" t="n">
        <v>1.97655433</v>
      </c>
      <c r="I30" s="18" t="s">
        <v>567</v>
      </c>
      <c r="J30" s="20" t="s">
        <v>567</v>
      </c>
      <c r="K30" s="18" t="n">
        <v>0.42613175</v>
      </c>
      <c r="L30" s="20" t="n">
        <v>0.28575482</v>
      </c>
      <c r="M30" s="18" t="n">
        <v>0</v>
      </c>
      <c r="N30" s="20" t="n">
        <v>0</v>
      </c>
      <c r="O30" s="18" t="n">
        <v>0</v>
      </c>
      <c r="P30" s="20" t="n">
        <v>0</v>
      </c>
      <c r="Q30" s="18" t="n">
        <v>3.11078843</v>
      </c>
      <c r="R30" s="20" t="n">
        <v>0.8365685899999999</v>
      </c>
    </row>
    <row r="31" spans="1:18">
      <c r="A31" s="15" t="s">
        <v>591</v>
      </c>
      <c r="B31" s="17" t="n">
        <v>2750</v>
      </c>
      <c r="C31" s="18">
        <f>(2154.0/B31*100)</f>
        <v/>
      </c>
      <c r="D31" s="19" t="n">
        <v>596</v>
      </c>
      <c r="E31" s="18" t="n">
        <v>68.99832349</v>
      </c>
      <c r="F31" s="20" t="n">
        <v>1.87325399</v>
      </c>
      <c r="G31" s="18" t="n">
        <v>26.05443585</v>
      </c>
      <c r="H31" s="20" t="n">
        <v>1.87990568</v>
      </c>
      <c r="I31" s="18" t="s">
        <v>567</v>
      </c>
      <c r="J31" s="20" t="s">
        <v>567</v>
      </c>
      <c r="K31" s="18" t="n">
        <v>1.16729377</v>
      </c>
      <c r="L31" s="20" t="n">
        <v>0.54335206</v>
      </c>
      <c r="M31" s="18" t="n">
        <v>0</v>
      </c>
      <c r="N31" s="20" t="n">
        <v>0</v>
      </c>
      <c r="O31" s="18" t="n">
        <v>0</v>
      </c>
      <c r="P31" s="20" t="n">
        <v>0</v>
      </c>
      <c r="Q31" s="18" t="n">
        <v>3.77994689</v>
      </c>
      <c r="R31" s="20" t="n">
        <v>0.90426292</v>
      </c>
    </row>
    <row r="32" spans="1:18">
      <c r="A32" s="15" t="s">
        <v>592</v>
      </c>
      <c r="B32" s="17" t="n">
        <v>2269</v>
      </c>
      <c r="C32" s="18">
        <f>(1766.0/B32*100)</f>
        <v/>
      </c>
      <c r="D32" s="19" t="n">
        <v>503</v>
      </c>
      <c r="E32" s="18" t="n">
        <v>72.47368435999999</v>
      </c>
      <c r="F32" s="20" t="n">
        <v>1.88623976</v>
      </c>
      <c r="G32" s="18" t="n">
        <v>26.06673774</v>
      </c>
      <c r="H32" s="20" t="n">
        <v>1.92116379</v>
      </c>
      <c r="I32" s="18" t="s">
        <v>567</v>
      </c>
      <c r="J32" s="20" t="s">
        <v>567</v>
      </c>
      <c r="K32" s="18" t="n">
        <v>0.23897637</v>
      </c>
      <c r="L32" s="20" t="n">
        <v>0.23489597</v>
      </c>
      <c r="M32" s="18" t="n">
        <v>0</v>
      </c>
      <c r="N32" s="20" t="n">
        <v>0</v>
      </c>
      <c r="O32" s="18" t="n">
        <v>0</v>
      </c>
      <c r="P32" s="20" t="n">
        <v>0</v>
      </c>
      <c r="Q32" s="18" t="n">
        <v>1.22060153</v>
      </c>
      <c r="R32" s="20" t="n">
        <v>0.49846972</v>
      </c>
    </row>
    <row r="33" spans="1:18">
      <c r="A33" s="15" t="s">
        <v>593</v>
      </c>
      <c r="B33" s="17" t="n">
        <v>3674</v>
      </c>
      <c r="C33" s="18">
        <f>(2864.0/B33*100)</f>
        <v/>
      </c>
      <c r="D33" s="19" t="n">
        <v>810</v>
      </c>
      <c r="E33" s="18" t="n">
        <v>73.05985233</v>
      </c>
      <c r="F33" s="20" t="n">
        <v>1.8341696</v>
      </c>
      <c r="G33" s="18" t="n">
        <v>24.062896</v>
      </c>
      <c r="H33" s="20" t="n">
        <v>1.70705578</v>
      </c>
      <c r="I33" s="18" t="s">
        <v>567</v>
      </c>
      <c r="J33" s="20" t="s">
        <v>567</v>
      </c>
      <c r="K33" s="18" t="n">
        <v>0.37438325</v>
      </c>
      <c r="L33" s="20" t="n">
        <v>0.20904948</v>
      </c>
      <c r="M33" s="18" t="n">
        <v>0</v>
      </c>
      <c r="N33" s="20" t="n">
        <v>0</v>
      </c>
      <c r="O33" s="18" t="n">
        <v>0</v>
      </c>
      <c r="P33" s="20" t="n">
        <v>0</v>
      </c>
      <c r="Q33" s="18" t="n">
        <v>2.50286842</v>
      </c>
      <c r="R33" s="20" t="n">
        <v>0.71021922</v>
      </c>
    </row>
    <row r="34" spans="1:18">
      <c r="A34" s="15" t="s">
        <v>594</v>
      </c>
      <c r="B34" s="17" t="n">
        <v>3315</v>
      </c>
      <c r="C34" s="18">
        <f>(2612.0/B34*100)</f>
        <v/>
      </c>
      <c r="D34" s="19" t="n">
        <v>703</v>
      </c>
      <c r="E34" s="18" t="n">
        <v>73.63440874</v>
      </c>
      <c r="F34" s="20" t="n">
        <v>1.71387107</v>
      </c>
      <c r="G34" s="18" t="n">
        <v>24.87538284</v>
      </c>
      <c r="H34" s="20" t="n">
        <v>1.572947</v>
      </c>
      <c r="I34" s="18" t="s">
        <v>567</v>
      </c>
      <c r="J34" s="20" t="s">
        <v>567</v>
      </c>
      <c r="K34" s="18" t="n">
        <v>0.17202612</v>
      </c>
      <c r="L34" s="20" t="n">
        <v>0.28397298</v>
      </c>
      <c r="M34" s="18" t="n">
        <v>0</v>
      </c>
      <c r="N34" s="20" t="n">
        <v>0</v>
      </c>
      <c r="O34" s="18" t="n">
        <v>0</v>
      </c>
      <c r="P34" s="20" t="n">
        <v>0</v>
      </c>
      <c r="Q34" s="18" t="n">
        <v>1.31818231</v>
      </c>
      <c r="R34" s="20" t="n">
        <v>0.37789936</v>
      </c>
    </row>
    <row r="35" spans="1:18">
      <c r="A35" s="15" t="s">
        <v>595</v>
      </c>
      <c r="B35" s="17" t="n">
        <v>3505</v>
      </c>
      <c r="C35" s="18">
        <f>(2784.0/B35*100)</f>
        <v/>
      </c>
      <c r="D35" s="19" t="n">
        <v>721</v>
      </c>
      <c r="E35" s="18" t="n">
        <v>83.06317404000001</v>
      </c>
      <c r="F35" s="20" t="n">
        <v>1.84597624</v>
      </c>
      <c r="G35" s="18" t="n">
        <v>13.52480247</v>
      </c>
      <c r="H35" s="20" t="n">
        <v>1.79769871</v>
      </c>
      <c r="I35" s="18" t="s">
        <v>567</v>
      </c>
      <c r="J35" s="20" t="s">
        <v>567</v>
      </c>
      <c r="K35" s="18" t="n">
        <v>0.18730495</v>
      </c>
      <c r="L35" s="20" t="n">
        <v>0.13906735</v>
      </c>
      <c r="M35" s="18" t="n">
        <v>0</v>
      </c>
      <c r="N35" s="20" t="n">
        <v>0</v>
      </c>
      <c r="O35" s="18" t="n">
        <v>0</v>
      </c>
      <c r="P35" s="20" t="n">
        <v>0</v>
      </c>
      <c r="Q35" s="18" t="n">
        <v>3.22471855</v>
      </c>
      <c r="R35" s="20" t="n">
        <v>0.79710964</v>
      </c>
    </row>
    <row r="36" spans="1:18">
      <c r="A36" s="15" t="s">
        <v>596</v>
      </c>
      <c r="B36" s="17" t="n">
        <v>3332</v>
      </c>
      <c r="C36" s="18">
        <f>(2597.0/B36*100)</f>
        <v/>
      </c>
      <c r="D36" s="19" t="n">
        <v>735</v>
      </c>
      <c r="E36" s="18" t="n">
        <v>60.01705102</v>
      </c>
      <c r="F36" s="20" t="n">
        <v>1.92719503</v>
      </c>
      <c r="G36" s="18" t="n">
        <v>36.28283702</v>
      </c>
      <c r="H36" s="20" t="n">
        <v>2.01077816</v>
      </c>
      <c r="I36" s="18" t="s">
        <v>567</v>
      </c>
      <c r="J36" s="20" t="s">
        <v>567</v>
      </c>
      <c r="K36" s="18" t="n">
        <v>0.94225907</v>
      </c>
      <c r="L36" s="20" t="n">
        <v>0.27130861</v>
      </c>
      <c r="M36" s="18" t="n">
        <v>0</v>
      </c>
      <c r="N36" s="20" t="n">
        <v>0</v>
      </c>
      <c r="O36" s="18" t="n">
        <v>0</v>
      </c>
      <c r="P36" s="20" t="n">
        <v>0</v>
      </c>
      <c r="Q36" s="18" t="n">
        <v>2.75785289</v>
      </c>
      <c r="R36" s="20" t="n">
        <v>0.6994539400000001</v>
      </c>
    </row>
    <row r="37" spans="1:18">
      <c r="A37" s="15" t="s">
        <v>597</v>
      </c>
      <c r="B37" s="17" t="n">
        <v>2727</v>
      </c>
      <c r="C37" s="18">
        <f>(2125.0/B37*100)</f>
        <v/>
      </c>
      <c r="D37" s="19" t="n">
        <v>602</v>
      </c>
      <c r="E37" s="18" t="n">
        <v>65.49713878</v>
      </c>
      <c r="F37" s="20" t="n">
        <v>2.00555537</v>
      </c>
      <c r="G37" s="18" t="n">
        <v>30.14804229</v>
      </c>
      <c r="H37" s="20" t="n">
        <v>2.1671561</v>
      </c>
      <c r="I37" s="18" t="s">
        <v>567</v>
      </c>
      <c r="J37" s="20" t="s">
        <v>567</v>
      </c>
      <c r="K37" s="18" t="n">
        <v>0.75743013</v>
      </c>
      <c r="L37" s="20" t="n">
        <v>0.3387361</v>
      </c>
      <c r="M37" s="18" t="n">
        <v>0</v>
      </c>
      <c r="N37" s="20" t="n">
        <v>0</v>
      </c>
      <c r="O37" s="18" t="n">
        <v>0</v>
      </c>
      <c r="P37" s="20" t="n">
        <v>0</v>
      </c>
      <c r="Q37" s="18" t="n">
        <v>3.5973888</v>
      </c>
      <c r="R37" s="20" t="n">
        <v>0.86612304</v>
      </c>
    </row>
    <row r="38" spans="1:18">
      <c r="A38" s="15" t="s">
        <v>598</v>
      </c>
      <c r="B38" s="17" t="n">
        <v>3053</v>
      </c>
      <c r="C38" s="18">
        <f>(2394.0/B38*100)</f>
        <v/>
      </c>
      <c r="D38" s="19" t="n">
        <v>659</v>
      </c>
      <c r="E38" s="18" t="n">
        <v>65.50170215999999</v>
      </c>
      <c r="F38" s="20" t="n">
        <v>1.94625776</v>
      </c>
      <c r="G38" s="18" t="n">
        <v>31.97790742</v>
      </c>
      <c r="H38" s="20" t="n">
        <v>1.90824188</v>
      </c>
      <c r="I38" s="18" t="s">
        <v>567</v>
      </c>
      <c r="J38" s="20" t="s">
        <v>567</v>
      </c>
      <c r="K38" s="18" t="n">
        <v>0.48437497</v>
      </c>
      <c r="L38" s="20" t="n">
        <v>0.27277104</v>
      </c>
      <c r="M38" s="18" t="n">
        <v>0</v>
      </c>
      <c r="N38" s="20" t="n">
        <v>0</v>
      </c>
      <c r="O38" s="18" t="n">
        <v>0</v>
      </c>
      <c r="P38" s="20" t="n">
        <v>0</v>
      </c>
      <c r="Q38" s="18" t="n">
        <v>2.03601545</v>
      </c>
      <c r="R38" s="20" t="n">
        <v>0.55725629</v>
      </c>
    </row>
    <row r="39" spans="1:18">
      <c r="A39" s="15" t="s">
        <v>599</v>
      </c>
      <c r="B39" s="17" t="n">
        <v>2957</v>
      </c>
      <c r="C39" s="18">
        <f>(2264.0/B39*100)</f>
        <v/>
      </c>
      <c r="D39" s="19" t="n">
        <v>693</v>
      </c>
      <c r="E39" s="18" t="n">
        <v>78.74981585</v>
      </c>
      <c r="F39" s="20" t="n">
        <v>1.918663</v>
      </c>
      <c r="G39" s="18" t="n">
        <v>17.8781831</v>
      </c>
      <c r="H39" s="20" t="n">
        <v>1.95127874</v>
      </c>
      <c r="I39" s="18" t="s">
        <v>567</v>
      </c>
      <c r="J39" s="20" t="s">
        <v>567</v>
      </c>
      <c r="K39" s="18" t="n">
        <v>0</v>
      </c>
      <c r="L39" s="20" t="n">
        <v>0</v>
      </c>
      <c r="M39" s="18" t="n">
        <v>0</v>
      </c>
      <c r="N39" s="20" t="n">
        <v>0</v>
      </c>
      <c r="O39" s="18" t="n">
        <v>0</v>
      </c>
      <c r="P39" s="20" t="n">
        <v>0</v>
      </c>
      <c r="Q39" s="18" t="n">
        <v>3.37200104</v>
      </c>
      <c r="R39" s="20" t="n">
        <v>0.72015415</v>
      </c>
    </row>
    <row r="40" spans="1:18">
      <c r="A40" s="15" t="s">
        <v>600</v>
      </c>
      <c r="B40" s="17" t="n">
        <v>7235</v>
      </c>
      <c r="C40" s="18">
        <f>(5670.0/B40*100)</f>
        <v/>
      </c>
      <c r="D40" s="19" t="n">
        <v>1565</v>
      </c>
      <c r="E40" s="18" t="n">
        <v>64.12529591000001</v>
      </c>
      <c r="F40" s="20" t="n">
        <v>1.92506005</v>
      </c>
      <c r="G40" s="18" t="n">
        <v>31.94555348</v>
      </c>
      <c r="H40" s="20" t="n">
        <v>1.94151071</v>
      </c>
      <c r="I40" s="18" t="s">
        <v>567</v>
      </c>
      <c r="J40" s="20" t="s">
        <v>567</v>
      </c>
      <c r="K40" s="18" t="n">
        <v>0.752072</v>
      </c>
      <c r="L40" s="20" t="n">
        <v>0.41882145</v>
      </c>
      <c r="M40" s="18" t="n">
        <v>0</v>
      </c>
      <c r="N40" s="20" t="n">
        <v>0</v>
      </c>
      <c r="O40" s="18" t="n">
        <v>0</v>
      </c>
      <c r="P40" s="20" t="n">
        <v>0</v>
      </c>
      <c r="Q40" s="18" t="n">
        <v>3.17707861</v>
      </c>
      <c r="R40" s="20" t="n">
        <v>0.60161334</v>
      </c>
    </row>
    <row r="41" spans="1:18">
      <c r="A41" s="15" t="s">
        <v>601</v>
      </c>
      <c r="B41" s="17" t="n">
        <v>2858</v>
      </c>
      <c r="C41" s="18">
        <f>(2288.0/B41*100)</f>
        <v/>
      </c>
      <c r="D41" s="19" t="n">
        <v>570</v>
      </c>
      <c r="E41" s="18" t="n">
        <v>75.91183239</v>
      </c>
      <c r="F41" s="20" t="n">
        <v>1.82121727</v>
      </c>
      <c r="G41" s="18" t="n">
        <v>22.44807557</v>
      </c>
      <c r="H41" s="20" t="n">
        <v>1.6862146</v>
      </c>
      <c r="I41" s="18" t="s">
        <v>567</v>
      </c>
      <c r="J41" s="20" t="s">
        <v>567</v>
      </c>
      <c r="K41" s="18" t="n">
        <v>0.40750299</v>
      </c>
      <c r="L41" s="20" t="n">
        <v>0.22646205</v>
      </c>
      <c r="M41" s="18" t="n">
        <v>0</v>
      </c>
      <c r="N41" s="20" t="n">
        <v>0</v>
      </c>
      <c r="O41" s="18" t="n">
        <v>0</v>
      </c>
      <c r="P41" s="20" t="n">
        <v>0</v>
      </c>
      <c r="Q41" s="18" t="n">
        <v>1.23258905</v>
      </c>
      <c r="R41" s="20" t="n">
        <v>0.63865203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(9201.0/B46*100)</f>
        <v/>
      </c>
      <c r="D46" s="19" t="n">
        <v>1867</v>
      </c>
      <c r="E46" s="18" t="n">
        <v>75.85343425000001</v>
      </c>
      <c r="F46" s="20" t="n">
        <v>1.32780512</v>
      </c>
      <c r="G46" s="18" t="n">
        <v>18.34801726</v>
      </c>
      <c r="H46" s="20" t="n">
        <v>1.22778096</v>
      </c>
      <c r="I46" s="18" t="s">
        <v>567</v>
      </c>
      <c r="J46" s="20" t="s">
        <v>567</v>
      </c>
      <c r="K46" s="18" t="n">
        <v>1.25094905</v>
      </c>
      <c r="L46" s="20" t="n">
        <v>0.36041586</v>
      </c>
      <c r="M46" s="18" t="n">
        <v>0</v>
      </c>
      <c r="N46" s="20" t="n">
        <v>0</v>
      </c>
      <c r="O46" s="18" t="n">
        <v>0</v>
      </c>
      <c r="P46" s="20" t="n">
        <v>0</v>
      </c>
      <c r="Q46" s="18" t="n">
        <v>4.54759944</v>
      </c>
      <c r="R46" s="20" t="n">
        <v>0.62382929</v>
      </c>
    </row>
    <row r="47" spans="1:18">
      <c r="A47" s="15" t="s">
        <v>607</v>
      </c>
      <c r="B47" s="17" t="n">
        <v>3105</v>
      </c>
      <c r="C47" s="18">
        <f>(2400.0/B47*100)</f>
        <v/>
      </c>
      <c r="D47" s="19" t="n">
        <v>705</v>
      </c>
      <c r="E47" s="18" t="n">
        <v>66.21462787999999</v>
      </c>
      <c r="F47" s="20" t="n">
        <v>2.23117667</v>
      </c>
      <c r="G47" s="18" t="n">
        <v>29.08201083</v>
      </c>
      <c r="H47" s="20" t="n">
        <v>2.30318577</v>
      </c>
      <c r="I47" s="18" t="s">
        <v>567</v>
      </c>
      <c r="J47" s="20" t="s">
        <v>567</v>
      </c>
      <c r="K47" s="18" t="n">
        <v>0.55196616</v>
      </c>
      <c r="L47" s="20" t="n">
        <v>0.25799547</v>
      </c>
      <c r="M47" s="18" t="n">
        <v>0</v>
      </c>
      <c r="N47" s="20" t="n">
        <v>0</v>
      </c>
      <c r="O47" s="18" t="n">
        <v>0</v>
      </c>
      <c r="P47" s="20" t="n">
        <v>0</v>
      </c>
      <c r="Q47" s="18" t="n">
        <v>4.15139512</v>
      </c>
      <c r="R47" s="20" t="n">
        <v>0.88449606</v>
      </c>
    </row>
    <row r="48" spans="1:18">
      <c r="A48" s="15" t="s">
        <v>608</v>
      </c>
      <c r="B48" s="17" t="n">
        <v>5159</v>
      </c>
      <c r="C48" s="18">
        <f>(4046.0/B48*100)</f>
        <v/>
      </c>
      <c r="D48" s="19" t="n">
        <v>1113</v>
      </c>
      <c r="E48" s="18" t="n">
        <v>64.6609182</v>
      </c>
      <c r="F48" s="20" t="n">
        <v>2.20286228</v>
      </c>
      <c r="G48" s="18" t="n">
        <v>34.76540748</v>
      </c>
      <c r="H48" s="20" t="n">
        <v>2.21338018</v>
      </c>
      <c r="I48" s="18" t="s">
        <v>567</v>
      </c>
      <c r="J48" s="20" t="s">
        <v>567</v>
      </c>
      <c r="K48" s="18" t="n">
        <v>0.21122549</v>
      </c>
      <c r="L48" s="20" t="n">
        <v>0.1536802</v>
      </c>
      <c r="M48" s="18" t="n">
        <v>0</v>
      </c>
      <c r="N48" s="20" t="n">
        <v>0</v>
      </c>
      <c r="O48" s="18" t="n">
        <v>0</v>
      </c>
      <c r="P48" s="20" t="n">
        <v>0</v>
      </c>
      <c r="Q48" s="18" t="n">
        <v>0.36244882</v>
      </c>
      <c r="R48" s="20" t="n">
        <v>0.25215532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(4402.0/B50*100)</f>
        <v/>
      </c>
      <c r="D50" s="19" t="n">
        <v>1235</v>
      </c>
      <c r="E50" s="18" t="n">
        <v>73.94305131</v>
      </c>
      <c r="F50" s="20" t="n">
        <v>1.53995724</v>
      </c>
      <c r="G50" s="18" t="n">
        <v>22.43516165</v>
      </c>
      <c r="H50" s="20" t="n">
        <v>1.40003653</v>
      </c>
      <c r="I50" s="18" t="s">
        <v>567</v>
      </c>
      <c r="J50" s="20" t="s">
        <v>567</v>
      </c>
      <c r="K50" s="18" t="n">
        <v>1.08815825</v>
      </c>
      <c r="L50" s="20" t="n">
        <v>0.49751269</v>
      </c>
      <c r="M50" s="18" t="n">
        <v>0</v>
      </c>
      <c r="N50" s="20" t="n">
        <v>0</v>
      </c>
      <c r="O50" s="18" t="n">
        <v>0</v>
      </c>
      <c r="P50" s="20" t="n">
        <v>0</v>
      </c>
      <c r="Q50" s="18" t="n">
        <v>2.53362879</v>
      </c>
      <c r="R50" s="20" t="n">
        <v>0.61418336</v>
      </c>
    </row>
    <row r="51" spans="1:18">
      <c r="A51" s="15" t="s">
        <v>611</v>
      </c>
      <c r="B51" s="17" t="n">
        <v>3372</v>
      </c>
      <c r="C51" s="18">
        <f>(2767.0/B51*100)</f>
        <v/>
      </c>
      <c r="D51" s="19" t="n">
        <v>605</v>
      </c>
      <c r="E51" s="18" t="n">
        <v>92.55091611</v>
      </c>
      <c r="F51" s="20" t="n">
        <v>1.01448405</v>
      </c>
      <c r="G51" s="18" t="n">
        <v>3.34550706</v>
      </c>
      <c r="H51" s="20" t="n">
        <v>0.73738285</v>
      </c>
      <c r="I51" s="18" t="s">
        <v>567</v>
      </c>
      <c r="J51" s="20" t="s">
        <v>567</v>
      </c>
      <c r="K51" s="18" t="n">
        <v>0.37210067</v>
      </c>
      <c r="L51" s="20" t="n">
        <v>0.21224904</v>
      </c>
      <c r="M51" s="18" t="n">
        <v>0</v>
      </c>
      <c r="N51" s="20" t="n">
        <v>0</v>
      </c>
      <c r="O51" s="18" t="n">
        <v>0</v>
      </c>
      <c r="P51" s="20" t="n">
        <v>0</v>
      </c>
      <c r="Q51" s="18" t="n">
        <v>3.73147616</v>
      </c>
      <c r="R51" s="20" t="n">
        <v>0.81652392</v>
      </c>
    </row>
    <row r="52" spans="1:18">
      <c r="A52" s="15" t="s">
        <v>612</v>
      </c>
      <c r="B52" s="17" t="n">
        <v>2796</v>
      </c>
      <c r="C52" s="18">
        <f>(2210.0/B52*100)</f>
        <v/>
      </c>
      <c r="D52" s="19" t="n">
        <v>586</v>
      </c>
      <c r="E52" s="18" t="n">
        <v>78.69698731</v>
      </c>
      <c r="F52" s="20" t="n">
        <v>1.73692013</v>
      </c>
      <c r="G52" s="18" t="n">
        <v>16.99892944</v>
      </c>
      <c r="H52" s="20" t="n">
        <v>1.57634799</v>
      </c>
      <c r="I52" s="18" t="s">
        <v>567</v>
      </c>
      <c r="J52" s="20" t="s">
        <v>567</v>
      </c>
      <c r="K52" s="18" t="n">
        <v>0.12818681</v>
      </c>
      <c r="L52" s="20" t="n">
        <v>0.12972694</v>
      </c>
      <c r="M52" s="18" t="n">
        <v>0</v>
      </c>
      <c r="N52" s="20" t="n">
        <v>0</v>
      </c>
      <c r="O52" s="18" t="n">
        <v>0</v>
      </c>
      <c r="P52" s="20" t="n">
        <v>0</v>
      </c>
      <c r="Q52" s="18" t="n">
        <v>4.17589643</v>
      </c>
      <c r="R52" s="20" t="n">
        <v>0.96153586</v>
      </c>
    </row>
    <row r="53" spans="1:18">
      <c r="A53" s="15" t="s">
        <v>613</v>
      </c>
      <c r="B53" s="17" t="n">
        <v>2811</v>
      </c>
      <c r="C53" s="18">
        <f>(2174.0/B53*100)</f>
        <v/>
      </c>
      <c r="D53" s="19" t="n">
        <v>637</v>
      </c>
      <c r="E53" s="18" t="n">
        <v>81.36998764000001</v>
      </c>
      <c r="F53" s="20" t="n">
        <v>1.36756905</v>
      </c>
      <c r="G53" s="18" t="n">
        <v>14.25382123</v>
      </c>
      <c r="H53" s="20" t="n">
        <v>1.28481747</v>
      </c>
      <c r="I53" s="18" t="s">
        <v>567</v>
      </c>
      <c r="J53" s="20" t="s">
        <v>567</v>
      </c>
      <c r="K53" s="18" t="n">
        <v>0.87979756</v>
      </c>
      <c r="L53" s="20" t="n">
        <v>0.36996528</v>
      </c>
      <c r="M53" s="18" t="n">
        <v>0</v>
      </c>
      <c r="N53" s="20" t="n">
        <v>0</v>
      </c>
      <c r="O53" s="18" t="n">
        <v>0</v>
      </c>
      <c r="P53" s="20" t="n">
        <v>0</v>
      </c>
      <c r="Q53" s="18" t="n">
        <v>3.49639357</v>
      </c>
      <c r="R53" s="20" t="n">
        <v>0.6658204</v>
      </c>
    </row>
    <row r="54" spans="1:18">
      <c r="A54" s="15" t="s">
        <v>614</v>
      </c>
      <c r="B54" s="17" t="n">
        <v>2266</v>
      </c>
      <c r="C54" s="18">
        <f>(1768.0/B54*100)</f>
        <v/>
      </c>
      <c r="D54" s="19" t="n">
        <v>498</v>
      </c>
      <c r="E54" s="18" t="n">
        <v>83.32283834</v>
      </c>
      <c r="F54" s="20" t="n">
        <v>1.99274634</v>
      </c>
      <c r="G54" s="18" t="n">
        <v>0.53280967</v>
      </c>
      <c r="H54" s="20" t="n">
        <v>0.30375275</v>
      </c>
      <c r="I54" s="18" t="s">
        <v>567</v>
      </c>
      <c r="J54" s="20" t="s">
        <v>567</v>
      </c>
      <c r="K54" s="18" t="n">
        <v>10.07953683</v>
      </c>
      <c r="L54" s="20" t="n">
        <v>1.41226341</v>
      </c>
      <c r="M54" s="18" t="n">
        <v>0</v>
      </c>
      <c r="N54" s="20" t="n">
        <v>0</v>
      </c>
      <c r="O54" s="18" t="n">
        <v>0</v>
      </c>
      <c r="P54" s="20" t="n">
        <v>0</v>
      </c>
      <c r="Q54" s="18" t="n">
        <v>6.06481515</v>
      </c>
      <c r="R54" s="20" t="n">
        <v>1.18757881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(2118.0/B56*100)</f>
        <v/>
      </c>
      <c r="D56" s="19" t="n">
        <v>566</v>
      </c>
      <c r="E56" s="18" t="n">
        <v>48.42091908</v>
      </c>
      <c r="F56" s="20" t="n">
        <v>2.55752558</v>
      </c>
      <c r="G56" s="18" t="n">
        <v>50.03361403</v>
      </c>
      <c r="H56" s="20" t="n">
        <v>2.60815404</v>
      </c>
      <c r="I56" s="18" t="s">
        <v>567</v>
      </c>
      <c r="J56" s="20" t="s">
        <v>567</v>
      </c>
      <c r="K56" s="18" t="n">
        <v>0.22669778</v>
      </c>
      <c r="L56" s="20" t="n">
        <v>0.24928497</v>
      </c>
      <c r="M56" s="18" t="n">
        <v>0.11862387</v>
      </c>
      <c r="N56" s="20" t="n">
        <v>0.11894229</v>
      </c>
      <c r="O56" s="18" t="n">
        <v>0</v>
      </c>
      <c r="P56" s="20" t="n">
        <v>0</v>
      </c>
      <c r="Q56" s="18" t="n">
        <v>1.20014524</v>
      </c>
      <c r="R56" s="20" t="n">
        <v>0.42744906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(2597.0/B61*100)</f>
        <v/>
      </c>
      <c r="D61" s="19" t="n">
        <v>727</v>
      </c>
      <c r="E61" s="18" t="n">
        <v>75.85635892000001</v>
      </c>
      <c r="F61" s="20" t="n">
        <v>1.77726613</v>
      </c>
      <c r="G61" s="18" t="n">
        <v>21.15133374</v>
      </c>
      <c r="H61" s="20" t="n">
        <v>1.85393058</v>
      </c>
      <c r="I61" s="18" t="s">
        <v>567</v>
      </c>
      <c r="J61" s="20" t="s">
        <v>567</v>
      </c>
      <c r="K61" s="18" t="n">
        <v>0.27927478</v>
      </c>
      <c r="L61" s="20" t="n">
        <v>0.22486997</v>
      </c>
      <c r="M61" s="18" t="n">
        <v>0</v>
      </c>
      <c r="N61" s="20" t="n">
        <v>0</v>
      </c>
      <c r="O61" s="18" t="n">
        <v>0</v>
      </c>
      <c r="P61" s="20" t="n">
        <v>0</v>
      </c>
      <c r="Q61" s="18" t="n">
        <v>2.71303257</v>
      </c>
      <c r="R61" s="20" t="n">
        <v>0.75482985</v>
      </c>
    </row>
    <row r="62" spans="1:18">
      <c r="A62" s="15" t="s">
        <v>622</v>
      </c>
      <c r="B62" s="17" t="n">
        <v>2246</v>
      </c>
      <c r="C62" s="18">
        <f>(1734.0/B62*100)</f>
        <v/>
      </c>
      <c r="D62" s="19" t="n">
        <v>512</v>
      </c>
      <c r="E62" s="18" t="n">
        <v>58.80486559</v>
      </c>
      <c r="F62" s="20" t="n">
        <v>2.21313837</v>
      </c>
      <c r="G62" s="18" t="n">
        <v>40.60669014</v>
      </c>
      <c r="H62" s="20" t="n">
        <v>2.18217254</v>
      </c>
      <c r="I62" s="18" t="s">
        <v>567</v>
      </c>
      <c r="J62" s="20" t="s">
        <v>567</v>
      </c>
      <c r="K62" s="18" t="n">
        <v>0.20060565</v>
      </c>
      <c r="L62" s="20" t="n">
        <v>0.20000185</v>
      </c>
      <c r="M62" s="18" t="n">
        <v>0.19391931</v>
      </c>
      <c r="N62" s="20" t="n">
        <v>0.1941801</v>
      </c>
      <c r="O62" s="18" t="n">
        <v>0</v>
      </c>
      <c r="P62" s="20" t="n">
        <v>0</v>
      </c>
      <c r="Q62" s="18" t="n">
        <v>0.19391931</v>
      </c>
      <c r="R62" s="20" t="n">
        <v>0.19388632</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(2266.0/B66*100)</f>
        <v/>
      </c>
      <c r="D66" s="19" t="n">
        <v>628</v>
      </c>
      <c r="E66" s="18" t="n">
        <v>69.71181188</v>
      </c>
      <c r="F66" s="20" t="n">
        <v>1.68178315</v>
      </c>
      <c r="G66" s="18" t="n">
        <v>20.1792313</v>
      </c>
      <c r="H66" s="20" t="n">
        <v>1.65136989</v>
      </c>
      <c r="I66" s="18" t="s">
        <v>567</v>
      </c>
      <c r="J66" s="20" t="s">
        <v>567</v>
      </c>
      <c r="K66" s="18" t="n">
        <v>1.53774406</v>
      </c>
      <c r="L66" s="20" t="n">
        <v>0.59377534</v>
      </c>
      <c r="M66" s="18" t="n">
        <v>0</v>
      </c>
      <c r="N66" s="20" t="n">
        <v>0</v>
      </c>
      <c r="O66" s="18" t="n">
        <v>0</v>
      </c>
      <c r="P66" s="20" t="n">
        <v>0</v>
      </c>
      <c r="Q66" s="18" t="n">
        <v>8.571212770000001</v>
      </c>
      <c r="R66" s="20" t="n">
        <v>1.01052971</v>
      </c>
    </row>
    <row r="67" spans="1:18">
      <c r="A67" s="15" t="s">
        <v>627</v>
      </c>
      <c r="B67" s="17" t="n">
        <v>3511</v>
      </c>
      <c r="C67" s="18">
        <f>(2829.0/B67*100)</f>
        <v/>
      </c>
      <c r="D67" s="19" t="n">
        <v>682</v>
      </c>
      <c r="E67" s="18" t="n">
        <v>79.31608731999999</v>
      </c>
      <c r="F67" s="20" t="n">
        <v>1.83559604</v>
      </c>
      <c r="G67" s="18" t="n">
        <v>18.9279999</v>
      </c>
      <c r="H67" s="20" t="n">
        <v>1.85571027</v>
      </c>
      <c r="I67" s="18" t="s">
        <v>567</v>
      </c>
      <c r="J67" s="20" t="s">
        <v>567</v>
      </c>
      <c r="K67" s="18" t="n">
        <v>0.14961567</v>
      </c>
      <c r="L67" s="20" t="n">
        <v>0.15126226</v>
      </c>
      <c r="M67" s="18" t="n">
        <v>0</v>
      </c>
      <c r="N67" s="20" t="n">
        <v>0</v>
      </c>
      <c r="O67" s="18" t="n">
        <v>0</v>
      </c>
      <c r="P67" s="20" t="n">
        <v>0</v>
      </c>
      <c r="Q67" s="18" t="n">
        <v>1.60629711</v>
      </c>
      <c r="R67" s="20" t="n">
        <v>0.52205228</v>
      </c>
    </row>
    <row r="68" spans="1:18">
      <c r="A68" s="15" t="s">
        <v>628</v>
      </c>
      <c r="B68" s="17" t="n">
        <v>6049</v>
      </c>
      <c r="C68" s="18">
        <f>(4698.0/B68*100)</f>
        <v/>
      </c>
      <c r="D68" s="19" t="n">
        <v>1351</v>
      </c>
      <c r="E68" s="18" t="n">
        <v>77.2335535</v>
      </c>
      <c r="F68" s="20" t="n">
        <v>1.03073487</v>
      </c>
      <c r="G68" s="18" t="n">
        <v>13.12191352</v>
      </c>
      <c r="H68" s="20" t="n">
        <v>0.8125680199999999</v>
      </c>
      <c r="I68" s="18" t="s">
        <v>567</v>
      </c>
      <c r="J68" s="20" t="s">
        <v>567</v>
      </c>
      <c r="K68" s="18" t="n">
        <v>3.0330955</v>
      </c>
      <c r="L68" s="20" t="n">
        <v>0.47260982</v>
      </c>
      <c r="M68" s="18" t="n">
        <v>0</v>
      </c>
      <c r="N68" s="20" t="n">
        <v>0</v>
      </c>
      <c r="O68" s="18" t="n">
        <v>0</v>
      </c>
      <c r="P68" s="20" t="n">
        <v>0</v>
      </c>
      <c r="Q68" s="18" t="n">
        <v>6.61143748</v>
      </c>
      <c r="R68" s="20" t="n">
        <v>0.64912523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(2292.0/B70*100)</f>
        <v/>
      </c>
      <c r="D70" s="19" t="n">
        <v>637</v>
      </c>
      <c r="E70" s="18" t="n">
        <v>75.02063616</v>
      </c>
      <c r="F70" s="20" t="n">
        <v>2.78388219</v>
      </c>
      <c r="G70" s="18" t="n">
        <v>23.58885047</v>
      </c>
      <c r="H70" s="20" t="n">
        <v>2.58393409</v>
      </c>
      <c r="I70" s="18" t="s">
        <v>567</v>
      </c>
      <c r="J70" s="20" t="s">
        <v>567</v>
      </c>
      <c r="K70" s="18" t="n">
        <v>0.15196217</v>
      </c>
      <c r="L70" s="20" t="n">
        <v>0.09671825000000001</v>
      </c>
      <c r="M70" s="18" t="n">
        <v>0</v>
      </c>
      <c r="N70" s="20" t="n">
        <v>0</v>
      </c>
      <c r="O70" s="18" t="n">
        <v>0</v>
      </c>
      <c r="P70" s="20" t="n">
        <v>0</v>
      </c>
      <c r="Q70" s="18" t="n">
        <v>1.2385512</v>
      </c>
      <c r="R70" s="20" t="n">
        <v>0.47487864</v>
      </c>
    </row>
    <row r="71" spans="1:18">
      <c r="A71" s="15" t="s">
        <v>631</v>
      </c>
      <c r="B71" s="17" t="n">
        <v>3142</v>
      </c>
      <c r="C71" s="18">
        <f>(2444.0/B71*100)</f>
        <v/>
      </c>
      <c r="D71" s="19" t="n">
        <v>698</v>
      </c>
      <c r="E71" s="18" t="n">
        <v>41.81420919</v>
      </c>
      <c r="F71" s="20" t="n">
        <v>1.89645096</v>
      </c>
      <c r="G71" s="18" t="n">
        <v>57.02340292</v>
      </c>
      <c r="H71" s="20" t="n">
        <v>1.91151151</v>
      </c>
      <c r="I71" s="18" t="s">
        <v>567</v>
      </c>
      <c r="J71" s="20" t="s">
        <v>567</v>
      </c>
      <c r="K71" s="18" t="n">
        <v>0.27460772</v>
      </c>
      <c r="L71" s="20" t="n">
        <v>0.19641714</v>
      </c>
      <c r="M71" s="18" t="n">
        <v>0</v>
      </c>
      <c r="N71" s="20" t="n">
        <v>0</v>
      </c>
      <c r="O71" s="18" t="n">
        <v>0</v>
      </c>
      <c r="P71" s="20" t="n">
        <v>0</v>
      </c>
      <c r="Q71" s="18" t="n">
        <v>0.88778016</v>
      </c>
      <c r="R71" s="20" t="n">
        <v>0.30282115</v>
      </c>
    </row>
    <row r="72" spans="1:18">
      <c r="A72" s="15" t="s">
        <v>632</v>
      </c>
      <c r="B72" s="17" t="n">
        <v>3889</v>
      </c>
      <c r="C72" s="18">
        <f>(3054.0/B72*100)</f>
        <v/>
      </c>
      <c r="D72" s="19" t="n">
        <v>835</v>
      </c>
      <c r="E72" s="18" t="n">
        <v>61.31750065</v>
      </c>
      <c r="F72" s="20" t="n">
        <v>2.11276776</v>
      </c>
      <c r="G72" s="18" t="n">
        <v>37.42836415</v>
      </c>
      <c r="H72" s="20" t="n">
        <v>2.05350597</v>
      </c>
      <c r="I72" s="18" t="s">
        <v>567</v>
      </c>
      <c r="J72" s="20" t="s">
        <v>567</v>
      </c>
      <c r="K72" s="18" t="n">
        <v>0.10039254</v>
      </c>
      <c r="L72" s="20" t="n">
        <v>0.09993008</v>
      </c>
      <c r="M72" s="18" t="n">
        <v>0</v>
      </c>
      <c r="N72" s="20" t="n">
        <v>0</v>
      </c>
      <c r="O72" s="18" t="n">
        <v>0</v>
      </c>
      <c r="P72" s="20" t="n">
        <v>0</v>
      </c>
      <c r="Q72" s="18" t="n">
        <v>1.15374267</v>
      </c>
      <c r="R72" s="20" t="n">
        <v>0.36989909</v>
      </c>
    </row>
    <row r="73" spans="1:18">
      <c r="A73" s="15" t="s">
        <v>633</v>
      </c>
      <c r="B73" s="17" t="n">
        <v>3597</v>
      </c>
      <c r="C73" s="18">
        <f>(2846.0/B73*100)</f>
        <v/>
      </c>
      <c r="D73" s="19" t="n">
        <v>751</v>
      </c>
      <c r="E73" s="18" t="n">
        <v>85.23569277</v>
      </c>
      <c r="F73" s="20" t="n">
        <v>1.80850815</v>
      </c>
      <c r="G73" s="18" t="n">
        <v>13.37572829</v>
      </c>
      <c r="H73" s="20" t="n">
        <v>1.81187166</v>
      </c>
      <c r="I73" s="18" t="s">
        <v>567</v>
      </c>
      <c r="J73" s="20" t="s">
        <v>567</v>
      </c>
      <c r="K73" s="18" t="n">
        <v>0</v>
      </c>
      <c r="L73" s="20" t="n">
        <v>0</v>
      </c>
      <c r="M73" s="18" t="n">
        <v>0</v>
      </c>
      <c r="N73" s="20" t="n">
        <v>0</v>
      </c>
      <c r="O73" s="18" t="n">
        <v>0</v>
      </c>
      <c r="P73" s="20" t="n">
        <v>0</v>
      </c>
      <c r="Q73" s="18" t="n">
        <v>1.38857894</v>
      </c>
      <c r="R73" s="20" t="n">
        <v>0.44831277</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(1936.0/B75*100)</f>
        <v/>
      </c>
      <c r="D75" s="19" t="n">
        <v>470</v>
      </c>
      <c r="E75" s="18" t="n">
        <v>81.87704472</v>
      </c>
      <c r="F75" s="20" t="n">
        <v>1.79626263</v>
      </c>
      <c r="G75" s="18" t="n">
        <v>8.557657300000001</v>
      </c>
      <c r="H75" s="20" t="n">
        <v>1.21200542</v>
      </c>
      <c r="I75" s="18" t="s">
        <v>567</v>
      </c>
      <c r="J75" s="20" t="s">
        <v>567</v>
      </c>
      <c r="K75" s="18" t="n">
        <v>3.07339416</v>
      </c>
      <c r="L75" s="20" t="n">
        <v>0.77061525</v>
      </c>
      <c r="M75" s="18" t="n">
        <v>0</v>
      </c>
      <c r="N75" s="20" t="n">
        <v>0</v>
      </c>
      <c r="O75" s="18" t="n">
        <v>0</v>
      </c>
      <c r="P75" s="20" t="n">
        <v>0</v>
      </c>
      <c r="Q75" s="18" t="n">
        <v>6.49190383</v>
      </c>
      <c r="R75" s="20" t="n">
        <v>1.26460785</v>
      </c>
    </row>
    <row r="76" spans="1:18">
      <c r="A76" s="15" t="s">
        <v>636</v>
      </c>
      <c r="B76" s="17" t="n">
        <v>7052</v>
      </c>
      <c r="C76" s="18">
        <f>(5559.0/B76*100)</f>
        <v/>
      </c>
      <c r="D76" s="19" t="n">
        <v>1493</v>
      </c>
      <c r="E76" s="18" t="n">
        <v>75.93508179</v>
      </c>
      <c r="F76" s="20" t="n">
        <v>1.51453551</v>
      </c>
      <c r="G76" s="18" t="n">
        <v>19.13422462</v>
      </c>
      <c r="H76" s="20" t="n">
        <v>1.53251951</v>
      </c>
      <c r="I76" s="18" t="s">
        <v>567</v>
      </c>
      <c r="J76" s="20" t="s">
        <v>567</v>
      </c>
      <c r="K76" s="18" t="n">
        <v>0.98543063</v>
      </c>
      <c r="L76" s="20" t="n">
        <v>0.28318356</v>
      </c>
      <c r="M76" s="18" t="n">
        <v>0</v>
      </c>
      <c r="N76" s="20" t="n">
        <v>0</v>
      </c>
      <c r="O76" s="18" t="n">
        <v>0</v>
      </c>
      <c r="P76" s="20" t="n">
        <v>0</v>
      </c>
      <c r="Q76" s="18" t="n">
        <v>3.94526297</v>
      </c>
      <c r="R76" s="20" t="n">
        <v>0.75211377</v>
      </c>
    </row>
    <row r="77" spans="1:18">
      <c r="A77" s="15" t="s">
        <v>637</v>
      </c>
      <c r="B77" s="17" t="n">
        <v>2908</v>
      </c>
      <c r="C77" s="18">
        <f>(2273.0/B77*100)</f>
        <v/>
      </c>
      <c r="D77" s="19" t="n">
        <v>635</v>
      </c>
      <c r="E77" s="18" t="n">
        <v>78.33817866</v>
      </c>
      <c r="F77" s="20" t="n">
        <v>1.90365311</v>
      </c>
      <c r="G77" s="18" t="n">
        <v>14.11851264</v>
      </c>
      <c r="H77" s="20" t="n">
        <v>1.52730341</v>
      </c>
      <c r="I77" s="18" t="s">
        <v>567</v>
      </c>
      <c r="J77" s="20" t="s">
        <v>567</v>
      </c>
      <c r="K77" s="18" t="n">
        <v>0.59881145</v>
      </c>
      <c r="L77" s="20" t="n">
        <v>0.32486026</v>
      </c>
      <c r="M77" s="18" t="n">
        <v>0</v>
      </c>
      <c r="N77" s="20" t="n">
        <v>0</v>
      </c>
      <c r="O77" s="18" t="n">
        <v>0</v>
      </c>
      <c r="P77" s="20" t="n">
        <v>0</v>
      </c>
      <c r="Q77" s="18" t="n">
        <v>6.94449725</v>
      </c>
      <c r="R77" s="20" t="n">
        <v>1.36827671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(3242.0/B81*100)</f>
        <v/>
      </c>
      <c r="D81" s="19" t="n">
        <v>921</v>
      </c>
      <c r="E81" s="18" t="n">
        <v>84.35374514999999</v>
      </c>
      <c r="F81" s="20" t="n">
        <v>1.94528287</v>
      </c>
      <c r="G81" s="18" t="n">
        <v>14.84542442</v>
      </c>
      <c r="H81" s="20" t="n">
        <v>1.89755837</v>
      </c>
      <c r="I81" s="18" t="s">
        <v>567</v>
      </c>
      <c r="J81" s="20" t="s">
        <v>567</v>
      </c>
      <c r="K81" s="18" t="n">
        <v>0.36286299</v>
      </c>
      <c r="L81" s="20" t="n">
        <v>0.2893256</v>
      </c>
      <c r="M81" s="18" t="n">
        <v>0</v>
      </c>
      <c r="N81" s="20" t="n">
        <v>0</v>
      </c>
      <c r="O81" s="18" t="n">
        <v>0</v>
      </c>
      <c r="P81" s="20" t="n">
        <v>0</v>
      </c>
      <c r="Q81" s="18" t="n">
        <v>0.43796745</v>
      </c>
      <c r="R81" s="20" t="n">
        <v>0.23787579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(5822.0/B7*100)</f>
        <v/>
      </c>
      <c r="D7" s="19" t="n">
        <v>1545</v>
      </c>
      <c r="E7" s="18" t="n">
        <v>79.65329015</v>
      </c>
      <c r="F7" s="20" t="n">
        <v>1.28310307</v>
      </c>
      <c r="G7" s="18" t="n">
        <v>17.1673123</v>
      </c>
      <c r="H7" s="20" t="n">
        <v>1.23377453</v>
      </c>
      <c r="I7" s="18" t="s">
        <v>567</v>
      </c>
      <c r="J7" s="20" t="s">
        <v>567</v>
      </c>
      <c r="K7" s="18" t="n">
        <v>0.21940052</v>
      </c>
      <c r="L7" s="20" t="n">
        <v>0.12321508</v>
      </c>
      <c r="M7" s="18" t="n">
        <v>0.08603073999999999</v>
      </c>
      <c r="N7" s="20" t="n">
        <v>0.06433751</v>
      </c>
      <c r="O7" s="18" t="n">
        <v>0</v>
      </c>
      <c r="P7" s="20" t="n">
        <v>0</v>
      </c>
      <c r="Q7" s="18" t="n">
        <v>2.87396628</v>
      </c>
      <c r="R7" s="20" t="n">
        <v>0.45321692</v>
      </c>
    </row>
    <row r="8" spans="1:18">
      <c r="A8" s="15" t="s">
        <v>568</v>
      </c>
      <c r="B8" s="17" t="n">
        <v>3564</v>
      </c>
      <c r="C8" s="18">
        <f>(2767.0/B8*100)</f>
        <v/>
      </c>
      <c r="D8" s="19" t="n">
        <v>797</v>
      </c>
      <c r="E8" s="18" t="n">
        <v>82.75077274</v>
      </c>
      <c r="F8" s="20" t="n">
        <v>1.76459096</v>
      </c>
      <c r="G8" s="18" t="n">
        <v>13.26985842</v>
      </c>
      <c r="H8" s="20" t="n">
        <v>1.64816868</v>
      </c>
      <c r="I8" s="18" t="s">
        <v>567</v>
      </c>
      <c r="J8" s="20" t="s">
        <v>567</v>
      </c>
      <c r="K8" s="18" t="n">
        <v>0.10643971</v>
      </c>
      <c r="L8" s="20" t="n">
        <v>0.07593564999999999</v>
      </c>
      <c r="M8" s="18" t="n">
        <v>0</v>
      </c>
      <c r="N8" s="20" t="n">
        <v>0</v>
      </c>
      <c r="O8" s="18" t="n">
        <v>0</v>
      </c>
      <c r="P8" s="20" t="n">
        <v>0</v>
      </c>
      <c r="Q8" s="18" t="n">
        <v>3.87292913</v>
      </c>
      <c r="R8" s="20" t="n">
        <v>0.87051693</v>
      </c>
    </row>
    <row r="9" spans="1:18">
      <c r="A9" s="15" t="s">
        <v>569</v>
      </c>
      <c r="B9" s="17" t="n">
        <v>4899</v>
      </c>
      <c r="C9" s="18">
        <f>(3901.0/B9*100)</f>
        <v/>
      </c>
      <c r="D9" s="19" t="n">
        <v>998</v>
      </c>
      <c r="E9" s="18" t="n">
        <v>81.02687287000001</v>
      </c>
      <c r="F9" s="20" t="n">
        <v>1.19186424</v>
      </c>
      <c r="G9" s="18" t="n">
        <v>13.71041767</v>
      </c>
      <c r="H9" s="20" t="n">
        <v>1.06110222</v>
      </c>
      <c r="I9" s="18" t="s">
        <v>567</v>
      </c>
      <c r="J9" s="20" t="s">
        <v>567</v>
      </c>
      <c r="K9" s="18" t="n">
        <v>0.544651</v>
      </c>
      <c r="L9" s="20" t="n">
        <v>0.27319408</v>
      </c>
      <c r="M9" s="18" t="n">
        <v>0.57002589</v>
      </c>
      <c r="N9" s="20" t="n">
        <v>0.25779781</v>
      </c>
      <c r="O9" s="18" t="n">
        <v>0</v>
      </c>
      <c r="P9" s="20" t="n">
        <v>0</v>
      </c>
      <c r="Q9" s="18" t="n">
        <v>4.14803257</v>
      </c>
      <c r="R9" s="20" t="n">
        <v>0.78799038</v>
      </c>
    </row>
    <row r="10" spans="1:18">
      <c r="A10" s="15" t="s">
        <v>570</v>
      </c>
      <c r="B10" s="17" t="n">
        <v>10036</v>
      </c>
      <c r="C10" s="18">
        <f>(7836.0/B10*100)</f>
        <v/>
      </c>
      <c r="D10" s="19" t="n">
        <v>2200</v>
      </c>
      <c r="E10" s="18" t="n">
        <v>75.97314548999999</v>
      </c>
      <c r="F10" s="20" t="n">
        <v>1.44398108</v>
      </c>
      <c r="G10" s="18" t="n">
        <v>21.54938606</v>
      </c>
      <c r="H10" s="20" t="n">
        <v>1.28375692</v>
      </c>
      <c r="I10" s="18" t="s">
        <v>567</v>
      </c>
      <c r="J10" s="20" t="s">
        <v>567</v>
      </c>
      <c r="K10" s="18" t="n">
        <v>0.65776055</v>
      </c>
      <c r="L10" s="20" t="n">
        <v>0.23945063</v>
      </c>
      <c r="M10" s="18" t="n">
        <v>0.09403264</v>
      </c>
      <c r="N10" s="20" t="n">
        <v>0.09855285</v>
      </c>
      <c r="O10" s="18" t="n">
        <v>0</v>
      </c>
      <c r="P10" s="20" t="n">
        <v>0</v>
      </c>
      <c r="Q10" s="18" t="n">
        <v>1.72567526</v>
      </c>
      <c r="R10" s="20" t="n">
        <v>0.44698249</v>
      </c>
    </row>
    <row r="11" spans="1:18">
      <c r="A11" s="15" t="s">
        <v>571</v>
      </c>
      <c r="B11" s="17" t="n">
        <v>3553</v>
      </c>
      <c r="C11" s="18">
        <f>(2782.0/B11*100)</f>
        <v/>
      </c>
      <c r="D11" s="19" t="n">
        <v>771</v>
      </c>
      <c r="E11" s="18" t="n">
        <v>91.47079457</v>
      </c>
      <c r="F11" s="20" t="n">
        <v>1.06347347</v>
      </c>
      <c r="G11" s="18" t="n">
        <v>1.53617012</v>
      </c>
      <c r="H11" s="20" t="n">
        <v>0.46498358</v>
      </c>
      <c r="I11" s="18" t="s">
        <v>567</v>
      </c>
      <c r="J11" s="20" t="s">
        <v>567</v>
      </c>
      <c r="K11" s="18" t="n">
        <v>1.30993041</v>
      </c>
      <c r="L11" s="20" t="n">
        <v>0.49728864</v>
      </c>
      <c r="M11" s="18" t="n">
        <v>0</v>
      </c>
      <c r="N11" s="20" t="n">
        <v>0</v>
      </c>
      <c r="O11" s="18" t="n">
        <v>0</v>
      </c>
      <c r="P11" s="20" t="n">
        <v>0</v>
      </c>
      <c r="Q11" s="18" t="n">
        <v>5.6831049</v>
      </c>
      <c r="R11" s="20" t="n">
        <v>0.88560894</v>
      </c>
    </row>
    <row r="12" spans="1:18">
      <c r="A12" s="15" t="s">
        <v>572</v>
      </c>
      <c r="B12" s="17" t="n">
        <v>3472</v>
      </c>
      <c r="C12" s="18">
        <f>(2723.0/B12*100)</f>
        <v/>
      </c>
      <c r="D12" s="19" t="n">
        <v>749</v>
      </c>
      <c r="E12" s="18" t="n">
        <v>90.96913057</v>
      </c>
      <c r="F12" s="20" t="n">
        <v>1.05643158</v>
      </c>
      <c r="G12" s="18" t="n">
        <v>7.07301203</v>
      </c>
      <c r="H12" s="20" t="n">
        <v>0.90039775</v>
      </c>
      <c r="I12" s="18" t="s">
        <v>567</v>
      </c>
      <c r="J12" s="20" t="s">
        <v>567</v>
      </c>
      <c r="K12" s="18" t="n">
        <v>0</v>
      </c>
      <c r="L12" s="20" t="n">
        <v>0</v>
      </c>
      <c r="M12" s="18" t="n">
        <v>0.15949052</v>
      </c>
      <c r="N12" s="20" t="n">
        <v>0.23971309</v>
      </c>
      <c r="O12" s="18" t="n">
        <v>0</v>
      </c>
      <c r="P12" s="20" t="n">
        <v>0</v>
      </c>
      <c r="Q12" s="18" t="n">
        <v>1.79836688</v>
      </c>
      <c r="R12" s="20" t="n">
        <v>0.45286892</v>
      </c>
    </row>
    <row r="13" spans="1:18">
      <c r="A13" s="15" t="s">
        <v>573</v>
      </c>
      <c r="B13" s="17" t="n">
        <v>3559</v>
      </c>
      <c r="C13" s="18">
        <f>(2841.0/B13*100)</f>
        <v/>
      </c>
      <c r="D13" s="19" t="n">
        <v>718</v>
      </c>
      <c r="E13" s="18" t="n">
        <v>73.96287834</v>
      </c>
      <c r="F13" s="20" t="n">
        <v>1.8087368</v>
      </c>
      <c r="G13" s="18" t="n">
        <v>23.24895568</v>
      </c>
      <c r="H13" s="20" t="n">
        <v>1.7616026</v>
      </c>
      <c r="I13" s="18" t="s">
        <v>567</v>
      </c>
      <c r="J13" s="20" t="s">
        <v>567</v>
      </c>
      <c r="K13" s="18" t="n">
        <v>0.44435532</v>
      </c>
      <c r="L13" s="20" t="n">
        <v>0.34604395</v>
      </c>
      <c r="M13" s="18" t="n">
        <v>0.6288428</v>
      </c>
      <c r="N13" s="20" t="n">
        <v>0.51721453</v>
      </c>
      <c r="O13" s="18" t="n">
        <v>0</v>
      </c>
      <c r="P13" s="20" t="n">
        <v>0</v>
      </c>
      <c r="Q13" s="18" t="n">
        <v>1.71496786</v>
      </c>
      <c r="R13" s="20" t="n">
        <v>0.5888264</v>
      </c>
    </row>
    <row r="14" spans="1:18">
      <c r="A14" s="15" t="s">
        <v>574</v>
      </c>
      <c r="B14" s="17" t="n">
        <v>2799</v>
      </c>
      <c r="C14" s="18">
        <f>(2155.0/B14*100)</f>
        <v/>
      </c>
      <c r="D14" s="19" t="n">
        <v>644</v>
      </c>
      <c r="E14" s="18" t="n">
        <v>76.0200194</v>
      </c>
      <c r="F14" s="20" t="n">
        <v>1.81897852</v>
      </c>
      <c r="G14" s="18" t="n">
        <v>22.86771289</v>
      </c>
      <c r="H14" s="20" t="n">
        <v>1.81982428</v>
      </c>
      <c r="I14" s="18" t="s">
        <v>567</v>
      </c>
      <c r="J14" s="20" t="s">
        <v>567</v>
      </c>
      <c r="K14" s="18" t="n">
        <v>0.44547314</v>
      </c>
      <c r="L14" s="20" t="n">
        <v>0.23742095</v>
      </c>
      <c r="M14" s="18" t="n">
        <v>0</v>
      </c>
      <c r="N14" s="20" t="n">
        <v>0</v>
      </c>
      <c r="O14" s="18" t="n">
        <v>0</v>
      </c>
      <c r="P14" s="20" t="n">
        <v>0</v>
      </c>
      <c r="Q14" s="18" t="n">
        <v>0.66679456</v>
      </c>
      <c r="R14" s="20" t="n">
        <v>0.30055407</v>
      </c>
    </row>
    <row r="15" spans="1:18">
      <c r="A15" s="15" t="s">
        <v>575</v>
      </c>
      <c r="B15" s="17" t="n">
        <v>3019</v>
      </c>
      <c r="C15" s="18">
        <f>(2324.0/B15*100)</f>
        <v/>
      </c>
      <c r="D15" s="19" t="n">
        <v>695</v>
      </c>
      <c r="E15" s="18" t="n">
        <v>5.60189598</v>
      </c>
      <c r="F15" s="20" t="n">
        <v>0.7371783</v>
      </c>
      <c r="G15" s="18" t="n">
        <v>1.19997453</v>
      </c>
      <c r="H15" s="20" t="n">
        <v>0.55432994</v>
      </c>
      <c r="I15" s="18" t="s">
        <v>567</v>
      </c>
      <c r="J15" s="20" t="s">
        <v>567</v>
      </c>
      <c r="K15" s="18" t="n">
        <v>0</v>
      </c>
      <c r="L15" s="20" t="n">
        <v>0</v>
      </c>
      <c r="M15" s="18" t="n">
        <v>93.19812948000001</v>
      </c>
      <c r="N15" s="20" t="n">
        <v>1.06822319</v>
      </c>
      <c r="O15" s="18" t="n">
        <v>0</v>
      </c>
      <c r="P15" s="20" t="n">
        <v>0</v>
      </c>
      <c r="Q15" s="18" t="n">
        <v>0</v>
      </c>
      <c r="R15" s="20" t="n">
        <v>0</v>
      </c>
    </row>
    <row r="16" spans="1:18">
      <c r="A16" s="15" t="s">
        <v>576</v>
      </c>
      <c r="B16" s="17" t="n">
        <v>2997</v>
      </c>
      <c r="C16" s="18">
        <f>(2373.0/B16*100)</f>
        <v/>
      </c>
      <c r="D16" s="19" t="n">
        <v>624</v>
      </c>
      <c r="E16" s="18" t="n">
        <v>76.69605292</v>
      </c>
      <c r="F16" s="20" t="n">
        <v>1.80036479</v>
      </c>
      <c r="G16" s="18" t="n">
        <v>16.62724588</v>
      </c>
      <c r="H16" s="20" t="n">
        <v>1.51497406</v>
      </c>
      <c r="I16" s="18" t="s">
        <v>567</v>
      </c>
      <c r="J16" s="20" t="s">
        <v>567</v>
      </c>
      <c r="K16" s="18" t="n">
        <v>1.41862441</v>
      </c>
      <c r="L16" s="20" t="n">
        <v>0.49599077</v>
      </c>
      <c r="M16" s="18" t="n">
        <v>0.13413496</v>
      </c>
      <c r="N16" s="20" t="n">
        <v>0.13386065</v>
      </c>
      <c r="O16" s="18" t="n">
        <v>0</v>
      </c>
      <c r="P16" s="20" t="n">
        <v>0</v>
      </c>
      <c r="Q16" s="18" t="n">
        <v>5.12394184</v>
      </c>
      <c r="R16" s="20" t="n">
        <v>1.11716537</v>
      </c>
    </row>
    <row r="17" spans="1:18">
      <c r="A17" s="15" t="s">
        <v>577</v>
      </c>
      <c r="B17" s="17" t="n">
        <v>3307</v>
      </c>
      <c r="C17" s="18">
        <f>(2601.0/B17*100)</f>
        <v/>
      </c>
      <c r="D17" s="19" t="n">
        <v>706</v>
      </c>
      <c r="E17" s="18" t="n">
        <v>84.57882454</v>
      </c>
      <c r="F17" s="20" t="n">
        <v>1.57401953</v>
      </c>
      <c r="G17" s="18" t="n">
        <v>10.82454982</v>
      </c>
      <c r="H17" s="20" t="n">
        <v>1.05919864</v>
      </c>
      <c r="I17" s="18" t="s">
        <v>567</v>
      </c>
      <c r="J17" s="20" t="s">
        <v>567</v>
      </c>
      <c r="K17" s="18" t="n">
        <v>0.22214548</v>
      </c>
      <c r="L17" s="20" t="n">
        <v>0.18091023</v>
      </c>
      <c r="M17" s="18" t="n">
        <v>0</v>
      </c>
      <c r="N17" s="20" t="n">
        <v>0</v>
      </c>
      <c r="O17" s="18" t="n">
        <v>0</v>
      </c>
      <c r="P17" s="20" t="n">
        <v>0</v>
      </c>
      <c r="Q17" s="18" t="n">
        <v>4.37448016</v>
      </c>
      <c r="R17" s="20" t="n">
        <v>1.02655924</v>
      </c>
    </row>
    <row r="18" spans="1:18">
      <c r="A18" s="15" t="s">
        <v>578</v>
      </c>
      <c r="B18" s="17" t="n">
        <v>2826</v>
      </c>
      <c r="C18" s="18">
        <f>(2219.0/B18*100)</f>
        <v/>
      </c>
      <c r="D18" s="19" t="n">
        <v>607</v>
      </c>
      <c r="E18" s="18" t="n">
        <v>90.47679685999999</v>
      </c>
      <c r="F18" s="20" t="n">
        <v>1.39000729</v>
      </c>
      <c r="G18" s="18" t="n">
        <v>4.15150899</v>
      </c>
      <c r="H18" s="20" t="n">
        <v>0.84909122</v>
      </c>
      <c r="I18" s="18" t="s">
        <v>567</v>
      </c>
      <c r="J18" s="20" t="s">
        <v>567</v>
      </c>
      <c r="K18" s="18" t="n">
        <v>0.20320691</v>
      </c>
      <c r="L18" s="20" t="n">
        <v>0.14776158</v>
      </c>
      <c r="M18" s="18" t="n">
        <v>0</v>
      </c>
      <c r="N18" s="20" t="n">
        <v>0</v>
      </c>
      <c r="O18" s="18" t="n">
        <v>0</v>
      </c>
      <c r="P18" s="20" t="n">
        <v>0</v>
      </c>
      <c r="Q18" s="18" t="n">
        <v>5.16848724</v>
      </c>
      <c r="R18" s="20" t="n">
        <v>1.03686313</v>
      </c>
    </row>
    <row r="19" spans="1:18">
      <c r="A19" s="15" t="s">
        <v>579</v>
      </c>
      <c r="B19" s="17" t="n">
        <v>2808</v>
      </c>
      <c r="C19" s="18">
        <f>(2187.0/B19*100)</f>
        <v/>
      </c>
      <c r="D19" s="19" t="n">
        <v>621</v>
      </c>
      <c r="E19" s="18" t="n">
        <v>88.43754368</v>
      </c>
      <c r="F19" s="20" t="n">
        <v>1.16233421</v>
      </c>
      <c r="G19" s="18" t="n">
        <v>8.87266689</v>
      </c>
      <c r="H19" s="20" t="n">
        <v>1.06346482</v>
      </c>
      <c r="I19" s="18" t="s">
        <v>567</v>
      </c>
      <c r="J19" s="20" t="s">
        <v>567</v>
      </c>
      <c r="K19" s="18" t="n">
        <v>0.36734929</v>
      </c>
      <c r="L19" s="20" t="n">
        <v>0.34798785</v>
      </c>
      <c r="M19" s="18" t="n">
        <v>0.12938978</v>
      </c>
      <c r="N19" s="20" t="n">
        <v>0.12867274</v>
      </c>
      <c r="O19" s="18" t="n">
        <v>0</v>
      </c>
      <c r="P19" s="20" t="n">
        <v>0</v>
      </c>
      <c r="Q19" s="18" t="n">
        <v>2.19305036</v>
      </c>
      <c r="R19" s="20" t="n">
        <v>0.6936732</v>
      </c>
    </row>
    <row r="20" spans="1:18">
      <c r="A20" s="15" t="s">
        <v>580</v>
      </c>
      <c r="B20" s="17" t="n">
        <v>1630</v>
      </c>
      <c r="C20" s="18">
        <f>(1289.0/B20*100)</f>
        <v/>
      </c>
      <c r="D20" s="19" t="n">
        <v>341</v>
      </c>
      <c r="E20" s="18" t="n">
        <v>82.98766386</v>
      </c>
      <c r="F20" s="20" t="n">
        <v>2.17948949</v>
      </c>
      <c r="G20" s="18" t="n">
        <v>10.68897513</v>
      </c>
      <c r="H20" s="20" t="n">
        <v>1.8294198</v>
      </c>
      <c r="I20" s="18" t="s">
        <v>567</v>
      </c>
      <c r="J20" s="20" t="s">
        <v>567</v>
      </c>
      <c r="K20" s="18" t="n">
        <v>1.86124895</v>
      </c>
      <c r="L20" s="20" t="n">
        <v>0.88856421</v>
      </c>
      <c r="M20" s="18" t="n">
        <v>0.31298598</v>
      </c>
      <c r="N20" s="20" t="n">
        <v>0.31756767</v>
      </c>
      <c r="O20" s="18" t="n">
        <v>0</v>
      </c>
      <c r="P20" s="20" t="n">
        <v>0</v>
      </c>
      <c r="Q20" s="18" t="n">
        <v>4.14912608</v>
      </c>
      <c r="R20" s="20" t="n">
        <v>1.03245941</v>
      </c>
    </row>
    <row r="21" spans="1:18">
      <c r="A21" s="15" t="s">
        <v>581</v>
      </c>
      <c r="B21" s="17" t="n">
        <v>2908</v>
      </c>
      <c r="C21" s="18">
        <f>(2246.0/B21*100)</f>
        <v/>
      </c>
      <c r="D21" s="19" t="n">
        <v>662</v>
      </c>
      <c r="E21" s="18" t="n">
        <v>78.51649141</v>
      </c>
      <c r="F21" s="20" t="n">
        <v>1.6439451</v>
      </c>
      <c r="G21" s="18" t="n">
        <v>19.02496263</v>
      </c>
      <c r="H21" s="20" t="n">
        <v>1.59132702</v>
      </c>
      <c r="I21" s="18" t="s">
        <v>567</v>
      </c>
      <c r="J21" s="20" t="s">
        <v>567</v>
      </c>
      <c r="K21" s="18" t="n">
        <v>0.26927911</v>
      </c>
      <c r="L21" s="20" t="n">
        <v>0.20227903</v>
      </c>
      <c r="M21" s="18" t="n">
        <v>0.12680463</v>
      </c>
      <c r="N21" s="20" t="n">
        <v>0.12644812</v>
      </c>
      <c r="O21" s="18" t="n">
        <v>0</v>
      </c>
      <c r="P21" s="20" t="n">
        <v>0</v>
      </c>
      <c r="Q21" s="18" t="n">
        <v>2.06246222</v>
      </c>
      <c r="R21" s="20" t="n">
        <v>0.47726028</v>
      </c>
    </row>
    <row r="22" spans="1:18">
      <c r="A22" s="15" t="s">
        <v>582</v>
      </c>
      <c r="B22" s="17" t="n">
        <v>2931</v>
      </c>
      <c r="C22" s="18">
        <f>(2282.0/B22*100)</f>
        <v/>
      </c>
      <c r="D22" s="19" t="n">
        <v>649</v>
      </c>
      <c r="E22" s="18" t="n">
        <v>82.20141045</v>
      </c>
      <c r="F22" s="20" t="n">
        <v>1.81091486</v>
      </c>
      <c r="G22" s="18" t="n">
        <v>13.45751718</v>
      </c>
      <c r="H22" s="20" t="n">
        <v>1.38518855</v>
      </c>
      <c r="I22" s="18" t="s">
        <v>567</v>
      </c>
      <c r="J22" s="20" t="s">
        <v>567</v>
      </c>
      <c r="K22" s="18" t="n">
        <v>1.13778816</v>
      </c>
      <c r="L22" s="20" t="n">
        <v>0.48381911</v>
      </c>
      <c r="M22" s="18" t="n">
        <v>0</v>
      </c>
      <c r="N22" s="20" t="n">
        <v>0</v>
      </c>
      <c r="O22" s="18" t="n">
        <v>0</v>
      </c>
      <c r="P22" s="20" t="n">
        <v>0</v>
      </c>
      <c r="Q22" s="18" t="n">
        <v>3.20328422</v>
      </c>
      <c r="R22" s="20" t="n">
        <v>0.81180167</v>
      </c>
    </row>
    <row r="23" spans="1:18">
      <c r="A23" s="15" t="s">
        <v>583</v>
      </c>
      <c r="B23" s="17" t="n">
        <v>5791</v>
      </c>
      <c r="C23" s="18">
        <f>(4533.0/B23*100)</f>
        <v/>
      </c>
      <c r="D23" s="19" t="n">
        <v>1258</v>
      </c>
      <c r="E23" s="18" t="n">
        <v>85.94278319999999</v>
      </c>
      <c r="F23" s="20" t="n">
        <v>1.54003855</v>
      </c>
      <c r="G23" s="18" t="n">
        <v>7.19470415</v>
      </c>
      <c r="H23" s="20" t="n">
        <v>0.92463562</v>
      </c>
      <c r="I23" s="18" t="s">
        <v>567</v>
      </c>
      <c r="J23" s="20" t="s">
        <v>567</v>
      </c>
      <c r="K23" s="18" t="n">
        <v>0.95602562</v>
      </c>
      <c r="L23" s="20" t="n">
        <v>0.43067904</v>
      </c>
      <c r="M23" s="18" t="n">
        <v>0.14789643</v>
      </c>
      <c r="N23" s="20" t="n">
        <v>0.11345501</v>
      </c>
      <c r="O23" s="18" t="n">
        <v>0</v>
      </c>
      <c r="P23" s="20" t="n">
        <v>0</v>
      </c>
      <c r="Q23" s="18" t="n">
        <v>5.75859059</v>
      </c>
      <c r="R23" s="20" t="n">
        <v>0.96644024</v>
      </c>
    </row>
    <row r="24" spans="1:18">
      <c r="A24" s="15" t="s">
        <v>584</v>
      </c>
      <c r="B24" s="17" t="n">
        <v>3338</v>
      </c>
      <c r="C24" s="18">
        <f>(2596.0/B24*100)</f>
        <v/>
      </c>
      <c r="D24" s="19" t="n">
        <v>742</v>
      </c>
      <c r="E24" s="18" t="n">
        <v>79.83566058</v>
      </c>
      <c r="F24" s="20" t="n">
        <v>1.32731751</v>
      </c>
      <c r="G24" s="18" t="n">
        <v>16.88616205</v>
      </c>
      <c r="H24" s="20" t="n">
        <v>1.38361447</v>
      </c>
      <c r="I24" s="18" t="s">
        <v>567</v>
      </c>
      <c r="J24" s="20" t="s">
        <v>567</v>
      </c>
      <c r="K24" s="18" t="n">
        <v>0.39295831</v>
      </c>
      <c r="L24" s="20" t="n">
        <v>0.22642763</v>
      </c>
      <c r="M24" s="18" t="n">
        <v>0</v>
      </c>
      <c r="N24" s="20" t="n">
        <v>0</v>
      </c>
      <c r="O24" s="18" t="n">
        <v>0</v>
      </c>
      <c r="P24" s="20" t="n">
        <v>0</v>
      </c>
      <c r="Q24" s="18" t="n">
        <v>2.88521907</v>
      </c>
      <c r="R24" s="20" t="n">
        <v>0.63423878</v>
      </c>
    </row>
    <row r="25" spans="1:18">
      <c r="A25" s="15" t="s">
        <v>585</v>
      </c>
      <c r="B25" s="17" t="n">
        <v>2912</v>
      </c>
      <c r="C25" s="18">
        <f>(2269.0/B25*100)</f>
        <v/>
      </c>
      <c r="D25" s="19" t="n">
        <v>643</v>
      </c>
      <c r="E25" s="18" t="n">
        <v>85.37840439</v>
      </c>
      <c r="F25" s="20" t="n">
        <v>1.49926308</v>
      </c>
      <c r="G25" s="18" t="n">
        <v>13.11081684</v>
      </c>
      <c r="H25" s="20" t="n">
        <v>1.47751697</v>
      </c>
      <c r="I25" s="18" t="s">
        <v>567</v>
      </c>
      <c r="J25" s="20" t="s">
        <v>567</v>
      </c>
      <c r="K25" s="18" t="n">
        <v>0.13210621</v>
      </c>
      <c r="L25" s="20" t="n">
        <v>0.13163801</v>
      </c>
      <c r="M25" s="18" t="n">
        <v>0</v>
      </c>
      <c r="N25" s="20" t="n">
        <v>0</v>
      </c>
      <c r="O25" s="18" t="n">
        <v>0</v>
      </c>
      <c r="P25" s="20" t="n">
        <v>0</v>
      </c>
      <c r="Q25" s="18" t="n">
        <v>1.37867256</v>
      </c>
      <c r="R25" s="20" t="n">
        <v>0.42023138</v>
      </c>
    </row>
    <row r="26" spans="1:18">
      <c r="A26" s="15" t="s">
        <v>586</v>
      </c>
      <c r="B26" s="17" t="n">
        <v>2450</v>
      </c>
      <c r="C26" s="18">
        <f>(1894.0/B26*100)</f>
        <v/>
      </c>
      <c r="D26" s="19" t="n">
        <v>556</v>
      </c>
      <c r="E26" s="18" t="n">
        <v>89.35693612999999</v>
      </c>
      <c r="F26" s="20" t="n">
        <v>1.41325831</v>
      </c>
      <c r="G26" s="18" t="n">
        <v>9.421692070000001</v>
      </c>
      <c r="H26" s="20" t="n">
        <v>1.37230864</v>
      </c>
      <c r="I26" s="18" t="s">
        <v>567</v>
      </c>
      <c r="J26" s="20" t="s">
        <v>567</v>
      </c>
      <c r="K26" s="18" t="n">
        <v>0</v>
      </c>
      <c r="L26" s="20" t="n">
        <v>0</v>
      </c>
      <c r="M26" s="18" t="n">
        <v>0</v>
      </c>
      <c r="N26" s="20" t="n">
        <v>0</v>
      </c>
      <c r="O26" s="18" t="n">
        <v>0</v>
      </c>
      <c r="P26" s="20" t="n">
        <v>0</v>
      </c>
      <c r="Q26" s="18" t="n">
        <v>1.22137181</v>
      </c>
      <c r="R26" s="20" t="n">
        <v>0.48157828</v>
      </c>
    </row>
    <row r="27" spans="1:18">
      <c r="A27" s="15" t="s">
        <v>587</v>
      </c>
      <c r="B27" s="17" t="n">
        <v>2616</v>
      </c>
      <c r="C27" s="18">
        <f>(2063.0/B27*100)</f>
        <v/>
      </c>
      <c r="D27" s="19" t="n">
        <v>553</v>
      </c>
      <c r="E27" s="18" t="n">
        <v>86.41876404999999</v>
      </c>
      <c r="F27" s="20" t="n">
        <v>1.33838824</v>
      </c>
      <c r="G27" s="18" t="n">
        <v>9.347979110000001</v>
      </c>
      <c r="H27" s="20" t="n">
        <v>1.13300005</v>
      </c>
      <c r="I27" s="18" t="s">
        <v>567</v>
      </c>
      <c r="J27" s="20" t="s">
        <v>567</v>
      </c>
      <c r="K27" s="18" t="n">
        <v>0.37186251</v>
      </c>
      <c r="L27" s="20" t="n">
        <v>0.26284115</v>
      </c>
      <c r="M27" s="18" t="n">
        <v>0</v>
      </c>
      <c r="N27" s="20" t="n">
        <v>0</v>
      </c>
      <c r="O27" s="18" t="n">
        <v>0</v>
      </c>
      <c r="P27" s="20" t="n">
        <v>0</v>
      </c>
      <c r="Q27" s="18" t="n">
        <v>3.86139433</v>
      </c>
      <c r="R27" s="20" t="n">
        <v>0.86625732</v>
      </c>
    </row>
    <row r="28" spans="1:18">
      <c r="A28" s="15" t="s">
        <v>588</v>
      </c>
      <c r="B28" s="17" t="n">
        <v>3765</v>
      </c>
      <c r="C28" s="18">
        <f>(2944.0/B28*100)</f>
        <v/>
      </c>
      <c r="D28" s="19" t="n">
        <v>821</v>
      </c>
      <c r="E28" s="18" t="n">
        <v>93.38022684000001</v>
      </c>
      <c r="F28" s="20" t="n">
        <v>0.89813702</v>
      </c>
      <c r="G28" s="18" t="n">
        <v>3.68766289</v>
      </c>
      <c r="H28" s="20" t="n">
        <v>0.74661544</v>
      </c>
      <c r="I28" s="18" t="s">
        <v>567</v>
      </c>
      <c r="J28" s="20" t="s">
        <v>567</v>
      </c>
      <c r="K28" s="18" t="n">
        <v>0.35272261</v>
      </c>
      <c r="L28" s="20" t="n">
        <v>0.26780002</v>
      </c>
      <c r="M28" s="18" t="n">
        <v>0.35377941</v>
      </c>
      <c r="N28" s="20" t="n">
        <v>0.26348962</v>
      </c>
      <c r="O28" s="18" t="n">
        <v>0</v>
      </c>
      <c r="P28" s="20" t="n">
        <v>0</v>
      </c>
      <c r="Q28" s="18" t="n">
        <v>2.22560824</v>
      </c>
      <c r="R28" s="20" t="n">
        <v>0.56344368</v>
      </c>
    </row>
    <row r="29" spans="1:18">
      <c r="A29" s="15" t="s">
        <v>589</v>
      </c>
      <c r="B29" s="17" t="n">
        <v>2685</v>
      </c>
      <c r="C29" s="18">
        <f>(2100.0/B29*100)</f>
        <v/>
      </c>
      <c r="D29" s="19" t="n">
        <v>585</v>
      </c>
      <c r="E29" s="18" t="n">
        <v>81.15209685000001</v>
      </c>
      <c r="F29" s="20" t="n">
        <v>1.40324511</v>
      </c>
      <c r="G29" s="18" t="n">
        <v>17.93027196</v>
      </c>
      <c r="H29" s="20" t="n">
        <v>1.4423882</v>
      </c>
      <c r="I29" s="18" t="s">
        <v>567</v>
      </c>
      <c r="J29" s="20" t="s">
        <v>567</v>
      </c>
      <c r="K29" s="18" t="n">
        <v>0.17633862</v>
      </c>
      <c r="L29" s="20" t="n">
        <v>0.17606746</v>
      </c>
      <c r="M29" s="18" t="n">
        <v>0</v>
      </c>
      <c r="N29" s="20" t="n">
        <v>0</v>
      </c>
      <c r="O29" s="18" t="n">
        <v>0</v>
      </c>
      <c r="P29" s="20" t="n">
        <v>0</v>
      </c>
      <c r="Q29" s="18" t="n">
        <v>0.74129257</v>
      </c>
      <c r="R29" s="20" t="n">
        <v>0.38032889</v>
      </c>
    </row>
    <row r="30" spans="1:18">
      <c r="A30" s="15" t="s">
        <v>590</v>
      </c>
      <c r="B30" s="17" t="n">
        <v>2263</v>
      </c>
      <c r="C30" s="18">
        <f>(1764.0/B30*100)</f>
        <v/>
      </c>
      <c r="D30" s="19" t="n">
        <v>499</v>
      </c>
      <c r="E30" s="18" t="n">
        <v>72.01628778</v>
      </c>
      <c r="F30" s="20" t="n">
        <v>1.96038178</v>
      </c>
      <c r="G30" s="18" t="n">
        <v>23.24758185</v>
      </c>
      <c r="H30" s="20" t="n">
        <v>1.97455355</v>
      </c>
      <c r="I30" s="18" t="s">
        <v>567</v>
      </c>
      <c r="J30" s="20" t="s">
        <v>567</v>
      </c>
      <c r="K30" s="18" t="n">
        <v>0.42613175</v>
      </c>
      <c r="L30" s="20" t="n">
        <v>0.28575482</v>
      </c>
      <c r="M30" s="18" t="n">
        <v>0</v>
      </c>
      <c r="N30" s="20" t="n">
        <v>0</v>
      </c>
      <c r="O30" s="18" t="n">
        <v>0</v>
      </c>
      <c r="P30" s="20" t="n">
        <v>0</v>
      </c>
      <c r="Q30" s="18" t="n">
        <v>4.30999861</v>
      </c>
      <c r="R30" s="20" t="n">
        <v>0.84878151</v>
      </c>
    </row>
    <row r="31" spans="1:18">
      <c r="A31" s="15" t="s">
        <v>591</v>
      </c>
      <c r="B31" s="17" t="n">
        <v>2750</v>
      </c>
      <c r="C31" s="18">
        <f>(2154.0/B31*100)</f>
        <v/>
      </c>
      <c r="D31" s="19" t="n">
        <v>596</v>
      </c>
      <c r="E31" s="18" t="n">
        <v>82.54569978000001</v>
      </c>
      <c r="F31" s="20" t="n">
        <v>1.56542825</v>
      </c>
      <c r="G31" s="18" t="n">
        <v>13.69448356</v>
      </c>
      <c r="H31" s="20" t="n">
        <v>1.54651546</v>
      </c>
      <c r="I31" s="18" t="s">
        <v>567</v>
      </c>
      <c r="J31" s="20" t="s">
        <v>567</v>
      </c>
      <c r="K31" s="18" t="n">
        <v>1.16729377</v>
      </c>
      <c r="L31" s="20" t="n">
        <v>0.54335206</v>
      </c>
      <c r="M31" s="18" t="n">
        <v>0</v>
      </c>
      <c r="N31" s="20" t="n">
        <v>0</v>
      </c>
      <c r="O31" s="18" t="n">
        <v>0</v>
      </c>
      <c r="P31" s="20" t="n">
        <v>0</v>
      </c>
      <c r="Q31" s="18" t="n">
        <v>2.59252289</v>
      </c>
      <c r="R31" s="20" t="n">
        <v>0.68675331</v>
      </c>
    </row>
    <row r="32" spans="1:18">
      <c r="A32" s="15" t="s">
        <v>592</v>
      </c>
      <c r="B32" s="17" t="n">
        <v>2269</v>
      </c>
      <c r="C32" s="18">
        <f>(1766.0/B32*100)</f>
        <v/>
      </c>
      <c r="D32" s="19" t="n">
        <v>503</v>
      </c>
      <c r="E32" s="18" t="n">
        <v>87.01955225</v>
      </c>
      <c r="F32" s="20" t="n">
        <v>1.50125403</v>
      </c>
      <c r="G32" s="18" t="n">
        <v>11.65093755</v>
      </c>
      <c r="H32" s="20" t="n">
        <v>1.32771963</v>
      </c>
      <c r="I32" s="18" t="s">
        <v>567</v>
      </c>
      <c r="J32" s="20" t="s">
        <v>567</v>
      </c>
      <c r="K32" s="18" t="n">
        <v>0.23897637</v>
      </c>
      <c r="L32" s="20" t="n">
        <v>0.23489597</v>
      </c>
      <c r="M32" s="18" t="n">
        <v>0</v>
      </c>
      <c r="N32" s="20" t="n">
        <v>0</v>
      </c>
      <c r="O32" s="18" t="n">
        <v>0</v>
      </c>
      <c r="P32" s="20" t="n">
        <v>0</v>
      </c>
      <c r="Q32" s="18" t="n">
        <v>1.09053383</v>
      </c>
      <c r="R32" s="20" t="n">
        <v>0.44825038</v>
      </c>
    </row>
    <row r="33" spans="1:18">
      <c r="A33" s="15" t="s">
        <v>593</v>
      </c>
      <c r="B33" s="17" t="n">
        <v>3674</v>
      </c>
      <c r="C33" s="18">
        <f>(2865.0/B33*100)</f>
        <v/>
      </c>
      <c r="D33" s="19" t="n">
        <v>809</v>
      </c>
      <c r="E33" s="18" t="n">
        <v>82.8341434</v>
      </c>
      <c r="F33" s="20" t="n">
        <v>1.81010262</v>
      </c>
      <c r="G33" s="18" t="n">
        <v>13.39213542</v>
      </c>
      <c r="H33" s="20" t="n">
        <v>1.80776123</v>
      </c>
      <c r="I33" s="18" t="s">
        <v>567</v>
      </c>
      <c r="J33" s="20" t="s">
        <v>567</v>
      </c>
      <c r="K33" s="18" t="n">
        <v>0.37477616</v>
      </c>
      <c r="L33" s="20" t="n">
        <v>0.20926259</v>
      </c>
      <c r="M33" s="18" t="n">
        <v>0</v>
      </c>
      <c r="N33" s="20" t="n">
        <v>0</v>
      </c>
      <c r="O33" s="18" t="n">
        <v>0</v>
      </c>
      <c r="P33" s="20" t="n">
        <v>0</v>
      </c>
      <c r="Q33" s="18" t="n">
        <v>3.39894503</v>
      </c>
      <c r="R33" s="20" t="n">
        <v>0.76185946</v>
      </c>
    </row>
    <row r="34" spans="1:18">
      <c r="A34" s="15" t="s">
        <v>594</v>
      </c>
      <c r="B34" s="17" t="n">
        <v>3315</v>
      </c>
      <c r="C34" s="18">
        <f>(2611.0/B34*100)</f>
        <v/>
      </c>
      <c r="D34" s="19" t="n">
        <v>704</v>
      </c>
      <c r="E34" s="18" t="n">
        <v>93.4741602</v>
      </c>
      <c r="F34" s="20" t="n">
        <v>1.17591008</v>
      </c>
      <c r="G34" s="18" t="n">
        <v>4.04131023</v>
      </c>
      <c r="H34" s="20" t="n">
        <v>0.70486226</v>
      </c>
      <c r="I34" s="18" t="s">
        <v>567</v>
      </c>
      <c r="J34" s="20" t="s">
        <v>567</v>
      </c>
      <c r="K34" s="18" t="n">
        <v>0.17174597</v>
      </c>
      <c r="L34" s="20" t="n">
        <v>0.28353344</v>
      </c>
      <c r="M34" s="18" t="n">
        <v>0.16285071</v>
      </c>
      <c r="N34" s="20" t="n">
        <v>0.13816436</v>
      </c>
      <c r="O34" s="18" t="n">
        <v>0</v>
      </c>
      <c r="P34" s="20" t="n">
        <v>0</v>
      </c>
      <c r="Q34" s="18" t="n">
        <v>2.14993289</v>
      </c>
      <c r="R34" s="20" t="n">
        <v>0.60498201</v>
      </c>
    </row>
    <row r="35" spans="1:18">
      <c r="A35" s="15" t="s">
        <v>595</v>
      </c>
      <c r="B35" s="17" t="n">
        <v>3505</v>
      </c>
      <c r="C35" s="18">
        <f>(2784.0/B35*100)</f>
        <v/>
      </c>
      <c r="D35" s="19" t="n">
        <v>721</v>
      </c>
      <c r="E35" s="18" t="n">
        <v>87.16966514000001</v>
      </c>
      <c r="F35" s="20" t="n">
        <v>1.76215277</v>
      </c>
      <c r="G35" s="18" t="n">
        <v>10.70810597</v>
      </c>
      <c r="H35" s="20" t="n">
        <v>1.67635833</v>
      </c>
      <c r="I35" s="18" t="s">
        <v>567</v>
      </c>
      <c r="J35" s="20" t="s">
        <v>567</v>
      </c>
      <c r="K35" s="18" t="n">
        <v>0.18730495</v>
      </c>
      <c r="L35" s="20" t="n">
        <v>0.13906735</v>
      </c>
      <c r="M35" s="18" t="n">
        <v>0.05498586</v>
      </c>
      <c r="N35" s="20" t="n">
        <v>0.05540527</v>
      </c>
      <c r="O35" s="18" t="n">
        <v>0</v>
      </c>
      <c r="P35" s="20" t="n">
        <v>0</v>
      </c>
      <c r="Q35" s="18" t="n">
        <v>1.87993808</v>
      </c>
      <c r="R35" s="20" t="n">
        <v>0.58350969</v>
      </c>
    </row>
    <row r="36" spans="1:18">
      <c r="A36" s="15" t="s">
        <v>596</v>
      </c>
      <c r="B36" s="17" t="n">
        <v>3332</v>
      </c>
      <c r="C36" s="18">
        <f>(2597.0/B36*100)</f>
        <v/>
      </c>
      <c r="D36" s="19" t="n">
        <v>735</v>
      </c>
      <c r="E36" s="18" t="n">
        <v>82.27705831</v>
      </c>
      <c r="F36" s="20" t="n">
        <v>1.48493097</v>
      </c>
      <c r="G36" s="18" t="n">
        <v>12.11125388</v>
      </c>
      <c r="H36" s="20" t="n">
        <v>1.24228179</v>
      </c>
      <c r="I36" s="18" t="s">
        <v>567</v>
      </c>
      <c r="J36" s="20" t="s">
        <v>567</v>
      </c>
      <c r="K36" s="18" t="n">
        <v>0.94225907</v>
      </c>
      <c r="L36" s="20" t="n">
        <v>0.27130861</v>
      </c>
      <c r="M36" s="18" t="n">
        <v>0</v>
      </c>
      <c r="N36" s="20" t="n">
        <v>0</v>
      </c>
      <c r="O36" s="18" t="n">
        <v>0</v>
      </c>
      <c r="P36" s="20" t="n">
        <v>0</v>
      </c>
      <c r="Q36" s="18" t="n">
        <v>4.66942875</v>
      </c>
      <c r="R36" s="20" t="n">
        <v>0.8525490999999999</v>
      </c>
    </row>
    <row r="37" spans="1:18">
      <c r="A37" s="15" t="s">
        <v>597</v>
      </c>
      <c r="B37" s="17" t="n">
        <v>2727</v>
      </c>
      <c r="C37" s="18">
        <f>(2125.0/B37*100)</f>
        <v/>
      </c>
      <c r="D37" s="19" t="n">
        <v>602</v>
      </c>
      <c r="E37" s="18" t="n">
        <v>79.24080911</v>
      </c>
      <c r="F37" s="20" t="n">
        <v>1.56134334</v>
      </c>
      <c r="G37" s="18" t="n">
        <v>15.56998873</v>
      </c>
      <c r="H37" s="20" t="n">
        <v>1.34092601</v>
      </c>
      <c r="I37" s="18" t="s">
        <v>567</v>
      </c>
      <c r="J37" s="20" t="s">
        <v>567</v>
      </c>
      <c r="K37" s="18" t="n">
        <v>0.75743013</v>
      </c>
      <c r="L37" s="20" t="n">
        <v>0.3387361</v>
      </c>
      <c r="M37" s="18" t="n">
        <v>0</v>
      </c>
      <c r="N37" s="20" t="n">
        <v>0</v>
      </c>
      <c r="O37" s="18" t="n">
        <v>0</v>
      </c>
      <c r="P37" s="20" t="n">
        <v>0</v>
      </c>
      <c r="Q37" s="18" t="n">
        <v>4.43177204</v>
      </c>
      <c r="R37" s="20" t="n">
        <v>0.86390988</v>
      </c>
    </row>
    <row r="38" spans="1:18">
      <c r="A38" s="15" t="s">
        <v>598</v>
      </c>
      <c r="B38" s="17" t="n">
        <v>3053</v>
      </c>
      <c r="C38" s="18">
        <f>(2385.0/B38*100)</f>
        <v/>
      </c>
      <c r="D38" s="19" t="n">
        <v>668</v>
      </c>
      <c r="E38" s="18" t="n">
        <v>82.76681879</v>
      </c>
      <c r="F38" s="20" t="n">
        <v>1.63772985</v>
      </c>
      <c r="G38" s="18" t="n">
        <v>11.34550892</v>
      </c>
      <c r="H38" s="20" t="n">
        <v>1.26874246</v>
      </c>
      <c r="I38" s="18" t="s">
        <v>567</v>
      </c>
      <c r="J38" s="20" t="s">
        <v>567</v>
      </c>
      <c r="K38" s="18" t="n">
        <v>0.47766039</v>
      </c>
      <c r="L38" s="20" t="n">
        <v>0.26898033</v>
      </c>
      <c r="M38" s="18" t="n">
        <v>2.10325491</v>
      </c>
      <c r="N38" s="20" t="n">
        <v>0.61261899</v>
      </c>
      <c r="O38" s="18" t="n">
        <v>0</v>
      </c>
      <c r="P38" s="20" t="n">
        <v>0</v>
      </c>
      <c r="Q38" s="18" t="n">
        <v>3.30675699</v>
      </c>
      <c r="R38" s="20" t="n">
        <v>0.9293761699999999</v>
      </c>
    </row>
    <row r="39" spans="1:18">
      <c r="A39" s="15" t="s">
        <v>599</v>
      </c>
      <c r="B39" s="17" t="n">
        <v>2957</v>
      </c>
      <c r="C39" s="18">
        <f>(2264.0/B39*100)</f>
        <v/>
      </c>
      <c r="D39" s="19" t="n">
        <v>693</v>
      </c>
      <c r="E39" s="18" t="n">
        <v>49.64378672</v>
      </c>
      <c r="F39" s="20" t="n">
        <v>2.18504107</v>
      </c>
      <c r="G39" s="18" t="n">
        <v>10.75512867</v>
      </c>
      <c r="H39" s="20" t="n">
        <v>1.53302345</v>
      </c>
      <c r="I39" s="18" t="s">
        <v>567</v>
      </c>
      <c r="J39" s="20" t="s">
        <v>567</v>
      </c>
      <c r="K39" s="18" t="n">
        <v>0.37566261</v>
      </c>
      <c r="L39" s="20" t="n">
        <v>0.19063116</v>
      </c>
      <c r="M39" s="18" t="n">
        <v>0</v>
      </c>
      <c r="N39" s="20" t="n">
        <v>0</v>
      </c>
      <c r="O39" s="18" t="n">
        <v>0</v>
      </c>
      <c r="P39" s="20" t="n">
        <v>0</v>
      </c>
      <c r="Q39" s="18" t="n">
        <v>39.225422</v>
      </c>
      <c r="R39" s="20" t="n">
        <v>2.22039762</v>
      </c>
    </row>
    <row r="40" spans="1:18">
      <c r="A40" s="15" t="s">
        <v>600</v>
      </c>
      <c r="B40" s="17" t="n">
        <v>7235</v>
      </c>
      <c r="C40" s="18">
        <f>(5670.0/B40*100)</f>
        <v/>
      </c>
      <c r="D40" s="19" t="n">
        <v>1565</v>
      </c>
      <c r="E40" s="18" t="n">
        <v>80.10081194999999</v>
      </c>
      <c r="F40" s="20" t="n">
        <v>1.48901202</v>
      </c>
      <c r="G40" s="18" t="n">
        <v>15.99714008</v>
      </c>
      <c r="H40" s="20" t="n">
        <v>1.28925377</v>
      </c>
      <c r="I40" s="18" t="s">
        <v>567</v>
      </c>
      <c r="J40" s="20" t="s">
        <v>567</v>
      </c>
      <c r="K40" s="18" t="n">
        <v>0.79411988</v>
      </c>
      <c r="L40" s="20" t="n">
        <v>0.41914394</v>
      </c>
      <c r="M40" s="18" t="n">
        <v>0</v>
      </c>
      <c r="N40" s="20" t="n">
        <v>0</v>
      </c>
      <c r="O40" s="18" t="n">
        <v>0</v>
      </c>
      <c r="P40" s="20" t="n">
        <v>0</v>
      </c>
      <c r="Q40" s="18" t="n">
        <v>3.10792808</v>
      </c>
      <c r="R40" s="20" t="n">
        <v>0.60407986</v>
      </c>
    </row>
    <row r="41" spans="1:18">
      <c r="A41" s="15" t="s">
        <v>601</v>
      </c>
      <c r="B41" s="17" t="n">
        <v>2858</v>
      </c>
      <c r="C41" s="18">
        <f>(2288.0/B41*100)</f>
        <v/>
      </c>
      <c r="D41" s="19" t="n">
        <v>570</v>
      </c>
      <c r="E41" s="18" t="n">
        <v>84.30608964</v>
      </c>
      <c r="F41" s="20" t="n">
        <v>1.59720529</v>
      </c>
      <c r="G41" s="18" t="n">
        <v>14.00409529</v>
      </c>
      <c r="H41" s="20" t="n">
        <v>1.54684317</v>
      </c>
      <c r="I41" s="18" t="s">
        <v>567</v>
      </c>
      <c r="J41" s="20" t="s">
        <v>567</v>
      </c>
      <c r="K41" s="18" t="n">
        <v>0.40750299</v>
      </c>
      <c r="L41" s="20" t="n">
        <v>0.22646205</v>
      </c>
      <c r="M41" s="18" t="n">
        <v>0</v>
      </c>
      <c r="N41" s="20" t="n">
        <v>0</v>
      </c>
      <c r="O41" s="18" t="n">
        <v>0</v>
      </c>
      <c r="P41" s="20" t="n">
        <v>0</v>
      </c>
      <c r="Q41" s="18" t="n">
        <v>1.28231208</v>
      </c>
      <c r="R41" s="20" t="n">
        <v>0.6250953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(9195.0/B46*100)</f>
        <v/>
      </c>
      <c r="D46" s="19" t="n">
        <v>1873</v>
      </c>
      <c r="E46" s="18" t="n">
        <v>89.51671421</v>
      </c>
      <c r="F46" s="20" t="n">
        <v>0.97131642</v>
      </c>
      <c r="G46" s="18" t="n">
        <v>2.92604905</v>
      </c>
      <c r="H46" s="20" t="n">
        <v>0.51352853</v>
      </c>
      <c r="I46" s="18" t="s">
        <v>567</v>
      </c>
      <c r="J46" s="20" t="s">
        <v>567</v>
      </c>
      <c r="K46" s="18" t="n">
        <v>1.33390258</v>
      </c>
      <c r="L46" s="20" t="n">
        <v>0.35504197</v>
      </c>
      <c r="M46" s="18" t="n">
        <v>0.7410053</v>
      </c>
      <c r="N46" s="20" t="n">
        <v>0.28345962</v>
      </c>
      <c r="O46" s="18" t="n">
        <v>0</v>
      </c>
      <c r="P46" s="20" t="n">
        <v>0</v>
      </c>
      <c r="Q46" s="18" t="n">
        <v>5.48232887</v>
      </c>
      <c r="R46" s="20" t="n">
        <v>0.7426460499999999</v>
      </c>
    </row>
    <row r="47" spans="1:18">
      <c r="A47" s="15" t="s">
        <v>607</v>
      </c>
      <c r="B47" s="17" t="n">
        <v>3105</v>
      </c>
      <c r="C47" s="18">
        <f>(2397.0/B47*100)</f>
        <v/>
      </c>
      <c r="D47" s="19" t="n">
        <v>708</v>
      </c>
      <c r="E47" s="18" t="n">
        <v>85.72735421</v>
      </c>
      <c r="F47" s="20" t="n">
        <v>1.13241449</v>
      </c>
      <c r="G47" s="18" t="n">
        <v>9.48887543</v>
      </c>
      <c r="H47" s="20" t="n">
        <v>1.05822582</v>
      </c>
      <c r="I47" s="18" t="s">
        <v>567</v>
      </c>
      <c r="J47" s="20" t="s">
        <v>567</v>
      </c>
      <c r="K47" s="18" t="n">
        <v>0.54902222</v>
      </c>
      <c r="L47" s="20" t="n">
        <v>0.25673145</v>
      </c>
      <c r="M47" s="18" t="n">
        <v>0.53335611</v>
      </c>
      <c r="N47" s="20" t="n">
        <v>0.32120522</v>
      </c>
      <c r="O47" s="18" t="n">
        <v>0</v>
      </c>
      <c r="P47" s="20" t="n">
        <v>0</v>
      </c>
      <c r="Q47" s="18" t="n">
        <v>3.70139203</v>
      </c>
      <c r="R47" s="20" t="n">
        <v>0.74003173</v>
      </c>
    </row>
    <row r="48" spans="1:18">
      <c r="A48" s="15" t="s">
        <v>608</v>
      </c>
      <c r="B48" s="17" t="n">
        <v>5159</v>
      </c>
      <c r="C48" s="18">
        <f>(4046.0/B48*100)</f>
        <v/>
      </c>
      <c r="D48" s="19" t="n">
        <v>1113</v>
      </c>
      <c r="E48" s="18" t="n">
        <v>84.24005447</v>
      </c>
      <c r="F48" s="20" t="n">
        <v>1.66062523</v>
      </c>
      <c r="G48" s="18" t="n">
        <v>13.68533153</v>
      </c>
      <c r="H48" s="20" t="n">
        <v>1.62138177</v>
      </c>
      <c r="I48" s="18" t="s">
        <v>567</v>
      </c>
      <c r="J48" s="20" t="s">
        <v>567</v>
      </c>
      <c r="K48" s="18" t="n">
        <v>0.3560679</v>
      </c>
      <c r="L48" s="20" t="n">
        <v>0.20628931</v>
      </c>
      <c r="M48" s="18" t="n">
        <v>0</v>
      </c>
      <c r="N48" s="20" t="n">
        <v>0</v>
      </c>
      <c r="O48" s="18" t="n">
        <v>0</v>
      </c>
      <c r="P48" s="20" t="n">
        <v>0</v>
      </c>
      <c r="Q48" s="18" t="n">
        <v>1.71854609</v>
      </c>
      <c r="R48" s="20" t="n">
        <v>0.6033989400000001</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(4402.0/B50*100)</f>
        <v/>
      </c>
      <c r="D50" s="19" t="n">
        <v>1235</v>
      </c>
      <c r="E50" s="18" t="n">
        <v>91.52452547</v>
      </c>
      <c r="F50" s="20" t="n">
        <v>1.15408275</v>
      </c>
      <c r="G50" s="18" t="n">
        <v>4.67685397</v>
      </c>
      <c r="H50" s="20" t="n">
        <v>0.80143226</v>
      </c>
      <c r="I50" s="18" t="s">
        <v>567</v>
      </c>
      <c r="J50" s="20" t="s">
        <v>567</v>
      </c>
      <c r="K50" s="18" t="n">
        <v>1.43630529</v>
      </c>
      <c r="L50" s="20" t="n">
        <v>0.55264437</v>
      </c>
      <c r="M50" s="18" t="n">
        <v>0</v>
      </c>
      <c r="N50" s="20" t="n">
        <v>0</v>
      </c>
      <c r="O50" s="18" t="n">
        <v>0</v>
      </c>
      <c r="P50" s="20" t="n">
        <v>0</v>
      </c>
      <c r="Q50" s="18" t="n">
        <v>2.36231528</v>
      </c>
      <c r="R50" s="20" t="n">
        <v>0.52995</v>
      </c>
    </row>
    <row r="51" spans="1:18">
      <c r="A51" s="15" t="s">
        <v>611</v>
      </c>
      <c r="B51" s="17" t="n">
        <v>3372</v>
      </c>
      <c r="C51" s="18">
        <f>(2767.0/B51*100)</f>
        <v/>
      </c>
      <c r="D51" s="19" t="n">
        <v>605</v>
      </c>
      <c r="E51" s="18" t="n">
        <v>93.73790493</v>
      </c>
      <c r="F51" s="20" t="n">
        <v>1.0631187</v>
      </c>
      <c r="G51" s="18" t="n">
        <v>1.94335371</v>
      </c>
      <c r="H51" s="20" t="n">
        <v>0.46697206</v>
      </c>
      <c r="I51" s="18" t="s">
        <v>567</v>
      </c>
      <c r="J51" s="20" t="s">
        <v>567</v>
      </c>
      <c r="K51" s="18" t="n">
        <v>0.37210067</v>
      </c>
      <c r="L51" s="20" t="n">
        <v>0.21224904</v>
      </c>
      <c r="M51" s="18" t="n">
        <v>0</v>
      </c>
      <c r="N51" s="20" t="n">
        <v>0</v>
      </c>
      <c r="O51" s="18" t="n">
        <v>0</v>
      </c>
      <c r="P51" s="20" t="n">
        <v>0</v>
      </c>
      <c r="Q51" s="18" t="n">
        <v>3.94664068</v>
      </c>
      <c r="R51" s="20" t="n">
        <v>0.94091223</v>
      </c>
    </row>
    <row r="52" spans="1:18">
      <c r="A52" s="15" t="s">
        <v>612</v>
      </c>
      <c r="B52" s="17" t="n">
        <v>2796</v>
      </c>
      <c r="C52" s="18">
        <f>(2209.0/B52*100)</f>
        <v/>
      </c>
      <c r="D52" s="19" t="n">
        <v>587</v>
      </c>
      <c r="E52" s="18" t="n">
        <v>92.81311353</v>
      </c>
      <c r="F52" s="20" t="n">
        <v>1.10414232</v>
      </c>
      <c r="G52" s="18" t="n">
        <v>4.05348963</v>
      </c>
      <c r="H52" s="20" t="n">
        <v>0.94233567</v>
      </c>
      <c r="I52" s="18" t="s">
        <v>567</v>
      </c>
      <c r="J52" s="20" t="s">
        <v>567</v>
      </c>
      <c r="K52" s="18" t="n">
        <v>0.1280227</v>
      </c>
      <c r="L52" s="20" t="n">
        <v>0.12955905</v>
      </c>
      <c r="M52" s="18" t="n">
        <v>0</v>
      </c>
      <c r="N52" s="20" t="n">
        <v>0</v>
      </c>
      <c r="O52" s="18" t="n">
        <v>0</v>
      </c>
      <c r="P52" s="20" t="n">
        <v>0</v>
      </c>
      <c r="Q52" s="18" t="n">
        <v>3.00537413</v>
      </c>
      <c r="R52" s="20" t="n">
        <v>0.62691158</v>
      </c>
    </row>
    <row r="53" spans="1:18">
      <c r="A53" s="15" t="s">
        <v>613</v>
      </c>
      <c r="B53" s="17" t="n">
        <v>2811</v>
      </c>
      <c r="C53" s="18">
        <f>(2174.0/B53*100)</f>
        <v/>
      </c>
      <c r="D53" s="19" t="n">
        <v>637</v>
      </c>
      <c r="E53" s="18" t="n">
        <v>87.91320364000001</v>
      </c>
      <c r="F53" s="20" t="n">
        <v>1.39556259</v>
      </c>
      <c r="G53" s="18" t="n">
        <v>6.74918883</v>
      </c>
      <c r="H53" s="20" t="n">
        <v>1.0380126</v>
      </c>
      <c r="I53" s="18" t="s">
        <v>567</v>
      </c>
      <c r="J53" s="20" t="s">
        <v>567</v>
      </c>
      <c r="K53" s="18" t="n">
        <v>0.87979756</v>
      </c>
      <c r="L53" s="20" t="n">
        <v>0.36996528</v>
      </c>
      <c r="M53" s="18" t="n">
        <v>0</v>
      </c>
      <c r="N53" s="20" t="n">
        <v>0</v>
      </c>
      <c r="O53" s="18" t="n">
        <v>0</v>
      </c>
      <c r="P53" s="20" t="n">
        <v>0</v>
      </c>
      <c r="Q53" s="18" t="n">
        <v>4.45780997</v>
      </c>
      <c r="R53" s="20" t="n">
        <v>0.75383038</v>
      </c>
    </row>
    <row r="54" spans="1:18">
      <c r="A54" s="15" t="s">
        <v>614</v>
      </c>
      <c r="B54" s="17" t="n">
        <v>2266</v>
      </c>
      <c r="C54" s="18">
        <f>(1762.0/B54*100)</f>
        <v/>
      </c>
      <c r="D54" s="19" t="n">
        <v>504</v>
      </c>
      <c r="E54" s="18" t="n">
        <v>79.06006601999999</v>
      </c>
      <c r="F54" s="20" t="n">
        <v>2.13092076</v>
      </c>
      <c r="G54" s="18" t="n">
        <v>0.20599186</v>
      </c>
      <c r="H54" s="20" t="n">
        <v>0.19950446</v>
      </c>
      <c r="I54" s="18" t="s">
        <v>567</v>
      </c>
      <c r="J54" s="20" t="s">
        <v>567</v>
      </c>
      <c r="K54" s="18" t="n">
        <v>12.1698355</v>
      </c>
      <c r="L54" s="20" t="n">
        <v>1.39263784</v>
      </c>
      <c r="M54" s="18" t="n">
        <v>1.22162435</v>
      </c>
      <c r="N54" s="20" t="n">
        <v>1.09140759</v>
      </c>
      <c r="O54" s="18" t="n">
        <v>0</v>
      </c>
      <c r="P54" s="20" t="n">
        <v>0</v>
      </c>
      <c r="Q54" s="18" t="n">
        <v>7.34248227</v>
      </c>
      <c r="R54" s="20" t="n">
        <v>1.35970766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(2118.0/B56*100)</f>
        <v/>
      </c>
      <c r="D56" s="19" t="n">
        <v>566</v>
      </c>
      <c r="E56" s="18" t="n">
        <v>88.40307616</v>
      </c>
      <c r="F56" s="20" t="n">
        <v>1.42260944</v>
      </c>
      <c r="G56" s="18" t="n">
        <v>10.19325593</v>
      </c>
      <c r="H56" s="20" t="n">
        <v>1.18123523</v>
      </c>
      <c r="I56" s="18" t="s">
        <v>567</v>
      </c>
      <c r="J56" s="20" t="s">
        <v>567</v>
      </c>
      <c r="K56" s="18" t="n">
        <v>0.22669778</v>
      </c>
      <c r="L56" s="20" t="n">
        <v>0.24928497</v>
      </c>
      <c r="M56" s="18" t="n">
        <v>0.11862387</v>
      </c>
      <c r="N56" s="20" t="n">
        <v>0.11894229</v>
      </c>
      <c r="O56" s="18" t="n">
        <v>0</v>
      </c>
      <c r="P56" s="20" t="n">
        <v>0</v>
      </c>
      <c r="Q56" s="18" t="n">
        <v>1.05834626</v>
      </c>
      <c r="R56" s="20" t="n">
        <v>0.49305296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(2596.0/B61*100)</f>
        <v/>
      </c>
      <c r="D61" s="19" t="n">
        <v>728</v>
      </c>
      <c r="E61" s="18" t="n">
        <v>87.82552636</v>
      </c>
      <c r="F61" s="20" t="n">
        <v>1.17576842</v>
      </c>
      <c r="G61" s="18" t="n">
        <v>9.40472402</v>
      </c>
      <c r="H61" s="20" t="n">
        <v>0.9363426</v>
      </c>
      <c r="I61" s="18" t="s">
        <v>567</v>
      </c>
      <c r="J61" s="20" t="s">
        <v>567</v>
      </c>
      <c r="K61" s="18" t="n">
        <v>0.50824711</v>
      </c>
      <c r="L61" s="20" t="n">
        <v>0.29935995</v>
      </c>
      <c r="M61" s="18" t="n">
        <v>0.17202486</v>
      </c>
      <c r="N61" s="20" t="n">
        <v>0.13898089</v>
      </c>
      <c r="O61" s="18" t="n">
        <v>0</v>
      </c>
      <c r="P61" s="20" t="n">
        <v>0</v>
      </c>
      <c r="Q61" s="18" t="n">
        <v>2.08947766</v>
      </c>
      <c r="R61" s="20" t="n">
        <v>0.60690592</v>
      </c>
    </row>
    <row r="62" spans="1:18">
      <c r="A62" s="15" t="s">
        <v>622</v>
      </c>
      <c r="B62" s="17" t="n">
        <v>2246</v>
      </c>
      <c r="C62" s="18">
        <f>(1734.0/B62*100)</f>
        <v/>
      </c>
      <c r="D62" s="19" t="n">
        <v>512</v>
      </c>
      <c r="E62" s="18" t="n">
        <v>83.19525891000001</v>
      </c>
      <c r="F62" s="20" t="n">
        <v>1.82681405</v>
      </c>
      <c r="G62" s="18" t="n">
        <v>16.20138055</v>
      </c>
      <c r="H62" s="20" t="n">
        <v>1.79917573</v>
      </c>
      <c r="I62" s="18" t="s">
        <v>567</v>
      </c>
      <c r="J62" s="20" t="s">
        <v>567</v>
      </c>
      <c r="K62" s="18" t="n">
        <v>0.20060565</v>
      </c>
      <c r="L62" s="20" t="n">
        <v>0.20000185</v>
      </c>
      <c r="M62" s="18" t="n">
        <v>0</v>
      </c>
      <c r="N62" s="20" t="n">
        <v>0</v>
      </c>
      <c r="O62" s="18" t="n">
        <v>0</v>
      </c>
      <c r="P62" s="20" t="n">
        <v>0</v>
      </c>
      <c r="Q62" s="18" t="n">
        <v>0.4027549</v>
      </c>
      <c r="R62" s="20" t="n">
        <v>0.28532863</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(2265.0/B66*100)</f>
        <v/>
      </c>
      <c r="D66" s="19" t="n">
        <v>629</v>
      </c>
      <c r="E66" s="18" t="n">
        <v>84.59398754999999</v>
      </c>
      <c r="F66" s="20" t="n">
        <v>1.52696311</v>
      </c>
      <c r="G66" s="18" t="n">
        <v>3.1246065</v>
      </c>
      <c r="H66" s="20" t="n">
        <v>0.82461757</v>
      </c>
      <c r="I66" s="18" t="s">
        <v>567</v>
      </c>
      <c r="J66" s="20" t="s">
        <v>567</v>
      </c>
      <c r="K66" s="18" t="n">
        <v>1.6837583</v>
      </c>
      <c r="L66" s="20" t="n">
        <v>0.61309623</v>
      </c>
      <c r="M66" s="18" t="n">
        <v>0.3056785</v>
      </c>
      <c r="N66" s="20" t="n">
        <v>0.21870205</v>
      </c>
      <c r="O66" s="18" t="n">
        <v>0</v>
      </c>
      <c r="P66" s="20" t="n">
        <v>0</v>
      </c>
      <c r="Q66" s="18" t="n">
        <v>10.29196915</v>
      </c>
      <c r="R66" s="20" t="n">
        <v>1.18436842</v>
      </c>
    </row>
    <row r="67" spans="1:18">
      <c r="A67" s="15" t="s">
        <v>627</v>
      </c>
      <c r="B67" s="17" t="n">
        <v>3511</v>
      </c>
      <c r="C67" s="18">
        <f>(2828.0/B67*100)</f>
        <v/>
      </c>
      <c r="D67" s="19" t="n">
        <v>683</v>
      </c>
      <c r="E67" s="18" t="n">
        <v>94.20828265999999</v>
      </c>
      <c r="F67" s="20" t="n">
        <v>0.98284516</v>
      </c>
      <c r="G67" s="18" t="n">
        <v>0.13195315</v>
      </c>
      <c r="H67" s="20" t="n">
        <v>0.13160993</v>
      </c>
      <c r="I67" s="18" t="s">
        <v>567</v>
      </c>
      <c r="J67" s="20" t="s">
        <v>567</v>
      </c>
      <c r="K67" s="18" t="n">
        <v>0.61385746</v>
      </c>
      <c r="L67" s="20" t="n">
        <v>0.3155398</v>
      </c>
      <c r="M67" s="18" t="n">
        <v>0.16404379</v>
      </c>
      <c r="N67" s="20" t="n">
        <v>0.16438982</v>
      </c>
      <c r="O67" s="18" t="n">
        <v>0</v>
      </c>
      <c r="P67" s="20" t="n">
        <v>0</v>
      </c>
      <c r="Q67" s="18" t="n">
        <v>4.88186294</v>
      </c>
      <c r="R67" s="20" t="n">
        <v>0.85424737</v>
      </c>
    </row>
    <row r="68" spans="1:18">
      <c r="A68" s="15" t="s">
        <v>628</v>
      </c>
      <c r="B68" s="17" t="n">
        <v>6049</v>
      </c>
      <c r="C68" s="18">
        <f>(4698.0/B68*100)</f>
        <v/>
      </c>
      <c r="D68" s="19" t="n">
        <v>1351</v>
      </c>
      <c r="E68" s="18" t="n">
        <v>88.91572456</v>
      </c>
      <c r="F68" s="20" t="n">
        <v>0.88970938</v>
      </c>
      <c r="G68" s="18" t="n">
        <v>2.71389223</v>
      </c>
      <c r="H68" s="20" t="n">
        <v>0.38912192</v>
      </c>
      <c r="I68" s="18" t="s">
        <v>567</v>
      </c>
      <c r="J68" s="20" t="s">
        <v>567</v>
      </c>
      <c r="K68" s="18" t="n">
        <v>3.62102975</v>
      </c>
      <c r="L68" s="20" t="n">
        <v>0.5234334</v>
      </c>
      <c r="M68" s="18" t="n">
        <v>0</v>
      </c>
      <c r="N68" s="20" t="n">
        <v>0</v>
      </c>
      <c r="O68" s="18" t="n">
        <v>0</v>
      </c>
      <c r="P68" s="20" t="n">
        <v>0</v>
      </c>
      <c r="Q68" s="18" t="n">
        <v>4.74935346</v>
      </c>
      <c r="R68" s="20" t="n">
        <v>0.57646109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(2291.0/B70*100)</f>
        <v/>
      </c>
      <c r="D70" s="19" t="n">
        <v>638</v>
      </c>
      <c r="E70" s="18" t="n">
        <v>91.36967695</v>
      </c>
      <c r="F70" s="20" t="n">
        <v>1.32310033</v>
      </c>
      <c r="G70" s="18" t="n">
        <v>5.94459894</v>
      </c>
      <c r="H70" s="20" t="n">
        <v>1.05179584</v>
      </c>
      <c r="I70" s="18" t="s">
        <v>567</v>
      </c>
      <c r="J70" s="20" t="s">
        <v>567</v>
      </c>
      <c r="K70" s="18" t="n">
        <v>0.51706863</v>
      </c>
      <c r="L70" s="20" t="n">
        <v>0.28326557</v>
      </c>
      <c r="M70" s="18" t="n">
        <v>0.22149974</v>
      </c>
      <c r="N70" s="20" t="n">
        <v>0.15681799</v>
      </c>
      <c r="O70" s="18" t="n">
        <v>0</v>
      </c>
      <c r="P70" s="20" t="n">
        <v>0</v>
      </c>
      <c r="Q70" s="18" t="n">
        <v>1.94715575</v>
      </c>
      <c r="R70" s="20" t="n">
        <v>0.62975046</v>
      </c>
    </row>
    <row r="71" spans="1:18">
      <c r="A71" s="15" t="s">
        <v>631</v>
      </c>
      <c r="B71" s="17" t="n">
        <v>3142</v>
      </c>
      <c r="C71" s="18">
        <f>(2444.0/B71*100)</f>
        <v/>
      </c>
      <c r="D71" s="19" t="n">
        <v>698</v>
      </c>
      <c r="E71" s="18" t="n">
        <v>62.53368434</v>
      </c>
      <c r="F71" s="20" t="n">
        <v>2.16665552</v>
      </c>
      <c r="G71" s="18" t="n">
        <v>35.90600489</v>
      </c>
      <c r="H71" s="20" t="n">
        <v>2.09166879</v>
      </c>
      <c r="I71" s="18" t="s">
        <v>567</v>
      </c>
      <c r="J71" s="20" t="s">
        <v>567</v>
      </c>
      <c r="K71" s="18" t="n">
        <v>0.27460772</v>
      </c>
      <c r="L71" s="20" t="n">
        <v>0.19641714</v>
      </c>
      <c r="M71" s="18" t="n">
        <v>0</v>
      </c>
      <c r="N71" s="20" t="n">
        <v>0</v>
      </c>
      <c r="O71" s="18" t="n">
        <v>0</v>
      </c>
      <c r="P71" s="20" t="n">
        <v>0</v>
      </c>
      <c r="Q71" s="18" t="n">
        <v>1.28570305</v>
      </c>
      <c r="R71" s="20" t="n">
        <v>0.44383132</v>
      </c>
    </row>
    <row r="72" spans="1:18">
      <c r="A72" s="15" t="s">
        <v>632</v>
      </c>
      <c r="B72" s="17" t="n">
        <v>3889</v>
      </c>
      <c r="C72" s="18">
        <f>(3054.0/B72*100)</f>
        <v/>
      </c>
      <c r="D72" s="19" t="n">
        <v>835</v>
      </c>
      <c r="E72" s="18" t="n">
        <v>81.91987041</v>
      </c>
      <c r="F72" s="20" t="n">
        <v>1.54766556</v>
      </c>
      <c r="G72" s="18" t="n">
        <v>17.4757163</v>
      </c>
      <c r="H72" s="20" t="n">
        <v>1.53915113</v>
      </c>
      <c r="I72" s="18" t="s">
        <v>567</v>
      </c>
      <c r="J72" s="20" t="s">
        <v>567</v>
      </c>
      <c r="K72" s="18" t="n">
        <v>0.31805456</v>
      </c>
      <c r="L72" s="20" t="n">
        <v>0.17816427</v>
      </c>
      <c r="M72" s="18" t="n">
        <v>0.05964865</v>
      </c>
      <c r="N72" s="20" t="n">
        <v>0.05967694</v>
      </c>
      <c r="O72" s="18" t="n">
        <v>0</v>
      </c>
      <c r="P72" s="20" t="n">
        <v>0</v>
      </c>
      <c r="Q72" s="18" t="n">
        <v>0.22671008</v>
      </c>
      <c r="R72" s="20" t="n">
        <v>0.16248267</v>
      </c>
    </row>
    <row r="73" spans="1:18">
      <c r="A73" s="15" t="s">
        <v>633</v>
      </c>
      <c r="B73" s="17" t="n">
        <v>3597</v>
      </c>
      <c r="C73" s="18">
        <f>(2842.0/B73*100)</f>
        <v/>
      </c>
      <c r="D73" s="19" t="n">
        <v>755</v>
      </c>
      <c r="E73" s="18" t="n">
        <v>95.16295617999999</v>
      </c>
      <c r="F73" s="20" t="n">
        <v>0.83083641</v>
      </c>
      <c r="G73" s="18" t="n">
        <v>3.29822853</v>
      </c>
      <c r="H73" s="20" t="n">
        <v>0.6032435900000001</v>
      </c>
      <c r="I73" s="18" t="s">
        <v>567</v>
      </c>
      <c r="J73" s="20" t="s">
        <v>567</v>
      </c>
      <c r="K73" s="18" t="n">
        <v>0</v>
      </c>
      <c r="L73" s="20" t="n">
        <v>0</v>
      </c>
      <c r="M73" s="18" t="n">
        <v>0.12308535</v>
      </c>
      <c r="N73" s="20" t="n">
        <v>0.11666731</v>
      </c>
      <c r="O73" s="18" t="n">
        <v>0</v>
      </c>
      <c r="P73" s="20" t="n">
        <v>0</v>
      </c>
      <c r="Q73" s="18" t="n">
        <v>1.41572994</v>
      </c>
      <c r="R73" s="20" t="n">
        <v>0.63700013</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(1937.0/B75*100)</f>
        <v/>
      </c>
      <c r="D75" s="19" t="n">
        <v>469</v>
      </c>
      <c r="E75" s="18" t="n">
        <v>87.95064935000001</v>
      </c>
      <c r="F75" s="20" t="n">
        <v>1.58957277</v>
      </c>
      <c r="G75" s="18" t="n">
        <v>1.10952133</v>
      </c>
      <c r="H75" s="20" t="n">
        <v>0.50083757</v>
      </c>
      <c r="I75" s="18" t="s">
        <v>567</v>
      </c>
      <c r="J75" s="20" t="s">
        <v>567</v>
      </c>
      <c r="K75" s="18" t="n">
        <v>3.32625334</v>
      </c>
      <c r="L75" s="20" t="n">
        <v>0.8044356</v>
      </c>
      <c r="M75" s="18" t="n">
        <v>0.24778162</v>
      </c>
      <c r="N75" s="20" t="n">
        <v>0.25702346</v>
      </c>
      <c r="O75" s="18" t="n">
        <v>0</v>
      </c>
      <c r="P75" s="20" t="n">
        <v>0</v>
      </c>
      <c r="Q75" s="18" t="n">
        <v>7.36579437</v>
      </c>
      <c r="R75" s="20" t="n">
        <v>1.32016941</v>
      </c>
    </row>
    <row r="76" spans="1:18">
      <c r="A76" s="15" t="s">
        <v>636</v>
      </c>
      <c r="B76" s="17" t="n">
        <v>7052</v>
      </c>
      <c r="C76" s="18">
        <f>(5557.0/B76*100)</f>
        <v/>
      </c>
      <c r="D76" s="19" t="n">
        <v>1495</v>
      </c>
      <c r="E76" s="18" t="n">
        <v>87.74056027</v>
      </c>
      <c r="F76" s="20" t="n">
        <v>1.11089821</v>
      </c>
      <c r="G76" s="18" t="n">
        <v>8.26488243</v>
      </c>
      <c r="H76" s="20" t="n">
        <v>1.10936555</v>
      </c>
      <c r="I76" s="18" t="s">
        <v>567</v>
      </c>
      <c r="J76" s="20" t="s">
        <v>567</v>
      </c>
      <c r="K76" s="18" t="n">
        <v>0.98424506</v>
      </c>
      <c r="L76" s="20" t="n">
        <v>0.28296685</v>
      </c>
      <c r="M76" s="18" t="n">
        <v>0.12030956</v>
      </c>
      <c r="N76" s="20" t="n">
        <v>0.09775374000000001</v>
      </c>
      <c r="O76" s="18" t="n">
        <v>0</v>
      </c>
      <c r="P76" s="20" t="n">
        <v>0</v>
      </c>
      <c r="Q76" s="18" t="n">
        <v>2.89000268</v>
      </c>
      <c r="R76" s="20" t="n">
        <v>0.58279721</v>
      </c>
    </row>
    <row r="77" spans="1:18">
      <c r="A77" s="15" t="s">
        <v>637</v>
      </c>
      <c r="B77" s="17" t="n">
        <v>2908</v>
      </c>
      <c r="C77" s="18">
        <f>(2272.0/B77*100)</f>
        <v/>
      </c>
      <c r="D77" s="19" t="n">
        <v>636</v>
      </c>
      <c r="E77" s="18" t="n">
        <v>83.67231381000001</v>
      </c>
      <c r="F77" s="20" t="n">
        <v>1.52568456</v>
      </c>
      <c r="G77" s="18" t="n">
        <v>7.41000365</v>
      </c>
      <c r="H77" s="20" t="n">
        <v>0.99790264</v>
      </c>
      <c r="I77" s="18" t="s">
        <v>567</v>
      </c>
      <c r="J77" s="20" t="s">
        <v>567</v>
      </c>
      <c r="K77" s="18" t="n">
        <v>1.20870243</v>
      </c>
      <c r="L77" s="20" t="n">
        <v>0.49121849</v>
      </c>
      <c r="M77" s="18" t="n">
        <v>0.12797383</v>
      </c>
      <c r="N77" s="20" t="n">
        <v>0.12850168</v>
      </c>
      <c r="O77" s="18" t="n">
        <v>0</v>
      </c>
      <c r="P77" s="20" t="n">
        <v>0</v>
      </c>
      <c r="Q77" s="18" t="n">
        <v>7.58100629</v>
      </c>
      <c r="R77" s="20" t="n">
        <v>1.09369153</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(3242.0/B81*100)</f>
        <v/>
      </c>
      <c r="D81" s="19" t="n">
        <v>921</v>
      </c>
      <c r="E81" s="18" t="n">
        <v>94.9354379</v>
      </c>
      <c r="F81" s="20" t="n">
        <v>0.73892032</v>
      </c>
      <c r="G81" s="18" t="n">
        <v>3.16353971</v>
      </c>
      <c r="H81" s="20" t="n">
        <v>0.60757549</v>
      </c>
      <c r="I81" s="18" t="s">
        <v>567</v>
      </c>
      <c r="J81" s="20" t="s">
        <v>567</v>
      </c>
      <c r="K81" s="18" t="n">
        <v>0.36286299</v>
      </c>
      <c r="L81" s="20" t="n">
        <v>0.2893256</v>
      </c>
      <c r="M81" s="18" t="n">
        <v>0</v>
      </c>
      <c r="N81" s="20" t="n">
        <v>0</v>
      </c>
      <c r="O81" s="18" t="n">
        <v>0</v>
      </c>
      <c r="P81" s="20" t="n">
        <v>0</v>
      </c>
      <c r="Q81" s="18" t="n">
        <v>1.5381594</v>
      </c>
      <c r="R81" s="20" t="n">
        <v>0.36919319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(5840.0/B7*100)</f>
        <v/>
      </c>
      <c r="D7" s="19" t="n">
        <v>1527</v>
      </c>
      <c r="E7" s="18" t="n">
        <v>58.91150724</v>
      </c>
      <c r="F7" s="20" t="n">
        <v>1.53281725</v>
      </c>
      <c r="G7" s="18" t="n">
        <v>37.81128108</v>
      </c>
      <c r="H7" s="20" t="n">
        <v>1.58706358</v>
      </c>
      <c r="I7" s="18" t="s">
        <v>567</v>
      </c>
      <c r="J7" s="20" t="s">
        <v>567</v>
      </c>
      <c r="K7" s="18" t="n">
        <v>0.43374113</v>
      </c>
      <c r="L7" s="20" t="n">
        <v>0.18191072</v>
      </c>
      <c r="M7" s="18" t="n">
        <v>0</v>
      </c>
      <c r="N7" s="20" t="n">
        <v>0</v>
      </c>
      <c r="O7" s="18" t="n">
        <v>0</v>
      </c>
      <c r="P7" s="20" t="n">
        <v>0</v>
      </c>
      <c r="Q7" s="18" t="n">
        <v>2.84347055</v>
      </c>
      <c r="R7" s="20" t="n">
        <v>0.50651146</v>
      </c>
    </row>
    <row r="8" spans="1:18">
      <c r="A8" s="15" t="s">
        <v>568</v>
      </c>
      <c r="B8" s="17" t="n">
        <v>3564</v>
      </c>
      <c r="C8" s="18">
        <f>(2768.0/B8*100)</f>
        <v/>
      </c>
      <c r="D8" s="19" t="n">
        <v>796</v>
      </c>
      <c r="E8" s="18" t="n">
        <v>61.16375898</v>
      </c>
      <c r="F8" s="20" t="n">
        <v>1.93611804</v>
      </c>
      <c r="G8" s="18" t="n">
        <v>36.40140096</v>
      </c>
      <c r="H8" s="20" t="n">
        <v>1.94978109</v>
      </c>
      <c r="I8" s="18" t="s">
        <v>567</v>
      </c>
      <c r="J8" s="20" t="s">
        <v>567</v>
      </c>
      <c r="K8" s="18" t="n">
        <v>0.47432346</v>
      </c>
      <c r="L8" s="20" t="n">
        <v>0.24526657</v>
      </c>
      <c r="M8" s="18" t="n">
        <v>0</v>
      </c>
      <c r="N8" s="20" t="n">
        <v>0</v>
      </c>
      <c r="O8" s="18" t="n">
        <v>0</v>
      </c>
      <c r="P8" s="20" t="n">
        <v>0</v>
      </c>
      <c r="Q8" s="18" t="n">
        <v>1.9605166</v>
      </c>
      <c r="R8" s="20" t="n">
        <v>0.56026757</v>
      </c>
    </row>
    <row r="9" spans="1:18">
      <c r="A9" s="15" t="s">
        <v>569</v>
      </c>
      <c r="B9" s="17" t="n">
        <v>4899</v>
      </c>
      <c r="C9" s="18">
        <f>(3906.0/B9*100)</f>
        <v/>
      </c>
      <c r="D9" s="19" t="n">
        <v>993</v>
      </c>
      <c r="E9" s="18" t="n">
        <v>65.86458062</v>
      </c>
      <c r="F9" s="20" t="n">
        <v>1.50426794</v>
      </c>
      <c r="G9" s="18" t="n">
        <v>31.06784319</v>
      </c>
      <c r="H9" s="20" t="n">
        <v>1.48161944</v>
      </c>
      <c r="I9" s="18" t="s">
        <v>567</v>
      </c>
      <c r="J9" s="20" t="s">
        <v>567</v>
      </c>
      <c r="K9" s="18" t="n">
        <v>0.86239054</v>
      </c>
      <c r="L9" s="20" t="n">
        <v>0.3264971</v>
      </c>
      <c r="M9" s="18" t="n">
        <v>0</v>
      </c>
      <c r="N9" s="20" t="n">
        <v>0</v>
      </c>
      <c r="O9" s="18" t="n">
        <v>0</v>
      </c>
      <c r="P9" s="20" t="n">
        <v>0</v>
      </c>
      <c r="Q9" s="18" t="n">
        <v>2.20518564</v>
      </c>
      <c r="R9" s="20" t="n">
        <v>0.60029149</v>
      </c>
    </row>
    <row r="10" spans="1:18">
      <c r="A10" s="15" t="s">
        <v>570</v>
      </c>
      <c r="B10" s="17" t="n">
        <v>10036</v>
      </c>
      <c r="C10" s="18">
        <f>(7840.0/B10*100)</f>
        <v/>
      </c>
      <c r="D10" s="19" t="n">
        <v>2196</v>
      </c>
      <c r="E10" s="18" t="n">
        <v>61.09051586</v>
      </c>
      <c r="F10" s="20" t="n">
        <v>1.58886505</v>
      </c>
      <c r="G10" s="18" t="n">
        <v>36.61548472</v>
      </c>
      <c r="H10" s="20" t="n">
        <v>1.56112783</v>
      </c>
      <c r="I10" s="18" t="s">
        <v>567</v>
      </c>
      <c r="J10" s="20" t="s">
        <v>567</v>
      </c>
      <c r="K10" s="18" t="n">
        <v>0.8272149600000001</v>
      </c>
      <c r="L10" s="20" t="n">
        <v>0.28033022</v>
      </c>
      <c r="M10" s="18" t="n">
        <v>0</v>
      </c>
      <c r="N10" s="20" t="n">
        <v>0</v>
      </c>
      <c r="O10" s="18" t="n">
        <v>0</v>
      </c>
      <c r="P10" s="20" t="n">
        <v>0</v>
      </c>
      <c r="Q10" s="18" t="n">
        <v>1.46678446</v>
      </c>
      <c r="R10" s="20" t="n">
        <v>0.36236089</v>
      </c>
    </row>
    <row r="11" spans="1:18">
      <c r="A11" s="15" t="s">
        <v>571</v>
      </c>
      <c r="B11" s="17" t="n">
        <v>3553</v>
      </c>
      <c r="C11" s="18">
        <f>(2788.0/B11*100)</f>
        <v/>
      </c>
      <c r="D11" s="19" t="n">
        <v>765</v>
      </c>
      <c r="E11" s="18" t="n">
        <v>72.52085449</v>
      </c>
      <c r="F11" s="20" t="n">
        <v>2.25436105</v>
      </c>
      <c r="G11" s="18" t="n">
        <v>20.15436212</v>
      </c>
      <c r="H11" s="20" t="n">
        <v>2.09252208</v>
      </c>
      <c r="I11" s="18" t="s">
        <v>567</v>
      </c>
      <c r="J11" s="20" t="s">
        <v>567</v>
      </c>
      <c r="K11" s="18" t="n">
        <v>1.84627464</v>
      </c>
      <c r="L11" s="20" t="n">
        <v>0.56448982</v>
      </c>
      <c r="M11" s="18" t="n">
        <v>0</v>
      </c>
      <c r="N11" s="20" t="n">
        <v>0</v>
      </c>
      <c r="O11" s="18" t="n">
        <v>0</v>
      </c>
      <c r="P11" s="20" t="n">
        <v>0</v>
      </c>
      <c r="Q11" s="18" t="n">
        <v>5.47850875</v>
      </c>
      <c r="R11" s="20" t="n">
        <v>0.96547027</v>
      </c>
    </row>
    <row r="12" spans="1:18">
      <c r="A12" s="15" t="s">
        <v>572</v>
      </c>
      <c r="B12" s="17" t="n">
        <v>3472</v>
      </c>
      <c r="C12" s="18">
        <f>(2723.0/B12*100)</f>
        <v/>
      </c>
      <c r="D12" s="19" t="n">
        <v>749</v>
      </c>
      <c r="E12" s="18" t="n">
        <v>59.23190669</v>
      </c>
      <c r="F12" s="20" t="n">
        <v>1.90103851</v>
      </c>
      <c r="G12" s="18" t="n">
        <v>39.18892413</v>
      </c>
      <c r="H12" s="20" t="n">
        <v>1.79845048</v>
      </c>
      <c r="I12" s="18" t="s">
        <v>567</v>
      </c>
      <c r="J12" s="20" t="s">
        <v>567</v>
      </c>
      <c r="K12" s="18" t="n">
        <v>0.12437407</v>
      </c>
      <c r="L12" s="20" t="n">
        <v>0.12651733</v>
      </c>
      <c r="M12" s="18" t="n">
        <v>0</v>
      </c>
      <c r="N12" s="20" t="n">
        <v>0</v>
      </c>
      <c r="O12" s="18" t="n">
        <v>0</v>
      </c>
      <c r="P12" s="20" t="n">
        <v>0</v>
      </c>
      <c r="Q12" s="18" t="n">
        <v>1.45479511</v>
      </c>
      <c r="R12" s="20" t="n">
        <v>0.44318929</v>
      </c>
    </row>
    <row r="13" spans="1:18">
      <c r="A13" s="15" t="s">
        <v>573</v>
      </c>
      <c r="B13" s="17" t="n">
        <v>3559</v>
      </c>
      <c r="C13" s="18">
        <f>(2844.0/B13*100)</f>
        <v/>
      </c>
      <c r="D13" s="19" t="n">
        <v>715</v>
      </c>
      <c r="E13" s="18" t="n">
        <v>62.83860292</v>
      </c>
      <c r="F13" s="20" t="n">
        <v>2.18758211</v>
      </c>
      <c r="G13" s="18" t="n">
        <v>35.55449853</v>
      </c>
      <c r="H13" s="20" t="n">
        <v>2.16517529</v>
      </c>
      <c r="I13" s="18" t="s">
        <v>567</v>
      </c>
      <c r="J13" s="20" t="s">
        <v>567</v>
      </c>
      <c r="K13" s="18" t="n">
        <v>0.4840108</v>
      </c>
      <c r="L13" s="20" t="n">
        <v>0.35001676</v>
      </c>
      <c r="M13" s="18" t="n">
        <v>0</v>
      </c>
      <c r="N13" s="20" t="n">
        <v>0</v>
      </c>
      <c r="O13" s="18" t="n">
        <v>0</v>
      </c>
      <c r="P13" s="20" t="n">
        <v>0</v>
      </c>
      <c r="Q13" s="18" t="n">
        <v>1.12288775</v>
      </c>
      <c r="R13" s="20" t="n">
        <v>0.38820235</v>
      </c>
    </row>
    <row r="14" spans="1:18">
      <c r="A14" s="15" t="s">
        <v>574</v>
      </c>
      <c r="B14" s="17" t="n">
        <v>2799</v>
      </c>
      <c r="C14" s="18">
        <f>(2155.0/B14*100)</f>
        <v/>
      </c>
      <c r="D14" s="19" t="n">
        <v>644</v>
      </c>
      <c r="E14" s="18" t="n">
        <v>52.74425591</v>
      </c>
      <c r="F14" s="20" t="n">
        <v>2.5093635</v>
      </c>
      <c r="G14" s="18" t="n">
        <v>44.39080296</v>
      </c>
      <c r="H14" s="20" t="n">
        <v>2.4583115</v>
      </c>
      <c r="I14" s="18" t="s">
        <v>567</v>
      </c>
      <c r="J14" s="20" t="s">
        <v>567</v>
      </c>
      <c r="K14" s="18" t="n">
        <v>0.98192758</v>
      </c>
      <c r="L14" s="20" t="n">
        <v>0.46535043</v>
      </c>
      <c r="M14" s="18" t="n">
        <v>0</v>
      </c>
      <c r="N14" s="20" t="n">
        <v>0</v>
      </c>
      <c r="O14" s="18" t="n">
        <v>0</v>
      </c>
      <c r="P14" s="20" t="n">
        <v>0</v>
      </c>
      <c r="Q14" s="18" t="n">
        <v>1.88301356</v>
      </c>
      <c r="R14" s="20" t="n">
        <v>0.61543411</v>
      </c>
    </row>
    <row r="15" spans="1:18">
      <c r="A15" s="15" t="s">
        <v>575</v>
      </c>
      <c r="B15" s="17" t="n">
        <v>3019</v>
      </c>
      <c r="C15" s="18">
        <f>(2324.0/B15*100)</f>
        <v/>
      </c>
      <c r="D15" s="19" t="n">
        <v>695</v>
      </c>
      <c r="E15" s="18" t="n">
        <v>61.64142858</v>
      </c>
      <c r="F15" s="20" t="n">
        <v>1.96807896</v>
      </c>
      <c r="G15" s="18" t="n">
        <v>36.28336937</v>
      </c>
      <c r="H15" s="20" t="n">
        <v>1.91083771</v>
      </c>
      <c r="I15" s="18" t="s">
        <v>567</v>
      </c>
      <c r="J15" s="20" t="s">
        <v>567</v>
      </c>
      <c r="K15" s="18" t="n">
        <v>0.27668483</v>
      </c>
      <c r="L15" s="20" t="n">
        <v>0.19516527</v>
      </c>
      <c r="M15" s="18" t="n">
        <v>0</v>
      </c>
      <c r="N15" s="20" t="n">
        <v>0</v>
      </c>
      <c r="O15" s="18" t="n">
        <v>0</v>
      </c>
      <c r="P15" s="20" t="n">
        <v>0</v>
      </c>
      <c r="Q15" s="18" t="n">
        <v>1.79851721</v>
      </c>
      <c r="R15" s="20" t="n">
        <v>0.53990849</v>
      </c>
    </row>
    <row r="16" spans="1:18">
      <c r="A16" s="15" t="s">
        <v>576</v>
      </c>
      <c r="B16" s="17" t="n">
        <v>2997</v>
      </c>
      <c r="C16" s="18">
        <f>(2377.0/B16*100)</f>
        <v/>
      </c>
      <c r="D16" s="19" t="n">
        <v>620</v>
      </c>
      <c r="E16" s="18" t="n">
        <v>65.19399857000001</v>
      </c>
      <c r="F16" s="20" t="n">
        <v>1.81798823</v>
      </c>
      <c r="G16" s="18" t="n">
        <v>30.37137932</v>
      </c>
      <c r="H16" s="20" t="n">
        <v>1.70239608</v>
      </c>
      <c r="I16" s="18" t="s">
        <v>567</v>
      </c>
      <c r="J16" s="20" t="s">
        <v>567</v>
      </c>
      <c r="K16" s="18" t="n">
        <v>1.42786731</v>
      </c>
      <c r="L16" s="20" t="n">
        <v>0.49918757</v>
      </c>
      <c r="M16" s="18" t="n">
        <v>0</v>
      </c>
      <c r="N16" s="20" t="n">
        <v>0</v>
      </c>
      <c r="O16" s="18" t="n">
        <v>0</v>
      </c>
      <c r="P16" s="20" t="n">
        <v>0</v>
      </c>
      <c r="Q16" s="18" t="n">
        <v>3.0067548</v>
      </c>
      <c r="R16" s="20" t="n">
        <v>0.7671261</v>
      </c>
    </row>
    <row r="17" spans="1:18">
      <c r="A17" s="15" t="s">
        <v>577</v>
      </c>
      <c r="B17" s="17" t="n">
        <v>3307</v>
      </c>
      <c r="C17" s="18">
        <f>(2605.0/B17*100)</f>
        <v/>
      </c>
      <c r="D17" s="19" t="n">
        <v>702</v>
      </c>
      <c r="E17" s="18" t="n">
        <v>58.7971463</v>
      </c>
      <c r="F17" s="20" t="n">
        <v>2.06926383</v>
      </c>
      <c r="G17" s="18" t="n">
        <v>39.23986474</v>
      </c>
      <c r="H17" s="20" t="n">
        <v>2.08100841</v>
      </c>
      <c r="I17" s="18" t="s">
        <v>567</v>
      </c>
      <c r="J17" s="20" t="s">
        <v>567</v>
      </c>
      <c r="K17" s="18" t="n">
        <v>0.35503745</v>
      </c>
      <c r="L17" s="20" t="n">
        <v>0.22525516</v>
      </c>
      <c r="M17" s="18" t="n">
        <v>0</v>
      </c>
      <c r="N17" s="20" t="n">
        <v>0</v>
      </c>
      <c r="O17" s="18" t="n">
        <v>0</v>
      </c>
      <c r="P17" s="20" t="n">
        <v>0</v>
      </c>
      <c r="Q17" s="18" t="n">
        <v>1.60795151</v>
      </c>
      <c r="R17" s="20" t="n">
        <v>0.4911481</v>
      </c>
    </row>
    <row r="18" spans="1:18">
      <c r="A18" s="15" t="s">
        <v>578</v>
      </c>
      <c r="B18" s="17" t="n">
        <v>2826</v>
      </c>
      <c r="C18" s="18">
        <f>(2219.0/B18*100)</f>
        <v/>
      </c>
      <c r="D18" s="19" t="n">
        <v>607</v>
      </c>
      <c r="E18" s="18" t="n">
        <v>59.91443205</v>
      </c>
      <c r="F18" s="20" t="n">
        <v>2.03347002</v>
      </c>
      <c r="G18" s="18" t="n">
        <v>36.0973274</v>
      </c>
      <c r="H18" s="20" t="n">
        <v>1.94286583</v>
      </c>
      <c r="I18" s="18" t="s">
        <v>567</v>
      </c>
      <c r="J18" s="20" t="s">
        <v>567</v>
      </c>
      <c r="K18" s="18" t="n">
        <v>0.59835219</v>
      </c>
      <c r="L18" s="20" t="n">
        <v>0.3014346</v>
      </c>
      <c r="M18" s="18" t="n">
        <v>0</v>
      </c>
      <c r="N18" s="20" t="n">
        <v>0</v>
      </c>
      <c r="O18" s="18" t="n">
        <v>0</v>
      </c>
      <c r="P18" s="20" t="n">
        <v>0</v>
      </c>
      <c r="Q18" s="18" t="n">
        <v>3.38988837</v>
      </c>
      <c r="R18" s="20" t="n">
        <v>0.90752345</v>
      </c>
    </row>
    <row r="19" spans="1:18">
      <c r="A19" s="15" t="s">
        <v>579</v>
      </c>
      <c r="B19" s="17" t="n">
        <v>2808</v>
      </c>
      <c r="C19" s="18">
        <f>(2190.0/B19*100)</f>
        <v/>
      </c>
      <c r="D19" s="19" t="n">
        <v>618</v>
      </c>
      <c r="E19" s="18" t="n">
        <v>56.80079427</v>
      </c>
      <c r="F19" s="20" t="n">
        <v>2.13683471</v>
      </c>
      <c r="G19" s="18" t="n">
        <v>39.70829318</v>
      </c>
      <c r="H19" s="20" t="n">
        <v>2.2763438</v>
      </c>
      <c r="I19" s="18" t="s">
        <v>567</v>
      </c>
      <c r="J19" s="20" t="s">
        <v>567</v>
      </c>
      <c r="K19" s="18" t="n">
        <v>0.36913457</v>
      </c>
      <c r="L19" s="20" t="n">
        <v>0.34966579</v>
      </c>
      <c r="M19" s="18" t="n">
        <v>0</v>
      </c>
      <c r="N19" s="20" t="n">
        <v>0</v>
      </c>
      <c r="O19" s="18" t="n">
        <v>0</v>
      </c>
      <c r="P19" s="20" t="n">
        <v>0</v>
      </c>
      <c r="Q19" s="18" t="n">
        <v>3.12177798</v>
      </c>
      <c r="R19" s="20" t="n">
        <v>0.7339897</v>
      </c>
    </row>
    <row r="20" spans="1:18">
      <c r="A20" s="15" t="s">
        <v>580</v>
      </c>
      <c r="B20" s="17" t="n">
        <v>1630</v>
      </c>
      <c r="C20" s="18">
        <f>(1289.0/B20*100)</f>
        <v/>
      </c>
      <c r="D20" s="19" t="n">
        <v>341</v>
      </c>
      <c r="E20" s="18" t="n">
        <v>63.07031157</v>
      </c>
      <c r="F20" s="20" t="n">
        <v>2.67631851</v>
      </c>
      <c r="G20" s="18" t="n">
        <v>30.38528267</v>
      </c>
      <c r="H20" s="20" t="n">
        <v>2.31192683</v>
      </c>
      <c r="I20" s="18" t="s">
        <v>567</v>
      </c>
      <c r="J20" s="20" t="s">
        <v>567</v>
      </c>
      <c r="K20" s="18" t="n">
        <v>2.22307687</v>
      </c>
      <c r="L20" s="20" t="n">
        <v>0.95354819</v>
      </c>
      <c r="M20" s="18" t="n">
        <v>0</v>
      </c>
      <c r="N20" s="20" t="n">
        <v>0</v>
      </c>
      <c r="O20" s="18" t="n">
        <v>0</v>
      </c>
      <c r="P20" s="20" t="n">
        <v>0</v>
      </c>
      <c r="Q20" s="18" t="n">
        <v>4.32132889</v>
      </c>
      <c r="R20" s="20" t="n">
        <v>1.07845406</v>
      </c>
    </row>
    <row r="21" spans="1:18">
      <c r="A21" s="15" t="s">
        <v>581</v>
      </c>
      <c r="B21" s="17" t="n">
        <v>2908</v>
      </c>
      <c r="C21" s="18">
        <f>(2246.0/B21*100)</f>
        <v/>
      </c>
      <c r="D21" s="19" t="n">
        <v>662</v>
      </c>
      <c r="E21" s="18" t="n">
        <v>59.4771996</v>
      </c>
      <c r="F21" s="20" t="n">
        <v>1.93753084</v>
      </c>
      <c r="G21" s="18" t="n">
        <v>38.75945758</v>
      </c>
      <c r="H21" s="20" t="n">
        <v>1.93571183</v>
      </c>
      <c r="I21" s="18" t="s">
        <v>567</v>
      </c>
      <c r="J21" s="20" t="s">
        <v>567</v>
      </c>
      <c r="K21" s="18" t="n">
        <v>0.56467373</v>
      </c>
      <c r="L21" s="20" t="n">
        <v>0.30500553</v>
      </c>
      <c r="M21" s="18" t="n">
        <v>0</v>
      </c>
      <c r="N21" s="20" t="n">
        <v>0</v>
      </c>
      <c r="O21" s="18" t="n">
        <v>0</v>
      </c>
      <c r="P21" s="20" t="n">
        <v>0</v>
      </c>
      <c r="Q21" s="18" t="n">
        <v>1.1986691</v>
      </c>
      <c r="R21" s="20" t="n">
        <v>0.4338078</v>
      </c>
    </row>
    <row r="22" spans="1:18">
      <c r="A22" s="15" t="s">
        <v>582</v>
      </c>
      <c r="B22" s="17" t="n">
        <v>2931</v>
      </c>
      <c r="C22" s="18">
        <f>(2297.0/B22*100)</f>
        <v/>
      </c>
      <c r="D22" s="19" t="n">
        <v>634</v>
      </c>
      <c r="E22" s="18" t="n">
        <v>58.04888319</v>
      </c>
      <c r="F22" s="20" t="n">
        <v>1.84529535</v>
      </c>
      <c r="G22" s="18" t="n">
        <v>35.22103244</v>
      </c>
      <c r="H22" s="20" t="n">
        <v>2.17847833</v>
      </c>
      <c r="I22" s="18" t="s">
        <v>567</v>
      </c>
      <c r="J22" s="20" t="s">
        <v>567</v>
      </c>
      <c r="K22" s="18" t="n">
        <v>1.84917454</v>
      </c>
      <c r="L22" s="20" t="n">
        <v>0.61700056</v>
      </c>
      <c r="M22" s="18" t="n">
        <v>0</v>
      </c>
      <c r="N22" s="20" t="n">
        <v>0</v>
      </c>
      <c r="O22" s="18" t="n">
        <v>0</v>
      </c>
      <c r="P22" s="20" t="n">
        <v>0</v>
      </c>
      <c r="Q22" s="18" t="n">
        <v>4.88090983</v>
      </c>
      <c r="R22" s="20" t="n">
        <v>0.92917322</v>
      </c>
    </row>
    <row r="23" spans="1:18">
      <c r="A23" s="15" t="s">
        <v>583</v>
      </c>
      <c r="B23" s="17" t="n">
        <v>5791</v>
      </c>
      <c r="C23" s="18">
        <f>(4541.0/B23*100)</f>
        <v/>
      </c>
      <c r="D23" s="19" t="n">
        <v>1250</v>
      </c>
      <c r="E23" s="18" t="n">
        <v>57.22847953</v>
      </c>
      <c r="F23" s="20" t="n">
        <v>2.00929978</v>
      </c>
      <c r="G23" s="18" t="n">
        <v>38.73985211</v>
      </c>
      <c r="H23" s="20" t="n">
        <v>1.84265058</v>
      </c>
      <c r="I23" s="18" t="s">
        <v>567</v>
      </c>
      <c r="J23" s="20" t="s">
        <v>567</v>
      </c>
      <c r="K23" s="18" t="n">
        <v>1.25492715</v>
      </c>
      <c r="L23" s="20" t="n">
        <v>0.45652744</v>
      </c>
      <c r="M23" s="18" t="n">
        <v>0</v>
      </c>
      <c r="N23" s="20" t="n">
        <v>0</v>
      </c>
      <c r="O23" s="18" t="n">
        <v>0</v>
      </c>
      <c r="P23" s="20" t="n">
        <v>0</v>
      </c>
      <c r="Q23" s="18" t="n">
        <v>2.77674121</v>
      </c>
      <c r="R23" s="20" t="n">
        <v>0.64499034</v>
      </c>
    </row>
    <row r="24" spans="1:18">
      <c r="A24" s="15" t="s">
        <v>584</v>
      </c>
      <c r="B24" s="17" t="n">
        <v>3338</v>
      </c>
      <c r="C24" s="18">
        <f>(2601.0/B24*100)</f>
        <v/>
      </c>
      <c r="D24" s="19" t="n">
        <v>737</v>
      </c>
      <c r="E24" s="18" t="n">
        <v>37.43157209</v>
      </c>
      <c r="F24" s="20" t="n">
        <v>2.01666432</v>
      </c>
      <c r="G24" s="18" t="n">
        <v>60.32470609</v>
      </c>
      <c r="H24" s="20" t="n">
        <v>2.03072506</v>
      </c>
      <c r="I24" s="18" t="s">
        <v>567</v>
      </c>
      <c r="J24" s="20" t="s">
        <v>567</v>
      </c>
      <c r="K24" s="18" t="n">
        <v>0.51688503</v>
      </c>
      <c r="L24" s="20" t="n">
        <v>0.26032264</v>
      </c>
      <c r="M24" s="18" t="n">
        <v>0</v>
      </c>
      <c r="N24" s="20" t="n">
        <v>0</v>
      </c>
      <c r="O24" s="18" t="n">
        <v>0</v>
      </c>
      <c r="P24" s="20" t="n">
        <v>0</v>
      </c>
      <c r="Q24" s="18" t="n">
        <v>1.72683679</v>
      </c>
      <c r="R24" s="20" t="n">
        <v>0.42085131</v>
      </c>
    </row>
    <row r="25" spans="1:18">
      <c r="A25" s="15" t="s">
        <v>585</v>
      </c>
      <c r="B25" s="17" t="n">
        <v>2912</v>
      </c>
      <c r="C25" s="18">
        <f>(2270.0/B25*100)</f>
        <v/>
      </c>
      <c r="D25" s="19" t="n">
        <v>642</v>
      </c>
      <c r="E25" s="18" t="n">
        <v>43.05870738</v>
      </c>
      <c r="F25" s="20" t="n">
        <v>1.99522193</v>
      </c>
      <c r="G25" s="18" t="n">
        <v>55.28314287</v>
      </c>
      <c r="H25" s="20" t="n">
        <v>2.02696713</v>
      </c>
      <c r="I25" s="18" t="s">
        <v>567</v>
      </c>
      <c r="J25" s="20" t="s">
        <v>567</v>
      </c>
      <c r="K25" s="18" t="n">
        <v>0.13233671</v>
      </c>
      <c r="L25" s="20" t="n">
        <v>0.13186866</v>
      </c>
      <c r="M25" s="18" t="n">
        <v>0</v>
      </c>
      <c r="N25" s="20" t="n">
        <v>0</v>
      </c>
      <c r="O25" s="18" t="n">
        <v>0</v>
      </c>
      <c r="P25" s="20" t="n">
        <v>0</v>
      </c>
      <c r="Q25" s="18" t="n">
        <v>1.52581304</v>
      </c>
      <c r="R25" s="20" t="n">
        <v>0.42672325</v>
      </c>
    </row>
    <row r="26" spans="1:18">
      <c r="A26" s="15" t="s">
        <v>586</v>
      </c>
      <c r="B26" s="17" t="n">
        <v>2450</v>
      </c>
      <c r="C26" s="18">
        <f>(1897.0/B26*100)</f>
        <v/>
      </c>
      <c r="D26" s="19" t="n">
        <v>553</v>
      </c>
      <c r="E26" s="18" t="n">
        <v>68.37490776999999</v>
      </c>
      <c r="F26" s="20" t="n">
        <v>2.09615366</v>
      </c>
      <c r="G26" s="18" t="n">
        <v>30.10726481</v>
      </c>
      <c r="H26" s="20" t="n">
        <v>2.02350226</v>
      </c>
      <c r="I26" s="18" t="s">
        <v>567</v>
      </c>
      <c r="J26" s="20" t="s">
        <v>567</v>
      </c>
      <c r="K26" s="18" t="n">
        <v>0</v>
      </c>
      <c r="L26" s="20" t="n">
        <v>0</v>
      </c>
      <c r="M26" s="18" t="n">
        <v>0</v>
      </c>
      <c r="N26" s="20" t="n">
        <v>0</v>
      </c>
      <c r="O26" s="18" t="n">
        <v>0</v>
      </c>
      <c r="P26" s="20" t="n">
        <v>0</v>
      </c>
      <c r="Q26" s="18" t="n">
        <v>1.51782742</v>
      </c>
      <c r="R26" s="20" t="n">
        <v>0.65438342</v>
      </c>
    </row>
    <row r="27" spans="1:18">
      <c r="A27" s="15" t="s">
        <v>587</v>
      </c>
      <c r="B27" s="17" t="n">
        <v>2616</v>
      </c>
      <c r="C27" s="18">
        <f>(2066.0/B27*100)</f>
        <v/>
      </c>
      <c r="D27" s="19" t="n">
        <v>550</v>
      </c>
      <c r="E27" s="18" t="n">
        <v>64.12681229</v>
      </c>
      <c r="F27" s="20" t="n">
        <v>2.13683034</v>
      </c>
      <c r="G27" s="18" t="n">
        <v>34.04168343</v>
      </c>
      <c r="H27" s="20" t="n">
        <v>2.14860569</v>
      </c>
      <c r="I27" s="18" t="s">
        <v>567</v>
      </c>
      <c r="J27" s="20" t="s">
        <v>567</v>
      </c>
      <c r="K27" s="18" t="n">
        <v>0.37386709</v>
      </c>
      <c r="L27" s="20" t="n">
        <v>0.26426725</v>
      </c>
      <c r="M27" s="18" t="n">
        <v>0</v>
      </c>
      <c r="N27" s="20" t="n">
        <v>0</v>
      </c>
      <c r="O27" s="18" t="n">
        <v>0</v>
      </c>
      <c r="P27" s="20" t="n">
        <v>0</v>
      </c>
      <c r="Q27" s="18" t="n">
        <v>1.45763719</v>
      </c>
      <c r="R27" s="20" t="n">
        <v>0.44400961</v>
      </c>
    </row>
    <row r="28" spans="1:18">
      <c r="A28" s="15" t="s">
        <v>588</v>
      </c>
      <c r="B28" s="17" t="n">
        <v>3765</v>
      </c>
      <c r="C28" s="18">
        <f>(2953.0/B28*100)</f>
        <v/>
      </c>
      <c r="D28" s="19" t="n">
        <v>812</v>
      </c>
      <c r="E28" s="18" t="n">
        <v>70.57634501</v>
      </c>
      <c r="F28" s="20" t="n">
        <v>2.23534159</v>
      </c>
      <c r="G28" s="18" t="n">
        <v>22.89327283</v>
      </c>
      <c r="H28" s="20" t="n">
        <v>1.89726288</v>
      </c>
      <c r="I28" s="18" t="s">
        <v>567</v>
      </c>
      <c r="J28" s="20" t="s">
        <v>567</v>
      </c>
      <c r="K28" s="18" t="n">
        <v>0.70525022</v>
      </c>
      <c r="L28" s="20" t="n">
        <v>0.34195577</v>
      </c>
      <c r="M28" s="18" t="n">
        <v>0</v>
      </c>
      <c r="N28" s="20" t="n">
        <v>0</v>
      </c>
      <c r="O28" s="18" t="n">
        <v>0</v>
      </c>
      <c r="P28" s="20" t="n">
        <v>0</v>
      </c>
      <c r="Q28" s="18" t="n">
        <v>5.82513194</v>
      </c>
      <c r="R28" s="20" t="n">
        <v>1.13873353</v>
      </c>
    </row>
    <row r="29" spans="1:18">
      <c r="A29" s="15" t="s">
        <v>589</v>
      </c>
      <c r="B29" s="17" t="n">
        <v>2685</v>
      </c>
      <c r="C29" s="18">
        <f>(2100.0/B29*100)</f>
        <v/>
      </c>
      <c r="D29" s="19" t="n">
        <v>585</v>
      </c>
      <c r="E29" s="18" t="n">
        <v>53.96509761</v>
      </c>
      <c r="F29" s="20" t="n">
        <v>2.33959228</v>
      </c>
      <c r="G29" s="18" t="n">
        <v>44.9766097</v>
      </c>
      <c r="H29" s="20" t="n">
        <v>2.4071789</v>
      </c>
      <c r="I29" s="18" t="s">
        <v>567</v>
      </c>
      <c r="J29" s="20" t="s">
        <v>567</v>
      </c>
      <c r="K29" s="18" t="n">
        <v>0.17633862</v>
      </c>
      <c r="L29" s="20" t="n">
        <v>0.17606746</v>
      </c>
      <c r="M29" s="18" t="n">
        <v>0</v>
      </c>
      <c r="N29" s="20" t="n">
        <v>0</v>
      </c>
      <c r="O29" s="18" t="n">
        <v>0</v>
      </c>
      <c r="P29" s="20" t="n">
        <v>0</v>
      </c>
      <c r="Q29" s="18" t="n">
        <v>0.88195407</v>
      </c>
      <c r="R29" s="20" t="n">
        <v>0.43284226</v>
      </c>
    </row>
    <row r="30" spans="1:18">
      <c r="A30" s="15" t="s">
        <v>590</v>
      </c>
      <c r="B30" s="17" t="n">
        <v>2263</v>
      </c>
      <c r="C30" s="18">
        <f>(1771.0/B30*100)</f>
        <v/>
      </c>
      <c r="D30" s="19" t="n">
        <v>492</v>
      </c>
      <c r="E30" s="18" t="n">
        <v>56.21898001</v>
      </c>
      <c r="F30" s="20" t="n">
        <v>2.47179145</v>
      </c>
      <c r="G30" s="18" t="n">
        <v>39.59136614</v>
      </c>
      <c r="H30" s="20" t="n">
        <v>2.4204976</v>
      </c>
      <c r="I30" s="18" t="s">
        <v>567</v>
      </c>
      <c r="J30" s="20" t="s">
        <v>567</v>
      </c>
      <c r="K30" s="18" t="n">
        <v>0.43301682</v>
      </c>
      <c r="L30" s="20" t="n">
        <v>0.2904226</v>
      </c>
      <c r="M30" s="18" t="n">
        <v>0</v>
      </c>
      <c r="N30" s="20" t="n">
        <v>0</v>
      </c>
      <c r="O30" s="18" t="n">
        <v>0</v>
      </c>
      <c r="P30" s="20" t="n">
        <v>0</v>
      </c>
      <c r="Q30" s="18" t="n">
        <v>3.75663704</v>
      </c>
      <c r="R30" s="20" t="n">
        <v>0.85640328</v>
      </c>
    </row>
    <row r="31" spans="1:18">
      <c r="A31" s="15" t="s">
        <v>591</v>
      </c>
      <c r="B31" s="17" t="n">
        <v>2750</v>
      </c>
      <c r="C31" s="18">
        <f>(2157.0/B31*100)</f>
        <v/>
      </c>
      <c r="D31" s="19" t="n">
        <v>593</v>
      </c>
      <c r="E31" s="18" t="n">
        <v>58.37037276</v>
      </c>
      <c r="F31" s="20" t="n">
        <v>2.13982736</v>
      </c>
      <c r="G31" s="18" t="n">
        <v>37.61494763</v>
      </c>
      <c r="H31" s="20" t="n">
        <v>2.07176047</v>
      </c>
      <c r="I31" s="18" t="s">
        <v>567</v>
      </c>
      <c r="J31" s="20" t="s">
        <v>567</v>
      </c>
      <c r="K31" s="18" t="n">
        <v>1.51875739</v>
      </c>
      <c r="L31" s="20" t="n">
        <v>0.59960999</v>
      </c>
      <c r="M31" s="18" t="n">
        <v>0</v>
      </c>
      <c r="N31" s="20" t="n">
        <v>0</v>
      </c>
      <c r="O31" s="18" t="n">
        <v>0</v>
      </c>
      <c r="P31" s="20" t="n">
        <v>0</v>
      </c>
      <c r="Q31" s="18" t="n">
        <v>2.49592222</v>
      </c>
      <c r="R31" s="20" t="n">
        <v>0.64702917</v>
      </c>
    </row>
    <row r="32" spans="1:18">
      <c r="A32" s="15" t="s">
        <v>592</v>
      </c>
      <c r="B32" s="17" t="n">
        <v>2269</v>
      </c>
      <c r="C32" s="18">
        <f>(1766.0/B32*100)</f>
        <v/>
      </c>
      <c r="D32" s="19" t="n">
        <v>503</v>
      </c>
      <c r="E32" s="18" t="n">
        <v>49.46016556</v>
      </c>
      <c r="F32" s="20" t="n">
        <v>2.28568307</v>
      </c>
      <c r="G32" s="18" t="n">
        <v>49.75703498</v>
      </c>
      <c r="H32" s="20" t="n">
        <v>2.36862472</v>
      </c>
      <c r="I32" s="18" t="s">
        <v>567</v>
      </c>
      <c r="J32" s="20" t="s">
        <v>567</v>
      </c>
      <c r="K32" s="18" t="n">
        <v>0.23897637</v>
      </c>
      <c r="L32" s="20" t="n">
        <v>0.23489597</v>
      </c>
      <c r="M32" s="18" t="n">
        <v>0</v>
      </c>
      <c r="N32" s="20" t="n">
        <v>0</v>
      </c>
      <c r="O32" s="18" t="n">
        <v>0</v>
      </c>
      <c r="P32" s="20" t="n">
        <v>0</v>
      </c>
      <c r="Q32" s="18" t="n">
        <v>0.54382309</v>
      </c>
      <c r="R32" s="20" t="n">
        <v>0.3035805</v>
      </c>
    </row>
    <row r="33" spans="1:18">
      <c r="A33" s="15" t="s">
        <v>593</v>
      </c>
      <c r="B33" s="17" t="n">
        <v>3674</v>
      </c>
      <c r="C33" s="18">
        <f>(2872.0/B33*100)</f>
        <v/>
      </c>
      <c r="D33" s="19" t="n">
        <v>802</v>
      </c>
      <c r="E33" s="18" t="n">
        <v>52.21552099</v>
      </c>
      <c r="F33" s="20" t="n">
        <v>2.2932496</v>
      </c>
      <c r="G33" s="18" t="n">
        <v>46.01501933</v>
      </c>
      <c r="H33" s="20" t="n">
        <v>2.39560613</v>
      </c>
      <c r="I33" s="18" t="s">
        <v>567</v>
      </c>
      <c r="J33" s="20" t="s">
        <v>567</v>
      </c>
      <c r="K33" s="18" t="n">
        <v>0.37866144</v>
      </c>
      <c r="L33" s="20" t="n">
        <v>0.21136824</v>
      </c>
      <c r="M33" s="18" t="n">
        <v>0</v>
      </c>
      <c r="N33" s="20" t="n">
        <v>0</v>
      </c>
      <c r="O33" s="18" t="n">
        <v>0</v>
      </c>
      <c r="P33" s="20" t="n">
        <v>0</v>
      </c>
      <c r="Q33" s="18" t="n">
        <v>1.39079824</v>
      </c>
      <c r="R33" s="20" t="n">
        <v>0.58536288</v>
      </c>
    </row>
    <row r="34" spans="1:18">
      <c r="A34" s="15" t="s">
        <v>594</v>
      </c>
      <c r="B34" s="17" t="n">
        <v>3315</v>
      </c>
      <c r="C34" s="18">
        <f>(2614.0/B34*100)</f>
        <v/>
      </c>
      <c r="D34" s="19" t="n">
        <v>701</v>
      </c>
      <c r="E34" s="18" t="n">
        <v>62.63186161</v>
      </c>
      <c r="F34" s="20" t="n">
        <v>1.65589063</v>
      </c>
      <c r="G34" s="18" t="n">
        <v>30.96451478</v>
      </c>
      <c r="H34" s="20" t="n">
        <v>1.58506322</v>
      </c>
      <c r="I34" s="18" t="s">
        <v>567</v>
      </c>
      <c r="J34" s="20" t="s">
        <v>567</v>
      </c>
      <c r="K34" s="18" t="n">
        <v>0.60216281</v>
      </c>
      <c r="L34" s="20" t="n">
        <v>0.38805004</v>
      </c>
      <c r="M34" s="18" t="n">
        <v>0</v>
      </c>
      <c r="N34" s="20" t="n">
        <v>0</v>
      </c>
      <c r="O34" s="18" t="n">
        <v>0</v>
      </c>
      <c r="P34" s="20" t="n">
        <v>0</v>
      </c>
      <c r="Q34" s="18" t="n">
        <v>5.8014608</v>
      </c>
      <c r="R34" s="20" t="n">
        <v>0.93285005</v>
      </c>
    </row>
    <row r="35" spans="1:18">
      <c r="A35" s="15" t="s">
        <v>595</v>
      </c>
      <c r="B35" s="17" t="n">
        <v>3505</v>
      </c>
      <c r="C35" s="18">
        <f>(2786.0/B35*100)</f>
        <v/>
      </c>
      <c r="D35" s="19" t="n">
        <v>719</v>
      </c>
      <c r="E35" s="18" t="n">
        <v>69.20601962000001</v>
      </c>
      <c r="F35" s="20" t="n">
        <v>2.03360613</v>
      </c>
      <c r="G35" s="18" t="n">
        <v>28.70767671</v>
      </c>
      <c r="H35" s="20" t="n">
        <v>1.99042318</v>
      </c>
      <c r="I35" s="18" t="s">
        <v>567</v>
      </c>
      <c r="J35" s="20" t="s">
        <v>567</v>
      </c>
      <c r="K35" s="18" t="n">
        <v>0.18759708</v>
      </c>
      <c r="L35" s="20" t="n">
        <v>0.13928329</v>
      </c>
      <c r="M35" s="18" t="n">
        <v>0</v>
      </c>
      <c r="N35" s="20" t="n">
        <v>0</v>
      </c>
      <c r="O35" s="18" t="n">
        <v>0</v>
      </c>
      <c r="P35" s="20" t="n">
        <v>0</v>
      </c>
      <c r="Q35" s="18" t="n">
        <v>1.89870659</v>
      </c>
      <c r="R35" s="20" t="n">
        <v>0.47712561</v>
      </c>
    </row>
    <row r="36" spans="1:18">
      <c r="A36" s="15" t="s">
        <v>596</v>
      </c>
      <c r="B36" s="17" t="n">
        <v>3332</v>
      </c>
      <c r="C36" s="18">
        <f>(2601.0/B36*100)</f>
        <v/>
      </c>
      <c r="D36" s="19" t="n">
        <v>731</v>
      </c>
      <c r="E36" s="18" t="n">
        <v>61.97835032</v>
      </c>
      <c r="F36" s="20" t="n">
        <v>2.06520331</v>
      </c>
      <c r="G36" s="18" t="n">
        <v>34.05037707</v>
      </c>
      <c r="H36" s="20" t="n">
        <v>2.07463412</v>
      </c>
      <c r="I36" s="18" t="s">
        <v>567</v>
      </c>
      <c r="J36" s="20" t="s">
        <v>567</v>
      </c>
      <c r="K36" s="18" t="n">
        <v>1.30601073</v>
      </c>
      <c r="L36" s="20" t="n">
        <v>0.32679602</v>
      </c>
      <c r="M36" s="18" t="n">
        <v>0</v>
      </c>
      <c r="N36" s="20" t="n">
        <v>0</v>
      </c>
      <c r="O36" s="18" t="n">
        <v>0</v>
      </c>
      <c r="P36" s="20" t="n">
        <v>0</v>
      </c>
      <c r="Q36" s="18" t="n">
        <v>2.66526188</v>
      </c>
      <c r="R36" s="20" t="n">
        <v>0.55458466</v>
      </c>
    </row>
    <row r="37" spans="1:18">
      <c r="A37" s="15" t="s">
        <v>597</v>
      </c>
      <c r="B37" s="17" t="n">
        <v>2727</v>
      </c>
      <c r="C37" s="18">
        <f>(2124.0/B37*100)</f>
        <v/>
      </c>
      <c r="D37" s="19" t="n">
        <v>603</v>
      </c>
      <c r="E37" s="18" t="n">
        <v>66.9567799</v>
      </c>
      <c r="F37" s="20" t="n">
        <v>1.85400836</v>
      </c>
      <c r="G37" s="18" t="n">
        <v>24.75031217</v>
      </c>
      <c r="H37" s="20" t="n">
        <v>1.63807287</v>
      </c>
      <c r="I37" s="18" t="s">
        <v>567</v>
      </c>
      <c r="J37" s="20" t="s">
        <v>567</v>
      </c>
      <c r="K37" s="18" t="n">
        <v>0.88129115</v>
      </c>
      <c r="L37" s="20" t="n">
        <v>0.36298369</v>
      </c>
      <c r="M37" s="18" t="n">
        <v>0</v>
      </c>
      <c r="N37" s="20" t="n">
        <v>0</v>
      </c>
      <c r="O37" s="18" t="n">
        <v>0</v>
      </c>
      <c r="P37" s="20" t="n">
        <v>0</v>
      </c>
      <c r="Q37" s="18" t="n">
        <v>7.41161678</v>
      </c>
      <c r="R37" s="20" t="n">
        <v>1.11063519</v>
      </c>
    </row>
    <row r="38" spans="1:18">
      <c r="A38" s="15" t="s">
        <v>598</v>
      </c>
      <c r="B38" s="17" t="n">
        <v>3053</v>
      </c>
      <c r="C38" s="18">
        <f>(2383.0/B38*100)</f>
        <v/>
      </c>
      <c r="D38" s="19" t="n">
        <v>670</v>
      </c>
      <c r="E38" s="18" t="n">
        <v>61.00440201</v>
      </c>
      <c r="F38" s="20" t="n">
        <v>2.17314169</v>
      </c>
      <c r="G38" s="18" t="n">
        <v>36.28692318</v>
      </c>
      <c r="H38" s="20" t="n">
        <v>2.1504977</v>
      </c>
      <c r="I38" s="18" t="s">
        <v>567</v>
      </c>
      <c r="J38" s="20" t="s">
        <v>567</v>
      </c>
      <c r="K38" s="18" t="n">
        <v>0.73494095</v>
      </c>
      <c r="L38" s="20" t="n">
        <v>0.32064417</v>
      </c>
      <c r="M38" s="18" t="n">
        <v>0</v>
      </c>
      <c r="N38" s="20" t="n">
        <v>0</v>
      </c>
      <c r="O38" s="18" t="n">
        <v>0</v>
      </c>
      <c r="P38" s="20" t="n">
        <v>0</v>
      </c>
      <c r="Q38" s="18" t="n">
        <v>1.97373386</v>
      </c>
      <c r="R38" s="20" t="n">
        <v>0.68632266</v>
      </c>
    </row>
    <row r="39" spans="1:18">
      <c r="A39" s="15" t="s">
        <v>599</v>
      </c>
      <c r="B39" s="17" t="n">
        <v>2957</v>
      </c>
      <c r="C39" s="18">
        <f>(2265.0/B39*100)</f>
        <v/>
      </c>
      <c r="D39" s="19" t="n">
        <v>692</v>
      </c>
      <c r="E39" s="18" t="n">
        <v>75.75734561</v>
      </c>
      <c r="F39" s="20" t="n">
        <v>1.7996682</v>
      </c>
      <c r="G39" s="18" t="n">
        <v>19.51646147</v>
      </c>
      <c r="H39" s="20" t="n">
        <v>1.61820744</v>
      </c>
      <c r="I39" s="18" t="s">
        <v>567</v>
      </c>
      <c r="J39" s="20" t="s">
        <v>567</v>
      </c>
      <c r="K39" s="18" t="n">
        <v>0.37608141</v>
      </c>
      <c r="L39" s="20" t="n">
        <v>0.19082667</v>
      </c>
      <c r="M39" s="18" t="n">
        <v>0</v>
      </c>
      <c r="N39" s="20" t="n">
        <v>0</v>
      </c>
      <c r="O39" s="18" t="n">
        <v>0</v>
      </c>
      <c r="P39" s="20" t="n">
        <v>0</v>
      </c>
      <c r="Q39" s="18" t="n">
        <v>4.3501115</v>
      </c>
      <c r="R39" s="20" t="n">
        <v>0.9338379999999999</v>
      </c>
    </row>
    <row r="40" spans="1:18">
      <c r="A40" s="15" t="s">
        <v>600</v>
      </c>
      <c r="B40" s="17" t="n">
        <v>7235</v>
      </c>
      <c r="C40" s="18">
        <f>(5675.0/B40*100)</f>
        <v/>
      </c>
      <c r="D40" s="19" t="n">
        <v>1560</v>
      </c>
      <c r="E40" s="18" t="n">
        <v>53.11994489</v>
      </c>
      <c r="F40" s="20" t="n">
        <v>2.06176263</v>
      </c>
      <c r="G40" s="18" t="n">
        <v>43.91447078</v>
      </c>
      <c r="H40" s="20" t="n">
        <v>1.9145244</v>
      </c>
      <c r="I40" s="18" t="s">
        <v>567</v>
      </c>
      <c r="J40" s="20" t="s">
        <v>567</v>
      </c>
      <c r="K40" s="18" t="n">
        <v>0.85788084</v>
      </c>
      <c r="L40" s="20" t="n">
        <v>0.42077181</v>
      </c>
      <c r="M40" s="18" t="n">
        <v>0</v>
      </c>
      <c r="N40" s="20" t="n">
        <v>0</v>
      </c>
      <c r="O40" s="18" t="n">
        <v>0</v>
      </c>
      <c r="P40" s="20" t="n">
        <v>0</v>
      </c>
      <c r="Q40" s="18" t="n">
        <v>2.10770349</v>
      </c>
      <c r="R40" s="20" t="n">
        <v>0.43307409</v>
      </c>
    </row>
    <row r="41" spans="1:18">
      <c r="A41" s="15" t="s">
        <v>601</v>
      </c>
      <c r="B41" s="17" t="n">
        <v>2858</v>
      </c>
      <c r="C41" s="18">
        <f>(2299.0/B41*100)</f>
        <v/>
      </c>
      <c r="D41" s="19" t="n">
        <v>559</v>
      </c>
      <c r="E41" s="18" t="n">
        <v>60.41874431</v>
      </c>
      <c r="F41" s="20" t="n">
        <v>2.58698798</v>
      </c>
      <c r="G41" s="18" t="n">
        <v>36.33450244</v>
      </c>
      <c r="H41" s="20" t="n">
        <v>2.7621954</v>
      </c>
      <c r="I41" s="18" t="s">
        <v>567</v>
      </c>
      <c r="J41" s="20" t="s">
        <v>567</v>
      </c>
      <c r="K41" s="18" t="n">
        <v>0.62997157</v>
      </c>
      <c r="L41" s="20" t="n">
        <v>0.25650974</v>
      </c>
      <c r="M41" s="18" t="n">
        <v>0</v>
      </c>
      <c r="N41" s="20" t="n">
        <v>0</v>
      </c>
      <c r="O41" s="18" t="n">
        <v>0</v>
      </c>
      <c r="P41" s="20" t="n">
        <v>0</v>
      </c>
      <c r="Q41" s="18" t="n">
        <v>2.61678168</v>
      </c>
      <c r="R41" s="20" t="n">
        <v>0.77637406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(9274.0/B46*100)</f>
        <v/>
      </c>
      <c r="D46" s="19" t="n">
        <v>1794</v>
      </c>
      <c r="E46" s="18" t="n">
        <v>67.29665079</v>
      </c>
      <c r="F46" s="20" t="n">
        <v>1.32944084</v>
      </c>
      <c r="G46" s="18" t="n">
        <v>15.55932587</v>
      </c>
      <c r="H46" s="20" t="n">
        <v>1.21698662</v>
      </c>
      <c r="I46" s="18" t="s">
        <v>567</v>
      </c>
      <c r="J46" s="20" t="s">
        <v>567</v>
      </c>
      <c r="K46" s="18" t="n">
        <v>2.23722982</v>
      </c>
      <c r="L46" s="20" t="n">
        <v>0.43546299</v>
      </c>
      <c r="M46" s="18" t="n">
        <v>0</v>
      </c>
      <c r="N46" s="20" t="n">
        <v>0</v>
      </c>
      <c r="O46" s="18" t="n">
        <v>0</v>
      </c>
      <c r="P46" s="20" t="n">
        <v>0</v>
      </c>
      <c r="Q46" s="18" t="n">
        <v>14.90679351</v>
      </c>
      <c r="R46" s="20" t="n">
        <v>1.147984</v>
      </c>
    </row>
    <row r="47" spans="1:18">
      <c r="A47" s="15" t="s">
        <v>607</v>
      </c>
      <c r="B47" s="17" t="n">
        <v>3105</v>
      </c>
      <c r="C47" s="18">
        <f>(2403.0/B47*100)</f>
        <v/>
      </c>
      <c r="D47" s="19" t="n">
        <v>702</v>
      </c>
      <c r="E47" s="18" t="n">
        <v>62.46782785</v>
      </c>
      <c r="F47" s="20" t="n">
        <v>1.76532968</v>
      </c>
      <c r="G47" s="18" t="n">
        <v>27.15428674</v>
      </c>
      <c r="H47" s="20" t="n">
        <v>1.64863108</v>
      </c>
      <c r="I47" s="18" t="s">
        <v>567</v>
      </c>
      <c r="J47" s="20" t="s">
        <v>567</v>
      </c>
      <c r="K47" s="18" t="n">
        <v>0.55358722</v>
      </c>
      <c r="L47" s="20" t="n">
        <v>0.25891892</v>
      </c>
      <c r="M47" s="18" t="n">
        <v>0</v>
      </c>
      <c r="N47" s="20" t="n">
        <v>0</v>
      </c>
      <c r="O47" s="18" t="n">
        <v>0</v>
      </c>
      <c r="P47" s="20" t="n">
        <v>0</v>
      </c>
      <c r="Q47" s="18" t="n">
        <v>9.824298199999999</v>
      </c>
      <c r="R47" s="20" t="n">
        <v>1.51126117</v>
      </c>
    </row>
    <row r="48" spans="1:18">
      <c r="A48" s="15" t="s">
        <v>608</v>
      </c>
      <c r="B48" s="17" t="n">
        <v>5159</v>
      </c>
      <c r="C48" s="18">
        <f>(4047.0/B48*100)</f>
        <v/>
      </c>
      <c r="D48" s="19" t="n">
        <v>1112</v>
      </c>
      <c r="E48" s="18" t="n">
        <v>52.01645032</v>
      </c>
      <c r="F48" s="20" t="n">
        <v>2.19769464</v>
      </c>
      <c r="G48" s="18" t="n">
        <v>43.00887573</v>
      </c>
      <c r="H48" s="20" t="n">
        <v>2.2664273</v>
      </c>
      <c r="I48" s="18" t="s">
        <v>567</v>
      </c>
      <c r="J48" s="20" t="s">
        <v>567</v>
      </c>
      <c r="K48" s="18" t="n">
        <v>0.66225051</v>
      </c>
      <c r="L48" s="20" t="n">
        <v>0.29915586</v>
      </c>
      <c r="M48" s="18" t="n">
        <v>0</v>
      </c>
      <c r="N48" s="20" t="n">
        <v>0</v>
      </c>
      <c r="O48" s="18" t="n">
        <v>0</v>
      </c>
      <c r="P48" s="20" t="n">
        <v>0</v>
      </c>
      <c r="Q48" s="18" t="n">
        <v>4.31242343</v>
      </c>
      <c r="R48" s="20" t="n">
        <v>0.77559531</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(4412.0/B50*100)</f>
        <v/>
      </c>
      <c r="D50" s="19" t="n">
        <v>1225</v>
      </c>
      <c r="E50" s="18" t="n">
        <v>72.97560823000001</v>
      </c>
      <c r="F50" s="20" t="n">
        <v>1.72743533</v>
      </c>
      <c r="G50" s="18" t="n">
        <v>17.70477348</v>
      </c>
      <c r="H50" s="20" t="n">
        <v>1.59929079</v>
      </c>
      <c r="I50" s="18" t="s">
        <v>567</v>
      </c>
      <c r="J50" s="20" t="s">
        <v>567</v>
      </c>
      <c r="K50" s="18" t="n">
        <v>2.34120986</v>
      </c>
      <c r="L50" s="20" t="n">
        <v>0.62334757</v>
      </c>
      <c r="M50" s="18" t="n">
        <v>0</v>
      </c>
      <c r="N50" s="20" t="n">
        <v>0</v>
      </c>
      <c r="O50" s="18" t="n">
        <v>0</v>
      </c>
      <c r="P50" s="20" t="n">
        <v>0</v>
      </c>
      <c r="Q50" s="18" t="n">
        <v>6.97840843</v>
      </c>
      <c r="R50" s="20" t="n">
        <v>1.25052421</v>
      </c>
    </row>
    <row r="51" spans="1:18">
      <c r="A51" s="15" t="s">
        <v>611</v>
      </c>
      <c r="B51" s="17" t="n">
        <v>3372</v>
      </c>
      <c r="C51" s="18">
        <f>(2771.0/B51*100)</f>
        <v/>
      </c>
      <c r="D51" s="19" t="n">
        <v>601</v>
      </c>
      <c r="E51" s="18" t="n">
        <v>76.65675421</v>
      </c>
      <c r="F51" s="20" t="n">
        <v>1.7741453</v>
      </c>
      <c r="G51" s="18" t="n">
        <v>17.99118213</v>
      </c>
      <c r="H51" s="20" t="n">
        <v>1.77381197</v>
      </c>
      <c r="I51" s="18" t="s">
        <v>567</v>
      </c>
      <c r="J51" s="20" t="s">
        <v>567</v>
      </c>
      <c r="K51" s="18" t="n">
        <v>0.49124342</v>
      </c>
      <c r="L51" s="20" t="n">
        <v>0.28392126</v>
      </c>
      <c r="M51" s="18" t="n">
        <v>0</v>
      </c>
      <c r="N51" s="20" t="n">
        <v>0</v>
      </c>
      <c r="O51" s="18" t="n">
        <v>0</v>
      </c>
      <c r="P51" s="20" t="n">
        <v>0</v>
      </c>
      <c r="Q51" s="18" t="n">
        <v>4.86082024</v>
      </c>
      <c r="R51" s="20" t="n">
        <v>0.71278659</v>
      </c>
    </row>
    <row r="52" spans="1:18">
      <c r="A52" s="15" t="s">
        <v>612</v>
      </c>
      <c r="B52" s="17" t="n">
        <v>2796</v>
      </c>
      <c r="C52" s="18">
        <f>(2215.0/B52*100)</f>
        <v/>
      </c>
      <c r="D52" s="19" t="n">
        <v>581</v>
      </c>
      <c r="E52" s="18" t="n">
        <v>72.14764626</v>
      </c>
      <c r="F52" s="20" t="n">
        <v>1.78230138</v>
      </c>
      <c r="G52" s="18" t="n">
        <v>23.11018252</v>
      </c>
      <c r="H52" s="20" t="n">
        <v>1.82473249</v>
      </c>
      <c r="I52" s="18" t="s">
        <v>567</v>
      </c>
      <c r="J52" s="20" t="s">
        <v>567</v>
      </c>
      <c r="K52" s="18" t="n">
        <v>0.42407711</v>
      </c>
      <c r="L52" s="20" t="n">
        <v>0.2393641</v>
      </c>
      <c r="M52" s="18" t="n">
        <v>0</v>
      </c>
      <c r="N52" s="20" t="n">
        <v>0</v>
      </c>
      <c r="O52" s="18" t="n">
        <v>0</v>
      </c>
      <c r="P52" s="20" t="n">
        <v>0</v>
      </c>
      <c r="Q52" s="18" t="n">
        <v>4.31809411</v>
      </c>
      <c r="R52" s="20" t="n">
        <v>0.81745598</v>
      </c>
    </row>
    <row r="53" spans="1:18">
      <c r="A53" s="15" t="s">
        <v>613</v>
      </c>
      <c r="B53" s="17" t="n">
        <v>2811</v>
      </c>
      <c r="C53" s="18">
        <f>(2176.0/B53*100)</f>
        <v/>
      </c>
      <c r="D53" s="19" t="n">
        <v>635</v>
      </c>
      <c r="E53" s="18" t="n">
        <v>72.68677162</v>
      </c>
      <c r="F53" s="20" t="n">
        <v>1.74021874</v>
      </c>
      <c r="G53" s="18" t="n">
        <v>23.07425391</v>
      </c>
      <c r="H53" s="20" t="n">
        <v>1.56438691</v>
      </c>
      <c r="I53" s="18" t="s">
        <v>567</v>
      </c>
      <c r="J53" s="20" t="s">
        <v>567</v>
      </c>
      <c r="K53" s="18" t="n">
        <v>1.04173535</v>
      </c>
      <c r="L53" s="20" t="n">
        <v>0.40262544</v>
      </c>
      <c r="M53" s="18" t="n">
        <v>0</v>
      </c>
      <c r="N53" s="20" t="n">
        <v>0</v>
      </c>
      <c r="O53" s="18" t="n">
        <v>0</v>
      </c>
      <c r="P53" s="20" t="n">
        <v>0</v>
      </c>
      <c r="Q53" s="18" t="n">
        <v>3.19723912</v>
      </c>
      <c r="R53" s="20" t="n">
        <v>0.66233277</v>
      </c>
    </row>
    <row r="54" spans="1:18">
      <c r="A54" s="15" t="s">
        <v>614</v>
      </c>
      <c r="B54" s="17" t="n">
        <v>2266</v>
      </c>
      <c r="C54" s="18">
        <f>(1762.0/B54*100)</f>
        <v/>
      </c>
      <c r="D54" s="19" t="n">
        <v>504</v>
      </c>
      <c r="E54" s="18" t="n">
        <v>52.45680977</v>
      </c>
      <c r="F54" s="20" t="n">
        <v>2.69842749</v>
      </c>
      <c r="G54" s="18" t="n">
        <v>8.49616494</v>
      </c>
      <c r="H54" s="20" t="n">
        <v>1.33980242</v>
      </c>
      <c r="I54" s="18" t="s">
        <v>567</v>
      </c>
      <c r="J54" s="20" t="s">
        <v>567</v>
      </c>
      <c r="K54" s="18" t="n">
        <v>14.16298597</v>
      </c>
      <c r="L54" s="20" t="n">
        <v>1.54395685</v>
      </c>
      <c r="M54" s="18" t="n">
        <v>0</v>
      </c>
      <c r="N54" s="20" t="n">
        <v>0</v>
      </c>
      <c r="O54" s="18" t="n">
        <v>0</v>
      </c>
      <c r="P54" s="20" t="n">
        <v>0</v>
      </c>
      <c r="Q54" s="18" t="n">
        <v>24.88403933</v>
      </c>
      <c r="R54" s="20" t="n">
        <v>2.17102513</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(2118.0/B56*100)</f>
        <v/>
      </c>
      <c r="D56" s="19" t="n">
        <v>566</v>
      </c>
      <c r="E56" s="18" t="n">
        <v>34.55255155</v>
      </c>
      <c r="F56" s="20" t="n">
        <v>1.76931045</v>
      </c>
      <c r="G56" s="18" t="n">
        <v>64.21244031000001</v>
      </c>
      <c r="H56" s="20" t="n">
        <v>1.8016887</v>
      </c>
      <c r="I56" s="18" t="s">
        <v>567</v>
      </c>
      <c r="J56" s="20" t="s">
        <v>567</v>
      </c>
      <c r="K56" s="18" t="n">
        <v>0.4563812</v>
      </c>
      <c r="L56" s="20" t="n">
        <v>0.34106773</v>
      </c>
      <c r="M56" s="18" t="n">
        <v>0</v>
      </c>
      <c r="N56" s="20" t="n">
        <v>0</v>
      </c>
      <c r="O56" s="18" t="n">
        <v>0</v>
      </c>
      <c r="P56" s="20" t="n">
        <v>0</v>
      </c>
      <c r="Q56" s="18" t="n">
        <v>0.77862695</v>
      </c>
      <c r="R56" s="20" t="n">
        <v>0.34297813</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(2601.0/B61*100)</f>
        <v/>
      </c>
      <c r="D61" s="19" t="n">
        <v>723</v>
      </c>
      <c r="E61" s="18" t="n">
        <v>70.26470820999999</v>
      </c>
      <c r="F61" s="20" t="n">
        <v>1.87548135</v>
      </c>
      <c r="G61" s="18" t="n">
        <v>25.93929148</v>
      </c>
      <c r="H61" s="20" t="n">
        <v>1.7123888</v>
      </c>
      <c r="I61" s="18" t="s">
        <v>567</v>
      </c>
      <c r="J61" s="20" t="s">
        <v>567</v>
      </c>
      <c r="K61" s="18" t="n">
        <v>0.51152236</v>
      </c>
      <c r="L61" s="20" t="n">
        <v>0.30133232</v>
      </c>
      <c r="M61" s="18" t="n">
        <v>0</v>
      </c>
      <c r="N61" s="20" t="n">
        <v>0</v>
      </c>
      <c r="O61" s="18" t="n">
        <v>0</v>
      </c>
      <c r="P61" s="20" t="n">
        <v>0</v>
      </c>
      <c r="Q61" s="18" t="n">
        <v>3.28447795</v>
      </c>
      <c r="R61" s="20" t="n">
        <v>0.8339194</v>
      </c>
    </row>
    <row r="62" spans="1:18">
      <c r="A62" s="15" t="s">
        <v>622</v>
      </c>
      <c r="B62" s="17" t="n">
        <v>2246</v>
      </c>
      <c r="C62" s="18">
        <f>(1739.0/B62*100)</f>
        <v/>
      </c>
      <c r="D62" s="19" t="n">
        <v>507</v>
      </c>
      <c r="E62" s="18" t="n">
        <v>47.97140479</v>
      </c>
      <c r="F62" s="20" t="n">
        <v>2.40829088</v>
      </c>
      <c r="G62" s="18" t="n">
        <v>51.43221954</v>
      </c>
      <c r="H62" s="20" t="n">
        <v>2.30581112</v>
      </c>
      <c r="I62" s="18" t="s">
        <v>567</v>
      </c>
      <c r="J62" s="20" t="s">
        <v>567</v>
      </c>
      <c r="K62" s="18" t="n">
        <v>0.20259914</v>
      </c>
      <c r="L62" s="20" t="n">
        <v>0.20197052</v>
      </c>
      <c r="M62" s="18" t="n">
        <v>0</v>
      </c>
      <c r="N62" s="20" t="n">
        <v>0</v>
      </c>
      <c r="O62" s="18" t="n">
        <v>0</v>
      </c>
      <c r="P62" s="20" t="n">
        <v>0</v>
      </c>
      <c r="Q62" s="18" t="n">
        <v>0.39377653</v>
      </c>
      <c r="R62" s="20" t="n">
        <v>0.2795187</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(2272.0/B66*100)</f>
        <v/>
      </c>
      <c r="D66" s="19" t="n">
        <v>622</v>
      </c>
      <c r="E66" s="18" t="n">
        <v>63.54053841</v>
      </c>
      <c r="F66" s="20" t="n">
        <v>2.11559782</v>
      </c>
      <c r="G66" s="18" t="n">
        <v>18.56888356</v>
      </c>
      <c r="H66" s="20" t="n">
        <v>1.50958192</v>
      </c>
      <c r="I66" s="18" t="s">
        <v>567</v>
      </c>
      <c r="J66" s="20" t="s">
        <v>567</v>
      </c>
      <c r="K66" s="18" t="n">
        <v>1.84535818</v>
      </c>
      <c r="L66" s="20" t="n">
        <v>0.66747763</v>
      </c>
      <c r="M66" s="18" t="n">
        <v>0</v>
      </c>
      <c r="N66" s="20" t="n">
        <v>0</v>
      </c>
      <c r="O66" s="18" t="n">
        <v>0</v>
      </c>
      <c r="P66" s="20" t="n">
        <v>0</v>
      </c>
      <c r="Q66" s="18" t="n">
        <v>16.04521985</v>
      </c>
      <c r="R66" s="20" t="n">
        <v>1.23208325</v>
      </c>
    </row>
    <row r="67" spans="1:18">
      <c r="A67" s="15" t="s">
        <v>627</v>
      </c>
      <c r="B67" s="17" t="n">
        <v>3511</v>
      </c>
      <c r="C67" s="18">
        <f>(2841.0/B67*100)</f>
        <v/>
      </c>
      <c r="D67" s="19" t="n">
        <v>670</v>
      </c>
      <c r="E67" s="18" t="n">
        <v>71.12218978999999</v>
      </c>
      <c r="F67" s="20" t="n">
        <v>1.80495774</v>
      </c>
      <c r="G67" s="18" t="n">
        <v>20.16050258</v>
      </c>
      <c r="H67" s="20" t="n">
        <v>1.71834349</v>
      </c>
      <c r="I67" s="18" t="s">
        <v>567</v>
      </c>
      <c r="J67" s="20" t="s">
        <v>567</v>
      </c>
      <c r="K67" s="18" t="n">
        <v>0.92526787</v>
      </c>
      <c r="L67" s="20" t="n">
        <v>0.38535006</v>
      </c>
      <c r="M67" s="18" t="n">
        <v>0</v>
      </c>
      <c r="N67" s="20" t="n">
        <v>0</v>
      </c>
      <c r="O67" s="18" t="n">
        <v>0</v>
      </c>
      <c r="P67" s="20" t="n">
        <v>0</v>
      </c>
      <c r="Q67" s="18" t="n">
        <v>7.79203976</v>
      </c>
      <c r="R67" s="20" t="n">
        <v>0.9452915</v>
      </c>
    </row>
    <row r="68" spans="1:18">
      <c r="A68" s="15" t="s">
        <v>628</v>
      </c>
      <c r="B68" s="17" t="n">
        <v>6049</v>
      </c>
      <c r="C68" s="18">
        <f>(4701.0/B68*100)</f>
        <v/>
      </c>
      <c r="D68" s="19" t="n">
        <v>1348</v>
      </c>
      <c r="E68" s="18" t="n">
        <v>66.0733582</v>
      </c>
      <c r="F68" s="20" t="n">
        <v>1.29851137</v>
      </c>
      <c r="G68" s="18" t="n">
        <v>22.2227628</v>
      </c>
      <c r="H68" s="20" t="n">
        <v>1.13875314</v>
      </c>
      <c r="I68" s="18" t="s">
        <v>567</v>
      </c>
      <c r="J68" s="20" t="s">
        <v>567</v>
      </c>
      <c r="K68" s="18" t="n">
        <v>4.9611157</v>
      </c>
      <c r="L68" s="20" t="n">
        <v>0.59054679</v>
      </c>
      <c r="M68" s="18" t="n">
        <v>0</v>
      </c>
      <c r="N68" s="20" t="n">
        <v>0</v>
      </c>
      <c r="O68" s="18" t="n">
        <v>0</v>
      </c>
      <c r="P68" s="20" t="n">
        <v>0</v>
      </c>
      <c r="Q68" s="18" t="n">
        <v>6.7427633</v>
      </c>
      <c r="R68" s="20" t="n">
        <v>0.65558109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(2300.0/B70*100)</f>
        <v/>
      </c>
      <c r="D70" s="19" t="n">
        <v>629</v>
      </c>
      <c r="E70" s="18" t="n">
        <v>68.39383264999999</v>
      </c>
      <c r="F70" s="20" t="n">
        <v>2.32953598</v>
      </c>
      <c r="G70" s="18" t="n">
        <v>26.76211506</v>
      </c>
      <c r="H70" s="20" t="n">
        <v>2.05919941</v>
      </c>
      <c r="I70" s="18" t="s">
        <v>567</v>
      </c>
      <c r="J70" s="20" t="s">
        <v>567</v>
      </c>
      <c r="K70" s="18" t="n">
        <v>0.67903431</v>
      </c>
      <c r="L70" s="20" t="n">
        <v>0.33203594</v>
      </c>
      <c r="M70" s="18" t="n">
        <v>0</v>
      </c>
      <c r="N70" s="20" t="n">
        <v>0</v>
      </c>
      <c r="O70" s="18" t="n">
        <v>0</v>
      </c>
      <c r="P70" s="20" t="n">
        <v>0</v>
      </c>
      <c r="Q70" s="18" t="n">
        <v>4.16501798</v>
      </c>
      <c r="R70" s="20" t="n">
        <v>0.88881417</v>
      </c>
    </row>
    <row r="71" spans="1:18">
      <c r="A71" s="15" t="s">
        <v>631</v>
      </c>
      <c r="B71" s="17" t="n">
        <v>3142</v>
      </c>
      <c r="C71" s="18">
        <f>(2446.0/B71*100)</f>
        <v/>
      </c>
      <c r="D71" s="19" t="n">
        <v>696</v>
      </c>
      <c r="E71" s="18" t="n">
        <v>55.58019056</v>
      </c>
      <c r="F71" s="20" t="n">
        <v>2.01111968</v>
      </c>
      <c r="G71" s="18" t="n">
        <v>43.61329941</v>
      </c>
      <c r="H71" s="20" t="n">
        <v>1.92880778</v>
      </c>
      <c r="I71" s="18" t="s">
        <v>567</v>
      </c>
      <c r="J71" s="20" t="s">
        <v>567</v>
      </c>
      <c r="K71" s="18" t="n">
        <v>0.432641</v>
      </c>
      <c r="L71" s="20" t="n">
        <v>0.25135005</v>
      </c>
      <c r="M71" s="18" t="n">
        <v>0</v>
      </c>
      <c r="N71" s="20" t="n">
        <v>0</v>
      </c>
      <c r="O71" s="18" t="n">
        <v>0</v>
      </c>
      <c r="P71" s="20" t="n">
        <v>0</v>
      </c>
      <c r="Q71" s="18" t="n">
        <v>0.37386903</v>
      </c>
      <c r="R71" s="20" t="n">
        <v>0.21562769</v>
      </c>
    </row>
    <row r="72" spans="1:18">
      <c r="A72" s="15" t="s">
        <v>632</v>
      </c>
      <c r="B72" s="17" t="n">
        <v>3889</v>
      </c>
      <c r="C72" s="18">
        <f>(3054.0/B72*100)</f>
        <v/>
      </c>
      <c r="D72" s="19" t="n">
        <v>835</v>
      </c>
      <c r="E72" s="18" t="n">
        <v>26.44779642</v>
      </c>
      <c r="F72" s="20" t="n">
        <v>1.54398495</v>
      </c>
      <c r="G72" s="18" t="n">
        <v>70.99743472999999</v>
      </c>
      <c r="H72" s="20" t="n">
        <v>1.6164441</v>
      </c>
      <c r="I72" s="18" t="s">
        <v>567</v>
      </c>
      <c r="J72" s="20" t="s">
        <v>567</v>
      </c>
      <c r="K72" s="18" t="n">
        <v>0.66527604</v>
      </c>
      <c r="L72" s="20" t="n">
        <v>0.27526918</v>
      </c>
      <c r="M72" s="18" t="n">
        <v>0</v>
      </c>
      <c r="N72" s="20" t="n">
        <v>0</v>
      </c>
      <c r="O72" s="18" t="n">
        <v>0</v>
      </c>
      <c r="P72" s="20" t="n">
        <v>0</v>
      </c>
      <c r="Q72" s="18" t="n">
        <v>1.88949281</v>
      </c>
      <c r="R72" s="20" t="n">
        <v>0.43165665</v>
      </c>
    </row>
    <row r="73" spans="1:18">
      <c r="A73" s="15" t="s">
        <v>633</v>
      </c>
      <c r="B73" s="17" t="n">
        <v>3597</v>
      </c>
      <c r="C73" s="18">
        <f>(2852.0/B73*100)</f>
        <v/>
      </c>
      <c r="D73" s="19" t="n">
        <v>745</v>
      </c>
      <c r="E73" s="18" t="n">
        <v>67.04391123000001</v>
      </c>
      <c r="F73" s="20" t="n">
        <v>2.28520237</v>
      </c>
      <c r="G73" s="18" t="n">
        <v>27.58629361</v>
      </c>
      <c r="H73" s="20" t="n">
        <v>2.10064042</v>
      </c>
      <c r="I73" s="18" t="s">
        <v>567</v>
      </c>
      <c r="J73" s="20" t="s">
        <v>567</v>
      </c>
      <c r="K73" s="18" t="n">
        <v>0</v>
      </c>
      <c r="L73" s="20" t="n">
        <v>0</v>
      </c>
      <c r="M73" s="18" t="n">
        <v>0</v>
      </c>
      <c r="N73" s="20" t="n">
        <v>0</v>
      </c>
      <c r="O73" s="18" t="n">
        <v>0</v>
      </c>
      <c r="P73" s="20" t="n">
        <v>0</v>
      </c>
      <c r="Q73" s="18" t="n">
        <v>5.36979516</v>
      </c>
      <c r="R73" s="20" t="n">
        <v>0.98105995</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(1942.0/B75*100)</f>
        <v/>
      </c>
      <c r="D75" s="19" t="n">
        <v>464</v>
      </c>
      <c r="E75" s="18" t="n">
        <v>66.14055737</v>
      </c>
      <c r="F75" s="20" t="n">
        <v>2.32071039</v>
      </c>
      <c r="G75" s="18" t="n">
        <v>22.75612139</v>
      </c>
      <c r="H75" s="20" t="n">
        <v>2.2531332</v>
      </c>
      <c r="I75" s="18" t="s">
        <v>567</v>
      </c>
      <c r="J75" s="20" t="s">
        <v>567</v>
      </c>
      <c r="K75" s="18" t="n">
        <v>4.22957129</v>
      </c>
      <c r="L75" s="20" t="n">
        <v>0.86601027</v>
      </c>
      <c r="M75" s="18" t="n">
        <v>0</v>
      </c>
      <c r="N75" s="20" t="n">
        <v>0</v>
      </c>
      <c r="O75" s="18" t="n">
        <v>0</v>
      </c>
      <c r="P75" s="20" t="n">
        <v>0</v>
      </c>
      <c r="Q75" s="18" t="n">
        <v>6.87374996</v>
      </c>
      <c r="R75" s="20" t="n">
        <v>1.35894821</v>
      </c>
    </row>
    <row r="76" spans="1:18">
      <c r="A76" s="15" t="s">
        <v>636</v>
      </c>
      <c r="B76" s="17" t="n">
        <v>7052</v>
      </c>
      <c r="C76" s="18">
        <f>(5560.0/B76*100)</f>
        <v/>
      </c>
      <c r="D76" s="19" t="n">
        <v>1492</v>
      </c>
      <c r="E76" s="18" t="n">
        <v>69.73451989</v>
      </c>
      <c r="F76" s="20" t="n">
        <v>1.29448633</v>
      </c>
      <c r="G76" s="18" t="n">
        <v>22.87792974</v>
      </c>
      <c r="H76" s="20" t="n">
        <v>1.32176997</v>
      </c>
      <c r="I76" s="18" t="s">
        <v>567</v>
      </c>
      <c r="J76" s="20" t="s">
        <v>567</v>
      </c>
      <c r="K76" s="18" t="n">
        <v>1.92537449</v>
      </c>
      <c r="L76" s="20" t="n">
        <v>0.49679871</v>
      </c>
      <c r="M76" s="18" t="n">
        <v>0</v>
      </c>
      <c r="N76" s="20" t="n">
        <v>0</v>
      </c>
      <c r="O76" s="18" t="n">
        <v>0</v>
      </c>
      <c r="P76" s="20" t="n">
        <v>0</v>
      </c>
      <c r="Q76" s="18" t="n">
        <v>5.46217588</v>
      </c>
      <c r="R76" s="20" t="n">
        <v>0.67717825</v>
      </c>
    </row>
    <row r="77" spans="1:18">
      <c r="A77" s="15" t="s">
        <v>637</v>
      </c>
      <c r="B77" s="17" t="n">
        <v>2908</v>
      </c>
      <c r="C77" s="18">
        <f>(2278.0/B77*100)</f>
        <v/>
      </c>
      <c r="D77" s="19" t="n">
        <v>630</v>
      </c>
      <c r="E77" s="18" t="n">
        <v>70.3054073</v>
      </c>
      <c r="F77" s="20" t="n">
        <v>2.28672591</v>
      </c>
      <c r="G77" s="18" t="n">
        <v>19.07033589</v>
      </c>
      <c r="H77" s="20" t="n">
        <v>1.62115536</v>
      </c>
      <c r="I77" s="18" t="s">
        <v>567</v>
      </c>
      <c r="J77" s="20" t="s">
        <v>567</v>
      </c>
      <c r="K77" s="18" t="n">
        <v>1.70253748</v>
      </c>
      <c r="L77" s="20" t="n">
        <v>0.5848833</v>
      </c>
      <c r="M77" s="18" t="n">
        <v>0</v>
      </c>
      <c r="N77" s="20" t="n">
        <v>0</v>
      </c>
      <c r="O77" s="18" t="n">
        <v>0</v>
      </c>
      <c r="P77" s="20" t="n">
        <v>0</v>
      </c>
      <c r="Q77" s="18" t="n">
        <v>8.92171933</v>
      </c>
      <c r="R77" s="20" t="n">
        <v>1.50532655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(3242.0/B81*100)</f>
        <v/>
      </c>
      <c r="D81" s="19" t="n">
        <v>921</v>
      </c>
      <c r="E81" s="18" t="n">
        <v>68.23264351</v>
      </c>
      <c r="F81" s="20" t="n">
        <v>1.92828471</v>
      </c>
      <c r="G81" s="18" t="n">
        <v>30.10155985</v>
      </c>
      <c r="H81" s="20" t="n">
        <v>1.95390581</v>
      </c>
      <c r="I81" s="18" t="s">
        <v>567</v>
      </c>
      <c r="J81" s="20" t="s">
        <v>567</v>
      </c>
      <c r="K81" s="18" t="n">
        <v>0.5197535</v>
      </c>
      <c r="L81" s="20" t="n">
        <v>0.3296507</v>
      </c>
      <c r="M81" s="18" t="n">
        <v>0</v>
      </c>
      <c r="N81" s="20" t="n">
        <v>0</v>
      </c>
      <c r="O81" s="18" t="n">
        <v>0</v>
      </c>
      <c r="P81" s="20" t="n">
        <v>0</v>
      </c>
      <c r="Q81" s="18" t="n">
        <v>1.14604315</v>
      </c>
      <c r="R81" s="20" t="n">
        <v>0.43771281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(5841.0/B7*100)</f>
        <v/>
      </c>
      <c r="D7" s="19" t="n">
        <v>1526</v>
      </c>
      <c r="E7" s="18" t="n">
        <v>36.31554093</v>
      </c>
      <c r="F7" s="20" t="n">
        <v>1.49442811</v>
      </c>
      <c r="G7" s="18" t="n">
        <v>61.28658368</v>
      </c>
      <c r="H7" s="20" t="n">
        <v>1.50534989</v>
      </c>
      <c r="I7" s="18" t="s">
        <v>567</v>
      </c>
      <c r="J7" s="20" t="s">
        <v>567</v>
      </c>
      <c r="K7" s="18" t="n">
        <v>0.66205545</v>
      </c>
      <c r="L7" s="20" t="n">
        <v>0.25242766</v>
      </c>
      <c r="M7" s="18" t="n">
        <v>0</v>
      </c>
      <c r="N7" s="20" t="n">
        <v>0</v>
      </c>
      <c r="O7" s="18" t="n">
        <v>0</v>
      </c>
      <c r="P7" s="20" t="n">
        <v>0</v>
      </c>
      <c r="Q7" s="18" t="n">
        <v>1.73581994</v>
      </c>
      <c r="R7" s="20" t="n">
        <v>0.30789542</v>
      </c>
    </row>
    <row r="8" spans="1:18">
      <c r="A8" s="15" t="s">
        <v>568</v>
      </c>
      <c r="B8" s="17" t="n">
        <v>3564</v>
      </c>
      <c r="C8" s="18">
        <f>(2771.0/B8*100)</f>
        <v/>
      </c>
      <c r="D8" s="19" t="n">
        <v>793</v>
      </c>
      <c r="E8" s="18" t="n">
        <v>41.97593483</v>
      </c>
      <c r="F8" s="20" t="n">
        <v>2.17561269</v>
      </c>
      <c r="G8" s="18" t="n">
        <v>55.04224124</v>
      </c>
      <c r="H8" s="20" t="n">
        <v>2.27775966</v>
      </c>
      <c r="I8" s="18" t="s">
        <v>567</v>
      </c>
      <c r="J8" s="20" t="s">
        <v>567</v>
      </c>
      <c r="K8" s="18" t="n">
        <v>0.85377888</v>
      </c>
      <c r="L8" s="20" t="n">
        <v>0.34014509</v>
      </c>
      <c r="M8" s="18" t="n">
        <v>0</v>
      </c>
      <c r="N8" s="20" t="n">
        <v>0</v>
      </c>
      <c r="O8" s="18" t="n">
        <v>0</v>
      </c>
      <c r="P8" s="20" t="n">
        <v>0</v>
      </c>
      <c r="Q8" s="18" t="n">
        <v>2.12804505</v>
      </c>
      <c r="R8" s="20" t="n">
        <v>0.60097536</v>
      </c>
    </row>
    <row r="9" spans="1:18">
      <c r="A9" s="15" t="s">
        <v>569</v>
      </c>
      <c r="B9" s="17" t="n">
        <v>4899</v>
      </c>
      <c r="C9" s="18">
        <f>(3911.0/B9*100)</f>
        <v/>
      </c>
      <c r="D9" s="19" t="n">
        <v>988</v>
      </c>
      <c r="E9" s="18" t="n">
        <v>32.82011561</v>
      </c>
      <c r="F9" s="20" t="n">
        <v>1.47662085</v>
      </c>
      <c r="G9" s="18" t="n">
        <v>64.65832485</v>
      </c>
      <c r="H9" s="20" t="n">
        <v>1.66568402</v>
      </c>
      <c r="I9" s="18" t="s">
        <v>567</v>
      </c>
      <c r="J9" s="20" t="s">
        <v>567</v>
      </c>
      <c r="K9" s="18" t="n">
        <v>0.86532472</v>
      </c>
      <c r="L9" s="20" t="n">
        <v>0.32767083</v>
      </c>
      <c r="M9" s="18" t="n">
        <v>0</v>
      </c>
      <c r="N9" s="20" t="n">
        <v>0</v>
      </c>
      <c r="O9" s="18" t="n">
        <v>0</v>
      </c>
      <c r="P9" s="20" t="n">
        <v>0</v>
      </c>
      <c r="Q9" s="18" t="n">
        <v>1.65623482</v>
      </c>
      <c r="R9" s="20" t="n">
        <v>0.48037701</v>
      </c>
    </row>
    <row r="10" spans="1:18">
      <c r="A10" s="15" t="s">
        <v>570</v>
      </c>
      <c r="B10" s="17" t="n">
        <v>10036</v>
      </c>
      <c r="C10" s="18">
        <f>(7838.0/B10*100)</f>
        <v/>
      </c>
      <c r="D10" s="19" t="n">
        <v>2198</v>
      </c>
      <c r="E10" s="18" t="n">
        <v>30.96571182</v>
      </c>
      <c r="F10" s="20" t="n">
        <v>1.4861602</v>
      </c>
      <c r="G10" s="18" t="n">
        <v>66.88455659</v>
      </c>
      <c r="H10" s="20" t="n">
        <v>1.43288433</v>
      </c>
      <c r="I10" s="18" t="s">
        <v>567</v>
      </c>
      <c r="J10" s="20" t="s">
        <v>567</v>
      </c>
      <c r="K10" s="18" t="n">
        <v>1.03196254</v>
      </c>
      <c r="L10" s="20" t="n">
        <v>0.31072528</v>
      </c>
      <c r="M10" s="18" t="n">
        <v>0</v>
      </c>
      <c r="N10" s="20" t="n">
        <v>0</v>
      </c>
      <c r="O10" s="18" t="n">
        <v>0</v>
      </c>
      <c r="P10" s="20" t="n">
        <v>0</v>
      </c>
      <c r="Q10" s="18" t="n">
        <v>1.11776905</v>
      </c>
      <c r="R10" s="20" t="n">
        <v>0.26611139</v>
      </c>
    </row>
    <row r="11" spans="1:18">
      <c r="A11" s="15" t="s">
        <v>571</v>
      </c>
      <c r="B11" s="17" t="n">
        <v>3553</v>
      </c>
      <c r="C11" s="18">
        <f>(2793.0/B11*100)</f>
        <v/>
      </c>
      <c r="D11" s="19" t="n">
        <v>760</v>
      </c>
      <c r="E11" s="18" t="n">
        <v>45.44505703</v>
      </c>
      <c r="F11" s="20" t="n">
        <v>2.49766545</v>
      </c>
      <c r="G11" s="18" t="n">
        <v>48.31500563</v>
      </c>
      <c r="H11" s="20" t="n">
        <v>2.6897199</v>
      </c>
      <c r="I11" s="18" t="s">
        <v>567</v>
      </c>
      <c r="J11" s="20" t="s">
        <v>567</v>
      </c>
      <c r="K11" s="18" t="n">
        <v>2.05651604</v>
      </c>
      <c r="L11" s="20" t="n">
        <v>0.60615253</v>
      </c>
      <c r="M11" s="18" t="n">
        <v>0</v>
      </c>
      <c r="N11" s="20" t="n">
        <v>0</v>
      </c>
      <c r="O11" s="18" t="n">
        <v>0</v>
      </c>
      <c r="P11" s="20" t="n">
        <v>0</v>
      </c>
      <c r="Q11" s="18" t="n">
        <v>4.1834213</v>
      </c>
      <c r="R11" s="20" t="n">
        <v>0.77447641</v>
      </c>
    </row>
    <row r="12" spans="1:18">
      <c r="A12" s="15" t="s">
        <v>572</v>
      </c>
      <c r="B12" s="17" t="n">
        <v>3472</v>
      </c>
      <c r="C12" s="18">
        <f>(2725.0/B12*100)</f>
        <v/>
      </c>
      <c r="D12" s="19" t="n">
        <v>747</v>
      </c>
      <c r="E12" s="18" t="n">
        <v>32.71345138</v>
      </c>
      <c r="F12" s="20" t="n">
        <v>2.01420077</v>
      </c>
      <c r="G12" s="18" t="n">
        <v>65.89080843000001</v>
      </c>
      <c r="H12" s="20" t="n">
        <v>1.99428996</v>
      </c>
      <c r="I12" s="18" t="s">
        <v>567</v>
      </c>
      <c r="J12" s="20" t="s">
        <v>567</v>
      </c>
      <c r="K12" s="18" t="n">
        <v>0.12486834</v>
      </c>
      <c r="L12" s="20" t="n">
        <v>0.12702613</v>
      </c>
      <c r="M12" s="18" t="n">
        <v>0</v>
      </c>
      <c r="N12" s="20" t="n">
        <v>0</v>
      </c>
      <c r="O12" s="18" t="n">
        <v>0</v>
      </c>
      <c r="P12" s="20" t="n">
        <v>0</v>
      </c>
      <c r="Q12" s="18" t="n">
        <v>1.27087185</v>
      </c>
      <c r="R12" s="20" t="n">
        <v>0.41305746</v>
      </c>
    </row>
    <row r="13" spans="1:18">
      <c r="A13" s="15" t="s">
        <v>573</v>
      </c>
      <c r="B13" s="17" t="n">
        <v>3559</v>
      </c>
      <c r="C13" s="18">
        <f>(2845.0/B13*100)</f>
        <v/>
      </c>
      <c r="D13" s="19" t="n">
        <v>714</v>
      </c>
      <c r="E13" s="18" t="n">
        <v>39.31776248</v>
      </c>
      <c r="F13" s="20" t="n">
        <v>2.10428554</v>
      </c>
      <c r="G13" s="18" t="n">
        <v>58.12870233</v>
      </c>
      <c r="H13" s="20" t="n">
        <v>2.18842485</v>
      </c>
      <c r="I13" s="18" t="s">
        <v>567</v>
      </c>
      <c r="J13" s="20" t="s">
        <v>567</v>
      </c>
      <c r="K13" s="18" t="n">
        <v>0.68197763</v>
      </c>
      <c r="L13" s="20" t="n">
        <v>0.40405109</v>
      </c>
      <c r="M13" s="18" t="n">
        <v>0</v>
      </c>
      <c r="N13" s="20" t="n">
        <v>0</v>
      </c>
      <c r="O13" s="18" t="n">
        <v>0</v>
      </c>
      <c r="P13" s="20" t="n">
        <v>0</v>
      </c>
      <c r="Q13" s="18" t="n">
        <v>1.87155756</v>
      </c>
      <c r="R13" s="20" t="n">
        <v>0.62839951</v>
      </c>
    </row>
    <row r="14" spans="1:18">
      <c r="A14" s="15" t="s">
        <v>574</v>
      </c>
      <c r="B14" s="17" t="n">
        <v>2799</v>
      </c>
      <c r="C14" s="18">
        <f>(2157.0/B14*100)</f>
        <v/>
      </c>
      <c r="D14" s="19" t="n">
        <v>642</v>
      </c>
      <c r="E14" s="18" t="n">
        <v>24.75833752</v>
      </c>
      <c r="F14" s="20" t="n">
        <v>1.8799137</v>
      </c>
      <c r="G14" s="18" t="n">
        <v>73.67120545</v>
      </c>
      <c r="H14" s="20" t="n">
        <v>1.95809523</v>
      </c>
      <c r="I14" s="18" t="s">
        <v>567</v>
      </c>
      <c r="J14" s="20" t="s">
        <v>567</v>
      </c>
      <c r="K14" s="18" t="n">
        <v>0.98479978</v>
      </c>
      <c r="L14" s="20" t="n">
        <v>0.46660517</v>
      </c>
      <c r="M14" s="18" t="n">
        <v>0</v>
      </c>
      <c r="N14" s="20" t="n">
        <v>0</v>
      </c>
      <c r="O14" s="18" t="n">
        <v>0</v>
      </c>
      <c r="P14" s="20" t="n">
        <v>0</v>
      </c>
      <c r="Q14" s="18" t="n">
        <v>0.58565725</v>
      </c>
      <c r="R14" s="20" t="n">
        <v>0.20825139</v>
      </c>
    </row>
    <row r="15" spans="1:18">
      <c r="A15" s="15" t="s">
        <v>575</v>
      </c>
      <c r="B15" s="17" t="n">
        <v>3019</v>
      </c>
      <c r="C15" s="18">
        <f>(2326.0/B15*100)</f>
        <v/>
      </c>
      <c r="D15" s="19" t="n">
        <v>693</v>
      </c>
      <c r="E15" s="18" t="n">
        <v>32.4805484</v>
      </c>
      <c r="F15" s="20" t="n">
        <v>1.74517217</v>
      </c>
      <c r="G15" s="18" t="n">
        <v>65.81326715</v>
      </c>
      <c r="H15" s="20" t="n">
        <v>1.77195709</v>
      </c>
      <c r="I15" s="18" t="s">
        <v>567</v>
      </c>
      <c r="J15" s="20" t="s">
        <v>567</v>
      </c>
      <c r="K15" s="18" t="n">
        <v>0.27748863</v>
      </c>
      <c r="L15" s="20" t="n">
        <v>0.19576198</v>
      </c>
      <c r="M15" s="18" t="n">
        <v>0</v>
      </c>
      <c r="N15" s="20" t="n">
        <v>0</v>
      </c>
      <c r="O15" s="18" t="n">
        <v>0</v>
      </c>
      <c r="P15" s="20" t="n">
        <v>0</v>
      </c>
      <c r="Q15" s="18" t="n">
        <v>1.42869582</v>
      </c>
      <c r="R15" s="20" t="n">
        <v>0.49518279</v>
      </c>
    </row>
    <row r="16" spans="1:18">
      <c r="A16" s="15" t="s">
        <v>576</v>
      </c>
      <c r="B16" s="17" t="n">
        <v>2997</v>
      </c>
      <c r="C16" s="18">
        <f>(2380.0/B16*100)</f>
        <v/>
      </c>
      <c r="D16" s="19" t="n">
        <v>617</v>
      </c>
      <c r="E16" s="18" t="n">
        <v>35.24573938</v>
      </c>
      <c r="F16" s="20" t="n">
        <v>1.6000203</v>
      </c>
      <c r="G16" s="18" t="n">
        <v>59.61511394</v>
      </c>
      <c r="H16" s="20" t="n">
        <v>1.93575515</v>
      </c>
      <c r="I16" s="18" t="s">
        <v>567</v>
      </c>
      <c r="J16" s="20" t="s">
        <v>567</v>
      </c>
      <c r="K16" s="18" t="n">
        <v>2.08975173</v>
      </c>
      <c r="L16" s="20" t="n">
        <v>0.59085833</v>
      </c>
      <c r="M16" s="18" t="n">
        <v>0</v>
      </c>
      <c r="N16" s="20" t="n">
        <v>0</v>
      </c>
      <c r="O16" s="18" t="n">
        <v>0</v>
      </c>
      <c r="P16" s="20" t="n">
        <v>0</v>
      </c>
      <c r="Q16" s="18" t="n">
        <v>3.04939495</v>
      </c>
      <c r="R16" s="20" t="n">
        <v>0.74467588</v>
      </c>
    </row>
    <row r="17" spans="1:18">
      <c r="A17" s="15" t="s">
        <v>577</v>
      </c>
      <c r="B17" s="17" t="n">
        <v>3307</v>
      </c>
      <c r="C17" s="18">
        <f>(2609.0/B17*100)</f>
        <v/>
      </c>
      <c r="D17" s="19" t="n">
        <v>698</v>
      </c>
      <c r="E17" s="18" t="n">
        <v>33.8018766</v>
      </c>
      <c r="F17" s="20" t="n">
        <v>1.69565832</v>
      </c>
      <c r="G17" s="18" t="n">
        <v>65.01572434000001</v>
      </c>
      <c r="H17" s="20" t="n">
        <v>1.73339916</v>
      </c>
      <c r="I17" s="18" t="s">
        <v>567</v>
      </c>
      <c r="J17" s="20" t="s">
        <v>567</v>
      </c>
      <c r="K17" s="18" t="n">
        <v>0.53737252</v>
      </c>
      <c r="L17" s="20" t="n">
        <v>0.2426006</v>
      </c>
      <c r="M17" s="18" t="n">
        <v>0</v>
      </c>
      <c r="N17" s="20" t="n">
        <v>0</v>
      </c>
      <c r="O17" s="18" t="n">
        <v>0</v>
      </c>
      <c r="P17" s="20" t="n">
        <v>0</v>
      </c>
      <c r="Q17" s="18" t="n">
        <v>0.64502654</v>
      </c>
      <c r="R17" s="20" t="n">
        <v>0.30082016</v>
      </c>
    </row>
    <row r="18" spans="1:18">
      <c r="A18" s="15" t="s">
        <v>578</v>
      </c>
      <c r="B18" s="17" t="n">
        <v>2826</v>
      </c>
      <c r="C18" s="18">
        <f>(2219.0/B18*100)</f>
        <v/>
      </c>
      <c r="D18" s="19" t="n">
        <v>607</v>
      </c>
      <c r="E18" s="18" t="n">
        <v>43.28456927</v>
      </c>
      <c r="F18" s="20" t="n">
        <v>2.50674926</v>
      </c>
      <c r="G18" s="18" t="n">
        <v>52.26019532</v>
      </c>
      <c r="H18" s="20" t="n">
        <v>2.30802976</v>
      </c>
      <c r="I18" s="18" t="s">
        <v>567</v>
      </c>
      <c r="J18" s="20" t="s">
        <v>567</v>
      </c>
      <c r="K18" s="18" t="n">
        <v>0.59768428</v>
      </c>
      <c r="L18" s="20" t="n">
        <v>0.30112949</v>
      </c>
      <c r="M18" s="18" t="n">
        <v>0</v>
      </c>
      <c r="N18" s="20" t="n">
        <v>0</v>
      </c>
      <c r="O18" s="18" t="n">
        <v>0</v>
      </c>
      <c r="P18" s="20" t="n">
        <v>0</v>
      </c>
      <c r="Q18" s="18" t="n">
        <v>3.85755113</v>
      </c>
      <c r="R18" s="20" t="n">
        <v>0.94348001</v>
      </c>
    </row>
    <row r="19" spans="1:18">
      <c r="A19" s="15" t="s">
        <v>579</v>
      </c>
      <c r="B19" s="17" t="n">
        <v>2808</v>
      </c>
      <c r="C19" s="18">
        <f>(2191.0/B19*100)</f>
        <v/>
      </c>
      <c r="D19" s="19" t="n">
        <v>617</v>
      </c>
      <c r="E19" s="18" t="n">
        <v>40.7244842</v>
      </c>
      <c r="F19" s="20" t="n">
        <v>2.08814742</v>
      </c>
      <c r="G19" s="18" t="n">
        <v>55.85068744</v>
      </c>
      <c r="H19" s="20" t="n">
        <v>1.99011566</v>
      </c>
      <c r="I19" s="18" t="s">
        <v>567</v>
      </c>
      <c r="J19" s="20" t="s">
        <v>567</v>
      </c>
      <c r="K19" s="18" t="n">
        <v>0.65695326</v>
      </c>
      <c r="L19" s="20" t="n">
        <v>0.43919485</v>
      </c>
      <c r="M19" s="18" t="n">
        <v>0</v>
      </c>
      <c r="N19" s="20" t="n">
        <v>0</v>
      </c>
      <c r="O19" s="18" t="n">
        <v>0</v>
      </c>
      <c r="P19" s="20" t="n">
        <v>0</v>
      </c>
      <c r="Q19" s="18" t="n">
        <v>2.7678751</v>
      </c>
      <c r="R19" s="20" t="n">
        <v>0.87481728</v>
      </c>
    </row>
    <row r="20" spans="1:18">
      <c r="A20" s="15" t="s">
        <v>580</v>
      </c>
      <c r="B20" s="17" t="n">
        <v>1630</v>
      </c>
      <c r="C20" s="18">
        <f>(1289.0/B20*100)</f>
        <v/>
      </c>
      <c r="D20" s="19" t="n">
        <v>341</v>
      </c>
      <c r="E20" s="18" t="n">
        <v>36.31150126</v>
      </c>
      <c r="F20" s="20" t="n">
        <v>2.93147145</v>
      </c>
      <c r="G20" s="18" t="n">
        <v>58.16057897</v>
      </c>
      <c r="H20" s="20" t="n">
        <v>3.06866919</v>
      </c>
      <c r="I20" s="18" t="s">
        <v>567</v>
      </c>
      <c r="J20" s="20" t="s">
        <v>567</v>
      </c>
      <c r="K20" s="18" t="n">
        <v>2.22307687</v>
      </c>
      <c r="L20" s="20" t="n">
        <v>0.95354819</v>
      </c>
      <c r="M20" s="18" t="n">
        <v>0</v>
      </c>
      <c r="N20" s="20" t="n">
        <v>0</v>
      </c>
      <c r="O20" s="18" t="n">
        <v>0</v>
      </c>
      <c r="P20" s="20" t="n">
        <v>0</v>
      </c>
      <c r="Q20" s="18" t="n">
        <v>3.3048429</v>
      </c>
      <c r="R20" s="20" t="n">
        <v>0.8964777900000001</v>
      </c>
    </row>
    <row r="21" spans="1:18">
      <c r="A21" s="15" t="s">
        <v>581</v>
      </c>
      <c r="B21" s="17" t="n">
        <v>2908</v>
      </c>
      <c r="C21" s="18">
        <f>(2247.0/B21*100)</f>
        <v/>
      </c>
      <c r="D21" s="19" t="n">
        <v>661</v>
      </c>
      <c r="E21" s="18" t="n">
        <v>34.20357415</v>
      </c>
      <c r="F21" s="20" t="n">
        <v>2.52756829</v>
      </c>
      <c r="G21" s="18" t="n">
        <v>64.52065407000001</v>
      </c>
      <c r="H21" s="20" t="n">
        <v>2.55779169</v>
      </c>
      <c r="I21" s="18" t="s">
        <v>567</v>
      </c>
      <c r="J21" s="20" t="s">
        <v>567</v>
      </c>
      <c r="K21" s="18" t="n">
        <v>0.84976469</v>
      </c>
      <c r="L21" s="20" t="n">
        <v>0.36291996</v>
      </c>
      <c r="M21" s="18" t="n">
        <v>0</v>
      </c>
      <c r="N21" s="20" t="n">
        <v>0</v>
      </c>
      <c r="O21" s="18" t="n">
        <v>0</v>
      </c>
      <c r="P21" s="20" t="n">
        <v>0</v>
      </c>
      <c r="Q21" s="18" t="n">
        <v>0.42600709</v>
      </c>
      <c r="R21" s="20" t="n">
        <v>0.22636477</v>
      </c>
    </row>
    <row r="22" spans="1:18">
      <c r="A22" s="15" t="s">
        <v>582</v>
      </c>
      <c r="B22" s="17" t="n">
        <v>2931</v>
      </c>
      <c r="C22" s="18">
        <f>(2297.0/B22*100)</f>
        <v/>
      </c>
      <c r="D22" s="19" t="n">
        <v>634</v>
      </c>
      <c r="E22" s="18" t="n">
        <v>46.74518417</v>
      </c>
      <c r="F22" s="20" t="n">
        <v>2.45140319</v>
      </c>
      <c r="G22" s="18" t="n">
        <v>47.36684876</v>
      </c>
      <c r="H22" s="20" t="n">
        <v>2.62883503</v>
      </c>
      <c r="I22" s="18" t="s">
        <v>567</v>
      </c>
      <c r="J22" s="20" t="s">
        <v>567</v>
      </c>
      <c r="K22" s="18" t="n">
        <v>1.97471969</v>
      </c>
      <c r="L22" s="20" t="n">
        <v>0.62898517</v>
      </c>
      <c r="M22" s="18" t="n">
        <v>0</v>
      </c>
      <c r="N22" s="20" t="n">
        <v>0</v>
      </c>
      <c r="O22" s="18" t="n">
        <v>0</v>
      </c>
      <c r="P22" s="20" t="n">
        <v>0</v>
      </c>
      <c r="Q22" s="18" t="n">
        <v>3.91324738</v>
      </c>
      <c r="R22" s="20" t="n">
        <v>0.83527516</v>
      </c>
    </row>
    <row r="23" spans="1:18">
      <c r="A23" s="15" t="s">
        <v>583</v>
      </c>
      <c r="B23" s="17" t="n">
        <v>5791</v>
      </c>
      <c r="C23" s="18">
        <f>(4541.0/B23*100)</f>
        <v/>
      </c>
      <c r="D23" s="19" t="n">
        <v>1250</v>
      </c>
      <c r="E23" s="18" t="n">
        <v>41.73484392</v>
      </c>
      <c r="F23" s="20" t="n">
        <v>1.91788626</v>
      </c>
      <c r="G23" s="18" t="n">
        <v>55.19326863</v>
      </c>
      <c r="H23" s="20" t="n">
        <v>1.82957135</v>
      </c>
      <c r="I23" s="18" t="s">
        <v>567</v>
      </c>
      <c r="J23" s="20" t="s">
        <v>567</v>
      </c>
      <c r="K23" s="18" t="n">
        <v>1.30709814</v>
      </c>
      <c r="L23" s="20" t="n">
        <v>0.46113609</v>
      </c>
      <c r="M23" s="18" t="n">
        <v>0</v>
      </c>
      <c r="N23" s="20" t="n">
        <v>0</v>
      </c>
      <c r="O23" s="18" t="n">
        <v>0</v>
      </c>
      <c r="P23" s="20" t="n">
        <v>0</v>
      </c>
      <c r="Q23" s="18" t="n">
        <v>1.76478931</v>
      </c>
      <c r="R23" s="20" t="n">
        <v>0.58687319</v>
      </c>
    </row>
    <row r="24" spans="1:18">
      <c r="A24" s="15" t="s">
        <v>584</v>
      </c>
      <c r="B24" s="17" t="n">
        <v>3338</v>
      </c>
      <c r="C24" s="18">
        <f>(2603.0/B24*100)</f>
        <v/>
      </c>
      <c r="D24" s="19" t="n">
        <v>735</v>
      </c>
      <c r="E24" s="18" t="n">
        <v>28.42809741</v>
      </c>
      <c r="F24" s="20" t="n">
        <v>1.77476079</v>
      </c>
      <c r="G24" s="18" t="n">
        <v>70.49365781</v>
      </c>
      <c r="H24" s="20" t="n">
        <v>1.79236686</v>
      </c>
      <c r="I24" s="18" t="s">
        <v>567</v>
      </c>
      <c r="J24" s="20" t="s">
        <v>567</v>
      </c>
      <c r="K24" s="18" t="n">
        <v>0.51846837</v>
      </c>
      <c r="L24" s="20" t="n">
        <v>0.26113406</v>
      </c>
      <c r="M24" s="18" t="n">
        <v>0</v>
      </c>
      <c r="N24" s="20" t="n">
        <v>0</v>
      </c>
      <c r="O24" s="18" t="n">
        <v>0</v>
      </c>
      <c r="P24" s="20" t="n">
        <v>0</v>
      </c>
      <c r="Q24" s="18" t="n">
        <v>0.55977641</v>
      </c>
      <c r="R24" s="20" t="n">
        <v>0.28656024</v>
      </c>
    </row>
    <row r="25" spans="1:18">
      <c r="A25" s="15" t="s">
        <v>585</v>
      </c>
      <c r="B25" s="17" t="n">
        <v>2912</v>
      </c>
      <c r="C25" s="18">
        <f>(2269.0/B25*100)</f>
        <v/>
      </c>
      <c r="D25" s="19" t="n">
        <v>643</v>
      </c>
      <c r="E25" s="18" t="n">
        <v>38.6169853</v>
      </c>
      <c r="F25" s="20" t="n">
        <v>1.96553457</v>
      </c>
      <c r="G25" s="18" t="n">
        <v>60.04828779</v>
      </c>
      <c r="H25" s="20" t="n">
        <v>2.02825468</v>
      </c>
      <c r="I25" s="18" t="s">
        <v>567</v>
      </c>
      <c r="J25" s="20" t="s">
        <v>567</v>
      </c>
      <c r="K25" s="18" t="n">
        <v>0.43412854</v>
      </c>
      <c r="L25" s="20" t="n">
        <v>0.25472454</v>
      </c>
      <c r="M25" s="18" t="n">
        <v>0</v>
      </c>
      <c r="N25" s="20" t="n">
        <v>0</v>
      </c>
      <c r="O25" s="18" t="n">
        <v>0</v>
      </c>
      <c r="P25" s="20" t="n">
        <v>0</v>
      </c>
      <c r="Q25" s="18" t="n">
        <v>0.90059837</v>
      </c>
      <c r="R25" s="20" t="n">
        <v>0.36689614</v>
      </c>
    </row>
    <row r="26" spans="1:18">
      <c r="A26" s="15" t="s">
        <v>586</v>
      </c>
      <c r="B26" s="17" t="n">
        <v>2450</v>
      </c>
      <c r="C26" s="18">
        <f>(1897.0/B26*100)</f>
        <v/>
      </c>
      <c r="D26" s="19" t="n">
        <v>553</v>
      </c>
      <c r="E26" s="18" t="n">
        <v>40.69095805</v>
      </c>
      <c r="F26" s="20" t="n">
        <v>2.29901917</v>
      </c>
      <c r="G26" s="18" t="n">
        <v>58.5126057</v>
      </c>
      <c r="H26" s="20" t="n">
        <v>2.36386114</v>
      </c>
      <c r="I26" s="18" t="s">
        <v>567</v>
      </c>
      <c r="J26" s="20" t="s">
        <v>567</v>
      </c>
      <c r="K26" s="18" t="n">
        <v>0</v>
      </c>
      <c r="L26" s="20" t="n">
        <v>0</v>
      </c>
      <c r="M26" s="18" t="n">
        <v>0</v>
      </c>
      <c r="N26" s="20" t="n">
        <v>0</v>
      </c>
      <c r="O26" s="18" t="n">
        <v>0</v>
      </c>
      <c r="P26" s="20" t="n">
        <v>0</v>
      </c>
      <c r="Q26" s="18" t="n">
        <v>0.79643624</v>
      </c>
      <c r="R26" s="20" t="n">
        <v>0.42809851</v>
      </c>
    </row>
    <row r="27" spans="1:18">
      <c r="A27" s="15" t="s">
        <v>587</v>
      </c>
      <c r="B27" s="17" t="n">
        <v>2616</v>
      </c>
      <c r="C27" s="18">
        <f>(2066.0/B27*100)</f>
        <v/>
      </c>
      <c r="D27" s="19" t="n">
        <v>550</v>
      </c>
      <c r="E27" s="18" t="n">
        <v>41.14993951</v>
      </c>
      <c r="F27" s="20" t="n">
        <v>1.97276822</v>
      </c>
      <c r="G27" s="18" t="n">
        <v>57.18064885</v>
      </c>
      <c r="H27" s="20" t="n">
        <v>2.00024828</v>
      </c>
      <c r="I27" s="18" t="s">
        <v>567</v>
      </c>
      <c r="J27" s="20" t="s">
        <v>567</v>
      </c>
      <c r="K27" s="18" t="n">
        <v>0.37386709</v>
      </c>
      <c r="L27" s="20" t="n">
        <v>0.26426725</v>
      </c>
      <c r="M27" s="18" t="n">
        <v>0</v>
      </c>
      <c r="N27" s="20" t="n">
        <v>0</v>
      </c>
      <c r="O27" s="18" t="n">
        <v>0</v>
      </c>
      <c r="P27" s="20" t="n">
        <v>0</v>
      </c>
      <c r="Q27" s="18" t="n">
        <v>1.29554455</v>
      </c>
      <c r="R27" s="20" t="n">
        <v>0.49174517</v>
      </c>
    </row>
    <row r="28" spans="1:18">
      <c r="A28" s="15" t="s">
        <v>588</v>
      </c>
      <c r="B28" s="17" t="n">
        <v>3765</v>
      </c>
      <c r="C28" s="18">
        <f>(2958.0/B28*100)</f>
        <v/>
      </c>
      <c r="D28" s="19" t="n">
        <v>807</v>
      </c>
      <c r="E28" s="18" t="n">
        <v>61.65205642</v>
      </c>
      <c r="F28" s="20" t="n">
        <v>2.02013654</v>
      </c>
      <c r="G28" s="18" t="n">
        <v>34.00650583</v>
      </c>
      <c r="H28" s="20" t="n">
        <v>2.09957757</v>
      </c>
      <c r="I28" s="18" t="s">
        <v>567</v>
      </c>
      <c r="J28" s="20" t="s">
        <v>567</v>
      </c>
      <c r="K28" s="18" t="n">
        <v>0.83329832</v>
      </c>
      <c r="L28" s="20" t="n">
        <v>0.36462236</v>
      </c>
      <c r="M28" s="18" t="n">
        <v>0</v>
      </c>
      <c r="N28" s="20" t="n">
        <v>0</v>
      </c>
      <c r="O28" s="18" t="n">
        <v>0</v>
      </c>
      <c r="P28" s="20" t="n">
        <v>0</v>
      </c>
      <c r="Q28" s="18" t="n">
        <v>3.50813943</v>
      </c>
      <c r="R28" s="20" t="n">
        <v>0.92489839</v>
      </c>
    </row>
    <row r="29" spans="1:18">
      <c r="A29" s="15" t="s">
        <v>589</v>
      </c>
      <c r="B29" s="17" t="n">
        <v>2685</v>
      </c>
      <c r="C29" s="18">
        <f>(2100.0/B29*100)</f>
        <v/>
      </c>
      <c r="D29" s="19" t="n">
        <v>585</v>
      </c>
      <c r="E29" s="18" t="n">
        <v>33.69894363</v>
      </c>
      <c r="F29" s="20" t="n">
        <v>2.13521468</v>
      </c>
      <c r="G29" s="18" t="n">
        <v>65.65628454</v>
      </c>
      <c r="H29" s="20" t="n">
        <v>2.17323668</v>
      </c>
      <c r="I29" s="18" t="s">
        <v>567</v>
      </c>
      <c r="J29" s="20" t="s">
        <v>567</v>
      </c>
      <c r="K29" s="18" t="n">
        <v>0.30389219</v>
      </c>
      <c r="L29" s="20" t="n">
        <v>0.24791332</v>
      </c>
      <c r="M29" s="18" t="n">
        <v>0</v>
      </c>
      <c r="N29" s="20" t="n">
        <v>0</v>
      </c>
      <c r="O29" s="18" t="n">
        <v>0</v>
      </c>
      <c r="P29" s="20" t="n">
        <v>0</v>
      </c>
      <c r="Q29" s="18" t="n">
        <v>0.34087964</v>
      </c>
      <c r="R29" s="20" t="n">
        <v>0.25210122</v>
      </c>
    </row>
    <row r="30" spans="1:18">
      <c r="A30" s="15" t="s">
        <v>590</v>
      </c>
      <c r="B30" s="17" t="n">
        <v>2263</v>
      </c>
      <c r="C30" s="18">
        <f>(1772.0/B30*100)</f>
        <v/>
      </c>
      <c r="D30" s="19" t="n">
        <v>491</v>
      </c>
      <c r="E30" s="18" t="n">
        <v>37.47132818</v>
      </c>
      <c r="F30" s="20" t="n">
        <v>2.50293693</v>
      </c>
      <c r="G30" s="18" t="n">
        <v>58.59611625</v>
      </c>
      <c r="H30" s="20" t="n">
        <v>2.7038059</v>
      </c>
      <c r="I30" s="18" t="s">
        <v>567</v>
      </c>
      <c r="J30" s="20" t="s">
        <v>567</v>
      </c>
      <c r="K30" s="18" t="n">
        <v>0.84556297</v>
      </c>
      <c r="L30" s="20" t="n">
        <v>0.40739313</v>
      </c>
      <c r="M30" s="18" t="n">
        <v>0</v>
      </c>
      <c r="N30" s="20" t="n">
        <v>0</v>
      </c>
      <c r="O30" s="18" t="n">
        <v>0</v>
      </c>
      <c r="P30" s="20" t="n">
        <v>0</v>
      </c>
      <c r="Q30" s="18" t="n">
        <v>3.0869926</v>
      </c>
      <c r="R30" s="20" t="n">
        <v>0.87633094</v>
      </c>
    </row>
    <row r="31" spans="1:18">
      <c r="A31" s="15" t="s">
        <v>591</v>
      </c>
      <c r="B31" s="17" t="n">
        <v>2750</v>
      </c>
      <c r="C31" s="18">
        <f>(2160.0/B31*100)</f>
        <v/>
      </c>
      <c r="D31" s="19" t="n">
        <v>590</v>
      </c>
      <c r="E31" s="18" t="n">
        <v>32.40616604</v>
      </c>
      <c r="F31" s="20" t="n">
        <v>2.31619633</v>
      </c>
      <c r="G31" s="18" t="n">
        <v>63.44697202</v>
      </c>
      <c r="H31" s="20" t="n">
        <v>2.2789439</v>
      </c>
      <c r="I31" s="18" t="s">
        <v>567</v>
      </c>
      <c r="J31" s="20" t="s">
        <v>567</v>
      </c>
      <c r="K31" s="18" t="n">
        <v>1.78345404</v>
      </c>
      <c r="L31" s="20" t="n">
        <v>0.6334988499999999</v>
      </c>
      <c r="M31" s="18" t="n">
        <v>0</v>
      </c>
      <c r="N31" s="20" t="n">
        <v>0</v>
      </c>
      <c r="O31" s="18" t="n">
        <v>0</v>
      </c>
      <c r="P31" s="20" t="n">
        <v>0</v>
      </c>
      <c r="Q31" s="18" t="n">
        <v>2.3634079</v>
      </c>
      <c r="R31" s="20" t="n">
        <v>0.67531702</v>
      </c>
    </row>
    <row r="32" spans="1:18">
      <c r="A32" s="15" t="s">
        <v>592</v>
      </c>
      <c r="B32" s="17" t="n">
        <v>2269</v>
      </c>
      <c r="C32" s="18">
        <f>(1766.0/B32*100)</f>
        <v/>
      </c>
      <c r="D32" s="19" t="n">
        <v>503</v>
      </c>
      <c r="E32" s="18" t="n">
        <v>30.08329955</v>
      </c>
      <c r="F32" s="20" t="n">
        <v>2.19663442</v>
      </c>
      <c r="G32" s="18" t="n">
        <v>69.67772408</v>
      </c>
      <c r="H32" s="20" t="n">
        <v>2.15847021</v>
      </c>
      <c r="I32" s="18" t="s">
        <v>567</v>
      </c>
      <c r="J32" s="20" t="s">
        <v>567</v>
      </c>
      <c r="K32" s="18" t="n">
        <v>0.23897637</v>
      </c>
      <c r="L32" s="20" t="n">
        <v>0.23489597</v>
      </c>
      <c r="M32" s="18" t="n">
        <v>0</v>
      </c>
      <c r="N32" s="20" t="n">
        <v>0</v>
      </c>
      <c r="O32" s="18" t="n">
        <v>0</v>
      </c>
      <c r="P32" s="20" t="n">
        <v>0</v>
      </c>
      <c r="Q32" s="18" t="n">
        <v>0</v>
      </c>
      <c r="R32" s="20" t="n">
        <v>0</v>
      </c>
    </row>
    <row r="33" spans="1:18">
      <c r="A33" s="15" t="s">
        <v>593</v>
      </c>
      <c r="B33" s="17" t="n">
        <v>3674</v>
      </c>
      <c r="C33" s="18">
        <f>(2877.0/B33*100)</f>
        <v/>
      </c>
      <c r="D33" s="19" t="n">
        <v>797</v>
      </c>
      <c r="E33" s="18" t="n">
        <v>34.10864082</v>
      </c>
      <c r="F33" s="20" t="n">
        <v>1.96486048</v>
      </c>
      <c r="G33" s="18" t="n">
        <v>64.24230068999999</v>
      </c>
      <c r="H33" s="20" t="n">
        <v>2.17354003</v>
      </c>
      <c r="I33" s="18" t="s">
        <v>567</v>
      </c>
      <c r="J33" s="20" t="s">
        <v>567</v>
      </c>
      <c r="K33" s="18" t="n">
        <v>0.67194995</v>
      </c>
      <c r="L33" s="20" t="n">
        <v>0.30621949</v>
      </c>
      <c r="M33" s="18" t="n">
        <v>0</v>
      </c>
      <c r="N33" s="20" t="n">
        <v>0</v>
      </c>
      <c r="O33" s="18" t="n">
        <v>0</v>
      </c>
      <c r="P33" s="20" t="n">
        <v>0</v>
      </c>
      <c r="Q33" s="18" t="n">
        <v>0.97710854</v>
      </c>
      <c r="R33" s="20" t="n">
        <v>0.46212444</v>
      </c>
    </row>
    <row r="34" spans="1:18">
      <c r="A34" s="15" t="s">
        <v>594</v>
      </c>
      <c r="B34" s="17" t="n">
        <v>3315</v>
      </c>
      <c r="C34" s="18">
        <f>(2617.0/B34*100)</f>
        <v/>
      </c>
      <c r="D34" s="19" t="n">
        <v>698</v>
      </c>
      <c r="E34" s="18" t="n">
        <v>44.10214498</v>
      </c>
      <c r="F34" s="20" t="n">
        <v>2.07277723</v>
      </c>
      <c r="G34" s="18" t="n">
        <v>52.16629699</v>
      </c>
      <c r="H34" s="20" t="n">
        <v>1.98911638</v>
      </c>
      <c r="I34" s="18" t="s">
        <v>567</v>
      </c>
      <c r="J34" s="20" t="s">
        <v>567</v>
      </c>
      <c r="K34" s="18" t="n">
        <v>0.60443298</v>
      </c>
      <c r="L34" s="20" t="n">
        <v>0.38953255</v>
      </c>
      <c r="M34" s="18" t="n">
        <v>0</v>
      </c>
      <c r="N34" s="20" t="n">
        <v>0</v>
      </c>
      <c r="O34" s="18" t="n">
        <v>0</v>
      </c>
      <c r="P34" s="20" t="n">
        <v>0</v>
      </c>
      <c r="Q34" s="18" t="n">
        <v>3.12712504</v>
      </c>
      <c r="R34" s="20" t="n">
        <v>0.67303511</v>
      </c>
    </row>
    <row r="35" spans="1:18">
      <c r="A35" s="15" t="s">
        <v>595</v>
      </c>
      <c r="B35" s="17" t="n">
        <v>3505</v>
      </c>
      <c r="C35" s="18">
        <f>(2787.0/B35*100)</f>
        <v/>
      </c>
      <c r="D35" s="19" t="n">
        <v>718</v>
      </c>
      <c r="E35" s="18" t="n">
        <v>33.87369143</v>
      </c>
      <c r="F35" s="20" t="n">
        <v>2.39475821</v>
      </c>
      <c r="G35" s="18" t="n">
        <v>64.26298187</v>
      </c>
      <c r="H35" s="20" t="n">
        <v>2.52615596</v>
      </c>
      <c r="I35" s="18" t="s">
        <v>567</v>
      </c>
      <c r="J35" s="20" t="s">
        <v>567</v>
      </c>
      <c r="K35" s="18" t="n">
        <v>0.18772173</v>
      </c>
      <c r="L35" s="20" t="n">
        <v>0.13937505</v>
      </c>
      <c r="M35" s="18" t="n">
        <v>0</v>
      </c>
      <c r="N35" s="20" t="n">
        <v>0</v>
      </c>
      <c r="O35" s="18" t="n">
        <v>0</v>
      </c>
      <c r="P35" s="20" t="n">
        <v>0</v>
      </c>
      <c r="Q35" s="18" t="n">
        <v>1.67560497</v>
      </c>
      <c r="R35" s="20" t="n">
        <v>0.62146703</v>
      </c>
    </row>
    <row r="36" spans="1:18">
      <c r="A36" s="15" t="s">
        <v>596</v>
      </c>
      <c r="B36" s="17" t="n">
        <v>3332</v>
      </c>
      <c r="C36" s="18">
        <f>(2604.0/B36*100)</f>
        <v/>
      </c>
      <c r="D36" s="19" t="n">
        <v>728</v>
      </c>
      <c r="E36" s="18" t="n">
        <v>33.1380418</v>
      </c>
      <c r="F36" s="20" t="n">
        <v>2.01526275</v>
      </c>
      <c r="G36" s="18" t="n">
        <v>63.63214573</v>
      </c>
      <c r="H36" s="20" t="n">
        <v>1.99546171</v>
      </c>
      <c r="I36" s="18" t="s">
        <v>567</v>
      </c>
      <c r="J36" s="20" t="s">
        <v>567</v>
      </c>
      <c r="K36" s="18" t="n">
        <v>1.46971177</v>
      </c>
      <c r="L36" s="20" t="n">
        <v>0.41072093</v>
      </c>
      <c r="M36" s="18" t="n">
        <v>0</v>
      </c>
      <c r="N36" s="20" t="n">
        <v>0</v>
      </c>
      <c r="O36" s="18" t="n">
        <v>0</v>
      </c>
      <c r="P36" s="20" t="n">
        <v>0</v>
      </c>
      <c r="Q36" s="18" t="n">
        <v>1.7601007</v>
      </c>
      <c r="R36" s="20" t="n">
        <v>0.56028912</v>
      </c>
    </row>
    <row r="37" spans="1:18">
      <c r="A37" s="15" t="s">
        <v>597</v>
      </c>
      <c r="B37" s="17" t="n">
        <v>2727</v>
      </c>
      <c r="C37" s="18">
        <f>(2128.0/B37*100)</f>
        <v/>
      </c>
      <c r="D37" s="19" t="n">
        <v>599</v>
      </c>
      <c r="E37" s="18" t="n">
        <v>33.57149628</v>
      </c>
      <c r="F37" s="20" t="n">
        <v>2.00394739</v>
      </c>
      <c r="G37" s="18" t="n">
        <v>58.577408</v>
      </c>
      <c r="H37" s="20" t="n">
        <v>2.34833343</v>
      </c>
      <c r="I37" s="18" t="s">
        <v>567</v>
      </c>
      <c r="J37" s="20" t="s">
        <v>567</v>
      </c>
      <c r="K37" s="18" t="n">
        <v>1.48297694</v>
      </c>
      <c r="L37" s="20" t="n">
        <v>0.36821773</v>
      </c>
      <c r="M37" s="18" t="n">
        <v>0</v>
      </c>
      <c r="N37" s="20" t="n">
        <v>0</v>
      </c>
      <c r="O37" s="18" t="n">
        <v>0</v>
      </c>
      <c r="P37" s="20" t="n">
        <v>0</v>
      </c>
      <c r="Q37" s="18" t="n">
        <v>6.36811877</v>
      </c>
      <c r="R37" s="20" t="n">
        <v>1.06960679</v>
      </c>
    </row>
    <row r="38" spans="1:18">
      <c r="A38" s="15" t="s">
        <v>598</v>
      </c>
      <c r="B38" s="17" t="n">
        <v>3053</v>
      </c>
      <c r="C38" s="18">
        <f>(2384.0/B38*100)</f>
        <v/>
      </c>
      <c r="D38" s="19" t="n">
        <v>669</v>
      </c>
      <c r="E38" s="18" t="n">
        <v>36.394523</v>
      </c>
      <c r="F38" s="20" t="n">
        <v>2.17600988</v>
      </c>
      <c r="G38" s="18" t="n">
        <v>60.51656373</v>
      </c>
      <c r="H38" s="20" t="n">
        <v>2.188851</v>
      </c>
      <c r="I38" s="18" t="s">
        <v>567</v>
      </c>
      <c r="J38" s="20" t="s">
        <v>567</v>
      </c>
      <c r="K38" s="18" t="n">
        <v>1.16075471</v>
      </c>
      <c r="L38" s="20" t="n">
        <v>0.40643351</v>
      </c>
      <c r="M38" s="18" t="n">
        <v>0</v>
      </c>
      <c r="N38" s="20" t="n">
        <v>0</v>
      </c>
      <c r="O38" s="18" t="n">
        <v>0</v>
      </c>
      <c r="P38" s="20" t="n">
        <v>0</v>
      </c>
      <c r="Q38" s="18" t="n">
        <v>1.92815855</v>
      </c>
      <c r="R38" s="20" t="n">
        <v>0.57355017</v>
      </c>
    </row>
    <row r="39" spans="1:18">
      <c r="A39" s="15" t="s">
        <v>599</v>
      </c>
      <c r="B39" s="17" t="n">
        <v>2957</v>
      </c>
      <c r="C39" s="18">
        <f>(2265.0/B39*100)</f>
        <v/>
      </c>
      <c r="D39" s="19" t="n">
        <v>692</v>
      </c>
      <c r="E39" s="18" t="n">
        <v>60.30245337</v>
      </c>
      <c r="F39" s="20" t="n">
        <v>2.09295784</v>
      </c>
      <c r="G39" s="18" t="n">
        <v>36.54313004</v>
      </c>
      <c r="H39" s="20" t="n">
        <v>2.10678417</v>
      </c>
      <c r="I39" s="18" t="s">
        <v>567</v>
      </c>
      <c r="J39" s="20" t="s">
        <v>567</v>
      </c>
      <c r="K39" s="18" t="n">
        <v>0.37608141</v>
      </c>
      <c r="L39" s="20" t="n">
        <v>0.19082667</v>
      </c>
      <c r="M39" s="18" t="n">
        <v>0</v>
      </c>
      <c r="N39" s="20" t="n">
        <v>0</v>
      </c>
      <c r="O39" s="18" t="n">
        <v>0</v>
      </c>
      <c r="P39" s="20" t="n">
        <v>0</v>
      </c>
      <c r="Q39" s="18" t="n">
        <v>2.77833518</v>
      </c>
      <c r="R39" s="20" t="n">
        <v>0.69534532</v>
      </c>
    </row>
    <row r="40" spans="1:18">
      <c r="A40" s="15" t="s">
        <v>600</v>
      </c>
      <c r="B40" s="17" t="n">
        <v>7235</v>
      </c>
      <c r="C40" s="18">
        <f>(5675.0/B40*100)</f>
        <v/>
      </c>
      <c r="D40" s="19" t="n">
        <v>1560</v>
      </c>
      <c r="E40" s="18" t="n">
        <v>36.83347663</v>
      </c>
      <c r="F40" s="20" t="n">
        <v>1.87836011</v>
      </c>
      <c r="G40" s="18" t="n">
        <v>60.68291042</v>
      </c>
      <c r="H40" s="20" t="n">
        <v>2.00172944</v>
      </c>
      <c r="I40" s="18" t="s">
        <v>567</v>
      </c>
      <c r="J40" s="20" t="s">
        <v>567</v>
      </c>
      <c r="K40" s="18" t="n">
        <v>0.95623663</v>
      </c>
      <c r="L40" s="20" t="n">
        <v>0.42816699</v>
      </c>
      <c r="M40" s="18" t="n">
        <v>0</v>
      </c>
      <c r="N40" s="20" t="n">
        <v>0</v>
      </c>
      <c r="O40" s="18" t="n">
        <v>0</v>
      </c>
      <c r="P40" s="20" t="n">
        <v>0</v>
      </c>
      <c r="Q40" s="18" t="n">
        <v>1.52737631</v>
      </c>
      <c r="R40" s="20" t="n">
        <v>0.35207345</v>
      </c>
    </row>
    <row r="41" spans="1:18">
      <c r="A41" s="15" t="s">
        <v>601</v>
      </c>
      <c r="B41" s="17" t="n">
        <v>2858</v>
      </c>
      <c r="C41" s="18">
        <f>(2300.0/B41*100)</f>
        <v/>
      </c>
      <c r="D41" s="19" t="n">
        <v>558</v>
      </c>
      <c r="E41" s="18" t="n">
        <v>38.44440321</v>
      </c>
      <c r="F41" s="20" t="n">
        <v>2.50785665</v>
      </c>
      <c r="G41" s="18" t="n">
        <v>59.07238986</v>
      </c>
      <c r="H41" s="20" t="n">
        <v>2.63923429</v>
      </c>
      <c r="I41" s="18" t="s">
        <v>567</v>
      </c>
      <c r="J41" s="20" t="s">
        <v>567</v>
      </c>
      <c r="K41" s="18" t="n">
        <v>1.12873261</v>
      </c>
      <c r="L41" s="20" t="n">
        <v>0.56511933</v>
      </c>
      <c r="M41" s="18" t="n">
        <v>0</v>
      </c>
      <c r="N41" s="20" t="n">
        <v>0</v>
      </c>
      <c r="O41" s="18" t="n">
        <v>0</v>
      </c>
      <c r="P41" s="20" t="n">
        <v>0</v>
      </c>
      <c r="Q41" s="18" t="n">
        <v>1.35447431</v>
      </c>
      <c r="R41" s="20" t="n">
        <v>0.64038119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(9298.0/B46*100)</f>
        <v/>
      </c>
      <c r="D46" s="19" t="n">
        <v>1770</v>
      </c>
      <c r="E46" s="18" t="n">
        <v>54.95738955</v>
      </c>
      <c r="F46" s="20" t="n">
        <v>1.50843693</v>
      </c>
      <c r="G46" s="18" t="n">
        <v>31.07400433</v>
      </c>
      <c r="H46" s="20" t="n">
        <v>1.36518281</v>
      </c>
      <c r="I46" s="18" t="s">
        <v>567</v>
      </c>
      <c r="J46" s="20" t="s">
        <v>567</v>
      </c>
      <c r="K46" s="18" t="n">
        <v>2.59065882</v>
      </c>
      <c r="L46" s="20" t="n">
        <v>0.47616591</v>
      </c>
      <c r="M46" s="18" t="n">
        <v>0</v>
      </c>
      <c r="N46" s="20" t="n">
        <v>0</v>
      </c>
      <c r="O46" s="18" t="n">
        <v>0</v>
      </c>
      <c r="P46" s="20" t="n">
        <v>0</v>
      </c>
      <c r="Q46" s="18" t="n">
        <v>11.37794731</v>
      </c>
      <c r="R46" s="20" t="n">
        <v>1.18402731</v>
      </c>
    </row>
    <row r="47" spans="1:18">
      <c r="A47" s="15" t="s">
        <v>607</v>
      </c>
      <c r="B47" s="17" t="n">
        <v>3105</v>
      </c>
      <c r="C47" s="18">
        <f>(2405.0/B47*100)</f>
        <v/>
      </c>
      <c r="D47" s="19" t="n">
        <v>700</v>
      </c>
      <c r="E47" s="18" t="n">
        <v>46.47229475</v>
      </c>
      <c r="F47" s="20" t="n">
        <v>2.25175057</v>
      </c>
      <c r="G47" s="18" t="n">
        <v>45.60098714</v>
      </c>
      <c r="H47" s="20" t="n">
        <v>2.39710394</v>
      </c>
      <c r="I47" s="18" t="s">
        <v>567</v>
      </c>
      <c r="J47" s="20" t="s">
        <v>567</v>
      </c>
      <c r="K47" s="18" t="n">
        <v>0.83019759</v>
      </c>
      <c r="L47" s="20" t="n">
        <v>0.31091891</v>
      </c>
      <c r="M47" s="18" t="n">
        <v>0</v>
      </c>
      <c r="N47" s="20" t="n">
        <v>0</v>
      </c>
      <c r="O47" s="18" t="n">
        <v>0</v>
      </c>
      <c r="P47" s="20" t="n">
        <v>0</v>
      </c>
      <c r="Q47" s="18" t="n">
        <v>7.09652053</v>
      </c>
      <c r="R47" s="20" t="n">
        <v>1.11781494</v>
      </c>
    </row>
    <row r="48" spans="1:18">
      <c r="A48" s="15" t="s">
        <v>608</v>
      </c>
      <c r="B48" s="17" t="n">
        <v>5159</v>
      </c>
      <c r="C48" s="18">
        <f>(4048.0/B48*100)</f>
        <v/>
      </c>
      <c r="D48" s="19" t="n">
        <v>1111</v>
      </c>
      <c r="E48" s="18" t="n">
        <v>36.74709506</v>
      </c>
      <c r="F48" s="20" t="n">
        <v>1.64130551</v>
      </c>
      <c r="G48" s="18" t="n">
        <v>59.91736041</v>
      </c>
      <c r="H48" s="20" t="n">
        <v>1.82075111</v>
      </c>
      <c r="I48" s="18" t="s">
        <v>567</v>
      </c>
      <c r="J48" s="20" t="s">
        <v>567</v>
      </c>
      <c r="K48" s="18" t="n">
        <v>0.66322867</v>
      </c>
      <c r="L48" s="20" t="n">
        <v>0.29961328</v>
      </c>
      <c r="M48" s="18" t="n">
        <v>0</v>
      </c>
      <c r="N48" s="20" t="n">
        <v>0</v>
      </c>
      <c r="O48" s="18" t="n">
        <v>0</v>
      </c>
      <c r="P48" s="20" t="n">
        <v>0</v>
      </c>
      <c r="Q48" s="18" t="n">
        <v>2.67231587</v>
      </c>
      <c r="R48" s="20" t="n">
        <v>0.53764965</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(4415.0/B50*100)</f>
        <v/>
      </c>
      <c r="D50" s="19" t="n">
        <v>1222</v>
      </c>
      <c r="E50" s="18" t="n">
        <v>54.80427943</v>
      </c>
      <c r="F50" s="20" t="n">
        <v>2.024757</v>
      </c>
      <c r="G50" s="18" t="n">
        <v>37.52619151</v>
      </c>
      <c r="H50" s="20" t="n">
        <v>1.97855291</v>
      </c>
      <c r="I50" s="18" t="s">
        <v>567</v>
      </c>
      <c r="J50" s="20" t="s">
        <v>567</v>
      </c>
      <c r="K50" s="18" t="n">
        <v>2.58249155</v>
      </c>
      <c r="L50" s="20" t="n">
        <v>0.6576171200000001</v>
      </c>
      <c r="M50" s="18" t="n">
        <v>0</v>
      </c>
      <c r="N50" s="20" t="n">
        <v>0</v>
      </c>
      <c r="O50" s="18" t="n">
        <v>0</v>
      </c>
      <c r="P50" s="20" t="n">
        <v>0</v>
      </c>
      <c r="Q50" s="18" t="n">
        <v>5.0870375</v>
      </c>
      <c r="R50" s="20" t="n">
        <v>0.84295637</v>
      </c>
    </row>
    <row r="51" spans="1:18">
      <c r="A51" s="15" t="s">
        <v>611</v>
      </c>
      <c r="B51" s="17" t="n">
        <v>3372</v>
      </c>
      <c r="C51" s="18">
        <f>(2774.0/B51*100)</f>
        <v/>
      </c>
      <c r="D51" s="19" t="n">
        <v>598</v>
      </c>
      <c r="E51" s="18" t="n">
        <v>43.59498522</v>
      </c>
      <c r="F51" s="20" t="n">
        <v>1.96965822</v>
      </c>
      <c r="G51" s="18" t="n">
        <v>50.95511052</v>
      </c>
      <c r="H51" s="20" t="n">
        <v>1.99107117</v>
      </c>
      <c r="I51" s="18" t="s">
        <v>567</v>
      </c>
      <c r="J51" s="20" t="s">
        <v>567</v>
      </c>
      <c r="K51" s="18" t="n">
        <v>0.49474065</v>
      </c>
      <c r="L51" s="20" t="n">
        <v>0.28602967</v>
      </c>
      <c r="M51" s="18" t="n">
        <v>0</v>
      </c>
      <c r="N51" s="20" t="n">
        <v>0</v>
      </c>
      <c r="O51" s="18" t="n">
        <v>0</v>
      </c>
      <c r="P51" s="20" t="n">
        <v>0</v>
      </c>
      <c r="Q51" s="18" t="n">
        <v>4.9551636</v>
      </c>
      <c r="R51" s="20" t="n">
        <v>0.88574769</v>
      </c>
    </row>
    <row r="52" spans="1:18">
      <c r="A52" s="15" t="s">
        <v>612</v>
      </c>
      <c r="B52" s="17" t="n">
        <v>2796</v>
      </c>
      <c r="C52" s="18">
        <f>(2217.0/B52*100)</f>
        <v/>
      </c>
      <c r="D52" s="19" t="n">
        <v>579</v>
      </c>
      <c r="E52" s="18" t="n">
        <v>37.4208284</v>
      </c>
      <c r="F52" s="20" t="n">
        <v>2.07865972</v>
      </c>
      <c r="G52" s="18" t="n">
        <v>59.65711788</v>
      </c>
      <c r="H52" s="20" t="n">
        <v>2.10559208</v>
      </c>
      <c r="I52" s="18" t="s">
        <v>567</v>
      </c>
      <c r="J52" s="20" t="s">
        <v>567</v>
      </c>
      <c r="K52" s="18" t="n">
        <v>0.42561332</v>
      </c>
      <c r="L52" s="20" t="n">
        <v>0.24017448</v>
      </c>
      <c r="M52" s="18" t="n">
        <v>0</v>
      </c>
      <c r="N52" s="20" t="n">
        <v>0</v>
      </c>
      <c r="O52" s="18" t="n">
        <v>0</v>
      </c>
      <c r="P52" s="20" t="n">
        <v>0</v>
      </c>
      <c r="Q52" s="18" t="n">
        <v>2.4964404</v>
      </c>
      <c r="R52" s="20" t="n">
        <v>0.64224722</v>
      </c>
    </row>
    <row r="53" spans="1:18">
      <c r="A53" s="15" t="s">
        <v>613</v>
      </c>
      <c r="B53" s="17" t="n">
        <v>2811</v>
      </c>
      <c r="C53" s="18">
        <f>(2178.0/B53*100)</f>
        <v/>
      </c>
      <c r="D53" s="19" t="n">
        <v>633</v>
      </c>
      <c r="E53" s="18" t="n">
        <v>50.23673424</v>
      </c>
      <c r="F53" s="20" t="n">
        <v>1.89675137</v>
      </c>
      <c r="G53" s="18" t="n">
        <v>44.63952363</v>
      </c>
      <c r="H53" s="20" t="n">
        <v>1.88245036</v>
      </c>
      <c r="I53" s="18" t="s">
        <v>567</v>
      </c>
      <c r="J53" s="20" t="s">
        <v>567</v>
      </c>
      <c r="K53" s="18" t="n">
        <v>1.2783681</v>
      </c>
      <c r="L53" s="20" t="n">
        <v>0.40348451</v>
      </c>
      <c r="M53" s="18" t="n">
        <v>0</v>
      </c>
      <c r="N53" s="20" t="n">
        <v>0</v>
      </c>
      <c r="O53" s="18" t="n">
        <v>0</v>
      </c>
      <c r="P53" s="20" t="n">
        <v>0</v>
      </c>
      <c r="Q53" s="18" t="n">
        <v>3.84537404</v>
      </c>
      <c r="R53" s="20" t="n">
        <v>0.81986671</v>
      </c>
    </row>
    <row r="54" spans="1:18">
      <c r="A54" s="15" t="s">
        <v>614</v>
      </c>
      <c r="B54" s="17" t="n">
        <v>2266</v>
      </c>
      <c r="C54" s="18">
        <f>(1763.0/B54*100)</f>
        <v/>
      </c>
      <c r="D54" s="19" t="n">
        <v>503</v>
      </c>
      <c r="E54" s="18" t="n">
        <v>50.46110296</v>
      </c>
      <c r="F54" s="20" t="n">
        <v>2.54665441</v>
      </c>
      <c r="G54" s="18" t="n">
        <v>15.17433804</v>
      </c>
      <c r="H54" s="20" t="n">
        <v>1.4767931</v>
      </c>
      <c r="I54" s="18" t="s">
        <v>567</v>
      </c>
      <c r="J54" s="20" t="s">
        <v>567</v>
      </c>
      <c r="K54" s="18" t="n">
        <v>14.63504754</v>
      </c>
      <c r="L54" s="20" t="n">
        <v>1.52524551</v>
      </c>
      <c r="M54" s="18" t="n">
        <v>0</v>
      </c>
      <c r="N54" s="20" t="n">
        <v>0</v>
      </c>
      <c r="O54" s="18" t="n">
        <v>0</v>
      </c>
      <c r="P54" s="20" t="n">
        <v>0</v>
      </c>
      <c r="Q54" s="18" t="n">
        <v>19.72951147</v>
      </c>
      <c r="R54" s="20" t="n">
        <v>2.0470511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(2119.0/B56*100)</f>
        <v/>
      </c>
      <c r="D56" s="19" t="n">
        <v>565</v>
      </c>
      <c r="E56" s="18" t="n">
        <v>29.46221164</v>
      </c>
      <c r="F56" s="20" t="n">
        <v>2.28685513</v>
      </c>
      <c r="G56" s="18" t="n">
        <v>69.27947662</v>
      </c>
      <c r="H56" s="20" t="n">
        <v>2.25812406</v>
      </c>
      <c r="I56" s="18" t="s">
        <v>567</v>
      </c>
      <c r="J56" s="20" t="s">
        <v>567</v>
      </c>
      <c r="K56" s="18" t="n">
        <v>0.45710167</v>
      </c>
      <c r="L56" s="20" t="n">
        <v>0.34163235</v>
      </c>
      <c r="M56" s="18" t="n">
        <v>0</v>
      </c>
      <c r="N56" s="20" t="n">
        <v>0</v>
      </c>
      <c r="O56" s="18" t="n">
        <v>0</v>
      </c>
      <c r="P56" s="20" t="n">
        <v>0</v>
      </c>
      <c r="Q56" s="18" t="n">
        <v>0.8012100599999999</v>
      </c>
      <c r="R56" s="20" t="n">
        <v>0.35838446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(2600.0/B61*100)</f>
        <v/>
      </c>
      <c r="D61" s="19" t="n">
        <v>724</v>
      </c>
      <c r="E61" s="18" t="n">
        <v>47.29148861</v>
      </c>
      <c r="F61" s="20" t="n">
        <v>2.15074668</v>
      </c>
      <c r="G61" s="18" t="n">
        <v>50.47400162</v>
      </c>
      <c r="H61" s="20" t="n">
        <v>2.11360586</v>
      </c>
      <c r="I61" s="18" t="s">
        <v>567</v>
      </c>
      <c r="J61" s="20" t="s">
        <v>567</v>
      </c>
      <c r="K61" s="18" t="n">
        <v>0.51064365</v>
      </c>
      <c r="L61" s="20" t="n">
        <v>0.30081507</v>
      </c>
      <c r="M61" s="18" t="n">
        <v>0</v>
      </c>
      <c r="N61" s="20" t="n">
        <v>0</v>
      </c>
      <c r="O61" s="18" t="n">
        <v>0</v>
      </c>
      <c r="P61" s="20" t="n">
        <v>0</v>
      </c>
      <c r="Q61" s="18" t="n">
        <v>1.72386613</v>
      </c>
      <c r="R61" s="20" t="n">
        <v>0.5543871</v>
      </c>
    </row>
    <row r="62" spans="1:18">
      <c r="A62" s="15" t="s">
        <v>622</v>
      </c>
      <c r="B62" s="17" t="n">
        <v>2246</v>
      </c>
      <c r="C62" s="18">
        <f>(1738.0/B62*100)</f>
        <v/>
      </c>
      <c r="D62" s="19" t="n">
        <v>508</v>
      </c>
      <c r="E62" s="18" t="n">
        <v>29.34447212</v>
      </c>
      <c r="F62" s="20" t="n">
        <v>2.44062572</v>
      </c>
      <c r="G62" s="18" t="n">
        <v>69.86259088</v>
      </c>
      <c r="H62" s="20" t="n">
        <v>2.43879058</v>
      </c>
      <c r="I62" s="18" t="s">
        <v>567</v>
      </c>
      <c r="J62" s="20" t="s">
        <v>567</v>
      </c>
      <c r="K62" s="18" t="n">
        <v>0.20220314</v>
      </c>
      <c r="L62" s="20" t="n">
        <v>0.20158581</v>
      </c>
      <c r="M62" s="18" t="n">
        <v>0</v>
      </c>
      <c r="N62" s="20" t="n">
        <v>0</v>
      </c>
      <c r="O62" s="18" t="n">
        <v>0</v>
      </c>
      <c r="P62" s="20" t="n">
        <v>0</v>
      </c>
      <c r="Q62" s="18" t="n">
        <v>0.5907338600000001</v>
      </c>
      <c r="R62" s="20" t="n">
        <v>0.31139945</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(2273.0/B66*100)</f>
        <v/>
      </c>
      <c r="D66" s="19" t="n">
        <v>621</v>
      </c>
      <c r="E66" s="18" t="n">
        <v>49.52846918</v>
      </c>
      <c r="F66" s="20" t="n">
        <v>1.89682553</v>
      </c>
      <c r="G66" s="18" t="n">
        <v>34.79988877</v>
      </c>
      <c r="H66" s="20" t="n">
        <v>1.88389357</v>
      </c>
      <c r="I66" s="18" t="s">
        <v>567</v>
      </c>
      <c r="J66" s="20" t="s">
        <v>567</v>
      </c>
      <c r="K66" s="18" t="n">
        <v>1.99168341</v>
      </c>
      <c r="L66" s="20" t="n">
        <v>0.68295033</v>
      </c>
      <c r="M66" s="18" t="n">
        <v>0</v>
      </c>
      <c r="N66" s="20" t="n">
        <v>0</v>
      </c>
      <c r="O66" s="18" t="n">
        <v>0</v>
      </c>
      <c r="P66" s="20" t="n">
        <v>0</v>
      </c>
      <c r="Q66" s="18" t="n">
        <v>13.67995863</v>
      </c>
      <c r="R66" s="20" t="n">
        <v>1.13075383</v>
      </c>
    </row>
    <row r="67" spans="1:18">
      <c r="A67" s="15" t="s">
        <v>627</v>
      </c>
      <c r="B67" s="17" t="n">
        <v>3511</v>
      </c>
      <c r="C67" s="18">
        <f>(2850.0/B67*100)</f>
        <v/>
      </c>
      <c r="D67" s="19" t="n">
        <v>661</v>
      </c>
      <c r="E67" s="18" t="n">
        <v>57.3254902</v>
      </c>
      <c r="F67" s="20" t="n">
        <v>2.27172294</v>
      </c>
      <c r="G67" s="18" t="n">
        <v>36.97541873</v>
      </c>
      <c r="H67" s="20" t="n">
        <v>2.36549651</v>
      </c>
      <c r="I67" s="18" t="s">
        <v>567</v>
      </c>
      <c r="J67" s="20" t="s">
        <v>567</v>
      </c>
      <c r="K67" s="18" t="n">
        <v>0.99871942</v>
      </c>
      <c r="L67" s="20" t="n">
        <v>0.3970281</v>
      </c>
      <c r="M67" s="18" t="n">
        <v>0</v>
      </c>
      <c r="N67" s="20" t="n">
        <v>0</v>
      </c>
      <c r="O67" s="18" t="n">
        <v>0</v>
      </c>
      <c r="P67" s="20" t="n">
        <v>0</v>
      </c>
      <c r="Q67" s="18" t="n">
        <v>4.70037164</v>
      </c>
      <c r="R67" s="20" t="n">
        <v>0.8577069899999999</v>
      </c>
    </row>
    <row r="68" spans="1:18">
      <c r="A68" s="15" t="s">
        <v>628</v>
      </c>
      <c r="B68" s="17" t="n">
        <v>6049</v>
      </c>
      <c r="C68" s="18">
        <f>(4700.0/B68*100)</f>
        <v/>
      </c>
      <c r="D68" s="19" t="n">
        <v>1349</v>
      </c>
      <c r="E68" s="18" t="n">
        <v>56.89169054</v>
      </c>
      <c r="F68" s="20" t="n">
        <v>1.32353621</v>
      </c>
      <c r="G68" s="18" t="n">
        <v>31.86183944</v>
      </c>
      <c r="H68" s="20" t="n">
        <v>1.15951693</v>
      </c>
      <c r="I68" s="18" t="s">
        <v>567</v>
      </c>
      <c r="J68" s="20" t="s">
        <v>567</v>
      </c>
      <c r="K68" s="18" t="n">
        <v>5.39571188</v>
      </c>
      <c r="L68" s="20" t="n">
        <v>0.62571524</v>
      </c>
      <c r="M68" s="18" t="n">
        <v>0</v>
      </c>
      <c r="N68" s="20" t="n">
        <v>0</v>
      </c>
      <c r="O68" s="18" t="n">
        <v>0</v>
      </c>
      <c r="P68" s="20" t="n">
        <v>0</v>
      </c>
      <c r="Q68" s="18" t="n">
        <v>5.85075814</v>
      </c>
      <c r="R68" s="20" t="n">
        <v>0.56573041</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(2302.0/B70*100)</f>
        <v/>
      </c>
      <c r="D70" s="19" t="n">
        <v>627</v>
      </c>
      <c r="E70" s="18" t="n">
        <v>35.34813124</v>
      </c>
      <c r="F70" s="20" t="n">
        <v>2.34018335</v>
      </c>
      <c r="G70" s="18" t="n">
        <v>61.45891185</v>
      </c>
      <c r="H70" s="20" t="n">
        <v>2.52551679</v>
      </c>
      <c r="I70" s="18" t="s">
        <v>567</v>
      </c>
      <c r="J70" s="20" t="s">
        <v>567</v>
      </c>
      <c r="K70" s="18" t="n">
        <v>0.81947952</v>
      </c>
      <c r="L70" s="20" t="n">
        <v>0.35677617</v>
      </c>
      <c r="M70" s="18" t="n">
        <v>0</v>
      </c>
      <c r="N70" s="20" t="n">
        <v>0</v>
      </c>
      <c r="O70" s="18" t="n">
        <v>0</v>
      </c>
      <c r="P70" s="20" t="n">
        <v>0</v>
      </c>
      <c r="Q70" s="18" t="n">
        <v>2.37347739</v>
      </c>
      <c r="R70" s="20" t="n">
        <v>0.61096489</v>
      </c>
    </row>
    <row r="71" spans="1:18">
      <c r="A71" s="15" t="s">
        <v>631</v>
      </c>
      <c r="B71" s="17" t="n">
        <v>3142</v>
      </c>
      <c r="C71" s="18">
        <f>(2446.0/B71*100)</f>
        <v/>
      </c>
      <c r="D71" s="19" t="n">
        <v>696</v>
      </c>
      <c r="E71" s="18" t="n">
        <v>27.72045995</v>
      </c>
      <c r="F71" s="20" t="n">
        <v>1.61126061</v>
      </c>
      <c r="G71" s="18" t="n">
        <v>71.54940089999999</v>
      </c>
      <c r="H71" s="20" t="n">
        <v>1.59503023</v>
      </c>
      <c r="I71" s="18" t="s">
        <v>567</v>
      </c>
      <c r="J71" s="20" t="s">
        <v>567</v>
      </c>
      <c r="K71" s="18" t="n">
        <v>0.432641</v>
      </c>
      <c r="L71" s="20" t="n">
        <v>0.25135005</v>
      </c>
      <c r="M71" s="18" t="n">
        <v>0</v>
      </c>
      <c r="N71" s="20" t="n">
        <v>0</v>
      </c>
      <c r="O71" s="18" t="n">
        <v>0</v>
      </c>
      <c r="P71" s="20" t="n">
        <v>0</v>
      </c>
      <c r="Q71" s="18" t="n">
        <v>0.29749815</v>
      </c>
      <c r="R71" s="20" t="n">
        <v>0.20259322</v>
      </c>
    </row>
    <row r="72" spans="1:18">
      <c r="A72" s="15" t="s">
        <v>632</v>
      </c>
      <c r="B72" s="17" t="n">
        <v>3889</v>
      </c>
      <c r="C72" s="18">
        <f>(3054.0/B72*100)</f>
        <v/>
      </c>
      <c r="D72" s="19" t="n">
        <v>835</v>
      </c>
      <c r="E72" s="18" t="n">
        <v>25.87974419</v>
      </c>
      <c r="F72" s="20" t="n">
        <v>1.68017284</v>
      </c>
      <c r="G72" s="18" t="n">
        <v>72.17179829</v>
      </c>
      <c r="H72" s="20" t="n">
        <v>1.7365815</v>
      </c>
      <c r="I72" s="18" t="s">
        <v>567</v>
      </c>
      <c r="J72" s="20" t="s">
        <v>567</v>
      </c>
      <c r="K72" s="18" t="n">
        <v>0.66527604</v>
      </c>
      <c r="L72" s="20" t="n">
        <v>0.27526918</v>
      </c>
      <c r="M72" s="18" t="n">
        <v>0</v>
      </c>
      <c r="N72" s="20" t="n">
        <v>0</v>
      </c>
      <c r="O72" s="18" t="n">
        <v>0</v>
      </c>
      <c r="P72" s="20" t="n">
        <v>0</v>
      </c>
      <c r="Q72" s="18" t="n">
        <v>1.28318149</v>
      </c>
      <c r="R72" s="20" t="n">
        <v>0.32362957</v>
      </c>
    </row>
    <row r="73" spans="1:18">
      <c r="A73" s="15" t="s">
        <v>633</v>
      </c>
      <c r="B73" s="17" t="n">
        <v>3597</v>
      </c>
      <c r="C73" s="18">
        <f>(2858.0/B73*100)</f>
        <v/>
      </c>
      <c r="D73" s="19" t="n">
        <v>739</v>
      </c>
      <c r="E73" s="18" t="n">
        <v>64.18201706000001</v>
      </c>
      <c r="F73" s="20" t="n">
        <v>2.37602587</v>
      </c>
      <c r="G73" s="18" t="n">
        <v>32.56627324</v>
      </c>
      <c r="H73" s="20" t="n">
        <v>2.38770055</v>
      </c>
      <c r="I73" s="18" t="s">
        <v>567</v>
      </c>
      <c r="J73" s="20" t="s">
        <v>567</v>
      </c>
      <c r="K73" s="18" t="n">
        <v>0</v>
      </c>
      <c r="L73" s="20" t="n">
        <v>0</v>
      </c>
      <c r="M73" s="18" t="n">
        <v>0</v>
      </c>
      <c r="N73" s="20" t="n">
        <v>0</v>
      </c>
      <c r="O73" s="18" t="n">
        <v>0</v>
      </c>
      <c r="P73" s="20" t="n">
        <v>0</v>
      </c>
      <c r="Q73" s="18" t="n">
        <v>3.2517097</v>
      </c>
      <c r="R73" s="20" t="n">
        <v>0.84904484</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(1942.0/B75*100)</f>
        <v/>
      </c>
      <c r="D75" s="19" t="n">
        <v>464</v>
      </c>
      <c r="E75" s="18" t="n">
        <v>55.36541752</v>
      </c>
      <c r="F75" s="20" t="n">
        <v>2.18934606</v>
      </c>
      <c r="G75" s="18" t="n">
        <v>36.08033107</v>
      </c>
      <c r="H75" s="20" t="n">
        <v>2.34013264</v>
      </c>
      <c r="I75" s="18" t="s">
        <v>567</v>
      </c>
      <c r="J75" s="20" t="s">
        <v>567</v>
      </c>
      <c r="K75" s="18" t="n">
        <v>4.64834076</v>
      </c>
      <c r="L75" s="20" t="n">
        <v>0.94251207</v>
      </c>
      <c r="M75" s="18" t="n">
        <v>0</v>
      </c>
      <c r="N75" s="20" t="n">
        <v>0</v>
      </c>
      <c r="O75" s="18" t="n">
        <v>0</v>
      </c>
      <c r="P75" s="20" t="n">
        <v>0</v>
      </c>
      <c r="Q75" s="18" t="n">
        <v>3.90591065</v>
      </c>
      <c r="R75" s="20" t="n">
        <v>0.9308383</v>
      </c>
    </row>
    <row r="76" spans="1:18">
      <c r="A76" s="15" t="s">
        <v>636</v>
      </c>
      <c r="B76" s="17" t="n">
        <v>7052</v>
      </c>
      <c r="C76" s="18">
        <f>(5558.0/B76*100)</f>
        <v/>
      </c>
      <c r="D76" s="19" t="n">
        <v>1494</v>
      </c>
      <c r="E76" s="18" t="n">
        <v>56.89395289</v>
      </c>
      <c r="F76" s="20" t="n">
        <v>1.61890752</v>
      </c>
      <c r="G76" s="18" t="n">
        <v>37.56177404</v>
      </c>
      <c r="H76" s="20" t="n">
        <v>1.63266116</v>
      </c>
      <c r="I76" s="18" t="s">
        <v>567</v>
      </c>
      <c r="J76" s="20" t="s">
        <v>567</v>
      </c>
      <c r="K76" s="18" t="n">
        <v>2.16520006</v>
      </c>
      <c r="L76" s="20" t="n">
        <v>0.51537047</v>
      </c>
      <c r="M76" s="18" t="n">
        <v>0</v>
      </c>
      <c r="N76" s="20" t="n">
        <v>0</v>
      </c>
      <c r="O76" s="18" t="n">
        <v>0</v>
      </c>
      <c r="P76" s="20" t="n">
        <v>0</v>
      </c>
      <c r="Q76" s="18" t="n">
        <v>3.37907301</v>
      </c>
      <c r="R76" s="20" t="n">
        <v>0.50857839</v>
      </c>
    </row>
    <row r="77" spans="1:18">
      <c r="A77" s="15" t="s">
        <v>637</v>
      </c>
      <c r="B77" s="17" t="n">
        <v>2908</v>
      </c>
      <c r="C77" s="18">
        <f>(2284.0/B77*100)</f>
        <v/>
      </c>
      <c r="D77" s="19" t="n">
        <v>624</v>
      </c>
      <c r="E77" s="18" t="n">
        <v>45.53109986</v>
      </c>
      <c r="F77" s="20" t="n">
        <v>2.0284244</v>
      </c>
      <c r="G77" s="18" t="n">
        <v>45.18962416</v>
      </c>
      <c r="H77" s="20" t="n">
        <v>2.12631816</v>
      </c>
      <c r="I77" s="18" t="s">
        <v>567</v>
      </c>
      <c r="J77" s="20" t="s">
        <v>567</v>
      </c>
      <c r="K77" s="18" t="n">
        <v>2.32153689</v>
      </c>
      <c r="L77" s="20" t="n">
        <v>0.71334274</v>
      </c>
      <c r="M77" s="18" t="n">
        <v>0</v>
      </c>
      <c r="N77" s="20" t="n">
        <v>0</v>
      </c>
      <c r="O77" s="18" t="n">
        <v>0</v>
      </c>
      <c r="P77" s="20" t="n">
        <v>0</v>
      </c>
      <c r="Q77" s="18" t="n">
        <v>6.95773909</v>
      </c>
      <c r="R77" s="20" t="n">
        <v>1.4211535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(3244.0/B81*100)</f>
        <v/>
      </c>
      <c r="D81" s="19" t="n">
        <v>919</v>
      </c>
      <c r="E81" s="18" t="n">
        <v>52.43275301</v>
      </c>
      <c r="F81" s="20" t="n">
        <v>2.23756305</v>
      </c>
      <c r="G81" s="18" t="n">
        <v>45.73109887</v>
      </c>
      <c r="H81" s="20" t="n">
        <v>2.1808202</v>
      </c>
      <c r="I81" s="18" t="s">
        <v>567</v>
      </c>
      <c r="J81" s="20" t="s">
        <v>567</v>
      </c>
      <c r="K81" s="18" t="n">
        <v>0.82367409</v>
      </c>
      <c r="L81" s="20" t="n">
        <v>0.39293819</v>
      </c>
      <c r="M81" s="18" t="n">
        <v>0</v>
      </c>
      <c r="N81" s="20" t="n">
        <v>0</v>
      </c>
      <c r="O81" s="18" t="n">
        <v>0</v>
      </c>
      <c r="P81" s="20" t="n">
        <v>0</v>
      </c>
      <c r="Q81" s="18" t="n">
        <v>1.01247403</v>
      </c>
      <c r="R81" s="20" t="n">
        <v>0.42408422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(5846.0/B7*100)</f>
        <v/>
      </c>
      <c r="D7" s="19" t="n">
        <v>1521</v>
      </c>
      <c r="E7" s="18" t="n">
        <v>46.44287639</v>
      </c>
      <c r="F7" s="20" t="n">
        <v>1.76221449</v>
      </c>
      <c r="G7" s="18" t="n">
        <v>50.4687117</v>
      </c>
      <c r="H7" s="20" t="n">
        <v>1.75453438</v>
      </c>
      <c r="I7" s="18" t="s">
        <v>567</v>
      </c>
      <c r="J7" s="20" t="s">
        <v>567</v>
      </c>
      <c r="K7" s="18" t="n">
        <v>0.8049695100000001</v>
      </c>
      <c r="L7" s="20" t="n">
        <v>0.25178625</v>
      </c>
      <c r="M7" s="18" t="n">
        <v>0</v>
      </c>
      <c r="N7" s="20" t="n">
        <v>0</v>
      </c>
      <c r="O7" s="18" t="n">
        <v>0</v>
      </c>
      <c r="P7" s="20" t="n">
        <v>0</v>
      </c>
      <c r="Q7" s="18" t="n">
        <v>2.2834424</v>
      </c>
      <c r="R7" s="20" t="n">
        <v>0.45632759</v>
      </c>
    </row>
    <row r="8" spans="1:18">
      <c r="A8" s="15" t="s">
        <v>568</v>
      </c>
      <c r="B8" s="17" t="n">
        <v>3564</v>
      </c>
      <c r="C8" s="18">
        <f>(2771.0/B8*100)</f>
        <v/>
      </c>
      <c r="D8" s="19" t="n">
        <v>793</v>
      </c>
      <c r="E8" s="18" t="n">
        <v>49.75134667</v>
      </c>
      <c r="F8" s="20" t="n">
        <v>1.6454286</v>
      </c>
      <c r="G8" s="18" t="n">
        <v>44.89758479</v>
      </c>
      <c r="H8" s="20" t="n">
        <v>1.7088235</v>
      </c>
      <c r="I8" s="18" t="s">
        <v>567</v>
      </c>
      <c r="J8" s="20" t="s">
        <v>567</v>
      </c>
      <c r="K8" s="18" t="n">
        <v>0.97983822</v>
      </c>
      <c r="L8" s="20" t="n">
        <v>0.36395531</v>
      </c>
      <c r="M8" s="18" t="n">
        <v>0</v>
      </c>
      <c r="N8" s="20" t="n">
        <v>0</v>
      </c>
      <c r="O8" s="18" t="n">
        <v>0</v>
      </c>
      <c r="P8" s="20" t="n">
        <v>0</v>
      </c>
      <c r="Q8" s="18" t="n">
        <v>4.37123033</v>
      </c>
      <c r="R8" s="20" t="n">
        <v>0.84091037</v>
      </c>
    </row>
    <row r="9" spans="1:18">
      <c r="A9" s="15" t="s">
        <v>569</v>
      </c>
      <c r="B9" s="17" t="n">
        <v>4899</v>
      </c>
      <c r="C9" s="18">
        <f>(3919.0/B9*100)</f>
        <v/>
      </c>
      <c r="D9" s="19" t="n">
        <v>980</v>
      </c>
      <c r="E9" s="18" t="n">
        <v>56.36355627</v>
      </c>
      <c r="F9" s="20" t="n">
        <v>1.7020328</v>
      </c>
      <c r="G9" s="18" t="n">
        <v>40.07319807</v>
      </c>
      <c r="H9" s="20" t="n">
        <v>1.64813678</v>
      </c>
      <c r="I9" s="18" t="s">
        <v>567</v>
      </c>
      <c r="J9" s="20" t="s">
        <v>567</v>
      </c>
      <c r="K9" s="18" t="n">
        <v>1.05028555</v>
      </c>
      <c r="L9" s="20" t="n">
        <v>0.35319331</v>
      </c>
      <c r="M9" s="18" t="n">
        <v>0</v>
      </c>
      <c r="N9" s="20" t="n">
        <v>0</v>
      </c>
      <c r="O9" s="18" t="n">
        <v>0</v>
      </c>
      <c r="P9" s="20" t="n">
        <v>0</v>
      </c>
      <c r="Q9" s="18" t="n">
        <v>2.51296011</v>
      </c>
      <c r="R9" s="20" t="n">
        <v>0.68747645</v>
      </c>
    </row>
    <row r="10" spans="1:18">
      <c r="A10" s="15" t="s">
        <v>570</v>
      </c>
      <c r="B10" s="17" t="n">
        <v>10036</v>
      </c>
      <c r="C10" s="18">
        <f>(7839.0/B10*100)</f>
        <v/>
      </c>
      <c r="D10" s="19" t="n">
        <v>2197</v>
      </c>
      <c r="E10" s="18" t="n">
        <v>45.17418096</v>
      </c>
      <c r="F10" s="20" t="n">
        <v>1.37403883</v>
      </c>
      <c r="G10" s="18" t="n">
        <v>52.09237117</v>
      </c>
      <c r="H10" s="20" t="n">
        <v>1.38137944</v>
      </c>
      <c r="I10" s="18" t="s">
        <v>567</v>
      </c>
      <c r="J10" s="20" t="s">
        <v>567</v>
      </c>
      <c r="K10" s="18" t="n">
        <v>1.08763581</v>
      </c>
      <c r="L10" s="20" t="n">
        <v>0.31131661</v>
      </c>
      <c r="M10" s="18" t="n">
        <v>0</v>
      </c>
      <c r="N10" s="20" t="n">
        <v>0</v>
      </c>
      <c r="O10" s="18" t="n">
        <v>0</v>
      </c>
      <c r="P10" s="20" t="n">
        <v>0</v>
      </c>
      <c r="Q10" s="18" t="n">
        <v>1.64581206</v>
      </c>
      <c r="R10" s="20" t="n">
        <v>0.34661889</v>
      </c>
    </row>
    <row r="11" spans="1:18">
      <c r="A11" s="15" t="s">
        <v>571</v>
      </c>
      <c r="B11" s="17" t="n">
        <v>3553</v>
      </c>
      <c r="C11" s="18">
        <f>(2796.0/B11*100)</f>
        <v/>
      </c>
      <c r="D11" s="19" t="n">
        <v>757</v>
      </c>
      <c r="E11" s="18" t="n">
        <v>62.56853457</v>
      </c>
      <c r="F11" s="20" t="n">
        <v>1.86935694</v>
      </c>
      <c r="G11" s="18" t="n">
        <v>31.37242687</v>
      </c>
      <c r="H11" s="20" t="n">
        <v>1.75093725</v>
      </c>
      <c r="I11" s="18" t="s">
        <v>567</v>
      </c>
      <c r="J11" s="20" t="s">
        <v>567</v>
      </c>
      <c r="K11" s="18" t="n">
        <v>2.4957532</v>
      </c>
      <c r="L11" s="20" t="n">
        <v>0.66790564</v>
      </c>
      <c r="M11" s="18" t="n">
        <v>0</v>
      </c>
      <c r="N11" s="20" t="n">
        <v>0</v>
      </c>
      <c r="O11" s="18" t="n">
        <v>0</v>
      </c>
      <c r="P11" s="20" t="n">
        <v>0</v>
      </c>
      <c r="Q11" s="18" t="n">
        <v>3.56328535</v>
      </c>
      <c r="R11" s="20" t="n">
        <v>0.73950752</v>
      </c>
    </row>
    <row r="12" spans="1:18">
      <c r="A12" s="15" t="s">
        <v>572</v>
      </c>
      <c r="B12" s="17" t="n">
        <v>3472</v>
      </c>
      <c r="C12" s="18">
        <f>(2729.0/B12*100)</f>
        <v/>
      </c>
      <c r="D12" s="19" t="n">
        <v>743</v>
      </c>
      <c r="E12" s="18" t="n">
        <v>58.11724795</v>
      </c>
      <c r="F12" s="20" t="n">
        <v>2.10663572</v>
      </c>
      <c r="G12" s="18" t="n">
        <v>39.77439447</v>
      </c>
      <c r="H12" s="20" t="n">
        <v>2.05212996</v>
      </c>
      <c r="I12" s="18" t="s">
        <v>567</v>
      </c>
      <c r="J12" s="20" t="s">
        <v>567</v>
      </c>
      <c r="K12" s="18" t="n">
        <v>0.12565251</v>
      </c>
      <c r="L12" s="20" t="n">
        <v>0.12785017</v>
      </c>
      <c r="M12" s="18" t="n">
        <v>0</v>
      </c>
      <c r="N12" s="20" t="n">
        <v>0</v>
      </c>
      <c r="O12" s="18" t="n">
        <v>0</v>
      </c>
      <c r="P12" s="20" t="n">
        <v>0</v>
      </c>
      <c r="Q12" s="18" t="n">
        <v>1.98270508</v>
      </c>
      <c r="R12" s="20" t="n">
        <v>0.66192816</v>
      </c>
    </row>
    <row r="13" spans="1:18">
      <c r="A13" s="15" t="s">
        <v>573</v>
      </c>
      <c r="B13" s="17" t="n">
        <v>3559</v>
      </c>
      <c r="C13" s="18">
        <f>(2848.0/B13*100)</f>
        <v/>
      </c>
      <c r="D13" s="19" t="n">
        <v>711</v>
      </c>
      <c r="E13" s="18" t="n">
        <v>38.91190944</v>
      </c>
      <c r="F13" s="20" t="n">
        <v>2.22275178</v>
      </c>
      <c r="G13" s="18" t="n">
        <v>59.10048433</v>
      </c>
      <c r="H13" s="20" t="n">
        <v>2.39732509</v>
      </c>
      <c r="I13" s="18" t="s">
        <v>567</v>
      </c>
      <c r="J13" s="20" t="s">
        <v>567</v>
      </c>
      <c r="K13" s="18" t="n">
        <v>0.68606077</v>
      </c>
      <c r="L13" s="20" t="n">
        <v>0.40665017</v>
      </c>
      <c r="M13" s="18" t="n">
        <v>0</v>
      </c>
      <c r="N13" s="20" t="n">
        <v>0</v>
      </c>
      <c r="O13" s="18" t="n">
        <v>0</v>
      </c>
      <c r="P13" s="20" t="n">
        <v>0</v>
      </c>
      <c r="Q13" s="18" t="n">
        <v>1.30154546</v>
      </c>
      <c r="R13" s="20" t="n">
        <v>0.49444614</v>
      </c>
    </row>
    <row r="14" spans="1:18">
      <c r="A14" s="15" t="s">
        <v>574</v>
      </c>
      <c r="B14" s="17" t="n">
        <v>2799</v>
      </c>
      <c r="C14" s="18">
        <f>(2157.0/B14*100)</f>
        <v/>
      </c>
      <c r="D14" s="19" t="n">
        <v>642</v>
      </c>
      <c r="E14" s="18" t="n">
        <v>45.58282002</v>
      </c>
      <c r="F14" s="20" t="n">
        <v>2.28810246</v>
      </c>
      <c r="G14" s="18" t="n">
        <v>51.73993889</v>
      </c>
      <c r="H14" s="20" t="n">
        <v>2.06880671</v>
      </c>
      <c r="I14" s="18" t="s">
        <v>567</v>
      </c>
      <c r="J14" s="20" t="s">
        <v>567</v>
      </c>
      <c r="K14" s="18" t="n">
        <v>1.51343795</v>
      </c>
      <c r="L14" s="20" t="n">
        <v>0.63204008</v>
      </c>
      <c r="M14" s="18" t="n">
        <v>0</v>
      </c>
      <c r="N14" s="20" t="n">
        <v>0</v>
      </c>
      <c r="O14" s="18" t="n">
        <v>0</v>
      </c>
      <c r="P14" s="20" t="n">
        <v>0</v>
      </c>
      <c r="Q14" s="18" t="n">
        <v>1.16380314</v>
      </c>
      <c r="R14" s="20" t="n">
        <v>0.48668804</v>
      </c>
    </row>
    <row r="15" spans="1:18">
      <c r="A15" s="15" t="s">
        <v>575</v>
      </c>
      <c r="B15" s="17" t="n">
        <v>3019</v>
      </c>
      <c r="C15" s="18">
        <f>(2327.0/B15*100)</f>
        <v/>
      </c>
      <c r="D15" s="19" t="n">
        <v>692</v>
      </c>
      <c r="E15" s="18" t="n">
        <v>41.93467456</v>
      </c>
      <c r="F15" s="20" t="n">
        <v>2.07777011</v>
      </c>
      <c r="G15" s="18" t="n">
        <v>56.46468084</v>
      </c>
      <c r="H15" s="20" t="n">
        <v>2.00673819</v>
      </c>
      <c r="I15" s="18" t="s">
        <v>567</v>
      </c>
      <c r="J15" s="20" t="s">
        <v>567</v>
      </c>
      <c r="K15" s="18" t="n">
        <v>0.42494074</v>
      </c>
      <c r="L15" s="20" t="n">
        <v>0.24504682</v>
      </c>
      <c r="M15" s="18" t="n">
        <v>0</v>
      </c>
      <c r="N15" s="20" t="n">
        <v>0</v>
      </c>
      <c r="O15" s="18" t="n">
        <v>0</v>
      </c>
      <c r="P15" s="20" t="n">
        <v>0</v>
      </c>
      <c r="Q15" s="18" t="n">
        <v>1.17570386</v>
      </c>
      <c r="R15" s="20" t="n">
        <v>0.41817349</v>
      </c>
    </row>
    <row r="16" spans="1:18">
      <c r="A16" s="15" t="s">
        <v>576</v>
      </c>
      <c r="B16" s="17" t="n">
        <v>2997</v>
      </c>
      <c r="C16" s="18">
        <f>(2380.0/B16*100)</f>
        <v/>
      </c>
      <c r="D16" s="19" t="n">
        <v>617</v>
      </c>
      <c r="E16" s="18" t="n">
        <v>58.67620334</v>
      </c>
      <c r="F16" s="20" t="n">
        <v>1.8635545</v>
      </c>
      <c r="G16" s="18" t="n">
        <v>36.33416031</v>
      </c>
      <c r="H16" s="20" t="n">
        <v>1.92374828</v>
      </c>
      <c r="I16" s="18" t="s">
        <v>567</v>
      </c>
      <c r="J16" s="20" t="s">
        <v>567</v>
      </c>
      <c r="K16" s="18" t="n">
        <v>2.40741413</v>
      </c>
      <c r="L16" s="20" t="n">
        <v>0.67824165</v>
      </c>
      <c r="M16" s="18" t="n">
        <v>0</v>
      </c>
      <c r="N16" s="20" t="n">
        <v>0</v>
      </c>
      <c r="O16" s="18" t="n">
        <v>0</v>
      </c>
      <c r="P16" s="20" t="n">
        <v>0</v>
      </c>
      <c r="Q16" s="18" t="n">
        <v>2.58222222</v>
      </c>
      <c r="R16" s="20" t="n">
        <v>0.74036614</v>
      </c>
    </row>
    <row r="17" spans="1:18">
      <c r="A17" s="15" t="s">
        <v>577</v>
      </c>
      <c r="B17" s="17" t="n">
        <v>3307</v>
      </c>
      <c r="C17" s="18">
        <f>(2610.0/B17*100)</f>
        <v/>
      </c>
      <c r="D17" s="19" t="n">
        <v>697</v>
      </c>
      <c r="E17" s="18" t="n">
        <v>51.15232994</v>
      </c>
      <c r="F17" s="20" t="n">
        <v>1.75331263</v>
      </c>
      <c r="G17" s="18" t="n">
        <v>46.91868489</v>
      </c>
      <c r="H17" s="20" t="n">
        <v>1.80445672</v>
      </c>
      <c r="I17" s="18" t="s">
        <v>567</v>
      </c>
      <c r="J17" s="20" t="s">
        <v>567</v>
      </c>
      <c r="K17" s="18" t="n">
        <v>0.6484744</v>
      </c>
      <c r="L17" s="20" t="n">
        <v>0.28729654</v>
      </c>
      <c r="M17" s="18" t="n">
        <v>0</v>
      </c>
      <c r="N17" s="20" t="n">
        <v>0</v>
      </c>
      <c r="O17" s="18" t="n">
        <v>0</v>
      </c>
      <c r="P17" s="20" t="n">
        <v>0</v>
      </c>
      <c r="Q17" s="18" t="n">
        <v>1.28051077</v>
      </c>
      <c r="R17" s="20" t="n">
        <v>0.36263071</v>
      </c>
    </row>
    <row r="18" spans="1:18">
      <c r="A18" s="15" t="s">
        <v>578</v>
      </c>
      <c r="B18" s="17" t="n">
        <v>2826</v>
      </c>
      <c r="C18" s="18">
        <f>(2219.0/B18*100)</f>
        <v/>
      </c>
      <c r="D18" s="19" t="n">
        <v>607</v>
      </c>
      <c r="E18" s="18" t="n">
        <v>68.15242395</v>
      </c>
      <c r="F18" s="20" t="n">
        <v>2.21437335</v>
      </c>
      <c r="G18" s="18" t="n">
        <v>28.48353629</v>
      </c>
      <c r="H18" s="20" t="n">
        <v>2.23289275</v>
      </c>
      <c r="I18" s="18" t="s">
        <v>567</v>
      </c>
      <c r="J18" s="20" t="s">
        <v>567</v>
      </c>
      <c r="K18" s="18" t="n">
        <v>0.72111125</v>
      </c>
      <c r="L18" s="20" t="n">
        <v>0.32514608</v>
      </c>
      <c r="M18" s="18" t="n">
        <v>0</v>
      </c>
      <c r="N18" s="20" t="n">
        <v>0</v>
      </c>
      <c r="O18" s="18" t="n">
        <v>0</v>
      </c>
      <c r="P18" s="20" t="n">
        <v>0</v>
      </c>
      <c r="Q18" s="18" t="n">
        <v>2.64292851</v>
      </c>
      <c r="R18" s="20" t="n">
        <v>0.84047888</v>
      </c>
    </row>
    <row r="19" spans="1:18">
      <c r="A19" s="15" t="s">
        <v>579</v>
      </c>
      <c r="B19" s="17" t="n">
        <v>2808</v>
      </c>
      <c r="C19" s="18">
        <f>(2192.0/B19*100)</f>
        <v/>
      </c>
      <c r="D19" s="19" t="n">
        <v>616</v>
      </c>
      <c r="E19" s="18" t="n">
        <v>51.9429784</v>
      </c>
      <c r="F19" s="20" t="n">
        <v>2.42463019</v>
      </c>
      <c r="G19" s="18" t="n">
        <v>45.66239304</v>
      </c>
      <c r="H19" s="20" t="n">
        <v>2.56766181</v>
      </c>
      <c r="I19" s="18" t="s">
        <v>567</v>
      </c>
      <c r="J19" s="20" t="s">
        <v>567</v>
      </c>
      <c r="K19" s="18" t="n">
        <v>0.65793655</v>
      </c>
      <c r="L19" s="20" t="n">
        <v>0.43984612</v>
      </c>
      <c r="M19" s="18" t="n">
        <v>0</v>
      </c>
      <c r="N19" s="20" t="n">
        <v>0</v>
      </c>
      <c r="O19" s="18" t="n">
        <v>0</v>
      </c>
      <c r="P19" s="20" t="n">
        <v>0</v>
      </c>
      <c r="Q19" s="18" t="n">
        <v>1.73669201</v>
      </c>
      <c r="R19" s="20" t="n">
        <v>0.61568279</v>
      </c>
    </row>
    <row r="20" spans="1:18">
      <c r="A20" s="15" t="s">
        <v>580</v>
      </c>
      <c r="B20" s="17" t="n">
        <v>1630</v>
      </c>
      <c r="C20" s="18">
        <f>(1291.0/B20*100)</f>
        <v/>
      </c>
      <c r="D20" s="19" t="n">
        <v>339</v>
      </c>
      <c r="E20" s="18" t="n">
        <v>59.11313614</v>
      </c>
      <c r="F20" s="20" t="n">
        <v>2.48355141</v>
      </c>
      <c r="G20" s="18" t="n">
        <v>35.39775903</v>
      </c>
      <c r="H20" s="20" t="n">
        <v>2.53893542</v>
      </c>
      <c r="I20" s="18" t="s">
        <v>567</v>
      </c>
      <c r="J20" s="20" t="s">
        <v>567</v>
      </c>
      <c r="K20" s="18" t="n">
        <v>2.5179362</v>
      </c>
      <c r="L20" s="20" t="n">
        <v>0.9958365</v>
      </c>
      <c r="M20" s="18" t="n">
        <v>0</v>
      </c>
      <c r="N20" s="20" t="n">
        <v>0</v>
      </c>
      <c r="O20" s="18" t="n">
        <v>0</v>
      </c>
      <c r="P20" s="20" t="n">
        <v>0</v>
      </c>
      <c r="Q20" s="18" t="n">
        <v>2.97116863</v>
      </c>
      <c r="R20" s="20" t="n">
        <v>0.94316689</v>
      </c>
    </row>
    <row r="21" spans="1:18">
      <c r="A21" s="15" t="s">
        <v>581</v>
      </c>
      <c r="B21" s="17" t="n">
        <v>2908</v>
      </c>
      <c r="C21" s="18">
        <f>(2248.0/B21*100)</f>
        <v/>
      </c>
      <c r="D21" s="19" t="n">
        <v>660</v>
      </c>
      <c r="E21" s="18" t="n">
        <v>45.39953588</v>
      </c>
      <c r="F21" s="20" t="n">
        <v>2.25041123</v>
      </c>
      <c r="G21" s="18" t="n">
        <v>52.2279474</v>
      </c>
      <c r="H21" s="20" t="n">
        <v>2.375227</v>
      </c>
      <c r="I21" s="18" t="s">
        <v>567</v>
      </c>
      <c r="J21" s="20" t="s">
        <v>567</v>
      </c>
      <c r="K21" s="18" t="n">
        <v>0.9941081000000001</v>
      </c>
      <c r="L21" s="20" t="n">
        <v>0.38336508</v>
      </c>
      <c r="M21" s="18" t="n">
        <v>0</v>
      </c>
      <c r="N21" s="20" t="n">
        <v>0</v>
      </c>
      <c r="O21" s="18" t="n">
        <v>0</v>
      </c>
      <c r="P21" s="20" t="n">
        <v>0</v>
      </c>
      <c r="Q21" s="18" t="n">
        <v>1.37840862</v>
      </c>
      <c r="R21" s="20" t="n">
        <v>0.52138158</v>
      </c>
    </row>
    <row r="22" spans="1:18">
      <c r="A22" s="15" t="s">
        <v>582</v>
      </c>
      <c r="B22" s="17" t="n">
        <v>2931</v>
      </c>
      <c r="C22" s="18">
        <f>(2301.0/B22*100)</f>
        <v/>
      </c>
      <c r="D22" s="19" t="n">
        <v>630</v>
      </c>
      <c r="E22" s="18" t="n">
        <v>52.81864826</v>
      </c>
      <c r="F22" s="20" t="n">
        <v>2.21199625</v>
      </c>
      <c r="G22" s="18" t="n">
        <v>41.14172699</v>
      </c>
      <c r="H22" s="20" t="n">
        <v>1.95359839</v>
      </c>
      <c r="I22" s="18" t="s">
        <v>567</v>
      </c>
      <c r="J22" s="20" t="s">
        <v>567</v>
      </c>
      <c r="K22" s="18" t="n">
        <v>2.12735944</v>
      </c>
      <c r="L22" s="20" t="n">
        <v>0.58925766</v>
      </c>
      <c r="M22" s="18" t="n">
        <v>0</v>
      </c>
      <c r="N22" s="20" t="n">
        <v>0</v>
      </c>
      <c r="O22" s="18" t="n">
        <v>0</v>
      </c>
      <c r="P22" s="20" t="n">
        <v>0</v>
      </c>
      <c r="Q22" s="18" t="n">
        <v>3.91226532</v>
      </c>
      <c r="R22" s="20" t="n">
        <v>0.85029149</v>
      </c>
    </row>
    <row r="23" spans="1:18">
      <c r="A23" s="15" t="s">
        <v>583</v>
      </c>
      <c r="B23" s="17" t="n">
        <v>5791</v>
      </c>
      <c r="C23" s="18">
        <f>(4545.0/B23*100)</f>
        <v/>
      </c>
      <c r="D23" s="19" t="n">
        <v>1246</v>
      </c>
      <c r="E23" s="18" t="n">
        <v>54.96867036</v>
      </c>
      <c r="F23" s="20" t="n">
        <v>2.31724652</v>
      </c>
      <c r="G23" s="18" t="n">
        <v>41.42697486</v>
      </c>
      <c r="H23" s="20" t="n">
        <v>2.1895084</v>
      </c>
      <c r="I23" s="18" t="s">
        <v>567</v>
      </c>
      <c r="J23" s="20" t="s">
        <v>567</v>
      </c>
      <c r="K23" s="18" t="n">
        <v>1.90110235</v>
      </c>
      <c r="L23" s="20" t="n">
        <v>0.59070361</v>
      </c>
      <c r="M23" s="18" t="n">
        <v>0</v>
      </c>
      <c r="N23" s="20" t="n">
        <v>0</v>
      </c>
      <c r="O23" s="18" t="n">
        <v>0</v>
      </c>
      <c r="P23" s="20" t="n">
        <v>0</v>
      </c>
      <c r="Q23" s="18" t="n">
        <v>1.70325243</v>
      </c>
      <c r="R23" s="20" t="n">
        <v>0.74765424</v>
      </c>
    </row>
    <row r="24" spans="1:18">
      <c r="A24" s="15" t="s">
        <v>584</v>
      </c>
      <c r="B24" s="17" t="n">
        <v>3338</v>
      </c>
      <c r="C24" s="18">
        <f>(2605.0/B24*100)</f>
        <v/>
      </c>
      <c r="D24" s="19" t="n">
        <v>733</v>
      </c>
      <c r="E24" s="18" t="n">
        <v>43.02413912</v>
      </c>
      <c r="F24" s="20" t="n">
        <v>1.72778909</v>
      </c>
      <c r="G24" s="18" t="n">
        <v>55.21735041</v>
      </c>
      <c r="H24" s="20" t="n">
        <v>1.78057546</v>
      </c>
      <c r="I24" s="18" t="s">
        <v>567</v>
      </c>
      <c r="J24" s="20" t="s">
        <v>567</v>
      </c>
      <c r="K24" s="18" t="n">
        <v>0.51941108</v>
      </c>
      <c r="L24" s="20" t="n">
        <v>0.26162552</v>
      </c>
      <c r="M24" s="18" t="n">
        <v>0</v>
      </c>
      <c r="N24" s="20" t="n">
        <v>0</v>
      </c>
      <c r="O24" s="18" t="n">
        <v>0</v>
      </c>
      <c r="P24" s="20" t="n">
        <v>0</v>
      </c>
      <c r="Q24" s="18" t="n">
        <v>1.23909939</v>
      </c>
      <c r="R24" s="20" t="n">
        <v>0.43847937</v>
      </c>
    </row>
    <row r="25" spans="1:18">
      <c r="A25" s="15" t="s">
        <v>585</v>
      </c>
      <c r="B25" s="17" t="n">
        <v>2912</v>
      </c>
      <c r="C25" s="18">
        <f>(2269.0/B25*100)</f>
        <v/>
      </c>
      <c r="D25" s="19" t="n">
        <v>643</v>
      </c>
      <c r="E25" s="18" t="n">
        <v>43.9241305</v>
      </c>
      <c r="F25" s="20" t="n">
        <v>2.09528851</v>
      </c>
      <c r="G25" s="18" t="n">
        <v>54.06183032</v>
      </c>
      <c r="H25" s="20" t="n">
        <v>2.10178383</v>
      </c>
      <c r="I25" s="18" t="s">
        <v>567</v>
      </c>
      <c r="J25" s="20" t="s">
        <v>567</v>
      </c>
      <c r="K25" s="18" t="n">
        <v>0.56623475</v>
      </c>
      <c r="L25" s="20" t="n">
        <v>0.34250439</v>
      </c>
      <c r="M25" s="18" t="n">
        <v>0</v>
      </c>
      <c r="N25" s="20" t="n">
        <v>0</v>
      </c>
      <c r="O25" s="18" t="n">
        <v>0</v>
      </c>
      <c r="P25" s="20" t="n">
        <v>0</v>
      </c>
      <c r="Q25" s="18" t="n">
        <v>1.44780443</v>
      </c>
      <c r="R25" s="20" t="n">
        <v>0.48116344</v>
      </c>
    </row>
    <row r="26" spans="1:18">
      <c r="A26" s="15" t="s">
        <v>586</v>
      </c>
      <c r="B26" s="17" t="n">
        <v>2450</v>
      </c>
      <c r="C26" s="18">
        <f>(1897.0/B26*100)</f>
        <v/>
      </c>
      <c r="D26" s="19" t="n">
        <v>553</v>
      </c>
      <c r="E26" s="18" t="n">
        <v>47.95409587</v>
      </c>
      <c r="F26" s="20" t="n">
        <v>2.38309512</v>
      </c>
      <c r="G26" s="18" t="n">
        <v>51.77130305</v>
      </c>
      <c r="H26" s="20" t="n">
        <v>2.3717348</v>
      </c>
      <c r="I26" s="18" t="s">
        <v>567</v>
      </c>
      <c r="J26" s="20" t="s">
        <v>567</v>
      </c>
      <c r="K26" s="18" t="n">
        <v>0</v>
      </c>
      <c r="L26" s="20" t="n">
        <v>0</v>
      </c>
      <c r="M26" s="18" t="n">
        <v>0</v>
      </c>
      <c r="N26" s="20" t="n">
        <v>0</v>
      </c>
      <c r="O26" s="18" t="n">
        <v>0</v>
      </c>
      <c r="P26" s="20" t="n">
        <v>0</v>
      </c>
      <c r="Q26" s="18" t="n">
        <v>0.27460109</v>
      </c>
      <c r="R26" s="20" t="n">
        <v>0.26501796</v>
      </c>
    </row>
    <row r="27" spans="1:18">
      <c r="A27" s="15" t="s">
        <v>587</v>
      </c>
      <c r="B27" s="17" t="n">
        <v>2616</v>
      </c>
      <c r="C27" s="18">
        <f>(2069.0/B27*100)</f>
        <v/>
      </c>
      <c r="D27" s="19" t="n">
        <v>547</v>
      </c>
      <c r="E27" s="18" t="n">
        <v>55.69019311</v>
      </c>
      <c r="F27" s="20" t="n">
        <v>1.95896872</v>
      </c>
      <c r="G27" s="18" t="n">
        <v>41.08466906</v>
      </c>
      <c r="H27" s="20" t="n">
        <v>2.03088216</v>
      </c>
      <c r="I27" s="18" t="s">
        <v>567</v>
      </c>
      <c r="J27" s="20" t="s">
        <v>567</v>
      </c>
      <c r="K27" s="18" t="n">
        <v>0.37604834</v>
      </c>
      <c r="L27" s="20" t="n">
        <v>0.26578377</v>
      </c>
      <c r="M27" s="18" t="n">
        <v>0</v>
      </c>
      <c r="N27" s="20" t="n">
        <v>0</v>
      </c>
      <c r="O27" s="18" t="n">
        <v>0</v>
      </c>
      <c r="P27" s="20" t="n">
        <v>0</v>
      </c>
      <c r="Q27" s="18" t="n">
        <v>2.84908949</v>
      </c>
      <c r="R27" s="20" t="n">
        <v>0.6741349800000001</v>
      </c>
    </row>
    <row r="28" spans="1:18">
      <c r="A28" s="15" t="s">
        <v>588</v>
      </c>
      <c r="B28" s="17" t="n">
        <v>3765</v>
      </c>
      <c r="C28" s="18">
        <f>(2966.0/B28*100)</f>
        <v/>
      </c>
      <c r="D28" s="19" t="n">
        <v>799</v>
      </c>
      <c r="E28" s="18" t="n">
        <v>69.28062318000001</v>
      </c>
      <c r="F28" s="20" t="n">
        <v>1.60055435</v>
      </c>
      <c r="G28" s="18" t="n">
        <v>28.50005785</v>
      </c>
      <c r="H28" s="20" t="n">
        <v>1.63460322</v>
      </c>
      <c r="I28" s="18" t="s">
        <v>567</v>
      </c>
      <c r="J28" s="20" t="s">
        <v>567</v>
      </c>
      <c r="K28" s="18" t="n">
        <v>0.84122756</v>
      </c>
      <c r="L28" s="20" t="n">
        <v>0.36804253</v>
      </c>
      <c r="M28" s="18" t="n">
        <v>0</v>
      </c>
      <c r="N28" s="20" t="n">
        <v>0</v>
      </c>
      <c r="O28" s="18" t="n">
        <v>0</v>
      </c>
      <c r="P28" s="20" t="n">
        <v>0</v>
      </c>
      <c r="Q28" s="18" t="n">
        <v>1.37809141</v>
      </c>
      <c r="R28" s="20" t="n">
        <v>0.47926443</v>
      </c>
    </row>
    <row r="29" spans="1:18">
      <c r="A29" s="15" t="s">
        <v>589</v>
      </c>
      <c r="B29" s="17" t="n">
        <v>2685</v>
      </c>
      <c r="C29" s="18">
        <f>(2100.0/B29*100)</f>
        <v/>
      </c>
      <c r="D29" s="19" t="n">
        <v>585</v>
      </c>
      <c r="E29" s="18" t="n">
        <v>44.66163615</v>
      </c>
      <c r="F29" s="20" t="n">
        <v>1.99598044</v>
      </c>
      <c r="G29" s="18" t="n">
        <v>53.46838407</v>
      </c>
      <c r="H29" s="20" t="n">
        <v>2.06599945</v>
      </c>
      <c r="I29" s="18" t="s">
        <v>567</v>
      </c>
      <c r="J29" s="20" t="s">
        <v>567</v>
      </c>
      <c r="K29" s="18" t="n">
        <v>0.4917279</v>
      </c>
      <c r="L29" s="20" t="n">
        <v>0.29938451</v>
      </c>
      <c r="M29" s="18" t="n">
        <v>0</v>
      </c>
      <c r="N29" s="20" t="n">
        <v>0</v>
      </c>
      <c r="O29" s="18" t="n">
        <v>0</v>
      </c>
      <c r="P29" s="20" t="n">
        <v>0</v>
      </c>
      <c r="Q29" s="18" t="n">
        <v>1.37825188</v>
      </c>
      <c r="R29" s="20" t="n">
        <v>0.55797732</v>
      </c>
    </row>
    <row r="30" spans="1:18">
      <c r="A30" s="15" t="s">
        <v>590</v>
      </c>
      <c r="B30" s="17" t="n">
        <v>2263</v>
      </c>
      <c r="C30" s="18">
        <f>(1773.0/B30*100)</f>
        <v/>
      </c>
      <c r="D30" s="19" t="n">
        <v>490</v>
      </c>
      <c r="E30" s="18" t="n">
        <v>47.08460593</v>
      </c>
      <c r="F30" s="20" t="n">
        <v>2.27520827</v>
      </c>
      <c r="G30" s="18" t="n">
        <v>48.22137552</v>
      </c>
      <c r="H30" s="20" t="n">
        <v>2.54338991</v>
      </c>
      <c r="I30" s="18" t="s">
        <v>567</v>
      </c>
      <c r="J30" s="20" t="s">
        <v>567</v>
      </c>
      <c r="K30" s="18" t="n">
        <v>0.84728793</v>
      </c>
      <c r="L30" s="20" t="n">
        <v>0.40859523</v>
      </c>
      <c r="M30" s="18" t="n">
        <v>0</v>
      </c>
      <c r="N30" s="20" t="n">
        <v>0</v>
      </c>
      <c r="O30" s="18" t="n">
        <v>0</v>
      </c>
      <c r="P30" s="20" t="n">
        <v>0</v>
      </c>
      <c r="Q30" s="18" t="n">
        <v>3.84673062</v>
      </c>
      <c r="R30" s="20" t="n">
        <v>1.22573866</v>
      </c>
    </row>
    <row r="31" spans="1:18">
      <c r="A31" s="15" t="s">
        <v>591</v>
      </c>
      <c r="B31" s="17" t="n">
        <v>2750</v>
      </c>
      <c r="C31" s="18">
        <f>(2161.0/B31*100)</f>
        <v/>
      </c>
      <c r="D31" s="19" t="n">
        <v>589</v>
      </c>
      <c r="E31" s="18" t="n">
        <v>41.94634126</v>
      </c>
      <c r="F31" s="20" t="n">
        <v>2.33541792</v>
      </c>
      <c r="G31" s="18" t="n">
        <v>54.16266163</v>
      </c>
      <c r="H31" s="20" t="n">
        <v>2.4580541</v>
      </c>
      <c r="I31" s="18" t="s">
        <v>567</v>
      </c>
      <c r="J31" s="20" t="s">
        <v>567</v>
      </c>
      <c r="K31" s="18" t="n">
        <v>1.78647946</v>
      </c>
      <c r="L31" s="20" t="n">
        <v>0.63516469</v>
      </c>
      <c r="M31" s="18" t="n">
        <v>0</v>
      </c>
      <c r="N31" s="20" t="n">
        <v>0</v>
      </c>
      <c r="O31" s="18" t="n">
        <v>0</v>
      </c>
      <c r="P31" s="20" t="n">
        <v>0</v>
      </c>
      <c r="Q31" s="18" t="n">
        <v>2.10451765</v>
      </c>
      <c r="R31" s="20" t="n">
        <v>0.64869298</v>
      </c>
    </row>
    <row r="32" spans="1:18">
      <c r="A32" s="15" t="s">
        <v>592</v>
      </c>
      <c r="B32" s="17" t="n">
        <v>2269</v>
      </c>
      <c r="C32" s="18">
        <f>(1767.0/B32*100)</f>
        <v/>
      </c>
      <c r="D32" s="19" t="n">
        <v>502</v>
      </c>
      <c r="E32" s="18" t="n">
        <v>51.02005079</v>
      </c>
      <c r="F32" s="20" t="n">
        <v>2.05205626</v>
      </c>
      <c r="G32" s="18" t="n">
        <v>48.13117565</v>
      </c>
      <c r="H32" s="20" t="n">
        <v>2.07436898</v>
      </c>
      <c r="I32" s="18" t="s">
        <v>567</v>
      </c>
      <c r="J32" s="20" t="s">
        <v>567</v>
      </c>
      <c r="K32" s="18" t="n">
        <v>0.23945962</v>
      </c>
      <c r="L32" s="20" t="n">
        <v>0.23537861</v>
      </c>
      <c r="M32" s="18" t="n">
        <v>0</v>
      </c>
      <c r="N32" s="20" t="n">
        <v>0</v>
      </c>
      <c r="O32" s="18" t="n">
        <v>0</v>
      </c>
      <c r="P32" s="20" t="n">
        <v>0</v>
      </c>
      <c r="Q32" s="18" t="n">
        <v>0.6093139400000001</v>
      </c>
      <c r="R32" s="20" t="n">
        <v>0.33180054</v>
      </c>
    </row>
    <row r="33" spans="1:18">
      <c r="A33" s="15" t="s">
        <v>593</v>
      </c>
      <c r="B33" s="17" t="n">
        <v>3674</v>
      </c>
      <c r="C33" s="18">
        <f>(2881.0/B33*100)</f>
        <v/>
      </c>
      <c r="D33" s="19" t="n">
        <v>793</v>
      </c>
      <c r="E33" s="18" t="n">
        <v>52.2685278</v>
      </c>
      <c r="F33" s="20" t="n">
        <v>2.22008582</v>
      </c>
      <c r="G33" s="18" t="n">
        <v>45.38319269</v>
      </c>
      <c r="H33" s="20" t="n">
        <v>2.18030578</v>
      </c>
      <c r="I33" s="18" t="s">
        <v>567</v>
      </c>
      <c r="J33" s="20" t="s">
        <v>567</v>
      </c>
      <c r="K33" s="18" t="n">
        <v>0.86486069</v>
      </c>
      <c r="L33" s="20" t="n">
        <v>0.41549302</v>
      </c>
      <c r="M33" s="18" t="n">
        <v>0</v>
      </c>
      <c r="N33" s="20" t="n">
        <v>0</v>
      </c>
      <c r="O33" s="18" t="n">
        <v>0</v>
      </c>
      <c r="P33" s="20" t="n">
        <v>0</v>
      </c>
      <c r="Q33" s="18" t="n">
        <v>1.48341881</v>
      </c>
      <c r="R33" s="20" t="n">
        <v>0.54896395</v>
      </c>
    </row>
    <row r="34" spans="1:18">
      <c r="A34" s="15" t="s">
        <v>594</v>
      </c>
      <c r="B34" s="17" t="n">
        <v>3315</v>
      </c>
      <c r="C34" s="18">
        <f>(2618.0/B34*100)</f>
        <v/>
      </c>
      <c r="D34" s="19" t="n">
        <v>697</v>
      </c>
      <c r="E34" s="18" t="n">
        <v>56.97870807</v>
      </c>
      <c r="F34" s="20" t="n">
        <v>2.17401721</v>
      </c>
      <c r="G34" s="18" t="n">
        <v>40.13530163</v>
      </c>
      <c r="H34" s="20" t="n">
        <v>2.19508513</v>
      </c>
      <c r="I34" s="18" t="s">
        <v>567</v>
      </c>
      <c r="J34" s="20" t="s">
        <v>567</v>
      </c>
      <c r="K34" s="18" t="n">
        <v>0.8860077200000001</v>
      </c>
      <c r="L34" s="20" t="n">
        <v>0.42128655</v>
      </c>
      <c r="M34" s="18" t="n">
        <v>0</v>
      </c>
      <c r="N34" s="20" t="n">
        <v>0</v>
      </c>
      <c r="O34" s="18" t="n">
        <v>0</v>
      </c>
      <c r="P34" s="20" t="n">
        <v>0</v>
      </c>
      <c r="Q34" s="18" t="n">
        <v>1.99998259</v>
      </c>
      <c r="R34" s="20" t="n">
        <v>0.6531109899999999</v>
      </c>
    </row>
    <row r="35" spans="1:18">
      <c r="A35" s="15" t="s">
        <v>595</v>
      </c>
      <c r="B35" s="17" t="n">
        <v>3505</v>
      </c>
      <c r="C35" s="18">
        <f>(2787.0/B35*100)</f>
        <v/>
      </c>
      <c r="D35" s="19" t="n">
        <v>718</v>
      </c>
      <c r="E35" s="18" t="n">
        <v>49.38815044</v>
      </c>
      <c r="F35" s="20" t="n">
        <v>2.46730411</v>
      </c>
      <c r="G35" s="18" t="n">
        <v>48.52660143</v>
      </c>
      <c r="H35" s="20" t="n">
        <v>2.45607262</v>
      </c>
      <c r="I35" s="18" t="s">
        <v>567</v>
      </c>
      <c r="J35" s="20" t="s">
        <v>567</v>
      </c>
      <c r="K35" s="18" t="n">
        <v>0.18777851</v>
      </c>
      <c r="L35" s="20" t="n">
        <v>0.13942038</v>
      </c>
      <c r="M35" s="18" t="n">
        <v>0</v>
      </c>
      <c r="N35" s="20" t="n">
        <v>0</v>
      </c>
      <c r="O35" s="18" t="n">
        <v>0</v>
      </c>
      <c r="P35" s="20" t="n">
        <v>0</v>
      </c>
      <c r="Q35" s="18" t="n">
        <v>1.89746962</v>
      </c>
      <c r="R35" s="20" t="n">
        <v>0.40961492</v>
      </c>
    </row>
    <row r="36" spans="1:18">
      <c r="A36" s="15" t="s">
        <v>596</v>
      </c>
      <c r="B36" s="17" t="n">
        <v>3332</v>
      </c>
      <c r="C36" s="18">
        <f>(2605.0/B36*100)</f>
        <v/>
      </c>
      <c r="D36" s="19" t="n">
        <v>727</v>
      </c>
      <c r="E36" s="18" t="n">
        <v>48.88181101</v>
      </c>
      <c r="F36" s="20" t="n">
        <v>1.91308467</v>
      </c>
      <c r="G36" s="18" t="n">
        <v>47.8728773</v>
      </c>
      <c r="H36" s="20" t="n">
        <v>1.91540335</v>
      </c>
      <c r="I36" s="18" t="s">
        <v>567</v>
      </c>
      <c r="J36" s="20" t="s">
        <v>567</v>
      </c>
      <c r="K36" s="18" t="n">
        <v>1.60351147</v>
      </c>
      <c r="L36" s="20" t="n">
        <v>0.38410775</v>
      </c>
      <c r="M36" s="18" t="n">
        <v>0</v>
      </c>
      <c r="N36" s="20" t="n">
        <v>0</v>
      </c>
      <c r="O36" s="18" t="n">
        <v>0</v>
      </c>
      <c r="P36" s="20" t="n">
        <v>0</v>
      </c>
      <c r="Q36" s="18" t="n">
        <v>1.64180022</v>
      </c>
      <c r="R36" s="20" t="n">
        <v>0.47577152</v>
      </c>
    </row>
    <row r="37" spans="1:18">
      <c r="A37" s="15" t="s">
        <v>597</v>
      </c>
      <c r="B37" s="17" t="n">
        <v>2727</v>
      </c>
      <c r="C37" s="18">
        <f>(2131.0/B37*100)</f>
        <v/>
      </c>
      <c r="D37" s="19" t="n">
        <v>596</v>
      </c>
      <c r="E37" s="18" t="n">
        <v>48.35581616</v>
      </c>
      <c r="F37" s="20" t="n">
        <v>2.31145851</v>
      </c>
      <c r="G37" s="18" t="n">
        <v>44.89046577</v>
      </c>
      <c r="H37" s="20" t="n">
        <v>2.20073064</v>
      </c>
      <c r="I37" s="18" t="s">
        <v>567</v>
      </c>
      <c r="J37" s="20" t="s">
        <v>567</v>
      </c>
      <c r="K37" s="18" t="n">
        <v>1.74987253</v>
      </c>
      <c r="L37" s="20" t="n">
        <v>0.41489558</v>
      </c>
      <c r="M37" s="18" t="n">
        <v>0</v>
      </c>
      <c r="N37" s="20" t="n">
        <v>0</v>
      </c>
      <c r="O37" s="18" t="n">
        <v>0</v>
      </c>
      <c r="P37" s="20" t="n">
        <v>0</v>
      </c>
      <c r="Q37" s="18" t="n">
        <v>5.00384553</v>
      </c>
      <c r="R37" s="20" t="n">
        <v>0.94050055</v>
      </c>
    </row>
    <row r="38" spans="1:18">
      <c r="A38" s="15" t="s">
        <v>598</v>
      </c>
      <c r="B38" s="17" t="n">
        <v>3053</v>
      </c>
      <c r="C38" s="18">
        <f>(2388.0/B38*100)</f>
        <v/>
      </c>
      <c r="D38" s="19" t="n">
        <v>665</v>
      </c>
      <c r="E38" s="18" t="n">
        <v>51.19185355</v>
      </c>
      <c r="F38" s="20" t="n">
        <v>2.15186724</v>
      </c>
      <c r="G38" s="18" t="n">
        <v>44.93908944</v>
      </c>
      <c r="H38" s="20" t="n">
        <v>2.27453527</v>
      </c>
      <c r="I38" s="18" t="s">
        <v>567</v>
      </c>
      <c r="J38" s="20" t="s">
        <v>567</v>
      </c>
      <c r="K38" s="18" t="n">
        <v>1.66424468</v>
      </c>
      <c r="L38" s="20" t="n">
        <v>0.51244048</v>
      </c>
      <c r="M38" s="18" t="n">
        <v>0</v>
      </c>
      <c r="N38" s="20" t="n">
        <v>0</v>
      </c>
      <c r="O38" s="18" t="n">
        <v>0</v>
      </c>
      <c r="P38" s="20" t="n">
        <v>0</v>
      </c>
      <c r="Q38" s="18" t="n">
        <v>2.20481234</v>
      </c>
      <c r="R38" s="20" t="n">
        <v>0.69853464</v>
      </c>
    </row>
    <row r="39" spans="1:18">
      <c r="A39" s="15" t="s">
        <v>599</v>
      </c>
      <c r="B39" s="17" t="n">
        <v>2957</v>
      </c>
      <c r="C39" s="18">
        <f>(2265.0/B39*100)</f>
        <v/>
      </c>
      <c r="D39" s="19" t="n">
        <v>692</v>
      </c>
      <c r="E39" s="18" t="n">
        <v>58.65269758</v>
      </c>
      <c r="F39" s="20" t="n">
        <v>2.45149392</v>
      </c>
      <c r="G39" s="18" t="n">
        <v>38.83072414</v>
      </c>
      <c r="H39" s="20" t="n">
        <v>2.48027438</v>
      </c>
      <c r="I39" s="18" t="s">
        <v>567</v>
      </c>
      <c r="J39" s="20" t="s">
        <v>567</v>
      </c>
      <c r="K39" s="18" t="n">
        <v>0.37608141</v>
      </c>
      <c r="L39" s="20" t="n">
        <v>0.19082667</v>
      </c>
      <c r="M39" s="18" t="n">
        <v>0</v>
      </c>
      <c r="N39" s="20" t="n">
        <v>0</v>
      </c>
      <c r="O39" s="18" t="n">
        <v>0</v>
      </c>
      <c r="P39" s="20" t="n">
        <v>0</v>
      </c>
      <c r="Q39" s="18" t="n">
        <v>2.14049687</v>
      </c>
      <c r="R39" s="20" t="n">
        <v>0.55714407</v>
      </c>
    </row>
    <row r="40" spans="1:18">
      <c r="A40" s="15" t="s">
        <v>600</v>
      </c>
      <c r="B40" s="17" t="n">
        <v>7235</v>
      </c>
      <c r="C40" s="18">
        <f>(5676.0/B40*100)</f>
        <v/>
      </c>
      <c r="D40" s="19" t="n">
        <v>1559</v>
      </c>
      <c r="E40" s="18" t="n">
        <v>47.64545237</v>
      </c>
      <c r="F40" s="20" t="n">
        <v>1.83492516</v>
      </c>
      <c r="G40" s="18" t="n">
        <v>48.26836355</v>
      </c>
      <c r="H40" s="20" t="n">
        <v>1.77437352</v>
      </c>
      <c r="I40" s="18" t="s">
        <v>567</v>
      </c>
      <c r="J40" s="20" t="s">
        <v>567</v>
      </c>
      <c r="K40" s="18" t="n">
        <v>1.00324676</v>
      </c>
      <c r="L40" s="20" t="n">
        <v>0.42981285</v>
      </c>
      <c r="M40" s="18" t="n">
        <v>0</v>
      </c>
      <c r="N40" s="20" t="n">
        <v>0</v>
      </c>
      <c r="O40" s="18" t="n">
        <v>0</v>
      </c>
      <c r="P40" s="20" t="n">
        <v>0</v>
      </c>
      <c r="Q40" s="18" t="n">
        <v>3.08293732</v>
      </c>
      <c r="R40" s="20" t="n">
        <v>0.6883791500000001</v>
      </c>
    </row>
    <row r="41" spans="1:18">
      <c r="A41" s="15" t="s">
        <v>601</v>
      </c>
      <c r="B41" s="17" t="n">
        <v>2858</v>
      </c>
      <c r="C41" s="18">
        <f>(2301.0/B41*100)</f>
        <v/>
      </c>
      <c r="D41" s="19" t="n">
        <v>557</v>
      </c>
      <c r="E41" s="18" t="n">
        <v>45.76866463</v>
      </c>
      <c r="F41" s="20" t="n">
        <v>2.04953102</v>
      </c>
      <c r="G41" s="18" t="n">
        <v>51.35999855</v>
      </c>
      <c r="H41" s="20" t="n">
        <v>2.16739767</v>
      </c>
      <c r="I41" s="18" t="s">
        <v>567</v>
      </c>
      <c r="J41" s="20" t="s">
        <v>567</v>
      </c>
      <c r="K41" s="18" t="n">
        <v>1.13334465</v>
      </c>
      <c r="L41" s="20" t="n">
        <v>0.56715868</v>
      </c>
      <c r="M41" s="18" t="n">
        <v>0</v>
      </c>
      <c r="N41" s="20" t="n">
        <v>0</v>
      </c>
      <c r="O41" s="18" t="n">
        <v>0</v>
      </c>
      <c r="P41" s="20" t="n">
        <v>0</v>
      </c>
      <c r="Q41" s="18" t="n">
        <v>1.73799216</v>
      </c>
      <c r="R41" s="20" t="n">
        <v>0.70093229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(9336.0/B46*100)</f>
        <v/>
      </c>
      <c r="D46" s="19" t="n">
        <v>1732</v>
      </c>
      <c r="E46" s="18" t="n">
        <v>62.33842374</v>
      </c>
      <c r="F46" s="20" t="n">
        <v>1.25628588</v>
      </c>
      <c r="G46" s="18" t="n">
        <v>30.81851893</v>
      </c>
      <c r="H46" s="20" t="n">
        <v>1.33745858</v>
      </c>
      <c r="I46" s="18" t="s">
        <v>567</v>
      </c>
      <c r="J46" s="20" t="s">
        <v>567</v>
      </c>
      <c r="K46" s="18" t="n">
        <v>2.75200777</v>
      </c>
      <c r="L46" s="20" t="n">
        <v>0.49184619</v>
      </c>
      <c r="M46" s="18" t="n">
        <v>0</v>
      </c>
      <c r="N46" s="20" t="n">
        <v>0</v>
      </c>
      <c r="O46" s="18" t="n">
        <v>0</v>
      </c>
      <c r="P46" s="20" t="n">
        <v>0</v>
      </c>
      <c r="Q46" s="18" t="n">
        <v>4.09104956</v>
      </c>
      <c r="R46" s="20" t="n">
        <v>0.7088473</v>
      </c>
    </row>
    <row r="47" spans="1:18">
      <c r="A47" s="15" t="s">
        <v>607</v>
      </c>
      <c r="B47" s="17" t="n">
        <v>3105</v>
      </c>
      <c r="C47" s="18">
        <f>(2407.0/B47*100)</f>
        <v/>
      </c>
      <c r="D47" s="19" t="n">
        <v>698</v>
      </c>
      <c r="E47" s="18" t="n">
        <v>50.04304023</v>
      </c>
      <c r="F47" s="20" t="n">
        <v>1.90398435</v>
      </c>
      <c r="G47" s="18" t="n">
        <v>45.09573708</v>
      </c>
      <c r="H47" s="20" t="n">
        <v>2.00388852</v>
      </c>
      <c r="I47" s="18" t="s">
        <v>567</v>
      </c>
      <c r="J47" s="20" t="s">
        <v>567</v>
      </c>
      <c r="K47" s="18" t="n">
        <v>1.12393737</v>
      </c>
      <c r="L47" s="20" t="n">
        <v>0.37056098</v>
      </c>
      <c r="M47" s="18" t="n">
        <v>0</v>
      </c>
      <c r="N47" s="20" t="n">
        <v>0</v>
      </c>
      <c r="O47" s="18" t="n">
        <v>0</v>
      </c>
      <c r="P47" s="20" t="n">
        <v>0</v>
      </c>
      <c r="Q47" s="18" t="n">
        <v>3.73728532</v>
      </c>
      <c r="R47" s="20" t="n">
        <v>0.73113977</v>
      </c>
    </row>
    <row r="48" spans="1:18">
      <c r="A48" s="15" t="s">
        <v>608</v>
      </c>
      <c r="B48" s="17" t="n">
        <v>5159</v>
      </c>
      <c r="C48" s="18">
        <f>(4049.0/B48*100)</f>
        <v/>
      </c>
      <c r="D48" s="19" t="n">
        <v>1110</v>
      </c>
      <c r="E48" s="18" t="n">
        <v>49.14312431</v>
      </c>
      <c r="F48" s="20" t="n">
        <v>1.79448191</v>
      </c>
      <c r="G48" s="18" t="n">
        <v>49.04760213</v>
      </c>
      <c r="H48" s="20" t="n">
        <v>1.88793661</v>
      </c>
      <c r="I48" s="18" t="s">
        <v>567</v>
      </c>
      <c r="J48" s="20" t="s">
        <v>567</v>
      </c>
      <c r="K48" s="18" t="n">
        <v>0.8189791</v>
      </c>
      <c r="L48" s="20" t="n">
        <v>0.33586492</v>
      </c>
      <c r="M48" s="18" t="n">
        <v>0</v>
      </c>
      <c r="N48" s="20" t="n">
        <v>0</v>
      </c>
      <c r="O48" s="18" t="n">
        <v>0</v>
      </c>
      <c r="P48" s="20" t="n">
        <v>0</v>
      </c>
      <c r="Q48" s="18" t="n">
        <v>0.99029446</v>
      </c>
      <c r="R48" s="20" t="n">
        <v>0.38032278</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(4423.0/B50*100)</f>
        <v/>
      </c>
      <c r="D50" s="19" t="n">
        <v>1214</v>
      </c>
      <c r="E50" s="18" t="n">
        <v>61.06175404</v>
      </c>
      <c r="F50" s="20" t="n">
        <v>1.89884143</v>
      </c>
      <c r="G50" s="18" t="n">
        <v>33.19838887</v>
      </c>
      <c r="H50" s="20" t="n">
        <v>1.89116812</v>
      </c>
      <c r="I50" s="18" t="s">
        <v>567</v>
      </c>
      <c r="J50" s="20" t="s">
        <v>567</v>
      </c>
      <c r="K50" s="18" t="n">
        <v>3.19895283</v>
      </c>
      <c r="L50" s="20" t="n">
        <v>0.75282352</v>
      </c>
      <c r="M50" s="18" t="n">
        <v>0</v>
      </c>
      <c r="N50" s="20" t="n">
        <v>0</v>
      </c>
      <c r="O50" s="18" t="n">
        <v>0</v>
      </c>
      <c r="P50" s="20" t="n">
        <v>0</v>
      </c>
      <c r="Q50" s="18" t="n">
        <v>2.54090427</v>
      </c>
      <c r="R50" s="20" t="n">
        <v>0.57798569</v>
      </c>
    </row>
    <row r="51" spans="1:18">
      <c r="A51" s="15" t="s">
        <v>611</v>
      </c>
      <c r="B51" s="17" t="n">
        <v>3372</v>
      </c>
      <c r="C51" s="18">
        <f>(2779.0/B51*100)</f>
        <v/>
      </c>
      <c r="D51" s="19" t="n">
        <v>593</v>
      </c>
      <c r="E51" s="18" t="n">
        <v>74.70900948000001</v>
      </c>
      <c r="F51" s="20" t="n">
        <v>2.00597558</v>
      </c>
      <c r="G51" s="18" t="n">
        <v>21.08811893</v>
      </c>
      <c r="H51" s="20" t="n">
        <v>2.05038129</v>
      </c>
      <c r="I51" s="18" t="s">
        <v>567</v>
      </c>
      <c r="J51" s="20" t="s">
        <v>567</v>
      </c>
      <c r="K51" s="18" t="n">
        <v>0.6364337</v>
      </c>
      <c r="L51" s="20" t="n">
        <v>0.31912249</v>
      </c>
      <c r="M51" s="18" t="n">
        <v>0</v>
      </c>
      <c r="N51" s="20" t="n">
        <v>0</v>
      </c>
      <c r="O51" s="18" t="n">
        <v>0</v>
      </c>
      <c r="P51" s="20" t="n">
        <v>0</v>
      </c>
      <c r="Q51" s="18" t="n">
        <v>3.5664379</v>
      </c>
      <c r="R51" s="20" t="n">
        <v>0.74276496</v>
      </c>
    </row>
    <row r="52" spans="1:18">
      <c r="A52" s="15" t="s">
        <v>612</v>
      </c>
      <c r="B52" s="17" t="n">
        <v>2796</v>
      </c>
      <c r="C52" s="18">
        <f>(2216.0/B52*100)</f>
        <v/>
      </c>
      <c r="D52" s="19" t="n">
        <v>580</v>
      </c>
      <c r="E52" s="18" t="n">
        <v>58.98249682</v>
      </c>
      <c r="F52" s="20" t="n">
        <v>2.26788247</v>
      </c>
      <c r="G52" s="18" t="n">
        <v>39.02688283</v>
      </c>
      <c r="H52" s="20" t="n">
        <v>2.28233204</v>
      </c>
      <c r="I52" s="18" t="s">
        <v>567</v>
      </c>
      <c r="J52" s="20" t="s">
        <v>567</v>
      </c>
      <c r="K52" s="18" t="n">
        <v>0.58517761</v>
      </c>
      <c r="L52" s="20" t="n">
        <v>0.29066021</v>
      </c>
      <c r="M52" s="18" t="n">
        <v>0</v>
      </c>
      <c r="N52" s="20" t="n">
        <v>0</v>
      </c>
      <c r="O52" s="18" t="n">
        <v>0</v>
      </c>
      <c r="P52" s="20" t="n">
        <v>0</v>
      </c>
      <c r="Q52" s="18" t="n">
        <v>1.40544274</v>
      </c>
      <c r="R52" s="20" t="n">
        <v>0.5076939</v>
      </c>
    </row>
    <row r="53" spans="1:18">
      <c r="A53" s="15" t="s">
        <v>613</v>
      </c>
      <c r="B53" s="17" t="n">
        <v>2811</v>
      </c>
      <c r="C53" s="18">
        <f>(2178.0/B53*100)</f>
        <v/>
      </c>
      <c r="D53" s="19" t="n">
        <v>633</v>
      </c>
      <c r="E53" s="18" t="n">
        <v>54.71826279</v>
      </c>
      <c r="F53" s="20" t="n">
        <v>2.45674565</v>
      </c>
      <c r="G53" s="18" t="n">
        <v>40.18187868</v>
      </c>
      <c r="H53" s="20" t="n">
        <v>2.29755258</v>
      </c>
      <c r="I53" s="18" t="s">
        <v>567</v>
      </c>
      <c r="J53" s="20" t="s">
        <v>567</v>
      </c>
      <c r="K53" s="18" t="n">
        <v>1.2783681</v>
      </c>
      <c r="L53" s="20" t="n">
        <v>0.40348451</v>
      </c>
      <c r="M53" s="18" t="n">
        <v>0</v>
      </c>
      <c r="N53" s="20" t="n">
        <v>0</v>
      </c>
      <c r="O53" s="18" t="n">
        <v>0</v>
      </c>
      <c r="P53" s="20" t="n">
        <v>0</v>
      </c>
      <c r="Q53" s="18" t="n">
        <v>3.82149043</v>
      </c>
      <c r="R53" s="20" t="n">
        <v>0.7794461</v>
      </c>
    </row>
    <row r="54" spans="1:18">
      <c r="A54" s="15" t="s">
        <v>614</v>
      </c>
      <c r="B54" s="17" t="n">
        <v>2266</v>
      </c>
      <c r="C54" s="18">
        <f>(1763.0/B54*100)</f>
        <v/>
      </c>
      <c r="D54" s="19" t="n">
        <v>503</v>
      </c>
      <c r="E54" s="18" t="n">
        <v>60.0355144</v>
      </c>
      <c r="F54" s="20" t="n">
        <v>2.17019763</v>
      </c>
      <c r="G54" s="18" t="n">
        <v>18.25489517</v>
      </c>
      <c r="H54" s="20" t="n">
        <v>1.77494607</v>
      </c>
      <c r="I54" s="18" t="s">
        <v>567</v>
      </c>
      <c r="J54" s="20" t="s">
        <v>567</v>
      </c>
      <c r="K54" s="18" t="n">
        <v>14.99376912</v>
      </c>
      <c r="L54" s="20" t="n">
        <v>1.51961794</v>
      </c>
      <c r="M54" s="18" t="n">
        <v>0</v>
      </c>
      <c r="N54" s="20" t="n">
        <v>0</v>
      </c>
      <c r="O54" s="18" t="n">
        <v>0</v>
      </c>
      <c r="P54" s="20" t="n">
        <v>0</v>
      </c>
      <c r="Q54" s="18" t="n">
        <v>6.71582132</v>
      </c>
      <c r="R54" s="20" t="n">
        <v>1.4309476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(2120.0/B56*100)</f>
        <v/>
      </c>
      <c r="D56" s="19" t="n">
        <v>564</v>
      </c>
      <c r="E56" s="18" t="n">
        <v>53.48130977</v>
      </c>
      <c r="F56" s="20" t="n">
        <v>2.85061873</v>
      </c>
      <c r="G56" s="18" t="n">
        <v>44.71621255</v>
      </c>
      <c r="H56" s="20" t="n">
        <v>2.69318969</v>
      </c>
      <c r="I56" s="18" t="s">
        <v>567</v>
      </c>
      <c r="J56" s="20" t="s">
        <v>567</v>
      </c>
      <c r="K56" s="18" t="n">
        <v>0.45767877</v>
      </c>
      <c r="L56" s="20" t="n">
        <v>0.34207397</v>
      </c>
      <c r="M56" s="18" t="n">
        <v>0</v>
      </c>
      <c r="N56" s="20" t="n">
        <v>0</v>
      </c>
      <c r="O56" s="18" t="n">
        <v>0</v>
      </c>
      <c r="P56" s="20" t="n">
        <v>0</v>
      </c>
      <c r="Q56" s="18" t="n">
        <v>1.34479891</v>
      </c>
      <c r="R56" s="20" t="n">
        <v>0.75325166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(2602.0/B61*100)</f>
        <v/>
      </c>
      <c r="D61" s="19" t="n">
        <v>722</v>
      </c>
      <c r="E61" s="18" t="n">
        <v>55.51210572</v>
      </c>
      <c r="F61" s="20" t="n">
        <v>1.89088233</v>
      </c>
      <c r="G61" s="18" t="n">
        <v>43.47511737</v>
      </c>
      <c r="H61" s="20" t="n">
        <v>1.90302529</v>
      </c>
      <c r="I61" s="18" t="s">
        <v>567</v>
      </c>
      <c r="J61" s="20" t="s">
        <v>567</v>
      </c>
      <c r="K61" s="18" t="n">
        <v>0.5109858</v>
      </c>
      <c r="L61" s="20" t="n">
        <v>0.3010185</v>
      </c>
      <c r="M61" s="18" t="n">
        <v>0</v>
      </c>
      <c r="N61" s="20" t="n">
        <v>0</v>
      </c>
      <c r="O61" s="18" t="n">
        <v>0</v>
      </c>
      <c r="P61" s="20" t="n">
        <v>0</v>
      </c>
      <c r="Q61" s="18" t="n">
        <v>0.50179111</v>
      </c>
      <c r="R61" s="20" t="n">
        <v>0.18004312</v>
      </c>
    </row>
    <row r="62" spans="1:18">
      <c r="A62" s="15" t="s">
        <v>622</v>
      </c>
      <c r="B62" s="17" t="n">
        <v>2246</v>
      </c>
      <c r="C62" s="18">
        <f>(1739.0/B62*100)</f>
        <v/>
      </c>
      <c r="D62" s="19" t="n">
        <v>507</v>
      </c>
      <c r="E62" s="18" t="n">
        <v>52.06140731</v>
      </c>
      <c r="F62" s="20" t="n">
        <v>1.99908641</v>
      </c>
      <c r="G62" s="18" t="n">
        <v>47.34430082</v>
      </c>
      <c r="H62" s="20" t="n">
        <v>2.01057748</v>
      </c>
      <c r="I62" s="18" t="s">
        <v>567</v>
      </c>
      <c r="J62" s="20" t="s">
        <v>567</v>
      </c>
      <c r="K62" s="18" t="n">
        <v>0.20259914</v>
      </c>
      <c r="L62" s="20" t="n">
        <v>0.20198024</v>
      </c>
      <c r="M62" s="18" t="n">
        <v>0</v>
      </c>
      <c r="N62" s="20" t="n">
        <v>0</v>
      </c>
      <c r="O62" s="18" t="n">
        <v>0</v>
      </c>
      <c r="P62" s="20" t="n">
        <v>0</v>
      </c>
      <c r="Q62" s="18" t="n">
        <v>0.39169272</v>
      </c>
      <c r="R62" s="20" t="n">
        <v>0.27546961</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(2275.0/B66*100)</f>
        <v/>
      </c>
      <c r="D66" s="19" t="n">
        <v>619</v>
      </c>
      <c r="E66" s="18" t="n">
        <v>57.01642922</v>
      </c>
      <c r="F66" s="20" t="n">
        <v>2.05857547</v>
      </c>
      <c r="G66" s="18" t="n">
        <v>32.22213049</v>
      </c>
      <c r="H66" s="20" t="n">
        <v>1.93113442</v>
      </c>
      <c r="I66" s="18" t="s">
        <v>567</v>
      </c>
      <c r="J66" s="20" t="s">
        <v>567</v>
      </c>
      <c r="K66" s="18" t="n">
        <v>2.14168199</v>
      </c>
      <c r="L66" s="20" t="n">
        <v>0.69811497</v>
      </c>
      <c r="M66" s="18" t="n">
        <v>0</v>
      </c>
      <c r="N66" s="20" t="n">
        <v>0</v>
      </c>
      <c r="O66" s="18" t="n">
        <v>0</v>
      </c>
      <c r="P66" s="20" t="n">
        <v>0</v>
      </c>
      <c r="Q66" s="18" t="n">
        <v>8.61975829</v>
      </c>
      <c r="R66" s="20" t="n">
        <v>1.27201761</v>
      </c>
    </row>
    <row r="67" spans="1:18">
      <c r="A67" s="15" t="s">
        <v>627</v>
      </c>
      <c r="B67" s="17" t="n">
        <v>3511</v>
      </c>
      <c r="C67" s="18">
        <f>(2855.0/B67*100)</f>
        <v/>
      </c>
      <c r="D67" s="19" t="n">
        <v>656</v>
      </c>
      <c r="E67" s="18" t="n">
        <v>73.31246985</v>
      </c>
      <c r="F67" s="20" t="n">
        <v>1.60252431</v>
      </c>
      <c r="G67" s="18" t="n">
        <v>23.47727664</v>
      </c>
      <c r="H67" s="20" t="n">
        <v>1.63663413</v>
      </c>
      <c r="I67" s="18" t="s">
        <v>567</v>
      </c>
      <c r="J67" s="20" t="s">
        <v>567</v>
      </c>
      <c r="K67" s="18" t="n">
        <v>1.00675378</v>
      </c>
      <c r="L67" s="20" t="n">
        <v>0.40019884</v>
      </c>
      <c r="M67" s="18" t="n">
        <v>0</v>
      </c>
      <c r="N67" s="20" t="n">
        <v>0</v>
      </c>
      <c r="O67" s="18" t="n">
        <v>0</v>
      </c>
      <c r="P67" s="20" t="n">
        <v>0</v>
      </c>
      <c r="Q67" s="18" t="n">
        <v>2.20349974</v>
      </c>
      <c r="R67" s="20" t="n">
        <v>0.67876596</v>
      </c>
    </row>
    <row r="68" spans="1:18">
      <c r="A68" s="15" t="s">
        <v>628</v>
      </c>
      <c r="B68" s="17" t="n">
        <v>6049</v>
      </c>
      <c r="C68" s="18">
        <f>(4701.0/B68*100)</f>
        <v/>
      </c>
      <c r="D68" s="19" t="n">
        <v>1348</v>
      </c>
      <c r="E68" s="18" t="n">
        <v>53.31849809</v>
      </c>
      <c r="F68" s="20" t="n">
        <v>1.2872943</v>
      </c>
      <c r="G68" s="18" t="n">
        <v>35.27160249</v>
      </c>
      <c r="H68" s="20" t="n">
        <v>1.07760034</v>
      </c>
      <c r="I68" s="18" t="s">
        <v>567</v>
      </c>
      <c r="J68" s="20" t="s">
        <v>567</v>
      </c>
      <c r="K68" s="18" t="n">
        <v>5.69216548</v>
      </c>
      <c r="L68" s="20" t="n">
        <v>0.65113474</v>
      </c>
      <c r="M68" s="18" t="n">
        <v>0</v>
      </c>
      <c r="N68" s="20" t="n">
        <v>0</v>
      </c>
      <c r="O68" s="18" t="n">
        <v>0</v>
      </c>
      <c r="P68" s="20" t="n">
        <v>0</v>
      </c>
      <c r="Q68" s="18" t="n">
        <v>5.71773395</v>
      </c>
      <c r="R68" s="20" t="n">
        <v>0.61650802</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(2306.0/B70*100)</f>
        <v/>
      </c>
      <c r="D70" s="19" t="n">
        <v>623</v>
      </c>
      <c r="E70" s="18" t="n">
        <v>66.93770193</v>
      </c>
      <c r="F70" s="20" t="n">
        <v>1.90402068</v>
      </c>
      <c r="G70" s="18" t="n">
        <v>31.35703452</v>
      </c>
      <c r="H70" s="20" t="n">
        <v>1.90161672</v>
      </c>
      <c r="I70" s="18" t="s">
        <v>567</v>
      </c>
      <c r="J70" s="20" t="s">
        <v>567</v>
      </c>
      <c r="K70" s="18" t="n">
        <v>0.82420848</v>
      </c>
      <c r="L70" s="20" t="n">
        <v>0.35873304</v>
      </c>
      <c r="M70" s="18" t="n">
        <v>0</v>
      </c>
      <c r="N70" s="20" t="n">
        <v>0</v>
      </c>
      <c r="O70" s="18" t="n">
        <v>0</v>
      </c>
      <c r="P70" s="20" t="n">
        <v>0</v>
      </c>
      <c r="Q70" s="18" t="n">
        <v>0.8810550700000001</v>
      </c>
      <c r="R70" s="20" t="n">
        <v>0.35653489</v>
      </c>
    </row>
    <row r="71" spans="1:18">
      <c r="A71" s="15" t="s">
        <v>631</v>
      </c>
      <c r="B71" s="17" t="n">
        <v>3142</v>
      </c>
      <c r="C71" s="18">
        <f>(2447.0/B71*100)</f>
        <v/>
      </c>
      <c r="D71" s="19" t="n">
        <v>695</v>
      </c>
      <c r="E71" s="18" t="n">
        <v>32.30895251</v>
      </c>
      <c r="F71" s="20" t="n">
        <v>1.95892372</v>
      </c>
      <c r="G71" s="18" t="n">
        <v>66.43658748999999</v>
      </c>
      <c r="H71" s="20" t="n">
        <v>1.96197623</v>
      </c>
      <c r="I71" s="18" t="s">
        <v>567</v>
      </c>
      <c r="J71" s="20" t="s">
        <v>567</v>
      </c>
      <c r="K71" s="18" t="n">
        <v>0.5992301</v>
      </c>
      <c r="L71" s="20" t="n">
        <v>0.30064798</v>
      </c>
      <c r="M71" s="18" t="n">
        <v>0</v>
      </c>
      <c r="N71" s="20" t="n">
        <v>0</v>
      </c>
      <c r="O71" s="18" t="n">
        <v>0</v>
      </c>
      <c r="P71" s="20" t="n">
        <v>0</v>
      </c>
      <c r="Q71" s="18" t="n">
        <v>0.6552299</v>
      </c>
      <c r="R71" s="20" t="n">
        <v>0.25599826</v>
      </c>
    </row>
    <row r="72" spans="1:18">
      <c r="A72" s="15" t="s">
        <v>632</v>
      </c>
      <c r="B72" s="17" t="n">
        <v>3889</v>
      </c>
      <c r="C72" s="18">
        <f>(3054.0/B72*100)</f>
        <v/>
      </c>
      <c r="D72" s="19" t="n">
        <v>835</v>
      </c>
      <c r="E72" s="18" t="n">
        <v>40.4742079</v>
      </c>
      <c r="F72" s="20" t="n">
        <v>1.85251985</v>
      </c>
      <c r="G72" s="18" t="n">
        <v>58.2985957</v>
      </c>
      <c r="H72" s="20" t="n">
        <v>1.92555791</v>
      </c>
      <c r="I72" s="18" t="s">
        <v>567</v>
      </c>
      <c r="J72" s="20" t="s">
        <v>567</v>
      </c>
      <c r="K72" s="18" t="n">
        <v>0.66527604</v>
      </c>
      <c r="L72" s="20" t="n">
        <v>0.27526918</v>
      </c>
      <c r="M72" s="18" t="n">
        <v>0</v>
      </c>
      <c r="N72" s="20" t="n">
        <v>0</v>
      </c>
      <c r="O72" s="18" t="n">
        <v>0</v>
      </c>
      <c r="P72" s="20" t="n">
        <v>0</v>
      </c>
      <c r="Q72" s="18" t="n">
        <v>0.56192036</v>
      </c>
      <c r="R72" s="20" t="n">
        <v>0.13961395</v>
      </c>
    </row>
    <row r="73" spans="1:18">
      <c r="A73" s="15" t="s">
        <v>633</v>
      </c>
      <c r="B73" s="17" t="n">
        <v>3597</v>
      </c>
      <c r="C73" s="18">
        <f>(2863.0/B73*100)</f>
        <v/>
      </c>
      <c r="D73" s="19" t="n">
        <v>734</v>
      </c>
      <c r="E73" s="18" t="n">
        <v>60.76275868</v>
      </c>
      <c r="F73" s="20" t="n">
        <v>2.48632921</v>
      </c>
      <c r="G73" s="18" t="n">
        <v>37.65200277</v>
      </c>
      <c r="H73" s="20" t="n">
        <v>2.46112333</v>
      </c>
      <c r="I73" s="18" t="s">
        <v>567</v>
      </c>
      <c r="J73" s="20" t="s">
        <v>567</v>
      </c>
      <c r="K73" s="18" t="n">
        <v>0</v>
      </c>
      <c r="L73" s="20" t="n">
        <v>0</v>
      </c>
      <c r="M73" s="18" t="n">
        <v>0</v>
      </c>
      <c r="N73" s="20" t="n">
        <v>0</v>
      </c>
      <c r="O73" s="18" t="n">
        <v>0</v>
      </c>
      <c r="P73" s="20" t="n">
        <v>0</v>
      </c>
      <c r="Q73" s="18" t="n">
        <v>1.58523855</v>
      </c>
      <c r="R73" s="20" t="n">
        <v>0.71227104</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(1944.0/B75*100)</f>
        <v/>
      </c>
      <c r="D75" s="19" t="n">
        <v>462</v>
      </c>
      <c r="E75" s="18" t="n">
        <v>74.81860193999999</v>
      </c>
      <c r="F75" s="20" t="n">
        <v>1.85884804</v>
      </c>
      <c r="G75" s="18" t="n">
        <v>16.77144896</v>
      </c>
      <c r="H75" s="20" t="n">
        <v>1.5796417</v>
      </c>
      <c r="I75" s="18" t="s">
        <v>567</v>
      </c>
      <c r="J75" s="20" t="s">
        <v>567</v>
      </c>
      <c r="K75" s="18" t="n">
        <v>4.88985686</v>
      </c>
      <c r="L75" s="20" t="n">
        <v>1.03675006</v>
      </c>
      <c r="M75" s="18" t="n">
        <v>0</v>
      </c>
      <c r="N75" s="20" t="n">
        <v>0</v>
      </c>
      <c r="O75" s="18" t="n">
        <v>0</v>
      </c>
      <c r="P75" s="20" t="n">
        <v>0</v>
      </c>
      <c r="Q75" s="18" t="n">
        <v>3.52009225</v>
      </c>
      <c r="R75" s="20" t="n">
        <v>0.78134332</v>
      </c>
    </row>
    <row r="76" spans="1:18">
      <c r="A76" s="15" t="s">
        <v>636</v>
      </c>
      <c r="B76" s="17" t="n">
        <v>7052</v>
      </c>
      <c r="C76" s="18">
        <f>(5558.0/B76*100)</f>
        <v/>
      </c>
      <c r="D76" s="19" t="n">
        <v>1494</v>
      </c>
      <c r="E76" s="18" t="n">
        <v>56.60235953</v>
      </c>
      <c r="F76" s="20" t="n">
        <v>1.38984261</v>
      </c>
      <c r="G76" s="18" t="n">
        <v>38.08166912</v>
      </c>
      <c r="H76" s="20" t="n">
        <v>1.33872928</v>
      </c>
      <c r="I76" s="18" t="s">
        <v>567</v>
      </c>
      <c r="J76" s="20" t="s">
        <v>567</v>
      </c>
      <c r="K76" s="18" t="n">
        <v>2.26344703</v>
      </c>
      <c r="L76" s="20" t="n">
        <v>0.52052586</v>
      </c>
      <c r="M76" s="18" t="n">
        <v>0</v>
      </c>
      <c r="N76" s="20" t="n">
        <v>0</v>
      </c>
      <c r="O76" s="18" t="n">
        <v>0</v>
      </c>
      <c r="P76" s="20" t="n">
        <v>0</v>
      </c>
      <c r="Q76" s="18" t="n">
        <v>3.05252432</v>
      </c>
      <c r="R76" s="20" t="n">
        <v>0.5078631300000001</v>
      </c>
    </row>
    <row r="77" spans="1:18">
      <c r="A77" s="15" t="s">
        <v>637</v>
      </c>
      <c r="B77" s="17" t="n">
        <v>2908</v>
      </c>
      <c r="C77" s="18">
        <f>(2286.0/B77*100)</f>
        <v/>
      </c>
      <c r="D77" s="19" t="n">
        <v>622</v>
      </c>
      <c r="E77" s="18" t="n">
        <v>61.62513625</v>
      </c>
      <c r="F77" s="20" t="n">
        <v>2.03305111</v>
      </c>
      <c r="G77" s="18" t="n">
        <v>29.83095252</v>
      </c>
      <c r="H77" s="20" t="n">
        <v>2.11205869</v>
      </c>
      <c r="I77" s="18" t="s">
        <v>567</v>
      </c>
      <c r="J77" s="20" t="s">
        <v>567</v>
      </c>
      <c r="K77" s="18" t="n">
        <v>2.79869312</v>
      </c>
      <c r="L77" s="20" t="n">
        <v>0.77626392</v>
      </c>
      <c r="M77" s="18" t="n">
        <v>0</v>
      </c>
      <c r="N77" s="20" t="n">
        <v>0</v>
      </c>
      <c r="O77" s="18" t="n">
        <v>0</v>
      </c>
      <c r="P77" s="20" t="n">
        <v>0</v>
      </c>
      <c r="Q77" s="18" t="n">
        <v>5.74521811</v>
      </c>
      <c r="R77" s="20" t="n">
        <v>1.14602159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(3244.0/B81*100)</f>
        <v/>
      </c>
      <c r="D81" s="19" t="n">
        <v>919</v>
      </c>
      <c r="E81" s="18" t="n">
        <v>54.98084357</v>
      </c>
      <c r="F81" s="20" t="n">
        <v>2.0870156</v>
      </c>
      <c r="G81" s="18" t="n">
        <v>42.90570566</v>
      </c>
      <c r="H81" s="20" t="n">
        <v>2.00988564</v>
      </c>
      <c r="I81" s="18" t="s">
        <v>567</v>
      </c>
      <c r="J81" s="20" t="s">
        <v>567</v>
      </c>
      <c r="K81" s="18" t="n">
        <v>0.82367409</v>
      </c>
      <c r="L81" s="20" t="n">
        <v>0.39293819</v>
      </c>
      <c r="M81" s="18" t="n">
        <v>0</v>
      </c>
      <c r="N81" s="20" t="n">
        <v>0</v>
      </c>
      <c r="O81" s="18" t="n">
        <v>0</v>
      </c>
      <c r="P81" s="20" t="n">
        <v>0</v>
      </c>
      <c r="Q81" s="18" t="n">
        <v>1.28977668</v>
      </c>
      <c r="R81" s="20" t="n">
        <v>0.45666122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(5850.0/B7*100)</f>
        <v/>
      </c>
      <c r="D7" s="19" t="n">
        <v>1517</v>
      </c>
      <c r="E7" s="18" t="n">
        <v>43.05817142</v>
      </c>
      <c r="F7" s="20" t="n">
        <v>1.64895412</v>
      </c>
      <c r="G7" s="18" t="n">
        <v>54.67628001</v>
      </c>
      <c r="H7" s="20" t="n">
        <v>1.64052727</v>
      </c>
      <c r="I7" s="18" t="s">
        <v>567</v>
      </c>
      <c r="J7" s="20" t="s">
        <v>567</v>
      </c>
      <c r="K7" s="18" t="n">
        <v>0.95231756</v>
      </c>
      <c r="L7" s="20" t="n">
        <v>0.27195205</v>
      </c>
      <c r="M7" s="18" t="n">
        <v>0.10484764</v>
      </c>
      <c r="N7" s="20" t="n">
        <v>0.06811444</v>
      </c>
      <c r="O7" s="18" t="n">
        <v>0</v>
      </c>
      <c r="P7" s="20" t="n">
        <v>0</v>
      </c>
      <c r="Q7" s="18" t="n">
        <v>1.20838337</v>
      </c>
      <c r="R7" s="20" t="n">
        <v>0.3225349</v>
      </c>
    </row>
    <row r="8" spans="1:18">
      <c r="A8" s="15" t="s">
        <v>568</v>
      </c>
      <c r="B8" s="17" t="n">
        <v>3564</v>
      </c>
      <c r="C8" s="18">
        <f>(2772.0/B8*100)</f>
        <v/>
      </c>
      <c r="D8" s="19" t="n">
        <v>792</v>
      </c>
      <c r="E8" s="18" t="n">
        <v>50.43612366</v>
      </c>
      <c r="F8" s="20" t="n">
        <v>1.98178191</v>
      </c>
      <c r="G8" s="18" t="n">
        <v>46.08058709</v>
      </c>
      <c r="H8" s="20" t="n">
        <v>2.03748998</v>
      </c>
      <c r="I8" s="18" t="s">
        <v>567</v>
      </c>
      <c r="J8" s="20" t="s">
        <v>567</v>
      </c>
      <c r="K8" s="18" t="n">
        <v>1.13663028</v>
      </c>
      <c r="L8" s="20" t="n">
        <v>0.39608961</v>
      </c>
      <c r="M8" s="18" t="n">
        <v>0</v>
      </c>
      <c r="N8" s="20" t="n">
        <v>0</v>
      </c>
      <c r="O8" s="18" t="n">
        <v>0</v>
      </c>
      <c r="P8" s="20" t="n">
        <v>0</v>
      </c>
      <c r="Q8" s="18" t="n">
        <v>2.34665897</v>
      </c>
      <c r="R8" s="20" t="n">
        <v>0.58261265</v>
      </c>
    </row>
    <row r="9" spans="1:18">
      <c r="A9" s="15" t="s">
        <v>569</v>
      </c>
      <c r="B9" s="17" t="n">
        <v>4899</v>
      </c>
      <c r="C9" s="18">
        <f>(3924.0/B9*100)</f>
        <v/>
      </c>
      <c r="D9" s="19" t="n">
        <v>975</v>
      </c>
      <c r="E9" s="18" t="n">
        <v>37.89617025</v>
      </c>
      <c r="F9" s="20" t="n">
        <v>1.87092482</v>
      </c>
      <c r="G9" s="18" t="n">
        <v>58.39323803</v>
      </c>
      <c r="H9" s="20" t="n">
        <v>1.95477144</v>
      </c>
      <c r="I9" s="18" t="s">
        <v>567</v>
      </c>
      <c r="J9" s="20" t="s">
        <v>567</v>
      </c>
      <c r="K9" s="18" t="n">
        <v>1.14282572</v>
      </c>
      <c r="L9" s="20" t="n">
        <v>0.36394477</v>
      </c>
      <c r="M9" s="18" t="n">
        <v>0.41885685</v>
      </c>
      <c r="N9" s="20" t="n">
        <v>0.2033666</v>
      </c>
      <c r="O9" s="18" t="n">
        <v>0</v>
      </c>
      <c r="P9" s="20" t="n">
        <v>0</v>
      </c>
      <c r="Q9" s="18" t="n">
        <v>2.14890915</v>
      </c>
      <c r="R9" s="20" t="n">
        <v>0.52830884</v>
      </c>
    </row>
    <row r="10" spans="1:18">
      <c r="A10" s="15" t="s">
        <v>570</v>
      </c>
      <c r="B10" s="17" t="n">
        <v>10036</v>
      </c>
      <c r="C10" s="18">
        <f>(7844.0/B10*100)</f>
        <v/>
      </c>
      <c r="D10" s="19" t="n">
        <v>2192</v>
      </c>
      <c r="E10" s="18" t="n">
        <v>37.55571863</v>
      </c>
      <c r="F10" s="20" t="n">
        <v>1.75590384</v>
      </c>
      <c r="G10" s="18" t="n">
        <v>59.98065164</v>
      </c>
      <c r="H10" s="20" t="n">
        <v>1.76669562</v>
      </c>
      <c r="I10" s="18" t="s">
        <v>567</v>
      </c>
      <c r="J10" s="20" t="s">
        <v>567</v>
      </c>
      <c r="K10" s="18" t="n">
        <v>1.09687851</v>
      </c>
      <c r="L10" s="20" t="n">
        <v>0.31173342</v>
      </c>
      <c r="M10" s="18" t="n">
        <v>0.09425119</v>
      </c>
      <c r="N10" s="20" t="n">
        <v>0.09878567000000001</v>
      </c>
      <c r="O10" s="18" t="n">
        <v>0</v>
      </c>
      <c r="P10" s="20" t="n">
        <v>0</v>
      </c>
      <c r="Q10" s="18" t="n">
        <v>1.27250003</v>
      </c>
      <c r="R10" s="20" t="n">
        <v>0.30017301</v>
      </c>
    </row>
    <row r="11" spans="1:18">
      <c r="A11" s="15" t="s">
        <v>571</v>
      </c>
      <c r="B11" s="17" t="n">
        <v>3553</v>
      </c>
      <c r="C11" s="18">
        <f>(2801.0/B11*100)</f>
        <v/>
      </c>
      <c r="D11" s="19" t="n">
        <v>752</v>
      </c>
      <c r="E11" s="18" t="n">
        <v>66.79266542000001</v>
      </c>
      <c r="F11" s="20" t="n">
        <v>2.1582328</v>
      </c>
      <c r="G11" s="18" t="n">
        <v>26.72534106</v>
      </c>
      <c r="H11" s="20" t="n">
        <v>2.13571913</v>
      </c>
      <c r="I11" s="18" t="s">
        <v>567</v>
      </c>
      <c r="J11" s="20" t="s">
        <v>567</v>
      </c>
      <c r="K11" s="18" t="n">
        <v>2.91733052</v>
      </c>
      <c r="L11" s="20" t="n">
        <v>0.70386217</v>
      </c>
      <c r="M11" s="18" t="n">
        <v>0</v>
      </c>
      <c r="N11" s="20" t="n">
        <v>0</v>
      </c>
      <c r="O11" s="18" t="n">
        <v>0</v>
      </c>
      <c r="P11" s="20" t="n">
        <v>0</v>
      </c>
      <c r="Q11" s="18" t="n">
        <v>3.564663</v>
      </c>
      <c r="R11" s="20" t="n">
        <v>0.7826421099999999</v>
      </c>
    </row>
    <row r="12" spans="1:18">
      <c r="A12" s="15" t="s">
        <v>572</v>
      </c>
      <c r="B12" s="17" t="n">
        <v>3472</v>
      </c>
      <c r="C12" s="18">
        <f>(2732.0/B12*100)</f>
        <v/>
      </c>
      <c r="D12" s="19" t="n">
        <v>740</v>
      </c>
      <c r="E12" s="18" t="n">
        <v>65.26202983</v>
      </c>
      <c r="F12" s="20" t="n">
        <v>1.82132259</v>
      </c>
      <c r="G12" s="18" t="n">
        <v>32.69524076</v>
      </c>
      <c r="H12" s="20" t="n">
        <v>1.74492127</v>
      </c>
      <c r="I12" s="18" t="s">
        <v>567</v>
      </c>
      <c r="J12" s="20" t="s">
        <v>567</v>
      </c>
      <c r="K12" s="18" t="n">
        <v>0.1262125</v>
      </c>
      <c r="L12" s="20" t="n">
        <v>0.12841582</v>
      </c>
      <c r="M12" s="18" t="n">
        <v>0.16229182</v>
      </c>
      <c r="N12" s="20" t="n">
        <v>0.24398269</v>
      </c>
      <c r="O12" s="18" t="n">
        <v>0</v>
      </c>
      <c r="P12" s="20" t="n">
        <v>0</v>
      </c>
      <c r="Q12" s="18" t="n">
        <v>1.75422509</v>
      </c>
      <c r="R12" s="20" t="n">
        <v>0.61100087</v>
      </c>
    </row>
    <row r="13" spans="1:18">
      <c r="A13" s="15" t="s">
        <v>573</v>
      </c>
      <c r="B13" s="17" t="n">
        <v>3559</v>
      </c>
      <c r="C13" s="18">
        <f>(2848.0/B13*100)</f>
        <v/>
      </c>
      <c r="D13" s="19" t="n">
        <v>711</v>
      </c>
      <c r="E13" s="18" t="n">
        <v>48.70508311</v>
      </c>
      <c r="F13" s="20" t="n">
        <v>2.311683</v>
      </c>
      <c r="G13" s="18" t="n">
        <v>49.52140356</v>
      </c>
      <c r="H13" s="20" t="n">
        <v>2.38490638</v>
      </c>
      <c r="I13" s="18" t="s">
        <v>567</v>
      </c>
      <c r="J13" s="20" t="s">
        <v>567</v>
      </c>
      <c r="K13" s="18" t="n">
        <v>0.68606077</v>
      </c>
      <c r="L13" s="20" t="n">
        <v>0.40665017</v>
      </c>
      <c r="M13" s="18" t="n">
        <v>0.13331089</v>
      </c>
      <c r="N13" s="20" t="n">
        <v>0.13314377</v>
      </c>
      <c r="O13" s="18" t="n">
        <v>0</v>
      </c>
      <c r="P13" s="20" t="n">
        <v>0</v>
      </c>
      <c r="Q13" s="18" t="n">
        <v>0.95414168</v>
      </c>
      <c r="R13" s="20" t="n">
        <v>0.4904182</v>
      </c>
    </row>
    <row r="14" spans="1:18">
      <c r="A14" s="15" t="s">
        <v>574</v>
      </c>
      <c r="B14" s="17" t="n">
        <v>2799</v>
      </c>
      <c r="C14" s="18">
        <f>(2163.0/B14*100)</f>
        <v/>
      </c>
      <c r="D14" s="19" t="n">
        <v>636</v>
      </c>
      <c r="E14" s="18" t="n">
        <v>41.48212397</v>
      </c>
      <c r="F14" s="20" t="n">
        <v>2.50126223</v>
      </c>
      <c r="G14" s="18" t="n">
        <v>56.33201593</v>
      </c>
      <c r="H14" s="20" t="n">
        <v>2.49104218</v>
      </c>
      <c r="I14" s="18" t="s">
        <v>567</v>
      </c>
      <c r="J14" s="20" t="s">
        <v>567</v>
      </c>
      <c r="K14" s="18" t="n">
        <v>1.52906844</v>
      </c>
      <c r="L14" s="20" t="n">
        <v>0.6380502300000001</v>
      </c>
      <c r="M14" s="18" t="n">
        <v>0</v>
      </c>
      <c r="N14" s="20" t="n">
        <v>0</v>
      </c>
      <c r="O14" s="18" t="n">
        <v>0</v>
      </c>
      <c r="P14" s="20" t="n">
        <v>0</v>
      </c>
      <c r="Q14" s="18" t="n">
        <v>0.65679166</v>
      </c>
      <c r="R14" s="20" t="n">
        <v>0.42447836</v>
      </c>
    </row>
    <row r="15" spans="1:18">
      <c r="A15" s="15" t="s">
        <v>575</v>
      </c>
      <c r="B15" s="17" t="n">
        <v>3019</v>
      </c>
      <c r="C15" s="18">
        <f>(2330.0/B15*100)</f>
        <v/>
      </c>
      <c r="D15" s="19" t="n">
        <v>689</v>
      </c>
      <c r="E15" s="18" t="n">
        <v>39.8102148</v>
      </c>
      <c r="F15" s="20" t="n">
        <v>1.85306766</v>
      </c>
      <c r="G15" s="18" t="n">
        <v>58.44052703</v>
      </c>
      <c r="H15" s="20" t="n">
        <v>1.8868287</v>
      </c>
      <c r="I15" s="18" t="s">
        <v>567</v>
      </c>
      <c r="J15" s="20" t="s">
        <v>567</v>
      </c>
      <c r="K15" s="18" t="n">
        <v>0.5557280100000001</v>
      </c>
      <c r="L15" s="20" t="n">
        <v>0.276865</v>
      </c>
      <c r="M15" s="18" t="n">
        <v>0</v>
      </c>
      <c r="N15" s="20" t="n">
        <v>0</v>
      </c>
      <c r="O15" s="18" t="n">
        <v>0</v>
      </c>
      <c r="P15" s="20" t="n">
        <v>0</v>
      </c>
      <c r="Q15" s="18" t="n">
        <v>1.19353016</v>
      </c>
      <c r="R15" s="20" t="n">
        <v>0.43131061</v>
      </c>
    </row>
    <row r="16" spans="1:18">
      <c r="A16" s="15" t="s">
        <v>576</v>
      </c>
      <c r="B16" s="17" t="n">
        <v>2997</v>
      </c>
      <c r="C16" s="18">
        <f>(2384.0/B16*100)</f>
        <v/>
      </c>
      <c r="D16" s="19" t="n">
        <v>613</v>
      </c>
      <c r="E16" s="18" t="n">
        <v>47.44399409</v>
      </c>
      <c r="F16" s="20" t="n">
        <v>1.7937205</v>
      </c>
      <c r="G16" s="18" t="n">
        <v>46.92434715</v>
      </c>
      <c r="H16" s="20" t="n">
        <v>1.80215325</v>
      </c>
      <c r="I16" s="18" t="s">
        <v>567</v>
      </c>
      <c r="J16" s="20" t="s">
        <v>567</v>
      </c>
      <c r="K16" s="18" t="n">
        <v>2.73387708</v>
      </c>
      <c r="L16" s="20" t="n">
        <v>0.70599667</v>
      </c>
      <c r="M16" s="18" t="n">
        <v>0</v>
      </c>
      <c r="N16" s="20" t="n">
        <v>0</v>
      </c>
      <c r="O16" s="18" t="n">
        <v>0</v>
      </c>
      <c r="P16" s="20" t="n">
        <v>0</v>
      </c>
      <c r="Q16" s="18" t="n">
        <v>2.89778167</v>
      </c>
      <c r="R16" s="20" t="n">
        <v>1.10099694</v>
      </c>
    </row>
    <row r="17" spans="1:18">
      <c r="A17" s="15" t="s">
        <v>577</v>
      </c>
      <c r="B17" s="17" t="n">
        <v>3307</v>
      </c>
      <c r="C17" s="18">
        <f>(2611.0/B17*100)</f>
        <v/>
      </c>
      <c r="D17" s="19" t="n">
        <v>696</v>
      </c>
      <c r="E17" s="18" t="n">
        <v>50.05765315</v>
      </c>
      <c r="F17" s="20" t="n">
        <v>1.97159577</v>
      </c>
      <c r="G17" s="18" t="n">
        <v>47.55059372</v>
      </c>
      <c r="H17" s="20" t="n">
        <v>2.02565682</v>
      </c>
      <c r="I17" s="18" t="s">
        <v>567</v>
      </c>
      <c r="J17" s="20" t="s">
        <v>567</v>
      </c>
      <c r="K17" s="18" t="n">
        <v>0.6493334200000001</v>
      </c>
      <c r="L17" s="20" t="n">
        <v>0.28768631</v>
      </c>
      <c r="M17" s="18" t="n">
        <v>0</v>
      </c>
      <c r="N17" s="20" t="n">
        <v>0</v>
      </c>
      <c r="O17" s="18" t="n">
        <v>0</v>
      </c>
      <c r="P17" s="20" t="n">
        <v>0</v>
      </c>
      <c r="Q17" s="18" t="n">
        <v>1.7424197</v>
      </c>
      <c r="R17" s="20" t="n">
        <v>0.49148795</v>
      </c>
    </row>
    <row r="18" spans="1:18">
      <c r="A18" s="15" t="s">
        <v>578</v>
      </c>
      <c r="B18" s="17" t="n">
        <v>2826</v>
      </c>
      <c r="C18" s="18">
        <f>(2220.0/B18*100)</f>
        <v/>
      </c>
      <c r="D18" s="19" t="n">
        <v>606</v>
      </c>
      <c r="E18" s="18" t="n">
        <v>56.61855565</v>
      </c>
      <c r="F18" s="20" t="n">
        <v>2.44693406</v>
      </c>
      <c r="G18" s="18" t="n">
        <v>38.90867862</v>
      </c>
      <c r="H18" s="20" t="n">
        <v>2.4480002</v>
      </c>
      <c r="I18" s="18" t="s">
        <v>567</v>
      </c>
      <c r="J18" s="20" t="s">
        <v>567</v>
      </c>
      <c r="K18" s="18" t="n">
        <v>1.16866302</v>
      </c>
      <c r="L18" s="20" t="n">
        <v>0.47271369</v>
      </c>
      <c r="M18" s="18" t="n">
        <v>0</v>
      </c>
      <c r="N18" s="20" t="n">
        <v>0</v>
      </c>
      <c r="O18" s="18" t="n">
        <v>0</v>
      </c>
      <c r="P18" s="20" t="n">
        <v>0</v>
      </c>
      <c r="Q18" s="18" t="n">
        <v>3.30410271</v>
      </c>
      <c r="R18" s="20" t="n">
        <v>0.89489274</v>
      </c>
    </row>
    <row r="19" spans="1:18">
      <c r="A19" s="15" t="s">
        <v>579</v>
      </c>
      <c r="B19" s="17" t="n">
        <v>2808</v>
      </c>
      <c r="C19" s="18">
        <f>(2195.0/B19*100)</f>
        <v/>
      </c>
      <c r="D19" s="19" t="n">
        <v>613</v>
      </c>
      <c r="E19" s="18" t="n">
        <v>57.49513002</v>
      </c>
      <c r="F19" s="20" t="n">
        <v>2.22068208</v>
      </c>
      <c r="G19" s="18" t="n">
        <v>38.88261297</v>
      </c>
      <c r="H19" s="20" t="n">
        <v>2.22166971</v>
      </c>
      <c r="I19" s="18" t="s">
        <v>567</v>
      </c>
      <c r="J19" s="20" t="s">
        <v>567</v>
      </c>
      <c r="K19" s="18" t="n">
        <v>0.66207715</v>
      </c>
      <c r="L19" s="20" t="n">
        <v>0.44249649</v>
      </c>
      <c r="M19" s="18" t="n">
        <v>0.13139596</v>
      </c>
      <c r="N19" s="20" t="n">
        <v>0.13063343</v>
      </c>
      <c r="O19" s="18" t="n">
        <v>0</v>
      </c>
      <c r="P19" s="20" t="n">
        <v>0</v>
      </c>
      <c r="Q19" s="18" t="n">
        <v>2.82878391</v>
      </c>
      <c r="R19" s="20" t="n">
        <v>0.54066094</v>
      </c>
    </row>
    <row r="20" spans="1:18">
      <c r="A20" s="15" t="s">
        <v>580</v>
      </c>
      <c r="B20" s="17" t="n">
        <v>1630</v>
      </c>
      <c r="C20" s="18">
        <f>(1293.0/B20*100)</f>
        <v/>
      </c>
      <c r="D20" s="19" t="n">
        <v>337</v>
      </c>
      <c r="E20" s="18" t="n">
        <v>56.20096798</v>
      </c>
      <c r="F20" s="20" t="n">
        <v>3.14389097</v>
      </c>
      <c r="G20" s="18" t="n">
        <v>38.80910942</v>
      </c>
      <c r="H20" s="20" t="n">
        <v>2.96953573</v>
      </c>
      <c r="I20" s="18" t="s">
        <v>567</v>
      </c>
      <c r="J20" s="20" t="s">
        <v>567</v>
      </c>
      <c r="K20" s="18" t="n">
        <v>2.53234263</v>
      </c>
      <c r="L20" s="20" t="n">
        <v>1.00132331</v>
      </c>
      <c r="M20" s="18" t="n">
        <v>0</v>
      </c>
      <c r="N20" s="20" t="n">
        <v>0</v>
      </c>
      <c r="O20" s="18" t="n">
        <v>0</v>
      </c>
      <c r="P20" s="20" t="n">
        <v>0</v>
      </c>
      <c r="Q20" s="18" t="n">
        <v>2.45757998</v>
      </c>
      <c r="R20" s="20" t="n">
        <v>0.89272153</v>
      </c>
    </row>
    <row r="21" spans="1:18">
      <c r="A21" s="15" t="s">
        <v>581</v>
      </c>
      <c r="B21" s="17" t="n">
        <v>2908</v>
      </c>
      <c r="C21" s="18">
        <f>(2251.0/B21*100)</f>
        <v/>
      </c>
      <c r="D21" s="19" t="n">
        <v>657</v>
      </c>
      <c r="E21" s="18" t="n">
        <v>41.70161575</v>
      </c>
      <c r="F21" s="20" t="n">
        <v>2.07536087</v>
      </c>
      <c r="G21" s="18" t="n">
        <v>55.34414708</v>
      </c>
      <c r="H21" s="20" t="n">
        <v>2.03829695</v>
      </c>
      <c r="I21" s="18" t="s">
        <v>567</v>
      </c>
      <c r="J21" s="20" t="s">
        <v>567</v>
      </c>
      <c r="K21" s="18" t="n">
        <v>1.17194106</v>
      </c>
      <c r="L21" s="20" t="n">
        <v>0.42956221</v>
      </c>
      <c r="M21" s="18" t="n">
        <v>0.12761111</v>
      </c>
      <c r="N21" s="20" t="n">
        <v>0.12724806</v>
      </c>
      <c r="O21" s="18" t="n">
        <v>0</v>
      </c>
      <c r="P21" s="20" t="n">
        <v>0</v>
      </c>
      <c r="Q21" s="18" t="n">
        <v>1.654685</v>
      </c>
      <c r="R21" s="20" t="n">
        <v>0.51656066</v>
      </c>
    </row>
    <row r="22" spans="1:18">
      <c r="A22" s="15" t="s">
        <v>582</v>
      </c>
      <c r="B22" s="17" t="n">
        <v>2931</v>
      </c>
      <c r="C22" s="18">
        <f>(2303.0/B22*100)</f>
        <v/>
      </c>
      <c r="D22" s="19" t="n">
        <v>628</v>
      </c>
      <c r="E22" s="18" t="n">
        <v>53.5724899</v>
      </c>
      <c r="F22" s="20" t="n">
        <v>2.30645292</v>
      </c>
      <c r="G22" s="18" t="n">
        <v>41.93713191</v>
      </c>
      <c r="H22" s="20" t="n">
        <v>2.43614181</v>
      </c>
      <c r="I22" s="18" t="s">
        <v>567</v>
      </c>
      <c r="J22" s="20" t="s">
        <v>567</v>
      </c>
      <c r="K22" s="18" t="n">
        <v>2.5992754</v>
      </c>
      <c r="L22" s="20" t="n">
        <v>0.6532385000000001</v>
      </c>
      <c r="M22" s="18" t="n">
        <v>0</v>
      </c>
      <c r="N22" s="20" t="n">
        <v>0</v>
      </c>
      <c r="O22" s="18" t="n">
        <v>0</v>
      </c>
      <c r="P22" s="20" t="n">
        <v>0</v>
      </c>
      <c r="Q22" s="18" t="n">
        <v>1.8911028</v>
      </c>
      <c r="R22" s="20" t="n">
        <v>0.69650689</v>
      </c>
    </row>
    <row r="23" spans="1:18">
      <c r="A23" s="15" t="s">
        <v>583</v>
      </c>
      <c r="B23" s="17" t="n">
        <v>5791</v>
      </c>
      <c r="C23" s="18">
        <f>(4548.0/B23*100)</f>
        <v/>
      </c>
      <c r="D23" s="19" t="n">
        <v>1243</v>
      </c>
      <c r="E23" s="18" t="n">
        <v>55.9610111</v>
      </c>
      <c r="F23" s="20" t="n">
        <v>1.73289796</v>
      </c>
      <c r="G23" s="18" t="n">
        <v>39.96186031</v>
      </c>
      <c r="H23" s="20" t="n">
        <v>1.80508513</v>
      </c>
      <c r="I23" s="18" t="s">
        <v>567</v>
      </c>
      <c r="J23" s="20" t="s">
        <v>567</v>
      </c>
      <c r="K23" s="18" t="n">
        <v>2.00266086</v>
      </c>
      <c r="L23" s="20" t="n">
        <v>0.59574346</v>
      </c>
      <c r="M23" s="18" t="n">
        <v>0.14957903</v>
      </c>
      <c r="N23" s="20" t="n">
        <v>0.11490049</v>
      </c>
      <c r="O23" s="18" t="n">
        <v>0</v>
      </c>
      <c r="P23" s="20" t="n">
        <v>0</v>
      </c>
      <c r="Q23" s="18" t="n">
        <v>1.9248887</v>
      </c>
      <c r="R23" s="20" t="n">
        <v>0.6343394999999999</v>
      </c>
    </row>
    <row r="24" spans="1:18">
      <c r="A24" s="15" t="s">
        <v>584</v>
      </c>
      <c r="B24" s="17" t="n">
        <v>3338</v>
      </c>
      <c r="C24" s="18">
        <f>(2613.0/B24*100)</f>
        <v/>
      </c>
      <c r="D24" s="19" t="n">
        <v>725</v>
      </c>
      <c r="E24" s="18" t="n">
        <v>45.02241252</v>
      </c>
      <c r="F24" s="20" t="n">
        <v>1.79802571</v>
      </c>
      <c r="G24" s="18" t="n">
        <v>53.32024338</v>
      </c>
      <c r="H24" s="20" t="n">
        <v>1.84573354</v>
      </c>
      <c r="I24" s="18" t="s">
        <v>567</v>
      </c>
      <c r="J24" s="20" t="s">
        <v>567</v>
      </c>
      <c r="K24" s="18" t="n">
        <v>0.52605053</v>
      </c>
      <c r="L24" s="20" t="n">
        <v>0.26512532</v>
      </c>
      <c r="M24" s="18" t="n">
        <v>0</v>
      </c>
      <c r="N24" s="20" t="n">
        <v>0</v>
      </c>
      <c r="O24" s="18" t="n">
        <v>0</v>
      </c>
      <c r="P24" s="20" t="n">
        <v>0</v>
      </c>
      <c r="Q24" s="18" t="n">
        <v>1.13129357</v>
      </c>
      <c r="R24" s="20" t="n">
        <v>0.40740649</v>
      </c>
    </row>
    <row r="25" spans="1:18">
      <c r="A25" s="15" t="s">
        <v>585</v>
      </c>
      <c r="B25" s="17" t="n">
        <v>2912</v>
      </c>
      <c r="C25" s="18">
        <f>(2269.0/B25*100)</f>
        <v/>
      </c>
      <c r="D25" s="19" t="n">
        <v>643</v>
      </c>
      <c r="E25" s="18" t="n">
        <v>47.80289158</v>
      </c>
      <c r="F25" s="20" t="n">
        <v>2.33742106</v>
      </c>
      <c r="G25" s="18" t="n">
        <v>49.83913176</v>
      </c>
      <c r="H25" s="20" t="n">
        <v>2.38011359</v>
      </c>
      <c r="I25" s="18" t="s">
        <v>567</v>
      </c>
      <c r="J25" s="20" t="s">
        <v>567</v>
      </c>
      <c r="K25" s="18" t="n">
        <v>0.56623475</v>
      </c>
      <c r="L25" s="20" t="n">
        <v>0.34250439</v>
      </c>
      <c r="M25" s="18" t="n">
        <v>0</v>
      </c>
      <c r="N25" s="20" t="n">
        <v>0</v>
      </c>
      <c r="O25" s="18" t="n">
        <v>0</v>
      </c>
      <c r="P25" s="20" t="n">
        <v>0</v>
      </c>
      <c r="Q25" s="18" t="n">
        <v>1.79174191</v>
      </c>
      <c r="R25" s="20" t="n">
        <v>0.58116947</v>
      </c>
    </row>
    <row r="26" spans="1:18">
      <c r="A26" s="15" t="s">
        <v>586</v>
      </c>
      <c r="B26" s="17" t="n">
        <v>2450</v>
      </c>
      <c r="C26" s="18">
        <f>(1897.0/B26*100)</f>
        <v/>
      </c>
      <c r="D26" s="19" t="n">
        <v>553</v>
      </c>
      <c r="E26" s="18" t="n">
        <v>61.23908087</v>
      </c>
      <c r="F26" s="20" t="n">
        <v>2.42727714</v>
      </c>
      <c r="G26" s="18" t="n">
        <v>38.34775414</v>
      </c>
      <c r="H26" s="20" t="n">
        <v>2.36138441</v>
      </c>
      <c r="I26" s="18" t="s">
        <v>567</v>
      </c>
      <c r="J26" s="20" t="s">
        <v>567</v>
      </c>
      <c r="K26" s="18" t="n">
        <v>0.12652023</v>
      </c>
      <c r="L26" s="20" t="n">
        <v>0.11910333</v>
      </c>
      <c r="M26" s="18" t="n">
        <v>0</v>
      </c>
      <c r="N26" s="20" t="n">
        <v>0</v>
      </c>
      <c r="O26" s="18" t="n">
        <v>0</v>
      </c>
      <c r="P26" s="20" t="n">
        <v>0</v>
      </c>
      <c r="Q26" s="18" t="n">
        <v>0.28664476</v>
      </c>
      <c r="R26" s="20" t="n">
        <v>0.20195752</v>
      </c>
    </row>
    <row r="27" spans="1:18">
      <c r="A27" s="15" t="s">
        <v>587</v>
      </c>
      <c r="B27" s="17" t="n">
        <v>2616</v>
      </c>
      <c r="C27" s="18">
        <f>(2073.0/B27*100)</f>
        <v/>
      </c>
      <c r="D27" s="19" t="n">
        <v>543</v>
      </c>
      <c r="E27" s="18" t="n">
        <v>57.87581766</v>
      </c>
      <c r="F27" s="20" t="n">
        <v>1.97749059</v>
      </c>
      <c r="G27" s="18" t="n">
        <v>39.90240185</v>
      </c>
      <c r="H27" s="20" t="n">
        <v>1.93806379</v>
      </c>
      <c r="I27" s="18" t="s">
        <v>567</v>
      </c>
      <c r="J27" s="20" t="s">
        <v>567</v>
      </c>
      <c r="K27" s="18" t="n">
        <v>0.56129259</v>
      </c>
      <c r="L27" s="20" t="n">
        <v>0.32481537</v>
      </c>
      <c r="M27" s="18" t="n">
        <v>0</v>
      </c>
      <c r="N27" s="20" t="n">
        <v>0</v>
      </c>
      <c r="O27" s="18" t="n">
        <v>0</v>
      </c>
      <c r="P27" s="20" t="n">
        <v>0</v>
      </c>
      <c r="Q27" s="18" t="n">
        <v>1.66048789</v>
      </c>
      <c r="R27" s="20" t="n">
        <v>0.54919386</v>
      </c>
    </row>
    <row r="28" spans="1:18">
      <c r="A28" s="15" t="s">
        <v>588</v>
      </c>
      <c r="B28" s="17" t="n">
        <v>3765</v>
      </c>
      <c r="C28" s="18">
        <f>(2979.0/B28*100)</f>
        <v/>
      </c>
      <c r="D28" s="19" t="n">
        <v>786</v>
      </c>
      <c r="E28" s="18" t="n">
        <v>71.41366856</v>
      </c>
      <c r="F28" s="20" t="n">
        <v>1.8188604</v>
      </c>
      <c r="G28" s="18" t="n">
        <v>26.67028281</v>
      </c>
      <c r="H28" s="20" t="n">
        <v>1.86519427</v>
      </c>
      <c r="I28" s="18" t="s">
        <v>567</v>
      </c>
      <c r="J28" s="20" t="s">
        <v>567</v>
      </c>
      <c r="K28" s="18" t="n">
        <v>0.85479061</v>
      </c>
      <c r="L28" s="20" t="n">
        <v>0.37416021</v>
      </c>
      <c r="M28" s="18" t="n">
        <v>0.36968498</v>
      </c>
      <c r="N28" s="20" t="n">
        <v>0.27449053</v>
      </c>
      <c r="O28" s="18" t="n">
        <v>0</v>
      </c>
      <c r="P28" s="20" t="n">
        <v>0</v>
      </c>
      <c r="Q28" s="18" t="n">
        <v>0.69157303</v>
      </c>
      <c r="R28" s="20" t="n">
        <v>0.31949408</v>
      </c>
    </row>
    <row r="29" spans="1:18">
      <c r="A29" s="15" t="s">
        <v>589</v>
      </c>
      <c r="B29" s="17" t="n">
        <v>2685</v>
      </c>
      <c r="C29" s="18">
        <f>(2100.0/B29*100)</f>
        <v/>
      </c>
      <c r="D29" s="19" t="n">
        <v>585</v>
      </c>
      <c r="E29" s="18" t="n">
        <v>40.60904865</v>
      </c>
      <c r="F29" s="20" t="n">
        <v>2.14686418</v>
      </c>
      <c r="G29" s="18" t="n">
        <v>57.96550014</v>
      </c>
      <c r="H29" s="20" t="n">
        <v>2.23017597</v>
      </c>
      <c r="I29" s="18" t="s">
        <v>567</v>
      </c>
      <c r="J29" s="20" t="s">
        <v>567</v>
      </c>
      <c r="K29" s="18" t="n">
        <v>0.4917279</v>
      </c>
      <c r="L29" s="20" t="n">
        <v>0.29938451</v>
      </c>
      <c r="M29" s="18" t="n">
        <v>0</v>
      </c>
      <c r="N29" s="20" t="n">
        <v>0</v>
      </c>
      <c r="O29" s="18" t="n">
        <v>0</v>
      </c>
      <c r="P29" s="20" t="n">
        <v>0</v>
      </c>
      <c r="Q29" s="18" t="n">
        <v>0.93372331</v>
      </c>
      <c r="R29" s="20" t="n">
        <v>0.40538681</v>
      </c>
    </row>
    <row r="30" spans="1:18">
      <c r="A30" s="15" t="s">
        <v>590</v>
      </c>
      <c r="B30" s="17" t="n">
        <v>2263</v>
      </c>
      <c r="C30" s="18">
        <f>(1774.0/B30*100)</f>
        <v/>
      </c>
      <c r="D30" s="19" t="n">
        <v>489</v>
      </c>
      <c r="E30" s="18" t="n">
        <v>44.19411148</v>
      </c>
      <c r="F30" s="20" t="n">
        <v>2.38167161</v>
      </c>
      <c r="G30" s="18" t="n">
        <v>51.87880292</v>
      </c>
      <c r="H30" s="20" t="n">
        <v>2.45930028</v>
      </c>
      <c r="I30" s="18" t="s">
        <v>567</v>
      </c>
      <c r="J30" s="20" t="s">
        <v>567</v>
      </c>
      <c r="K30" s="18" t="n">
        <v>0.8488063300000001</v>
      </c>
      <c r="L30" s="20" t="n">
        <v>0.40930419</v>
      </c>
      <c r="M30" s="18" t="n">
        <v>0</v>
      </c>
      <c r="N30" s="20" t="n">
        <v>0</v>
      </c>
      <c r="O30" s="18" t="n">
        <v>0</v>
      </c>
      <c r="P30" s="20" t="n">
        <v>0</v>
      </c>
      <c r="Q30" s="18" t="n">
        <v>3.07827926</v>
      </c>
      <c r="R30" s="20" t="n">
        <v>0.78024281</v>
      </c>
    </row>
    <row r="31" spans="1:18">
      <c r="A31" s="15" t="s">
        <v>591</v>
      </c>
      <c r="B31" s="17" t="n">
        <v>2750</v>
      </c>
      <c r="C31" s="18">
        <f>(2163.0/B31*100)</f>
        <v/>
      </c>
      <c r="D31" s="19" t="n">
        <v>587</v>
      </c>
      <c r="E31" s="18" t="n">
        <v>52.15079172</v>
      </c>
      <c r="F31" s="20" t="n">
        <v>2.36406453</v>
      </c>
      <c r="G31" s="18" t="n">
        <v>44.51316219</v>
      </c>
      <c r="H31" s="20" t="n">
        <v>2.35930489</v>
      </c>
      <c r="I31" s="18" t="s">
        <v>567</v>
      </c>
      <c r="J31" s="20" t="s">
        <v>567</v>
      </c>
      <c r="K31" s="18" t="n">
        <v>1.79205623</v>
      </c>
      <c r="L31" s="20" t="n">
        <v>0.63709559</v>
      </c>
      <c r="M31" s="18" t="n">
        <v>0</v>
      </c>
      <c r="N31" s="20" t="n">
        <v>0</v>
      </c>
      <c r="O31" s="18" t="n">
        <v>0</v>
      </c>
      <c r="P31" s="20" t="n">
        <v>0</v>
      </c>
      <c r="Q31" s="18" t="n">
        <v>1.54398986</v>
      </c>
      <c r="R31" s="20" t="n">
        <v>0.48615766</v>
      </c>
    </row>
    <row r="32" spans="1:18">
      <c r="A32" s="15" t="s">
        <v>592</v>
      </c>
      <c r="B32" s="17" t="n">
        <v>2269</v>
      </c>
      <c r="C32" s="18">
        <f>(1767.0/B32*100)</f>
        <v/>
      </c>
      <c r="D32" s="19" t="n">
        <v>502</v>
      </c>
      <c r="E32" s="18" t="n">
        <v>51.84265143</v>
      </c>
      <c r="F32" s="20" t="n">
        <v>1.9161796</v>
      </c>
      <c r="G32" s="18" t="n">
        <v>46.92487223</v>
      </c>
      <c r="H32" s="20" t="n">
        <v>1.94532635</v>
      </c>
      <c r="I32" s="18" t="s">
        <v>567</v>
      </c>
      <c r="J32" s="20" t="s">
        <v>567</v>
      </c>
      <c r="K32" s="18" t="n">
        <v>0.23945962</v>
      </c>
      <c r="L32" s="20" t="n">
        <v>0.23537861</v>
      </c>
      <c r="M32" s="18" t="n">
        <v>0</v>
      </c>
      <c r="N32" s="20" t="n">
        <v>0</v>
      </c>
      <c r="O32" s="18" t="n">
        <v>0</v>
      </c>
      <c r="P32" s="20" t="n">
        <v>0</v>
      </c>
      <c r="Q32" s="18" t="n">
        <v>0.99301672</v>
      </c>
      <c r="R32" s="20" t="n">
        <v>0.45004206</v>
      </c>
    </row>
    <row r="33" spans="1:18">
      <c r="A33" s="15" t="s">
        <v>593</v>
      </c>
      <c r="B33" s="17" t="n">
        <v>3674</v>
      </c>
      <c r="C33" s="18">
        <f>(2888.0/B33*100)</f>
        <v/>
      </c>
      <c r="D33" s="19" t="n">
        <v>786</v>
      </c>
      <c r="E33" s="18" t="n">
        <v>55.04920242</v>
      </c>
      <c r="F33" s="20" t="n">
        <v>2.56424373</v>
      </c>
      <c r="G33" s="18" t="n">
        <v>43.32595694</v>
      </c>
      <c r="H33" s="20" t="n">
        <v>2.4895665</v>
      </c>
      <c r="I33" s="18" t="s">
        <v>567</v>
      </c>
      <c r="J33" s="20" t="s">
        <v>567</v>
      </c>
      <c r="K33" s="18" t="n">
        <v>0.88537774</v>
      </c>
      <c r="L33" s="20" t="n">
        <v>0.42016748</v>
      </c>
      <c r="M33" s="18" t="n">
        <v>0</v>
      </c>
      <c r="N33" s="20" t="n">
        <v>0</v>
      </c>
      <c r="O33" s="18" t="n">
        <v>0</v>
      </c>
      <c r="P33" s="20" t="n">
        <v>0</v>
      </c>
      <c r="Q33" s="18" t="n">
        <v>0.7394629</v>
      </c>
      <c r="R33" s="20" t="n">
        <v>0.46767071</v>
      </c>
    </row>
    <row r="34" spans="1:18">
      <c r="A34" s="15" t="s">
        <v>594</v>
      </c>
      <c r="B34" s="17" t="n">
        <v>3315</v>
      </c>
      <c r="C34" s="18">
        <f>(2618.0/B34*100)</f>
        <v/>
      </c>
      <c r="D34" s="19" t="n">
        <v>697</v>
      </c>
      <c r="E34" s="18" t="n">
        <v>71.90869701</v>
      </c>
      <c r="F34" s="20" t="n">
        <v>1.71377355</v>
      </c>
      <c r="G34" s="18" t="n">
        <v>25.92778763</v>
      </c>
      <c r="H34" s="20" t="n">
        <v>1.74714168</v>
      </c>
      <c r="I34" s="18" t="s">
        <v>567</v>
      </c>
      <c r="J34" s="20" t="s">
        <v>567</v>
      </c>
      <c r="K34" s="18" t="n">
        <v>0.99404224</v>
      </c>
      <c r="L34" s="20" t="n">
        <v>0.43238252</v>
      </c>
      <c r="M34" s="18" t="n">
        <v>0.16467901</v>
      </c>
      <c r="N34" s="20" t="n">
        <v>0.13971083</v>
      </c>
      <c r="O34" s="18" t="n">
        <v>0</v>
      </c>
      <c r="P34" s="20" t="n">
        <v>0</v>
      </c>
      <c r="Q34" s="18" t="n">
        <v>1.00479411</v>
      </c>
      <c r="R34" s="20" t="n">
        <v>0.42763412</v>
      </c>
    </row>
    <row r="35" spans="1:18">
      <c r="A35" s="15" t="s">
        <v>595</v>
      </c>
      <c r="B35" s="17" t="n">
        <v>3505</v>
      </c>
      <c r="C35" s="18">
        <f>(2788.0/B35*100)</f>
        <v/>
      </c>
      <c r="D35" s="19" t="n">
        <v>717</v>
      </c>
      <c r="E35" s="18" t="n">
        <v>51.24814343</v>
      </c>
      <c r="F35" s="20" t="n">
        <v>2.69675211</v>
      </c>
      <c r="G35" s="18" t="n">
        <v>46.84534988</v>
      </c>
      <c r="H35" s="20" t="n">
        <v>2.64998098</v>
      </c>
      <c r="I35" s="18" t="s">
        <v>567</v>
      </c>
      <c r="J35" s="20" t="s">
        <v>567</v>
      </c>
      <c r="K35" s="18" t="n">
        <v>0.2500453</v>
      </c>
      <c r="L35" s="20" t="n">
        <v>0.15345508</v>
      </c>
      <c r="M35" s="18" t="n">
        <v>0</v>
      </c>
      <c r="N35" s="20" t="n">
        <v>0</v>
      </c>
      <c r="O35" s="18" t="n">
        <v>0</v>
      </c>
      <c r="P35" s="20" t="n">
        <v>0</v>
      </c>
      <c r="Q35" s="18" t="n">
        <v>1.65646139</v>
      </c>
      <c r="R35" s="20" t="n">
        <v>0.46928747</v>
      </c>
    </row>
    <row r="36" spans="1:18">
      <c r="A36" s="15" t="s">
        <v>596</v>
      </c>
      <c r="B36" s="17" t="n">
        <v>3332</v>
      </c>
      <c r="C36" s="18">
        <f>(2613.0/B36*100)</f>
        <v/>
      </c>
      <c r="D36" s="19" t="n">
        <v>719</v>
      </c>
      <c r="E36" s="18" t="n">
        <v>43.49059332</v>
      </c>
      <c r="F36" s="20" t="n">
        <v>1.74441218</v>
      </c>
      <c r="G36" s="18" t="n">
        <v>53.47503574</v>
      </c>
      <c r="H36" s="20" t="n">
        <v>1.80235677</v>
      </c>
      <c r="I36" s="18" t="s">
        <v>567</v>
      </c>
      <c r="J36" s="20" t="s">
        <v>567</v>
      </c>
      <c r="K36" s="18" t="n">
        <v>1.95838382</v>
      </c>
      <c r="L36" s="20" t="n">
        <v>0.50331149</v>
      </c>
      <c r="M36" s="18" t="n">
        <v>0</v>
      </c>
      <c r="N36" s="20" t="n">
        <v>0</v>
      </c>
      <c r="O36" s="18" t="n">
        <v>0</v>
      </c>
      <c r="P36" s="20" t="n">
        <v>0</v>
      </c>
      <c r="Q36" s="18" t="n">
        <v>1.07598712</v>
      </c>
      <c r="R36" s="20" t="n">
        <v>0.43955741</v>
      </c>
    </row>
    <row r="37" spans="1:18">
      <c r="A37" s="15" t="s">
        <v>597</v>
      </c>
      <c r="B37" s="17" t="n">
        <v>2727</v>
      </c>
      <c r="C37" s="18">
        <f>(2135.0/B37*100)</f>
        <v/>
      </c>
      <c r="D37" s="19" t="n">
        <v>592</v>
      </c>
      <c r="E37" s="18" t="n">
        <v>49.091523</v>
      </c>
      <c r="F37" s="20" t="n">
        <v>1.92369259</v>
      </c>
      <c r="G37" s="18" t="n">
        <v>43.59414844</v>
      </c>
      <c r="H37" s="20" t="n">
        <v>2.02586079</v>
      </c>
      <c r="I37" s="18" t="s">
        <v>567</v>
      </c>
      <c r="J37" s="20" t="s">
        <v>567</v>
      </c>
      <c r="K37" s="18" t="n">
        <v>1.89990018</v>
      </c>
      <c r="L37" s="20" t="n">
        <v>0.43439171</v>
      </c>
      <c r="M37" s="18" t="n">
        <v>0</v>
      </c>
      <c r="N37" s="20" t="n">
        <v>0</v>
      </c>
      <c r="O37" s="18" t="n">
        <v>0</v>
      </c>
      <c r="P37" s="20" t="n">
        <v>0</v>
      </c>
      <c r="Q37" s="18" t="n">
        <v>5.41442838</v>
      </c>
      <c r="R37" s="20" t="n">
        <v>0.96391145</v>
      </c>
    </row>
    <row r="38" spans="1:18">
      <c r="A38" s="15" t="s">
        <v>598</v>
      </c>
      <c r="B38" s="17" t="n">
        <v>3053</v>
      </c>
      <c r="C38" s="18">
        <f>(2393.0/B38*100)</f>
        <v/>
      </c>
      <c r="D38" s="19" t="n">
        <v>660</v>
      </c>
      <c r="E38" s="18" t="n">
        <v>46.11848259</v>
      </c>
      <c r="F38" s="20" t="n">
        <v>2.21344229</v>
      </c>
      <c r="G38" s="18" t="n">
        <v>48.45033483</v>
      </c>
      <c r="H38" s="20" t="n">
        <v>2.15719068</v>
      </c>
      <c r="I38" s="18" t="s">
        <v>567</v>
      </c>
      <c r="J38" s="20" t="s">
        <v>567</v>
      </c>
      <c r="K38" s="18" t="n">
        <v>1.67339757</v>
      </c>
      <c r="L38" s="20" t="n">
        <v>0.51501413</v>
      </c>
      <c r="M38" s="18" t="n">
        <v>1.85828535</v>
      </c>
      <c r="N38" s="20" t="n">
        <v>0.45012888</v>
      </c>
      <c r="O38" s="18" t="n">
        <v>0</v>
      </c>
      <c r="P38" s="20" t="n">
        <v>0</v>
      </c>
      <c r="Q38" s="18" t="n">
        <v>1.89949966</v>
      </c>
      <c r="R38" s="20" t="n">
        <v>0.71027062</v>
      </c>
    </row>
    <row r="39" spans="1:18">
      <c r="A39" s="15" t="s">
        <v>599</v>
      </c>
      <c r="B39" s="17" t="n">
        <v>2957</v>
      </c>
      <c r="C39" s="18">
        <f>(2264.0/B39*100)</f>
        <v/>
      </c>
      <c r="D39" s="19" t="n">
        <v>693</v>
      </c>
      <c r="E39" s="18" t="n">
        <v>74.78713808000001</v>
      </c>
      <c r="F39" s="20" t="n">
        <v>2.65688136</v>
      </c>
      <c r="G39" s="18" t="n">
        <v>22.28783199</v>
      </c>
      <c r="H39" s="20" t="n">
        <v>2.59792501</v>
      </c>
      <c r="I39" s="18" t="s">
        <v>567</v>
      </c>
      <c r="J39" s="20" t="s">
        <v>567</v>
      </c>
      <c r="K39" s="18" t="n">
        <v>0.37566261</v>
      </c>
      <c r="L39" s="20" t="n">
        <v>0.19063116</v>
      </c>
      <c r="M39" s="18" t="n">
        <v>0</v>
      </c>
      <c r="N39" s="20" t="n">
        <v>0</v>
      </c>
      <c r="O39" s="18" t="n">
        <v>0</v>
      </c>
      <c r="P39" s="20" t="n">
        <v>0</v>
      </c>
      <c r="Q39" s="18" t="n">
        <v>2.54936732</v>
      </c>
      <c r="R39" s="20" t="n">
        <v>0.55288339</v>
      </c>
    </row>
    <row r="40" spans="1:18">
      <c r="A40" s="15" t="s">
        <v>600</v>
      </c>
      <c r="B40" s="17" t="n">
        <v>7235</v>
      </c>
      <c r="C40" s="18">
        <f>(5677.0/B40*100)</f>
        <v/>
      </c>
      <c r="D40" s="19" t="n">
        <v>1558</v>
      </c>
      <c r="E40" s="18" t="n">
        <v>38.60235464</v>
      </c>
      <c r="F40" s="20" t="n">
        <v>2.16486514</v>
      </c>
      <c r="G40" s="18" t="n">
        <v>58.52373512</v>
      </c>
      <c r="H40" s="20" t="n">
        <v>2.1273782</v>
      </c>
      <c r="I40" s="18" t="s">
        <v>567</v>
      </c>
      <c r="J40" s="20" t="s">
        <v>567</v>
      </c>
      <c r="K40" s="18" t="n">
        <v>1.02892329</v>
      </c>
      <c r="L40" s="20" t="n">
        <v>0.42991974</v>
      </c>
      <c r="M40" s="18" t="n">
        <v>0</v>
      </c>
      <c r="N40" s="20" t="n">
        <v>0</v>
      </c>
      <c r="O40" s="18" t="n">
        <v>0</v>
      </c>
      <c r="P40" s="20" t="n">
        <v>0</v>
      </c>
      <c r="Q40" s="18" t="n">
        <v>1.84498695</v>
      </c>
      <c r="R40" s="20" t="n">
        <v>0.49179582</v>
      </c>
    </row>
    <row r="41" spans="1:18">
      <c r="A41" s="15" t="s">
        <v>601</v>
      </c>
      <c r="B41" s="17" t="n">
        <v>2858</v>
      </c>
      <c r="C41" s="18">
        <f>(2306.0/B41*100)</f>
        <v/>
      </c>
      <c r="D41" s="19" t="n">
        <v>552</v>
      </c>
      <c r="E41" s="18" t="n">
        <v>50.01375024</v>
      </c>
      <c r="F41" s="20" t="n">
        <v>2.31499881</v>
      </c>
      <c r="G41" s="18" t="n">
        <v>47.22027058</v>
      </c>
      <c r="H41" s="20" t="n">
        <v>2.23253177</v>
      </c>
      <c r="I41" s="18" t="s">
        <v>567</v>
      </c>
      <c r="J41" s="20" t="s">
        <v>567</v>
      </c>
      <c r="K41" s="18" t="n">
        <v>1.13931486</v>
      </c>
      <c r="L41" s="20" t="n">
        <v>0.57029443</v>
      </c>
      <c r="M41" s="18" t="n">
        <v>0</v>
      </c>
      <c r="N41" s="20" t="n">
        <v>0</v>
      </c>
      <c r="O41" s="18" t="n">
        <v>0</v>
      </c>
      <c r="P41" s="20" t="n">
        <v>0</v>
      </c>
      <c r="Q41" s="18" t="n">
        <v>1.62666432</v>
      </c>
      <c r="R41" s="20" t="n">
        <v>0.701128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(9391.0/B46*100)</f>
        <v/>
      </c>
      <c r="D46" s="19" t="n">
        <v>1677</v>
      </c>
      <c r="E46" s="18" t="n">
        <v>74.02124221</v>
      </c>
      <c r="F46" s="20" t="n">
        <v>1.29844953</v>
      </c>
      <c r="G46" s="18" t="n">
        <v>18.5430777</v>
      </c>
      <c r="H46" s="20" t="n">
        <v>1.26423156</v>
      </c>
      <c r="I46" s="18" t="s">
        <v>567</v>
      </c>
      <c r="J46" s="20" t="s">
        <v>567</v>
      </c>
      <c r="K46" s="18" t="n">
        <v>2.97723681</v>
      </c>
      <c r="L46" s="20" t="n">
        <v>0.52740994</v>
      </c>
      <c r="M46" s="18" t="n">
        <v>0.41282266</v>
      </c>
      <c r="N46" s="20" t="n">
        <v>0.18964285</v>
      </c>
      <c r="O46" s="18" t="n">
        <v>0</v>
      </c>
      <c r="P46" s="20" t="n">
        <v>0</v>
      </c>
      <c r="Q46" s="18" t="n">
        <v>4.04562062</v>
      </c>
      <c r="R46" s="20" t="n">
        <v>0.74422038</v>
      </c>
    </row>
    <row r="47" spans="1:18">
      <c r="A47" s="15" t="s">
        <v>607</v>
      </c>
      <c r="B47" s="17" t="n">
        <v>3105</v>
      </c>
      <c r="C47" s="18">
        <f>(2406.0/B47*100)</f>
        <v/>
      </c>
      <c r="D47" s="19" t="n">
        <v>699</v>
      </c>
      <c r="E47" s="18" t="n">
        <v>68.91796254</v>
      </c>
      <c r="F47" s="20" t="n">
        <v>2.70114167</v>
      </c>
      <c r="G47" s="18" t="n">
        <v>27.34841972</v>
      </c>
      <c r="H47" s="20" t="n">
        <v>2.63010836</v>
      </c>
      <c r="I47" s="18" t="s">
        <v>567</v>
      </c>
      <c r="J47" s="20" t="s">
        <v>567</v>
      </c>
      <c r="K47" s="18" t="n">
        <v>1.26190018</v>
      </c>
      <c r="L47" s="20" t="n">
        <v>0.39179505</v>
      </c>
      <c r="M47" s="18" t="n">
        <v>0.54000293</v>
      </c>
      <c r="N47" s="20" t="n">
        <v>0.32542735</v>
      </c>
      <c r="O47" s="18" t="n">
        <v>0</v>
      </c>
      <c r="P47" s="20" t="n">
        <v>0</v>
      </c>
      <c r="Q47" s="18" t="n">
        <v>1.93171464</v>
      </c>
      <c r="R47" s="20" t="n">
        <v>0.43479745</v>
      </c>
    </row>
    <row r="48" spans="1:18">
      <c r="A48" s="15" t="s">
        <v>608</v>
      </c>
      <c r="B48" s="17" t="n">
        <v>5159</v>
      </c>
      <c r="C48" s="18">
        <f>(4049.0/B48*100)</f>
        <v/>
      </c>
      <c r="D48" s="19" t="n">
        <v>1110</v>
      </c>
      <c r="E48" s="18" t="n">
        <v>49.53104079</v>
      </c>
      <c r="F48" s="20" t="n">
        <v>2.49714044</v>
      </c>
      <c r="G48" s="18" t="n">
        <v>49.58779723</v>
      </c>
      <c r="H48" s="20" t="n">
        <v>2.56884205</v>
      </c>
      <c r="I48" s="18" t="s">
        <v>567</v>
      </c>
      <c r="J48" s="20" t="s">
        <v>567</v>
      </c>
      <c r="K48" s="18" t="n">
        <v>0.8632197</v>
      </c>
      <c r="L48" s="20" t="n">
        <v>0.33847551</v>
      </c>
      <c r="M48" s="18" t="n">
        <v>0</v>
      </c>
      <c r="N48" s="20" t="n">
        <v>0</v>
      </c>
      <c r="O48" s="18" t="n">
        <v>0</v>
      </c>
      <c r="P48" s="20" t="n">
        <v>0</v>
      </c>
      <c r="Q48" s="18" t="n">
        <v>0.01794228</v>
      </c>
      <c r="R48" s="20" t="n">
        <v>0.01740311</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(4434.0/B50*100)</f>
        <v/>
      </c>
      <c r="D50" s="19" t="n">
        <v>1203</v>
      </c>
      <c r="E50" s="18" t="n">
        <v>75.35988175</v>
      </c>
      <c r="F50" s="20" t="n">
        <v>1.7439224</v>
      </c>
      <c r="G50" s="18" t="n">
        <v>20.44426245</v>
      </c>
      <c r="H50" s="20" t="n">
        <v>1.58200255</v>
      </c>
      <c r="I50" s="18" t="s">
        <v>567</v>
      </c>
      <c r="J50" s="20" t="s">
        <v>567</v>
      </c>
      <c r="K50" s="18" t="n">
        <v>3.32555106</v>
      </c>
      <c r="L50" s="20" t="n">
        <v>0.76065999</v>
      </c>
      <c r="M50" s="18" t="n">
        <v>0</v>
      </c>
      <c r="N50" s="20" t="n">
        <v>0</v>
      </c>
      <c r="O50" s="18" t="n">
        <v>0</v>
      </c>
      <c r="P50" s="20" t="n">
        <v>0</v>
      </c>
      <c r="Q50" s="18" t="n">
        <v>0.87030473</v>
      </c>
      <c r="R50" s="20" t="n">
        <v>0.48030391</v>
      </c>
    </row>
    <row r="51" spans="1:18">
      <c r="A51" s="15" t="s">
        <v>611</v>
      </c>
      <c r="B51" s="17" t="n">
        <v>3372</v>
      </c>
      <c r="C51" s="18">
        <f>(2785.0/B51*100)</f>
        <v/>
      </c>
      <c r="D51" s="19" t="n">
        <v>587</v>
      </c>
      <c r="E51" s="18" t="n">
        <v>83.65052228</v>
      </c>
      <c r="F51" s="20" t="n">
        <v>1.94166304</v>
      </c>
      <c r="G51" s="18" t="n">
        <v>12.52211708</v>
      </c>
      <c r="H51" s="20" t="n">
        <v>1.69981431</v>
      </c>
      <c r="I51" s="18" t="s">
        <v>567</v>
      </c>
      <c r="J51" s="20" t="s">
        <v>567</v>
      </c>
      <c r="K51" s="18" t="n">
        <v>0.90657587</v>
      </c>
      <c r="L51" s="20" t="n">
        <v>0.44090743</v>
      </c>
      <c r="M51" s="18" t="n">
        <v>0</v>
      </c>
      <c r="N51" s="20" t="n">
        <v>0</v>
      </c>
      <c r="O51" s="18" t="n">
        <v>0</v>
      </c>
      <c r="P51" s="20" t="n">
        <v>0</v>
      </c>
      <c r="Q51" s="18" t="n">
        <v>2.92078477</v>
      </c>
      <c r="R51" s="20" t="n">
        <v>0.68983343</v>
      </c>
    </row>
    <row r="52" spans="1:18">
      <c r="A52" s="15" t="s">
        <v>612</v>
      </c>
      <c r="B52" s="17" t="n">
        <v>2796</v>
      </c>
      <c r="C52" s="18">
        <f>(2216.0/B52*100)</f>
        <v/>
      </c>
      <c r="D52" s="19" t="n">
        <v>580</v>
      </c>
      <c r="E52" s="18" t="n">
        <v>55.3433157</v>
      </c>
      <c r="F52" s="20" t="n">
        <v>2.49032713</v>
      </c>
      <c r="G52" s="18" t="n">
        <v>42.17274807</v>
      </c>
      <c r="H52" s="20" t="n">
        <v>2.43899338</v>
      </c>
      <c r="I52" s="18" t="s">
        <v>567</v>
      </c>
      <c r="J52" s="20" t="s">
        <v>567</v>
      </c>
      <c r="K52" s="18" t="n">
        <v>0.6902987</v>
      </c>
      <c r="L52" s="20" t="n">
        <v>0.30813881</v>
      </c>
      <c r="M52" s="18" t="n">
        <v>0</v>
      </c>
      <c r="N52" s="20" t="n">
        <v>0</v>
      </c>
      <c r="O52" s="18" t="n">
        <v>0</v>
      </c>
      <c r="P52" s="20" t="n">
        <v>0</v>
      </c>
      <c r="Q52" s="18" t="n">
        <v>1.79363754</v>
      </c>
      <c r="R52" s="20" t="n">
        <v>0.47300042</v>
      </c>
    </row>
    <row r="53" spans="1:18">
      <c r="A53" s="15" t="s">
        <v>613</v>
      </c>
      <c r="B53" s="17" t="n">
        <v>2811</v>
      </c>
      <c r="C53" s="18">
        <f>(2179.0/B53*100)</f>
        <v/>
      </c>
      <c r="D53" s="19" t="n">
        <v>632</v>
      </c>
      <c r="E53" s="18" t="n">
        <v>68.35391073</v>
      </c>
      <c r="F53" s="20" t="n">
        <v>1.83194049</v>
      </c>
      <c r="G53" s="18" t="n">
        <v>27.17148572</v>
      </c>
      <c r="H53" s="20" t="n">
        <v>1.76262023</v>
      </c>
      <c r="I53" s="18" t="s">
        <v>567</v>
      </c>
      <c r="J53" s="20" t="s">
        <v>567</v>
      </c>
      <c r="K53" s="18" t="n">
        <v>1.27990482</v>
      </c>
      <c r="L53" s="20" t="n">
        <v>0.40393133</v>
      </c>
      <c r="M53" s="18" t="n">
        <v>0</v>
      </c>
      <c r="N53" s="20" t="n">
        <v>0</v>
      </c>
      <c r="O53" s="18" t="n">
        <v>0</v>
      </c>
      <c r="P53" s="20" t="n">
        <v>0</v>
      </c>
      <c r="Q53" s="18" t="n">
        <v>3.19469873</v>
      </c>
      <c r="R53" s="20" t="n">
        <v>0.74019879</v>
      </c>
    </row>
    <row r="54" spans="1:18">
      <c r="A54" s="15" t="s">
        <v>614</v>
      </c>
      <c r="B54" s="17" t="n">
        <v>2266</v>
      </c>
      <c r="C54" s="18">
        <f>(1765.0/B54*100)</f>
        <v/>
      </c>
      <c r="D54" s="19" t="n">
        <v>501</v>
      </c>
      <c r="E54" s="18" t="n">
        <v>70.7365793</v>
      </c>
      <c r="F54" s="20" t="n">
        <v>2.24244948</v>
      </c>
      <c r="G54" s="18" t="n">
        <v>6.91272131</v>
      </c>
      <c r="H54" s="20" t="n">
        <v>1.08003015</v>
      </c>
      <c r="I54" s="18" t="s">
        <v>567</v>
      </c>
      <c r="J54" s="20" t="s">
        <v>567</v>
      </c>
      <c r="K54" s="18" t="n">
        <v>16.00407951</v>
      </c>
      <c r="L54" s="20" t="n">
        <v>1.61020608</v>
      </c>
      <c r="M54" s="18" t="n">
        <v>1.22703848</v>
      </c>
      <c r="N54" s="20" t="n">
        <v>1.09640932</v>
      </c>
      <c r="O54" s="18" t="n">
        <v>0</v>
      </c>
      <c r="P54" s="20" t="n">
        <v>0</v>
      </c>
      <c r="Q54" s="18" t="n">
        <v>5.1195814</v>
      </c>
      <c r="R54" s="20" t="n">
        <v>1.02893761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(2121.0/B56*100)</f>
        <v/>
      </c>
      <c r="D56" s="19" t="n">
        <v>563</v>
      </c>
      <c r="E56" s="18" t="n">
        <v>42.35059781</v>
      </c>
      <c r="F56" s="20" t="n">
        <v>2.49865054</v>
      </c>
      <c r="G56" s="18" t="n">
        <v>56.76445825</v>
      </c>
      <c r="H56" s="20" t="n">
        <v>2.56562402</v>
      </c>
      <c r="I56" s="18" t="s">
        <v>567</v>
      </c>
      <c r="J56" s="20" t="s">
        <v>567</v>
      </c>
      <c r="K56" s="18" t="n">
        <v>0.45867534</v>
      </c>
      <c r="L56" s="20" t="n">
        <v>0.34210788</v>
      </c>
      <c r="M56" s="18" t="n">
        <v>0</v>
      </c>
      <c r="N56" s="20" t="n">
        <v>0</v>
      </c>
      <c r="O56" s="18" t="n">
        <v>0</v>
      </c>
      <c r="P56" s="20" t="n">
        <v>0</v>
      </c>
      <c r="Q56" s="18" t="n">
        <v>0.4262686</v>
      </c>
      <c r="R56" s="20" t="n">
        <v>0.27050332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(2602.0/B61*100)</f>
        <v/>
      </c>
      <c r="D61" s="19" t="n">
        <v>722</v>
      </c>
      <c r="E61" s="18" t="n">
        <v>67.29019024</v>
      </c>
      <c r="F61" s="20" t="n">
        <v>2.36328269</v>
      </c>
      <c r="G61" s="18" t="n">
        <v>30.34571115</v>
      </c>
      <c r="H61" s="20" t="n">
        <v>2.22372218</v>
      </c>
      <c r="I61" s="18" t="s">
        <v>567</v>
      </c>
      <c r="J61" s="20" t="s">
        <v>567</v>
      </c>
      <c r="K61" s="18" t="n">
        <v>0.5109858</v>
      </c>
      <c r="L61" s="20" t="n">
        <v>0.3010185</v>
      </c>
      <c r="M61" s="18" t="n">
        <v>0</v>
      </c>
      <c r="N61" s="20" t="n">
        <v>0</v>
      </c>
      <c r="O61" s="18" t="n">
        <v>0</v>
      </c>
      <c r="P61" s="20" t="n">
        <v>0</v>
      </c>
      <c r="Q61" s="18" t="n">
        <v>1.85311281</v>
      </c>
      <c r="R61" s="20" t="n">
        <v>0.64877311</v>
      </c>
    </row>
    <row r="62" spans="1:18">
      <c r="A62" s="15" t="s">
        <v>622</v>
      </c>
      <c r="B62" s="17" t="n">
        <v>2246</v>
      </c>
      <c r="C62" s="18">
        <f>(1745.0/B62*100)</f>
        <v/>
      </c>
      <c r="D62" s="19" t="n">
        <v>501</v>
      </c>
      <c r="E62" s="18" t="n">
        <v>40.35883719</v>
      </c>
      <c r="F62" s="20" t="n">
        <v>2.18675949</v>
      </c>
      <c r="G62" s="18" t="n">
        <v>59.23797959</v>
      </c>
      <c r="H62" s="20" t="n">
        <v>2.2113627</v>
      </c>
      <c r="I62" s="18" t="s">
        <v>567</v>
      </c>
      <c r="J62" s="20" t="s">
        <v>567</v>
      </c>
      <c r="K62" s="18" t="n">
        <v>0.20500815</v>
      </c>
      <c r="L62" s="20" t="n">
        <v>0.20394301</v>
      </c>
      <c r="M62" s="18" t="n">
        <v>0</v>
      </c>
      <c r="N62" s="20" t="n">
        <v>0</v>
      </c>
      <c r="O62" s="18" t="n">
        <v>0</v>
      </c>
      <c r="P62" s="20" t="n">
        <v>0</v>
      </c>
      <c r="Q62" s="18" t="n">
        <v>0.19817507</v>
      </c>
      <c r="R62" s="20" t="n">
        <v>0.19723564</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(2275.0/B66*100)</f>
        <v/>
      </c>
      <c r="D66" s="19" t="n">
        <v>619</v>
      </c>
      <c r="E66" s="18" t="n">
        <v>51.96458554</v>
      </c>
      <c r="F66" s="20" t="n">
        <v>1.84966482</v>
      </c>
      <c r="G66" s="18" t="n">
        <v>12.04481356</v>
      </c>
      <c r="H66" s="20" t="n">
        <v>1.51916264</v>
      </c>
      <c r="I66" s="18" t="s">
        <v>567</v>
      </c>
      <c r="J66" s="20" t="s">
        <v>567</v>
      </c>
      <c r="K66" s="18" t="n">
        <v>2.30949097</v>
      </c>
      <c r="L66" s="20" t="n">
        <v>0.71764183</v>
      </c>
      <c r="M66" s="18" t="n">
        <v>30.59496238</v>
      </c>
      <c r="N66" s="20" t="n">
        <v>1.85452503</v>
      </c>
      <c r="O66" s="18" t="n">
        <v>0</v>
      </c>
      <c r="P66" s="20" t="n">
        <v>0</v>
      </c>
      <c r="Q66" s="18" t="n">
        <v>3.08614756</v>
      </c>
      <c r="R66" s="20" t="n">
        <v>0.73226026</v>
      </c>
    </row>
    <row r="67" spans="1:18">
      <c r="A67" s="15" t="s">
        <v>627</v>
      </c>
      <c r="B67" s="17" t="n">
        <v>3511</v>
      </c>
      <c r="C67" s="18">
        <f>(2864.0/B67*100)</f>
        <v/>
      </c>
      <c r="D67" s="19" t="n">
        <v>647</v>
      </c>
      <c r="E67" s="18" t="n">
        <v>73.90164261</v>
      </c>
      <c r="F67" s="20" t="n">
        <v>2.24924367</v>
      </c>
      <c r="G67" s="18" t="n">
        <v>22.41659782</v>
      </c>
      <c r="H67" s="20" t="n">
        <v>2.16855358</v>
      </c>
      <c r="I67" s="18" t="s">
        <v>567</v>
      </c>
      <c r="J67" s="20" t="s">
        <v>567</v>
      </c>
      <c r="K67" s="18" t="n">
        <v>1.22642476</v>
      </c>
      <c r="L67" s="20" t="n">
        <v>0.5401562600000001</v>
      </c>
      <c r="M67" s="18" t="n">
        <v>0.17298167</v>
      </c>
      <c r="N67" s="20" t="n">
        <v>0.17362137</v>
      </c>
      <c r="O67" s="18" t="n">
        <v>0</v>
      </c>
      <c r="P67" s="20" t="n">
        <v>0</v>
      </c>
      <c r="Q67" s="18" t="n">
        <v>2.28235313</v>
      </c>
      <c r="R67" s="20" t="n">
        <v>0.65778458</v>
      </c>
    </row>
    <row r="68" spans="1:18">
      <c r="A68" s="15" t="s">
        <v>628</v>
      </c>
      <c r="B68" s="17" t="n">
        <v>6049</v>
      </c>
      <c r="C68" s="18">
        <f>(4700.0/B68*100)</f>
        <v/>
      </c>
      <c r="D68" s="19" t="n">
        <v>1349</v>
      </c>
      <c r="E68" s="18" t="n">
        <v>68.26266823</v>
      </c>
      <c r="F68" s="20" t="n">
        <v>1.27445714</v>
      </c>
      <c r="G68" s="18" t="n">
        <v>22.2899684</v>
      </c>
      <c r="H68" s="20" t="n">
        <v>1.0679652</v>
      </c>
      <c r="I68" s="18" t="s">
        <v>567</v>
      </c>
      <c r="J68" s="20" t="s">
        <v>567</v>
      </c>
      <c r="K68" s="18" t="n">
        <v>5.68700631</v>
      </c>
      <c r="L68" s="20" t="n">
        <v>0.65040289</v>
      </c>
      <c r="M68" s="18" t="n">
        <v>0</v>
      </c>
      <c r="N68" s="20" t="n">
        <v>0</v>
      </c>
      <c r="O68" s="18" t="n">
        <v>0</v>
      </c>
      <c r="P68" s="20" t="n">
        <v>0</v>
      </c>
      <c r="Q68" s="18" t="n">
        <v>3.76035706</v>
      </c>
      <c r="R68" s="20" t="n">
        <v>0.5586909799999999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(2314.0/B70*100)</f>
        <v/>
      </c>
      <c r="D70" s="19" t="n">
        <v>615</v>
      </c>
      <c r="E70" s="18" t="n">
        <v>63.23152469</v>
      </c>
      <c r="F70" s="20" t="n">
        <v>1.93820678</v>
      </c>
      <c r="G70" s="18" t="n">
        <v>34.69265393</v>
      </c>
      <c r="H70" s="20" t="n">
        <v>2.02592602</v>
      </c>
      <c r="I70" s="18" t="s">
        <v>567</v>
      </c>
      <c r="J70" s="20" t="s">
        <v>567</v>
      </c>
      <c r="K70" s="18" t="n">
        <v>1.0333104</v>
      </c>
      <c r="L70" s="20" t="n">
        <v>0.36134507</v>
      </c>
      <c r="M70" s="18" t="n">
        <v>0.11597292</v>
      </c>
      <c r="N70" s="20" t="n">
        <v>0.11709689</v>
      </c>
      <c r="O70" s="18" t="n">
        <v>0</v>
      </c>
      <c r="P70" s="20" t="n">
        <v>0</v>
      </c>
      <c r="Q70" s="18" t="n">
        <v>0.9265380600000001</v>
      </c>
      <c r="R70" s="20" t="n">
        <v>0.47108518</v>
      </c>
    </row>
    <row r="71" spans="1:18">
      <c r="A71" s="15" t="s">
        <v>631</v>
      </c>
      <c r="B71" s="17" t="n">
        <v>3142</v>
      </c>
      <c r="C71" s="18">
        <f>(2449.0/B71*100)</f>
        <v/>
      </c>
      <c r="D71" s="19" t="n">
        <v>693</v>
      </c>
      <c r="E71" s="18" t="n">
        <v>35.02003894</v>
      </c>
      <c r="F71" s="20" t="n">
        <v>1.91590745</v>
      </c>
      <c r="G71" s="18" t="n">
        <v>63.52174061</v>
      </c>
      <c r="H71" s="20" t="n">
        <v>1.91741664</v>
      </c>
      <c r="I71" s="18" t="s">
        <v>567</v>
      </c>
      <c r="J71" s="20" t="s">
        <v>567</v>
      </c>
      <c r="K71" s="18" t="n">
        <v>0.74105288</v>
      </c>
      <c r="L71" s="20" t="n">
        <v>0.33279938</v>
      </c>
      <c r="M71" s="18" t="n">
        <v>0</v>
      </c>
      <c r="N71" s="20" t="n">
        <v>0</v>
      </c>
      <c r="O71" s="18" t="n">
        <v>0</v>
      </c>
      <c r="P71" s="20" t="n">
        <v>0</v>
      </c>
      <c r="Q71" s="18" t="n">
        <v>0.71716757</v>
      </c>
      <c r="R71" s="20" t="n">
        <v>0.30540195</v>
      </c>
    </row>
    <row r="72" spans="1:18">
      <c r="A72" s="15" t="s">
        <v>632</v>
      </c>
      <c r="B72" s="17" t="n">
        <v>3889</v>
      </c>
      <c r="C72" s="18">
        <f>(3054.0/B72*100)</f>
        <v/>
      </c>
      <c r="D72" s="19" t="n">
        <v>835</v>
      </c>
      <c r="E72" s="18" t="n">
        <v>40.5955886</v>
      </c>
      <c r="F72" s="20" t="n">
        <v>2.0916079</v>
      </c>
      <c r="G72" s="18" t="n">
        <v>58.39991959</v>
      </c>
      <c r="H72" s="20" t="n">
        <v>2.04091278</v>
      </c>
      <c r="I72" s="18" t="s">
        <v>567</v>
      </c>
      <c r="J72" s="20" t="s">
        <v>567</v>
      </c>
      <c r="K72" s="18" t="n">
        <v>0.66527604</v>
      </c>
      <c r="L72" s="20" t="n">
        <v>0.27526918</v>
      </c>
      <c r="M72" s="18" t="n">
        <v>0.05964865</v>
      </c>
      <c r="N72" s="20" t="n">
        <v>0.05967694</v>
      </c>
      <c r="O72" s="18" t="n">
        <v>0</v>
      </c>
      <c r="P72" s="20" t="n">
        <v>0</v>
      </c>
      <c r="Q72" s="18" t="n">
        <v>0.27956711</v>
      </c>
      <c r="R72" s="20" t="n">
        <v>0.20528593</v>
      </c>
    </row>
    <row r="73" spans="1:18">
      <c r="A73" s="15" t="s">
        <v>633</v>
      </c>
      <c r="B73" s="17" t="n">
        <v>3597</v>
      </c>
      <c r="C73" s="18">
        <f>(2869.0/B73*100)</f>
        <v/>
      </c>
      <c r="D73" s="19" t="n">
        <v>728</v>
      </c>
      <c r="E73" s="18" t="n">
        <v>83.17024073</v>
      </c>
      <c r="F73" s="20" t="n">
        <v>1.53581118</v>
      </c>
      <c r="G73" s="18" t="n">
        <v>16.33883206</v>
      </c>
      <c r="H73" s="20" t="n">
        <v>1.54564622</v>
      </c>
      <c r="I73" s="18" t="s">
        <v>567</v>
      </c>
      <c r="J73" s="20" t="s">
        <v>567</v>
      </c>
      <c r="K73" s="18" t="n">
        <v>0</v>
      </c>
      <c r="L73" s="20" t="n">
        <v>0</v>
      </c>
      <c r="M73" s="18" t="n">
        <v>0</v>
      </c>
      <c r="N73" s="20" t="n">
        <v>0</v>
      </c>
      <c r="O73" s="18" t="n">
        <v>0</v>
      </c>
      <c r="P73" s="20" t="n">
        <v>0</v>
      </c>
      <c r="Q73" s="18" t="n">
        <v>0.49092721</v>
      </c>
      <c r="R73" s="20" t="n">
        <v>0.33842006</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(1946.0/B75*100)</f>
        <v/>
      </c>
      <c r="D75" s="19" t="n">
        <v>460</v>
      </c>
      <c r="E75" s="18" t="n">
        <v>74.49385511</v>
      </c>
      <c r="F75" s="20" t="n">
        <v>1.97247739</v>
      </c>
      <c r="G75" s="18" t="n">
        <v>14.16021868</v>
      </c>
      <c r="H75" s="20" t="n">
        <v>1.5617705</v>
      </c>
      <c r="I75" s="18" t="s">
        <v>567</v>
      </c>
      <c r="J75" s="20" t="s">
        <v>567</v>
      </c>
      <c r="K75" s="18" t="n">
        <v>5.38998849</v>
      </c>
      <c r="L75" s="20" t="n">
        <v>1.12509595</v>
      </c>
      <c r="M75" s="18" t="n">
        <v>0.47283517</v>
      </c>
      <c r="N75" s="20" t="n">
        <v>0.33083599</v>
      </c>
      <c r="O75" s="18" t="n">
        <v>0</v>
      </c>
      <c r="P75" s="20" t="n">
        <v>0</v>
      </c>
      <c r="Q75" s="18" t="n">
        <v>5.48310255</v>
      </c>
      <c r="R75" s="20" t="n">
        <v>1.0910084</v>
      </c>
    </row>
    <row r="76" spans="1:18">
      <c r="A76" s="15" t="s">
        <v>636</v>
      </c>
      <c r="B76" s="17" t="n">
        <v>7052</v>
      </c>
      <c r="C76" s="18">
        <f>(5559.0/B76*100)</f>
        <v/>
      </c>
      <c r="D76" s="19" t="n">
        <v>1493</v>
      </c>
      <c r="E76" s="18" t="n">
        <v>67.93752000000001</v>
      </c>
      <c r="F76" s="20" t="n">
        <v>1.79551368</v>
      </c>
      <c r="G76" s="18" t="n">
        <v>27.32655564</v>
      </c>
      <c r="H76" s="20" t="n">
        <v>1.81525566</v>
      </c>
      <c r="I76" s="18" t="s">
        <v>567</v>
      </c>
      <c r="J76" s="20" t="s">
        <v>567</v>
      </c>
      <c r="K76" s="18" t="n">
        <v>2.37456399</v>
      </c>
      <c r="L76" s="20" t="n">
        <v>0.52334609</v>
      </c>
      <c r="M76" s="18" t="n">
        <v>0.12038311</v>
      </c>
      <c r="N76" s="20" t="n">
        <v>0.09781305999999999</v>
      </c>
      <c r="O76" s="18" t="n">
        <v>0</v>
      </c>
      <c r="P76" s="20" t="n">
        <v>0</v>
      </c>
      <c r="Q76" s="18" t="n">
        <v>2.24097727</v>
      </c>
      <c r="R76" s="20" t="n">
        <v>0.52816751</v>
      </c>
    </row>
    <row r="77" spans="1:18">
      <c r="A77" s="15" t="s">
        <v>637</v>
      </c>
      <c r="B77" s="17" t="n">
        <v>2908</v>
      </c>
      <c r="C77" s="18">
        <f>(2291.0/B77*100)</f>
        <v/>
      </c>
      <c r="D77" s="19" t="n">
        <v>617</v>
      </c>
      <c r="E77" s="18" t="n">
        <v>60.50347916</v>
      </c>
      <c r="F77" s="20" t="n">
        <v>2.29926327</v>
      </c>
      <c r="G77" s="18" t="n">
        <v>31.02519841</v>
      </c>
      <c r="H77" s="20" t="n">
        <v>2.33413547</v>
      </c>
      <c r="I77" s="18" t="s">
        <v>567</v>
      </c>
      <c r="J77" s="20" t="s">
        <v>567</v>
      </c>
      <c r="K77" s="18" t="n">
        <v>2.99433362</v>
      </c>
      <c r="L77" s="20" t="n">
        <v>0.794247</v>
      </c>
      <c r="M77" s="18" t="n">
        <v>0.13229864</v>
      </c>
      <c r="N77" s="20" t="n">
        <v>0.13304516</v>
      </c>
      <c r="O77" s="18" t="n">
        <v>0</v>
      </c>
      <c r="P77" s="20" t="n">
        <v>0</v>
      </c>
      <c r="Q77" s="18" t="n">
        <v>5.34469018</v>
      </c>
      <c r="R77" s="20" t="n">
        <v>1.00827631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(3249.0/B81*100)</f>
        <v/>
      </c>
      <c r="D81" s="19" t="n">
        <v>914</v>
      </c>
      <c r="E81" s="18" t="n">
        <v>79.29752024</v>
      </c>
      <c r="F81" s="20" t="n">
        <v>2.04926279</v>
      </c>
      <c r="G81" s="18" t="n">
        <v>19.72738531</v>
      </c>
      <c r="H81" s="20" t="n">
        <v>2.02742604</v>
      </c>
      <c r="I81" s="18" t="s">
        <v>567</v>
      </c>
      <c r="J81" s="20" t="s">
        <v>567</v>
      </c>
      <c r="K81" s="18" t="n">
        <v>0.82790264</v>
      </c>
      <c r="L81" s="20" t="n">
        <v>0.39600931</v>
      </c>
      <c r="M81" s="18" t="n">
        <v>0</v>
      </c>
      <c r="N81" s="20" t="n">
        <v>0</v>
      </c>
      <c r="O81" s="18" t="n">
        <v>0</v>
      </c>
      <c r="P81" s="20" t="n">
        <v>0</v>
      </c>
      <c r="Q81" s="18" t="n">
        <v>0.14719181</v>
      </c>
      <c r="R81" s="20" t="n">
        <v>0.13930166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(5849.0/B7*100)</f>
        <v/>
      </c>
      <c r="D7" s="19" t="n">
        <v>1518</v>
      </c>
      <c r="E7" s="18" t="n">
        <v>30.64816837</v>
      </c>
      <c r="F7" s="20" t="n">
        <v>1.19142703</v>
      </c>
      <c r="G7" s="18" t="n">
        <v>45.10625722</v>
      </c>
      <c r="H7" s="20" t="n">
        <v>1.50066784</v>
      </c>
      <c r="I7" s="18" t="s">
        <v>567</v>
      </c>
      <c r="J7" s="20" t="s">
        <v>567</v>
      </c>
      <c r="K7" s="18" t="n">
        <v>1.41836534</v>
      </c>
      <c r="L7" s="20" t="n">
        <v>0.39560176</v>
      </c>
      <c r="M7" s="18" t="n">
        <v>0</v>
      </c>
      <c r="N7" s="20" t="n">
        <v>0</v>
      </c>
      <c r="O7" s="18" t="n">
        <v>0</v>
      </c>
      <c r="P7" s="20" t="n">
        <v>0</v>
      </c>
      <c r="Q7" s="18" t="n">
        <v>22.82720906</v>
      </c>
      <c r="R7" s="20" t="n">
        <v>1.03051672</v>
      </c>
    </row>
    <row r="8" spans="1:18">
      <c r="A8" s="15" t="s">
        <v>568</v>
      </c>
      <c r="B8" s="17" t="n">
        <v>3564</v>
      </c>
      <c r="C8" s="18">
        <f>(2772.0/B8*100)</f>
        <v/>
      </c>
      <c r="D8" s="19" t="n">
        <v>792</v>
      </c>
      <c r="E8" s="18" t="n">
        <v>31.27342433</v>
      </c>
      <c r="F8" s="20" t="n">
        <v>1.67249509</v>
      </c>
      <c r="G8" s="18" t="n">
        <v>50.27704648</v>
      </c>
      <c r="H8" s="20" t="n">
        <v>1.87550632</v>
      </c>
      <c r="I8" s="18" t="s">
        <v>567</v>
      </c>
      <c r="J8" s="20" t="s">
        <v>567</v>
      </c>
      <c r="K8" s="18" t="n">
        <v>1.30757823</v>
      </c>
      <c r="L8" s="20" t="n">
        <v>0.41493103</v>
      </c>
      <c r="M8" s="18" t="n">
        <v>0</v>
      </c>
      <c r="N8" s="20" t="n">
        <v>0</v>
      </c>
      <c r="O8" s="18" t="n">
        <v>0</v>
      </c>
      <c r="P8" s="20" t="n">
        <v>0</v>
      </c>
      <c r="Q8" s="18" t="n">
        <v>17.14195095</v>
      </c>
      <c r="R8" s="20" t="n">
        <v>1.35036018</v>
      </c>
    </row>
    <row r="9" spans="1:18">
      <c r="A9" s="15" t="s">
        <v>569</v>
      </c>
      <c r="B9" s="17" t="n">
        <v>4899</v>
      </c>
      <c r="C9" s="18">
        <f>(3925.0/B9*100)</f>
        <v/>
      </c>
      <c r="D9" s="19" t="n">
        <v>974</v>
      </c>
      <c r="E9" s="18" t="n">
        <v>31.30006678</v>
      </c>
      <c r="F9" s="20" t="n">
        <v>1.47292204</v>
      </c>
      <c r="G9" s="18" t="n">
        <v>49.74211046</v>
      </c>
      <c r="H9" s="20" t="n">
        <v>1.80482306</v>
      </c>
      <c r="I9" s="18" t="s">
        <v>567</v>
      </c>
      <c r="J9" s="20" t="s">
        <v>567</v>
      </c>
      <c r="K9" s="18" t="n">
        <v>1.2630863</v>
      </c>
      <c r="L9" s="20" t="n">
        <v>0.38163247</v>
      </c>
      <c r="M9" s="18" t="n">
        <v>0</v>
      </c>
      <c r="N9" s="20" t="n">
        <v>0</v>
      </c>
      <c r="O9" s="18" t="n">
        <v>0</v>
      </c>
      <c r="P9" s="20" t="n">
        <v>0</v>
      </c>
      <c r="Q9" s="18" t="n">
        <v>17.69473646</v>
      </c>
      <c r="R9" s="20" t="n">
        <v>1.53865198</v>
      </c>
    </row>
    <row r="10" spans="1:18">
      <c r="A10" s="15" t="s">
        <v>570</v>
      </c>
      <c r="B10" s="17" t="n">
        <v>10036</v>
      </c>
      <c r="C10" s="18">
        <f>(7843.0/B10*100)</f>
        <v/>
      </c>
      <c r="D10" s="19" t="n">
        <v>2193</v>
      </c>
      <c r="E10" s="18" t="n">
        <v>26.27508022</v>
      </c>
      <c r="F10" s="20" t="n">
        <v>1.19809991</v>
      </c>
      <c r="G10" s="18" t="n">
        <v>52.46204169</v>
      </c>
      <c r="H10" s="20" t="n">
        <v>1.35533991</v>
      </c>
      <c r="I10" s="18" t="s">
        <v>567</v>
      </c>
      <c r="J10" s="20" t="s">
        <v>567</v>
      </c>
      <c r="K10" s="18" t="n">
        <v>1.42692172</v>
      </c>
      <c r="L10" s="20" t="n">
        <v>0.35060891</v>
      </c>
      <c r="M10" s="18" t="n">
        <v>0</v>
      </c>
      <c r="N10" s="20" t="n">
        <v>0</v>
      </c>
      <c r="O10" s="18" t="n">
        <v>0</v>
      </c>
      <c r="P10" s="20" t="n">
        <v>0</v>
      </c>
      <c r="Q10" s="18" t="n">
        <v>19.83595638</v>
      </c>
      <c r="R10" s="20" t="n">
        <v>1.17772717</v>
      </c>
    </row>
    <row r="11" spans="1:18">
      <c r="A11" s="15" t="s">
        <v>571</v>
      </c>
      <c r="B11" s="17" t="n">
        <v>3553</v>
      </c>
      <c r="C11" s="18">
        <f>(2801.0/B11*100)</f>
        <v/>
      </c>
      <c r="D11" s="19" t="n">
        <v>752</v>
      </c>
      <c r="E11" s="18" t="n">
        <v>42.02967674</v>
      </c>
      <c r="F11" s="20" t="n">
        <v>2.25097161</v>
      </c>
      <c r="G11" s="18" t="n">
        <v>26.63693617</v>
      </c>
      <c r="H11" s="20" t="n">
        <v>2.04572403</v>
      </c>
      <c r="I11" s="18" t="s">
        <v>567</v>
      </c>
      <c r="J11" s="20" t="s">
        <v>567</v>
      </c>
      <c r="K11" s="18" t="n">
        <v>4.05178246</v>
      </c>
      <c r="L11" s="20" t="n">
        <v>0.9040798799999999</v>
      </c>
      <c r="M11" s="18" t="n">
        <v>0</v>
      </c>
      <c r="N11" s="20" t="n">
        <v>0</v>
      </c>
      <c r="O11" s="18" t="n">
        <v>0</v>
      </c>
      <c r="P11" s="20" t="n">
        <v>0</v>
      </c>
      <c r="Q11" s="18" t="n">
        <v>27.28160463</v>
      </c>
      <c r="R11" s="20" t="n">
        <v>2.17110361</v>
      </c>
    </row>
    <row r="12" spans="1:18">
      <c r="A12" s="15" t="s">
        <v>572</v>
      </c>
      <c r="B12" s="17" t="n">
        <v>3472</v>
      </c>
      <c r="C12" s="18">
        <f>(2732.0/B12*100)</f>
        <v/>
      </c>
      <c r="D12" s="19" t="n">
        <v>740</v>
      </c>
      <c r="E12" s="18" t="n">
        <v>28.83258041</v>
      </c>
      <c r="F12" s="20" t="n">
        <v>1.79289415</v>
      </c>
      <c r="G12" s="18" t="n">
        <v>50.96407488</v>
      </c>
      <c r="H12" s="20" t="n">
        <v>1.71143877</v>
      </c>
      <c r="I12" s="18" t="s">
        <v>567</v>
      </c>
      <c r="J12" s="20" t="s">
        <v>567</v>
      </c>
      <c r="K12" s="18" t="n">
        <v>0.66490543</v>
      </c>
      <c r="L12" s="20" t="n">
        <v>0.33477355</v>
      </c>
      <c r="M12" s="18" t="n">
        <v>0</v>
      </c>
      <c r="N12" s="20" t="n">
        <v>0</v>
      </c>
      <c r="O12" s="18" t="n">
        <v>0</v>
      </c>
      <c r="P12" s="20" t="n">
        <v>0</v>
      </c>
      <c r="Q12" s="18" t="n">
        <v>19.53843929</v>
      </c>
      <c r="R12" s="20" t="n">
        <v>1.26779826</v>
      </c>
    </row>
    <row r="13" spans="1:18">
      <c r="A13" s="15" t="s">
        <v>573</v>
      </c>
      <c r="B13" s="17" t="n">
        <v>3559</v>
      </c>
      <c r="C13" s="18">
        <f>(2848.0/B13*100)</f>
        <v/>
      </c>
      <c r="D13" s="19" t="n">
        <v>711</v>
      </c>
      <c r="E13" s="18" t="n">
        <v>33.57948989</v>
      </c>
      <c r="F13" s="20" t="n">
        <v>1.86979236</v>
      </c>
      <c r="G13" s="18" t="n">
        <v>47.38149311</v>
      </c>
      <c r="H13" s="20" t="n">
        <v>1.79040371</v>
      </c>
      <c r="I13" s="18" t="s">
        <v>567</v>
      </c>
      <c r="J13" s="20" t="s">
        <v>567</v>
      </c>
      <c r="K13" s="18" t="n">
        <v>1.30296998</v>
      </c>
      <c r="L13" s="20" t="n">
        <v>0.53077526</v>
      </c>
      <c r="M13" s="18" t="n">
        <v>0</v>
      </c>
      <c r="N13" s="20" t="n">
        <v>0</v>
      </c>
      <c r="O13" s="18" t="n">
        <v>0</v>
      </c>
      <c r="P13" s="20" t="n">
        <v>0</v>
      </c>
      <c r="Q13" s="18" t="n">
        <v>17.73604702</v>
      </c>
      <c r="R13" s="20" t="n">
        <v>1.42865901</v>
      </c>
    </row>
    <row r="14" spans="1:18">
      <c r="A14" s="15" t="s">
        <v>574</v>
      </c>
      <c r="B14" s="17" t="n">
        <v>2799</v>
      </c>
      <c r="C14" s="18">
        <f>(2163.0/B14*100)</f>
        <v/>
      </c>
      <c r="D14" s="19" t="n">
        <v>636</v>
      </c>
      <c r="E14" s="18" t="n">
        <v>35.9439953</v>
      </c>
      <c r="F14" s="20" t="n">
        <v>1.85568545</v>
      </c>
      <c r="G14" s="18" t="n">
        <v>48.78785762</v>
      </c>
      <c r="H14" s="20" t="n">
        <v>1.95870909</v>
      </c>
      <c r="I14" s="18" t="s">
        <v>567</v>
      </c>
      <c r="J14" s="20" t="s">
        <v>567</v>
      </c>
      <c r="K14" s="18" t="n">
        <v>2.14445244</v>
      </c>
      <c r="L14" s="20" t="n">
        <v>0.70834085</v>
      </c>
      <c r="M14" s="18" t="n">
        <v>0</v>
      </c>
      <c r="N14" s="20" t="n">
        <v>0</v>
      </c>
      <c r="O14" s="18" t="n">
        <v>0</v>
      </c>
      <c r="P14" s="20" t="n">
        <v>0</v>
      </c>
      <c r="Q14" s="18" t="n">
        <v>13.12369463</v>
      </c>
      <c r="R14" s="20" t="n">
        <v>1.48694754</v>
      </c>
    </row>
    <row r="15" spans="1:18">
      <c r="A15" s="15" t="s">
        <v>575</v>
      </c>
      <c r="B15" s="17" t="n">
        <v>3019</v>
      </c>
      <c r="C15" s="18">
        <f>(2330.0/B15*100)</f>
        <v/>
      </c>
      <c r="D15" s="19" t="n">
        <v>689</v>
      </c>
      <c r="E15" s="18" t="n">
        <v>22.8491813</v>
      </c>
      <c r="F15" s="20" t="n">
        <v>1.52752534</v>
      </c>
      <c r="G15" s="18" t="n">
        <v>62.9606467</v>
      </c>
      <c r="H15" s="20" t="n">
        <v>1.70413788</v>
      </c>
      <c r="I15" s="18" t="s">
        <v>567</v>
      </c>
      <c r="J15" s="20" t="s">
        <v>567</v>
      </c>
      <c r="K15" s="18" t="n">
        <v>0.97715873</v>
      </c>
      <c r="L15" s="20" t="n">
        <v>0.36596307</v>
      </c>
      <c r="M15" s="18" t="n">
        <v>0</v>
      </c>
      <c r="N15" s="20" t="n">
        <v>0</v>
      </c>
      <c r="O15" s="18" t="n">
        <v>0</v>
      </c>
      <c r="P15" s="20" t="n">
        <v>0</v>
      </c>
      <c r="Q15" s="18" t="n">
        <v>13.21301327</v>
      </c>
      <c r="R15" s="20" t="n">
        <v>1.22889571</v>
      </c>
    </row>
    <row r="16" spans="1:18">
      <c r="A16" s="15" t="s">
        <v>576</v>
      </c>
      <c r="B16" s="17" t="n">
        <v>2997</v>
      </c>
      <c r="C16" s="18">
        <f>(2384.0/B16*100)</f>
        <v/>
      </c>
      <c r="D16" s="19" t="n">
        <v>613</v>
      </c>
      <c r="E16" s="18" t="n">
        <v>30.77593752</v>
      </c>
      <c r="F16" s="20" t="n">
        <v>1.92142833</v>
      </c>
      <c r="G16" s="18" t="n">
        <v>41.32956855</v>
      </c>
      <c r="H16" s="20" t="n">
        <v>1.84624684</v>
      </c>
      <c r="I16" s="18" t="s">
        <v>567</v>
      </c>
      <c r="J16" s="20" t="s">
        <v>567</v>
      </c>
      <c r="K16" s="18" t="n">
        <v>3.70893738</v>
      </c>
      <c r="L16" s="20" t="n">
        <v>0.74574582</v>
      </c>
      <c r="M16" s="18" t="n">
        <v>0</v>
      </c>
      <c r="N16" s="20" t="n">
        <v>0</v>
      </c>
      <c r="O16" s="18" t="n">
        <v>0</v>
      </c>
      <c r="P16" s="20" t="n">
        <v>0</v>
      </c>
      <c r="Q16" s="18" t="n">
        <v>24.18555655</v>
      </c>
      <c r="R16" s="20" t="n">
        <v>1.54608167</v>
      </c>
    </row>
    <row r="17" spans="1:18">
      <c r="A17" s="15" t="s">
        <v>577</v>
      </c>
      <c r="B17" s="17" t="n">
        <v>3307</v>
      </c>
      <c r="C17" s="18">
        <f>(2611.0/B17*100)</f>
        <v/>
      </c>
      <c r="D17" s="19" t="n">
        <v>696</v>
      </c>
      <c r="E17" s="18" t="n">
        <v>31.50489934</v>
      </c>
      <c r="F17" s="20" t="n">
        <v>1.85156731</v>
      </c>
      <c r="G17" s="18" t="n">
        <v>49.49403806</v>
      </c>
      <c r="H17" s="20" t="n">
        <v>1.96518759</v>
      </c>
      <c r="I17" s="18" t="s">
        <v>567</v>
      </c>
      <c r="J17" s="20" t="s">
        <v>567</v>
      </c>
      <c r="K17" s="18" t="n">
        <v>1.16387459</v>
      </c>
      <c r="L17" s="20" t="n">
        <v>0.42320743</v>
      </c>
      <c r="M17" s="18" t="n">
        <v>0</v>
      </c>
      <c r="N17" s="20" t="n">
        <v>0</v>
      </c>
      <c r="O17" s="18" t="n">
        <v>0</v>
      </c>
      <c r="P17" s="20" t="n">
        <v>0</v>
      </c>
      <c r="Q17" s="18" t="n">
        <v>17.83718802</v>
      </c>
      <c r="R17" s="20" t="n">
        <v>1.55234837</v>
      </c>
    </row>
    <row r="18" spans="1:18">
      <c r="A18" s="15" t="s">
        <v>578</v>
      </c>
      <c r="B18" s="17" t="n">
        <v>2826</v>
      </c>
      <c r="C18" s="18">
        <f>(2221.0/B18*100)</f>
        <v/>
      </c>
      <c r="D18" s="19" t="n">
        <v>605</v>
      </c>
      <c r="E18" s="18" t="n">
        <v>41.0525402</v>
      </c>
      <c r="F18" s="20" t="n">
        <v>2.3348372</v>
      </c>
      <c r="G18" s="18" t="n">
        <v>33.88197942</v>
      </c>
      <c r="H18" s="20" t="n">
        <v>1.98300751</v>
      </c>
      <c r="I18" s="18" t="s">
        <v>567</v>
      </c>
      <c r="J18" s="20" t="s">
        <v>567</v>
      </c>
      <c r="K18" s="18" t="n">
        <v>1.58475937</v>
      </c>
      <c r="L18" s="20" t="n">
        <v>0.5301971599999999</v>
      </c>
      <c r="M18" s="18" t="n">
        <v>0</v>
      </c>
      <c r="N18" s="20" t="n">
        <v>0</v>
      </c>
      <c r="O18" s="18" t="n">
        <v>0</v>
      </c>
      <c r="P18" s="20" t="n">
        <v>0</v>
      </c>
      <c r="Q18" s="18" t="n">
        <v>23.48072101</v>
      </c>
      <c r="R18" s="20" t="n">
        <v>1.76641504</v>
      </c>
    </row>
    <row r="19" spans="1:18">
      <c r="A19" s="15" t="s">
        <v>579</v>
      </c>
      <c r="B19" s="17" t="n">
        <v>2808</v>
      </c>
      <c r="C19" s="18">
        <f>(2194.0/B19*100)</f>
        <v/>
      </c>
      <c r="D19" s="19" t="n">
        <v>614</v>
      </c>
      <c r="E19" s="18" t="n">
        <v>37.8834448</v>
      </c>
      <c r="F19" s="20" t="n">
        <v>2.09557686</v>
      </c>
      <c r="G19" s="18" t="n">
        <v>38.65022029</v>
      </c>
      <c r="H19" s="20" t="n">
        <v>2.07231912</v>
      </c>
      <c r="I19" s="18" t="s">
        <v>567</v>
      </c>
      <c r="J19" s="20" t="s">
        <v>567</v>
      </c>
      <c r="K19" s="18" t="n">
        <v>1.01373539</v>
      </c>
      <c r="L19" s="20" t="n">
        <v>0.4426242</v>
      </c>
      <c r="M19" s="18" t="n">
        <v>0</v>
      </c>
      <c r="N19" s="20" t="n">
        <v>0</v>
      </c>
      <c r="O19" s="18" t="n">
        <v>0</v>
      </c>
      <c r="P19" s="20" t="n">
        <v>0</v>
      </c>
      <c r="Q19" s="18" t="n">
        <v>22.45259952</v>
      </c>
      <c r="R19" s="20" t="n">
        <v>2.00277474</v>
      </c>
    </row>
    <row r="20" spans="1:18">
      <c r="A20" s="15" t="s">
        <v>580</v>
      </c>
      <c r="B20" s="17" t="n">
        <v>1630</v>
      </c>
      <c r="C20" s="18">
        <f>(1293.0/B20*100)</f>
        <v/>
      </c>
      <c r="D20" s="19" t="n">
        <v>337</v>
      </c>
      <c r="E20" s="18" t="n">
        <v>43.61596436</v>
      </c>
      <c r="F20" s="20" t="n">
        <v>2.56814751</v>
      </c>
      <c r="G20" s="18" t="n">
        <v>33.60004238</v>
      </c>
      <c r="H20" s="20" t="n">
        <v>2.53135832</v>
      </c>
      <c r="I20" s="18" t="s">
        <v>567</v>
      </c>
      <c r="J20" s="20" t="s">
        <v>567</v>
      </c>
      <c r="K20" s="18" t="n">
        <v>2.79052397</v>
      </c>
      <c r="L20" s="20" t="n">
        <v>1.03093267</v>
      </c>
      <c r="M20" s="18" t="n">
        <v>0</v>
      </c>
      <c r="N20" s="20" t="n">
        <v>0</v>
      </c>
      <c r="O20" s="18" t="n">
        <v>0</v>
      </c>
      <c r="P20" s="20" t="n">
        <v>0</v>
      </c>
      <c r="Q20" s="18" t="n">
        <v>19.99346928</v>
      </c>
      <c r="R20" s="20" t="n">
        <v>2.02003631</v>
      </c>
    </row>
    <row r="21" spans="1:18">
      <c r="A21" s="15" t="s">
        <v>581</v>
      </c>
      <c r="B21" s="17" t="n">
        <v>2908</v>
      </c>
      <c r="C21" s="18">
        <f>(2251.0/B21*100)</f>
        <v/>
      </c>
      <c r="D21" s="19" t="n">
        <v>657</v>
      </c>
      <c r="E21" s="18" t="n">
        <v>38.70061871</v>
      </c>
      <c r="F21" s="20" t="n">
        <v>1.85749962</v>
      </c>
      <c r="G21" s="18" t="n">
        <v>45.25319943</v>
      </c>
      <c r="H21" s="20" t="n">
        <v>2.07889586</v>
      </c>
      <c r="I21" s="18" t="s">
        <v>567</v>
      </c>
      <c r="J21" s="20" t="s">
        <v>567</v>
      </c>
      <c r="K21" s="18" t="n">
        <v>1.66432221</v>
      </c>
      <c r="L21" s="20" t="n">
        <v>0.52333919</v>
      </c>
      <c r="M21" s="18" t="n">
        <v>0</v>
      </c>
      <c r="N21" s="20" t="n">
        <v>0</v>
      </c>
      <c r="O21" s="18" t="n">
        <v>0</v>
      </c>
      <c r="P21" s="20" t="n">
        <v>0</v>
      </c>
      <c r="Q21" s="18" t="n">
        <v>14.38185965</v>
      </c>
      <c r="R21" s="20" t="n">
        <v>1.17991773</v>
      </c>
    </row>
    <row r="22" spans="1:18">
      <c r="A22" s="15" t="s">
        <v>582</v>
      </c>
      <c r="B22" s="17" t="n">
        <v>2931</v>
      </c>
      <c r="C22" s="18">
        <f>(2290.0/B22*100)</f>
        <v/>
      </c>
      <c r="D22" s="19" t="n">
        <v>641</v>
      </c>
      <c r="E22" s="18" t="n">
        <v>44.6094644</v>
      </c>
      <c r="F22" s="20" t="n">
        <v>2.45262889</v>
      </c>
      <c r="G22" s="18" t="n">
        <v>31.18840303</v>
      </c>
      <c r="H22" s="20" t="n">
        <v>2.43338667</v>
      </c>
      <c r="I22" s="18" t="s">
        <v>567</v>
      </c>
      <c r="J22" s="20" t="s">
        <v>567</v>
      </c>
      <c r="K22" s="18" t="n">
        <v>2.90888567</v>
      </c>
      <c r="L22" s="20" t="n">
        <v>0.7863391</v>
      </c>
      <c r="M22" s="18" t="n">
        <v>0</v>
      </c>
      <c r="N22" s="20" t="n">
        <v>0</v>
      </c>
      <c r="O22" s="18" t="n">
        <v>0</v>
      </c>
      <c r="P22" s="20" t="n">
        <v>0</v>
      </c>
      <c r="Q22" s="18" t="n">
        <v>21.2932469</v>
      </c>
      <c r="R22" s="20" t="n">
        <v>1.9361282</v>
      </c>
    </row>
    <row r="23" spans="1:18">
      <c r="A23" s="15" t="s">
        <v>583</v>
      </c>
      <c r="B23" s="17" t="n">
        <v>5791</v>
      </c>
      <c r="C23" s="18">
        <f>(4548.0/B23*100)</f>
        <v/>
      </c>
      <c r="D23" s="19" t="n">
        <v>1243</v>
      </c>
      <c r="E23" s="18" t="n">
        <v>31.49294307</v>
      </c>
      <c r="F23" s="20" t="n">
        <v>1.64725974</v>
      </c>
      <c r="G23" s="18" t="n">
        <v>41.37612813</v>
      </c>
      <c r="H23" s="20" t="n">
        <v>2.12178911</v>
      </c>
      <c r="I23" s="18" t="s">
        <v>567</v>
      </c>
      <c r="J23" s="20" t="s">
        <v>567</v>
      </c>
      <c r="K23" s="18" t="n">
        <v>2.68604547</v>
      </c>
      <c r="L23" s="20" t="n">
        <v>0.80504231</v>
      </c>
      <c r="M23" s="18" t="n">
        <v>0</v>
      </c>
      <c r="N23" s="20" t="n">
        <v>0</v>
      </c>
      <c r="O23" s="18" t="n">
        <v>0</v>
      </c>
      <c r="P23" s="20" t="n">
        <v>0</v>
      </c>
      <c r="Q23" s="18" t="n">
        <v>24.44488333</v>
      </c>
      <c r="R23" s="20" t="n">
        <v>2.01272071</v>
      </c>
    </row>
    <row r="24" spans="1:18">
      <c r="A24" s="15" t="s">
        <v>584</v>
      </c>
      <c r="B24" s="17" t="n">
        <v>3338</v>
      </c>
      <c r="C24" s="18">
        <f>(2613.0/B24*100)</f>
        <v/>
      </c>
      <c r="D24" s="19" t="n">
        <v>725</v>
      </c>
      <c r="E24" s="18" t="n">
        <v>29.76572494</v>
      </c>
      <c r="F24" s="20" t="n">
        <v>1.97666341</v>
      </c>
      <c r="G24" s="18" t="n">
        <v>55.21652477</v>
      </c>
      <c r="H24" s="20" t="n">
        <v>2.08418618</v>
      </c>
      <c r="I24" s="18" t="s">
        <v>567</v>
      </c>
      <c r="J24" s="20" t="s">
        <v>567</v>
      </c>
      <c r="K24" s="18" t="n">
        <v>0.67413555</v>
      </c>
      <c r="L24" s="20" t="n">
        <v>0.29983682</v>
      </c>
      <c r="M24" s="18" t="n">
        <v>0</v>
      </c>
      <c r="N24" s="20" t="n">
        <v>0</v>
      </c>
      <c r="O24" s="18" t="n">
        <v>0</v>
      </c>
      <c r="P24" s="20" t="n">
        <v>0</v>
      </c>
      <c r="Q24" s="18" t="n">
        <v>14.34361474</v>
      </c>
      <c r="R24" s="20" t="n">
        <v>1.18366818</v>
      </c>
    </row>
    <row r="25" spans="1:18">
      <c r="A25" s="15" t="s">
        <v>585</v>
      </c>
      <c r="B25" s="17" t="n">
        <v>2912</v>
      </c>
      <c r="C25" s="18">
        <f>(2269.0/B25*100)</f>
        <v/>
      </c>
      <c r="D25" s="19" t="n">
        <v>643</v>
      </c>
      <c r="E25" s="18" t="n">
        <v>33.13192119</v>
      </c>
      <c r="F25" s="20" t="n">
        <v>1.91687628</v>
      </c>
      <c r="G25" s="18" t="n">
        <v>51.57731144</v>
      </c>
      <c r="H25" s="20" t="n">
        <v>2.2236074</v>
      </c>
      <c r="I25" s="18" t="s">
        <v>567</v>
      </c>
      <c r="J25" s="20" t="s">
        <v>567</v>
      </c>
      <c r="K25" s="18" t="n">
        <v>0.56623475</v>
      </c>
      <c r="L25" s="20" t="n">
        <v>0.34250439</v>
      </c>
      <c r="M25" s="18" t="n">
        <v>0</v>
      </c>
      <c r="N25" s="20" t="n">
        <v>0</v>
      </c>
      <c r="O25" s="18" t="n">
        <v>0</v>
      </c>
      <c r="P25" s="20" t="n">
        <v>0</v>
      </c>
      <c r="Q25" s="18" t="n">
        <v>14.72453262</v>
      </c>
      <c r="R25" s="20" t="n">
        <v>1.70622196</v>
      </c>
    </row>
    <row r="26" spans="1:18">
      <c r="A26" s="15" t="s">
        <v>586</v>
      </c>
      <c r="B26" s="17" t="n">
        <v>2450</v>
      </c>
      <c r="C26" s="18">
        <f>(1897.0/B26*100)</f>
        <v/>
      </c>
      <c r="D26" s="19" t="n">
        <v>553</v>
      </c>
      <c r="E26" s="18" t="n">
        <v>39.28915001</v>
      </c>
      <c r="F26" s="20" t="n">
        <v>1.94942001</v>
      </c>
      <c r="G26" s="18" t="n">
        <v>37.04722795</v>
      </c>
      <c r="H26" s="20" t="n">
        <v>1.97832898</v>
      </c>
      <c r="I26" s="18" t="s">
        <v>567</v>
      </c>
      <c r="J26" s="20" t="s">
        <v>567</v>
      </c>
      <c r="K26" s="18" t="n">
        <v>0.45021199</v>
      </c>
      <c r="L26" s="20" t="n">
        <v>0.24068192</v>
      </c>
      <c r="M26" s="18" t="n">
        <v>0</v>
      </c>
      <c r="N26" s="20" t="n">
        <v>0</v>
      </c>
      <c r="O26" s="18" t="n">
        <v>0</v>
      </c>
      <c r="P26" s="20" t="n">
        <v>0</v>
      </c>
      <c r="Q26" s="18" t="n">
        <v>23.21341005</v>
      </c>
      <c r="R26" s="20" t="n">
        <v>1.63512222</v>
      </c>
    </row>
    <row r="27" spans="1:18">
      <c r="A27" s="15" t="s">
        <v>587</v>
      </c>
      <c r="B27" s="17" t="n">
        <v>2616</v>
      </c>
      <c r="C27" s="18">
        <f>(2072.0/B27*100)</f>
        <v/>
      </c>
      <c r="D27" s="19" t="n">
        <v>544</v>
      </c>
      <c r="E27" s="18" t="n">
        <v>37.83870871</v>
      </c>
      <c r="F27" s="20" t="n">
        <v>1.8750824</v>
      </c>
      <c r="G27" s="18" t="n">
        <v>41.16579257</v>
      </c>
      <c r="H27" s="20" t="n">
        <v>2.06840256</v>
      </c>
      <c r="I27" s="18" t="s">
        <v>567</v>
      </c>
      <c r="J27" s="20" t="s">
        <v>567</v>
      </c>
      <c r="K27" s="18" t="n">
        <v>0.92449339</v>
      </c>
      <c r="L27" s="20" t="n">
        <v>0.41243112</v>
      </c>
      <c r="M27" s="18" t="n">
        <v>0</v>
      </c>
      <c r="N27" s="20" t="n">
        <v>0</v>
      </c>
      <c r="O27" s="18" t="n">
        <v>0</v>
      </c>
      <c r="P27" s="20" t="n">
        <v>0</v>
      </c>
      <c r="Q27" s="18" t="n">
        <v>20.07100532</v>
      </c>
      <c r="R27" s="20" t="n">
        <v>1.66563109</v>
      </c>
    </row>
    <row r="28" spans="1:18">
      <c r="A28" s="15" t="s">
        <v>588</v>
      </c>
      <c r="B28" s="17" t="n">
        <v>3765</v>
      </c>
      <c r="C28" s="18">
        <f>(2979.0/B28*100)</f>
        <v/>
      </c>
      <c r="D28" s="19" t="n">
        <v>786</v>
      </c>
      <c r="E28" s="18" t="n">
        <v>39.3748985</v>
      </c>
      <c r="F28" s="20" t="n">
        <v>1.98549016</v>
      </c>
      <c r="G28" s="18" t="n">
        <v>23.40108192</v>
      </c>
      <c r="H28" s="20" t="n">
        <v>1.60509395</v>
      </c>
      <c r="I28" s="18" t="s">
        <v>567</v>
      </c>
      <c r="J28" s="20" t="s">
        <v>567</v>
      </c>
      <c r="K28" s="18" t="n">
        <v>1.6285408</v>
      </c>
      <c r="L28" s="20" t="n">
        <v>0.53871976</v>
      </c>
      <c r="M28" s="18" t="n">
        <v>0</v>
      </c>
      <c r="N28" s="20" t="n">
        <v>0</v>
      </c>
      <c r="O28" s="18" t="n">
        <v>0</v>
      </c>
      <c r="P28" s="20" t="n">
        <v>0</v>
      </c>
      <c r="Q28" s="18" t="n">
        <v>35.59547878</v>
      </c>
      <c r="R28" s="20" t="n">
        <v>1.94140999</v>
      </c>
    </row>
    <row r="29" spans="1:18">
      <c r="A29" s="15" t="s">
        <v>589</v>
      </c>
      <c r="B29" s="17" t="n">
        <v>2685</v>
      </c>
      <c r="C29" s="18">
        <f>(2100.0/B29*100)</f>
        <v/>
      </c>
      <c r="D29" s="19" t="n">
        <v>585</v>
      </c>
      <c r="E29" s="18" t="n">
        <v>39.15130589</v>
      </c>
      <c r="F29" s="20" t="n">
        <v>2.04502455</v>
      </c>
      <c r="G29" s="18" t="n">
        <v>47.01270792</v>
      </c>
      <c r="H29" s="20" t="n">
        <v>2.19986136</v>
      </c>
      <c r="I29" s="18" t="s">
        <v>567</v>
      </c>
      <c r="J29" s="20" t="s">
        <v>567</v>
      </c>
      <c r="K29" s="18" t="n">
        <v>0.4917279</v>
      </c>
      <c r="L29" s="20" t="n">
        <v>0.29938451</v>
      </c>
      <c r="M29" s="18" t="n">
        <v>0</v>
      </c>
      <c r="N29" s="20" t="n">
        <v>0</v>
      </c>
      <c r="O29" s="18" t="n">
        <v>0</v>
      </c>
      <c r="P29" s="20" t="n">
        <v>0</v>
      </c>
      <c r="Q29" s="18" t="n">
        <v>13.34425829</v>
      </c>
      <c r="R29" s="20" t="n">
        <v>1.53995698</v>
      </c>
    </row>
    <row r="30" spans="1:18">
      <c r="A30" s="15" t="s">
        <v>590</v>
      </c>
      <c r="B30" s="17" t="n">
        <v>2263</v>
      </c>
      <c r="C30" s="18">
        <f>(1774.0/B30*100)</f>
        <v/>
      </c>
      <c r="D30" s="19" t="n">
        <v>489</v>
      </c>
      <c r="E30" s="18" t="n">
        <v>34.02830121</v>
      </c>
      <c r="F30" s="20" t="n">
        <v>1.97485714</v>
      </c>
      <c r="G30" s="18" t="n">
        <v>42.38148442</v>
      </c>
      <c r="H30" s="20" t="n">
        <v>2.2853489</v>
      </c>
      <c r="I30" s="18" t="s">
        <v>567</v>
      </c>
      <c r="J30" s="20" t="s">
        <v>567</v>
      </c>
      <c r="K30" s="18" t="n">
        <v>1.29958877</v>
      </c>
      <c r="L30" s="20" t="n">
        <v>0.5143119</v>
      </c>
      <c r="M30" s="18" t="n">
        <v>0</v>
      </c>
      <c r="N30" s="20" t="n">
        <v>0</v>
      </c>
      <c r="O30" s="18" t="n">
        <v>0</v>
      </c>
      <c r="P30" s="20" t="n">
        <v>0</v>
      </c>
      <c r="Q30" s="18" t="n">
        <v>22.29062559</v>
      </c>
      <c r="R30" s="20" t="n">
        <v>2.03108633</v>
      </c>
    </row>
    <row r="31" spans="1:18">
      <c r="A31" s="15" t="s">
        <v>591</v>
      </c>
      <c r="B31" s="17" t="n">
        <v>2750</v>
      </c>
      <c r="C31" s="18">
        <f>(2163.0/B31*100)</f>
        <v/>
      </c>
      <c r="D31" s="19" t="n">
        <v>587</v>
      </c>
      <c r="E31" s="18" t="n">
        <v>29.9001404</v>
      </c>
      <c r="F31" s="20" t="n">
        <v>2.07545329</v>
      </c>
      <c r="G31" s="18" t="n">
        <v>46.51904368</v>
      </c>
      <c r="H31" s="20" t="n">
        <v>2.39030401</v>
      </c>
      <c r="I31" s="18" t="s">
        <v>567</v>
      </c>
      <c r="J31" s="20" t="s">
        <v>567</v>
      </c>
      <c r="K31" s="18" t="n">
        <v>2.46878356</v>
      </c>
      <c r="L31" s="20" t="n">
        <v>0.78130837</v>
      </c>
      <c r="M31" s="18" t="n">
        <v>0</v>
      </c>
      <c r="N31" s="20" t="n">
        <v>0</v>
      </c>
      <c r="O31" s="18" t="n">
        <v>0</v>
      </c>
      <c r="P31" s="20" t="n">
        <v>0</v>
      </c>
      <c r="Q31" s="18" t="n">
        <v>21.11203237</v>
      </c>
      <c r="R31" s="20" t="n">
        <v>1.87593115</v>
      </c>
    </row>
    <row r="32" spans="1:18">
      <c r="A32" s="15" t="s">
        <v>592</v>
      </c>
      <c r="B32" s="17" t="n">
        <v>2269</v>
      </c>
      <c r="C32" s="18">
        <f>(1767.0/B32*100)</f>
        <v/>
      </c>
      <c r="D32" s="19" t="n">
        <v>502</v>
      </c>
      <c r="E32" s="18" t="n">
        <v>32.85607218</v>
      </c>
      <c r="F32" s="20" t="n">
        <v>2.10951285</v>
      </c>
      <c r="G32" s="18" t="n">
        <v>47.25990111</v>
      </c>
      <c r="H32" s="20" t="n">
        <v>2.23061544</v>
      </c>
      <c r="I32" s="18" t="s">
        <v>567</v>
      </c>
      <c r="J32" s="20" t="s">
        <v>567</v>
      </c>
      <c r="K32" s="18" t="n">
        <v>0.60334509</v>
      </c>
      <c r="L32" s="20" t="n">
        <v>0.35650784</v>
      </c>
      <c r="M32" s="18" t="n">
        <v>0</v>
      </c>
      <c r="N32" s="20" t="n">
        <v>0</v>
      </c>
      <c r="O32" s="18" t="n">
        <v>0</v>
      </c>
      <c r="P32" s="20" t="n">
        <v>0</v>
      </c>
      <c r="Q32" s="18" t="n">
        <v>19.28068161</v>
      </c>
      <c r="R32" s="20" t="n">
        <v>1.66520565</v>
      </c>
    </row>
    <row r="33" spans="1:18">
      <c r="A33" s="15" t="s">
        <v>593</v>
      </c>
      <c r="B33" s="17" t="n">
        <v>3674</v>
      </c>
      <c r="C33" s="18">
        <f>(2888.0/B33*100)</f>
        <v/>
      </c>
      <c r="D33" s="19" t="n">
        <v>786</v>
      </c>
      <c r="E33" s="18" t="n">
        <v>39.45481218</v>
      </c>
      <c r="F33" s="20" t="n">
        <v>2.20255154</v>
      </c>
      <c r="G33" s="18" t="n">
        <v>38.34355209</v>
      </c>
      <c r="H33" s="20" t="n">
        <v>2.53251807</v>
      </c>
      <c r="I33" s="18" t="s">
        <v>567</v>
      </c>
      <c r="J33" s="20" t="s">
        <v>567</v>
      </c>
      <c r="K33" s="18" t="n">
        <v>1.20517112</v>
      </c>
      <c r="L33" s="20" t="n">
        <v>0.45327401</v>
      </c>
      <c r="M33" s="18" t="n">
        <v>0</v>
      </c>
      <c r="N33" s="20" t="n">
        <v>0</v>
      </c>
      <c r="O33" s="18" t="n">
        <v>0</v>
      </c>
      <c r="P33" s="20" t="n">
        <v>0</v>
      </c>
      <c r="Q33" s="18" t="n">
        <v>20.9964646</v>
      </c>
      <c r="R33" s="20" t="n">
        <v>1.80804314</v>
      </c>
    </row>
    <row r="34" spans="1:18">
      <c r="A34" s="15" t="s">
        <v>594</v>
      </c>
      <c r="B34" s="17" t="n">
        <v>3315</v>
      </c>
      <c r="C34" s="18">
        <f>(2619.0/B34*100)</f>
        <v/>
      </c>
      <c r="D34" s="19" t="n">
        <v>696</v>
      </c>
      <c r="E34" s="18" t="n">
        <v>31.44831572</v>
      </c>
      <c r="F34" s="20" t="n">
        <v>1.71106632</v>
      </c>
      <c r="G34" s="18" t="n">
        <v>39.19246576</v>
      </c>
      <c r="H34" s="20" t="n">
        <v>1.92173198</v>
      </c>
      <c r="I34" s="18" t="s">
        <v>567</v>
      </c>
      <c r="J34" s="20" t="s">
        <v>567</v>
      </c>
      <c r="K34" s="18" t="n">
        <v>0.99520199</v>
      </c>
      <c r="L34" s="20" t="n">
        <v>0.43279959</v>
      </c>
      <c r="M34" s="18" t="n">
        <v>0</v>
      </c>
      <c r="N34" s="20" t="n">
        <v>0</v>
      </c>
      <c r="O34" s="18" t="n">
        <v>0</v>
      </c>
      <c r="P34" s="20" t="n">
        <v>0</v>
      </c>
      <c r="Q34" s="18" t="n">
        <v>28.36401653</v>
      </c>
      <c r="R34" s="20" t="n">
        <v>1.83626231</v>
      </c>
    </row>
    <row r="35" spans="1:18">
      <c r="A35" s="15" t="s">
        <v>595</v>
      </c>
      <c r="B35" s="17" t="n">
        <v>3505</v>
      </c>
      <c r="C35" s="18">
        <f>(2787.0/B35*100)</f>
        <v/>
      </c>
      <c r="D35" s="19" t="n">
        <v>718</v>
      </c>
      <c r="E35" s="18" t="n">
        <v>33.57031962</v>
      </c>
      <c r="F35" s="20" t="n">
        <v>2.13165714</v>
      </c>
      <c r="G35" s="18" t="n">
        <v>51.08164366</v>
      </c>
      <c r="H35" s="20" t="n">
        <v>1.95094981</v>
      </c>
      <c r="I35" s="18" t="s">
        <v>567</v>
      </c>
      <c r="J35" s="20" t="s">
        <v>567</v>
      </c>
      <c r="K35" s="18" t="n">
        <v>0.88145186</v>
      </c>
      <c r="L35" s="20" t="n">
        <v>0.33465682</v>
      </c>
      <c r="M35" s="18" t="n">
        <v>0</v>
      </c>
      <c r="N35" s="20" t="n">
        <v>0</v>
      </c>
      <c r="O35" s="18" t="n">
        <v>0</v>
      </c>
      <c r="P35" s="20" t="n">
        <v>0</v>
      </c>
      <c r="Q35" s="18" t="n">
        <v>14.46658486</v>
      </c>
      <c r="R35" s="20" t="n">
        <v>1.56155918</v>
      </c>
    </row>
    <row r="36" spans="1:18">
      <c r="A36" s="15" t="s">
        <v>596</v>
      </c>
      <c r="B36" s="17" t="n">
        <v>3332</v>
      </c>
      <c r="C36" s="18">
        <f>(2614.0/B36*100)</f>
        <v/>
      </c>
      <c r="D36" s="19" t="n">
        <v>718</v>
      </c>
      <c r="E36" s="18" t="n">
        <v>38.47781734</v>
      </c>
      <c r="F36" s="20" t="n">
        <v>1.95762019</v>
      </c>
      <c r="G36" s="18" t="n">
        <v>39.50469945</v>
      </c>
      <c r="H36" s="20" t="n">
        <v>1.80785819</v>
      </c>
      <c r="I36" s="18" t="s">
        <v>567</v>
      </c>
      <c r="J36" s="20" t="s">
        <v>567</v>
      </c>
      <c r="K36" s="18" t="n">
        <v>2.62379137</v>
      </c>
      <c r="L36" s="20" t="n">
        <v>0.58428135</v>
      </c>
      <c r="M36" s="18" t="n">
        <v>0</v>
      </c>
      <c r="N36" s="20" t="n">
        <v>0</v>
      </c>
      <c r="O36" s="18" t="n">
        <v>0</v>
      </c>
      <c r="P36" s="20" t="n">
        <v>0</v>
      </c>
      <c r="Q36" s="18" t="n">
        <v>19.39369185</v>
      </c>
      <c r="R36" s="20" t="n">
        <v>1.65484857</v>
      </c>
    </row>
    <row r="37" spans="1:18">
      <c r="A37" s="15" t="s">
        <v>597</v>
      </c>
      <c r="B37" s="17" t="n">
        <v>2727</v>
      </c>
      <c r="C37" s="18">
        <f>(2135.0/B37*100)</f>
        <v/>
      </c>
      <c r="D37" s="19" t="n">
        <v>592</v>
      </c>
      <c r="E37" s="18" t="n">
        <v>29.89286369</v>
      </c>
      <c r="F37" s="20" t="n">
        <v>1.83728505</v>
      </c>
      <c r="G37" s="18" t="n">
        <v>41.07342387</v>
      </c>
      <c r="H37" s="20" t="n">
        <v>2.17928606</v>
      </c>
      <c r="I37" s="18" t="s">
        <v>567</v>
      </c>
      <c r="J37" s="20" t="s">
        <v>567</v>
      </c>
      <c r="K37" s="18" t="n">
        <v>4.05440742</v>
      </c>
      <c r="L37" s="20" t="n">
        <v>0.65264316</v>
      </c>
      <c r="M37" s="18" t="n">
        <v>0</v>
      </c>
      <c r="N37" s="20" t="n">
        <v>0</v>
      </c>
      <c r="O37" s="18" t="n">
        <v>0</v>
      </c>
      <c r="P37" s="20" t="n">
        <v>0</v>
      </c>
      <c r="Q37" s="18" t="n">
        <v>24.97930503</v>
      </c>
      <c r="R37" s="20" t="n">
        <v>1.63513611</v>
      </c>
    </row>
    <row r="38" spans="1:18">
      <c r="A38" s="15" t="s">
        <v>598</v>
      </c>
      <c r="B38" s="17" t="n">
        <v>3053</v>
      </c>
      <c r="C38" s="18">
        <f>(2391.0/B38*100)</f>
        <v/>
      </c>
      <c r="D38" s="19" t="n">
        <v>662</v>
      </c>
      <c r="E38" s="18" t="n">
        <v>34.19287765</v>
      </c>
      <c r="F38" s="20" t="n">
        <v>1.96114402</v>
      </c>
      <c r="G38" s="18" t="n">
        <v>46.6809791</v>
      </c>
      <c r="H38" s="20" t="n">
        <v>2.1705375</v>
      </c>
      <c r="I38" s="18" t="s">
        <v>567</v>
      </c>
      <c r="J38" s="20" t="s">
        <v>567</v>
      </c>
      <c r="K38" s="18" t="n">
        <v>2.35219025</v>
      </c>
      <c r="L38" s="20" t="n">
        <v>0.61984956</v>
      </c>
      <c r="M38" s="18" t="n">
        <v>0</v>
      </c>
      <c r="N38" s="20" t="n">
        <v>0</v>
      </c>
      <c r="O38" s="18" t="n">
        <v>0</v>
      </c>
      <c r="P38" s="20" t="n">
        <v>0</v>
      </c>
      <c r="Q38" s="18" t="n">
        <v>16.77395301</v>
      </c>
      <c r="R38" s="20" t="n">
        <v>1.60088574</v>
      </c>
    </row>
    <row r="39" spans="1:18">
      <c r="A39" s="15" t="s">
        <v>599</v>
      </c>
      <c r="B39" s="17" t="n">
        <v>2957</v>
      </c>
      <c r="C39" s="18">
        <f>(2264.0/B39*100)</f>
        <v/>
      </c>
      <c r="D39" s="19" t="n">
        <v>693</v>
      </c>
      <c r="E39" s="18" t="n">
        <v>51.63541807</v>
      </c>
      <c r="F39" s="20" t="n">
        <v>2.44128223</v>
      </c>
      <c r="G39" s="18" t="n">
        <v>20.38917649</v>
      </c>
      <c r="H39" s="20" t="n">
        <v>1.84021847</v>
      </c>
      <c r="I39" s="18" t="s">
        <v>567</v>
      </c>
      <c r="J39" s="20" t="s">
        <v>567</v>
      </c>
      <c r="K39" s="18" t="n">
        <v>0.66822765</v>
      </c>
      <c r="L39" s="20" t="n">
        <v>0.27824828</v>
      </c>
      <c r="M39" s="18" t="n">
        <v>0</v>
      </c>
      <c r="N39" s="20" t="n">
        <v>0</v>
      </c>
      <c r="O39" s="18" t="n">
        <v>0</v>
      </c>
      <c r="P39" s="20" t="n">
        <v>0</v>
      </c>
      <c r="Q39" s="18" t="n">
        <v>27.30717779</v>
      </c>
      <c r="R39" s="20" t="n">
        <v>2.0747143</v>
      </c>
    </row>
    <row r="40" spans="1:18">
      <c r="A40" s="15" t="s">
        <v>600</v>
      </c>
      <c r="B40" s="17" t="n">
        <v>7235</v>
      </c>
      <c r="C40" s="18">
        <f>(5677.0/B40*100)</f>
        <v/>
      </c>
      <c r="D40" s="19" t="n">
        <v>1558</v>
      </c>
      <c r="E40" s="18" t="n">
        <v>34.78895116</v>
      </c>
      <c r="F40" s="20" t="n">
        <v>1.63658562</v>
      </c>
      <c r="G40" s="18" t="n">
        <v>50.46799068</v>
      </c>
      <c r="H40" s="20" t="n">
        <v>1.85255447</v>
      </c>
      <c r="I40" s="18" t="s">
        <v>567</v>
      </c>
      <c r="J40" s="20" t="s">
        <v>567</v>
      </c>
      <c r="K40" s="18" t="n">
        <v>1.23924378</v>
      </c>
      <c r="L40" s="20" t="n">
        <v>0.45421387</v>
      </c>
      <c r="M40" s="18" t="n">
        <v>0</v>
      </c>
      <c r="N40" s="20" t="n">
        <v>0</v>
      </c>
      <c r="O40" s="18" t="n">
        <v>0</v>
      </c>
      <c r="P40" s="20" t="n">
        <v>0</v>
      </c>
      <c r="Q40" s="18" t="n">
        <v>13.50381437</v>
      </c>
      <c r="R40" s="20" t="n">
        <v>1.261807</v>
      </c>
    </row>
    <row r="41" spans="1:18">
      <c r="A41" s="15" t="s">
        <v>601</v>
      </c>
      <c r="B41" s="17" t="n">
        <v>2858</v>
      </c>
      <c r="C41" s="18">
        <f>(2305.0/B41*100)</f>
        <v/>
      </c>
      <c r="D41" s="19" t="n">
        <v>553</v>
      </c>
      <c r="E41" s="18" t="n">
        <v>35.00393545</v>
      </c>
      <c r="F41" s="20" t="n">
        <v>2.34645122</v>
      </c>
      <c r="G41" s="18" t="n">
        <v>40.276404</v>
      </c>
      <c r="H41" s="20" t="n">
        <v>2.53172244</v>
      </c>
      <c r="I41" s="18" t="s">
        <v>567</v>
      </c>
      <c r="J41" s="20" t="s">
        <v>567</v>
      </c>
      <c r="K41" s="18" t="n">
        <v>1.50951066</v>
      </c>
      <c r="L41" s="20" t="n">
        <v>0.64061038</v>
      </c>
      <c r="M41" s="18" t="n">
        <v>0</v>
      </c>
      <c r="N41" s="20" t="n">
        <v>0</v>
      </c>
      <c r="O41" s="18" t="n">
        <v>0</v>
      </c>
      <c r="P41" s="20" t="n">
        <v>0</v>
      </c>
      <c r="Q41" s="18" t="n">
        <v>23.21014988</v>
      </c>
      <c r="R41" s="20" t="n">
        <v>2.48387374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(9395.0/B46*100)</f>
        <v/>
      </c>
      <c r="D46" s="19" t="n">
        <v>1673</v>
      </c>
      <c r="E46" s="18" t="n">
        <v>35.7602068</v>
      </c>
      <c r="F46" s="20" t="n">
        <v>1.73589756</v>
      </c>
      <c r="G46" s="18" t="n">
        <v>22.4085359</v>
      </c>
      <c r="H46" s="20" t="n">
        <v>1.6154595</v>
      </c>
      <c r="I46" s="18" t="s">
        <v>567</v>
      </c>
      <c r="J46" s="20" t="s">
        <v>567</v>
      </c>
      <c r="K46" s="18" t="n">
        <v>3.49482254</v>
      </c>
      <c r="L46" s="20" t="n">
        <v>0.52969419</v>
      </c>
      <c r="M46" s="18" t="n">
        <v>0</v>
      </c>
      <c r="N46" s="20" t="n">
        <v>0</v>
      </c>
      <c r="O46" s="18" t="n">
        <v>0</v>
      </c>
      <c r="P46" s="20" t="n">
        <v>0</v>
      </c>
      <c r="Q46" s="18" t="n">
        <v>38.33643477</v>
      </c>
      <c r="R46" s="20" t="n">
        <v>2.10632058</v>
      </c>
    </row>
    <row r="47" spans="1:18">
      <c r="A47" s="15" t="s">
        <v>607</v>
      </c>
      <c r="B47" s="17" t="n">
        <v>3105</v>
      </c>
      <c r="C47" s="18">
        <f>(2409.0/B47*100)</f>
        <v/>
      </c>
      <c r="D47" s="19" t="n">
        <v>696</v>
      </c>
      <c r="E47" s="18" t="n">
        <v>37.00591979</v>
      </c>
      <c r="F47" s="20" t="n">
        <v>1.64426855</v>
      </c>
      <c r="G47" s="18" t="n">
        <v>29.35582349</v>
      </c>
      <c r="H47" s="20" t="n">
        <v>2.01073661</v>
      </c>
      <c r="I47" s="18" t="s">
        <v>567</v>
      </c>
      <c r="J47" s="20" t="s">
        <v>567</v>
      </c>
      <c r="K47" s="18" t="n">
        <v>1.94792541</v>
      </c>
      <c r="L47" s="20" t="n">
        <v>0.50365114</v>
      </c>
      <c r="M47" s="18" t="n">
        <v>0</v>
      </c>
      <c r="N47" s="20" t="n">
        <v>0</v>
      </c>
      <c r="O47" s="18" t="n">
        <v>0</v>
      </c>
      <c r="P47" s="20" t="n">
        <v>0</v>
      </c>
      <c r="Q47" s="18" t="n">
        <v>31.69033131</v>
      </c>
      <c r="R47" s="20" t="n">
        <v>2.04153109</v>
      </c>
    </row>
    <row r="48" spans="1:18">
      <c r="A48" s="15" t="s">
        <v>608</v>
      </c>
      <c r="B48" s="17" t="n">
        <v>5159</v>
      </c>
      <c r="C48" s="18">
        <f>(4048.0/B48*100)</f>
        <v/>
      </c>
      <c r="D48" s="19" t="n">
        <v>1111</v>
      </c>
      <c r="E48" s="18" t="n">
        <v>29.6632438</v>
      </c>
      <c r="F48" s="20" t="n">
        <v>1.82212583</v>
      </c>
      <c r="G48" s="18" t="n">
        <v>33.11151393</v>
      </c>
      <c r="H48" s="20" t="n">
        <v>1.77345927</v>
      </c>
      <c r="I48" s="18" t="s">
        <v>567</v>
      </c>
      <c r="J48" s="20" t="s">
        <v>567</v>
      </c>
      <c r="K48" s="18" t="n">
        <v>1.04858923</v>
      </c>
      <c r="L48" s="20" t="n">
        <v>0.30399471</v>
      </c>
      <c r="M48" s="18" t="n">
        <v>0</v>
      </c>
      <c r="N48" s="20" t="n">
        <v>0</v>
      </c>
      <c r="O48" s="18" t="n">
        <v>0</v>
      </c>
      <c r="P48" s="20" t="n">
        <v>0</v>
      </c>
      <c r="Q48" s="18" t="n">
        <v>36.17665304</v>
      </c>
      <c r="R48" s="20" t="n">
        <v>1.92284352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(4435.0/B50*100)</f>
        <v/>
      </c>
      <c r="D50" s="19" t="n">
        <v>1202</v>
      </c>
      <c r="E50" s="18" t="n">
        <v>40.170106</v>
      </c>
      <c r="F50" s="20" t="n">
        <v>2.06488218</v>
      </c>
      <c r="G50" s="18" t="n">
        <v>20.31613434</v>
      </c>
      <c r="H50" s="20" t="n">
        <v>1.60627926</v>
      </c>
      <c r="I50" s="18" t="s">
        <v>567</v>
      </c>
      <c r="J50" s="20" t="s">
        <v>567</v>
      </c>
      <c r="K50" s="18" t="n">
        <v>4.61127786</v>
      </c>
      <c r="L50" s="20" t="n">
        <v>0.97088992</v>
      </c>
      <c r="M50" s="18" t="n">
        <v>0</v>
      </c>
      <c r="N50" s="20" t="n">
        <v>0</v>
      </c>
      <c r="O50" s="18" t="n">
        <v>0</v>
      </c>
      <c r="P50" s="20" t="n">
        <v>0</v>
      </c>
      <c r="Q50" s="18" t="n">
        <v>34.90248179</v>
      </c>
      <c r="R50" s="20" t="n">
        <v>2.39172976</v>
      </c>
    </row>
    <row r="51" spans="1:18">
      <c r="A51" s="15" t="s">
        <v>611</v>
      </c>
      <c r="B51" s="17" t="n">
        <v>3372</v>
      </c>
      <c r="C51" s="18">
        <f>(2785.0/B51*100)</f>
        <v/>
      </c>
      <c r="D51" s="19" t="n">
        <v>587</v>
      </c>
      <c r="E51" s="18" t="n">
        <v>43.01666768</v>
      </c>
      <c r="F51" s="20" t="n">
        <v>2.48173921</v>
      </c>
      <c r="G51" s="18" t="n">
        <v>20.62232445</v>
      </c>
      <c r="H51" s="20" t="n">
        <v>1.8781922</v>
      </c>
      <c r="I51" s="18" t="s">
        <v>567</v>
      </c>
      <c r="J51" s="20" t="s">
        <v>567</v>
      </c>
      <c r="K51" s="18" t="n">
        <v>1.67877338</v>
      </c>
      <c r="L51" s="20" t="n">
        <v>0.48893871</v>
      </c>
      <c r="M51" s="18" t="n">
        <v>0</v>
      </c>
      <c r="N51" s="20" t="n">
        <v>0</v>
      </c>
      <c r="O51" s="18" t="n">
        <v>0</v>
      </c>
      <c r="P51" s="20" t="n">
        <v>0</v>
      </c>
      <c r="Q51" s="18" t="n">
        <v>34.6822345</v>
      </c>
      <c r="R51" s="20" t="n">
        <v>2.3450403</v>
      </c>
    </row>
    <row r="52" spans="1:18">
      <c r="A52" s="15" t="s">
        <v>612</v>
      </c>
      <c r="B52" s="17" t="n">
        <v>2796</v>
      </c>
      <c r="C52" s="18">
        <f>(2216.0/B52*100)</f>
        <v/>
      </c>
      <c r="D52" s="19" t="n">
        <v>580</v>
      </c>
      <c r="E52" s="18" t="n">
        <v>45.22267057</v>
      </c>
      <c r="F52" s="20" t="n">
        <v>2.47858589</v>
      </c>
      <c r="G52" s="18" t="n">
        <v>33.54744306</v>
      </c>
      <c r="H52" s="20" t="n">
        <v>2.17922156</v>
      </c>
      <c r="I52" s="18" t="s">
        <v>567</v>
      </c>
      <c r="J52" s="20" t="s">
        <v>567</v>
      </c>
      <c r="K52" s="18" t="n">
        <v>0.8624567400000001</v>
      </c>
      <c r="L52" s="20" t="n">
        <v>0.35477347</v>
      </c>
      <c r="M52" s="18" t="n">
        <v>0</v>
      </c>
      <c r="N52" s="20" t="n">
        <v>0</v>
      </c>
      <c r="O52" s="18" t="n">
        <v>0</v>
      </c>
      <c r="P52" s="20" t="n">
        <v>0</v>
      </c>
      <c r="Q52" s="18" t="n">
        <v>20.36742963</v>
      </c>
      <c r="R52" s="20" t="n">
        <v>2.12247217</v>
      </c>
    </row>
    <row r="53" spans="1:18">
      <c r="A53" s="15" t="s">
        <v>613</v>
      </c>
      <c r="B53" s="17" t="n">
        <v>2811</v>
      </c>
      <c r="C53" s="18">
        <f>(2178.0/B53*100)</f>
        <v/>
      </c>
      <c r="D53" s="19" t="n">
        <v>633</v>
      </c>
      <c r="E53" s="18" t="n">
        <v>41.63982165</v>
      </c>
      <c r="F53" s="20" t="n">
        <v>2.05894539</v>
      </c>
      <c r="G53" s="18" t="n">
        <v>30.73212895</v>
      </c>
      <c r="H53" s="20" t="n">
        <v>1.95649749</v>
      </c>
      <c r="I53" s="18" t="s">
        <v>567</v>
      </c>
      <c r="J53" s="20" t="s">
        <v>567</v>
      </c>
      <c r="K53" s="18" t="n">
        <v>1.39318974</v>
      </c>
      <c r="L53" s="20" t="n">
        <v>0.41845404</v>
      </c>
      <c r="M53" s="18" t="n">
        <v>0</v>
      </c>
      <c r="N53" s="20" t="n">
        <v>0</v>
      </c>
      <c r="O53" s="18" t="n">
        <v>0</v>
      </c>
      <c r="P53" s="20" t="n">
        <v>0</v>
      </c>
      <c r="Q53" s="18" t="n">
        <v>26.23485966</v>
      </c>
      <c r="R53" s="20" t="n">
        <v>2.09007128</v>
      </c>
    </row>
    <row r="54" spans="1:18">
      <c r="A54" s="15" t="s">
        <v>614</v>
      </c>
      <c r="B54" s="17" t="n">
        <v>2266</v>
      </c>
      <c r="C54" s="18">
        <f>(1765.0/B54*100)</f>
        <v/>
      </c>
      <c r="D54" s="19" t="n">
        <v>501</v>
      </c>
      <c r="E54" s="18" t="n">
        <v>26.86815238</v>
      </c>
      <c r="F54" s="20" t="n">
        <v>2.22731072</v>
      </c>
      <c r="G54" s="18" t="n">
        <v>8.053121409999999</v>
      </c>
      <c r="H54" s="20" t="n">
        <v>1.25944313</v>
      </c>
      <c r="I54" s="18" t="s">
        <v>567</v>
      </c>
      <c r="J54" s="20" t="s">
        <v>567</v>
      </c>
      <c r="K54" s="18" t="n">
        <v>19.70448874</v>
      </c>
      <c r="L54" s="20" t="n">
        <v>1.92452604</v>
      </c>
      <c r="M54" s="18" t="n">
        <v>0</v>
      </c>
      <c r="N54" s="20" t="n">
        <v>0</v>
      </c>
      <c r="O54" s="18" t="n">
        <v>0</v>
      </c>
      <c r="P54" s="20" t="n">
        <v>0</v>
      </c>
      <c r="Q54" s="18" t="n">
        <v>45.37423747</v>
      </c>
      <c r="R54" s="20" t="n">
        <v>2.60102662</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(2121.0/B56*100)</f>
        <v/>
      </c>
      <c r="D56" s="19" t="n">
        <v>563</v>
      </c>
      <c r="E56" s="18" t="n">
        <v>25.83050787</v>
      </c>
      <c r="F56" s="20" t="n">
        <v>1.92239658</v>
      </c>
      <c r="G56" s="18" t="n">
        <v>57.66936846</v>
      </c>
      <c r="H56" s="20" t="n">
        <v>2.22770186</v>
      </c>
      <c r="I56" s="18" t="s">
        <v>567</v>
      </c>
      <c r="J56" s="20" t="s">
        <v>567</v>
      </c>
      <c r="K56" s="18" t="n">
        <v>0.68593488</v>
      </c>
      <c r="L56" s="20" t="n">
        <v>0.42893651</v>
      </c>
      <c r="M56" s="18" t="n">
        <v>0</v>
      </c>
      <c r="N56" s="20" t="n">
        <v>0</v>
      </c>
      <c r="O56" s="18" t="n">
        <v>0</v>
      </c>
      <c r="P56" s="20" t="n">
        <v>0</v>
      </c>
      <c r="Q56" s="18" t="n">
        <v>15.81418879</v>
      </c>
      <c r="R56" s="20" t="n">
        <v>1.56936596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(2602.0/B61*100)</f>
        <v/>
      </c>
      <c r="D61" s="19" t="n">
        <v>722</v>
      </c>
      <c r="E61" s="18" t="n">
        <v>42.84136214</v>
      </c>
      <c r="F61" s="20" t="n">
        <v>2.25510529</v>
      </c>
      <c r="G61" s="18" t="n">
        <v>34.03587917</v>
      </c>
      <c r="H61" s="20" t="n">
        <v>2.16450767</v>
      </c>
      <c r="I61" s="18" t="s">
        <v>567</v>
      </c>
      <c r="J61" s="20" t="s">
        <v>567</v>
      </c>
      <c r="K61" s="18" t="n">
        <v>0.69788746</v>
      </c>
      <c r="L61" s="20" t="n">
        <v>0.35693165</v>
      </c>
      <c r="M61" s="18" t="n">
        <v>0</v>
      </c>
      <c r="N61" s="20" t="n">
        <v>0</v>
      </c>
      <c r="O61" s="18" t="n">
        <v>0</v>
      </c>
      <c r="P61" s="20" t="n">
        <v>0</v>
      </c>
      <c r="Q61" s="18" t="n">
        <v>22.42487123</v>
      </c>
      <c r="R61" s="20" t="n">
        <v>1.87279727</v>
      </c>
    </row>
    <row r="62" spans="1:18">
      <c r="A62" s="15" t="s">
        <v>622</v>
      </c>
      <c r="B62" s="17" t="n">
        <v>2246</v>
      </c>
      <c r="C62" s="18">
        <f>(1745.0/B62*100)</f>
        <v/>
      </c>
      <c r="D62" s="19" t="n">
        <v>501</v>
      </c>
      <c r="E62" s="18" t="n">
        <v>27.34933527</v>
      </c>
      <c r="F62" s="20" t="n">
        <v>1.85657141</v>
      </c>
      <c r="G62" s="18" t="n">
        <v>58.24311694</v>
      </c>
      <c r="H62" s="20" t="n">
        <v>2.20482594</v>
      </c>
      <c r="I62" s="18" t="s">
        <v>567</v>
      </c>
      <c r="J62" s="20" t="s">
        <v>567</v>
      </c>
      <c r="K62" s="18" t="n">
        <v>0.40758667</v>
      </c>
      <c r="L62" s="20" t="n">
        <v>0.24990195</v>
      </c>
      <c r="M62" s="18" t="n">
        <v>0</v>
      </c>
      <c r="N62" s="20" t="n">
        <v>0</v>
      </c>
      <c r="O62" s="18" t="n">
        <v>0</v>
      </c>
      <c r="P62" s="20" t="n">
        <v>0</v>
      </c>
      <c r="Q62" s="18" t="n">
        <v>13.99996112</v>
      </c>
      <c r="R62" s="20" t="n">
        <v>1.59805226</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(2275.0/B66*100)</f>
        <v/>
      </c>
      <c r="D66" s="19" t="n">
        <v>619</v>
      </c>
      <c r="E66" s="18" t="n">
        <v>37.31231735</v>
      </c>
      <c r="F66" s="20" t="n">
        <v>1.95574908</v>
      </c>
      <c r="G66" s="18" t="n">
        <v>22.68509372</v>
      </c>
      <c r="H66" s="20" t="n">
        <v>1.70491658</v>
      </c>
      <c r="I66" s="18" t="s">
        <v>567</v>
      </c>
      <c r="J66" s="20" t="s">
        <v>567</v>
      </c>
      <c r="K66" s="18" t="n">
        <v>4.82516121</v>
      </c>
      <c r="L66" s="20" t="n">
        <v>0.96043189</v>
      </c>
      <c r="M66" s="18" t="n">
        <v>0</v>
      </c>
      <c r="N66" s="20" t="n">
        <v>0</v>
      </c>
      <c r="O66" s="18" t="n">
        <v>0</v>
      </c>
      <c r="P66" s="20" t="n">
        <v>0</v>
      </c>
      <c r="Q66" s="18" t="n">
        <v>35.17742773</v>
      </c>
      <c r="R66" s="20" t="n">
        <v>1.90150379</v>
      </c>
    </row>
    <row r="67" spans="1:18">
      <c r="A67" s="15" t="s">
        <v>627</v>
      </c>
      <c r="B67" s="17" t="n">
        <v>3511</v>
      </c>
      <c r="C67" s="18">
        <f>(2865.0/B67*100)</f>
        <v/>
      </c>
      <c r="D67" s="19" t="n">
        <v>646</v>
      </c>
      <c r="E67" s="18" t="n">
        <v>47.81814094</v>
      </c>
      <c r="F67" s="20" t="n">
        <v>2.14018271</v>
      </c>
      <c r="G67" s="18" t="n">
        <v>18.12321206</v>
      </c>
      <c r="H67" s="20" t="n">
        <v>1.65135364</v>
      </c>
      <c r="I67" s="18" t="s">
        <v>567</v>
      </c>
      <c r="J67" s="20" t="s">
        <v>567</v>
      </c>
      <c r="K67" s="18" t="n">
        <v>1.2283225</v>
      </c>
      <c r="L67" s="20" t="n">
        <v>0.5410070300000001</v>
      </c>
      <c r="M67" s="18" t="n">
        <v>0</v>
      </c>
      <c r="N67" s="20" t="n">
        <v>0</v>
      </c>
      <c r="O67" s="18" t="n">
        <v>0</v>
      </c>
      <c r="P67" s="20" t="n">
        <v>0</v>
      </c>
      <c r="Q67" s="18" t="n">
        <v>32.83032451</v>
      </c>
      <c r="R67" s="20" t="n">
        <v>1.78769737</v>
      </c>
    </row>
    <row r="68" spans="1:18">
      <c r="A68" s="15" t="s">
        <v>628</v>
      </c>
      <c r="B68" s="17" t="n">
        <v>6049</v>
      </c>
      <c r="C68" s="18">
        <f>(4700.0/B68*100)</f>
        <v/>
      </c>
      <c r="D68" s="19" t="n">
        <v>1349</v>
      </c>
      <c r="E68" s="18" t="n">
        <v>45.17384217</v>
      </c>
      <c r="F68" s="20" t="n">
        <v>1.32902255</v>
      </c>
      <c r="G68" s="18" t="n">
        <v>24.24956104</v>
      </c>
      <c r="H68" s="20" t="n">
        <v>1.14538296</v>
      </c>
      <c r="I68" s="18" t="s">
        <v>567</v>
      </c>
      <c r="J68" s="20" t="s">
        <v>567</v>
      </c>
      <c r="K68" s="18" t="n">
        <v>6.66038853</v>
      </c>
      <c r="L68" s="20" t="n">
        <v>0.7061269</v>
      </c>
      <c r="M68" s="18" t="n">
        <v>0</v>
      </c>
      <c r="N68" s="20" t="n">
        <v>0</v>
      </c>
      <c r="O68" s="18" t="n">
        <v>0</v>
      </c>
      <c r="P68" s="20" t="n">
        <v>0</v>
      </c>
      <c r="Q68" s="18" t="n">
        <v>23.91620825</v>
      </c>
      <c r="R68" s="20" t="n">
        <v>1.09589285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(2315.0/B70*100)</f>
        <v/>
      </c>
      <c r="D70" s="19" t="n">
        <v>614</v>
      </c>
      <c r="E70" s="18" t="n">
        <v>43.57370567</v>
      </c>
      <c r="F70" s="20" t="n">
        <v>2.67616415</v>
      </c>
      <c r="G70" s="18" t="n">
        <v>31.05626161</v>
      </c>
      <c r="H70" s="20" t="n">
        <v>2.50677353</v>
      </c>
      <c r="I70" s="18" t="s">
        <v>567</v>
      </c>
      <c r="J70" s="20" t="s">
        <v>567</v>
      </c>
      <c r="K70" s="18" t="n">
        <v>1.8150968</v>
      </c>
      <c r="L70" s="20" t="n">
        <v>0.55591802</v>
      </c>
      <c r="M70" s="18" t="n">
        <v>0</v>
      </c>
      <c r="N70" s="20" t="n">
        <v>0</v>
      </c>
      <c r="O70" s="18" t="n">
        <v>0</v>
      </c>
      <c r="P70" s="20" t="n">
        <v>0</v>
      </c>
      <c r="Q70" s="18" t="n">
        <v>23.55493592</v>
      </c>
      <c r="R70" s="20" t="n">
        <v>1.91005053</v>
      </c>
    </row>
    <row r="71" spans="1:18">
      <c r="A71" s="15" t="s">
        <v>631</v>
      </c>
      <c r="B71" s="17" t="n">
        <v>3142</v>
      </c>
      <c r="C71" s="18">
        <f>(2449.0/B71*100)</f>
        <v/>
      </c>
      <c r="D71" s="19" t="n">
        <v>693</v>
      </c>
      <c r="E71" s="18" t="n">
        <v>23.24757116</v>
      </c>
      <c r="F71" s="20" t="n">
        <v>1.57175486</v>
      </c>
      <c r="G71" s="18" t="n">
        <v>59.19671726</v>
      </c>
      <c r="H71" s="20" t="n">
        <v>1.95254372</v>
      </c>
      <c r="I71" s="18" t="s">
        <v>567</v>
      </c>
      <c r="J71" s="20" t="s">
        <v>567</v>
      </c>
      <c r="K71" s="18" t="n">
        <v>1.15686176</v>
      </c>
      <c r="L71" s="20" t="n">
        <v>0.40955931</v>
      </c>
      <c r="M71" s="18" t="n">
        <v>0</v>
      </c>
      <c r="N71" s="20" t="n">
        <v>0</v>
      </c>
      <c r="O71" s="18" t="n">
        <v>0</v>
      </c>
      <c r="P71" s="20" t="n">
        <v>0</v>
      </c>
      <c r="Q71" s="18" t="n">
        <v>16.39884983</v>
      </c>
      <c r="R71" s="20" t="n">
        <v>1.44873149</v>
      </c>
    </row>
    <row r="72" spans="1:18">
      <c r="A72" s="15" t="s">
        <v>632</v>
      </c>
      <c r="B72" s="17" t="n">
        <v>3889</v>
      </c>
      <c r="C72" s="18">
        <f>(3054.0/B72*100)</f>
        <v/>
      </c>
      <c r="D72" s="19" t="n">
        <v>835</v>
      </c>
      <c r="E72" s="18" t="n">
        <v>33.94616745</v>
      </c>
      <c r="F72" s="20" t="n">
        <v>1.72652493</v>
      </c>
      <c r="G72" s="18" t="n">
        <v>44.09517094</v>
      </c>
      <c r="H72" s="20" t="n">
        <v>1.65389398</v>
      </c>
      <c r="I72" s="18" t="s">
        <v>567</v>
      </c>
      <c r="J72" s="20" t="s">
        <v>567</v>
      </c>
      <c r="K72" s="18" t="n">
        <v>0.66527604</v>
      </c>
      <c r="L72" s="20" t="n">
        <v>0.27526918</v>
      </c>
      <c r="M72" s="18" t="n">
        <v>0</v>
      </c>
      <c r="N72" s="20" t="n">
        <v>0</v>
      </c>
      <c r="O72" s="18" t="n">
        <v>0</v>
      </c>
      <c r="P72" s="20" t="n">
        <v>0</v>
      </c>
      <c r="Q72" s="18" t="n">
        <v>21.29338556</v>
      </c>
      <c r="R72" s="20" t="n">
        <v>1.56463903</v>
      </c>
    </row>
    <row r="73" spans="1:18">
      <c r="A73" s="15" t="s">
        <v>633</v>
      </c>
      <c r="B73" s="17" t="n">
        <v>3597</v>
      </c>
      <c r="C73" s="18">
        <f>(2868.0/B73*100)</f>
        <v/>
      </c>
      <c r="D73" s="19" t="n">
        <v>729</v>
      </c>
      <c r="E73" s="18" t="n">
        <v>42.53010474</v>
      </c>
      <c r="F73" s="20" t="n">
        <v>2.00003495</v>
      </c>
      <c r="G73" s="18" t="n">
        <v>18.32337361</v>
      </c>
      <c r="H73" s="20" t="n">
        <v>1.71455764</v>
      </c>
      <c r="I73" s="18" t="s">
        <v>567</v>
      </c>
      <c r="J73" s="20" t="s">
        <v>567</v>
      </c>
      <c r="K73" s="18" t="n">
        <v>0.07507046000000001</v>
      </c>
      <c r="L73" s="20" t="n">
        <v>0.07377087</v>
      </c>
      <c r="M73" s="18" t="n">
        <v>0</v>
      </c>
      <c r="N73" s="20" t="n">
        <v>0</v>
      </c>
      <c r="O73" s="18" t="n">
        <v>0</v>
      </c>
      <c r="P73" s="20" t="n">
        <v>0</v>
      </c>
      <c r="Q73" s="18" t="n">
        <v>39.07145118</v>
      </c>
      <c r="R73" s="20" t="n">
        <v>2.04176332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(1946.0/B75*100)</f>
        <v/>
      </c>
      <c r="D75" s="19" t="n">
        <v>460</v>
      </c>
      <c r="E75" s="18" t="n">
        <v>38.78857383</v>
      </c>
      <c r="F75" s="20" t="n">
        <v>2.26053054</v>
      </c>
      <c r="G75" s="18" t="n">
        <v>17.03818168</v>
      </c>
      <c r="H75" s="20" t="n">
        <v>1.90306974</v>
      </c>
      <c r="I75" s="18" t="s">
        <v>567</v>
      </c>
      <c r="J75" s="20" t="s">
        <v>567</v>
      </c>
      <c r="K75" s="18" t="n">
        <v>5.78649407</v>
      </c>
      <c r="L75" s="20" t="n">
        <v>1.17232244</v>
      </c>
      <c r="M75" s="18" t="n">
        <v>0</v>
      </c>
      <c r="N75" s="20" t="n">
        <v>0</v>
      </c>
      <c r="O75" s="18" t="n">
        <v>0</v>
      </c>
      <c r="P75" s="20" t="n">
        <v>0</v>
      </c>
      <c r="Q75" s="18" t="n">
        <v>38.38675042</v>
      </c>
      <c r="R75" s="20" t="n">
        <v>2.12057325</v>
      </c>
    </row>
    <row r="76" spans="1:18">
      <c r="A76" s="15" t="s">
        <v>636</v>
      </c>
      <c r="B76" s="17" t="n">
        <v>7052</v>
      </c>
      <c r="C76" s="18">
        <f>(5559.0/B76*100)</f>
        <v/>
      </c>
      <c r="D76" s="19" t="n">
        <v>1493</v>
      </c>
      <c r="E76" s="18" t="n">
        <v>38.73572816</v>
      </c>
      <c r="F76" s="20" t="n">
        <v>1.30368714</v>
      </c>
      <c r="G76" s="18" t="n">
        <v>29.45057072</v>
      </c>
      <c r="H76" s="20" t="n">
        <v>1.61883911</v>
      </c>
      <c r="I76" s="18" t="s">
        <v>567</v>
      </c>
      <c r="J76" s="20" t="s">
        <v>567</v>
      </c>
      <c r="K76" s="18" t="n">
        <v>3.06430011</v>
      </c>
      <c r="L76" s="20" t="n">
        <v>0.56163511</v>
      </c>
      <c r="M76" s="18" t="n">
        <v>0</v>
      </c>
      <c r="N76" s="20" t="n">
        <v>0</v>
      </c>
      <c r="O76" s="18" t="n">
        <v>0</v>
      </c>
      <c r="P76" s="20" t="n">
        <v>0</v>
      </c>
      <c r="Q76" s="18" t="n">
        <v>28.74940102</v>
      </c>
      <c r="R76" s="20" t="n">
        <v>1.58942968</v>
      </c>
    </row>
    <row r="77" spans="1:18">
      <c r="A77" s="15" t="s">
        <v>637</v>
      </c>
      <c r="B77" s="17" t="n">
        <v>2908</v>
      </c>
      <c r="C77" s="18">
        <f>(2292.0/B77*100)</f>
        <v/>
      </c>
      <c r="D77" s="19" t="n">
        <v>616</v>
      </c>
      <c r="E77" s="18" t="n">
        <v>41.16234914</v>
      </c>
      <c r="F77" s="20" t="n">
        <v>2.26310599</v>
      </c>
      <c r="G77" s="18" t="n">
        <v>22.82157773</v>
      </c>
      <c r="H77" s="20" t="n">
        <v>1.95661555</v>
      </c>
      <c r="I77" s="18" t="s">
        <v>567</v>
      </c>
      <c r="J77" s="20" t="s">
        <v>567</v>
      </c>
      <c r="K77" s="18" t="n">
        <v>3.70781896</v>
      </c>
      <c r="L77" s="20" t="n">
        <v>0.92173734</v>
      </c>
      <c r="M77" s="18" t="n">
        <v>0</v>
      </c>
      <c r="N77" s="20" t="n">
        <v>0</v>
      </c>
      <c r="O77" s="18" t="n">
        <v>0</v>
      </c>
      <c r="P77" s="20" t="n">
        <v>0</v>
      </c>
      <c r="Q77" s="18" t="n">
        <v>32.30825417</v>
      </c>
      <c r="R77" s="20" t="n">
        <v>2.09343436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(3247.0/B81*100)</f>
        <v/>
      </c>
      <c r="D81" s="19" t="n">
        <v>916</v>
      </c>
      <c r="E81" s="18" t="n">
        <v>37.80929569</v>
      </c>
      <c r="F81" s="20" t="n">
        <v>1.72622963</v>
      </c>
      <c r="G81" s="18" t="n">
        <v>32.6822626</v>
      </c>
      <c r="H81" s="20" t="n">
        <v>1.77295246</v>
      </c>
      <c r="I81" s="18" t="s">
        <v>567</v>
      </c>
      <c r="J81" s="20" t="s">
        <v>567</v>
      </c>
      <c r="K81" s="18" t="n">
        <v>1.39388549</v>
      </c>
      <c r="L81" s="20" t="n">
        <v>0.55161729</v>
      </c>
      <c r="M81" s="18" t="n">
        <v>0</v>
      </c>
      <c r="N81" s="20" t="n">
        <v>0</v>
      </c>
      <c r="O81" s="18" t="n">
        <v>0</v>
      </c>
      <c r="P81" s="20" t="n">
        <v>0</v>
      </c>
      <c r="Q81" s="18" t="n">
        <v>28.11455623</v>
      </c>
      <c r="R81" s="20" t="n">
        <v>1.60955381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(5868.0/B7*100)</f>
        <v/>
      </c>
      <c r="D7" s="19" t="n">
        <v>1499</v>
      </c>
      <c r="E7" s="18" t="n">
        <v>59.83450714</v>
      </c>
      <c r="F7" s="20" t="n">
        <v>1.67257476</v>
      </c>
      <c r="G7" s="18" t="n">
        <v>37.69156695</v>
      </c>
      <c r="H7" s="20" t="n">
        <v>1.61179367</v>
      </c>
      <c r="I7" s="18" t="s">
        <v>567</v>
      </c>
      <c r="J7" s="20" t="s">
        <v>567</v>
      </c>
      <c r="K7" s="18" t="n">
        <v>1.50149086</v>
      </c>
      <c r="L7" s="20" t="n">
        <v>0.40456354</v>
      </c>
      <c r="M7" s="18" t="n">
        <v>0</v>
      </c>
      <c r="N7" s="20" t="n">
        <v>0</v>
      </c>
      <c r="O7" s="18" t="n">
        <v>0</v>
      </c>
      <c r="P7" s="20" t="n">
        <v>0</v>
      </c>
      <c r="Q7" s="18" t="n">
        <v>0.97243505</v>
      </c>
      <c r="R7" s="20" t="n">
        <v>0.3724707</v>
      </c>
    </row>
    <row r="8" spans="1:18">
      <c r="A8" s="15" t="s">
        <v>568</v>
      </c>
      <c r="B8" s="17" t="n">
        <v>3564</v>
      </c>
      <c r="C8" s="18">
        <f>(2781.0/B8*100)</f>
        <v/>
      </c>
      <c r="D8" s="19" t="n">
        <v>783</v>
      </c>
      <c r="E8" s="18" t="n">
        <v>53.31365818</v>
      </c>
      <c r="F8" s="20" t="n">
        <v>1.86578466</v>
      </c>
      <c r="G8" s="18" t="n">
        <v>44.22120829</v>
      </c>
      <c r="H8" s="20" t="n">
        <v>1.91245863</v>
      </c>
      <c r="I8" s="18" t="s">
        <v>567</v>
      </c>
      <c r="J8" s="20" t="s">
        <v>567</v>
      </c>
      <c r="K8" s="18" t="n">
        <v>1.76536348</v>
      </c>
      <c r="L8" s="20" t="n">
        <v>0.49293606</v>
      </c>
      <c r="M8" s="18" t="n">
        <v>0</v>
      </c>
      <c r="N8" s="20" t="n">
        <v>0</v>
      </c>
      <c r="O8" s="18" t="n">
        <v>0</v>
      </c>
      <c r="P8" s="20" t="n">
        <v>0</v>
      </c>
      <c r="Q8" s="18" t="n">
        <v>0.69977005</v>
      </c>
      <c r="R8" s="20" t="n">
        <v>0.27576237</v>
      </c>
    </row>
    <row r="9" spans="1:18">
      <c r="A9" s="15" t="s">
        <v>569</v>
      </c>
      <c r="B9" s="17" t="n">
        <v>4899</v>
      </c>
      <c r="C9" s="18">
        <f>(3935.0/B9*100)</f>
        <v/>
      </c>
      <c r="D9" s="19" t="n">
        <v>964</v>
      </c>
      <c r="E9" s="18" t="n">
        <v>63.93140198</v>
      </c>
      <c r="F9" s="20" t="n">
        <v>1.58131338</v>
      </c>
      <c r="G9" s="18" t="n">
        <v>33.30654061</v>
      </c>
      <c r="H9" s="20" t="n">
        <v>1.44496891</v>
      </c>
      <c r="I9" s="18" t="s">
        <v>567</v>
      </c>
      <c r="J9" s="20" t="s">
        <v>567</v>
      </c>
      <c r="K9" s="18" t="n">
        <v>1.82746503</v>
      </c>
      <c r="L9" s="20" t="n">
        <v>0.46479994</v>
      </c>
      <c r="M9" s="18" t="n">
        <v>0</v>
      </c>
      <c r="N9" s="20" t="n">
        <v>0</v>
      </c>
      <c r="O9" s="18" t="n">
        <v>0</v>
      </c>
      <c r="P9" s="20" t="n">
        <v>0</v>
      </c>
      <c r="Q9" s="18" t="n">
        <v>0.93459238</v>
      </c>
      <c r="R9" s="20" t="n">
        <v>0.31980114</v>
      </c>
    </row>
    <row r="10" spans="1:18">
      <c r="A10" s="15" t="s">
        <v>570</v>
      </c>
      <c r="B10" s="17" t="n">
        <v>10036</v>
      </c>
      <c r="C10" s="18">
        <f>(7850.0/B10*100)</f>
        <v/>
      </c>
      <c r="D10" s="19" t="n">
        <v>2186</v>
      </c>
      <c r="E10" s="18" t="n">
        <v>55.4415027</v>
      </c>
      <c r="F10" s="20" t="n">
        <v>1.55683869</v>
      </c>
      <c r="G10" s="18" t="n">
        <v>42.4153005</v>
      </c>
      <c r="H10" s="20" t="n">
        <v>1.54150589</v>
      </c>
      <c r="I10" s="18" t="s">
        <v>567</v>
      </c>
      <c r="J10" s="20" t="s">
        <v>567</v>
      </c>
      <c r="K10" s="18" t="n">
        <v>1.69965022</v>
      </c>
      <c r="L10" s="20" t="n">
        <v>0.40568764</v>
      </c>
      <c r="M10" s="18" t="n">
        <v>0</v>
      </c>
      <c r="N10" s="20" t="n">
        <v>0</v>
      </c>
      <c r="O10" s="18" t="n">
        <v>0</v>
      </c>
      <c r="P10" s="20" t="n">
        <v>0</v>
      </c>
      <c r="Q10" s="18" t="n">
        <v>0.44354658</v>
      </c>
      <c r="R10" s="20" t="n">
        <v>0.20257353</v>
      </c>
    </row>
    <row r="11" spans="1:18">
      <c r="A11" s="15" t="s">
        <v>571</v>
      </c>
      <c r="B11" s="17" t="n">
        <v>3553</v>
      </c>
      <c r="C11" s="18">
        <f>(2813.0/B11*100)</f>
        <v/>
      </c>
      <c r="D11" s="19" t="n">
        <v>740</v>
      </c>
      <c r="E11" s="18" t="n">
        <v>77.09757482000001</v>
      </c>
      <c r="F11" s="20" t="n">
        <v>1.68607675</v>
      </c>
      <c r="G11" s="18" t="n">
        <v>17.41555633</v>
      </c>
      <c r="H11" s="20" t="n">
        <v>1.57979114</v>
      </c>
      <c r="I11" s="18" t="s">
        <v>567</v>
      </c>
      <c r="J11" s="20" t="s">
        <v>567</v>
      </c>
      <c r="K11" s="18" t="n">
        <v>4.29933962</v>
      </c>
      <c r="L11" s="20" t="n">
        <v>0.93132491</v>
      </c>
      <c r="M11" s="18" t="n">
        <v>0</v>
      </c>
      <c r="N11" s="20" t="n">
        <v>0</v>
      </c>
      <c r="O11" s="18" t="n">
        <v>0</v>
      </c>
      <c r="P11" s="20" t="n">
        <v>0</v>
      </c>
      <c r="Q11" s="18" t="n">
        <v>1.18752923</v>
      </c>
      <c r="R11" s="20" t="n">
        <v>0.46215904</v>
      </c>
    </row>
    <row r="12" spans="1:18">
      <c r="A12" s="15" t="s">
        <v>572</v>
      </c>
      <c r="B12" s="17" t="n">
        <v>3472</v>
      </c>
      <c r="C12" s="18">
        <f>(2743.0/B12*100)</f>
        <v/>
      </c>
      <c r="D12" s="19" t="n">
        <v>729</v>
      </c>
      <c r="E12" s="18" t="n">
        <v>62.64675106</v>
      </c>
      <c r="F12" s="20" t="n">
        <v>2.09870681</v>
      </c>
      <c r="G12" s="18" t="n">
        <v>36.0995933</v>
      </c>
      <c r="H12" s="20" t="n">
        <v>2.0233223</v>
      </c>
      <c r="I12" s="18" t="s">
        <v>567</v>
      </c>
      <c r="J12" s="20" t="s">
        <v>567</v>
      </c>
      <c r="K12" s="18" t="n">
        <v>0.80832533</v>
      </c>
      <c r="L12" s="20" t="n">
        <v>0.35129839</v>
      </c>
      <c r="M12" s="18" t="n">
        <v>0</v>
      </c>
      <c r="N12" s="20" t="n">
        <v>0</v>
      </c>
      <c r="O12" s="18" t="n">
        <v>0</v>
      </c>
      <c r="P12" s="20" t="n">
        <v>0</v>
      </c>
      <c r="Q12" s="18" t="n">
        <v>0.4453303</v>
      </c>
      <c r="R12" s="20" t="n">
        <v>0.29314487</v>
      </c>
    </row>
    <row r="13" spans="1:18">
      <c r="A13" s="15" t="s">
        <v>573</v>
      </c>
      <c r="B13" s="17" t="n">
        <v>3559</v>
      </c>
      <c r="C13" s="18">
        <f>(2855.0/B13*100)</f>
        <v/>
      </c>
      <c r="D13" s="19" t="n">
        <v>704</v>
      </c>
      <c r="E13" s="18" t="n">
        <v>56.00062427</v>
      </c>
      <c r="F13" s="20" t="n">
        <v>2.08738045</v>
      </c>
      <c r="G13" s="18" t="n">
        <v>42.57707789</v>
      </c>
      <c r="H13" s="20" t="n">
        <v>2.07856025</v>
      </c>
      <c r="I13" s="18" t="s">
        <v>567</v>
      </c>
      <c r="J13" s="20" t="s">
        <v>567</v>
      </c>
      <c r="K13" s="18" t="n">
        <v>1.3879339</v>
      </c>
      <c r="L13" s="20" t="n">
        <v>0.53909003</v>
      </c>
      <c r="M13" s="18" t="n">
        <v>0</v>
      </c>
      <c r="N13" s="20" t="n">
        <v>0</v>
      </c>
      <c r="O13" s="18" t="n">
        <v>0</v>
      </c>
      <c r="P13" s="20" t="n">
        <v>0</v>
      </c>
      <c r="Q13" s="18" t="n">
        <v>0.03436394</v>
      </c>
      <c r="R13" s="20" t="n">
        <v>0.03599453</v>
      </c>
    </row>
    <row r="14" spans="1:18">
      <c r="A14" s="15" t="s">
        <v>574</v>
      </c>
      <c r="B14" s="17" t="n">
        <v>2799</v>
      </c>
      <c r="C14" s="18">
        <f>(2166.0/B14*100)</f>
        <v/>
      </c>
      <c r="D14" s="19" t="n">
        <v>633</v>
      </c>
      <c r="E14" s="18" t="n">
        <v>48.06066473</v>
      </c>
      <c r="F14" s="20" t="n">
        <v>1.86086163</v>
      </c>
      <c r="G14" s="18" t="n">
        <v>49.41944026</v>
      </c>
      <c r="H14" s="20" t="n">
        <v>1.83338262</v>
      </c>
      <c r="I14" s="18" t="s">
        <v>567</v>
      </c>
      <c r="J14" s="20" t="s">
        <v>567</v>
      </c>
      <c r="K14" s="18" t="n">
        <v>2.28116688</v>
      </c>
      <c r="L14" s="20" t="n">
        <v>0.71964438</v>
      </c>
      <c r="M14" s="18" t="n">
        <v>0</v>
      </c>
      <c r="N14" s="20" t="n">
        <v>0</v>
      </c>
      <c r="O14" s="18" t="n">
        <v>0</v>
      </c>
      <c r="P14" s="20" t="n">
        <v>0</v>
      </c>
      <c r="Q14" s="18" t="n">
        <v>0.23872813</v>
      </c>
      <c r="R14" s="20" t="n">
        <v>0.16911627</v>
      </c>
    </row>
    <row r="15" spans="1:18">
      <c r="A15" s="15" t="s">
        <v>575</v>
      </c>
      <c r="B15" s="17" t="n">
        <v>3019</v>
      </c>
      <c r="C15" s="18">
        <f>(2338.0/B15*100)</f>
        <v/>
      </c>
      <c r="D15" s="19" t="n">
        <v>681</v>
      </c>
      <c r="E15" s="18" t="n">
        <v>50.55198044</v>
      </c>
      <c r="F15" s="20" t="n">
        <v>1.91567877</v>
      </c>
      <c r="G15" s="18" t="n">
        <v>48.15589614</v>
      </c>
      <c r="H15" s="20" t="n">
        <v>1.89687347</v>
      </c>
      <c r="I15" s="18" t="s">
        <v>567</v>
      </c>
      <c r="J15" s="20" t="s">
        <v>567</v>
      </c>
      <c r="K15" s="18" t="n">
        <v>1.1472196</v>
      </c>
      <c r="L15" s="20" t="n">
        <v>0.39640043</v>
      </c>
      <c r="M15" s="18" t="n">
        <v>0</v>
      </c>
      <c r="N15" s="20" t="n">
        <v>0</v>
      </c>
      <c r="O15" s="18" t="n">
        <v>0</v>
      </c>
      <c r="P15" s="20" t="n">
        <v>0</v>
      </c>
      <c r="Q15" s="18" t="n">
        <v>0.14490382</v>
      </c>
      <c r="R15" s="20" t="n">
        <v>0.14486959</v>
      </c>
    </row>
    <row r="16" spans="1:18">
      <c r="A16" s="15" t="s">
        <v>576</v>
      </c>
      <c r="B16" s="17" t="n">
        <v>2997</v>
      </c>
      <c r="C16" s="18">
        <f>(2393.0/B16*100)</f>
        <v/>
      </c>
      <c r="D16" s="19" t="n">
        <v>604</v>
      </c>
      <c r="E16" s="18" t="n">
        <v>59.40904994</v>
      </c>
      <c r="F16" s="20" t="n">
        <v>1.99801587</v>
      </c>
      <c r="G16" s="18" t="n">
        <v>34.79717664</v>
      </c>
      <c r="H16" s="20" t="n">
        <v>2.11167955</v>
      </c>
      <c r="I16" s="18" t="s">
        <v>567</v>
      </c>
      <c r="J16" s="20" t="s">
        <v>567</v>
      </c>
      <c r="K16" s="18" t="n">
        <v>4.50238647</v>
      </c>
      <c r="L16" s="20" t="n">
        <v>0.78386652</v>
      </c>
      <c r="M16" s="18" t="n">
        <v>0</v>
      </c>
      <c r="N16" s="20" t="n">
        <v>0</v>
      </c>
      <c r="O16" s="18" t="n">
        <v>0</v>
      </c>
      <c r="P16" s="20" t="n">
        <v>0</v>
      </c>
      <c r="Q16" s="18" t="n">
        <v>1.29138695</v>
      </c>
      <c r="R16" s="20" t="n">
        <v>0.54242491</v>
      </c>
    </row>
    <row r="17" spans="1:18">
      <c r="A17" s="15" t="s">
        <v>577</v>
      </c>
      <c r="B17" s="17" t="n">
        <v>3307</v>
      </c>
      <c r="C17" s="18">
        <f>(2620.0/B17*100)</f>
        <v/>
      </c>
      <c r="D17" s="19" t="n">
        <v>687</v>
      </c>
      <c r="E17" s="18" t="n">
        <v>53.9377751</v>
      </c>
      <c r="F17" s="20" t="n">
        <v>1.83982754</v>
      </c>
      <c r="G17" s="18" t="n">
        <v>43.81133874</v>
      </c>
      <c r="H17" s="20" t="n">
        <v>1.9661077</v>
      </c>
      <c r="I17" s="18" t="s">
        <v>567</v>
      </c>
      <c r="J17" s="20" t="s">
        <v>567</v>
      </c>
      <c r="K17" s="18" t="n">
        <v>1.60094579</v>
      </c>
      <c r="L17" s="20" t="n">
        <v>0.49610688</v>
      </c>
      <c r="M17" s="18" t="n">
        <v>0</v>
      </c>
      <c r="N17" s="20" t="n">
        <v>0</v>
      </c>
      <c r="O17" s="18" t="n">
        <v>0</v>
      </c>
      <c r="P17" s="20" t="n">
        <v>0</v>
      </c>
      <c r="Q17" s="18" t="n">
        <v>0.64994036</v>
      </c>
      <c r="R17" s="20" t="n">
        <v>0.30208881</v>
      </c>
    </row>
    <row r="18" spans="1:18">
      <c r="A18" s="15" t="s">
        <v>578</v>
      </c>
      <c r="B18" s="17" t="n">
        <v>2826</v>
      </c>
      <c r="C18" s="18">
        <f>(2222.0/B18*100)</f>
        <v/>
      </c>
      <c r="D18" s="19" t="n">
        <v>604</v>
      </c>
      <c r="E18" s="18" t="n">
        <v>74.18403469</v>
      </c>
      <c r="F18" s="20" t="n">
        <v>1.8892859</v>
      </c>
      <c r="G18" s="18" t="n">
        <v>21.19462367</v>
      </c>
      <c r="H18" s="20" t="n">
        <v>1.64545663</v>
      </c>
      <c r="I18" s="18" t="s">
        <v>567</v>
      </c>
      <c r="J18" s="20" t="s">
        <v>567</v>
      </c>
      <c r="K18" s="18" t="n">
        <v>2.18741617</v>
      </c>
      <c r="L18" s="20" t="n">
        <v>0.56983437</v>
      </c>
      <c r="M18" s="18" t="n">
        <v>0</v>
      </c>
      <c r="N18" s="20" t="n">
        <v>0</v>
      </c>
      <c r="O18" s="18" t="n">
        <v>0</v>
      </c>
      <c r="P18" s="20" t="n">
        <v>0</v>
      </c>
      <c r="Q18" s="18" t="n">
        <v>2.43392546</v>
      </c>
      <c r="R18" s="20" t="n">
        <v>0.80466651</v>
      </c>
    </row>
    <row r="19" spans="1:18">
      <c r="A19" s="15" t="s">
        <v>579</v>
      </c>
      <c r="B19" s="17" t="n">
        <v>2808</v>
      </c>
      <c r="C19" s="18">
        <f>(2203.0/B19*100)</f>
        <v/>
      </c>
      <c r="D19" s="19" t="n">
        <v>605</v>
      </c>
      <c r="E19" s="18" t="n">
        <v>66.52495454</v>
      </c>
      <c r="F19" s="20" t="n">
        <v>2.09467717</v>
      </c>
      <c r="G19" s="18" t="n">
        <v>31.79137227</v>
      </c>
      <c r="H19" s="20" t="n">
        <v>1.97630163</v>
      </c>
      <c r="I19" s="18" t="s">
        <v>567</v>
      </c>
      <c r="J19" s="20" t="s">
        <v>567</v>
      </c>
      <c r="K19" s="18" t="n">
        <v>1.34986956</v>
      </c>
      <c r="L19" s="20" t="n">
        <v>0.53961442</v>
      </c>
      <c r="M19" s="18" t="n">
        <v>0</v>
      </c>
      <c r="N19" s="20" t="n">
        <v>0</v>
      </c>
      <c r="O19" s="18" t="n">
        <v>0</v>
      </c>
      <c r="P19" s="20" t="n">
        <v>0</v>
      </c>
      <c r="Q19" s="18" t="n">
        <v>0.33380364</v>
      </c>
      <c r="R19" s="20" t="n">
        <v>0.2541332</v>
      </c>
    </row>
    <row r="20" spans="1:18">
      <c r="A20" s="15" t="s">
        <v>580</v>
      </c>
      <c r="B20" s="17" t="n">
        <v>1630</v>
      </c>
      <c r="C20" s="18">
        <f>(1295.0/B20*100)</f>
        <v/>
      </c>
      <c r="D20" s="19" t="n">
        <v>335</v>
      </c>
      <c r="E20" s="18" t="n">
        <v>64.49944472999999</v>
      </c>
      <c r="F20" s="20" t="n">
        <v>2.79580205</v>
      </c>
      <c r="G20" s="18" t="n">
        <v>31.0931155</v>
      </c>
      <c r="H20" s="20" t="n">
        <v>2.62057701</v>
      </c>
      <c r="I20" s="18" t="s">
        <v>567</v>
      </c>
      <c r="J20" s="20" t="s">
        <v>567</v>
      </c>
      <c r="K20" s="18" t="n">
        <v>3.09615397</v>
      </c>
      <c r="L20" s="20" t="n">
        <v>1.07516868</v>
      </c>
      <c r="M20" s="18" t="n">
        <v>0</v>
      </c>
      <c r="N20" s="20" t="n">
        <v>0</v>
      </c>
      <c r="O20" s="18" t="n">
        <v>0</v>
      </c>
      <c r="P20" s="20" t="n">
        <v>0</v>
      </c>
      <c r="Q20" s="18" t="n">
        <v>1.3112858</v>
      </c>
      <c r="R20" s="20" t="n">
        <v>0.6824993</v>
      </c>
    </row>
    <row r="21" spans="1:18">
      <c r="A21" s="15" t="s">
        <v>581</v>
      </c>
      <c r="B21" s="17" t="n">
        <v>2908</v>
      </c>
      <c r="C21" s="18">
        <f>(2256.0/B21*100)</f>
        <v/>
      </c>
      <c r="D21" s="19" t="n">
        <v>652</v>
      </c>
      <c r="E21" s="18" t="n">
        <v>62.1508829</v>
      </c>
      <c r="F21" s="20" t="n">
        <v>1.68066762</v>
      </c>
      <c r="G21" s="18" t="n">
        <v>35.32269142</v>
      </c>
      <c r="H21" s="20" t="n">
        <v>1.7292343</v>
      </c>
      <c r="I21" s="18" t="s">
        <v>567</v>
      </c>
      <c r="J21" s="20" t="s">
        <v>567</v>
      </c>
      <c r="K21" s="18" t="n">
        <v>1.94728343</v>
      </c>
      <c r="L21" s="20" t="n">
        <v>0.56489545</v>
      </c>
      <c r="M21" s="18" t="n">
        <v>0</v>
      </c>
      <c r="N21" s="20" t="n">
        <v>0</v>
      </c>
      <c r="O21" s="18" t="n">
        <v>0</v>
      </c>
      <c r="P21" s="20" t="n">
        <v>0</v>
      </c>
      <c r="Q21" s="18" t="n">
        <v>0.57914225</v>
      </c>
      <c r="R21" s="20" t="n">
        <v>0.27935372</v>
      </c>
    </row>
    <row r="22" spans="1:18">
      <c r="A22" s="15" t="s">
        <v>582</v>
      </c>
      <c r="B22" s="17" t="n">
        <v>2931</v>
      </c>
      <c r="C22" s="18">
        <f>(2300.0/B22*100)</f>
        <v/>
      </c>
      <c r="D22" s="19" t="n">
        <v>631</v>
      </c>
      <c r="E22" s="18" t="n">
        <v>66.56043866</v>
      </c>
      <c r="F22" s="20" t="n">
        <v>2.46300042</v>
      </c>
      <c r="G22" s="18" t="n">
        <v>29.53607249</v>
      </c>
      <c r="H22" s="20" t="n">
        <v>2.15633812</v>
      </c>
      <c r="I22" s="18" t="s">
        <v>567</v>
      </c>
      <c r="J22" s="20" t="s">
        <v>567</v>
      </c>
      <c r="K22" s="18" t="n">
        <v>3.2592327</v>
      </c>
      <c r="L22" s="20" t="n">
        <v>0.82687887</v>
      </c>
      <c r="M22" s="18" t="n">
        <v>0</v>
      </c>
      <c r="N22" s="20" t="n">
        <v>0</v>
      </c>
      <c r="O22" s="18" t="n">
        <v>0</v>
      </c>
      <c r="P22" s="20" t="n">
        <v>0</v>
      </c>
      <c r="Q22" s="18" t="n">
        <v>0.64425614</v>
      </c>
      <c r="R22" s="20" t="n">
        <v>0.30319818</v>
      </c>
    </row>
    <row r="23" spans="1:18">
      <c r="A23" s="15" t="s">
        <v>583</v>
      </c>
      <c r="B23" s="17" t="n">
        <v>5791</v>
      </c>
      <c r="C23" s="18">
        <f>(4564.0/B23*100)</f>
        <v/>
      </c>
      <c r="D23" s="19" t="n">
        <v>1227</v>
      </c>
      <c r="E23" s="18" t="n">
        <v>65.50278901</v>
      </c>
      <c r="F23" s="20" t="n">
        <v>1.83109076</v>
      </c>
      <c r="G23" s="18" t="n">
        <v>30.22967061</v>
      </c>
      <c r="H23" s="20" t="n">
        <v>1.74899952</v>
      </c>
      <c r="I23" s="18" t="s">
        <v>567</v>
      </c>
      <c r="J23" s="20" t="s">
        <v>567</v>
      </c>
      <c r="K23" s="18" t="n">
        <v>3.13174082</v>
      </c>
      <c r="L23" s="20" t="n">
        <v>0.86692722</v>
      </c>
      <c r="M23" s="18" t="n">
        <v>0</v>
      </c>
      <c r="N23" s="20" t="n">
        <v>0</v>
      </c>
      <c r="O23" s="18" t="n">
        <v>0</v>
      </c>
      <c r="P23" s="20" t="n">
        <v>0</v>
      </c>
      <c r="Q23" s="18" t="n">
        <v>1.13579957</v>
      </c>
      <c r="R23" s="20" t="n">
        <v>0.32387262</v>
      </c>
    </row>
    <row r="24" spans="1:18">
      <c r="A24" s="15" t="s">
        <v>584</v>
      </c>
      <c r="B24" s="17" t="n">
        <v>3338</v>
      </c>
      <c r="C24" s="18">
        <f>(2616.0/B24*100)</f>
        <v/>
      </c>
      <c r="D24" s="19" t="n">
        <v>722</v>
      </c>
      <c r="E24" s="18" t="n">
        <v>56.6255932</v>
      </c>
      <c r="F24" s="20" t="n">
        <v>2.26851457</v>
      </c>
      <c r="G24" s="18" t="n">
        <v>41.99187988</v>
      </c>
      <c r="H24" s="20" t="n">
        <v>2.24484128</v>
      </c>
      <c r="I24" s="18" t="s">
        <v>567</v>
      </c>
      <c r="J24" s="20" t="s">
        <v>567</v>
      </c>
      <c r="K24" s="18" t="n">
        <v>1.10616889</v>
      </c>
      <c r="L24" s="20" t="n">
        <v>0.3954825</v>
      </c>
      <c r="M24" s="18" t="n">
        <v>0</v>
      </c>
      <c r="N24" s="20" t="n">
        <v>0</v>
      </c>
      <c r="O24" s="18" t="n">
        <v>0</v>
      </c>
      <c r="P24" s="20" t="n">
        <v>0</v>
      </c>
      <c r="Q24" s="18" t="n">
        <v>0.27635804</v>
      </c>
      <c r="R24" s="20" t="n">
        <v>0.2006677</v>
      </c>
    </row>
    <row r="25" spans="1:18">
      <c r="A25" s="15" t="s">
        <v>585</v>
      </c>
      <c r="B25" s="17" t="n">
        <v>2912</v>
      </c>
      <c r="C25" s="18">
        <f>(2269.0/B25*100)</f>
        <v/>
      </c>
      <c r="D25" s="19" t="n">
        <v>643</v>
      </c>
      <c r="E25" s="18" t="n">
        <v>51.50742081</v>
      </c>
      <c r="F25" s="20" t="n">
        <v>2.32109597</v>
      </c>
      <c r="G25" s="18" t="n">
        <v>47.28442917</v>
      </c>
      <c r="H25" s="20" t="n">
        <v>2.28755453</v>
      </c>
      <c r="I25" s="18" t="s">
        <v>567</v>
      </c>
      <c r="J25" s="20" t="s">
        <v>567</v>
      </c>
      <c r="K25" s="18" t="n">
        <v>0.90799639</v>
      </c>
      <c r="L25" s="20" t="n">
        <v>0.42279186</v>
      </c>
      <c r="M25" s="18" t="n">
        <v>0</v>
      </c>
      <c r="N25" s="20" t="n">
        <v>0</v>
      </c>
      <c r="O25" s="18" t="n">
        <v>0</v>
      </c>
      <c r="P25" s="20" t="n">
        <v>0</v>
      </c>
      <c r="Q25" s="18" t="n">
        <v>0.30015363</v>
      </c>
      <c r="R25" s="20" t="n">
        <v>0.21414316</v>
      </c>
    </row>
    <row r="26" spans="1:18">
      <c r="A26" s="15" t="s">
        <v>586</v>
      </c>
      <c r="B26" s="17" t="n">
        <v>2450</v>
      </c>
      <c r="C26" s="18">
        <f>(1903.0/B26*100)</f>
        <v/>
      </c>
      <c r="D26" s="19" t="n">
        <v>547</v>
      </c>
      <c r="E26" s="18" t="n">
        <v>60.28674896</v>
      </c>
      <c r="F26" s="20" t="n">
        <v>2.04362503</v>
      </c>
      <c r="G26" s="18" t="n">
        <v>39.12184383</v>
      </c>
      <c r="H26" s="20" t="n">
        <v>2.10642704</v>
      </c>
      <c r="I26" s="18" t="s">
        <v>567</v>
      </c>
      <c r="J26" s="20" t="s">
        <v>567</v>
      </c>
      <c r="K26" s="18" t="n">
        <v>0.45578641</v>
      </c>
      <c r="L26" s="20" t="n">
        <v>0.24275218</v>
      </c>
      <c r="M26" s="18" t="n">
        <v>0</v>
      </c>
      <c r="N26" s="20" t="n">
        <v>0</v>
      </c>
      <c r="O26" s="18" t="n">
        <v>0</v>
      </c>
      <c r="P26" s="20" t="n">
        <v>0</v>
      </c>
      <c r="Q26" s="18" t="n">
        <v>0.13562081</v>
      </c>
      <c r="R26" s="20" t="n">
        <v>0.11658263</v>
      </c>
    </row>
    <row r="27" spans="1:18">
      <c r="A27" s="15" t="s">
        <v>587</v>
      </c>
      <c r="B27" s="17" t="n">
        <v>2616</v>
      </c>
      <c r="C27" s="18">
        <f>(2082.0/B27*100)</f>
        <v/>
      </c>
      <c r="D27" s="19" t="n">
        <v>534</v>
      </c>
      <c r="E27" s="18" t="n">
        <v>64.35391485</v>
      </c>
      <c r="F27" s="20" t="n">
        <v>1.84794255</v>
      </c>
      <c r="G27" s="18" t="n">
        <v>34.51131389</v>
      </c>
      <c r="H27" s="20" t="n">
        <v>1.84714725</v>
      </c>
      <c r="I27" s="18" t="s">
        <v>567</v>
      </c>
      <c r="J27" s="20" t="s">
        <v>567</v>
      </c>
      <c r="K27" s="18" t="n">
        <v>1.13477126</v>
      </c>
      <c r="L27" s="20" t="n">
        <v>0.46208091</v>
      </c>
      <c r="M27" s="18" t="n">
        <v>0</v>
      </c>
      <c r="N27" s="20" t="n">
        <v>0</v>
      </c>
      <c r="O27" s="18" t="n">
        <v>0</v>
      </c>
      <c r="P27" s="20" t="n">
        <v>0</v>
      </c>
      <c r="Q27" s="18" t="n">
        <v>0</v>
      </c>
      <c r="R27" s="20" t="n">
        <v>0</v>
      </c>
    </row>
    <row r="28" spans="1:18">
      <c r="A28" s="15" t="s">
        <v>588</v>
      </c>
      <c r="B28" s="17" t="n">
        <v>3765</v>
      </c>
      <c r="C28" s="18">
        <f>(3000.0/B28*100)</f>
        <v/>
      </c>
      <c r="D28" s="19" t="n">
        <v>765</v>
      </c>
      <c r="E28" s="18" t="n">
        <v>87.20855618</v>
      </c>
      <c r="F28" s="20" t="n">
        <v>1.42166307</v>
      </c>
      <c r="G28" s="18" t="n">
        <v>9.087142869999999</v>
      </c>
      <c r="H28" s="20" t="n">
        <v>1.20019235</v>
      </c>
      <c r="I28" s="18" t="s">
        <v>567</v>
      </c>
      <c r="J28" s="20" t="s">
        <v>567</v>
      </c>
      <c r="K28" s="18" t="n">
        <v>1.79721392</v>
      </c>
      <c r="L28" s="20" t="n">
        <v>0.56534207</v>
      </c>
      <c r="M28" s="18" t="n">
        <v>0</v>
      </c>
      <c r="N28" s="20" t="n">
        <v>0</v>
      </c>
      <c r="O28" s="18" t="n">
        <v>0</v>
      </c>
      <c r="P28" s="20" t="n">
        <v>0</v>
      </c>
      <c r="Q28" s="18" t="n">
        <v>1.90708702</v>
      </c>
      <c r="R28" s="20" t="n">
        <v>0.6721316899999999</v>
      </c>
    </row>
    <row r="29" spans="1:18">
      <c r="A29" s="15" t="s">
        <v>589</v>
      </c>
      <c r="B29" s="17" t="n">
        <v>2685</v>
      </c>
      <c r="C29" s="18">
        <f>(2101.0/B29*100)</f>
        <v/>
      </c>
      <c r="D29" s="19" t="n">
        <v>584</v>
      </c>
      <c r="E29" s="18" t="n">
        <v>67.29919648000001</v>
      </c>
      <c r="F29" s="20" t="n">
        <v>2.10127814</v>
      </c>
      <c r="G29" s="18" t="n">
        <v>31.89510643</v>
      </c>
      <c r="H29" s="20" t="n">
        <v>2.08379815</v>
      </c>
      <c r="I29" s="18" t="s">
        <v>567</v>
      </c>
      <c r="J29" s="20" t="s">
        <v>567</v>
      </c>
      <c r="K29" s="18" t="n">
        <v>0.64867075</v>
      </c>
      <c r="L29" s="20" t="n">
        <v>0.33446549</v>
      </c>
      <c r="M29" s="18" t="n">
        <v>0</v>
      </c>
      <c r="N29" s="20" t="n">
        <v>0</v>
      </c>
      <c r="O29" s="18" t="n">
        <v>0</v>
      </c>
      <c r="P29" s="20" t="n">
        <v>0</v>
      </c>
      <c r="Q29" s="18" t="n">
        <v>0.15702634</v>
      </c>
      <c r="R29" s="20" t="n">
        <v>0.15620786</v>
      </c>
    </row>
    <row r="30" spans="1:18">
      <c r="A30" s="15" t="s">
        <v>590</v>
      </c>
      <c r="B30" s="17" t="n">
        <v>2263</v>
      </c>
      <c r="C30" s="18">
        <f>(1782.0/B30*100)</f>
        <v/>
      </c>
      <c r="D30" s="19" t="n">
        <v>481</v>
      </c>
      <c r="E30" s="18" t="n">
        <v>56.41208875</v>
      </c>
      <c r="F30" s="20" t="n">
        <v>2.55159707</v>
      </c>
      <c r="G30" s="18" t="n">
        <v>41.85110311</v>
      </c>
      <c r="H30" s="20" t="n">
        <v>2.52188167</v>
      </c>
      <c r="I30" s="18" t="s">
        <v>567</v>
      </c>
      <c r="J30" s="20" t="s">
        <v>567</v>
      </c>
      <c r="K30" s="18" t="n">
        <v>1.48918038</v>
      </c>
      <c r="L30" s="20" t="n">
        <v>0.54993151</v>
      </c>
      <c r="M30" s="18" t="n">
        <v>0</v>
      </c>
      <c r="N30" s="20" t="n">
        <v>0</v>
      </c>
      <c r="O30" s="18" t="n">
        <v>0</v>
      </c>
      <c r="P30" s="20" t="n">
        <v>0</v>
      </c>
      <c r="Q30" s="18" t="n">
        <v>0.24762776</v>
      </c>
      <c r="R30" s="20" t="n">
        <v>0.2323938</v>
      </c>
    </row>
    <row r="31" spans="1:18">
      <c r="A31" s="15" t="s">
        <v>591</v>
      </c>
      <c r="B31" s="17" t="n">
        <v>2750</v>
      </c>
      <c r="C31" s="18">
        <f>(2171.0/B31*100)</f>
        <v/>
      </c>
      <c r="D31" s="19" t="n">
        <v>579</v>
      </c>
      <c r="E31" s="18" t="n">
        <v>59.07310033</v>
      </c>
      <c r="F31" s="20" t="n">
        <v>2.23131678</v>
      </c>
      <c r="G31" s="18" t="n">
        <v>37.92016586</v>
      </c>
      <c r="H31" s="20" t="n">
        <v>2.0600347</v>
      </c>
      <c r="I31" s="18" t="s">
        <v>567</v>
      </c>
      <c r="J31" s="20" t="s">
        <v>567</v>
      </c>
      <c r="K31" s="18" t="n">
        <v>3.00673381</v>
      </c>
      <c r="L31" s="20" t="n">
        <v>0.74921419</v>
      </c>
      <c r="M31" s="18" t="n">
        <v>0</v>
      </c>
      <c r="N31" s="20" t="n">
        <v>0</v>
      </c>
      <c r="O31" s="18" t="n">
        <v>0</v>
      </c>
      <c r="P31" s="20" t="n">
        <v>0</v>
      </c>
      <c r="Q31" s="18" t="n">
        <v>0</v>
      </c>
      <c r="R31" s="20" t="n">
        <v>0</v>
      </c>
    </row>
    <row r="32" spans="1:18">
      <c r="A32" s="15" t="s">
        <v>592</v>
      </c>
      <c r="B32" s="17" t="n">
        <v>2269</v>
      </c>
      <c r="C32" s="18">
        <f>(1771.0/B32*100)</f>
        <v/>
      </c>
      <c r="D32" s="19" t="n">
        <v>498</v>
      </c>
      <c r="E32" s="18" t="n">
        <v>56.45512602</v>
      </c>
      <c r="F32" s="20" t="n">
        <v>2.29464924</v>
      </c>
      <c r="G32" s="18" t="n">
        <v>42.30738723</v>
      </c>
      <c r="H32" s="20" t="n">
        <v>2.28752429</v>
      </c>
      <c r="I32" s="18" t="s">
        <v>567</v>
      </c>
      <c r="J32" s="20" t="s">
        <v>567</v>
      </c>
      <c r="K32" s="18" t="n">
        <v>0.78722901</v>
      </c>
      <c r="L32" s="20" t="n">
        <v>0.40524671</v>
      </c>
      <c r="M32" s="18" t="n">
        <v>0</v>
      </c>
      <c r="N32" s="20" t="n">
        <v>0</v>
      </c>
      <c r="O32" s="18" t="n">
        <v>0</v>
      </c>
      <c r="P32" s="20" t="n">
        <v>0</v>
      </c>
      <c r="Q32" s="18" t="n">
        <v>0.45025774</v>
      </c>
      <c r="R32" s="20" t="n">
        <v>0.27872761</v>
      </c>
    </row>
    <row r="33" spans="1:18">
      <c r="A33" s="15" t="s">
        <v>593</v>
      </c>
      <c r="B33" s="17" t="n">
        <v>3674</v>
      </c>
      <c r="C33" s="18">
        <f>(2913.0/B33*100)</f>
        <v/>
      </c>
      <c r="D33" s="19" t="n">
        <v>761</v>
      </c>
      <c r="E33" s="18" t="n">
        <v>64.00718326000001</v>
      </c>
      <c r="F33" s="20" t="n">
        <v>2.44101863</v>
      </c>
      <c r="G33" s="18" t="n">
        <v>33.62919353</v>
      </c>
      <c r="H33" s="20" t="n">
        <v>2.4162789</v>
      </c>
      <c r="I33" s="18" t="s">
        <v>567</v>
      </c>
      <c r="J33" s="20" t="s">
        <v>567</v>
      </c>
      <c r="K33" s="18" t="n">
        <v>1.59988304</v>
      </c>
      <c r="L33" s="20" t="n">
        <v>0.52166253</v>
      </c>
      <c r="M33" s="18" t="n">
        <v>0</v>
      </c>
      <c r="N33" s="20" t="n">
        <v>0</v>
      </c>
      <c r="O33" s="18" t="n">
        <v>0</v>
      </c>
      <c r="P33" s="20" t="n">
        <v>0</v>
      </c>
      <c r="Q33" s="18" t="n">
        <v>0.7637401700000001</v>
      </c>
      <c r="R33" s="20" t="n">
        <v>0.38967312</v>
      </c>
    </row>
    <row r="34" spans="1:18">
      <c r="A34" s="15" t="s">
        <v>594</v>
      </c>
      <c r="B34" s="17" t="n">
        <v>3315</v>
      </c>
      <c r="C34" s="18">
        <f>(2629.0/B34*100)</f>
        <v/>
      </c>
      <c r="D34" s="19" t="n">
        <v>686</v>
      </c>
      <c r="E34" s="18" t="n">
        <v>75.52846271</v>
      </c>
      <c r="F34" s="20" t="n">
        <v>1.92463851</v>
      </c>
      <c r="G34" s="18" t="n">
        <v>22.44624576</v>
      </c>
      <c r="H34" s="20" t="n">
        <v>1.80894504</v>
      </c>
      <c r="I34" s="18" t="s">
        <v>567</v>
      </c>
      <c r="J34" s="20" t="s">
        <v>567</v>
      </c>
      <c r="K34" s="18" t="n">
        <v>1.00986434</v>
      </c>
      <c r="L34" s="20" t="n">
        <v>0.43919252</v>
      </c>
      <c r="M34" s="18" t="n">
        <v>0</v>
      </c>
      <c r="N34" s="20" t="n">
        <v>0</v>
      </c>
      <c r="O34" s="18" t="n">
        <v>0</v>
      </c>
      <c r="P34" s="20" t="n">
        <v>0</v>
      </c>
      <c r="Q34" s="18" t="n">
        <v>1.01542718</v>
      </c>
      <c r="R34" s="20" t="n">
        <v>0.39467106</v>
      </c>
    </row>
    <row r="35" spans="1:18">
      <c r="A35" s="15" t="s">
        <v>595</v>
      </c>
      <c r="B35" s="17" t="n">
        <v>3505</v>
      </c>
      <c r="C35" s="18">
        <f>(2791.0/B35*100)</f>
        <v/>
      </c>
      <c r="D35" s="19" t="n">
        <v>714</v>
      </c>
      <c r="E35" s="18" t="n">
        <v>55.71211299</v>
      </c>
      <c r="F35" s="20" t="n">
        <v>2.38949862</v>
      </c>
      <c r="G35" s="18" t="n">
        <v>42.76474241</v>
      </c>
      <c r="H35" s="20" t="n">
        <v>2.38437435</v>
      </c>
      <c r="I35" s="18" t="s">
        <v>567</v>
      </c>
      <c r="J35" s="20" t="s">
        <v>567</v>
      </c>
      <c r="K35" s="18" t="n">
        <v>1.02190173</v>
      </c>
      <c r="L35" s="20" t="n">
        <v>0.34022133</v>
      </c>
      <c r="M35" s="18" t="n">
        <v>0</v>
      </c>
      <c r="N35" s="20" t="n">
        <v>0</v>
      </c>
      <c r="O35" s="18" t="n">
        <v>0</v>
      </c>
      <c r="P35" s="20" t="n">
        <v>0</v>
      </c>
      <c r="Q35" s="18" t="n">
        <v>0.50124287</v>
      </c>
      <c r="R35" s="20" t="n">
        <v>0.21866287</v>
      </c>
    </row>
    <row r="36" spans="1:18">
      <c r="A36" s="15" t="s">
        <v>596</v>
      </c>
      <c r="B36" s="17" t="n">
        <v>3332</v>
      </c>
      <c r="C36" s="18">
        <f>(2626.0/B36*100)</f>
        <v/>
      </c>
      <c r="D36" s="19" t="n">
        <v>706</v>
      </c>
      <c r="E36" s="18" t="n">
        <v>63.08534311</v>
      </c>
      <c r="F36" s="20" t="n">
        <v>1.98771685</v>
      </c>
      <c r="G36" s="18" t="n">
        <v>33.48259483</v>
      </c>
      <c r="H36" s="20" t="n">
        <v>2.03849342</v>
      </c>
      <c r="I36" s="18" t="s">
        <v>567</v>
      </c>
      <c r="J36" s="20" t="s">
        <v>567</v>
      </c>
      <c r="K36" s="18" t="n">
        <v>3.09137058</v>
      </c>
      <c r="L36" s="20" t="n">
        <v>0.63958268</v>
      </c>
      <c r="M36" s="18" t="n">
        <v>0</v>
      </c>
      <c r="N36" s="20" t="n">
        <v>0</v>
      </c>
      <c r="O36" s="18" t="n">
        <v>0</v>
      </c>
      <c r="P36" s="20" t="n">
        <v>0</v>
      </c>
      <c r="Q36" s="18" t="n">
        <v>0.34069148</v>
      </c>
      <c r="R36" s="20" t="n">
        <v>0.29407113</v>
      </c>
    </row>
    <row r="37" spans="1:18">
      <c r="A37" s="15" t="s">
        <v>597</v>
      </c>
      <c r="B37" s="17" t="n">
        <v>2727</v>
      </c>
      <c r="C37" s="18">
        <f>(2142.0/B37*100)</f>
        <v/>
      </c>
      <c r="D37" s="19" t="n">
        <v>585</v>
      </c>
      <c r="E37" s="18" t="n">
        <v>60.12890483</v>
      </c>
      <c r="F37" s="20" t="n">
        <v>2.09805013</v>
      </c>
      <c r="G37" s="18" t="n">
        <v>33.81449672</v>
      </c>
      <c r="H37" s="20" t="n">
        <v>1.99189982</v>
      </c>
      <c r="I37" s="18" t="s">
        <v>567</v>
      </c>
      <c r="J37" s="20" t="s">
        <v>567</v>
      </c>
      <c r="K37" s="18" t="n">
        <v>4.68369379</v>
      </c>
      <c r="L37" s="20" t="n">
        <v>0.75786783</v>
      </c>
      <c r="M37" s="18" t="n">
        <v>0</v>
      </c>
      <c r="N37" s="20" t="n">
        <v>0</v>
      </c>
      <c r="O37" s="18" t="n">
        <v>0</v>
      </c>
      <c r="P37" s="20" t="n">
        <v>0</v>
      </c>
      <c r="Q37" s="18" t="n">
        <v>1.37290466</v>
      </c>
      <c r="R37" s="20" t="n">
        <v>0.5419798300000001</v>
      </c>
    </row>
    <row r="38" spans="1:18">
      <c r="A38" s="15" t="s">
        <v>598</v>
      </c>
      <c r="B38" s="17" t="n">
        <v>3053</v>
      </c>
      <c r="C38" s="18">
        <f>(2407.0/B38*100)</f>
        <v/>
      </c>
      <c r="D38" s="19" t="n">
        <v>646</v>
      </c>
      <c r="E38" s="18" t="n">
        <v>52.73659292</v>
      </c>
      <c r="F38" s="20" t="n">
        <v>2.35984307</v>
      </c>
      <c r="G38" s="18" t="n">
        <v>43.15423419</v>
      </c>
      <c r="H38" s="20" t="n">
        <v>2.2789667</v>
      </c>
      <c r="I38" s="18" t="s">
        <v>567</v>
      </c>
      <c r="J38" s="20" t="s">
        <v>567</v>
      </c>
      <c r="K38" s="18" t="n">
        <v>2.74464402</v>
      </c>
      <c r="L38" s="20" t="n">
        <v>0.67731476</v>
      </c>
      <c r="M38" s="18" t="n">
        <v>0</v>
      </c>
      <c r="N38" s="20" t="n">
        <v>0</v>
      </c>
      <c r="O38" s="18" t="n">
        <v>0</v>
      </c>
      <c r="P38" s="20" t="n">
        <v>0</v>
      </c>
      <c r="Q38" s="18" t="n">
        <v>1.36452887</v>
      </c>
      <c r="R38" s="20" t="n">
        <v>0.53125313</v>
      </c>
    </row>
    <row r="39" spans="1:18">
      <c r="A39" s="15" t="s">
        <v>599</v>
      </c>
      <c r="B39" s="17" t="n">
        <v>2957</v>
      </c>
      <c r="C39" s="18">
        <f>(2265.0/B39*100)</f>
        <v/>
      </c>
      <c r="D39" s="19" t="n">
        <v>692</v>
      </c>
      <c r="E39" s="18" t="n">
        <v>76.14797647</v>
      </c>
      <c r="F39" s="20" t="n">
        <v>2.32125062</v>
      </c>
      <c r="G39" s="18" t="n">
        <v>22.34049953</v>
      </c>
      <c r="H39" s="20" t="n">
        <v>2.41716839</v>
      </c>
      <c r="I39" s="18" t="s">
        <v>567</v>
      </c>
      <c r="J39" s="20" t="s">
        <v>567</v>
      </c>
      <c r="K39" s="18" t="n">
        <v>0.87830445</v>
      </c>
      <c r="L39" s="20" t="n">
        <v>0.31422933</v>
      </c>
      <c r="M39" s="18" t="n">
        <v>0</v>
      </c>
      <c r="N39" s="20" t="n">
        <v>0</v>
      </c>
      <c r="O39" s="18" t="n">
        <v>0</v>
      </c>
      <c r="P39" s="20" t="n">
        <v>0</v>
      </c>
      <c r="Q39" s="18" t="n">
        <v>0.63321955</v>
      </c>
      <c r="R39" s="20" t="n">
        <v>0.38545786</v>
      </c>
    </row>
    <row r="40" spans="1:18">
      <c r="A40" s="15" t="s">
        <v>600</v>
      </c>
      <c r="B40" s="17" t="n">
        <v>7235</v>
      </c>
      <c r="C40" s="18">
        <f>(5687.0/B40*100)</f>
        <v/>
      </c>
      <c r="D40" s="19" t="n">
        <v>1548</v>
      </c>
      <c r="E40" s="18" t="n">
        <v>59.98033448</v>
      </c>
      <c r="F40" s="20" t="n">
        <v>2.06345076</v>
      </c>
      <c r="G40" s="18" t="n">
        <v>37.70045952</v>
      </c>
      <c r="H40" s="20" t="n">
        <v>2.08597419</v>
      </c>
      <c r="I40" s="18" t="s">
        <v>567</v>
      </c>
      <c r="J40" s="20" t="s">
        <v>567</v>
      </c>
      <c r="K40" s="18" t="n">
        <v>1.97079391</v>
      </c>
      <c r="L40" s="20" t="n">
        <v>0.57662133</v>
      </c>
      <c r="M40" s="18" t="n">
        <v>0</v>
      </c>
      <c r="N40" s="20" t="n">
        <v>0</v>
      </c>
      <c r="O40" s="18" t="n">
        <v>0</v>
      </c>
      <c r="P40" s="20" t="n">
        <v>0</v>
      </c>
      <c r="Q40" s="18" t="n">
        <v>0.34841209</v>
      </c>
      <c r="R40" s="20" t="n">
        <v>0.24800714</v>
      </c>
    </row>
    <row r="41" spans="1:18">
      <c r="A41" s="15" t="s">
        <v>601</v>
      </c>
      <c r="B41" s="17" t="n">
        <v>2858</v>
      </c>
      <c r="C41" s="18">
        <f>(2312.0/B41*100)</f>
        <v/>
      </c>
      <c r="D41" s="19" t="n">
        <v>546</v>
      </c>
      <c r="E41" s="18" t="n">
        <v>68.21493141000001</v>
      </c>
      <c r="F41" s="20" t="n">
        <v>1.97178456</v>
      </c>
      <c r="G41" s="18" t="n">
        <v>30.2580706</v>
      </c>
      <c r="H41" s="20" t="n">
        <v>1.89521781</v>
      </c>
      <c r="I41" s="18" t="s">
        <v>567</v>
      </c>
      <c r="J41" s="20" t="s">
        <v>567</v>
      </c>
      <c r="K41" s="18" t="n">
        <v>1.526998</v>
      </c>
      <c r="L41" s="20" t="n">
        <v>0.64734249</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(9494.0/B46*100)</f>
        <v/>
      </c>
      <c r="D46" s="19" t="n">
        <v>1574</v>
      </c>
      <c r="E46" s="18" t="n">
        <v>78.13477760000001</v>
      </c>
      <c r="F46" s="20" t="n">
        <v>1.23715526</v>
      </c>
      <c r="G46" s="18" t="n">
        <v>12.13773808</v>
      </c>
      <c r="H46" s="20" t="n">
        <v>1.02504121</v>
      </c>
      <c r="I46" s="18" t="s">
        <v>567</v>
      </c>
      <c r="J46" s="20" t="s">
        <v>567</v>
      </c>
      <c r="K46" s="18" t="n">
        <v>4.03816097</v>
      </c>
      <c r="L46" s="20" t="n">
        <v>0.61875124</v>
      </c>
      <c r="M46" s="18" t="n">
        <v>0</v>
      </c>
      <c r="N46" s="20" t="n">
        <v>0</v>
      </c>
      <c r="O46" s="18" t="n">
        <v>0</v>
      </c>
      <c r="P46" s="20" t="n">
        <v>0</v>
      </c>
      <c r="Q46" s="18" t="n">
        <v>5.68932335</v>
      </c>
      <c r="R46" s="20" t="n">
        <v>0.88709204</v>
      </c>
    </row>
    <row r="47" spans="1:18">
      <c r="A47" s="15" t="s">
        <v>607</v>
      </c>
      <c r="B47" s="17" t="n">
        <v>3105</v>
      </c>
      <c r="C47" s="18">
        <f>(2416.0/B47*100)</f>
        <v/>
      </c>
      <c r="D47" s="19" t="n">
        <v>689</v>
      </c>
      <c r="E47" s="18" t="n">
        <v>67.32265665</v>
      </c>
      <c r="F47" s="20" t="n">
        <v>2.00862592</v>
      </c>
      <c r="G47" s="18" t="n">
        <v>27.47346439</v>
      </c>
      <c r="H47" s="20" t="n">
        <v>1.92653816</v>
      </c>
      <c r="I47" s="18" t="s">
        <v>567</v>
      </c>
      <c r="J47" s="20" t="s">
        <v>567</v>
      </c>
      <c r="K47" s="18" t="n">
        <v>2.36018985</v>
      </c>
      <c r="L47" s="20" t="n">
        <v>0.51369806</v>
      </c>
      <c r="M47" s="18" t="n">
        <v>0</v>
      </c>
      <c r="N47" s="20" t="n">
        <v>0</v>
      </c>
      <c r="O47" s="18" t="n">
        <v>0</v>
      </c>
      <c r="P47" s="20" t="n">
        <v>0</v>
      </c>
      <c r="Q47" s="18" t="n">
        <v>2.84368911</v>
      </c>
      <c r="R47" s="20" t="n">
        <v>0.8842676</v>
      </c>
    </row>
    <row r="48" spans="1:18">
      <c r="A48" s="15" t="s">
        <v>608</v>
      </c>
      <c r="B48" s="17" t="n">
        <v>5159</v>
      </c>
      <c r="C48" s="18">
        <f>(4052.0/B48*100)</f>
        <v/>
      </c>
      <c r="D48" s="19" t="n">
        <v>1107</v>
      </c>
      <c r="E48" s="18" t="n">
        <v>58.52344185</v>
      </c>
      <c r="F48" s="20" t="n">
        <v>2.17515462</v>
      </c>
      <c r="G48" s="18" t="n">
        <v>40.13844998</v>
      </c>
      <c r="H48" s="20" t="n">
        <v>2.1704823</v>
      </c>
      <c r="I48" s="18" t="s">
        <v>567</v>
      </c>
      <c r="J48" s="20" t="s">
        <v>567</v>
      </c>
      <c r="K48" s="18" t="n">
        <v>1.05619304</v>
      </c>
      <c r="L48" s="20" t="n">
        <v>0.3059547</v>
      </c>
      <c r="M48" s="18" t="n">
        <v>0</v>
      </c>
      <c r="N48" s="20" t="n">
        <v>0</v>
      </c>
      <c r="O48" s="18" t="n">
        <v>0</v>
      </c>
      <c r="P48" s="20" t="n">
        <v>0</v>
      </c>
      <c r="Q48" s="18" t="n">
        <v>0.28191512</v>
      </c>
      <c r="R48" s="20" t="n">
        <v>0.19886026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(4448.0/B50*100)</f>
        <v/>
      </c>
      <c r="D50" s="19" t="n">
        <v>1189</v>
      </c>
      <c r="E50" s="18" t="n">
        <v>81.90091636</v>
      </c>
      <c r="F50" s="20" t="n">
        <v>1.66041761</v>
      </c>
      <c r="G50" s="18" t="n">
        <v>12.45977817</v>
      </c>
      <c r="H50" s="20" t="n">
        <v>1.45262915</v>
      </c>
      <c r="I50" s="18" t="s">
        <v>567</v>
      </c>
      <c r="J50" s="20" t="s">
        <v>567</v>
      </c>
      <c r="K50" s="18" t="n">
        <v>4.65645066</v>
      </c>
      <c r="L50" s="20" t="n">
        <v>0.97586465</v>
      </c>
      <c r="M50" s="18" t="n">
        <v>0</v>
      </c>
      <c r="N50" s="20" t="n">
        <v>0</v>
      </c>
      <c r="O50" s="18" t="n">
        <v>0</v>
      </c>
      <c r="P50" s="20" t="n">
        <v>0</v>
      </c>
      <c r="Q50" s="18" t="n">
        <v>0.98285481</v>
      </c>
      <c r="R50" s="20" t="n">
        <v>0.69978126</v>
      </c>
    </row>
    <row r="51" spans="1:18">
      <c r="A51" s="15" t="s">
        <v>611</v>
      </c>
      <c r="B51" s="17" t="n">
        <v>3372</v>
      </c>
      <c r="C51" s="18">
        <f>(2798.0/B51*100)</f>
        <v/>
      </c>
      <c r="D51" s="19" t="n">
        <v>574</v>
      </c>
      <c r="E51" s="18" t="n">
        <v>83.47449894</v>
      </c>
      <c r="F51" s="20" t="n">
        <v>1.67626676</v>
      </c>
      <c r="G51" s="18" t="n">
        <v>12.95239011</v>
      </c>
      <c r="H51" s="20" t="n">
        <v>1.56130787</v>
      </c>
      <c r="I51" s="18" t="s">
        <v>567</v>
      </c>
      <c r="J51" s="20" t="s">
        <v>567</v>
      </c>
      <c r="K51" s="18" t="n">
        <v>1.71709879</v>
      </c>
      <c r="L51" s="20" t="n">
        <v>0.49748537</v>
      </c>
      <c r="M51" s="18" t="n">
        <v>0</v>
      </c>
      <c r="N51" s="20" t="n">
        <v>0</v>
      </c>
      <c r="O51" s="18" t="n">
        <v>0</v>
      </c>
      <c r="P51" s="20" t="n">
        <v>0</v>
      </c>
      <c r="Q51" s="18" t="n">
        <v>1.85601217</v>
      </c>
      <c r="R51" s="20" t="n">
        <v>0.72109114</v>
      </c>
    </row>
    <row r="52" spans="1:18">
      <c r="A52" s="15" t="s">
        <v>612</v>
      </c>
      <c r="B52" s="17" t="n">
        <v>2796</v>
      </c>
      <c r="C52" s="18">
        <f>(2221.0/B52*100)</f>
        <v/>
      </c>
      <c r="D52" s="19" t="n">
        <v>575</v>
      </c>
      <c r="E52" s="18" t="n">
        <v>65.57811266</v>
      </c>
      <c r="F52" s="20" t="n">
        <v>2.37577518</v>
      </c>
      <c r="G52" s="18" t="n">
        <v>32.64265446</v>
      </c>
      <c r="H52" s="20" t="n">
        <v>2.28381451</v>
      </c>
      <c r="I52" s="18" t="s">
        <v>567</v>
      </c>
      <c r="J52" s="20" t="s">
        <v>567</v>
      </c>
      <c r="K52" s="18" t="n">
        <v>1.38979413</v>
      </c>
      <c r="L52" s="20" t="n">
        <v>0.47350804</v>
      </c>
      <c r="M52" s="18" t="n">
        <v>0</v>
      </c>
      <c r="N52" s="20" t="n">
        <v>0</v>
      </c>
      <c r="O52" s="18" t="n">
        <v>0</v>
      </c>
      <c r="P52" s="20" t="n">
        <v>0</v>
      </c>
      <c r="Q52" s="18" t="n">
        <v>0.38943875</v>
      </c>
      <c r="R52" s="20" t="n">
        <v>0.2812824</v>
      </c>
    </row>
    <row r="53" spans="1:18">
      <c r="A53" s="15" t="s">
        <v>613</v>
      </c>
      <c r="B53" s="17" t="n">
        <v>2811</v>
      </c>
      <c r="C53" s="18">
        <f>(2184.0/B53*100)</f>
        <v/>
      </c>
      <c r="D53" s="19" t="n">
        <v>627</v>
      </c>
      <c r="E53" s="18" t="n">
        <v>80.76838782999999</v>
      </c>
      <c r="F53" s="20" t="n">
        <v>1.76207409</v>
      </c>
      <c r="G53" s="18" t="n">
        <v>15.78573171</v>
      </c>
      <c r="H53" s="20" t="n">
        <v>1.64308125</v>
      </c>
      <c r="I53" s="18" t="s">
        <v>567</v>
      </c>
      <c r="J53" s="20" t="s">
        <v>567</v>
      </c>
      <c r="K53" s="18" t="n">
        <v>1.73735094</v>
      </c>
      <c r="L53" s="20" t="n">
        <v>0.52711435</v>
      </c>
      <c r="M53" s="18" t="n">
        <v>0</v>
      </c>
      <c r="N53" s="20" t="n">
        <v>0</v>
      </c>
      <c r="O53" s="18" t="n">
        <v>0</v>
      </c>
      <c r="P53" s="20" t="n">
        <v>0</v>
      </c>
      <c r="Q53" s="18" t="n">
        <v>1.70852953</v>
      </c>
      <c r="R53" s="20" t="n">
        <v>0.48521841</v>
      </c>
    </row>
    <row r="54" spans="1:18">
      <c r="A54" s="15" t="s">
        <v>614</v>
      </c>
      <c r="B54" s="17" t="n">
        <v>2266</v>
      </c>
      <c r="C54" s="18">
        <f>(1767.0/B54*100)</f>
        <v/>
      </c>
      <c r="D54" s="19" t="n">
        <v>499</v>
      </c>
      <c r="E54" s="18" t="n">
        <v>63.65090403</v>
      </c>
      <c r="F54" s="20" t="n">
        <v>2.65029709</v>
      </c>
      <c r="G54" s="18" t="n">
        <v>3.36677504</v>
      </c>
      <c r="H54" s="20" t="n">
        <v>0.72459248</v>
      </c>
      <c r="I54" s="18" t="s">
        <v>567</v>
      </c>
      <c r="J54" s="20" t="s">
        <v>567</v>
      </c>
      <c r="K54" s="18" t="n">
        <v>21.05728723</v>
      </c>
      <c r="L54" s="20" t="n">
        <v>1.8981118</v>
      </c>
      <c r="M54" s="18" t="n">
        <v>0</v>
      </c>
      <c r="N54" s="20" t="n">
        <v>0</v>
      </c>
      <c r="O54" s="18" t="n">
        <v>0</v>
      </c>
      <c r="P54" s="20" t="n">
        <v>0</v>
      </c>
      <c r="Q54" s="18" t="n">
        <v>11.9250337</v>
      </c>
      <c r="R54" s="20" t="n">
        <v>2.04163586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(2123.0/B56*100)</f>
        <v/>
      </c>
      <c r="D56" s="19" t="n">
        <v>561</v>
      </c>
      <c r="E56" s="18" t="n">
        <v>61.56540847</v>
      </c>
      <c r="F56" s="20" t="n">
        <v>2.26295293</v>
      </c>
      <c r="G56" s="18" t="n">
        <v>37.61977469</v>
      </c>
      <c r="H56" s="20" t="n">
        <v>2.23163384</v>
      </c>
      <c r="I56" s="18" t="s">
        <v>567</v>
      </c>
      <c r="J56" s="20" t="s">
        <v>567</v>
      </c>
      <c r="K56" s="18" t="n">
        <v>0.81481684</v>
      </c>
      <c r="L56" s="20" t="n">
        <v>0.44891726</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(2605.0/B61*100)</f>
        <v/>
      </c>
      <c r="D61" s="19" t="n">
        <v>719</v>
      </c>
      <c r="E61" s="18" t="n">
        <v>66.54346801</v>
      </c>
      <c r="F61" s="20" t="n">
        <v>1.90982617</v>
      </c>
      <c r="G61" s="18" t="n">
        <v>31.76546032</v>
      </c>
      <c r="H61" s="20" t="n">
        <v>1.90865554</v>
      </c>
      <c r="I61" s="18" t="s">
        <v>567</v>
      </c>
      <c r="J61" s="20" t="s">
        <v>567</v>
      </c>
      <c r="K61" s="18" t="n">
        <v>0.84856528</v>
      </c>
      <c r="L61" s="20" t="n">
        <v>0.39012394</v>
      </c>
      <c r="M61" s="18" t="n">
        <v>0</v>
      </c>
      <c r="N61" s="20" t="n">
        <v>0</v>
      </c>
      <c r="O61" s="18" t="n">
        <v>0</v>
      </c>
      <c r="P61" s="20" t="n">
        <v>0</v>
      </c>
      <c r="Q61" s="18" t="n">
        <v>0.84250639</v>
      </c>
      <c r="R61" s="20" t="n">
        <v>0.36245365</v>
      </c>
    </row>
    <row r="62" spans="1:18">
      <c r="A62" s="15" t="s">
        <v>622</v>
      </c>
      <c r="B62" s="17" t="n">
        <v>2246</v>
      </c>
      <c r="C62" s="18">
        <f>(1753.0/B62*100)</f>
        <v/>
      </c>
      <c r="D62" s="19" t="n">
        <v>493</v>
      </c>
      <c r="E62" s="18" t="n">
        <v>62.06672234</v>
      </c>
      <c r="F62" s="20" t="n">
        <v>1.89871489</v>
      </c>
      <c r="G62" s="18" t="n">
        <v>37.51909674</v>
      </c>
      <c r="H62" s="20" t="n">
        <v>1.88863893</v>
      </c>
      <c r="I62" s="18" t="s">
        <v>567</v>
      </c>
      <c r="J62" s="20" t="s">
        <v>567</v>
      </c>
      <c r="K62" s="18" t="n">
        <v>0.41418092</v>
      </c>
      <c r="L62" s="20" t="n">
        <v>0.25395529</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(2282.0/B66*100)</f>
        <v/>
      </c>
      <c r="D66" s="19" t="n">
        <v>612</v>
      </c>
      <c r="E66" s="18" t="n">
        <v>77.83170057</v>
      </c>
      <c r="F66" s="20" t="n">
        <v>1.66885156</v>
      </c>
      <c r="G66" s="18" t="n">
        <v>13.1872691</v>
      </c>
      <c r="H66" s="20" t="n">
        <v>1.24935251</v>
      </c>
      <c r="I66" s="18" t="s">
        <v>567</v>
      </c>
      <c r="J66" s="20" t="s">
        <v>567</v>
      </c>
      <c r="K66" s="18" t="n">
        <v>5.32340878</v>
      </c>
      <c r="L66" s="20" t="n">
        <v>1.02639395</v>
      </c>
      <c r="M66" s="18" t="n">
        <v>0</v>
      </c>
      <c r="N66" s="20" t="n">
        <v>0</v>
      </c>
      <c r="O66" s="18" t="n">
        <v>0</v>
      </c>
      <c r="P66" s="20" t="n">
        <v>0</v>
      </c>
      <c r="Q66" s="18" t="n">
        <v>3.65762155</v>
      </c>
      <c r="R66" s="20" t="n">
        <v>0.80095824</v>
      </c>
    </row>
    <row r="67" spans="1:18">
      <c r="A67" s="15" t="s">
        <v>627</v>
      </c>
      <c r="B67" s="17" t="n">
        <v>3511</v>
      </c>
      <c r="C67" s="18">
        <f>(2898.0/B67*100)</f>
        <v/>
      </c>
      <c r="D67" s="19" t="n">
        <v>613</v>
      </c>
      <c r="E67" s="18" t="n">
        <v>83.02354668</v>
      </c>
      <c r="F67" s="20" t="n">
        <v>1.73087765</v>
      </c>
      <c r="G67" s="18" t="n">
        <v>12.76033036</v>
      </c>
      <c r="H67" s="20" t="n">
        <v>1.52110331</v>
      </c>
      <c r="I67" s="18" t="s">
        <v>567</v>
      </c>
      <c r="J67" s="20" t="s">
        <v>567</v>
      </c>
      <c r="K67" s="18" t="n">
        <v>1.58175834</v>
      </c>
      <c r="L67" s="20" t="n">
        <v>0.59094077</v>
      </c>
      <c r="M67" s="18" t="n">
        <v>0</v>
      </c>
      <c r="N67" s="20" t="n">
        <v>0</v>
      </c>
      <c r="O67" s="18" t="n">
        <v>0</v>
      </c>
      <c r="P67" s="20" t="n">
        <v>0</v>
      </c>
      <c r="Q67" s="18" t="n">
        <v>2.63436462</v>
      </c>
      <c r="R67" s="20" t="n">
        <v>0.67740221</v>
      </c>
    </row>
    <row r="68" spans="1:18">
      <c r="A68" s="15" t="s">
        <v>628</v>
      </c>
      <c r="B68" s="17" t="n">
        <v>6049</v>
      </c>
      <c r="C68" s="18">
        <f>(4703.0/B68*100)</f>
        <v/>
      </c>
      <c r="D68" s="19" t="n">
        <v>1346</v>
      </c>
      <c r="E68" s="18" t="n">
        <v>74.46266239000001</v>
      </c>
      <c r="F68" s="20" t="n">
        <v>1.37371821</v>
      </c>
      <c r="G68" s="18" t="n">
        <v>15.32522866</v>
      </c>
      <c r="H68" s="20" t="n">
        <v>0.9943079500000001</v>
      </c>
      <c r="I68" s="18" t="s">
        <v>567</v>
      </c>
      <c r="J68" s="20" t="s">
        <v>567</v>
      </c>
      <c r="K68" s="18" t="n">
        <v>7.99751861</v>
      </c>
      <c r="L68" s="20" t="n">
        <v>0.74219579</v>
      </c>
      <c r="M68" s="18" t="n">
        <v>0</v>
      </c>
      <c r="N68" s="20" t="n">
        <v>0</v>
      </c>
      <c r="O68" s="18" t="n">
        <v>0</v>
      </c>
      <c r="P68" s="20" t="n">
        <v>0</v>
      </c>
      <c r="Q68" s="18" t="n">
        <v>2.21459034</v>
      </c>
      <c r="R68" s="20" t="n">
        <v>0.37167228</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(2327.0/B70*100)</f>
        <v/>
      </c>
      <c r="D70" s="19" t="n">
        <v>602</v>
      </c>
      <c r="E70" s="18" t="n">
        <v>65.09752951999999</v>
      </c>
      <c r="F70" s="20" t="n">
        <v>2.26202637</v>
      </c>
      <c r="G70" s="18" t="n">
        <v>32.59539384</v>
      </c>
      <c r="H70" s="20" t="n">
        <v>2.19615485</v>
      </c>
      <c r="I70" s="18" t="s">
        <v>567</v>
      </c>
      <c r="J70" s="20" t="s">
        <v>567</v>
      </c>
      <c r="K70" s="18" t="n">
        <v>1.86360639</v>
      </c>
      <c r="L70" s="20" t="n">
        <v>0.56287483</v>
      </c>
      <c r="M70" s="18" t="n">
        <v>0</v>
      </c>
      <c r="N70" s="20" t="n">
        <v>0</v>
      </c>
      <c r="O70" s="18" t="n">
        <v>0</v>
      </c>
      <c r="P70" s="20" t="n">
        <v>0</v>
      </c>
      <c r="Q70" s="18" t="n">
        <v>0.44347025</v>
      </c>
      <c r="R70" s="20" t="n">
        <v>0.27503286</v>
      </c>
    </row>
    <row r="71" spans="1:18">
      <c r="A71" s="15" t="s">
        <v>631</v>
      </c>
      <c r="B71" s="17" t="n">
        <v>3142</v>
      </c>
      <c r="C71" s="18">
        <f>(2451.0/B71*100)</f>
        <v/>
      </c>
      <c r="D71" s="19" t="n">
        <v>691</v>
      </c>
      <c r="E71" s="18" t="n">
        <v>49.34639973</v>
      </c>
      <c r="F71" s="20" t="n">
        <v>1.93305025</v>
      </c>
      <c r="G71" s="18" t="n">
        <v>48.9675456</v>
      </c>
      <c r="H71" s="20" t="n">
        <v>1.86782091</v>
      </c>
      <c r="I71" s="18" t="s">
        <v>567</v>
      </c>
      <c r="J71" s="20" t="s">
        <v>567</v>
      </c>
      <c r="K71" s="18" t="n">
        <v>1.29588293</v>
      </c>
      <c r="L71" s="20" t="n">
        <v>0.42966051</v>
      </c>
      <c r="M71" s="18" t="n">
        <v>0</v>
      </c>
      <c r="N71" s="20" t="n">
        <v>0</v>
      </c>
      <c r="O71" s="18" t="n">
        <v>0</v>
      </c>
      <c r="P71" s="20" t="n">
        <v>0</v>
      </c>
      <c r="Q71" s="18" t="n">
        <v>0.39017174</v>
      </c>
      <c r="R71" s="20" t="n">
        <v>0.17052035</v>
      </c>
    </row>
    <row r="72" spans="1:18">
      <c r="A72" s="15" t="s">
        <v>632</v>
      </c>
      <c r="B72" s="17" t="n">
        <v>3889</v>
      </c>
      <c r="C72" s="18">
        <f>(3057.0/B72*100)</f>
        <v/>
      </c>
      <c r="D72" s="19" t="n">
        <v>832</v>
      </c>
      <c r="E72" s="18" t="n">
        <v>52.33507436</v>
      </c>
      <c r="F72" s="20" t="n">
        <v>2.31721854</v>
      </c>
      <c r="G72" s="18" t="n">
        <v>46.83484603</v>
      </c>
      <c r="H72" s="20" t="n">
        <v>2.32932409</v>
      </c>
      <c r="I72" s="18" t="s">
        <v>567</v>
      </c>
      <c r="J72" s="20" t="s">
        <v>567</v>
      </c>
      <c r="K72" s="18" t="n">
        <v>0.66794912</v>
      </c>
      <c r="L72" s="20" t="n">
        <v>0.27627892</v>
      </c>
      <c r="M72" s="18" t="n">
        <v>0</v>
      </c>
      <c r="N72" s="20" t="n">
        <v>0</v>
      </c>
      <c r="O72" s="18" t="n">
        <v>0</v>
      </c>
      <c r="P72" s="20" t="n">
        <v>0</v>
      </c>
      <c r="Q72" s="18" t="n">
        <v>0.16213049</v>
      </c>
      <c r="R72" s="20" t="n">
        <v>0.16201382</v>
      </c>
    </row>
    <row r="73" spans="1:18">
      <c r="A73" s="15" t="s">
        <v>633</v>
      </c>
      <c r="B73" s="17" t="n">
        <v>3597</v>
      </c>
      <c r="C73" s="18">
        <f>(2885.0/B73*100)</f>
        <v/>
      </c>
      <c r="D73" s="19" t="n">
        <v>712</v>
      </c>
      <c r="E73" s="18" t="n">
        <v>85.58646208</v>
      </c>
      <c r="F73" s="20" t="n">
        <v>1.48046885</v>
      </c>
      <c r="G73" s="18" t="n">
        <v>12.46858998</v>
      </c>
      <c r="H73" s="20" t="n">
        <v>1.4387126</v>
      </c>
      <c r="I73" s="18" t="s">
        <v>567</v>
      </c>
      <c r="J73" s="20" t="s">
        <v>567</v>
      </c>
      <c r="K73" s="18" t="n">
        <v>0.07702183</v>
      </c>
      <c r="L73" s="20" t="n">
        <v>0.07568866</v>
      </c>
      <c r="M73" s="18" t="n">
        <v>0</v>
      </c>
      <c r="N73" s="20" t="n">
        <v>0</v>
      </c>
      <c r="O73" s="18" t="n">
        <v>0</v>
      </c>
      <c r="P73" s="20" t="n">
        <v>0</v>
      </c>
      <c r="Q73" s="18" t="n">
        <v>1.86792611</v>
      </c>
      <c r="R73" s="20" t="n">
        <v>0.7727572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(1952.0/B75*100)</f>
        <v/>
      </c>
      <c r="D75" s="19" t="n">
        <v>454</v>
      </c>
      <c r="E75" s="18" t="n">
        <v>77.20458862</v>
      </c>
      <c r="F75" s="20" t="n">
        <v>2.03510374</v>
      </c>
      <c r="G75" s="18" t="n">
        <v>13.34497365</v>
      </c>
      <c r="H75" s="20" t="n">
        <v>1.61769265</v>
      </c>
      <c r="I75" s="18" t="s">
        <v>567</v>
      </c>
      <c r="J75" s="20" t="s">
        <v>567</v>
      </c>
      <c r="K75" s="18" t="n">
        <v>6.48284874</v>
      </c>
      <c r="L75" s="20" t="n">
        <v>1.24985226</v>
      </c>
      <c r="M75" s="18" t="n">
        <v>0</v>
      </c>
      <c r="N75" s="20" t="n">
        <v>0</v>
      </c>
      <c r="O75" s="18" t="n">
        <v>0</v>
      </c>
      <c r="P75" s="20" t="n">
        <v>0</v>
      </c>
      <c r="Q75" s="18" t="n">
        <v>2.96758899</v>
      </c>
      <c r="R75" s="20" t="n">
        <v>0.76713969</v>
      </c>
    </row>
    <row r="76" spans="1:18">
      <c r="A76" s="15" t="s">
        <v>636</v>
      </c>
      <c r="B76" s="17" t="n">
        <v>7052</v>
      </c>
      <c r="C76" s="18">
        <f>(5566.0/B76*100)</f>
        <v/>
      </c>
      <c r="D76" s="19" t="n">
        <v>1486</v>
      </c>
      <c r="E76" s="18" t="n">
        <v>73.13283871</v>
      </c>
      <c r="F76" s="20" t="n">
        <v>1.53233411</v>
      </c>
      <c r="G76" s="18" t="n">
        <v>21.30960369</v>
      </c>
      <c r="H76" s="20" t="n">
        <v>1.3454319</v>
      </c>
      <c r="I76" s="18" t="s">
        <v>567</v>
      </c>
      <c r="J76" s="20" t="s">
        <v>567</v>
      </c>
      <c r="K76" s="18" t="n">
        <v>4.03970425</v>
      </c>
      <c r="L76" s="20" t="n">
        <v>0.64725267</v>
      </c>
      <c r="M76" s="18" t="n">
        <v>0</v>
      </c>
      <c r="N76" s="20" t="n">
        <v>0</v>
      </c>
      <c r="O76" s="18" t="n">
        <v>0</v>
      </c>
      <c r="P76" s="20" t="n">
        <v>0</v>
      </c>
      <c r="Q76" s="18" t="n">
        <v>1.51785334</v>
      </c>
      <c r="R76" s="20" t="n">
        <v>0.29044538</v>
      </c>
    </row>
    <row r="77" spans="1:18">
      <c r="A77" s="15" t="s">
        <v>637</v>
      </c>
      <c r="B77" s="17" t="n">
        <v>2908</v>
      </c>
      <c r="C77" s="18">
        <f>(2309.0/B77*100)</f>
        <v/>
      </c>
      <c r="D77" s="19" t="n">
        <v>599</v>
      </c>
      <c r="E77" s="18" t="n">
        <v>76.76531292999999</v>
      </c>
      <c r="F77" s="20" t="n">
        <v>2.03485606</v>
      </c>
      <c r="G77" s="18" t="n">
        <v>17.14460977</v>
      </c>
      <c r="H77" s="20" t="n">
        <v>1.75714533</v>
      </c>
      <c r="I77" s="18" t="s">
        <v>567</v>
      </c>
      <c r="J77" s="20" t="s">
        <v>567</v>
      </c>
      <c r="K77" s="18" t="n">
        <v>4.20405741</v>
      </c>
      <c r="L77" s="20" t="n">
        <v>0.9831583699999999</v>
      </c>
      <c r="M77" s="18" t="n">
        <v>0</v>
      </c>
      <c r="N77" s="20" t="n">
        <v>0</v>
      </c>
      <c r="O77" s="18" t="n">
        <v>0</v>
      </c>
      <c r="P77" s="20" t="n">
        <v>0</v>
      </c>
      <c r="Q77" s="18" t="n">
        <v>1.88601988</v>
      </c>
      <c r="R77" s="20" t="n">
        <v>0.66272689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(3261.0/B81*100)</f>
        <v/>
      </c>
      <c r="D81" s="19" t="n">
        <v>902</v>
      </c>
      <c r="E81" s="18" t="n">
        <v>80.95195864999999</v>
      </c>
      <c r="F81" s="20" t="n">
        <v>1.73578383</v>
      </c>
      <c r="G81" s="18" t="n">
        <v>17.16673286</v>
      </c>
      <c r="H81" s="20" t="n">
        <v>1.71755534</v>
      </c>
      <c r="I81" s="18" t="s">
        <v>567</v>
      </c>
      <c r="J81" s="20" t="s">
        <v>567</v>
      </c>
      <c r="K81" s="18" t="n">
        <v>1.42873976</v>
      </c>
      <c r="L81" s="20" t="n">
        <v>0.56464261</v>
      </c>
      <c r="M81" s="18" t="n">
        <v>0</v>
      </c>
      <c r="N81" s="20" t="n">
        <v>0</v>
      </c>
      <c r="O81" s="18" t="n">
        <v>0</v>
      </c>
      <c r="P81" s="20" t="n">
        <v>0</v>
      </c>
      <c r="Q81" s="18" t="n">
        <v>0.45256873</v>
      </c>
      <c r="R81" s="20" t="n">
        <v>0.14174211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(5874.0/B7*100)</f>
        <v/>
      </c>
      <c r="D7" s="19" t="n">
        <v>1493</v>
      </c>
      <c r="E7" s="18" t="n">
        <v>42.33410581</v>
      </c>
      <c r="F7" s="20" t="n">
        <v>1.54293106</v>
      </c>
      <c r="G7" s="18" t="n">
        <v>54.34533872</v>
      </c>
      <c r="H7" s="20" t="n">
        <v>1.61716081</v>
      </c>
      <c r="I7" s="18" t="s">
        <v>567</v>
      </c>
      <c r="J7" s="20" t="s">
        <v>567</v>
      </c>
      <c r="K7" s="18" t="n">
        <v>2.08665329</v>
      </c>
      <c r="L7" s="20" t="n">
        <v>0.48298039</v>
      </c>
      <c r="M7" s="18" t="n">
        <v>0</v>
      </c>
      <c r="N7" s="20" t="n">
        <v>0</v>
      </c>
      <c r="O7" s="18" t="n">
        <v>0</v>
      </c>
      <c r="P7" s="20" t="n">
        <v>0</v>
      </c>
      <c r="Q7" s="18" t="n">
        <v>1.23390217</v>
      </c>
      <c r="R7" s="20" t="n">
        <v>0.30803378</v>
      </c>
    </row>
    <row r="8" spans="1:18">
      <c r="A8" s="15" t="s">
        <v>568</v>
      </c>
      <c r="B8" s="17" t="n">
        <v>3564</v>
      </c>
      <c r="C8" s="18">
        <f>(2788.0/B8*100)</f>
        <v/>
      </c>
      <c r="D8" s="19" t="n">
        <v>776</v>
      </c>
      <c r="E8" s="18" t="n">
        <v>37.25885275</v>
      </c>
      <c r="F8" s="20" t="n">
        <v>1.77461075</v>
      </c>
      <c r="G8" s="18" t="n">
        <v>57.24741348</v>
      </c>
      <c r="H8" s="20" t="n">
        <v>2.10518397</v>
      </c>
      <c r="I8" s="18" t="s">
        <v>567</v>
      </c>
      <c r="J8" s="20" t="s">
        <v>567</v>
      </c>
      <c r="K8" s="18" t="n">
        <v>4.34754718</v>
      </c>
      <c r="L8" s="20" t="n">
        <v>0.82999103</v>
      </c>
      <c r="M8" s="18" t="n">
        <v>0</v>
      </c>
      <c r="N8" s="20" t="n">
        <v>0</v>
      </c>
      <c r="O8" s="18" t="n">
        <v>0</v>
      </c>
      <c r="P8" s="20" t="n">
        <v>0</v>
      </c>
      <c r="Q8" s="18" t="n">
        <v>1.1461866</v>
      </c>
      <c r="R8" s="20" t="n">
        <v>0.4120157</v>
      </c>
    </row>
    <row r="9" spans="1:18">
      <c r="A9" s="15" t="s">
        <v>569</v>
      </c>
      <c r="B9" s="17" t="n">
        <v>4899</v>
      </c>
      <c r="C9" s="18">
        <f>(3943.0/B9*100)</f>
        <v/>
      </c>
      <c r="D9" s="19" t="n">
        <v>956</v>
      </c>
      <c r="E9" s="18" t="n">
        <v>37.72750463</v>
      </c>
      <c r="F9" s="20" t="n">
        <v>1.54243859</v>
      </c>
      <c r="G9" s="18" t="n">
        <v>57.49769125</v>
      </c>
      <c r="H9" s="20" t="n">
        <v>1.69302722</v>
      </c>
      <c r="I9" s="18" t="s">
        <v>567</v>
      </c>
      <c r="J9" s="20" t="s">
        <v>567</v>
      </c>
      <c r="K9" s="18" t="n">
        <v>3.97889891</v>
      </c>
      <c r="L9" s="20" t="n">
        <v>0.7345968</v>
      </c>
      <c r="M9" s="18" t="n">
        <v>0</v>
      </c>
      <c r="N9" s="20" t="n">
        <v>0</v>
      </c>
      <c r="O9" s="18" t="n">
        <v>0</v>
      </c>
      <c r="P9" s="20" t="n">
        <v>0</v>
      </c>
      <c r="Q9" s="18" t="n">
        <v>0.79590521</v>
      </c>
      <c r="R9" s="20" t="n">
        <v>0.3363381</v>
      </c>
    </row>
    <row r="10" spans="1:18">
      <c r="A10" s="15" t="s">
        <v>570</v>
      </c>
      <c r="B10" s="17" t="n">
        <v>10036</v>
      </c>
      <c r="C10" s="18">
        <f>(7856.0/B10*100)</f>
        <v/>
      </c>
      <c r="D10" s="19" t="n">
        <v>2180</v>
      </c>
      <c r="E10" s="18" t="n">
        <v>36.73622145</v>
      </c>
      <c r="F10" s="20" t="n">
        <v>1.37967129</v>
      </c>
      <c r="G10" s="18" t="n">
        <v>59.79589981</v>
      </c>
      <c r="H10" s="20" t="n">
        <v>1.39170508</v>
      </c>
      <c r="I10" s="18" t="s">
        <v>567</v>
      </c>
      <c r="J10" s="20" t="s">
        <v>567</v>
      </c>
      <c r="K10" s="18" t="n">
        <v>2.49648273</v>
      </c>
      <c r="L10" s="20" t="n">
        <v>0.44384259</v>
      </c>
      <c r="M10" s="18" t="n">
        <v>0</v>
      </c>
      <c r="N10" s="20" t="n">
        <v>0</v>
      </c>
      <c r="O10" s="18" t="n">
        <v>0</v>
      </c>
      <c r="P10" s="20" t="n">
        <v>0</v>
      </c>
      <c r="Q10" s="18" t="n">
        <v>0.971396</v>
      </c>
      <c r="R10" s="20" t="n">
        <v>0.265444</v>
      </c>
    </row>
    <row r="11" spans="1:18">
      <c r="A11" s="15" t="s">
        <v>571</v>
      </c>
      <c r="B11" s="17" t="n">
        <v>3553</v>
      </c>
      <c r="C11" s="18">
        <f>(2819.0/B11*100)</f>
        <v/>
      </c>
      <c r="D11" s="19" t="n">
        <v>734</v>
      </c>
      <c r="E11" s="18" t="n">
        <v>49.40148351</v>
      </c>
      <c r="F11" s="20" t="n">
        <v>2.38521138</v>
      </c>
      <c r="G11" s="18" t="n">
        <v>42.85674922</v>
      </c>
      <c r="H11" s="20" t="n">
        <v>2.12936124</v>
      </c>
      <c r="I11" s="18" t="s">
        <v>567</v>
      </c>
      <c r="J11" s="20" t="s">
        <v>567</v>
      </c>
      <c r="K11" s="18" t="n">
        <v>6.91860756</v>
      </c>
      <c r="L11" s="20" t="n">
        <v>1.30200238</v>
      </c>
      <c r="M11" s="18" t="n">
        <v>0</v>
      </c>
      <c r="N11" s="20" t="n">
        <v>0</v>
      </c>
      <c r="O11" s="18" t="n">
        <v>0</v>
      </c>
      <c r="P11" s="20" t="n">
        <v>0</v>
      </c>
      <c r="Q11" s="18" t="n">
        <v>0.82315972</v>
      </c>
      <c r="R11" s="20" t="n">
        <v>0.48930607</v>
      </c>
    </row>
    <row r="12" spans="1:18">
      <c r="A12" s="15" t="s">
        <v>572</v>
      </c>
      <c r="B12" s="17" t="n">
        <v>3472</v>
      </c>
      <c r="C12" s="18">
        <f>(2744.0/B12*100)</f>
        <v/>
      </c>
      <c r="D12" s="19" t="n">
        <v>728</v>
      </c>
      <c r="E12" s="18" t="n">
        <v>42.56746368</v>
      </c>
      <c r="F12" s="20" t="n">
        <v>2.0834656</v>
      </c>
      <c r="G12" s="18" t="n">
        <v>54.31755217</v>
      </c>
      <c r="H12" s="20" t="n">
        <v>2.07399003</v>
      </c>
      <c r="I12" s="18" t="s">
        <v>567</v>
      </c>
      <c r="J12" s="20" t="s">
        <v>567</v>
      </c>
      <c r="K12" s="18" t="n">
        <v>2.33254628</v>
      </c>
      <c r="L12" s="20" t="n">
        <v>0.65672687</v>
      </c>
      <c r="M12" s="18" t="n">
        <v>0</v>
      </c>
      <c r="N12" s="20" t="n">
        <v>0</v>
      </c>
      <c r="O12" s="18" t="n">
        <v>0</v>
      </c>
      <c r="P12" s="20" t="n">
        <v>0</v>
      </c>
      <c r="Q12" s="18" t="n">
        <v>0.78243787</v>
      </c>
      <c r="R12" s="20" t="n">
        <v>0.37550561</v>
      </c>
    </row>
    <row r="13" spans="1:18">
      <c r="A13" s="15" t="s">
        <v>573</v>
      </c>
      <c r="B13" s="17" t="n">
        <v>3559</v>
      </c>
      <c r="C13" s="18">
        <f>(2860.0/B13*100)</f>
        <v/>
      </c>
      <c r="D13" s="19" t="n">
        <v>699</v>
      </c>
      <c r="E13" s="18" t="n">
        <v>44.11522127</v>
      </c>
      <c r="F13" s="20" t="n">
        <v>2.2651431</v>
      </c>
      <c r="G13" s="18" t="n">
        <v>52.90682202</v>
      </c>
      <c r="H13" s="20" t="n">
        <v>2.30069783</v>
      </c>
      <c r="I13" s="18" t="s">
        <v>567</v>
      </c>
      <c r="J13" s="20" t="s">
        <v>567</v>
      </c>
      <c r="K13" s="18" t="n">
        <v>2.46370006</v>
      </c>
      <c r="L13" s="20" t="n">
        <v>0.6797097</v>
      </c>
      <c r="M13" s="18" t="n">
        <v>0</v>
      </c>
      <c r="N13" s="20" t="n">
        <v>0</v>
      </c>
      <c r="O13" s="18" t="n">
        <v>0</v>
      </c>
      <c r="P13" s="20" t="n">
        <v>0</v>
      </c>
      <c r="Q13" s="18" t="n">
        <v>0.51425664</v>
      </c>
      <c r="R13" s="20" t="n">
        <v>0.32188167</v>
      </c>
    </row>
    <row r="14" spans="1:18">
      <c r="A14" s="15" t="s">
        <v>574</v>
      </c>
      <c r="B14" s="17" t="n">
        <v>2799</v>
      </c>
      <c r="C14" s="18">
        <f>(2170.0/B14*100)</f>
        <v/>
      </c>
      <c r="D14" s="19" t="n">
        <v>629</v>
      </c>
      <c r="E14" s="18" t="n">
        <v>44.81536019</v>
      </c>
      <c r="F14" s="20" t="n">
        <v>2.17804853</v>
      </c>
      <c r="G14" s="18" t="n">
        <v>52.46879966</v>
      </c>
      <c r="H14" s="20" t="n">
        <v>2.1449225</v>
      </c>
      <c r="I14" s="18" t="s">
        <v>567</v>
      </c>
      <c r="J14" s="20" t="s">
        <v>567</v>
      </c>
      <c r="K14" s="18" t="n">
        <v>2.41473403</v>
      </c>
      <c r="L14" s="20" t="n">
        <v>0.73348607</v>
      </c>
      <c r="M14" s="18" t="n">
        <v>0</v>
      </c>
      <c r="N14" s="20" t="n">
        <v>0</v>
      </c>
      <c r="O14" s="18" t="n">
        <v>0</v>
      </c>
      <c r="P14" s="20" t="n">
        <v>0</v>
      </c>
      <c r="Q14" s="18" t="n">
        <v>0.30110612</v>
      </c>
      <c r="R14" s="20" t="n">
        <v>0.21611793</v>
      </c>
    </row>
    <row r="15" spans="1:18">
      <c r="A15" s="15" t="s">
        <v>575</v>
      </c>
      <c r="B15" s="17" t="n">
        <v>3019</v>
      </c>
      <c r="C15" s="18">
        <f>(2339.0/B15*100)</f>
        <v/>
      </c>
      <c r="D15" s="19" t="n">
        <v>680</v>
      </c>
      <c r="E15" s="18" t="n">
        <v>35.67724083</v>
      </c>
      <c r="F15" s="20" t="n">
        <v>1.7472456</v>
      </c>
      <c r="G15" s="18" t="n">
        <v>62.32183594</v>
      </c>
      <c r="H15" s="20" t="n">
        <v>1.75545003</v>
      </c>
      <c r="I15" s="18" t="s">
        <v>567</v>
      </c>
      <c r="J15" s="20" t="s">
        <v>567</v>
      </c>
      <c r="K15" s="18" t="n">
        <v>1.58648009</v>
      </c>
      <c r="L15" s="20" t="n">
        <v>0.46511832</v>
      </c>
      <c r="M15" s="18" t="n">
        <v>0</v>
      </c>
      <c r="N15" s="20" t="n">
        <v>0</v>
      </c>
      <c r="O15" s="18" t="n">
        <v>0</v>
      </c>
      <c r="P15" s="20" t="n">
        <v>0</v>
      </c>
      <c r="Q15" s="18" t="n">
        <v>0.41444313</v>
      </c>
      <c r="R15" s="20" t="n">
        <v>0.24425529</v>
      </c>
    </row>
    <row r="16" spans="1:18">
      <c r="A16" s="15" t="s">
        <v>576</v>
      </c>
      <c r="B16" s="17" t="n">
        <v>2997</v>
      </c>
      <c r="C16" s="18">
        <f>(2396.0/B16*100)</f>
        <v/>
      </c>
      <c r="D16" s="19" t="n">
        <v>601</v>
      </c>
      <c r="E16" s="18" t="n">
        <v>37.98679622</v>
      </c>
      <c r="F16" s="20" t="n">
        <v>1.87627279</v>
      </c>
      <c r="G16" s="18" t="n">
        <v>54.20502211</v>
      </c>
      <c r="H16" s="20" t="n">
        <v>2.01399624</v>
      </c>
      <c r="I16" s="18" t="s">
        <v>567</v>
      </c>
      <c r="J16" s="20" t="s">
        <v>567</v>
      </c>
      <c r="K16" s="18" t="n">
        <v>6.63469178</v>
      </c>
      <c r="L16" s="20" t="n">
        <v>0.9949358</v>
      </c>
      <c r="M16" s="18" t="n">
        <v>0</v>
      </c>
      <c r="N16" s="20" t="n">
        <v>0</v>
      </c>
      <c r="O16" s="18" t="n">
        <v>0</v>
      </c>
      <c r="P16" s="20" t="n">
        <v>0</v>
      </c>
      <c r="Q16" s="18" t="n">
        <v>1.1734899</v>
      </c>
      <c r="R16" s="20" t="n">
        <v>0.55107985</v>
      </c>
    </row>
    <row r="17" spans="1:18">
      <c r="A17" s="15" t="s">
        <v>577</v>
      </c>
      <c r="B17" s="17" t="n">
        <v>3307</v>
      </c>
      <c r="C17" s="18">
        <f>(2622.0/B17*100)</f>
        <v/>
      </c>
      <c r="D17" s="19" t="n">
        <v>685</v>
      </c>
      <c r="E17" s="18" t="n">
        <v>39.76650202</v>
      </c>
      <c r="F17" s="20" t="n">
        <v>2.06593353</v>
      </c>
      <c r="G17" s="18" t="n">
        <v>56.82527901</v>
      </c>
      <c r="H17" s="20" t="n">
        <v>2.04334043</v>
      </c>
      <c r="I17" s="18" t="s">
        <v>567</v>
      </c>
      <c r="J17" s="20" t="s">
        <v>567</v>
      </c>
      <c r="K17" s="18" t="n">
        <v>2.93117608</v>
      </c>
      <c r="L17" s="20" t="n">
        <v>0.80926749</v>
      </c>
      <c r="M17" s="18" t="n">
        <v>0</v>
      </c>
      <c r="N17" s="20" t="n">
        <v>0</v>
      </c>
      <c r="O17" s="18" t="n">
        <v>0</v>
      </c>
      <c r="P17" s="20" t="n">
        <v>0</v>
      </c>
      <c r="Q17" s="18" t="n">
        <v>0.47704289</v>
      </c>
      <c r="R17" s="20" t="n">
        <v>0.26936189</v>
      </c>
    </row>
    <row r="18" spans="1:18">
      <c r="A18" s="15" t="s">
        <v>578</v>
      </c>
      <c r="B18" s="17" t="n">
        <v>2826</v>
      </c>
      <c r="C18" s="18">
        <f>(2222.0/B18*100)</f>
        <v/>
      </c>
      <c r="D18" s="19" t="n">
        <v>604</v>
      </c>
      <c r="E18" s="18" t="n">
        <v>55.96258545</v>
      </c>
      <c r="F18" s="20" t="n">
        <v>2.0240834</v>
      </c>
      <c r="G18" s="18" t="n">
        <v>39.47448546</v>
      </c>
      <c r="H18" s="20" t="n">
        <v>2.10778332</v>
      </c>
      <c r="I18" s="18" t="s">
        <v>567</v>
      </c>
      <c r="J18" s="20" t="s">
        <v>567</v>
      </c>
      <c r="K18" s="18" t="n">
        <v>3.47727403</v>
      </c>
      <c r="L18" s="20" t="n">
        <v>0.79906113</v>
      </c>
      <c r="M18" s="18" t="n">
        <v>0</v>
      </c>
      <c r="N18" s="20" t="n">
        <v>0</v>
      </c>
      <c r="O18" s="18" t="n">
        <v>0</v>
      </c>
      <c r="P18" s="20" t="n">
        <v>0</v>
      </c>
      <c r="Q18" s="18" t="n">
        <v>1.08565506</v>
      </c>
      <c r="R18" s="20" t="n">
        <v>0.41732257</v>
      </c>
    </row>
    <row r="19" spans="1:18">
      <c r="A19" s="15" t="s">
        <v>579</v>
      </c>
      <c r="B19" s="17" t="n">
        <v>2808</v>
      </c>
      <c r="C19" s="18">
        <f>(2204.0/B19*100)</f>
        <v/>
      </c>
      <c r="D19" s="19" t="n">
        <v>604</v>
      </c>
      <c r="E19" s="18" t="n">
        <v>50.57067678</v>
      </c>
      <c r="F19" s="20" t="n">
        <v>2.23607397</v>
      </c>
      <c r="G19" s="18" t="n">
        <v>45.70170267</v>
      </c>
      <c r="H19" s="20" t="n">
        <v>2.05594092</v>
      </c>
      <c r="I19" s="18" t="s">
        <v>567</v>
      </c>
      <c r="J19" s="20" t="s">
        <v>567</v>
      </c>
      <c r="K19" s="18" t="n">
        <v>3.30729334</v>
      </c>
      <c r="L19" s="20" t="n">
        <v>0.81311514</v>
      </c>
      <c r="M19" s="18" t="n">
        <v>0</v>
      </c>
      <c r="N19" s="20" t="n">
        <v>0</v>
      </c>
      <c r="O19" s="18" t="n">
        <v>0</v>
      </c>
      <c r="P19" s="20" t="n">
        <v>0</v>
      </c>
      <c r="Q19" s="18" t="n">
        <v>0.42032722</v>
      </c>
      <c r="R19" s="20" t="n">
        <v>0.23849467</v>
      </c>
    </row>
    <row r="20" spans="1:18">
      <c r="A20" s="15" t="s">
        <v>580</v>
      </c>
      <c r="B20" s="17" t="n">
        <v>1630</v>
      </c>
      <c r="C20" s="18">
        <f>(1296.0/B20*100)</f>
        <v/>
      </c>
      <c r="D20" s="19" t="n">
        <v>334</v>
      </c>
      <c r="E20" s="18" t="n">
        <v>41.31190607</v>
      </c>
      <c r="F20" s="20" t="n">
        <v>2.99526411</v>
      </c>
      <c r="G20" s="18" t="n">
        <v>53.27329831</v>
      </c>
      <c r="H20" s="20" t="n">
        <v>2.91610555</v>
      </c>
      <c r="I20" s="18" t="s">
        <v>567</v>
      </c>
      <c r="J20" s="20" t="s">
        <v>567</v>
      </c>
      <c r="K20" s="18" t="n">
        <v>4.25531755</v>
      </c>
      <c r="L20" s="20" t="n">
        <v>1.23526183</v>
      </c>
      <c r="M20" s="18" t="n">
        <v>0</v>
      </c>
      <c r="N20" s="20" t="n">
        <v>0</v>
      </c>
      <c r="O20" s="18" t="n">
        <v>0</v>
      </c>
      <c r="P20" s="20" t="n">
        <v>0</v>
      </c>
      <c r="Q20" s="18" t="n">
        <v>1.15947808</v>
      </c>
      <c r="R20" s="20" t="n">
        <v>0.58715174</v>
      </c>
    </row>
    <row r="21" spans="1:18">
      <c r="A21" s="15" t="s">
        <v>581</v>
      </c>
      <c r="B21" s="17" t="n">
        <v>2908</v>
      </c>
      <c r="C21" s="18">
        <f>(2258.0/B21*100)</f>
        <v/>
      </c>
      <c r="D21" s="19" t="n">
        <v>650</v>
      </c>
      <c r="E21" s="18" t="n">
        <v>36.3360188</v>
      </c>
      <c r="F21" s="20" t="n">
        <v>1.83667957</v>
      </c>
      <c r="G21" s="18" t="n">
        <v>60.60858701</v>
      </c>
      <c r="H21" s="20" t="n">
        <v>1.80110674</v>
      </c>
      <c r="I21" s="18" t="s">
        <v>567</v>
      </c>
      <c r="J21" s="20" t="s">
        <v>567</v>
      </c>
      <c r="K21" s="18" t="n">
        <v>2.41326605</v>
      </c>
      <c r="L21" s="20" t="n">
        <v>0.63703644</v>
      </c>
      <c r="M21" s="18" t="n">
        <v>0</v>
      </c>
      <c r="N21" s="20" t="n">
        <v>0</v>
      </c>
      <c r="O21" s="18" t="n">
        <v>0</v>
      </c>
      <c r="P21" s="20" t="n">
        <v>0</v>
      </c>
      <c r="Q21" s="18" t="n">
        <v>0.64212814</v>
      </c>
      <c r="R21" s="20" t="n">
        <v>0.29661615</v>
      </c>
    </row>
    <row r="22" spans="1:18">
      <c r="A22" s="15" t="s">
        <v>582</v>
      </c>
      <c r="B22" s="17" t="n">
        <v>2931</v>
      </c>
      <c r="C22" s="18">
        <f>(2304.0/B22*100)</f>
        <v/>
      </c>
      <c r="D22" s="19" t="n">
        <v>627</v>
      </c>
      <c r="E22" s="18" t="n">
        <v>37.40182668</v>
      </c>
      <c r="F22" s="20" t="n">
        <v>2.18211346</v>
      </c>
      <c r="G22" s="18" t="n">
        <v>56.05223844</v>
      </c>
      <c r="H22" s="20" t="n">
        <v>2.05357262</v>
      </c>
      <c r="I22" s="18" t="s">
        <v>567</v>
      </c>
      <c r="J22" s="20" t="s">
        <v>567</v>
      </c>
      <c r="K22" s="18" t="n">
        <v>5.63048064</v>
      </c>
      <c r="L22" s="20" t="n">
        <v>1.18545951</v>
      </c>
      <c r="M22" s="18" t="n">
        <v>0</v>
      </c>
      <c r="N22" s="20" t="n">
        <v>0</v>
      </c>
      <c r="O22" s="18" t="n">
        <v>0</v>
      </c>
      <c r="P22" s="20" t="n">
        <v>0</v>
      </c>
      <c r="Q22" s="18" t="n">
        <v>0.91545424</v>
      </c>
      <c r="R22" s="20" t="n">
        <v>0.47743642</v>
      </c>
    </row>
    <row r="23" spans="1:18">
      <c r="A23" s="15" t="s">
        <v>583</v>
      </c>
      <c r="B23" s="17" t="n">
        <v>5791</v>
      </c>
      <c r="C23" s="18">
        <f>(4567.0/B23*100)</f>
        <v/>
      </c>
      <c r="D23" s="19" t="n">
        <v>1224</v>
      </c>
      <c r="E23" s="18" t="n">
        <v>45.29834608</v>
      </c>
      <c r="F23" s="20" t="n">
        <v>1.65989688</v>
      </c>
      <c r="G23" s="18" t="n">
        <v>49.76562488</v>
      </c>
      <c r="H23" s="20" t="n">
        <v>2.01931442</v>
      </c>
      <c r="I23" s="18" t="s">
        <v>567</v>
      </c>
      <c r="J23" s="20" t="s">
        <v>567</v>
      </c>
      <c r="K23" s="18" t="n">
        <v>4.28742408</v>
      </c>
      <c r="L23" s="20" t="n">
        <v>1.32851716</v>
      </c>
      <c r="M23" s="18" t="n">
        <v>0</v>
      </c>
      <c r="N23" s="20" t="n">
        <v>0</v>
      </c>
      <c r="O23" s="18" t="n">
        <v>0</v>
      </c>
      <c r="P23" s="20" t="n">
        <v>0</v>
      </c>
      <c r="Q23" s="18" t="n">
        <v>0.64860496</v>
      </c>
      <c r="R23" s="20" t="n">
        <v>0.2904511</v>
      </c>
    </row>
    <row r="24" spans="1:18">
      <c r="A24" s="15" t="s">
        <v>584</v>
      </c>
      <c r="B24" s="17" t="n">
        <v>3338</v>
      </c>
      <c r="C24" s="18">
        <f>(2619.0/B24*100)</f>
        <v/>
      </c>
      <c r="D24" s="19" t="n">
        <v>719</v>
      </c>
      <c r="E24" s="18" t="n">
        <v>38.58616995</v>
      </c>
      <c r="F24" s="20" t="n">
        <v>2.09416612</v>
      </c>
      <c r="G24" s="18" t="n">
        <v>58.54760035</v>
      </c>
      <c r="H24" s="20" t="n">
        <v>2.20036167</v>
      </c>
      <c r="I24" s="18" t="s">
        <v>567</v>
      </c>
      <c r="J24" s="20" t="s">
        <v>567</v>
      </c>
      <c r="K24" s="18" t="n">
        <v>1.37241761</v>
      </c>
      <c r="L24" s="20" t="n">
        <v>0.43753088</v>
      </c>
      <c r="M24" s="18" t="n">
        <v>0</v>
      </c>
      <c r="N24" s="20" t="n">
        <v>0</v>
      </c>
      <c r="O24" s="18" t="n">
        <v>0</v>
      </c>
      <c r="P24" s="20" t="n">
        <v>0</v>
      </c>
      <c r="Q24" s="18" t="n">
        <v>1.49381209</v>
      </c>
      <c r="R24" s="20" t="n">
        <v>0.40821744</v>
      </c>
    </row>
    <row r="25" spans="1:18">
      <c r="A25" s="15" t="s">
        <v>585</v>
      </c>
      <c r="B25" s="17" t="n">
        <v>2912</v>
      </c>
      <c r="C25" s="18">
        <f>(2270.0/B25*100)</f>
        <v/>
      </c>
      <c r="D25" s="19" t="n">
        <v>642</v>
      </c>
      <c r="E25" s="18" t="n">
        <v>34.37673399</v>
      </c>
      <c r="F25" s="20" t="n">
        <v>2.32745406</v>
      </c>
      <c r="G25" s="18" t="n">
        <v>63.30435589</v>
      </c>
      <c r="H25" s="20" t="n">
        <v>2.44788596</v>
      </c>
      <c r="I25" s="18" t="s">
        <v>567</v>
      </c>
      <c r="J25" s="20" t="s">
        <v>567</v>
      </c>
      <c r="K25" s="18" t="n">
        <v>1.3717895</v>
      </c>
      <c r="L25" s="20" t="n">
        <v>0.50116228</v>
      </c>
      <c r="M25" s="18" t="n">
        <v>0</v>
      </c>
      <c r="N25" s="20" t="n">
        <v>0</v>
      </c>
      <c r="O25" s="18" t="n">
        <v>0</v>
      </c>
      <c r="P25" s="20" t="n">
        <v>0</v>
      </c>
      <c r="Q25" s="18" t="n">
        <v>0.94712062</v>
      </c>
      <c r="R25" s="20" t="n">
        <v>0.39083509</v>
      </c>
    </row>
    <row r="26" spans="1:18">
      <c r="A26" s="15" t="s">
        <v>586</v>
      </c>
      <c r="B26" s="17" t="n">
        <v>2450</v>
      </c>
      <c r="C26" s="18">
        <f>(1906.0/B26*100)</f>
        <v/>
      </c>
      <c r="D26" s="19" t="n">
        <v>544</v>
      </c>
      <c r="E26" s="18" t="n">
        <v>50.85690733</v>
      </c>
      <c r="F26" s="20" t="n">
        <v>2.11211486</v>
      </c>
      <c r="G26" s="18" t="n">
        <v>47.51029571</v>
      </c>
      <c r="H26" s="20" t="n">
        <v>2.17858212</v>
      </c>
      <c r="I26" s="18" t="s">
        <v>567</v>
      </c>
      <c r="J26" s="20" t="s">
        <v>567</v>
      </c>
      <c r="K26" s="18" t="n">
        <v>1.1436593</v>
      </c>
      <c r="L26" s="20" t="n">
        <v>0.47204708</v>
      </c>
      <c r="M26" s="18" t="n">
        <v>0</v>
      </c>
      <c r="N26" s="20" t="n">
        <v>0</v>
      </c>
      <c r="O26" s="18" t="n">
        <v>0</v>
      </c>
      <c r="P26" s="20" t="n">
        <v>0</v>
      </c>
      <c r="Q26" s="18" t="n">
        <v>0.48913766</v>
      </c>
      <c r="R26" s="20" t="n">
        <v>0.26787385</v>
      </c>
    </row>
    <row r="27" spans="1:18">
      <c r="A27" s="15" t="s">
        <v>587</v>
      </c>
      <c r="B27" s="17" t="n">
        <v>2616</v>
      </c>
      <c r="C27" s="18">
        <f>(2087.0/B27*100)</f>
        <v/>
      </c>
      <c r="D27" s="19" t="n">
        <v>529</v>
      </c>
      <c r="E27" s="18" t="n">
        <v>41.80183644</v>
      </c>
      <c r="F27" s="20" t="n">
        <v>2.01844013</v>
      </c>
      <c r="G27" s="18" t="n">
        <v>53.10528116</v>
      </c>
      <c r="H27" s="20" t="n">
        <v>2.15291034</v>
      </c>
      <c r="I27" s="18" t="s">
        <v>567</v>
      </c>
      <c r="J27" s="20" t="s">
        <v>567</v>
      </c>
      <c r="K27" s="18" t="n">
        <v>4.15037362</v>
      </c>
      <c r="L27" s="20" t="n">
        <v>0.7932084700000001</v>
      </c>
      <c r="M27" s="18" t="n">
        <v>0</v>
      </c>
      <c r="N27" s="20" t="n">
        <v>0</v>
      </c>
      <c r="O27" s="18" t="n">
        <v>0</v>
      </c>
      <c r="P27" s="20" t="n">
        <v>0</v>
      </c>
      <c r="Q27" s="18" t="n">
        <v>0.94250878</v>
      </c>
      <c r="R27" s="20" t="n">
        <v>0.49551778</v>
      </c>
    </row>
    <row r="28" spans="1:18">
      <c r="A28" s="15" t="s">
        <v>588</v>
      </c>
      <c r="B28" s="17" t="n">
        <v>3765</v>
      </c>
      <c r="C28" s="18">
        <f>(3007.0/B28*100)</f>
        <v/>
      </c>
      <c r="D28" s="19" t="n">
        <v>758</v>
      </c>
      <c r="E28" s="18" t="n">
        <v>51.10267143</v>
      </c>
      <c r="F28" s="20" t="n">
        <v>2.06633248</v>
      </c>
      <c r="G28" s="18" t="n">
        <v>44.90666653</v>
      </c>
      <c r="H28" s="20" t="n">
        <v>2.05287253</v>
      </c>
      <c r="I28" s="18" t="s">
        <v>567</v>
      </c>
      <c r="J28" s="20" t="s">
        <v>567</v>
      </c>
      <c r="K28" s="18" t="n">
        <v>2.67065604</v>
      </c>
      <c r="L28" s="20" t="n">
        <v>0.65821549</v>
      </c>
      <c r="M28" s="18" t="n">
        <v>0</v>
      </c>
      <c r="N28" s="20" t="n">
        <v>0</v>
      </c>
      <c r="O28" s="18" t="n">
        <v>0</v>
      </c>
      <c r="P28" s="20" t="n">
        <v>0</v>
      </c>
      <c r="Q28" s="18" t="n">
        <v>1.320006</v>
      </c>
      <c r="R28" s="20" t="n">
        <v>0.41232395</v>
      </c>
    </row>
    <row r="29" spans="1:18">
      <c r="A29" s="15" t="s">
        <v>589</v>
      </c>
      <c r="B29" s="17" t="n">
        <v>2685</v>
      </c>
      <c r="C29" s="18">
        <f>(2100.0/B29*100)</f>
        <v/>
      </c>
      <c r="D29" s="19" t="n">
        <v>585</v>
      </c>
      <c r="E29" s="18" t="n">
        <v>39.69157886</v>
      </c>
      <c r="F29" s="20" t="n">
        <v>1.98127175</v>
      </c>
      <c r="G29" s="18" t="n">
        <v>59.35756829</v>
      </c>
      <c r="H29" s="20" t="n">
        <v>1.95426754</v>
      </c>
      <c r="I29" s="18" t="s">
        <v>567</v>
      </c>
      <c r="J29" s="20" t="s">
        <v>567</v>
      </c>
      <c r="K29" s="18" t="n">
        <v>0.95085286</v>
      </c>
      <c r="L29" s="20" t="n">
        <v>0.40955107</v>
      </c>
      <c r="M29" s="18" t="n">
        <v>0</v>
      </c>
      <c r="N29" s="20" t="n">
        <v>0</v>
      </c>
      <c r="O29" s="18" t="n">
        <v>0</v>
      </c>
      <c r="P29" s="20" t="n">
        <v>0</v>
      </c>
      <c r="Q29" s="18" t="n">
        <v>0</v>
      </c>
      <c r="R29" s="20" t="n">
        <v>0</v>
      </c>
    </row>
    <row r="30" spans="1:18">
      <c r="A30" s="15" t="s">
        <v>590</v>
      </c>
      <c r="B30" s="17" t="n">
        <v>2263</v>
      </c>
      <c r="C30" s="18">
        <f>(1784.0/B30*100)</f>
        <v/>
      </c>
      <c r="D30" s="19" t="n">
        <v>479</v>
      </c>
      <c r="E30" s="18" t="n">
        <v>40.71038175</v>
      </c>
      <c r="F30" s="20" t="n">
        <v>2.29857609</v>
      </c>
      <c r="G30" s="18" t="n">
        <v>55.47388047</v>
      </c>
      <c r="H30" s="20" t="n">
        <v>2.48449365</v>
      </c>
      <c r="I30" s="18" t="s">
        <v>567</v>
      </c>
      <c r="J30" s="20" t="s">
        <v>567</v>
      </c>
      <c r="K30" s="18" t="n">
        <v>3.3879363</v>
      </c>
      <c r="L30" s="20" t="n">
        <v>0.92353504</v>
      </c>
      <c r="M30" s="18" t="n">
        <v>0</v>
      </c>
      <c r="N30" s="20" t="n">
        <v>0</v>
      </c>
      <c r="O30" s="18" t="n">
        <v>0</v>
      </c>
      <c r="P30" s="20" t="n">
        <v>0</v>
      </c>
      <c r="Q30" s="18" t="n">
        <v>0.42780148</v>
      </c>
      <c r="R30" s="20" t="n">
        <v>0.40961288</v>
      </c>
    </row>
    <row r="31" spans="1:18">
      <c r="A31" s="15" t="s">
        <v>591</v>
      </c>
      <c r="B31" s="17" t="n">
        <v>2750</v>
      </c>
      <c r="C31" s="18">
        <f>(2173.0/B31*100)</f>
        <v/>
      </c>
      <c r="D31" s="19" t="n">
        <v>577</v>
      </c>
      <c r="E31" s="18" t="n">
        <v>39.44031048</v>
      </c>
      <c r="F31" s="20" t="n">
        <v>2.41494606</v>
      </c>
      <c r="G31" s="18" t="n">
        <v>56.22231292</v>
      </c>
      <c r="H31" s="20" t="n">
        <v>2.2062784</v>
      </c>
      <c r="I31" s="18" t="s">
        <v>567</v>
      </c>
      <c r="J31" s="20" t="s">
        <v>567</v>
      </c>
      <c r="K31" s="18" t="n">
        <v>3.85687736</v>
      </c>
      <c r="L31" s="20" t="n">
        <v>0.83575537</v>
      </c>
      <c r="M31" s="18" t="n">
        <v>0</v>
      </c>
      <c r="N31" s="20" t="n">
        <v>0</v>
      </c>
      <c r="O31" s="18" t="n">
        <v>0</v>
      </c>
      <c r="P31" s="20" t="n">
        <v>0</v>
      </c>
      <c r="Q31" s="18" t="n">
        <v>0.48049924</v>
      </c>
      <c r="R31" s="20" t="n">
        <v>0.27104855</v>
      </c>
    </row>
    <row r="32" spans="1:18">
      <c r="A32" s="15" t="s">
        <v>592</v>
      </c>
      <c r="B32" s="17" t="n">
        <v>2269</v>
      </c>
      <c r="C32" s="18">
        <f>(1773.0/B32*100)</f>
        <v/>
      </c>
      <c r="D32" s="19" t="n">
        <v>496</v>
      </c>
      <c r="E32" s="18" t="n">
        <v>46.36000277</v>
      </c>
      <c r="F32" s="20" t="n">
        <v>2.27328992</v>
      </c>
      <c r="G32" s="18" t="n">
        <v>52.0587051</v>
      </c>
      <c r="H32" s="20" t="n">
        <v>2.19861475</v>
      </c>
      <c r="I32" s="18" t="s">
        <v>567</v>
      </c>
      <c r="J32" s="20" t="s">
        <v>567</v>
      </c>
      <c r="K32" s="18" t="n">
        <v>1.18772449</v>
      </c>
      <c r="L32" s="20" t="n">
        <v>0.3804898</v>
      </c>
      <c r="M32" s="18" t="n">
        <v>0</v>
      </c>
      <c r="N32" s="20" t="n">
        <v>0</v>
      </c>
      <c r="O32" s="18" t="n">
        <v>0</v>
      </c>
      <c r="P32" s="20" t="n">
        <v>0</v>
      </c>
      <c r="Q32" s="18" t="n">
        <v>0.39356764</v>
      </c>
      <c r="R32" s="20" t="n">
        <v>0.30625028</v>
      </c>
    </row>
    <row r="33" spans="1:18">
      <c r="A33" s="15" t="s">
        <v>593</v>
      </c>
      <c r="B33" s="17" t="n">
        <v>3674</v>
      </c>
      <c r="C33" s="18">
        <f>(2926.0/B33*100)</f>
        <v/>
      </c>
      <c r="D33" s="19" t="n">
        <v>748</v>
      </c>
      <c r="E33" s="18" t="n">
        <v>39.45755747</v>
      </c>
      <c r="F33" s="20" t="n">
        <v>2.67616769</v>
      </c>
      <c r="G33" s="18" t="n">
        <v>58.10802728</v>
      </c>
      <c r="H33" s="20" t="n">
        <v>2.7315286</v>
      </c>
      <c r="I33" s="18" t="s">
        <v>567</v>
      </c>
      <c r="J33" s="20" t="s">
        <v>567</v>
      </c>
      <c r="K33" s="18" t="n">
        <v>2.27052169</v>
      </c>
      <c r="L33" s="20" t="n">
        <v>0.61504359</v>
      </c>
      <c r="M33" s="18" t="n">
        <v>0</v>
      </c>
      <c r="N33" s="20" t="n">
        <v>0</v>
      </c>
      <c r="O33" s="18" t="n">
        <v>0</v>
      </c>
      <c r="P33" s="20" t="n">
        <v>0</v>
      </c>
      <c r="Q33" s="18" t="n">
        <v>0.16389356</v>
      </c>
      <c r="R33" s="20" t="n">
        <v>0.15372823</v>
      </c>
    </row>
    <row r="34" spans="1:18">
      <c r="A34" s="15" t="s">
        <v>594</v>
      </c>
      <c r="B34" s="17" t="n">
        <v>3315</v>
      </c>
      <c r="C34" s="18">
        <f>(2631.0/B34*100)</f>
        <v/>
      </c>
      <c r="D34" s="19" t="n">
        <v>684</v>
      </c>
      <c r="E34" s="18" t="n">
        <v>57.98740634</v>
      </c>
      <c r="F34" s="20" t="n">
        <v>1.87245656</v>
      </c>
      <c r="G34" s="18" t="n">
        <v>39.7312912</v>
      </c>
      <c r="H34" s="20" t="n">
        <v>1.81586986</v>
      </c>
      <c r="I34" s="18" t="s">
        <v>567</v>
      </c>
      <c r="J34" s="20" t="s">
        <v>567</v>
      </c>
      <c r="K34" s="18" t="n">
        <v>1.14757266</v>
      </c>
      <c r="L34" s="20" t="n">
        <v>0.45454396</v>
      </c>
      <c r="M34" s="18" t="n">
        <v>0</v>
      </c>
      <c r="N34" s="20" t="n">
        <v>0</v>
      </c>
      <c r="O34" s="18" t="n">
        <v>0</v>
      </c>
      <c r="P34" s="20" t="n">
        <v>0</v>
      </c>
      <c r="Q34" s="18" t="n">
        <v>1.13372979</v>
      </c>
      <c r="R34" s="20" t="n">
        <v>0.34017472</v>
      </c>
    </row>
    <row r="35" spans="1:18">
      <c r="A35" s="15" t="s">
        <v>595</v>
      </c>
      <c r="B35" s="17" t="n">
        <v>3505</v>
      </c>
      <c r="C35" s="18">
        <f>(2793.0/B35*100)</f>
        <v/>
      </c>
      <c r="D35" s="19" t="n">
        <v>712</v>
      </c>
      <c r="E35" s="18" t="n">
        <v>51.94975744</v>
      </c>
      <c r="F35" s="20" t="n">
        <v>2.5692573</v>
      </c>
      <c r="G35" s="18" t="n">
        <v>46.28362298</v>
      </c>
      <c r="H35" s="20" t="n">
        <v>2.57325673</v>
      </c>
      <c r="I35" s="18" t="s">
        <v>567</v>
      </c>
      <c r="J35" s="20" t="s">
        <v>567</v>
      </c>
      <c r="K35" s="18" t="n">
        <v>1.55411197</v>
      </c>
      <c r="L35" s="20" t="n">
        <v>0.39932876</v>
      </c>
      <c r="M35" s="18" t="n">
        <v>0</v>
      </c>
      <c r="N35" s="20" t="n">
        <v>0</v>
      </c>
      <c r="O35" s="18" t="n">
        <v>0</v>
      </c>
      <c r="P35" s="20" t="n">
        <v>0</v>
      </c>
      <c r="Q35" s="18" t="n">
        <v>0.21250761</v>
      </c>
      <c r="R35" s="20" t="n">
        <v>0.21282183</v>
      </c>
    </row>
    <row r="36" spans="1:18">
      <c r="A36" s="15" t="s">
        <v>596</v>
      </c>
      <c r="B36" s="17" t="n">
        <v>3332</v>
      </c>
      <c r="C36" s="18">
        <f>(2634.0/B36*100)</f>
        <v/>
      </c>
      <c r="D36" s="19" t="n">
        <v>698</v>
      </c>
      <c r="E36" s="18" t="n">
        <v>39.41265401</v>
      </c>
      <c r="F36" s="20" t="n">
        <v>1.57061506</v>
      </c>
      <c r="G36" s="18" t="n">
        <v>56.14268166</v>
      </c>
      <c r="H36" s="20" t="n">
        <v>1.72361081</v>
      </c>
      <c r="I36" s="18" t="s">
        <v>567</v>
      </c>
      <c r="J36" s="20" t="s">
        <v>567</v>
      </c>
      <c r="K36" s="18" t="n">
        <v>3.87854994</v>
      </c>
      <c r="L36" s="20" t="n">
        <v>0.75559411</v>
      </c>
      <c r="M36" s="18" t="n">
        <v>0</v>
      </c>
      <c r="N36" s="20" t="n">
        <v>0</v>
      </c>
      <c r="O36" s="18" t="n">
        <v>0</v>
      </c>
      <c r="P36" s="20" t="n">
        <v>0</v>
      </c>
      <c r="Q36" s="18" t="n">
        <v>0.56611439</v>
      </c>
      <c r="R36" s="20" t="n">
        <v>0.24956029</v>
      </c>
    </row>
    <row r="37" spans="1:18">
      <c r="A37" s="15" t="s">
        <v>597</v>
      </c>
      <c r="B37" s="17" t="n">
        <v>2727</v>
      </c>
      <c r="C37" s="18">
        <f>(2144.0/B37*100)</f>
        <v/>
      </c>
      <c r="D37" s="19" t="n">
        <v>583</v>
      </c>
      <c r="E37" s="18" t="n">
        <v>43.36660735</v>
      </c>
      <c r="F37" s="20" t="n">
        <v>1.93827559</v>
      </c>
      <c r="G37" s="18" t="n">
        <v>48.25154833</v>
      </c>
      <c r="H37" s="20" t="n">
        <v>1.94919185</v>
      </c>
      <c r="I37" s="18" t="s">
        <v>567</v>
      </c>
      <c r="J37" s="20" t="s">
        <v>567</v>
      </c>
      <c r="K37" s="18" t="n">
        <v>6.62577676</v>
      </c>
      <c r="L37" s="20" t="n">
        <v>0.89694487</v>
      </c>
      <c r="M37" s="18" t="n">
        <v>0</v>
      </c>
      <c r="N37" s="20" t="n">
        <v>0</v>
      </c>
      <c r="O37" s="18" t="n">
        <v>0</v>
      </c>
      <c r="P37" s="20" t="n">
        <v>0</v>
      </c>
      <c r="Q37" s="18" t="n">
        <v>1.75606757</v>
      </c>
      <c r="R37" s="20" t="n">
        <v>0.55522322</v>
      </c>
    </row>
    <row r="38" spans="1:18">
      <c r="A38" s="15" t="s">
        <v>598</v>
      </c>
      <c r="B38" s="17" t="n">
        <v>3053</v>
      </c>
      <c r="C38" s="18">
        <f>(2409.0/B38*100)</f>
        <v/>
      </c>
      <c r="D38" s="19" t="n">
        <v>644</v>
      </c>
      <c r="E38" s="18" t="n">
        <v>42.21413837</v>
      </c>
      <c r="F38" s="20" t="n">
        <v>2.05296972</v>
      </c>
      <c r="G38" s="18" t="n">
        <v>51.96159646</v>
      </c>
      <c r="H38" s="20" t="n">
        <v>2.19142747</v>
      </c>
      <c r="I38" s="18" t="s">
        <v>567</v>
      </c>
      <c r="J38" s="20" t="s">
        <v>567</v>
      </c>
      <c r="K38" s="18" t="n">
        <v>5.22576128</v>
      </c>
      <c r="L38" s="20" t="n">
        <v>0.99705663</v>
      </c>
      <c r="M38" s="18" t="n">
        <v>0</v>
      </c>
      <c r="N38" s="20" t="n">
        <v>0</v>
      </c>
      <c r="O38" s="18" t="n">
        <v>0</v>
      </c>
      <c r="P38" s="20" t="n">
        <v>0</v>
      </c>
      <c r="Q38" s="18" t="n">
        <v>0.59850389</v>
      </c>
      <c r="R38" s="20" t="n">
        <v>0.33709079</v>
      </c>
    </row>
    <row r="39" spans="1:18">
      <c r="A39" s="15" t="s">
        <v>599</v>
      </c>
      <c r="B39" s="17" t="n">
        <v>2957</v>
      </c>
      <c r="C39" s="18">
        <f>(2265.0/B39*100)</f>
        <v/>
      </c>
      <c r="D39" s="19" t="n">
        <v>692</v>
      </c>
      <c r="E39" s="18" t="n">
        <v>57.24345034</v>
      </c>
      <c r="F39" s="20" t="n">
        <v>1.95357827</v>
      </c>
      <c r="G39" s="18" t="n">
        <v>40.30079223</v>
      </c>
      <c r="H39" s="20" t="n">
        <v>1.99029819</v>
      </c>
      <c r="I39" s="18" t="s">
        <v>567</v>
      </c>
      <c r="J39" s="20" t="s">
        <v>567</v>
      </c>
      <c r="K39" s="18" t="n">
        <v>1.82758966</v>
      </c>
      <c r="L39" s="20" t="n">
        <v>0.41358627</v>
      </c>
      <c r="M39" s="18" t="n">
        <v>0</v>
      </c>
      <c r="N39" s="20" t="n">
        <v>0</v>
      </c>
      <c r="O39" s="18" t="n">
        <v>0</v>
      </c>
      <c r="P39" s="20" t="n">
        <v>0</v>
      </c>
      <c r="Q39" s="18" t="n">
        <v>0.62816776</v>
      </c>
      <c r="R39" s="20" t="n">
        <v>0.29367464</v>
      </c>
    </row>
    <row r="40" spans="1:18">
      <c r="A40" s="15" t="s">
        <v>600</v>
      </c>
      <c r="B40" s="17" t="n">
        <v>7235</v>
      </c>
      <c r="C40" s="18">
        <f>(5689.0/B40*100)</f>
        <v/>
      </c>
      <c r="D40" s="19" t="n">
        <v>1546</v>
      </c>
      <c r="E40" s="18" t="n">
        <v>38.47560938</v>
      </c>
      <c r="F40" s="20" t="n">
        <v>1.94568796</v>
      </c>
      <c r="G40" s="18" t="n">
        <v>57.47957031</v>
      </c>
      <c r="H40" s="20" t="n">
        <v>1.81419164</v>
      </c>
      <c r="I40" s="18" t="s">
        <v>567</v>
      </c>
      <c r="J40" s="20" t="s">
        <v>567</v>
      </c>
      <c r="K40" s="18" t="n">
        <v>2.94632871</v>
      </c>
      <c r="L40" s="20" t="n">
        <v>0.67176631</v>
      </c>
      <c r="M40" s="18" t="n">
        <v>0</v>
      </c>
      <c r="N40" s="20" t="n">
        <v>0</v>
      </c>
      <c r="O40" s="18" t="n">
        <v>0</v>
      </c>
      <c r="P40" s="20" t="n">
        <v>0</v>
      </c>
      <c r="Q40" s="18" t="n">
        <v>1.09849159</v>
      </c>
      <c r="R40" s="20" t="n">
        <v>0.4600708</v>
      </c>
    </row>
    <row r="41" spans="1:18">
      <c r="A41" s="15" t="s">
        <v>601</v>
      </c>
      <c r="B41" s="17" t="n">
        <v>2858</v>
      </c>
      <c r="C41" s="18">
        <f>(2313.0/B41*100)</f>
        <v/>
      </c>
      <c r="D41" s="19" t="n">
        <v>545</v>
      </c>
      <c r="E41" s="18" t="n">
        <v>44.07145999</v>
      </c>
      <c r="F41" s="20" t="n">
        <v>1.89266252</v>
      </c>
      <c r="G41" s="18" t="n">
        <v>53.0375512</v>
      </c>
      <c r="H41" s="20" t="n">
        <v>1.81199702</v>
      </c>
      <c r="I41" s="18" t="s">
        <v>567</v>
      </c>
      <c r="J41" s="20" t="s">
        <v>567</v>
      </c>
      <c r="K41" s="18" t="n">
        <v>2.35998881</v>
      </c>
      <c r="L41" s="20" t="n">
        <v>0.84248775</v>
      </c>
      <c r="M41" s="18" t="n">
        <v>0</v>
      </c>
      <c r="N41" s="20" t="n">
        <v>0</v>
      </c>
      <c r="O41" s="18" t="n">
        <v>0</v>
      </c>
      <c r="P41" s="20" t="n">
        <v>0</v>
      </c>
      <c r="Q41" s="18" t="n">
        <v>0.531</v>
      </c>
      <c r="R41" s="20" t="n">
        <v>0.3050718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(9523.0/B46*100)</f>
        <v/>
      </c>
      <c r="D46" s="19" t="n">
        <v>1545</v>
      </c>
      <c r="E46" s="18" t="n">
        <v>53.07331761</v>
      </c>
      <c r="F46" s="20" t="n">
        <v>1.72439011</v>
      </c>
      <c r="G46" s="18" t="n">
        <v>40.2718503</v>
      </c>
      <c r="H46" s="20" t="n">
        <v>1.79958368</v>
      </c>
      <c r="I46" s="18" t="s">
        <v>567</v>
      </c>
      <c r="J46" s="20" t="s">
        <v>567</v>
      </c>
      <c r="K46" s="18" t="n">
        <v>6.1169002</v>
      </c>
      <c r="L46" s="20" t="n">
        <v>0.86949699</v>
      </c>
      <c r="M46" s="18" t="n">
        <v>0</v>
      </c>
      <c r="N46" s="20" t="n">
        <v>0</v>
      </c>
      <c r="O46" s="18" t="n">
        <v>0</v>
      </c>
      <c r="P46" s="20" t="n">
        <v>0</v>
      </c>
      <c r="Q46" s="18" t="n">
        <v>0.53793189</v>
      </c>
      <c r="R46" s="20" t="n">
        <v>0.20981798</v>
      </c>
    </row>
    <row r="47" spans="1:18">
      <c r="A47" s="15" t="s">
        <v>607</v>
      </c>
      <c r="B47" s="17" t="n">
        <v>3105</v>
      </c>
      <c r="C47" s="18">
        <f>(2418.0/B47*100)</f>
        <v/>
      </c>
      <c r="D47" s="19" t="n">
        <v>687</v>
      </c>
      <c r="E47" s="18" t="n">
        <v>47.7936789</v>
      </c>
      <c r="F47" s="20" t="n">
        <v>2.12215277</v>
      </c>
      <c r="G47" s="18" t="n">
        <v>47.91947576</v>
      </c>
      <c r="H47" s="20" t="n">
        <v>2.16967156</v>
      </c>
      <c r="I47" s="18" t="s">
        <v>567</v>
      </c>
      <c r="J47" s="20" t="s">
        <v>567</v>
      </c>
      <c r="K47" s="18" t="n">
        <v>3.59543109</v>
      </c>
      <c r="L47" s="20" t="n">
        <v>0.70959591</v>
      </c>
      <c r="M47" s="18" t="n">
        <v>0</v>
      </c>
      <c r="N47" s="20" t="n">
        <v>0</v>
      </c>
      <c r="O47" s="18" t="n">
        <v>0</v>
      </c>
      <c r="P47" s="20" t="n">
        <v>0</v>
      </c>
      <c r="Q47" s="18" t="n">
        <v>0.69141424</v>
      </c>
      <c r="R47" s="20" t="n">
        <v>0.37277265</v>
      </c>
    </row>
    <row r="48" spans="1:18">
      <c r="A48" s="15" t="s">
        <v>608</v>
      </c>
      <c r="B48" s="17" t="n">
        <v>5159</v>
      </c>
      <c r="C48" s="18">
        <f>(4054.0/B48*100)</f>
        <v/>
      </c>
      <c r="D48" s="19" t="n">
        <v>1105</v>
      </c>
      <c r="E48" s="18" t="n">
        <v>24.50982393</v>
      </c>
      <c r="F48" s="20" t="n">
        <v>2.05944206</v>
      </c>
      <c r="G48" s="18" t="n">
        <v>73.62047678</v>
      </c>
      <c r="H48" s="20" t="n">
        <v>2.04370296</v>
      </c>
      <c r="I48" s="18" t="s">
        <v>567</v>
      </c>
      <c r="J48" s="20" t="s">
        <v>567</v>
      </c>
      <c r="K48" s="18" t="n">
        <v>1.45482524</v>
      </c>
      <c r="L48" s="20" t="n">
        <v>0.42601122</v>
      </c>
      <c r="M48" s="18" t="n">
        <v>0</v>
      </c>
      <c r="N48" s="20" t="n">
        <v>0</v>
      </c>
      <c r="O48" s="18" t="n">
        <v>0</v>
      </c>
      <c r="P48" s="20" t="n">
        <v>0</v>
      </c>
      <c r="Q48" s="18" t="n">
        <v>0.41487405</v>
      </c>
      <c r="R48" s="20" t="n">
        <v>0.24072889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(4459.0/B50*100)</f>
        <v/>
      </c>
      <c r="D50" s="19" t="n">
        <v>1178</v>
      </c>
      <c r="E50" s="18" t="n">
        <v>43.33248088</v>
      </c>
      <c r="F50" s="20" t="n">
        <v>1.859074</v>
      </c>
      <c r="G50" s="18" t="n">
        <v>50.77993219</v>
      </c>
      <c r="H50" s="20" t="n">
        <v>1.74704578</v>
      </c>
      <c r="I50" s="18" t="s">
        <v>567</v>
      </c>
      <c r="J50" s="20" t="s">
        <v>567</v>
      </c>
      <c r="K50" s="18" t="n">
        <v>5.37264435</v>
      </c>
      <c r="L50" s="20" t="n">
        <v>1.04266932</v>
      </c>
      <c r="M50" s="18" t="n">
        <v>0</v>
      </c>
      <c r="N50" s="20" t="n">
        <v>0</v>
      </c>
      <c r="O50" s="18" t="n">
        <v>0</v>
      </c>
      <c r="P50" s="20" t="n">
        <v>0</v>
      </c>
      <c r="Q50" s="18" t="n">
        <v>0.51494259</v>
      </c>
      <c r="R50" s="20" t="n">
        <v>0.28401644</v>
      </c>
    </row>
    <row r="51" spans="1:18">
      <c r="A51" s="15" t="s">
        <v>611</v>
      </c>
      <c r="B51" s="17" t="n">
        <v>3372</v>
      </c>
      <c r="C51" s="18">
        <f>(2798.0/B51*100)</f>
        <v/>
      </c>
      <c r="D51" s="19" t="n">
        <v>574</v>
      </c>
      <c r="E51" s="18" t="n">
        <v>48.62090508</v>
      </c>
      <c r="F51" s="20" t="n">
        <v>2.263267</v>
      </c>
      <c r="G51" s="18" t="n">
        <v>46.94690741</v>
      </c>
      <c r="H51" s="20" t="n">
        <v>2.14198295</v>
      </c>
      <c r="I51" s="18" t="s">
        <v>567</v>
      </c>
      <c r="J51" s="20" t="s">
        <v>567</v>
      </c>
      <c r="K51" s="18" t="n">
        <v>3.06562268</v>
      </c>
      <c r="L51" s="20" t="n">
        <v>0.75383719</v>
      </c>
      <c r="M51" s="18" t="n">
        <v>0</v>
      </c>
      <c r="N51" s="20" t="n">
        <v>0</v>
      </c>
      <c r="O51" s="18" t="n">
        <v>0</v>
      </c>
      <c r="P51" s="20" t="n">
        <v>0</v>
      </c>
      <c r="Q51" s="18" t="n">
        <v>1.36656483</v>
      </c>
      <c r="R51" s="20" t="n">
        <v>0.46357826</v>
      </c>
    </row>
    <row r="52" spans="1:18">
      <c r="A52" s="15" t="s">
        <v>612</v>
      </c>
      <c r="B52" s="17" t="n">
        <v>2796</v>
      </c>
      <c r="C52" s="18">
        <f>(2223.0/B52*100)</f>
        <v/>
      </c>
      <c r="D52" s="19" t="n">
        <v>573</v>
      </c>
      <c r="E52" s="18" t="n">
        <v>54.36855399</v>
      </c>
      <c r="F52" s="20" t="n">
        <v>2.29601173</v>
      </c>
      <c r="G52" s="18" t="n">
        <v>40.49382712</v>
      </c>
      <c r="H52" s="20" t="n">
        <v>2.10070624</v>
      </c>
      <c r="I52" s="18" t="s">
        <v>567</v>
      </c>
      <c r="J52" s="20" t="s">
        <v>567</v>
      </c>
      <c r="K52" s="18" t="n">
        <v>3.20613037</v>
      </c>
      <c r="L52" s="20" t="n">
        <v>0.74463126</v>
      </c>
      <c r="M52" s="18" t="n">
        <v>0</v>
      </c>
      <c r="N52" s="20" t="n">
        <v>0</v>
      </c>
      <c r="O52" s="18" t="n">
        <v>0</v>
      </c>
      <c r="P52" s="20" t="n">
        <v>0</v>
      </c>
      <c r="Q52" s="18" t="n">
        <v>1.93148853</v>
      </c>
      <c r="R52" s="20" t="n">
        <v>0.57572206</v>
      </c>
    </row>
    <row r="53" spans="1:18">
      <c r="A53" s="15" t="s">
        <v>613</v>
      </c>
      <c r="B53" s="17" t="n">
        <v>2811</v>
      </c>
      <c r="C53" s="18">
        <f>(2184.0/B53*100)</f>
        <v/>
      </c>
      <c r="D53" s="19" t="n">
        <v>627</v>
      </c>
      <c r="E53" s="18" t="n">
        <v>52.36626177</v>
      </c>
      <c r="F53" s="20" t="n">
        <v>2.24336023</v>
      </c>
      <c r="G53" s="18" t="n">
        <v>44.45096645</v>
      </c>
      <c r="H53" s="20" t="n">
        <v>2.28659033</v>
      </c>
      <c r="I53" s="18" t="s">
        <v>567</v>
      </c>
      <c r="J53" s="20" t="s">
        <v>567</v>
      </c>
      <c r="K53" s="18" t="n">
        <v>1.84424753</v>
      </c>
      <c r="L53" s="20" t="n">
        <v>0.53739865</v>
      </c>
      <c r="M53" s="18" t="n">
        <v>0</v>
      </c>
      <c r="N53" s="20" t="n">
        <v>0</v>
      </c>
      <c r="O53" s="18" t="n">
        <v>0</v>
      </c>
      <c r="P53" s="20" t="n">
        <v>0</v>
      </c>
      <c r="Q53" s="18" t="n">
        <v>1.33852425</v>
      </c>
      <c r="R53" s="20" t="n">
        <v>0.41376167</v>
      </c>
    </row>
    <row r="54" spans="1:18">
      <c r="A54" s="15" t="s">
        <v>614</v>
      </c>
      <c r="B54" s="17" t="n">
        <v>2266</v>
      </c>
      <c r="C54" s="18">
        <f>(1767.0/B54*100)</f>
        <v/>
      </c>
      <c r="D54" s="19" t="n">
        <v>499</v>
      </c>
      <c r="E54" s="18" t="n">
        <v>46.71864281</v>
      </c>
      <c r="F54" s="20" t="n">
        <v>2.63211627</v>
      </c>
      <c r="G54" s="18" t="n">
        <v>27.18969152</v>
      </c>
      <c r="H54" s="20" t="n">
        <v>2.08251606</v>
      </c>
      <c r="I54" s="18" t="s">
        <v>567</v>
      </c>
      <c r="J54" s="20" t="s">
        <v>567</v>
      </c>
      <c r="K54" s="18" t="n">
        <v>23.95525324</v>
      </c>
      <c r="L54" s="20" t="n">
        <v>2.09843608</v>
      </c>
      <c r="M54" s="18" t="n">
        <v>0</v>
      </c>
      <c r="N54" s="20" t="n">
        <v>0</v>
      </c>
      <c r="O54" s="18" t="n">
        <v>0</v>
      </c>
      <c r="P54" s="20" t="n">
        <v>0</v>
      </c>
      <c r="Q54" s="18" t="n">
        <v>2.13641243</v>
      </c>
      <c r="R54" s="20" t="n">
        <v>1.18940587</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(2124.0/B56*100)</f>
        <v/>
      </c>
      <c r="D56" s="19" t="n">
        <v>560</v>
      </c>
      <c r="E56" s="18" t="n">
        <v>28.50023706</v>
      </c>
      <c r="F56" s="20" t="n">
        <v>2.13991074</v>
      </c>
      <c r="G56" s="18" t="n">
        <v>70.18288726999999</v>
      </c>
      <c r="H56" s="20" t="n">
        <v>2.14548128</v>
      </c>
      <c r="I56" s="18" t="s">
        <v>567</v>
      </c>
      <c r="J56" s="20" t="s">
        <v>567</v>
      </c>
      <c r="K56" s="18" t="n">
        <v>0.97818012</v>
      </c>
      <c r="L56" s="20" t="n">
        <v>0.47937372</v>
      </c>
      <c r="M56" s="18" t="n">
        <v>0</v>
      </c>
      <c r="N56" s="20" t="n">
        <v>0</v>
      </c>
      <c r="O56" s="18" t="n">
        <v>0</v>
      </c>
      <c r="P56" s="20" t="n">
        <v>0</v>
      </c>
      <c r="Q56" s="18" t="n">
        <v>0.33869555</v>
      </c>
      <c r="R56" s="20" t="n">
        <v>0.23779496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(2609.0/B61*100)</f>
        <v/>
      </c>
      <c r="D61" s="19" t="n">
        <v>715</v>
      </c>
      <c r="E61" s="18" t="n">
        <v>44.036504</v>
      </c>
      <c r="F61" s="20" t="n">
        <v>2.17497414</v>
      </c>
      <c r="G61" s="18" t="n">
        <v>53.86748439</v>
      </c>
      <c r="H61" s="20" t="n">
        <v>2.13981285</v>
      </c>
      <c r="I61" s="18" t="s">
        <v>567</v>
      </c>
      <c r="J61" s="20" t="s">
        <v>567</v>
      </c>
      <c r="K61" s="18" t="n">
        <v>1.62213975</v>
      </c>
      <c r="L61" s="20" t="n">
        <v>0.60947149</v>
      </c>
      <c r="M61" s="18" t="n">
        <v>0</v>
      </c>
      <c r="N61" s="20" t="n">
        <v>0</v>
      </c>
      <c r="O61" s="18" t="n">
        <v>0</v>
      </c>
      <c r="P61" s="20" t="n">
        <v>0</v>
      </c>
      <c r="Q61" s="18" t="n">
        <v>0.47387186</v>
      </c>
      <c r="R61" s="20" t="n">
        <v>0.30917523</v>
      </c>
    </row>
    <row r="62" spans="1:18">
      <c r="A62" s="15" t="s">
        <v>622</v>
      </c>
      <c r="B62" s="17" t="n">
        <v>2246</v>
      </c>
      <c r="C62" s="18">
        <f>(1755.0/B62*100)</f>
        <v/>
      </c>
      <c r="D62" s="19" t="n">
        <v>491</v>
      </c>
      <c r="E62" s="18" t="n">
        <v>32.24420837</v>
      </c>
      <c r="F62" s="20" t="n">
        <v>1.74817895</v>
      </c>
      <c r="G62" s="18" t="n">
        <v>67.33993579</v>
      </c>
      <c r="H62" s="20" t="n">
        <v>1.76630382</v>
      </c>
      <c r="I62" s="18" t="s">
        <v>567</v>
      </c>
      <c r="J62" s="20" t="s">
        <v>567</v>
      </c>
      <c r="K62" s="18" t="n">
        <v>0.41585584</v>
      </c>
      <c r="L62" s="20" t="n">
        <v>0.25499949</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(2284.0/B66*100)</f>
        <v/>
      </c>
      <c r="D66" s="19" t="n">
        <v>610</v>
      </c>
      <c r="E66" s="18" t="n">
        <v>54.02467941</v>
      </c>
      <c r="F66" s="20" t="n">
        <v>1.88912593</v>
      </c>
      <c r="G66" s="18" t="n">
        <v>35.00460164</v>
      </c>
      <c r="H66" s="20" t="n">
        <v>2.07601451</v>
      </c>
      <c r="I66" s="18" t="s">
        <v>567</v>
      </c>
      <c r="J66" s="20" t="s">
        <v>567</v>
      </c>
      <c r="K66" s="18" t="n">
        <v>9.509065939999999</v>
      </c>
      <c r="L66" s="20" t="n">
        <v>1.30149262</v>
      </c>
      <c r="M66" s="18" t="n">
        <v>0</v>
      </c>
      <c r="N66" s="20" t="n">
        <v>0</v>
      </c>
      <c r="O66" s="18" t="n">
        <v>0</v>
      </c>
      <c r="P66" s="20" t="n">
        <v>0</v>
      </c>
      <c r="Q66" s="18" t="n">
        <v>1.46165301</v>
      </c>
      <c r="R66" s="20" t="n">
        <v>0.46457568</v>
      </c>
    </row>
    <row r="67" spans="1:18">
      <c r="A67" s="15" t="s">
        <v>627</v>
      </c>
      <c r="B67" s="17" t="n">
        <v>3511</v>
      </c>
      <c r="C67" s="18">
        <f>(2905.0/B67*100)</f>
        <v/>
      </c>
      <c r="D67" s="19" t="n">
        <v>606</v>
      </c>
      <c r="E67" s="18" t="n">
        <v>53.10399083</v>
      </c>
      <c r="F67" s="20" t="n">
        <v>2.12534703</v>
      </c>
      <c r="G67" s="18" t="n">
        <v>43.69283794</v>
      </c>
      <c r="H67" s="20" t="n">
        <v>2.07259697</v>
      </c>
      <c r="I67" s="18" t="s">
        <v>567</v>
      </c>
      <c r="J67" s="20" t="s">
        <v>567</v>
      </c>
      <c r="K67" s="18" t="n">
        <v>2.35948812</v>
      </c>
      <c r="L67" s="20" t="n">
        <v>0.67186514</v>
      </c>
      <c r="M67" s="18" t="n">
        <v>0</v>
      </c>
      <c r="N67" s="20" t="n">
        <v>0</v>
      </c>
      <c r="O67" s="18" t="n">
        <v>0</v>
      </c>
      <c r="P67" s="20" t="n">
        <v>0</v>
      </c>
      <c r="Q67" s="18" t="n">
        <v>0.84368311</v>
      </c>
      <c r="R67" s="20" t="n">
        <v>0.37350699</v>
      </c>
    </row>
    <row r="68" spans="1:18">
      <c r="A68" s="15" t="s">
        <v>628</v>
      </c>
      <c r="B68" s="17" t="n">
        <v>6049</v>
      </c>
      <c r="C68" s="18">
        <f>(4702.0/B68*100)</f>
        <v/>
      </c>
      <c r="D68" s="19" t="n">
        <v>1347</v>
      </c>
      <c r="E68" s="18" t="n">
        <v>48.76864467</v>
      </c>
      <c r="F68" s="20" t="n">
        <v>1.29807192</v>
      </c>
      <c r="G68" s="18" t="n">
        <v>39.75319356</v>
      </c>
      <c r="H68" s="20" t="n">
        <v>1.06916939</v>
      </c>
      <c r="I68" s="18" t="s">
        <v>567</v>
      </c>
      <c r="J68" s="20" t="s">
        <v>567</v>
      </c>
      <c r="K68" s="18" t="n">
        <v>9.96751355</v>
      </c>
      <c r="L68" s="20" t="n">
        <v>0.8802137</v>
      </c>
      <c r="M68" s="18" t="n">
        <v>0</v>
      </c>
      <c r="N68" s="20" t="n">
        <v>0</v>
      </c>
      <c r="O68" s="18" t="n">
        <v>0</v>
      </c>
      <c r="P68" s="20" t="n">
        <v>0</v>
      </c>
      <c r="Q68" s="18" t="n">
        <v>1.51064822</v>
      </c>
      <c r="R68" s="20" t="n">
        <v>0.29000792</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(2327.0/B70*100)</f>
        <v/>
      </c>
      <c r="D70" s="19" t="n">
        <v>602</v>
      </c>
      <c r="E70" s="18" t="n">
        <v>42.05305721</v>
      </c>
      <c r="F70" s="20" t="n">
        <v>2.23468854</v>
      </c>
      <c r="G70" s="18" t="n">
        <v>54.73078626</v>
      </c>
      <c r="H70" s="20" t="n">
        <v>2.47031206</v>
      </c>
      <c r="I70" s="18" t="s">
        <v>567</v>
      </c>
      <c r="J70" s="20" t="s">
        <v>567</v>
      </c>
      <c r="K70" s="18" t="n">
        <v>2.64758532</v>
      </c>
      <c r="L70" s="20" t="n">
        <v>0.66366484</v>
      </c>
      <c r="M70" s="18" t="n">
        <v>0</v>
      </c>
      <c r="N70" s="20" t="n">
        <v>0</v>
      </c>
      <c r="O70" s="18" t="n">
        <v>0</v>
      </c>
      <c r="P70" s="20" t="n">
        <v>0</v>
      </c>
      <c r="Q70" s="18" t="n">
        <v>0.56857121</v>
      </c>
      <c r="R70" s="20" t="n">
        <v>0.26496802</v>
      </c>
    </row>
    <row r="71" spans="1:18">
      <c r="A71" s="15" t="s">
        <v>631</v>
      </c>
      <c r="B71" s="17" t="n">
        <v>3142</v>
      </c>
      <c r="C71" s="18">
        <f>(2452.0/B71*100)</f>
        <v/>
      </c>
      <c r="D71" s="19" t="n">
        <v>690</v>
      </c>
      <c r="E71" s="18" t="n">
        <v>31.71921595</v>
      </c>
      <c r="F71" s="20" t="n">
        <v>1.99302722</v>
      </c>
      <c r="G71" s="18" t="n">
        <v>65.0095535</v>
      </c>
      <c r="H71" s="20" t="n">
        <v>1.97099653</v>
      </c>
      <c r="I71" s="18" t="s">
        <v>567</v>
      </c>
      <c r="J71" s="20" t="s">
        <v>567</v>
      </c>
      <c r="K71" s="18" t="n">
        <v>2.33351977</v>
      </c>
      <c r="L71" s="20" t="n">
        <v>0.57313653</v>
      </c>
      <c r="M71" s="18" t="n">
        <v>0</v>
      </c>
      <c r="N71" s="20" t="n">
        <v>0</v>
      </c>
      <c r="O71" s="18" t="n">
        <v>0</v>
      </c>
      <c r="P71" s="20" t="n">
        <v>0</v>
      </c>
      <c r="Q71" s="18" t="n">
        <v>0.93771078</v>
      </c>
      <c r="R71" s="20" t="n">
        <v>0.32763814</v>
      </c>
    </row>
    <row r="72" spans="1:18">
      <c r="A72" s="15" t="s">
        <v>632</v>
      </c>
      <c r="B72" s="17" t="n">
        <v>3889</v>
      </c>
      <c r="C72" s="18">
        <f>(3059.0/B72*100)</f>
        <v/>
      </c>
      <c r="D72" s="19" t="n">
        <v>830</v>
      </c>
      <c r="E72" s="18" t="n">
        <v>29.04297493</v>
      </c>
      <c r="F72" s="20" t="n">
        <v>1.79638849</v>
      </c>
      <c r="G72" s="18" t="n">
        <v>69.8664011</v>
      </c>
      <c r="H72" s="20" t="n">
        <v>1.78481851</v>
      </c>
      <c r="I72" s="18" t="s">
        <v>567</v>
      </c>
      <c r="J72" s="20" t="s">
        <v>567</v>
      </c>
      <c r="K72" s="18" t="n">
        <v>0.89596739</v>
      </c>
      <c r="L72" s="20" t="n">
        <v>0.30854451</v>
      </c>
      <c r="M72" s="18" t="n">
        <v>0</v>
      </c>
      <c r="N72" s="20" t="n">
        <v>0</v>
      </c>
      <c r="O72" s="18" t="n">
        <v>0</v>
      </c>
      <c r="P72" s="20" t="n">
        <v>0</v>
      </c>
      <c r="Q72" s="18" t="n">
        <v>0.19465658</v>
      </c>
      <c r="R72" s="20" t="n">
        <v>0.13812211</v>
      </c>
    </row>
    <row r="73" spans="1:18">
      <c r="A73" s="15" t="s">
        <v>633</v>
      </c>
      <c r="B73" s="17" t="n">
        <v>3597</v>
      </c>
      <c r="C73" s="18">
        <f>(2889.0/B73*100)</f>
        <v/>
      </c>
      <c r="D73" s="19" t="n">
        <v>708</v>
      </c>
      <c r="E73" s="18" t="n">
        <v>58.03866829</v>
      </c>
      <c r="F73" s="20" t="n">
        <v>1.82800572</v>
      </c>
      <c r="G73" s="18" t="n">
        <v>41.24298406</v>
      </c>
      <c r="H73" s="20" t="n">
        <v>1.77710321</v>
      </c>
      <c r="I73" s="18" t="s">
        <v>567</v>
      </c>
      <c r="J73" s="20" t="s">
        <v>567</v>
      </c>
      <c r="K73" s="18" t="n">
        <v>0.09781561</v>
      </c>
      <c r="L73" s="20" t="n">
        <v>0.07724484</v>
      </c>
      <c r="M73" s="18" t="n">
        <v>0</v>
      </c>
      <c r="N73" s="20" t="n">
        <v>0</v>
      </c>
      <c r="O73" s="18" t="n">
        <v>0</v>
      </c>
      <c r="P73" s="20" t="n">
        <v>0</v>
      </c>
      <c r="Q73" s="18" t="n">
        <v>0.62053204</v>
      </c>
      <c r="R73" s="20" t="n">
        <v>0.34869888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(1955.0/B75*100)</f>
        <v/>
      </c>
      <c r="D75" s="19" t="n">
        <v>451</v>
      </c>
      <c r="E75" s="18" t="n">
        <v>55.20260466</v>
      </c>
      <c r="F75" s="20" t="n">
        <v>2.60647245</v>
      </c>
      <c r="G75" s="18" t="n">
        <v>34.53714474</v>
      </c>
      <c r="H75" s="20" t="n">
        <v>2.33968432</v>
      </c>
      <c r="I75" s="18" t="s">
        <v>567</v>
      </c>
      <c r="J75" s="20" t="s">
        <v>567</v>
      </c>
      <c r="K75" s="18" t="n">
        <v>8.4715322</v>
      </c>
      <c r="L75" s="20" t="n">
        <v>1.46968517</v>
      </c>
      <c r="M75" s="18" t="n">
        <v>0</v>
      </c>
      <c r="N75" s="20" t="n">
        <v>0</v>
      </c>
      <c r="O75" s="18" t="n">
        <v>0</v>
      </c>
      <c r="P75" s="20" t="n">
        <v>0</v>
      </c>
      <c r="Q75" s="18" t="n">
        <v>1.78871841</v>
      </c>
      <c r="R75" s="20" t="n">
        <v>0.55672053</v>
      </c>
    </row>
    <row r="76" spans="1:18">
      <c r="A76" s="15" t="s">
        <v>636</v>
      </c>
      <c r="B76" s="17" t="n">
        <v>7052</v>
      </c>
      <c r="C76" s="18">
        <f>(5567.0/B76*100)</f>
        <v/>
      </c>
      <c r="D76" s="19" t="n">
        <v>1485</v>
      </c>
      <c r="E76" s="18" t="n">
        <v>52.34575934</v>
      </c>
      <c r="F76" s="20" t="n">
        <v>1.81409888</v>
      </c>
      <c r="G76" s="18" t="n">
        <v>41.47435908</v>
      </c>
      <c r="H76" s="20" t="n">
        <v>1.90771496</v>
      </c>
      <c r="I76" s="18" t="s">
        <v>567</v>
      </c>
      <c r="J76" s="20" t="s">
        <v>567</v>
      </c>
      <c r="K76" s="18" t="n">
        <v>5.17299856</v>
      </c>
      <c r="L76" s="20" t="n">
        <v>0.69348478</v>
      </c>
      <c r="M76" s="18" t="n">
        <v>0</v>
      </c>
      <c r="N76" s="20" t="n">
        <v>0</v>
      </c>
      <c r="O76" s="18" t="n">
        <v>0</v>
      </c>
      <c r="P76" s="20" t="n">
        <v>0</v>
      </c>
      <c r="Q76" s="18" t="n">
        <v>1.00688302</v>
      </c>
      <c r="R76" s="20" t="n">
        <v>0.30301374</v>
      </c>
    </row>
    <row r="77" spans="1:18">
      <c r="A77" s="15" t="s">
        <v>637</v>
      </c>
      <c r="B77" s="17" t="n">
        <v>2908</v>
      </c>
      <c r="C77" s="18">
        <f>(2315.0/B77*100)</f>
        <v/>
      </c>
      <c r="D77" s="19" t="n">
        <v>593</v>
      </c>
      <c r="E77" s="18" t="n">
        <v>45.51063204</v>
      </c>
      <c r="F77" s="20" t="n">
        <v>1.96614617</v>
      </c>
      <c r="G77" s="18" t="n">
        <v>45.49391786</v>
      </c>
      <c r="H77" s="20" t="n">
        <v>2.00663416</v>
      </c>
      <c r="I77" s="18" t="s">
        <v>567</v>
      </c>
      <c r="J77" s="20" t="s">
        <v>567</v>
      </c>
      <c r="K77" s="18" t="n">
        <v>7.44161108</v>
      </c>
      <c r="L77" s="20" t="n">
        <v>1.39788614</v>
      </c>
      <c r="M77" s="18" t="n">
        <v>0</v>
      </c>
      <c r="N77" s="20" t="n">
        <v>0</v>
      </c>
      <c r="O77" s="18" t="n">
        <v>0</v>
      </c>
      <c r="P77" s="20" t="n">
        <v>0</v>
      </c>
      <c r="Q77" s="18" t="n">
        <v>1.55383902</v>
      </c>
      <c r="R77" s="20" t="n">
        <v>0.41023039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(3261.0/B81*100)</f>
        <v/>
      </c>
      <c r="D81" s="19" t="n">
        <v>902</v>
      </c>
      <c r="E81" s="18" t="n">
        <v>55.76088749</v>
      </c>
      <c r="F81" s="20" t="n">
        <v>2.24704419</v>
      </c>
      <c r="G81" s="18" t="n">
        <v>42.47284618</v>
      </c>
      <c r="H81" s="20" t="n">
        <v>2.18319918</v>
      </c>
      <c r="I81" s="18" t="s">
        <v>567</v>
      </c>
      <c r="J81" s="20" t="s">
        <v>567</v>
      </c>
      <c r="K81" s="18" t="n">
        <v>1.59356686</v>
      </c>
      <c r="L81" s="20" t="n">
        <v>0.58470202</v>
      </c>
      <c r="M81" s="18" t="n">
        <v>0</v>
      </c>
      <c r="N81" s="20" t="n">
        <v>0</v>
      </c>
      <c r="O81" s="18" t="n">
        <v>0</v>
      </c>
      <c r="P81" s="20" t="n">
        <v>0</v>
      </c>
      <c r="Q81" s="18" t="n">
        <v>0.17269947</v>
      </c>
      <c r="R81" s="20" t="n">
        <v>0.17068663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783</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7367</v>
      </c>
      <c r="C7" s="18">
        <f>(5885.0/B7*100)</f>
        <v/>
      </c>
      <c r="D7" s="19" t="n">
        <v>1482</v>
      </c>
      <c r="E7" s="18" t="n">
        <v>25.87305495</v>
      </c>
      <c r="F7" s="20" t="n">
        <v>1.36114318</v>
      </c>
      <c r="G7" s="18" t="n">
        <v>14.37975712</v>
      </c>
      <c r="H7" s="20" t="n">
        <v>1.11596393</v>
      </c>
      <c r="I7" s="18" t="n">
        <v>42.21151435</v>
      </c>
      <c r="J7" s="20" t="n">
        <v>1.47291357</v>
      </c>
      <c r="K7" s="18" t="s">
        <v>567</v>
      </c>
      <c r="L7" s="20" t="s">
        <v>567</v>
      </c>
      <c r="M7" s="18" t="n">
        <v>17.45530375</v>
      </c>
      <c r="N7" s="20" t="n">
        <v>1.24836937</v>
      </c>
      <c r="O7" s="18" t="n">
        <v>0.08036983</v>
      </c>
      <c r="P7" s="20" t="n">
        <v>0.06632627000000001</v>
      </c>
      <c r="Q7" s="18" t="n">
        <v>0</v>
      </c>
      <c r="R7" s="20" t="n">
        <v>0</v>
      </c>
      <c r="S7" s="18" t="n">
        <v>0</v>
      </c>
      <c r="T7" s="20" t="n">
        <v>0</v>
      </c>
    </row>
    <row r="8" spans="1:20">
      <c r="A8" s="15" t="s">
        <v>568</v>
      </c>
      <c r="B8" s="17" t="n">
        <v>3564</v>
      </c>
      <c r="C8" s="18">
        <f>(2796.0/B8*100)</f>
        <v/>
      </c>
      <c r="D8" s="19" t="n">
        <v>768</v>
      </c>
      <c r="E8" s="18" t="n">
        <v>13.07942948</v>
      </c>
      <c r="F8" s="20" t="n">
        <v>1.30324449</v>
      </c>
      <c r="G8" s="18" t="n">
        <v>26.04234065</v>
      </c>
      <c r="H8" s="20" t="n">
        <v>2.24543966</v>
      </c>
      <c r="I8" s="18" t="n">
        <v>37.954119</v>
      </c>
      <c r="J8" s="20" t="n">
        <v>2.24398423</v>
      </c>
      <c r="K8" s="18" t="s">
        <v>567</v>
      </c>
      <c r="L8" s="20" t="s">
        <v>567</v>
      </c>
      <c r="M8" s="18" t="n">
        <v>22.92411088</v>
      </c>
      <c r="N8" s="20" t="n">
        <v>2.01350276</v>
      </c>
      <c r="O8" s="18" t="n">
        <v>0</v>
      </c>
      <c r="P8" s="20" t="n">
        <v>0</v>
      </c>
      <c r="Q8" s="18" t="n">
        <v>0</v>
      </c>
      <c r="R8" s="20" t="n">
        <v>0</v>
      </c>
      <c r="S8" s="18" t="n">
        <v>0</v>
      </c>
      <c r="T8" s="20" t="n">
        <v>0</v>
      </c>
    </row>
    <row r="9" spans="1:20">
      <c r="A9" s="15" t="s">
        <v>569</v>
      </c>
      <c r="B9" s="17" t="n">
        <v>4899</v>
      </c>
      <c r="C9" s="18">
        <f>(3950.0/B9*100)</f>
        <v/>
      </c>
      <c r="D9" s="19" t="n">
        <v>949</v>
      </c>
      <c r="E9" s="18" t="n">
        <v>20.01840481</v>
      </c>
      <c r="F9" s="20" t="n">
        <v>1.24579</v>
      </c>
      <c r="G9" s="18" t="n">
        <v>19.28120161</v>
      </c>
      <c r="H9" s="20" t="n">
        <v>1.64912816</v>
      </c>
      <c r="I9" s="18" t="n">
        <v>37.14072768</v>
      </c>
      <c r="J9" s="20" t="n">
        <v>1.79861898</v>
      </c>
      <c r="K9" s="18" t="s">
        <v>567</v>
      </c>
      <c r="L9" s="20" t="s">
        <v>567</v>
      </c>
      <c r="M9" s="18" t="n">
        <v>23.19590051</v>
      </c>
      <c r="N9" s="20" t="n">
        <v>1.5976397</v>
      </c>
      <c r="O9" s="18" t="n">
        <v>0.36376539</v>
      </c>
      <c r="P9" s="20" t="n">
        <v>0.18643298</v>
      </c>
      <c r="Q9" s="18" t="n">
        <v>0</v>
      </c>
      <c r="R9" s="20" t="n">
        <v>0</v>
      </c>
      <c r="S9" s="18" t="n">
        <v>0</v>
      </c>
      <c r="T9" s="20" t="n">
        <v>0</v>
      </c>
    </row>
    <row r="10" spans="1:20">
      <c r="A10" s="15" t="s">
        <v>570</v>
      </c>
      <c r="B10" s="17" t="n">
        <v>10036</v>
      </c>
      <c r="C10" s="18">
        <f>(7860.0/B10*100)</f>
        <v/>
      </c>
      <c r="D10" s="19" t="n">
        <v>2176</v>
      </c>
      <c r="E10" s="18" t="n">
        <v>16.73905099</v>
      </c>
      <c r="F10" s="20" t="n">
        <v>1.1601845</v>
      </c>
      <c r="G10" s="18" t="n">
        <v>22.14560757</v>
      </c>
      <c r="H10" s="20" t="n">
        <v>1.35796271</v>
      </c>
      <c r="I10" s="18" t="n">
        <v>49.50755522</v>
      </c>
      <c r="J10" s="20" t="n">
        <v>1.45499371</v>
      </c>
      <c r="K10" s="18" t="s">
        <v>567</v>
      </c>
      <c r="L10" s="20" t="s">
        <v>567</v>
      </c>
      <c r="M10" s="18" t="n">
        <v>11.51243623</v>
      </c>
      <c r="N10" s="20" t="n">
        <v>0.99155722</v>
      </c>
      <c r="O10" s="18" t="n">
        <v>0.09534999</v>
      </c>
      <c r="P10" s="20" t="n">
        <v>0.09992804</v>
      </c>
      <c r="Q10" s="18" t="n">
        <v>0</v>
      </c>
      <c r="R10" s="20" t="n">
        <v>0</v>
      </c>
      <c r="S10" s="18" t="n">
        <v>0</v>
      </c>
      <c r="T10" s="20" t="n">
        <v>0</v>
      </c>
    </row>
    <row r="11" spans="1:20">
      <c r="A11" s="15" t="s">
        <v>571</v>
      </c>
      <c r="B11" s="17" t="n">
        <v>3553</v>
      </c>
      <c r="C11" s="18">
        <f>(2825.0/B11*100)</f>
        <v/>
      </c>
      <c r="D11" s="19" t="n">
        <v>728</v>
      </c>
      <c r="E11" s="18" t="n">
        <v>17.35668329</v>
      </c>
      <c r="F11" s="20" t="n">
        <v>1.49124402</v>
      </c>
      <c r="G11" s="18" t="n">
        <v>27.3402982</v>
      </c>
      <c r="H11" s="20" t="n">
        <v>1.88045974</v>
      </c>
      <c r="I11" s="18" t="n">
        <v>14.860786</v>
      </c>
      <c r="J11" s="20" t="n">
        <v>1.4761518</v>
      </c>
      <c r="K11" s="18" t="s">
        <v>567</v>
      </c>
      <c r="L11" s="20" t="s">
        <v>567</v>
      </c>
      <c r="M11" s="18" t="n">
        <v>40.3094845</v>
      </c>
      <c r="N11" s="20" t="n">
        <v>2.1336524</v>
      </c>
      <c r="O11" s="18" t="n">
        <v>0.13274801</v>
      </c>
      <c r="P11" s="20" t="n">
        <v>0.13254555</v>
      </c>
      <c r="Q11" s="18" t="n">
        <v>0</v>
      </c>
      <c r="R11" s="20" t="n">
        <v>0</v>
      </c>
      <c r="S11" s="18" t="n">
        <v>0</v>
      </c>
      <c r="T11" s="20" t="n">
        <v>0</v>
      </c>
    </row>
    <row r="12" spans="1:20">
      <c r="A12" s="15" t="s">
        <v>572</v>
      </c>
      <c r="B12" s="17" t="n">
        <v>3472</v>
      </c>
      <c r="C12" s="18">
        <f>(2750.0/B12*100)</f>
        <v/>
      </c>
      <c r="D12" s="19" t="n">
        <v>722</v>
      </c>
      <c r="E12" s="18" t="n">
        <v>10.68362128</v>
      </c>
      <c r="F12" s="20" t="n">
        <v>1.6056306</v>
      </c>
      <c r="G12" s="18" t="n">
        <v>32.04401327</v>
      </c>
      <c r="H12" s="20" t="n">
        <v>2.31232688</v>
      </c>
      <c r="I12" s="18" t="n">
        <v>40.23150318</v>
      </c>
      <c r="J12" s="20" t="n">
        <v>1.99958521</v>
      </c>
      <c r="K12" s="18" t="s">
        <v>567</v>
      </c>
      <c r="L12" s="20" t="s">
        <v>567</v>
      </c>
      <c r="M12" s="18" t="n">
        <v>17.04086226</v>
      </c>
      <c r="N12" s="20" t="n">
        <v>1.84501658</v>
      </c>
      <c r="O12" s="18" t="n">
        <v>0</v>
      </c>
      <c r="P12" s="20" t="n">
        <v>0</v>
      </c>
      <c r="Q12" s="18" t="n">
        <v>0</v>
      </c>
      <c r="R12" s="20" t="n">
        <v>0</v>
      </c>
      <c r="S12" s="18" t="n">
        <v>0</v>
      </c>
      <c r="T12" s="20" t="n">
        <v>0</v>
      </c>
    </row>
    <row r="13" spans="1:20">
      <c r="A13" s="15" t="s">
        <v>573</v>
      </c>
      <c r="B13" s="17" t="n">
        <v>3559</v>
      </c>
      <c r="C13" s="18">
        <f>(2867.0/B13*100)</f>
        <v/>
      </c>
      <c r="D13" s="19" t="n">
        <v>692</v>
      </c>
      <c r="E13" s="18" t="n">
        <v>25.73696511</v>
      </c>
      <c r="F13" s="20" t="n">
        <v>1.87307156</v>
      </c>
      <c r="G13" s="18" t="n">
        <v>19.29203614</v>
      </c>
      <c r="H13" s="20" t="n">
        <v>1.66709409</v>
      </c>
      <c r="I13" s="18" t="n">
        <v>39.12820225</v>
      </c>
      <c r="J13" s="20" t="n">
        <v>2.22393258</v>
      </c>
      <c r="K13" s="18" t="s">
        <v>567</v>
      </c>
      <c r="L13" s="20" t="s">
        <v>567</v>
      </c>
      <c r="M13" s="18" t="n">
        <v>15.70589084</v>
      </c>
      <c r="N13" s="20" t="n">
        <v>1.54935515</v>
      </c>
      <c r="O13" s="18" t="n">
        <v>0.13690566</v>
      </c>
      <c r="P13" s="20" t="n">
        <v>0.13669273</v>
      </c>
      <c r="Q13" s="18" t="n">
        <v>0</v>
      </c>
      <c r="R13" s="20" t="n">
        <v>0</v>
      </c>
      <c r="S13" s="18" t="n">
        <v>0</v>
      </c>
      <c r="T13" s="20" t="n">
        <v>0</v>
      </c>
    </row>
    <row r="14" spans="1:20">
      <c r="A14" s="15" t="s">
        <v>574</v>
      </c>
      <c r="B14" s="17" t="n">
        <v>2799</v>
      </c>
      <c r="C14" s="18">
        <f>(2170.0/B14*100)</f>
        <v/>
      </c>
      <c r="D14" s="19" t="n">
        <v>629</v>
      </c>
      <c r="E14" s="18" t="n">
        <v>16.18300869</v>
      </c>
      <c r="F14" s="20" t="n">
        <v>1.89732578</v>
      </c>
      <c r="G14" s="18" t="n">
        <v>22.80343077</v>
      </c>
      <c r="H14" s="20" t="n">
        <v>1.92551448</v>
      </c>
      <c r="I14" s="18" t="n">
        <v>41.84458378</v>
      </c>
      <c r="J14" s="20" t="n">
        <v>1.90638116</v>
      </c>
      <c r="K14" s="18" t="s">
        <v>567</v>
      </c>
      <c r="L14" s="20" t="s">
        <v>567</v>
      </c>
      <c r="M14" s="18" t="n">
        <v>19.16897675</v>
      </c>
      <c r="N14" s="20" t="n">
        <v>1.86969932</v>
      </c>
      <c r="O14" s="18" t="n">
        <v>0</v>
      </c>
      <c r="P14" s="20" t="n">
        <v>0</v>
      </c>
      <c r="Q14" s="18" t="n">
        <v>0</v>
      </c>
      <c r="R14" s="20" t="n">
        <v>0</v>
      </c>
      <c r="S14" s="18" t="n">
        <v>0</v>
      </c>
      <c r="T14" s="20" t="n">
        <v>0</v>
      </c>
    </row>
    <row r="15" spans="1:20">
      <c r="A15" s="15" t="s">
        <v>575</v>
      </c>
      <c r="B15" s="17" t="n">
        <v>3019</v>
      </c>
      <c r="C15" s="18">
        <f>(2342.0/B15*100)</f>
        <v/>
      </c>
      <c r="D15" s="19" t="n">
        <v>677</v>
      </c>
      <c r="E15" s="18" t="n">
        <v>19.13709909</v>
      </c>
      <c r="F15" s="20" t="n">
        <v>1.43327453</v>
      </c>
      <c r="G15" s="18" t="n">
        <v>15.8225825</v>
      </c>
      <c r="H15" s="20" t="n">
        <v>1.54550281</v>
      </c>
      <c r="I15" s="18" t="n">
        <v>47.43132007</v>
      </c>
      <c r="J15" s="20" t="n">
        <v>1.72558216</v>
      </c>
      <c r="K15" s="18" t="s">
        <v>567</v>
      </c>
      <c r="L15" s="20" t="s">
        <v>567</v>
      </c>
      <c r="M15" s="18" t="n">
        <v>17.60899834</v>
      </c>
      <c r="N15" s="20" t="n">
        <v>1.50871016</v>
      </c>
      <c r="O15" s="18" t="n">
        <v>0</v>
      </c>
      <c r="P15" s="20" t="n">
        <v>0</v>
      </c>
      <c r="Q15" s="18" t="n">
        <v>0</v>
      </c>
      <c r="R15" s="20" t="n">
        <v>0</v>
      </c>
      <c r="S15" s="18" t="n">
        <v>0</v>
      </c>
      <c r="T15" s="20" t="n">
        <v>0</v>
      </c>
    </row>
    <row r="16" spans="1:20">
      <c r="A16" s="15" t="s">
        <v>576</v>
      </c>
      <c r="B16" s="17" t="n">
        <v>2997</v>
      </c>
      <c r="C16" s="18">
        <f>(2401.0/B16*100)</f>
        <v/>
      </c>
      <c r="D16" s="19" t="n">
        <v>596</v>
      </c>
      <c r="E16" s="18" t="n">
        <v>13.86934779</v>
      </c>
      <c r="F16" s="20" t="n">
        <v>1.3224577</v>
      </c>
      <c r="G16" s="18" t="n">
        <v>21.63582012</v>
      </c>
      <c r="H16" s="20" t="n">
        <v>1.7173226</v>
      </c>
      <c r="I16" s="18" t="n">
        <v>35.3077055</v>
      </c>
      <c r="J16" s="20" t="n">
        <v>1.93738264</v>
      </c>
      <c r="K16" s="18" t="s">
        <v>567</v>
      </c>
      <c r="L16" s="20" t="s">
        <v>567</v>
      </c>
      <c r="M16" s="18" t="n">
        <v>29.18712659</v>
      </c>
      <c r="N16" s="20" t="n">
        <v>1.97770744</v>
      </c>
      <c r="O16" s="18" t="n">
        <v>0</v>
      </c>
      <c r="P16" s="20" t="n">
        <v>0</v>
      </c>
      <c r="Q16" s="18" t="n">
        <v>0</v>
      </c>
      <c r="R16" s="20" t="n">
        <v>0</v>
      </c>
      <c r="S16" s="18" t="n">
        <v>0</v>
      </c>
      <c r="T16" s="20" t="n">
        <v>0</v>
      </c>
    </row>
    <row r="17" spans="1:20">
      <c r="A17" s="15" t="s">
        <v>577</v>
      </c>
      <c r="B17" s="17" t="n">
        <v>3307</v>
      </c>
      <c r="C17" s="18">
        <f>(2626.0/B17*100)</f>
        <v/>
      </c>
      <c r="D17" s="19" t="n">
        <v>681</v>
      </c>
      <c r="E17" s="18" t="n">
        <v>14.26810332</v>
      </c>
      <c r="F17" s="20" t="n">
        <v>1.7223162</v>
      </c>
      <c r="G17" s="18" t="n">
        <v>17.72869499</v>
      </c>
      <c r="H17" s="20" t="n">
        <v>1.3228288</v>
      </c>
      <c r="I17" s="18" t="n">
        <v>49.15858913</v>
      </c>
      <c r="J17" s="20" t="n">
        <v>2.09668587</v>
      </c>
      <c r="K17" s="18" t="s">
        <v>567</v>
      </c>
      <c r="L17" s="20" t="s">
        <v>567</v>
      </c>
      <c r="M17" s="18" t="n">
        <v>18.84461256</v>
      </c>
      <c r="N17" s="20" t="n">
        <v>1.65747914</v>
      </c>
      <c r="O17" s="18" t="n">
        <v>0</v>
      </c>
      <c r="P17" s="20" t="n">
        <v>0</v>
      </c>
      <c r="Q17" s="18" t="n">
        <v>0</v>
      </c>
      <c r="R17" s="20" t="n">
        <v>0</v>
      </c>
      <c r="S17" s="18" t="n">
        <v>0</v>
      </c>
      <c r="T17" s="20" t="n">
        <v>0</v>
      </c>
    </row>
    <row r="18" spans="1:20">
      <c r="A18" s="15" t="s">
        <v>578</v>
      </c>
      <c r="B18" s="17" t="n">
        <v>2826</v>
      </c>
      <c r="C18" s="18">
        <f>(2228.0/B18*100)</f>
        <v/>
      </c>
      <c r="D18" s="19" t="n">
        <v>598</v>
      </c>
      <c r="E18" s="18" t="n">
        <v>23.71696523</v>
      </c>
      <c r="F18" s="20" t="n">
        <v>2.03407161</v>
      </c>
      <c r="G18" s="18" t="n">
        <v>18.66386047</v>
      </c>
      <c r="H18" s="20" t="n">
        <v>1.78322361</v>
      </c>
      <c r="I18" s="18" t="n">
        <v>20.74351884</v>
      </c>
      <c r="J18" s="20" t="n">
        <v>1.99438483</v>
      </c>
      <c r="K18" s="18" t="s">
        <v>567</v>
      </c>
      <c r="L18" s="20" t="s">
        <v>567</v>
      </c>
      <c r="M18" s="18" t="n">
        <v>36.87565546</v>
      </c>
      <c r="N18" s="20" t="n">
        <v>2.49467458</v>
      </c>
      <c r="O18" s="18" t="n">
        <v>0</v>
      </c>
      <c r="P18" s="20" t="n">
        <v>0</v>
      </c>
      <c r="Q18" s="18" t="n">
        <v>0</v>
      </c>
      <c r="R18" s="20" t="n">
        <v>0</v>
      </c>
      <c r="S18" s="18" t="n">
        <v>0</v>
      </c>
      <c r="T18" s="20" t="n">
        <v>0</v>
      </c>
    </row>
    <row r="19" spans="1:20">
      <c r="A19" s="15" t="s">
        <v>579</v>
      </c>
      <c r="B19" s="17" t="n">
        <v>2808</v>
      </c>
      <c r="C19" s="18">
        <f>(2211.0/B19*100)</f>
        <v/>
      </c>
      <c r="D19" s="19" t="n">
        <v>597</v>
      </c>
      <c r="E19" s="18" t="n">
        <v>11.20879342</v>
      </c>
      <c r="F19" s="20" t="n">
        <v>1.51840847</v>
      </c>
      <c r="G19" s="18" t="n">
        <v>29.11759825</v>
      </c>
      <c r="H19" s="20" t="n">
        <v>1.91183113</v>
      </c>
      <c r="I19" s="18" t="n">
        <v>34.05182266</v>
      </c>
      <c r="J19" s="20" t="n">
        <v>2.29526484</v>
      </c>
      <c r="K19" s="18" t="s">
        <v>567</v>
      </c>
      <c r="L19" s="20" t="s">
        <v>567</v>
      </c>
      <c r="M19" s="18" t="n">
        <v>25.48719941</v>
      </c>
      <c r="N19" s="20" t="n">
        <v>2.13219573</v>
      </c>
      <c r="O19" s="18" t="n">
        <v>0.13458626</v>
      </c>
      <c r="P19" s="20" t="n">
        <v>0.13395348</v>
      </c>
      <c r="Q19" s="18" t="n">
        <v>0</v>
      </c>
      <c r="R19" s="20" t="n">
        <v>0</v>
      </c>
      <c r="S19" s="18" t="n">
        <v>0</v>
      </c>
      <c r="T19" s="20" t="n">
        <v>0</v>
      </c>
    </row>
    <row r="20" spans="1:20">
      <c r="A20" s="15" t="s">
        <v>580</v>
      </c>
      <c r="B20" s="17" t="n">
        <v>1630</v>
      </c>
      <c r="C20" s="18">
        <f>(1298.0/B20*100)</f>
        <v/>
      </c>
      <c r="D20" s="19" t="n">
        <v>332</v>
      </c>
      <c r="E20" s="18" t="n">
        <v>35.49939364</v>
      </c>
      <c r="F20" s="20" t="n">
        <v>2.54915837</v>
      </c>
      <c r="G20" s="18" t="n">
        <v>22.53486418</v>
      </c>
      <c r="H20" s="20" t="n">
        <v>2.05492903</v>
      </c>
      <c r="I20" s="18" t="n">
        <v>18.27662184</v>
      </c>
      <c r="J20" s="20" t="n">
        <v>2.22887987</v>
      </c>
      <c r="K20" s="18" t="s">
        <v>567</v>
      </c>
      <c r="L20" s="20" t="s">
        <v>567</v>
      </c>
      <c r="M20" s="18" t="n">
        <v>23.68912034</v>
      </c>
      <c r="N20" s="20" t="n">
        <v>2.31126026</v>
      </c>
      <c r="O20" s="18" t="n">
        <v>0</v>
      </c>
      <c r="P20" s="20" t="n">
        <v>0</v>
      </c>
      <c r="Q20" s="18" t="n">
        <v>0</v>
      </c>
      <c r="R20" s="20" t="n">
        <v>0</v>
      </c>
      <c r="S20" s="18" t="n">
        <v>0</v>
      </c>
      <c r="T20" s="20" t="n">
        <v>0</v>
      </c>
    </row>
    <row r="21" spans="1:20">
      <c r="A21" s="15" t="s">
        <v>581</v>
      </c>
      <c r="B21" s="17" t="n">
        <v>2908</v>
      </c>
      <c r="C21" s="18">
        <f>(2261.0/B21*100)</f>
        <v/>
      </c>
      <c r="D21" s="19" t="n">
        <v>647</v>
      </c>
      <c r="E21" s="18" t="n">
        <v>18.16088725</v>
      </c>
      <c r="F21" s="20" t="n">
        <v>1.28308071</v>
      </c>
      <c r="G21" s="18" t="n">
        <v>17.38407775</v>
      </c>
      <c r="H21" s="20" t="n">
        <v>1.59208735</v>
      </c>
      <c r="I21" s="18" t="n">
        <v>44.65583373</v>
      </c>
      <c r="J21" s="20" t="n">
        <v>2.00821121</v>
      </c>
      <c r="K21" s="18" t="s">
        <v>567</v>
      </c>
      <c r="L21" s="20" t="s">
        <v>567</v>
      </c>
      <c r="M21" s="18" t="n">
        <v>19.66960442</v>
      </c>
      <c r="N21" s="20" t="n">
        <v>1.82246014</v>
      </c>
      <c r="O21" s="18" t="n">
        <v>0.12959685</v>
      </c>
      <c r="P21" s="20" t="n">
        <v>0.12924734</v>
      </c>
      <c r="Q21" s="18" t="n">
        <v>0</v>
      </c>
      <c r="R21" s="20" t="n">
        <v>0</v>
      </c>
      <c r="S21" s="18" t="n">
        <v>0</v>
      </c>
      <c r="T21" s="20" t="n">
        <v>0</v>
      </c>
    </row>
    <row r="22" spans="1:20">
      <c r="A22" s="15" t="s">
        <v>582</v>
      </c>
      <c r="B22" s="17" t="n">
        <v>2931</v>
      </c>
      <c r="C22" s="18">
        <f>(2306.0/B22*100)</f>
        <v/>
      </c>
      <c r="D22" s="19" t="n">
        <v>625</v>
      </c>
      <c r="E22" s="18" t="n">
        <v>27.224562</v>
      </c>
      <c r="F22" s="20" t="n">
        <v>1.8903492</v>
      </c>
      <c r="G22" s="18" t="n">
        <v>15.73273217</v>
      </c>
      <c r="H22" s="20" t="n">
        <v>1.57654482</v>
      </c>
      <c r="I22" s="18" t="n">
        <v>27.36232625</v>
      </c>
      <c r="J22" s="20" t="n">
        <v>2.15089852</v>
      </c>
      <c r="K22" s="18" t="s">
        <v>567</v>
      </c>
      <c r="L22" s="20" t="s">
        <v>567</v>
      </c>
      <c r="M22" s="18" t="n">
        <v>29.68037958</v>
      </c>
      <c r="N22" s="20" t="n">
        <v>2.42146094</v>
      </c>
      <c r="O22" s="18" t="n">
        <v>0</v>
      </c>
      <c r="P22" s="20" t="n">
        <v>0</v>
      </c>
      <c r="Q22" s="18" t="n">
        <v>0</v>
      </c>
      <c r="R22" s="20" t="n">
        <v>0</v>
      </c>
      <c r="S22" s="18" t="n">
        <v>0</v>
      </c>
      <c r="T22" s="20" t="n">
        <v>0</v>
      </c>
    </row>
    <row r="23" spans="1:20">
      <c r="A23" s="15" t="s">
        <v>583</v>
      </c>
      <c r="B23" s="17" t="n">
        <v>5791</v>
      </c>
      <c r="C23" s="18">
        <f>(4574.0/B23*100)</f>
        <v/>
      </c>
      <c r="D23" s="19" t="n">
        <v>1217</v>
      </c>
      <c r="E23" s="18" t="n">
        <v>12.09103957</v>
      </c>
      <c r="F23" s="20" t="n">
        <v>1.54244493</v>
      </c>
      <c r="G23" s="18" t="n">
        <v>29.6767787</v>
      </c>
      <c r="H23" s="20" t="n">
        <v>1.68340742</v>
      </c>
      <c r="I23" s="18" t="n">
        <v>29.54907408</v>
      </c>
      <c r="J23" s="20" t="n">
        <v>1.88575151</v>
      </c>
      <c r="K23" s="18" t="s">
        <v>567</v>
      </c>
      <c r="L23" s="20" t="s">
        <v>567</v>
      </c>
      <c r="M23" s="18" t="n">
        <v>28.53032724</v>
      </c>
      <c r="N23" s="20" t="n">
        <v>1.94470497</v>
      </c>
      <c r="O23" s="18" t="n">
        <v>0.15278041</v>
      </c>
      <c r="P23" s="20" t="n">
        <v>0.11738484</v>
      </c>
      <c r="Q23" s="18" t="n">
        <v>0</v>
      </c>
      <c r="R23" s="20" t="n">
        <v>0</v>
      </c>
      <c r="S23" s="18" t="n">
        <v>0</v>
      </c>
      <c r="T23" s="20" t="n">
        <v>0</v>
      </c>
    </row>
    <row r="24" spans="1:20">
      <c r="A24" s="15" t="s">
        <v>584</v>
      </c>
      <c r="B24" s="17" t="n">
        <v>3338</v>
      </c>
      <c r="C24" s="18">
        <f>(2633.0/B24*100)</f>
        <v/>
      </c>
      <c r="D24" s="19" t="n">
        <v>705</v>
      </c>
      <c r="E24" s="18" t="n">
        <v>9.19908285</v>
      </c>
      <c r="F24" s="20" t="n">
        <v>1.23892663</v>
      </c>
      <c r="G24" s="18" t="n">
        <v>27.18567523</v>
      </c>
      <c r="H24" s="20" t="n">
        <v>1.69319113</v>
      </c>
      <c r="I24" s="18" t="n">
        <v>45.82966472</v>
      </c>
      <c r="J24" s="20" t="n">
        <v>2.21598752</v>
      </c>
      <c r="K24" s="18" t="s">
        <v>567</v>
      </c>
      <c r="L24" s="20" t="s">
        <v>567</v>
      </c>
      <c r="M24" s="18" t="n">
        <v>17.78557721</v>
      </c>
      <c r="N24" s="20" t="n">
        <v>1.47029018</v>
      </c>
      <c r="O24" s="18" t="n">
        <v>0</v>
      </c>
      <c r="P24" s="20" t="n">
        <v>0</v>
      </c>
      <c r="Q24" s="18" t="n">
        <v>0</v>
      </c>
      <c r="R24" s="20" t="n">
        <v>0</v>
      </c>
      <c r="S24" s="18" t="n">
        <v>0</v>
      </c>
      <c r="T24" s="20" t="n">
        <v>0</v>
      </c>
    </row>
    <row r="25" spans="1:20">
      <c r="A25" s="15" t="s">
        <v>585</v>
      </c>
      <c r="B25" s="17" t="n">
        <v>2912</v>
      </c>
      <c r="C25" s="18">
        <f>(2270.0/B25*100)</f>
        <v/>
      </c>
      <c r="D25" s="19" t="n">
        <v>642</v>
      </c>
      <c r="E25" s="18" t="n">
        <v>16.18223088</v>
      </c>
      <c r="F25" s="20" t="n">
        <v>1.468084</v>
      </c>
      <c r="G25" s="18" t="n">
        <v>37.38101076</v>
      </c>
      <c r="H25" s="20" t="n">
        <v>2.11496777</v>
      </c>
      <c r="I25" s="18" t="n">
        <v>23.29945627</v>
      </c>
      <c r="J25" s="20" t="n">
        <v>2.05805426</v>
      </c>
      <c r="K25" s="18" t="s">
        <v>567</v>
      </c>
      <c r="L25" s="20" t="s">
        <v>567</v>
      </c>
      <c r="M25" s="18" t="n">
        <v>23.13730209</v>
      </c>
      <c r="N25" s="20" t="n">
        <v>1.93617221</v>
      </c>
      <c r="O25" s="18" t="n">
        <v>0</v>
      </c>
      <c r="P25" s="20" t="n">
        <v>0</v>
      </c>
      <c r="Q25" s="18" t="n">
        <v>0</v>
      </c>
      <c r="R25" s="20" t="n">
        <v>0</v>
      </c>
      <c r="S25" s="18" t="n">
        <v>0</v>
      </c>
      <c r="T25" s="20" t="n">
        <v>0</v>
      </c>
    </row>
    <row r="26" spans="1:20">
      <c r="A26" s="15" t="s">
        <v>586</v>
      </c>
      <c r="B26" s="17" t="n">
        <v>2450</v>
      </c>
      <c r="C26" s="18">
        <f>(1908.0/B26*100)</f>
        <v/>
      </c>
      <c r="D26" s="19" t="n">
        <v>542</v>
      </c>
      <c r="E26" s="18" t="n">
        <v>28.42729768</v>
      </c>
      <c r="F26" s="20" t="n">
        <v>2.05018378</v>
      </c>
      <c r="G26" s="18" t="n">
        <v>38.92745568</v>
      </c>
      <c r="H26" s="20" t="n">
        <v>2.33059906</v>
      </c>
      <c r="I26" s="18" t="n">
        <v>12.25235401</v>
      </c>
      <c r="J26" s="20" t="n">
        <v>1.76093811</v>
      </c>
      <c r="K26" s="18" t="s">
        <v>567</v>
      </c>
      <c r="L26" s="20" t="s">
        <v>567</v>
      </c>
      <c r="M26" s="18" t="n">
        <v>20.39289264</v>
      </c>
      <c r="N26" s="20" t="n">
        <v>1.95903217</v>
      </c>
      <c r="O26" s="18" t="n">
        <v>0</v>
      </c>
      <c r="P26" s="20" t="n">
        <v>0</v>
      </c>
      <c r="Q26" s="18" t="n">
        <v>0</v>
      </c>
      <c r="R26" s="20" t="n">
        <v>0</v>
      </c>
      <c r="S26" s="18" t="n">
        <v>0</v>
      </c>
      <c r="T26" s="20" t="n">
        <v>0</v>
      </c>
    </row>
    <row r="27" spans="1:20">
      <c r="A27" s="15" t="s">
        <v>587</v>
      </c>
      <c r="B27" s="17" t="n">
        <v>2616</v>
      </c>
      <c r="C27" s="18">
        <f>(2095.0/B27*100)</f>
        <v/>
      </c>
      <c r="D27" s="19" t="n">
        <v>521</v>
      </c>
      <c r="E27" s="18" t="n">
        <v>23.489291</v>
      </c>
      <c r="F27" s="20" t="n">
        <v>1.74029529</v>
      </c>
      <c r="G27" s="18" t="n">
        <v>14.67628208</v>
      </c>
      <c r="H27" s="20" t="n">
        <v>1.46278273</v>
      </c>
      <c r="I27" s="18" t="n">
        <v>34.87402171</v>
      </c>
      <c r="J27" s="20" t="n">
        <v>2.08072194</v>
      </c>
      <c r="K27" s="18" t="s">
        <v>567</v>
      </c>
      <c r="L27" s="20" t="s">
        <v>567</v>
      </c>
      <c r="M27" s="18" t="n">
        <v>26.9604052</v>
      </c>
      <c r="N27" s="20" t="n">
        <v>1.94298851</v>
      </c>
      <c r="O27" s="18" t="n">
        <v>0</v>
      </c>
      <c r="P27" s="20" t="n">
        <v>0</v>
      </c>
      <c r="Q27" s="18" t="n">
        <v>0</v>
      </c>
      <c r="R27" s="20" t="n">
        <v>0</v>
      </c>
      <c r="S27" s="18" t="n">
        <v>0</v>
      </c>
      <c r="T27" s="20" t="n">
        <v>0</v>
      </c>
    </row>
    <row r="28" spans="1:20">
      <c r="A28" s="15" t="s">
        <v>588</v>
      </c>
      <c r="B28" s="17" t="n">
        <v>3765</v>
      </c>
      <c r="C28" s="18">
        <f>(3018.0/B28*100)</f>
        <v/>
      </c>
      <c r="D28" s="19" t="n">
        <v>747</v>
      </c>
      <c r="E28" s="18" t="n">
        <v>33.88790944</v>
      </c>
      <c r="F28" s="20" t="n">
        <v>2.07268974</v>
      </c>
      <c r="G28" s="18" t="n">
        <v>30.72664103</v>
      </c>
      <c r="H28" s="20" t="n">
        <v>1.83743847</v>
      </c>
      <c r="I28" s="18" t="n">
        <v>13.6192364</v>
      </c>
      <c r="J28" s="20" t="n">
        <v>1.27611554</v>
      </c>
      <c r="K28" s="18" t="s">
        <v>567</v>
      </c>
      <c r="L28" s="20" t="s">
        <v>567</v>
      </c>
      <c r="M28" s="18" t="n">
        <v>21.6425719</v>
      </c>
      <c r="N28" s="20" t="n">
        <v>2.0012391</v>
      </c>
      <c r="O28" s="18" t="n">
        <v>0.12364124</v>
      </c>
      <c r="P28" s="20" t="n">
        <v>0.11093154</v>
      </c>
      <c r="Q28" s="18" t="n">
        <v>0</v>
      </c>
      <c r="R28" s="20" t="n">
        <v>0</v>
      </c>
      <c r="S28" s="18" t="n">
        <v>0</v>
      </c>
      <c r="T28" s="20" t="n">
        <v>0</v>
      </c>
    </row>
    <row r="29" spans="1:20">
      <c r="A29" s="15" t="s">
        <v>589</v>
      </c>
      <c r="B29" s="17" t="n">
        <v>2685</v>
      </c>
      <c r="C29" s="18">
        <f>(2100.0/B29*100)</f>
        <v/>
      </c>
      <c r="D29" s="19" t="n">
        <v>585</v>
      </c>
      <c r="E29" s="18" t="n">
        <v>18.5226156</v>
      </c>
      <c r="F29" s="20" t="n">
        <v>1.73902422</v>
      </c>
      <c r="G29" s="18" t="n">
        <v>23.79583992</v>
      </c>
      <c r="H29" s="20" t="n">
        <v>1.82555476</v>
      </c>
      <c r="I29" s="18" t="n">
        <v>45.68152269</v>
      </c>
      <c r="J29" s="20" t="n">
        <v>1.94904582</v>
      </c>
      <c r="K29" s="18" t="s">
        <v>567</v>
      </c>
      <c r="L29" s="20" t="s">
        <v>567</v>
      </c>
      <c r="M29" s="18" t="n">
        <v>12.00002179</v>
      </c>
      <c r="N29" s="20" t="n">
        <v>1.62287773</v>
      </c>
      <c r="O29" s="18" t="n">
        <v>0</v>
      </c>
      <c r="P29" s="20" t="n">
        <v>0</v>
      </c>
      <c r="Q29" s="18" t="n">
        <v>0</v>
      </c>
      <c r="R29" s="20" t="n">
        <v>0</v>
      </c>
      <c r="S29" s="18" t="n">
        <v>0</v>
      </c>
      <c r="T29" s="20" t="n">
        <v>0</v>
      </c>
    </row>
    <row r="30" spans="1:20">
      <c r="A30" s="15" t="s">
        <v>590</v>
      </c>
      <c r="B30" s="17" t="n">
        <v>2263</v>
      </c>
      <c r="C30" s="18">
        <f>(1786.0/B30*100)</f>
        <v/>
      </c>
      <c r="D30" s="19" t="n">
        <v>477</v>
      </c>
      <c r="E30" s="18" t="n">
        <v>19.26011193</v>
      </c>
      <c r="F30" s="20" t="n">
        <v>1.78320649</v>
      </c>
      <c r="G30" s="18" t="n">
        <v>13.41737545</v>
      </c>
      <c r="H30" s="20" t="n">
        <v>1.62443995</v>
      </c>
      <c r="I30" s="18" t="n">
        <v>43.09288855</v>
      </c>
      <c r="J30" s="20" t="n">
        <v>1.99144584</v>
      </c>
      <c r="K30" s="18" t="s">
        <v>567</v>
      </c>
      <c r="L30" s="20" t="s">
        <v>567</v>
      </c>
      <c r="M30" s="18" t="n">
        <v>24.22962406</v>
      </c>
      <c r="N30" s="20" t="n">
        <v>2.03076225</v>
      </c>
      <c r="O30" s="18" t="n">
        <v>0</v>
      </c>
      <c r="P30" s="20" t="n">
        <v>0</v>
      </c>
      <c r="Q30" s="18" t="n">
        <v>0</v>
      </c>
      <c r="R30" s="20" t="n">
        <v>0</v>
      </c>
      <c r="S30" s="18" t="n">
        <v>0</v>
      </c>
      <c r="T30" s="20" t="n">
        <v>0</v>
      </c>
    </row>
    <row r="31" spans="1:20">
      <c r="A31" s="15" t="s">
        <v>591</v>
      </c>
      <c r="B31" s="17" t="n">
        <v>2750</v>
      </c>
      <c r="C31" s="18">
        <f>(2177.0/B31*100)</f>
        <v/>
      </c>
      <c r="D31" s="19" t="n">
        <v>573</v>
      </c>
      <c r="E31" s="18" t="n">
        <v>13.02870769</v>
      </c>
      <c r="F31" s="20" t="n">
        <v>1.62395858</v>
      </c>
      <c r="G31" s="18" t="n">
        <v>24.23249093</v>
      </c>
      <c r="H31" s="20" t="n">
        <v>1.98322346</v>
      </c>
      <c r="I31" s="18" t="n">
        <v>43.94779031</v>
      </c>
      <c r="J31" s="20" t="n">
        <v>2.42902158</v>
      </c>
      <c r="K31" s="18" t="s">
        <v>567</v>
      </c>
      <c r="L31" s="20" t="s">
        <v>567</v>
      </c>
      <c r="M31" s="18" t="n">
        <v>18.79101107</v>
      </c>
      <c r="N31" s="20" t="n">
        <v>1.82024762</v>
      </c>
      <c r="O31" s="18" t="n">
        <v>0</v>
      </c>
      <c r="P31" s="20" t="n">
        <v>0</v>
      </c>
      <c r="Q31" s="18" t="n">
        <v>0</v>
      </c>
      <c r="R31" s="20" t="n">
        <v>0</v>
      </c>
      <c r="S31" s="18" t="n">
        <v>0</v>
      </c>
      <c r="T31" s="20" t="n">
        <v>0</v>
      </c>
    </row>
    <row r="32" spans="1:20">
      <c r="A32" s="15" t="s">
        <v>592</v>
      </c>
      <c r="B32" s="17" t="n">
        <v>2269</v>
      </c>
      <c r="C32" s="18">
        <f>(1773.0/B32*100)</f>
        <v/>
      </c>
      <c r="D32" s="19" t="n">
        <v>496</v>
      </c>
      <c r="E32" s="18" t="n">
        <v>23.38977737</v>
      </c>
      <c r="F32" s="20" t="n">
        <v>1.74022763</v>
      </c>
      <c r="G32" s="18" t="n">
        <v>22.837238</v>
      </c>
      <c r="H32" s="20" t="n">
        <v>2.07363188</v>
      </c>
      <c r="I32" s="18" t="n">
        <v>30.84259375</v>
      </c>
      <c r="J32" s="20" t="n">
        <v>2.163524</v>
      </c>
      <c r="K32" s="18" t="s">
        <v>567</v>
      </c>
      <c r="L32" s="20" t="s">
        <v>567</v>
      </c>
      <c r="M32" s="18" t="n">
        <v>22.93039089</v>
      </c>
      <c r="N32" s="20" t="n">
        <v>1.97079467</v>
      </c>
      <c r="O32" s="18" t="n">
        <v>0</v>
      </c>
      <c r="P32" s="20" t="n">
        <v>0</v>
      </c>
      <c r="Q32" s="18" t="n">
        <v>0</v>
      </c>
      <c r="R32" s="20" t="n">
        <v>0</v>
      </c>
      <c r="S32" s="18" t="n">
        <v>0</v>
      </c>
      <c r="T32" s="20" t="n">
        <v>0</v>
      </c>
    </row>
    <row r="33" spans="1:20">
      <c r="A33" s="15" t="s">
        <v>593</v>
      </c>
      <c r="B33" s="17" t="n">
        <v>3674</v>
      </c>
      <c r="C33" s="18">
        <f>(2936.0/B33*100)</f>
        <v/>
      </c>
      <c r="D33" s="19" t="n">
        <v>738</v>
      </c>
      <c r="E33" s="18" t="n">
        <v>14.7038051</v>
      </c>
      <c r="F33" s="20" t="n">
        <v>1.55136186</v>
      </c>
      <c r="G33" s="18" t="n">
        <v>20.69877376</v>
      </c>
      <c r="H33" s="20" t="n">
        <v>1.81311265</v>
      </c>
      <c r="I33" s="18" t="n">
        <v>35.62552542</v>
      </c>
      <c r="J33" s="20" t="n">
        <v>2.44699968</v>
      </c>
      <c r="K33" s="18" t="s">
        <v>567</v>
      </c>
      <c r="L33" s="20" t="s">
        <v>567</v>
      </c>
      <c r="M33" s="18" t="n">
        <v>28.97189572</v>
      </c>
      <c r="N33" s="20" t="n">
        <v>2.5296419</v>
      </c>
      <c r="O33" s="18" t="n">
        <v>0</v>
      </c>
      <c r="P33" s="20" t="n">
        <v>0</v>
      </c>
      <c r="Q33" s="18" t="n">
        <v>0</v>
      </c>
      <c r="R33" s="20" t="n">
        <v>0</v>
      </c>
      <c r="S33" s="18" t="n">
        <v>0</v>
      </c>
      <c r="T33" s="20" t="n">
        <v>0</v>
      </c>
    </row>
    <row r="34" spans="1:20">
      <c r="A34" s="15" t="s">
        <v>594</v>
      </c>
      <c r="B34" s="17" t="n">
        <v>3315</v>
      </c>
      <c r="C34" s="18">
        <f>(2635.0/B34*100)</f>
        <v/>
      </c>
      <c r="D34" s="19" t="n">
        <v>680</v>
      </c>
      <c r="E34" s="18" t="n">
        <v>25.35047813</v>
      </c>
      <c r="F34" s="20" t="n">
        <v>1.9745698</v>
      </c>
      <c r="G34" s="18" t="n">
        <v>27.75471992</v>
      </c>
      <c r="H34" s="20" t="n">
        <v>2.16087319</v>
      </c>
      <c r="I34" s="18" t="n">
        <v>21.95136211</v>
      </c>
      <c r="J34" s="20" t="n">
        <v>1.55146338</v>
      </c>
      <c r="K34" s="18" t="s">
        <v>567</v>
      </c>
      <c r="L34" s="20" t="s">
        <v>567</v>
      </c>
      <c r="M34" s="18" t="n">
        <v>24.94343984</v>
      </c>
      <c r="N34" s="20" t="n">
        <v>1.78606241</v>
      </c>
      <c r="O34" s="18" t="n">
        <v>0</v>
      </c>
      <c r="P34" s="20" t="n">
        <v>0</v>
      </c>
      <c r="Q34" s="18" t="n">
        <v>0</v>
      </c>
      <c r="R34" s="20" t="n">
        <v>0</v>
      </c>
      <c r="S34" s="18" t="n">
        <v>0</v>
      </c>
      <c r="T34" s="20" t="n">
        <v>0</v>
      </c>
    </row>
    <row r="35" spans="1:20">
      <c r="A35" s="15" t="s">
        <v>595</v>
      </c>
      <c r="B35" s="17" t="n">
        <v>3505</v>
      </c>
      <c r="C35" s="18">
        <f>(2793.0/B35*100)</f>
        <v/>
      </c>
      <c r="D35" s="19" t="n">
        <v>712</v>
      </c>
      <c r="E35" s="18" t="n">
        <v>19.50163865</v>
      </c>
      <c r="F35" s="20" t="n">
        <v>1.86687705</v>
      </c>
      <c r="G35" s="18" t="n">
        <v>29.52157187</v>
      </c>
      <c r="H35" s="20" t="n">
        <v>2.07434605</v>
      </c>
      <c r="I35" s="18" t="n">
        <v>32.55004448</v>
      </c>
      <c r="J35" s="20" t="n">
        <v>2.28351456</v>
      </c>
      <c r="K35" s="18" t="s">
        <v>567</v>
      </c>
      <c r="L35" s="20" t="s">
        <v>567</v>
      </c>
      <c r="M35" s="18" t="n">
        <v>18.42674501</v>
      </c>
      <c r="N35" s="20" t="n">
        <v>1.83875634</v>
      </c>
      <c r="O35" s="18" t="n">
        <v>0</v>
      </c>
      <c r="P35" s="20" t="n">
        <v>0</v>
      </c>
      <c r="Q35" s="18" t="n">
        <v>0</v>
      </c>
      <c r="R35" s="20" t="n">
        <v>0</v>
      </c>
      <c r="S35" s="18" t="n">
        <v>0</v>
      </c>
      <c r="T35" s="20" t="n">
        <v>0</v>
      </c>
    </row>
    <row r="36" spans="1:20">
      <c r="A36" s="15" t="s">
        <v>596</v>
      </c>
      <c r="B36" s="17" t="n">
        <v>3332</v>
      </c>
      <c r="C36" s="18">
        <f>(2638.0/B36*100)</f>
        <v/>
      </c>
      <c r="D36" s="19" t="n">
        <v>694</v>
      </c>
      <c r="E36" s="18" t="n">
        <v>10.33642827</v>
      </c>
      <c r="F36" s="20" t="n">
        <v>1.57212884</v>
      </c>
      <c r="G36" s="18" t="n">
        <v>26.40391305</v>
      </c>
      <c r="H36" s="20" t="n">
        <v>1.80603777</v>
      </c>
      <c r="I36" s="18" t="n">
        <v>41.05662911</v>
      </c>
      <c r="J36" s="20" t="n">
        <v>2.18855382</v>
      </c>
      <c r="K36" s="18" t="s">
        <v>567</v>
      </c>
      <c r="L36" s="20" t="s">
        <v>567</v>
      </c>
      <c r="M36" s="18" t="n">
        <v>22.20302956</v>
      </c>
      <c r="N36" s="20" t="n">
        <v>1.82394201</v>
      </c>
      <c r="O36" s="18" t="n">
        <v>0</v>
      </c>
      <c r="P36" s="20" t="n">
        <v>0</v>
      </c>
      <c r="Q36" s="18" t="n">
        <v>0</v>
      </c>
      <c r="R36" s="20" t="n">
        <v>0</v>
      </c>
      <c r="S36" s="18" t="n">
        <v>0</v>
      </c>
      <c r="T36" s="20" t="n">
        <v>0</v>
      </c>
    </row>
    <row r="37" spans="1:20">
      <c r="A37" s="15" t="s">
        <v>597</v>
      </c>
      <c r="B37" s="17" t="n">
        <v>2727</v>
      </c>
      <c r="C37" s="18">
        <f>(2151.0/B37*100)</f>
        <v/>
      </c>
      <c r="D37" s="19" t="n">
        <v>576</v>
      </c>
      <c r="E37" s="18" t="n">
        <v>11.46382086</v>
      </c>
      <c r="F37" s="20" t="n">
        <v>1.31159798</v>
      </c>
      <c r="G37" s="18" t="n">
        <v>21.00392052</v>
      </c>
      <c r="H37" s="20" t="n">
        <v>1.62189084</v>
      </c>
      <c r="I37" s="18" t="n">
        <v>41.98817925</v>
      </c>
      <c r="J37" s="20" t="n">
        <v>2.57426547</v>
      </c>
      <c r="K37" s="18" t="s">
        <v>567</v>
      </c>
      <c r="L37" s="20" t="s">
        <v>567</v>
      </c>
      <c r="M37" s="18" t="n">
        <v>25.54407937</v>
      </c>
      <c r="N37" s="20" t="n">
        <v>2.0135419</v>
      </c>
      <c r="O37" s="18" t="n">
        <v>0</v>
      </c>
      <c r="P37" s="20" t="n">
        <v>0</v>
      </c>
      <c r="Q37" s="18" t="n">
        <v>0</v>
      </c>
      <c r="R37" s="20" t="n">
        <v>0</v>
      </c>
      <c r="S37" s="18" t="n">
        <v>0</v>
      </c>
      <c r="T37" s="20" t="n">
        <v>0</v>
      </c>
    </row>
    <row r="38" spans="1:20">
      <c r="A38" s="15" t="s">
        <v>598</v>
      </c>
      <c r="B38" s="17" t="n">
        <v>3053</v>
      </c>
      <c r="C38" s="18">
        <f>(2410.0/B38*100)</f>
        <v/>
      </c>
      <c r="D38" s="19" t="n">
        <v>643</v>
      </c>
      <c r="E38" s="18" t="n">
        <v>12.92259372</v>
      </c>
      <c r="F38" s="20" t="n">
        <v>1.39365587</v>
      </c>
      <c r="G38" s="18" t="n">
        <v>19.60112969</v>
      </c>
      <c r="H38" s="20" t="n">
        <v>1.65327936</v>
      </c>
      <c r="I38" s="18" t="n">
        <v>41.03012742</v>
      </c>
      <c r="J38" s="20" t="n">
        <v>2.21131012</v>
      </c>
      <c r="K38" s="18" t="s">
        <v>567</v>
      </c>
      <c r="L38" s="20" t="s">
        <v>567</v>
      </c>
      <c r="M38" s="18" t="n">
        <v>24.92532667</v>
      </c>
      <c r="N38" s="20" t="n">
        <v>1.76153389</v>
      </c>
      <c r="O38" s="18" t="n">
        <v>1.52082249</v>
      </c>
      <c r="P38" s="20" t="n">
        <v>0.57148487</v>
      </c>
      <c r="Q38" s="18" t="n">
        <v>0</v>
      </c>
      <c r="R38" s="20" t="n">
        <v>0</v>
      </c>
      <c r="S38" s="18" t="n">
        <v>0</v>
      </c>
      <c r="T38" s="20" t="n">
        <v>0</v>
      </c>
    </row>
    <row r="39" spans="1:20">
      <c r="A39" s="15" t="s">
        <v>599</v>
      </c>
      <c r="B39" s="17" t="n">
        <v>2957</v>
      </c>
      <c r="C39" s="18">
        <f>(2264.0/B39*100)</f>
        <v/>
      </c>
      <c r="D39" s="19" t="n">
        <v>693</v>
      </c>
      <c r="E39" s="18" t="n">
        <v>32.13512639</v>
      </c>
      <c r="F39" s="20" t="n">
        <v>2.24013911</v>
      </c>
      <c r="G39" s="18" t="n">
        <v>23.95340569</v>
      </c>
      <c r="H39" s="20" t="n">
        <v>1.92560468</v>
      </c>
      <c r="I39" s="18" t="n">
        <v>14.79559544</v>
      </c>
      <c r="J39" s="20" t="n">
        <v>2.01111882</v>
      </c>
      <c r="K39" s="18" t="s">
        <v>567</v>
      </c>
      <c r="L39" s="20" t="s">
        <v>567</v>
      </c>
      <c r="M39" s="18" t="n">
        <v>29.11587248</v>
      </c>
      <c r="N39" s="20" t="n">
        <v>1.91005973</v>
      </c>
      <c r="O39" s="18" t="n">
        <v>0</v>
      </c>
      <c r="P39" s="20" t="n">
        <v>0</v>
      </c>
      <c r="Q39" s="18" t="n">
        <v>0</v>
      </c>
      <c r="R39" s="20" t="n">
        <v>0</v>
      </c>
      <c r="S39" s="18" t="n">
        <v>0</v>
      </c>
      <c r="T39" s="20" t="n">
        <v>0</v>
      </c>
    </row>
    <row r="40" spans="1:20">
      <c r="A40" s="15" t="s">
        <v>600</v>
      </c>
      <c r="B40" s="17" t="n">
        <v>7235</v>
      </c>
      <c r="C40" s="18">
        <f>(5690.0/B40*100)</f>
        <v/>
      </c>
      <c r="D40" s="19" t="n">
        <v>1545</v>
      </c>
      <c r="E40" s="18" t="n">
        <v>13.57181751</v>
      </c>
      <c r="F40" s="20" t="n">
        <v>1.34126684</v>
      </c>
      <c r="G40" s="18" t="n">
        <v>16.08378534</v>
      </c>
      <c r="H40" s="20" t="n">
        <v>1.62112313</v>
      </c>
      <c r="I40" s="18" t="n">
        <v>48.17164347</v>
      </c>
      <c r="J40" s="20" t="n">
        <v>2.210298</v>
      </c>
      <c r="K40" s="18" t="s">
        <v>567</v>
      </c>
      <c r="L40" s="20" t="s">
        <v>567</v>
      </c>
      <c r="M40" s="18" t="n">
        <v>22.17275369</v>
      </c>
      <c r="N40" s="20" t="n">
        <v>1.80418919</v>
      </c>
      <c r="O40" s="18" t="n">
        <v>0</v>
      </c>
      <c r="P40" s="20" t="n">
        <v>0</v>
      </c>
      <c r="Q40" s="18" t="n">
        <v>0</v>
      </c>
      <c r="R40" s="20" t="n">
        <v>0</v>
      </c>
      <c r="S40" s="18" t="n">
        <v>0</v>
      </c>
      <c r="T40" s="20" t="n">
        <v>0</v>
      </c>
    </row>
    <row r="41" spans="1:20">
      <c r="A41" s="15" t="s">
        <v>601</v>
      </c>
      <c r="B41" s="17" t="n">
        <v>2858</v>
      </c>
      <c r="C41" s="18">
        <f>(2315.0/B41*100)</f>
        <v/>
      </c>
      <c r="D41" s="19" t="n">
        <v>543</v>
      </c>
      <c r="E41" s="18" t="n">
        <v>39.86260709</v>
      </c>
      <c r="F41" s="20" t="n">
        <v>2.0710851</v>
      </c>
      <c r="G41" s="18" t="n">
        <v>11.98204678</v>
      </c>
      <c r="H41" s="20" t="n">
        <v>1.26784486</v>
      </c>
      <c r="I41" s="18" t="n">
        <v>36.31796666</v>
      </c>
      <c r="J41" s="20" t="n">
        <v>2.16421896</v>
      </c>
      <c r="K41" s="18" t="s">
        <v>567</v>
      </c>
      <c r="L41" s="20" t="s">
        <v>567</v>
      </c>
      <c r="M41" s="18" t="n">
        <v>11.83737947</v>
      </c>
      <c r="N41" s="20" t="n">
        <v>1.85603537</v>
      </c>
      <c r="O41" s="18" t="n">
        <v>0</v>
      </c>
      <c r="P41" s="20" t="n">
        <v>0</v>
      </c>
      <c r="Q41" s="18" t="n">
        <v>0</v>
      </c>
      <c r="R41" s="20" t="n">
        <v>0</v>
      </c>
      <c r="S41" s="18" t="n">
        <v>0</v>
      </c>
      <c r="T41" s="20" t="n">
        <v>0</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11068</v>
      </c>
      <c r="C46" s="18">
        <f>(9560.0/B46*100)</f>
        <v/>
      </c>
      <c r="D46" s="19" t="n">
        <v>1508</v>
      </c>
      <c r="E46" s="18" t="n">
        <v>26.25113395</v>
      </c>
      <c r="F46" s="20" t="n">
        <v>1.32719298</v>
      </c>
      <c r="G46" s="18" t="n">
        <v>17.53834684</v>
      </c>
      <c r="H46" s="20" t="n">
        <v>1.30365771</v>
      </c>
      <c r="I46" s="18" t="n">
        <v>21.03784163</v>
      </c>
      <c r="J46" s="20" t="n">
        <v>1.70717113</v>
      </c>
      <c r="K46" s="18" t="s">
        <v>567</v>
      </c>
      <c r="L46" s="20" t="s">
        <v>567</v>
      </c>
      <c r="M46" s="18" t="n">
        <v>35.07092106</v>
      </c>
      <c r="N46" s="20" t="n">
        <v>1.68077759</v>
      </c>
      <c r="O46" s="18" t="n">
        <v>0.10175651</v>
      </c>
      <c r="P46" s="20" t="n">
        <v>0.11031292</v>
      </c>
      <c r="Q46" s="18" t="n">
        <v>0</v>
      </c>
      <c r="R46" s="20" t="n">
        <v>0</v>
      </c>
      <c r="S46" s="18" t="n">
        <v>0</v>
      </c>
      <c r="T46" s="20" t="n">
        <v>0</v>
      </c>
    </row>
    <row r="47" spans="1:20">
      <c r="A47" s="15" t="s">
        <v>607</v>
      </c>
      <c r="B47" s="17" t="n">
        <v>3105</v>
      </c>
      <c r="C47" s="18">
        <f>(2423.0/B47*100)</f>
        <v/>
      </c>
      <c r="D47" s="19" t="n">
        <v>682</v>
      </c>
      <c r="E47" s="18" t="n">
        <v>22.81130868</v>
      </c>
      <c r="F47" s="20" t="n">
        <v>1.70315334</v>
      </c>
      <c r="G47" s="18" t="n">
        <v>25.47607995</v>
      </c>
      <c r="H47" s="20" t="n">
        <v>1.9943091</v>
      </c>
      <c r="I47" s="18" t="n">
        <v>11.65550855</v>
      </c>
      <c r="J47" s="20" t="n">
        <v>1.72881939</v>
      </c>
      <c r="K47" s="18" t="s">
        <v>567</v>
      </c>
      <c r="L47" s="20" t="s">
        <v>567</v>
      </c>
      <c r="M47" s="18" t="n">
        <v>39.65125636</v>
      </c>
      <c r="N47" s="20" t="n">
        <v>2.14265638</v>
      </c>
      <c r="O47" s="18" t="n">
        <v>0.40584645</v>
      </c>
      <c r="P47" s="20" t="n">
        <v>0.30196239</v>
      </c>
      <c r="Q47" s="18" t="n">
        <v>0</v>
      </c>
      <c r="R47" s="20" t="n">
        <v>0</v>
      </c>
      <c r="S47" s="18" t="n">
        <v>0</v>
      </c>
      <c r="T47" s="20" t="n">
        <v>0</v>
      </c>
    </row>
    <row r="48" spans="1:20">
      <c r="A48" s="15" t="s">
        <v>608</v>
      </c>
      <c r="B48" s="17" t="n">
        <v>5159</v>
      </c>
      <c r="C48" s="18">
        <f>(4057.0/B48*100)</f>
        <v/>
      </c>
      <c r="D48" s="19" t="n">
        <v>1102</v>
      </c>
      <c r="E48" s="18" t="n">
        <v>25.74233544</v>
      </c>
      <c r="F48" s="20" t="n">
        <v>1.83982892</v>
      </c>
      <c r="G48" s="18" t="n">
        <v>28.21903281</v>
      </c>
      <c r="H48" s="20" t="n">
        <v>1.59759702</v>
      </c>
      <c r="I48" s="18" t="n">
        <v>26.28759358</v>
      </c>
      <c r="J48" s="20" t="n">
        <v>1.78033622</v>
      </c>
      <c r="K48" s="18" t="s">
        <v>567</v>
      </c>
      <c r="L48" s="20" t="s">
        <v>567</v>
      </c>
      <c r="M48" s="18" t="n">
        <v>19.75103817</v>
      </c>
      <c r="N48" s="20" t="n">
        <v>1.42600033</v>
      </c>
      <c r="O48" s="18" t="n">
        <v>0</v>
      </c>
      <c r="P48" s="20" t="n">
        <v>0</v>
      </c>
      <c r="Q48" s="18" t="n">
        <v>0</v>
      </c>
      <c r="R48" s="20" t="n">
        <v>0</v>
      </c>
      <c r="S48" s="18" t="n">
        <v>0</v>
      </c>
      <c r="T48" s="20" t="n">
        <v>0</v>
      </c>
    </row>
    <row r="49" spans="1:20">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5637</v>
      </c>
      <c r="C50" s="18">
        <f>(4469.0/B50*100)</f>
        <v/>
      </c>
      <c r="D50" s="19" t="n">
        <v>1168</v>
      </c>
      <c r="E50" s="18" t="n">
        <v>37.235612</v>
      </c>
      <c r="F50" s="20" t="n">
        <v>1.96366726</v>
      </c>
      <c r="G50" s="18" t="n">
        <v>23.87001444</v>
      </c>
      <c r="H50" s="20" t="n">
        <v>1.6829837</v>
      </c>
      <c r="I50" s="18" t="n">
        <v>12.41915319</v>
      </c>
      <c r="J50" s="20" t="n">
        <v>1.37256376</v>
      </c>
      <c r="K50" s="18" t="s">
        <v>567</v>
      </c>
      <c r="L50" s="20" t="s">
        <v>567</v>
      </c>
      <c r="M50" s="18" t="n">
        <v>26.47522037</v>
      </c>
      <c r="N50" s="20" t="n">
        <v>1.95587733</v>
      </c>
      <c r="O50" s="18" t="n">
        <v>0</v>
      </c>
      <c r="P50" s="20" t="n">
        <v>0</v>
      </c>
      <c r="Q50" s="18" t="n">
        <v>0</v>
      </c>
      <c r="R50" s="20" t="n">
        <v>0</v>
      </c>
      <c r="S50" s="18" t="n">
        <v>0</v>
      </c>
      <c r="T50" s="20" t="n">
        <v>0</v>
      </c>
    </row>
    <row r="51" spans="1:20">
      <c r="A51" s="15" t="s">
        <v>611</v>
      </c>
      <c r="B51" s="17" t="n">
        <v>3372</v>
      </c>
      <c r="C51" s="18">
        <f>(2804.0/B51*100)</f>
        <v/>
      </c>
      <c r="D51" s="19" t="n">
        <v>568</v>
      </c>
      <c r="E51" s="18" t="n">
        <v>29.15954291</v>
      </c>
      <c r="F51" s="20" t="n">
        <v>2.03139222</v>
      </c>
      <c r="G51" s="18" t="n">
        <v>22.43074895</v>
      </c>
      <c r="H51" s="20" t="n">
        <v>1.88836286</v>
      </c>
      <c r="I51" s="18" t="n">
        <v>20.6432763</v>
      </c>
      <c r="J51" s="20" t="n">
        <v>1.85490861</v>
      </c>
      <c r="K51" s="18" t="s">
        <v>567</v>
      </c>
      <c r="L51" s="20" t="s">
        <v>567</v>
      </c>
      <c r="M51" s="18" t="n">
        <v>27.76643183</v>
      </c>
      <c r="N51" s="20" t="n">
        <v>2.23427129</v>
      </c>
      <c r="O51" s="18" t="n">
        <v>0</v>
      </c>
      <c r="P51" s="20" t="n">
        <v>0</v>
      </c>
      <c r="Q51" s="18" t="n">
        <v>0</v>
      </c>
      <c r="R51" s="20" t="n">
        <v>0</v>
      </c>
      <c r="S51" s="18" t="n">
        <v>0</v>
      </c>
      <c r="T51" s="20" t="n">
        <v>0</v>
      </c>
    </row>
    <row r="52" spans="1:20">
      <c r="A52" s="15" t="s">
        <v>612</v>
      </c>
      <c r="B52" s="17" t="n">
        <v>2796</v>
      </c>
      <c r="C52" s="18">
        <f>(2233.0/B52*100)</f>
        <v/>
      </c>
      <c r="D52" s="19" t="n">
        <v>563</v>
      </c>
      <c r="E52" s="18" t="n">
        <v>17.4244832</v>
      </c>
      <c r="F52" s="20" t="n">
        <v>1.54926122</v>
      </c>
      <c r="G52" s="18" t="n">
        <v>31.11491382</v>
      </c>
      <c r="H52" s="20" t="n">
        <v>1.72302427</v>
      </c>
      <c r="I52" s="18" t="n">
        <v>26.52874869</v>
      </c>
      <c r="J52" s="20" t="n">
        <v>2.00222399</v>
      </c>
      <c r="K52" s="18" t="s">
        <v>567</v>
      </c>
      <c r="L52" s="20" t="s">
        <v>567</v>
      </c>
      <c r="M52" s="18" t="n">
        <v>24.93185428</v>
      </c>
      <c r="N52" s="20" t="n">
        <v>1.81053965</v>
      </c>
      <c r="O52" s="18" t="n">
        <v>0</v>
      </c>
      <c r="P52" s="20" t="n">
        <v>0</v>
      </c>
      <c r="Q52" s="18" t="n">
        <v>0</v>
      </c>
      <c r="R52" s="20" t="n">
        <v>0</v>
      </c>
      <c r="S52" s="18" t="n">
        <v>0</v>
      </c>
      <c r="T52" s="20" t="n">
        <v>0</v>
      </c>
    </row>
    <row r="53" spans="1:20">
      <c r="A53" s="15" t="s">
        <v>613</v>
      </c>
      <c r="B53" s="17" t="n">
        <v>2811</v>
      </c>
      <c r="C53" s="18">
        <f>(2187.0/B53*100)</f>
        <v/>
      </c>
      <c r="D53" s="19" t="n">
        <v>624</v>
      </c>
      <c r="E53" s="18" t="n">
        <v>29.55898538</v>
      </c>
      <c r="F53" s="20" t="n">
        <v>2.12477132</v>
      </c>
      <c r="G53" s="18" t="n">
        <v>22.89901537</v>
      </c>
      <c r="H53" s="20" t="n">
        <v>1.60399089</v>
      </c>
      <c r="I53" s="18" t="n">
        <v>11.88956679</v>
      </c>
      <c r="J53" s="20" t="n">
        <v>1.37462356</v>
      </c>
      <c r="K53" s="18" t="s">
        <v>567</v>
      </c>
      <c r="L53" s="20" t="s">
        <v>567</v>
      </c>
      <c r="M53" s="18" t="n">
        <v>35.65243245</v>
      </c>
      <c r="N53" s="20" t="n">
        <v>1.79547154</v>
      </c>
      <c r="O53" s="18" t="n">
        <v>0</v>
      </c>
      <c r="P53" s="20" t="n">
        <v>0</v>
      </c>
      <c r="Q53" s="18" t="n">
        <v>0</v>
      </c>
      <c r="R53" s="20" t="n">
        <v>0</v>
      </c>
      <c r="S53" s="18" t="n">
        <v>0</v>
      </c>
      <c r="T53" s="20" t="n">
        <v>0</v>
      </c>
    </row>
    <row r="54" spans="1:20">
      <c r="A54" s="15" t="s">
        <v>614</v>
      </c>
      <c r="B54" s="17" t="n">
        <v>2266</v>
      </c>
      <c r="C54" s="18">
        <f>(1767.0/B54*100)</f>
        <v/>
      </c>
      <c r="D54" s="19" t="n">
        <v>499</v>
      </c>
      <c r="E54" s="18" t="n">
        <v>28.8602405</v>
      </c>
      <c r="F54" s="20" t="n">
        <v>2.21403401</v>
      </c>
      <c r="G54" s="18" t="n">
        <v>9.60588224</v>
      </c>
      <c r="H54" s="20" t="n">
        <v>1.50839189</v>
      </c>
      <c r="I54" s="18" t="n">
        <v>2.73523808</v>
      </c>
      <c r="J54" s="20" t="n">
        <v>0.79316234</v>
      </c>
      <c r="K54" s="18" t="s">
        <v>567</v>
      </c>
      <c r="L54" s="20" t="s">
        <v>567</v>
      </c>
      <c r="M54" s="18" t="n">
        <v>57.56882938</v>
      </c>
      <c r="N54" s="20" t="n">
        <v>2.16414115</v>
      </c>
      <c r="O54" s="18" t="n">
        <v>1.2298098</v>
      </c>
      <c r="P54" s="20" t="n">
        <v>1.09647304</v>
      </c>
      <c r="Q54" s="18" t="n">
        <v>0</v>
      </c>
      <c r="R54" s="20" t="n">
        <v>0</v>
      </c>
      <c r="S54" s="18" t="n">
        <v>0</v>
      </c>
      <c r="T54" s="20" t="n">
        <v>0</v>
      </c>
    </row>
    <row r="55" spans="1:20">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2684</v>
      </c>
      <c r="C56" s="18">
        <f>(2126.0/B56*100)</f>
        <v/>
      </c>
      <c r="D56" s="19" t="n">
        <v>558</v>
      </c>
      <c r="E56" s="18" t="n">
        <v>18.29949114</v>
      </c>
      <c r="F56" s="20" t="n">
        <v>2.03348301</v>
      </c>
      <c r="G56" s="18" t="n">
        <v>18.80875863</v>
      </c>
      <c r="H56" s="20" t="n">
        <v>1.93444599</v>
      </c>
      <c r="I56" s="18" t="n">
        <v>47.76871434</v>
      </c>
      <c r="J56" s="20" t="n">
        <v>2.4259676</v>
      </c>
      <c r="K56" s="18" t="s">
        <v>567</v>
      </c>
      <c r="L56" s="20" t="s">
        <v>567</v>
      </c>
      <c r="M56" s="18" t="n">
        <v>15.12303589</v>
      </c>
      <c r="N56" s="20" t="n">
        <v>1.81488374</v>
      </c>
      <c r="O56" s="18" t="n">
        <v>0</v>
      </c>
      <c r="P56" s="20" t="n">
        <v>0</v>
      </c>
      <c r="Q56" s="18" t="n">
        <v>0</v>
      </c>
      <c r="R56" s="20" t="n">
        <v>0</v>
      </c>
      <c r="S56" s="18" t="n">
        <v>0</v>
      </c>
      <c r="T56" s="20" t="n">
        <v>0</v>
      </c>
    </row>
    <row r="57" spans="1:20">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3324</v>
      </c>
      <c r="C61" s="18">
        <f>(2613.0/B61*100)</f>
        <v/>
      </c>
      <c r="D61" s="19" t="n">
        <v>711</v>
      </c>
      <c r="E61" s="18" t="n">
        <v>31.56442608</v>
      </c>
      <c r="F61" s="20" t="n">
        <v>1.91427395</v>
      </c>
      <c r="G61" s="18" t="n">
        <v>16.47381667</v>
      </c>
      <c r="H61" s="20" t="n">
        <v>1.42520783</v>
      </c>
      <c r="I61" s="18" t="n">
        <v>21.21828763</v>
      </c>
      <c r="J61" s="20" t="n">
        <v>2.08368853</v>
      </c>
      <c r="K61" s="18" t="s">
        <v>567</v>
      </c>
      <c r="L61" s="20" t="s">
        <v>567</v>
      </c>
      <c r="M61" s="18" t="n">
        <v>30.54954844</v>
      </c>
      <c r="N61" s="20" t="n">
        <v>2.02389303</v>
      </c>
      <c r="O61" s="18" t="n">
        <v>0.19392117</v>
      </c>
      <c r="P61" s="20" t="n">
        <v>0.1483225</v>
      </c>
      <c r="Q61" s="18" t="n">
        <v>0</v>
      </c>
      <c r="R61" s="20" t="n">
        <v>0</v>
      </c>
      <c r="S61" s="18" t="n">
        <v>0</v>
      </c>
      <c r="T61" s="20" t="n">
        <v>0</v>
      </c>
    </row>
    <row r="62" spans="1:20">
      <c r="A62" s="15" t="s">
        <v>622</v>
      </c>
      <c r="B62" s="17" t="n">
        <v>2246</v>
      </c>
      <c r="C62" s="18">
        <f>(1765.0/B62*100)</f>
        <v/>
      </c>
      <c r="D62" s="19" t="n">
        <v>481</v>
      </c>
      <c r="E62" s="18" t="n">
        <v>21.1706859</v>
      </c>
      <c r="F62" s="20" t="n">
        <v>1.89161463</v>
      </c>
      <c r="G62" s="18" t="n">
        <v>40.34988482</v>
      </c>
      <c r="H62" s="20" t="n">
        <v>1.89837755</v>
      </c>
      <c r="I62" s="18" t="n">
        <v>23.89804182</v>
      </c>
      <c r="J62" s="20" t="n">
        <v>1.98640545</v>
      </c>
      <c r="K62" s="18" t="s">
        <v>567</v>
      </c>
      <c r="L62" s="20" t="s">
        <v>567</v>
      </c>
      <c r="M62" s="18" t="n">
        <v>14.58138746</v>
      </c>
      <c r="N62" s="20" t="n">
        <v>1.50786625</v>
      </c>
      <c r="O62" s="18" t="n">
        <v>0</v>
      </c>
      <c r="P62" s="20" t="n">
        <v>0</v>
      </c>
      <c r="Q62" s="18" t="n">
        <v>0</v>
      </c>
      <c r="R62" s="20" t="n">
        <v>0</v>
      </c>
      <c r="S62" s="18" t="n">
        <v>0</v>
      </c>
      <c r="T62" s="20" t="n">
        <v>0</v>
      </c>
    </row>
    <row r="63" spans="1:20">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2894</v>
      </c>
      <c r="C66" s="18">
        <f>(2284.0/B66*100)</f>
        <v/>
      </c>
      <c r="D66" s="19" t="n">
        <v>610</v>
      </c>
      <c r="E66" s="18" t="n">
        <v>17.6748853</v>
      </c>
      <c r="F66" s="20" t="n">
        <v>1.41522363</v>
      </c>
      <c r="G66" s="18" t="n">
        <v>12.14254196</v>
      </c>
      <c r="H66" s="20" t="n">
        <v>1.23986489</v>
      </c>
      <c r="I66" s="18" t="n">
        <v>11.91826518</v>
      </c>
      <c r="J66" s="20" t="n">
        <v>1.28030128</v>
      </c>
      <c r="K66" s="18" t="s">
        <v>567</v>
      </c>
      <c r="L66" s="20" t="s">
        <v>567</v>
      </c>
      <c r="M66" s="18" t="n">
        <v>58.09487672</v>
      </c>
      <c r="N66" s="20" t="n">
        <v>1.91904404</v>
      </c>
      <c r="O66" s="18" t="n">
        <v>0.16943083</v>
      </c>
      <c r="P66" s="20" t="n">
        <v>0.16949613</v>
      </c>
      <c r="Q66" s="18" t="n">
        <v>0</v>
      </c>
      <c r="R66" s="20" t="n">
        <v>0</v>
      </c>
      <c r="S66" s="18" t="n">
        <v>0</v>
      </c>
      <c r="T66" s="20" t="n">
        <v>0</v>
      </c>
    </row>
    <row r="67" spans="1:20">
      <c r="A67" s="15" t="s">
        <v>627</v>
      </c>
      <c r="B67" s="17" t="n">
        <v>3511</v>
      </c>
      <c r="C67" s="18">
        <f>(2923.0/B67*100)</f>
        <v/>
      </c>
      <c r="D67" s="19" t="n">
        <v>588</v>
      </c>
      <c r="E67" s="18" t="n">
        <v>38.005605</v>
      </c>
      <c r="F67" s="20" t="n">
        <v>2.11958038</v>
      </c>
      <c r="G67" s="18" t="n">
        <v>18.33068361</v>
      </c>
      <c r="H67" s="20" t="n">
        <v>1.70565592</v>
      </c>
      <c r="I67" s="18" t="n">
        <v>9.2147918</v>
      </c>
      <c r="J67" s="20" t="n">
        <v>1.39631033</v>
      </c>
      <c r="K67" s="18" t="s">
        <v>567</v>
      </c>
      <c r="L67" s="20" t="s">
        <v>567</v>
      </c>
      <c r="M67" s="18" t="n">
        <v>34.25887385</v>
      </c>
      <c r="N67" s="20" t="n">
        <v>1.98621438</v>
      </c>
      <c r="O67" s="18" t="n">
        <v>0.19004573</v>
      </c>
      <c r="P67" s="20" t="n">
        <v>0.19078727</v>
      </c>
      <c r="Q67" s="18" t="n">
        <v>0</v>
      </c>
      <c r="R67" s="20" t="n">
        <v>0</v>
      </c>
      <c r="S67" s="18" t="n">
        <v>0</v>
      </c>
      <c r="T67" s="20" t="n">
        <v>0</v>
      </c>
    </row>
    <row r="68" spans="1:20">
      <c r="A68" s="15" t="s">
        <v>628</v>
      </c>
      <c r="B68" s="17" t="n">
        <v>6049</v>
      </c>
      <c r="C68" s="18">
        <f>(4701.0/B68*100)</f>
        <v/>
      </c>
      <c r="D68" s="19" t="n">
        <v>1348</v>
      </c>
      <c r="E68" s="18" t="n">
        <v>38.14777837</v>
      </c>
      <c r="F68" s="20" t="n">
        <v>1.2916982</v>
      </c>
      <c r="G68" s="18" t="n">
        <v>13.40086905</v>
      </c>
      <c r="H68" s="20" t="n">
        <v>0.79101906</v>
      </c>
      <c r="I68" s="18" t="n">
        <v>14.76280683</v>
      </c>
      <c r="J68" s="20" t="n">
        <v>0.95652635</v>
      </c>
      <c r="K68" s="18" t="s">
        <v>567</v>
      </c>
      <c r="L68" s="20" t="s">
        <v>567</v>
      </c>
      <c r="M68" s="18" t="n">
        <v>33.68854574</v>
      </c>
      <c r="N68" s="20" t="n">
        <v>1.27924807</v>
      </c>
      <c r="O68" s="18" t="n">
        <v>0</v>
      </c>
      <c r="P68" s="20" t="n">
        <v>0</v>
      </c>
      <c r="Q68" s="18" t="n">
        <v>0</v>
      </c>
      <c r="R68" s="20" t="n">
        <v>0</v>
      </c>
      <c r="S68" s="18" t="n">
        <v>0</v>
      </c>
      <c r="T68" s="20" t="n">
        <v>0</v>
      </c>
    </row>
    <row r="69" spans="1:20">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2929</v>
      </c>
      <c r="C70" s="18">
        <f>(2328.0/B70*100)</f>
        <v/>
      </c>
      <c r="D70" s="19" t="n">
        <v>601</v>
      </c>
      <c r="E70" s="18" t="n">
        <v>31.65275204</v>
      </c>
      <c r="F70" s="20" t="n">
        <v>2.85649754</v>
      </c>
      <c r="G70" s="18" t="n">
        <v>28.2404109</v>
      </c>
      <c r="H70" s="20" t="n">
        <v>2.16960887</v>
      </c>
      <c r="I70" s="18" t="n">
        <v>17.17169907</v>
      </c>
      <c r="J70" s="20" t="n">
        <v>1.98330117</v>
      </c>
      <c r="K70" s="18" t="s">
        <v>567</v>
      </c>
      <c r="L70" s="20" t="s">
        <v>567</v>
      </c>
      <c r="M70" s="18" t="n">
        <v>22.81574858</v>
      </c>
      <c r="N70" s="20" t="n">
        <v>2.16425489</v>
      </c>
      <c r="O70" s="18" t="n">
        <v>0.1193894</v>
      </c>
      <c r="P70" s="20" t="n">
        <v>0.12051836</v>
      </c>
      <c r="Q70" s="18" t="n">
        <v>0</v>
      </c>
      <c r="R70" s="20" t="n">
        <v>0</v>
      </c>
      <c r="S70" s="18" t="n">
        <v>0</v>
      </c>
      <c r="T70" s="20" t="n">
        <v>0</v>
      </c>
    </row>
    <row r="71" spans="1:20">
      <c r="A71" s="15" t="s">
        <v>631</v>
      </c>
      <c r="B71" s="17" t="n">
        <v>3142</v>
      </c>
      <c r="C71" s="18">
        <f>(2455.0/B71*100)</f>
        <v/>
      </c>
      <c r="D71" s="19" t="n">
        <v>687</v>
      </c>
      <c r="E71" s="18" t="n">
        <v>21.78815345</v>
      </c>
      <c r="F71" s="20" t="n">
        <v>1.60908205</v>
      </c>
      <c r="G71" s="18" t="n">
        <v>18.02898616</v>
      </c>
      <c r="H71" s="20" t="n">
        <v>1.28949166</v>
      </c>
      <c r="I71" s="18" t="n">
        <v>50.35218529</v>
      </c>
      <c r="J71" s="20" t="n">
        <v>1.93018501</v>
      </c>
      <c r="K71" s="18" t="s">
        <v>567</v>
      </c>
      <c r="L71" s="20" t="s">
        <v>567</v>
      </c>
      <c r="M71" s="18" t="n">
        <v>9.830675100000001</v>
      </c>
      <c r="N71" s="20" t="n">
        <v>1.16943012</v>
      </c>
      <c r="O71" s="18" t="n">
        <v>0</v>
      </c>
      <c r="P71" s="20" t="n">
        <v>0</v>
      </c>
      <c r="Q71" s="18" t="n">
        <v>0</v>
      </c>
      <c r="R71" s="20" t="n">
        <v>0</v>
      </c>
      <c r="S71" s="18" t="n">
        <v>0</v>
      </c>
      <c r="T71" s="20" t="n">
        <v>0</v>
      </c>
    </row>
    <row r="72" spans="1:20">
      <c r="A72" s="15" t="s">
        <v>632</v>
      </c>
      <c r="B72" s="17" t="n">
        <v>3889</v>
      </c>
      <c r="C72" s="18">
        <f>(3060.0/B72*100)</f>
        <v/>
      </c>
      <c r="D72" s="19" t="n">
        <v>829</v>
      </c>
      <c r="E72" s="18" t="n">
        <v>20.61561129</v>
      </c>
      <c r="F72" s="20" t="n">
        <v>1.36266139</v>
      </c>
      <c r="G72" s="18" t="n">
        <v>13.61861883</v>
      </c>
      <c r="H72" s="20" t="n">
        <v>1.14391976</v>
      </c>
      <c r="I72" s="18" t="n">
        <v>51.6351737</v>
      </c>
      <c r="J72" s="20" t="n">
        <v>2.1729025</v>
      </c>
      <c r="K72" s="18" t="s">
        <v>567</v>
      </c>
      <c r="L72" s="20" t="s">
        <v>567</v>
      </c>
      <c r="M72" s="18" t="n">
        <v>14.13059618</v>
      </c>
      <c r="N72" s="20" t="n">
        <v>1.43563372</v>
      </c>
      <c r="O72" s="18" t="n">
        <v>0</v>
      </c>
      <c r="P72" s="20" t="n">
        <v>0</v>
      </c>
      <c r="Q72" s="18" t="n">
        <v>0</v>
      </c>
      <c r="R72" s="20" t="n">
        <v>0</v>
      </c>
      <c r="S72" s="18" t="n">
        <v>0</v>
      </c>
      <c r="T72" s="20" t="n">
        <v>0</v>
      </c>
    </row>
    <row r="73" spans="1:20">
      <c r="A73" s="15" t="s">
        <v>633</v>
      </c>
      <c r="B73" s="17" t="n">
        <v>3597</v>
      </c>
      <c r="C73" s="18">
        <f>(2898.0/B73*100)</f>
        <v/>
      </c>
      <c r="D73" s="19" t="n">
        <v>699</v>
      </c>
      <c r="E73" s="18" t="n">
        <v>60.81472727</v>
      </c>
      <c r="F73" s="20" t="n">
        <v>2.22351581</v>
      </c>
      <c r="G73" s="18" t="n">
        <v>20.19112427</v>
      </c>
      <c r="H73" s="20" t="n">
        <v>1.6975031</v>
      </c>
      <c r="I73" s="18" t="n">
        <v>11.64768216</v>
      </c>
      <c r="J73" s="20" t="n">
        <v>1.44737424</v>
      </c>
      <c r="K73" s="18" t="s">
        <v>567</v>
      </c>
      <c r="L73" s="20" t="s">
        <v>567</v>
      </c>
      <c r="M73" s="18" t="n">
        <v>7.3464663</v>
      </c>
      <c r="N73" s="20" t="n">
        <v>1.26973937</v>
      </c>
      <c r="O73" s="18" t="n">
        <v>0</v>
      </c>
      <c r="P73" s="20" t="n">
        <v>0</v>
      </c>
      <c r="Q73" s="18" t="n">
        <v>0</v>
      </c>
      <c r="R73" s="20" t="n">
        <v>0</v>
      </c>
      <c r="S73" s="18" t="n">
        <v>0</v>
      </c>
      <c r="T73" s="20" t="n">
        <v>0</v>
      </c>
    </row>
    <row r="74" spans="1:20">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2406</v>
      </c>
      <c r="C75" s="18">
        <f>(1958.0/B75*100)</f>
        <v/>
      </c>
      <c r="D75" s="19" t="n">
        <v>448</v>
      </c>
      <c r="E75" s="18" t="n">
        <v>30.04749431</v>
      </c>
      <c r="F75" s="20" t="n">
        <v>2.29856769</v>
      </c>
      <c r="G75" s="18" t="n">
        <v>15.13025497</v>
      </c>
      <c r="H75" s="20" t="n">
        <v>1.67629385</v>
      </c>
      <c r="I75" s="18" t="n">
        <v>1.10465136</v>
      </c>
      <c r="J75" s="20" t="n">
        <v>0.50455381</v>
      </c>
      <c r="K75" s="18" t="s">
        <v>567</v>
      </c>
      <c r="L75" s="20" t="s">
        <v>567</v>
      </c>
      <c r="M75" s="18" t="n">
        <v>53.45844922</v>
      </c>
      <c r="N75" s="20" t="n">
        <v>2.60352078</v>
      </c>
      <c r="O75" s="18" t="n">
        <v>0.25915014</v>
      </c>
      <c r="P75" s="20" t="n">
        <v>0.2687847</v>
      </c>
      <c r="Q75" s="18" t="n">
        <v>0</v>
      </c>
      <c r="R75" s="20" t="n">
        <v>0</v>
      </c>
      <c r="S75" s="18" t="n">
        <v>0</v>
      </c>
      <c r="T75" s="20" t="n">
        <v>0</v>
      </c>
    </row>
    <row r="76" spans="1:20">
      <c r="A76" s="15" t="s">
        <v>636</v>
      </c>
      <c r="B76" s="17" t="n">
        <v>7052</v>
      </c>
      <c r="C76" s="18">
        <f>(5570.0/B76*100)</f>
        <v/>
      </c>
      <c r="D76" s="19" t="n">
        <v>1482</v>
      </c>
      <c r="E76" s="18" t="n">
        <v>42.8726235</v>
      </c>
      <c r="F76" s="20" t="n">
        <v>1.78277223</v>
      </c>
      <c r="G76" s="18" t="n">
        <v>17.86373217</v>
      </c>
      <c r="H76" s="20" t="n">
        <v>1.49281358</v>
      </c>
      <c r="I76" s="18" t="n">
        <v>16.7845255</v>
      </c>
      <c r="J76" s="20" t="n">
        <v>1.28012954</v>
      </c>
      <c r="K76" s="18" t="s">
        <v>567</v>
      </c>
      <c r="L76" s="20" t="s">
        <v>567</v>
      </c>
      <c r="M76" s="18" t="n">
        <v>22.42435243</v>
      </c>
      <c r="N76" s="20" t="n">
        <v>1.23885382</v>
      </c>
      <c r="O76" s="18" t="n">
        <v>0.05476641</v>
      </c>
      <c r="P76" s="20" t="n">
        <v>0.03936252</v>
      </c>
      <c r="Q76" s="18" t="n">
        <v>0</v>
      </c>
      <c r="R76" s="20" t="n">
        <v>0</v>
      </c>
      <c r="S76" s="18" t="n">
        <v>0</v>
      </c>
      <c r="T76" s="20" t="n">
        <v>0</v>
      </c>
    </row>
    <row r="77" spans="1:20">
      <c r="A77" s="15" t="s">
        <v>637</v>
      </c>
      <c r="B77" s="17" t="n">
        <v>2908</v>
      </c>
      <c r="C77" s="18">
        <f>(2321.0/B77*100)</f>
        <v/>
      </c>
      <c r="D77" s="19" t="n">
        <v>587</v>
      </c>
      <c r="E77" s="18" t="n">
        <v>13.67004211</v>
      </c>
      <c r="F77" s="20" t="n">
        <v>1.32392349</v>
      </c>
      <c r="G77" s="18" t="n">
        <v>25.12314155</v>
      </c>
      <c r="H77" s="20" t="n">
        <v>1.68364545</v>
      </c>
      <c r="I77" s="18" t="n">
        <v>20.12183891</v>
      </c>
      <c r="J77" s="20" t="n">
        <v>1.65891585</v>
      </c>
      <c r="K77" s="18" t="s">
        <v>567</v>
      </c>
      <c r="L77" s="20" t="s">
        <v>567</v>
      </c>
      <c r="M77" s="18" t="n">
        <v>40.94531639</v>
      </c>
      <c r="N77" s="20" t="n">
        <v>1.86306249</v>
      </c>
      <c r="O77" s="18" t="n">
        <v>0.13966104</v>
      </c>
      <c r="P77" s="20" t="n">
        <v>0.14074949</v>
      </c>
      <c r="Q77" s="18" t="n">
        <v>0</v>
      </c>
      <c r="R77" s="20" t="n">
        <v>0</v>
      </c>
      <c r="S77" s="18" t="n">
        <v>0</v>
      </c>
      <c r="T77" s="20" t="n">
        <v>0</v>
      </c>
    </row>
    <row r="78" spans="1:20">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4163</v>
      </c>
      <c r="C81" s="18">
        <f>(3265.0/B81*100)</f>
        <v/>
      </c>
      <c r="D81" s="19" t="n">
        <v>898</v>
      </c>
      <c r="E81" s="18" t="n">
        <v>45.38875037</v>
      </c>
      <c r="F81" s="20" t="n">
        <v>2.42345744</v>
      </c>
      <c r="G81" s="18" t="n">
        <v>27.3174831</v>
      </c>
      <c r="H81" s="20" t="n">
        <v>1.95545576</v>
      </c>
      <c r="I81" s="18" t="n">
        <v>18.76186271</v>
      </c>
      <c r="J81" s="20" t="n">
        <v>1.75041532</v>
      </c>
      <c r="K81" s="18" t="s">
        <v>567</v>
      </c>
      <c r="L81" s="20" t="s">
        <v>567</v>
      </c>
      <c r="M81" s="18" t="n">
        <v>8.53190382</v>
      </c>
      <c r="N81" s="20" t="n">
        <v>1.04289692</v>
      </c>
      <c r="O81" s="18" t="n">
        <v>0</v>
      </c>
      <c r="P81" s="20" t="n">
        <v>0</v>
      </c>
      <c r="Q81" s="18" t="n">
        <v>0</v>
      </c>
      <c r="R81" s="20" t="n">
        <v>0</v>
      </c>
      <c r="S81" s="18" t="n">
        <v>0</v>
      </c>
      <c r="T81" s="20" t="n">
        <v>0</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(5708.0/B7*100)</f>
        <v/>
      </c>
      <c r="D7" s="19" t="n">
        <v>1659</v>
      </c>
      <c r="E7" s="18" t="n">
        <v>67.26921262</v>
      </c>
      <c r="F7" s="20" t="n">
        <v>1.4063721</v>
      </c>
      <c r="G7" s="18" t="n">
        <v>31.76481059</v>
      </c>
      <c r="H7" s="20" t="n">
        <v>1.40247376</v>
      </c>
      <c r="I7" s="18" t="s">
        <v>567</v>
      </c>
      <c r="J7" s="20" t="s">
        <v>567</v>
      </c>
      <c r="K7" s="18" t="n">
        <v>0.18032081</v>
      </c>
      <c r="L7" s="20" t="n">
        <v>0.11346166</v>
      </c>
      <c r="M7" s="18" t="n">
        <v>0</v>
      </c>
      <c r="N7" s="20" t="n">
        <v>0</v>
      </c>
      <c r="O7" s="18" t="n">
        <v>0</v>
      </c>
      <c r="P7" s="20" t="n">
        <v>0</v>
      </c>
      <c r="Q7" s="18" t="n">
        <v>0.78565599</v>
      </c>
      <c r="R7" s="20" t="n">
        <v>0.24753637</v>
      </c>
    </row>
    <row r="8" spans="1:18">
      <c r="A8" s="15" t="s">
        <v>568</v>
      </c>
      <c r="B8" s="17" t="n">
        <v>3564</v>
      </c>
      <c r="C8" s="18">
        <f>(2771.0/B8*100)</f>
        <v/>
      </c>
      <c r="D8" s="19" t="n">
        <v>793</v>
      </c>
      <c r="E8" s="18" t="n">
        <v>60.88666537</v>
      </c>
      <c r="F8" s="20" t="n">
        <v>2.38190803</v>
      </c>
      <c r="G8" s="18" t="n">
        <v>38.7785159</v>
      </c>
      <c r="H8" s="20" t="n">
        <v>2.35368973</v>
      </c>
      <c r="I8" s="18" t="s">
        <v>567</v>
      </c>
      <c r="J8" s="20" t="s">
        <v>567</v>
      </c>
      <c r="K8" s="18" t="n">
        <v>0</v>
      </c>
      <c r="L8" s="20" t="n">
        <v>0</v>
      </c>
      <c r="M8" s="18" t="n">
        <v>0</v>
      </c>
      <c r="N8" s="20" t="n">
        <v>0</v>
      </c>
      <c r="O8" s="18" t="n">
        <v>0</v>
      </c>
      <c r="P8" s="20" t="n">
        <v>0</v>
      </c>
      <c r="Q8" s="18" t="n">
        <v>0.33481874</v>
      </c>
      <c r="R8" s="20" t="n">
        <v>0.21149418</v>
      </c>
    </row>
    <row r="9" spans="1:18">
      <c r="A9" s="15" t="s">
        <v>569</v>
      </c>
      <c r="B9" s="17" t="n">
        <v>4899</v>
      </c>
      <c r="C9" s="18">
        <f>(3848.0/B9*100)</f>
        <v/>
      </c>
      <c r="D9" s="19" t="n">
        <v>1051</v>
      </c>
      <c r="E9" s="18" t="n">
        <v>70.32107538</v>
      </c>
      <c r="F9" s="20" t="n">
        <v>1.45942019</v>
      </c>
      <c r="G9" s="18" t="n">
        <v>28.64043699</v>
      </c>
      <c r="H9" s="20" t="n">
        <v>1.39793551</v>
      </c>
      <c r="I9" s="18" t="s">
        <v>567</v>
      </c>
      <c r="J9" s="20" t="s">
        <v>567</v>
      </c>
      <c r="K9" s="18" t="n">
        <v>0</v>
      </c>
      <c r="L9" s="20" t="n">
        <v>0</v>
      </c>
      <c r="M9" s="18" t="n">
        <v>0</v>
      </c>
      <c r="N9" s="20" t="n">
        <v>0</v>
      </c>
      <c r="O9" s="18" t="n">
        <v>0</v>
      </c>
      <c r="P9" s="20" t="n">
        <v>0</v>
      </c>
      <c r="Q9" s="18" t="n">
        <v>1.03848762</v>
      </c>
      <c r="R9" s="20" t="n">
        <v>0.27810368</v>
      </c>
    </row>
    <row r="10" spans="1:18">
      <c r="A10" s="15" t="s">
        <v>570</v>
      </c>
      <c r="B10" s="17" t="n">
        <v>10036</v>
      </c>
      <c r="C10" s="18">
        <f>(7748.0/B10*100)</f>
        <v/>
      </c>
      <c r="D10" s="19" t="n">
        <v>2288</v>
      </c>
      <c r="E10" s="18" t="n">
        <v>72.16169288</v>
      </c>
      <c r="F10" s="20" t="n">
        <v>1.11406092</v>
      </c>
      <c r="G10" s="18" t="n">
        <v>27.42173825</v>
      </c>
      <c r="H10" s="20" t="n">
        <v>1.11640377</v>
      </c>
      <c r="I10" s="18" t="s">
        <v>567</v>
      </c>
      <c r="J10" s="20" t="s">
        <v>567</v>
      </c>
      <c r="K10" s="18" t="n">
        <v>0</v>
      </c>
      <c r="L10" s="20" t="n">
        <v>0</v>
      </c>
      <c r="M10" s="18" t="n">
        <v>0</v>
      </c>
      <c r="N10" s="20" t="n">
        <v>0</v>
      </c>
      <c r="O10" s="18" t="n">
        <v>0</v>
      </c>
      <c r="P10" s="20" t="n">
        <v>0</v>
      </c>
      <c r="Q10" s="18" t="n">
        <v>0.41656887</v>
      </c>
      <c r="R10" s="20" t="n">
        <v>0.11319668</v>
      </c>
    </row>
    <row r="11" spans="1:18">
      <c r="A11" s="15" t="s">
        <v>571</v>
      </c>
      <c r="B11" s="17" t="n">
        <v>3553</v>
      </c>
      <c r="C11" s="18">
        <f>(2742.0/B11*100)</f>
        <v/>
      </c>
      <c r="D11" s="19" t="n">
        <v>811</v>
      </c>
      <c r="E11" s="18" t="n">
        <v>72.46015231</v>
      </c>
      <c r="F11" s="20" t="n">
        <v>1.98401964</v>
      </c>
      <c r="G11" s="18" t="n">
        <v>26.53201767</v>
      </c>
      <c r="H11" s="20" t="n">
        <v>1.93013416</v>
      </c>
      <c r="I11" s="18" t="s">
        <v>567</v>
      </c>
      <c r="J11" s="20" t="s">
        <v>567</v>
      </c>
      <c r="K11" s="18" t="n">
        <v>0</v>
      </c>
      <c r="L11" s="20" t="n">
        <v>0</v>
      </c>
      <c r="M11" s="18" t="n">
        <v>0</v>
      </c>
      <c r="N11" s="20" t="n">
        <v>0</v>
      </c>
      <c r="O11" s="18" t="n">
        <v>0</v>
      </c>
      <c r="P11" s="20" t="n">
        <v>0</v>
      </c>
      <c r="Q11" s="18" t="n">
        <v>1.00783002</v>
      </c>
      <c r="R11" s="20" t="n">
        <v>0.42745234</v>
      </c>
    </row>
    <row r="12" spans="1:18">
      <c r="A12" s="15" t="s">
        <v>572</v>
      </c>
      <c r="B12" s="17" t="n">
        <v>3472</v>
      </c>
      <c r="C12" s="18">
        <f>(2752.0/B12*100)</f>
        <v/>
      </c>
      <c r="D12" s="19" t="n">
        <v>720</v>
      </c>
      <c r="E12" s="18" t="n">
        <v>56.35933569</v>
      </c>
      <c r="F12" s="20" t="n">
        <v>2.20863817</v>
      </c>
      <c r="G12" s="18" t="n">
        <v>43.30757616</v>
      </c>
      <c r="H12" s="20" t="n">
        <v>2.18845282</v>
      </c>
      <c r="I12" s="18" t="s">
        <v>567</v>
      </c>
      <c r="J12" s="20" t="s">
        <v>567</v>
      </c>
      <c r="K12" s="18" t="n">
        <v>0</v>
      </c>
      <c r="L12" s="20" t="n">
        <v>0</v>
      </c>
      <c r="M12" s="18" t="n">
        <v>0</v>
      </c>
      <c r="N12" s="20" t="n">
        <v>0</v>
      </c>
      <c r="O12" s="18" t="n">
        <v>0</v>
      </c>
      <c r="P12" s="20" t="n">
        <v>0</v>
      </c>
      <c r="Q12" s="18" t="n">
        <v>0.33308815</v>
      </c>
      <c r="R12" s="20" t="n">
        <v>0.20109484</v>
      </c>
    </row>
    <row r="13" spans="1:18">
      <c r="A13" s="15" t="s">
        <v>573</v>
      </c>
      <c r="B13" s="17" t="n">
        <v>3559</v>
      </c>
      <c r="C13" s="18">
        <f>(2796.0/B13*100)</f>
        <v/>
      </c>
      <c r="D13" s="19" t="n">
        <v>763</v>
      </c>
      <c r="E13" s="18" t="n">
        <v>67.26739545</v>
      </c>
      <c r="F13" s="20" t="n">
        <v>2.08292615</v>
      </c>
      <c r="G13" s="18" t="n">
        <v>32.10053116</v>
      </c>
      <c r="H13" s="20" t="n">
        <v>2.19085117</v>
      </c>
      <c r="I13" s="18" t="s">
        <v>567</v>
      </c>
      <c r="J13" s="20" t="s">
        <v>567</v>
      </c>
      <c r="K13" s="18" t="n">
        <v>0.03845429</v>
      </c>
      <c r="L13" s="20" t="n">
        <v>0.03665647</v>
      </c>
      <c r="M13" s="18" t="n">
        <v>0</v>
      </c>
      <c r="N13" s="20" t="n">
        <v>0</v>
      </c>
      <c r="O13" s="18" t="n">
        <v>0</v>
      </c>
      <c r="P13" s="20" t="n">
        <v>0</v>
      </c>
      <c r="Q13" s="18" t="n">
        <v>0.5936191</v>
      </c>
      <c r="R13" s="20" t="n">
        <v>0.37155375</v>
      </c>
    </row>
    <row r="14" spans="1:18">
      <c r="A14" s="15" t="s">
        <v>574</v>
      </c>
      <c r="B14" s="17" t="n">
        <v>2799</v>
      </c>
      <c r="C14" s="18">
        <f>(2158.0/B14*100)</f>
        <v/>
      </c>
      <c r="D14" s="19" t="n">
        <v>641</v>
      </c>
      <c r="E14" s="18" t="n">
        <v>66.88587344</v>
      </c>
      <c r="F14" s="20" t="n">
        <v>1.90467746</v>
      </c>
      <c r="G14" s="18" t="n">
        <v>32.63320506</v>
      </c>
      <c r="H14" s="20" t="n">
        <v>1.82503771</v>
      </c>
      <c r="I14" s="18" t="s">
        <v>567</v>
      </c>
      <c r="J14" s="20" t="s">
        <v>567</v>
      </c>
      <c r="K14" s="18" t="n">
        <v>0.13842207</v>
      </c>
      <c r="L14" s="20" t="n">
        <v>0.13774777</v>
      </c>
      <c r="M14" s="18" t="n">
        <v>0</v>
      </c>
      <c r="N14" s="20" t="n">
        <v>0</v>
      </c>
      <c r="O14" s="18" t="n">
        <v>0</v>
      </c>
      <c r="P14" s="20" t="n">
        <v>0</v>
      </c>
      <c r="Q14" s="18" t="n">
        <v>0.34249943</v>
      </c>
      <c r="R14" s="20" t="n">
        <v>0.34050224</v>
      </c>
    </row>
    <row r="15" spans="1:18">
      <c r="A15" s="15" t="s">
        <v>575</v>
      </c>
      <c r="B15" s="17" t="n">
        <v>3019</v>
      </c>
      <c r="C15" s="18">
        <f>(2349.0/B15*100)</f>
        <v/>
      </c>
      <c r="D15" s="19" t="n">
        <v>670</v>
      </c>
      <c r="E15" s="18" t="n">
        <v>64.44221987</v>
      </c>
      <c r="F15" s="20" t="n">
        <v>1.76177729</v>
      </c>
      <c r="G15" s="18" t="n">
        <v>34.95996822</v>
      </c>
      <c r="H15" s="20" t="n">
        <v>1.7153516</v>
      </c>
      <c r="I15" s="18" t="s">
        <v>567</v>
      </c>
      <c r="J15" s="20" t="s">
        <v>567</v>
      </c>
      <c r="K15" s="18" t="n">
        <v>0.15372696</v>
      </c>
      <c r="L15" s="20" t="n">
        <v>0.15419184</v>
      </c>
      <c r="M15" s="18" t="n">
        <v>0</v>
      </c>
      <c r="N15" s="20" t="n">
        <v>0</v>
      </c>
      <c r="O15" s="18" t="n">
        <v>0</v>
      </c>
      <c r="P15" s="20" t="n">
        <v>0</v>
      </c>
      <c r="Q15" s="18" t="n">
        <v>0.44408495</v>
      </c>
      <c r="R15" s="20" t="n">
        <v>0.26516377</v>
      </c>
    </row>
    <row r="16" spans="1:18">
      <c r="A16" s="15" t="s">
        <v>576</v>
      </c>
      <c r="B16" s="17" t="n">
        <v>2997</v>
      </c>
      <c r="C16" s="18">
        <f>(2316.0/B16*100)</f>
        <v/>
      </c>
      <c r="D16" s="19" t="n">
        <v>681</v>
      </c>
      <c r="E16" s="18" t="n">
        <v>69.55000327</v>
      </c>
      <c r="F16" s="20" t="n">
        <v>1.64639319</v>
      </c>
      <c r="G16" s="18" t="n">
        <v>28.28450545</v>
      </c>
      <c r="H16" s="20" t="n">
        <v>1.69768388</v>
      </c>
      <c r="I16" s="18" t="s">
        <v>567</v>
      </c>
      <c r="J16" s="20" t="s">
        <v>567</v>
      </c>
      <c r="K16" s="18" t="n">
        <v>0</v>
      </c>
      <c r="L16" s="20" t="n">
        <v>0</v>
      </c>
      <c r="M16" s="18" t="n">
        <v>0</v>
      </c>
      <c r="N16" s="20" t="n">
        <v>0</v>
      </c>
      <c r="O16" s="18" t="n">
        <v>0</v>
      </c>
      <c r="P16" s="20" t="n">
        <v>0</v>
      </c>
      <c r="Q16" s="18" t="n">
        <v>2.16549128</v>
      </c>
      <c r="R16" s="20" t="n">
        <v>0.5455291799999999</v>
      </c>
    </row>
    <row r="17" spans="1:18">
      <c r="A17" s="15" t="s">
        <v>577</v>
      </c>
      <c r="B17" s="17" t="n">
        <v>3307</v>
      </c>
      <c r="C17" s="18">
        <f>(2553.0/B17*100)</f>
        <v/>
      </c>
      <c r="D17" s="19" t="n">
        <v>754</v>
      </c>
      <c r="E17" s="18" t="n">
        <v>60.64942724</v>
      </c>
      <c r="F17" s="20" t="n">
        <v>2.38478139</v>
      </c>
      <c r="G17" s="18" t="n">
        <v>38.85293024</v>
      </c>
      <c r="H17" s="20" t="n">
        <v>2.37786567</v>
      </c>
      <c r="I17" s="18" t="s">
        <v>567</v>
      </c>
      <c r="J17" s="20" t="s">
        <v>567</v>
      </c>
      <c r="K17" s="18" t="n">
        <v>0.13301353</v>
      </c>
      <c r="L17" s="20" t="n">
        <v>0.13263555</v>
      </c>
      <c r="M17" s="18" t="n">
        <v>0</v>
      </c>
      <c r="N17" s="20" t="n">
        <v>0</v>
      </c>
      <c r="O17" s="18" t="n">
        <v>0</v>
      </c>
      <c r="P17" s="20" t="n">
        <v>0</v>
      </c>
      <c r="Q17" s="18" t="n">
        <v>0.36462898</v>
      </c>
      <c r="R17" s="20" t="n">
        <v>0.21118731</v>
      </c>
    </row>
    <row r="18" spans="1:18">
      <c r="A18" s="15" t="s">
        <v>578</v>
      </c>
      <c r="B18" s="17" t="n">
        <v>2826</v>
      </c>
      <c r="C18" s="18">
        <f>(2214.0/B18*100)</f>
        <v/>
      </c>
      <c r="D18" s="19" t="n">
        <v>612</v>
      </c>
      <c r="E18" s="18" t="n">
        <v>75.19474543</v>
      </c>
      <c r="F18" s="20" t="n">
        <v>2.15487405</v>
      </c>
      <c r="G18" s="18" t="n">
        <v>24.19265961</v>
      </c>
      <c r="H18" s="20" t="n">
        <v>2.01957641</v>
      </c>
      <c r="I18" s="18" t="s">
        <v>567</v>
      </c>
      <c r="J18" s="20" t="s">
        <v>567</v>
      </c>
      <c r="K18" s="18" t="n">
        <v>0.16726073</v>
      </c>
      <c r="L18" s="20" t="n">
        <v>0.17368182</v>
      </c>
      <c r="M18" s="18" t="n">
        <v>0</v>
      </c>
      <c r="N18" s="20" t="n">
        <v>0</v>
      </c>
      <c r="O18" s="18" t="n">
        <v>0</v>
      </c>
      <c r="P18" s="20" t="n">
        <v>0</v>
      </c>
      <c r="Q18" s="18" t="n">
        <v>0.44533424</v>
      </c>
      <c r="R18" s="20" t="n">
        <v>0.26456501</v>
      </c>
    </row>
    <row r="19" spans="1:18">
      <c r="A19" s="15" t="s">
        <v>579</v>
      </c>
      <c r="B19" s="17" t="n">
        <v>2808</v>
      </c>
      <c r="C19" s="18">
        <f>(2198.0/B19*100)</f>
        <v/>
      </c>
      <c r="D19" s="19" t="n">
        <v>610</v>
      </c>
      <c r="E19" s="18" t="n">
        <v>60.29549813</v>
      </c>
      <c r="F19" s="20" t="n">
        <v>2.03285086</v>
      </c>
      <c r="G19" s="18" t="n">
        <v>38.66476684</v>
      </c>
      <c r="H19" s="20" t="n">
        <v>2.07113908</v>
      </c>
      <c r="I19" s="18" t="s">
        <v>567</v>
      </c>
      <c r="J19" s="20" t="s">
        <v>567</v>
      </c>
      <c r="K19" s="18" t="n">
        <v>0</v>
      </c>
      <c r="L19" s="20" t="n">
        <v>0</v>
      </c>
      <c r="M19" s="18" t="n">
        <v>0</v>
      </c>
      <c r="N19" s="20" t="n">
        <v>0</v>
      </c>
      <c r="O19" s="18" t="n">
        <v>0</v>
      </c>
      <c r="P19" s="20" t="n">
        <v>0</v>
      </c>
      <c r="Q19" s="18" t="n">
        <v>1.03973503</v>
      </c>
      <c r="R19" s="20" t="n">
        <v>0.44149355</v>
      </c>
    </row>
    <row r="20" spans="1:18">
      <c r="A20" s="15" t="s">
        <v>580</v>
      </c>
      <c r="B20" s="17" t="n">
        <v>1630</v>
      </c>
      <c r="C20" s="18">
        <f>(1255.0/B20*100)</f>
        <v/>
      </c>
      <c r="D20" s="19" t="n">
        <v>375</v>
      </c>
      <c r="E20" s="18" t="n">
        <v>75.97885571</v>
      </c>
      <c r="F20" s="20" t="n">
        <v>1.99708226</v>
      </c>
      <c r="G20" s="18" t="n">
        <v>21.98285882</v>
      </c>
      <c r="H20" s="20" t="n">
        <v>1.90683899</v>
      </c>
      <c r="I20" s="18" t="s">
        <v>567</v>
      </c>
      <c r="J20" s="20" t="s">
        <v>567</v>
      </c>
      <c r="K20" s="18" t="n">
        <v>0.24577867</v>
      </c>
      <c r="L20" s="20" t="n">
        <v>0.17257763</v>
      </c>
      <c r="M20" s="18" t="n">
        <v>0</v>
      </c>
      <c r="N20" s="20" t="n">
        <v>0</v>
      </c>
      <c r="O20" s="18" t="n">
        <v>0</v>
      </c>
      <c r="P20" s="20" t="n">
        <v>0</v>
      </c>
      <c r="Q20" s="18" t="n">
        <v>1.7925068</v>
      </c>
      <c r="R20" s="20" t="n">
        <v>0.75812881</v>
      </c>
    </row>
    <row r="21" spans="1:18">
      <c r="A21" s="15" t="s">
        <v>581</v>
      </c>
      <c r="B21" s="17" t="n">
        <v>2908</v>
      </c>
      <c r="C21" s="18">
        <f>(2285.0/B21*100)</f>
        <v/>
      </c>
      <c r="D21" s="19" t="n">
        <v>623</v>
      </c>
      <c r="E21" s="18" t="n">
        <v>71.40995264</v>
      </c>
      <c r="F21" s="20" t="n">
        <v>1.77648206</v>
      </c>
      <c r="G21" s="18" t="n">
        <v>27.67806044</v>
      </c>
      <c r="H21" s="20" t="n">
        <v>1.79018128</v>
      </c>
      <c r="I21" s="18" t="s">
        <v>567</v>
      </c>
      <c r="J21" s="20" t="s">
        <v>567</v>
      </c>
      <c r="K21" s="18" t="n">
        <v>0</v>
      </c>
      <c r="L21" s="20" t="n">
        <v>0</v>
      </c>
      <c r="M21" s="18" t="n">
        <v>0</v>
      </c>
      <c r="N21" s="20" t="n">
        <v>0</v>
      </c>
      <c r="O21" s="18" t="n">
        <v>0</v>
      </c>
      <c r="P21" s="20" t="n">
        <v>0</v>
      </c>
      <c r="Q21" s="18" t="n">
        <v>0.91198693</v>
      </c>
      <c r="R21" s="20" t="n">
        <v>0.40134528</v>
      </c>
    </row>
    <row r="22" spans="1:18">
      <c r="A22" s="15" t="s">
        <v>582</v>
      </c>
      <c r="B22" s="17" t="n">
        <v>2931</v>
      </c>
      <c r="C22" s="18">
        <f>(2261.0/B22*100)</f>
        <v/>
      </c>
      <c r="D22" s="19" t="n">
        <v>670</v>
      </c>
      <c r="E22" s="18" t="n">
        <v>67.99756286</v>
      </c>
      <c r="F22" s="20" t="n">
        <v>2.29673105</v>
      </c>
      <c r="G22" s="18" t="n">
        <v>29.96847905</v>
      </c>
      <c r="H22" s="20" t="n">
        <v>2.23842985</v>
      </c>
      <c r="I22" s="18" t="s">
        <v>567</v>
      </c>
      <c r="J22" s="20" t="s">
        <v>567</v>
      </c>
      <c r="K22" s="18" t="n">
        <v>0.12034027</v>
      </c>
      <c r="L22" s="20" t="n">
        <v>0.12043291</v>
      </c>
      <c r="M22" s="18" t="n">
        <v>0</v>
      </c>
      <c r="N22" s="20" t="n">
        <v>0</v>
      </c>
      <c r="O22" s="18" t="n">
        <v>0</v>
      </c>
      <c r="P22" s="20" t="n">
        <v>0</v>
      </c>
      <c r="Q22" s="18" t="n">
        <v>1.91361782</v>
      </c>
      <c r="R22" s="20" t="n">
        <v>0.57129829</v>
      </c>
    </row>
    <row r="23" spans="1:18">
      <c r="A23" s="15" t="s">
        <v>583</v>
      </c>
      <c r="B23" s="17" t="n">
        <v>5791</v>
      </c>
      <c r="C23" s="18">
        <f>(4496.0/B23*100)</f>
        <v/>
      </c>
      <c r="D23" s="19" t="n">
        <v>1295</v>
      </c>
      <c r="E23" s="18" t="n">
        <v>68.82706039999999</v>
      </c>
      <c r="F23" s="20" t="n">
        <v>1.95028099</v>
      </c>
      <c r="G23" s="18" t="n">
        <v>29.91714468</v>
      </c>
      <c r="H23" s="20" t="n">
        <v>1.94894486</v>
      </c>
      <c r="I23" s="18" t="s">
        <v>567</v>
      </c>
      <c r="J23" s="20" t="s">
        <v>567</v>
      </c>
      <c r="K23" s="18" t="n">
        <v>0.08048797000000001</v>
      </c>
      <c r="L23" s="20" t="n">
        <v>0.08105585</v>
      </c>
      <c r="M23" s="18" t="n">
        <v>0</v>
      </c>
      <c r="N23" s="20" t="n">
        <v>0</v>
      </c>
      <c r="O23" s="18" t="n">
        <v>0</v>
      </c>
      <c r="P23" s="20" t="n">
        <v>0</v>
      </c>
      <c r="Q23" s="18" t="n">
        <v>1.17530694</v>
      </c>
      <c r="R23" s="20" t="n">
        <v>0.50891885</v>
      </c>
    </row>
    <row r="24" spans="1:18">
      <c r="A24" s="15" t="s">
        <v>584</v>
      </c>
      <c r="B24" s="17" t="n">
        <v>3338</v>
      </c>
      <c r="C24" s="18">
        <f>(2589.0/B24*100)</f>
        <v/>
      </c>
      <c r="D24" s="19" t="n">
        <v>749</v>
      </c>
      <c r="E24" s="18" t="n">
        <v>73.05675717</v>
      </c>
      <c r="F24" s="20" t="n">
        <v>2.00398159</v>
      </c>
      <c r="G24" s="18" t="n">
        <v>26.67850429</v>
      </c>
      <c r="H24" s="20" t="n">
        <v>2.00857202</v>
      </c>
      <c r="I24" s="18" t="s">
        <v>567</v>
      </c>
      <c r="J24" s="20" t="s">
        <v>567</v>
      </c>
      <c r="K24" s="18" t="n">
        <v>0</v>
      </c>
      <c r="L24" s="20" t="n">
        <v>0</v>
      </c>
      <c r="M24" s="18" t="n">
        <v>0</v>
      </c>
      <c r="N24" s="20" t="n">
        <v>0</v>
      </c>
      <c r="O24" s="18" t="n">
        <v>0</v>
      </c>
      <c r="P24" s="20" t="n">
        <v>0</v>
      </c>
      <c r="Q24" s="18" t="n">
        <v>0.26473855</v>
      </c>
      <c r="R24" s="20" t="n">
        <v>0.18322975</v>
      </c>
    </row>
    <row r="25" spans="1:18">
      <c r="A25" s="15" t="s">
        <v>585</v>
      </c>
      <c r="B25" s="17" t="n">
        <v>2912</v>
      </c>
      <c r="C25" s="18">
        <f>(2245.0/B25*100)</f>
        <v/>
      </c>
      <c r="D25" s="19" t="n">
        <v>667</v>
      </c>
      <c r="E25" s="18" t="n">
        <v>85.79253327000001</v>
      </c>
      <c r="F25" s="20" t="n">
        <v>1.20105488</v>
      </c>
      <c r="G25" s="18" t="n">
        <v>13.59667466</v>
      </c>
      <c r="H25" s="20" t="n">
        <v>1.18867866</v>
      </c>
      <c r="I25" s="18" t="s">
        <v>567</v>
      </c>
      <c r="J25" s="20" t="s">
        <v>567</v>
      </c>
      <c r="K25" s="18" t="n">
        <v>0.46709647</v>
      </c>
      <c r="L25" s="20" t="n">
        <v>0.35791141</v>
      </c>
      <c r="M25" s="18" t="n">
        <v>0</v>
      </c>
      <c r="N25" s="20" t="n">
        <v>0</v>
      </c>
      <c r="O25" s="18" t="n">
        <v>0</v>
      </c>
      <c r="P25" s="20" t="n">
        <v>0</v>
      </c>
      <c r="Q25" s="18" t="n">
        <v>0.14369559</v>
      </c>
      <c r="R25" s="20" t="n">
        <v>0.14404889</v>
      </c>
    </row>
    <row r="26" spans="1:18">
      <c r="A26" s="15" t="s">
        <v>586</v>
      </c>
      <c r="B26" s="17" t="n">
        <v>2450</v>
      </c>
      <c r="C26" s="18">
        <f>(1876.0/B26*100)</f>
        <v/>
      </c>
      <c r="D26" s="19" t="n">
        <v>574</v>
      </c>
      <c r="E26" s="18" t="n">
        <v>70.56269091999999</v>
      </c>
      <c r="F26" s="20" t="n">
        <v>1.80823075</v>
      </c>
      <c r="G26" s="18" t="n">
        <v>29.2965082</v>
      </c>
      <c r="H26" s="20" t="n">
        <v>1.80578056</v>
      </c>
      <c r="I26" s="18" t="s">
        <v>567</v>
      </c>
      <c r="J26" s="20" t="s">
        <v>567</v>
      </c>
      <c r="K26" s="18" t="n">
        <v>0</v>
      </c>
      <c r="L26" s="20" t="n">
        <v>0</v>
      </c>
      <c r="M26" s="18" t="n">
        <v>0</v>
      </c>
      <c r="N26" s="20" t="n">
        <v>0</v>
      </c>
      <c r="O26" s="18" t="n">
        <v>0</v>
      </c>
      <c r="P26" s="20" t="n">
        <v>0</v>
      </c>
      <c r="Q26" s="18" t="n">
        <v>0.14080088</v>
      </c>
      <c r="R26" s="20" t="n">
        <v>0.14208333</v>
      </c>
    </row>
    <row r="27" spans="1:18">
      <c r="A27" s="15" t="s">
        <v>587</v>
      </c>
      <c r="B27" s="17" t="n">
        <v>2616</v>
      </c>
      <c r="C27" s="18">
        <f>(2038.0/B27*100)</f>
        <v/>
      </c>
      <c r="D27" s="19" t="n">
        <v>578</v>
      </c>
      <c r="E27" s="18" t="n">
        <v>69.87444349</v>
      </c>
      <c r="F27" s="20" t="n">
        <v>1.92226986</v>
      </c>
      <c r="G27" s="18" t="n">
        <v>29.42708108</v>
      </c>
      <c r="H27" s="20" t="n">
        <v>1.92984865</v>
      </c>
      <c r="I27" s="18" t="s">
        <v>567</v>
      </c>
      <c r="J27" s="20" t="s">
        <v>567</v>
      </c>
      <c r="K27" s="18" t="n">
        <v>0.17778776</v>
      </c>
      <c r="L27" s="20" t="n">
        <v>0.17867264</v>
      </c>
      <c r="M27" s="18" t="n">
        <v>0</v>
      </c>
      <c r="N27" s="20" t="n">
        <v>0</v>
      </c>
      <c r="O27" s="18" t="n">
        <v>0</v>
      </c>
      <c r="P27" s="20" t="n">
        <v>0</v>
      </c>
      <c r="Q27" s="18" t="n">
        <v>0.52068767</v>
      </c>
      <c r="R27" s="20" t="n">
        <v>0.30438042</v>
      </c>
    </row>
    <row r="28" spans="1:18">
      <c r="A28" s="15" t="s">
        <v>588</v>
      </c>
      <c r="B28" s="17" t="n">
        <v>3765</v>
      </c>
      <c r="C28" s="18">
        <f>(2947.0/B28*100)</f>
        <v/>
      </c>
      <c r="D28" s="19" t="n">
        <v>818</v>
      </c>
      <c r="E28" s="18" t="n">
        <v>86.87334917</v>
      </c>
      <c r="F28" s="20" t="n">
        <v>1.16723393</v>
      </c>
      <c r="G28" s="18" t="n">
        <v>11.93198963</v>
      </c>
      <c r="H28" s="20" t="n">
        <v>1.12664757</v>
      </c>
      <c r="I28" s="18" t="s">
        <v>567</v>
      </c>
      <c r="J28" s="20" t="s">
        <v>567</v>
      </c>
      <c r="K28" s="18" t="n">
        <v>0</v>
      </c>
      <c r="L28" s="20" t="n">
        <v>0</v>
      </c>
      <c r="M28" s="18" t="n">
        <v>0</v>
      </c>
      <c r="N28" s="20" t="n">
        <v>0</v>
      </c>
      <c r="O28" s="18" t="n">
        <v>0</v>
      </c>
      <c r="P28" s="20" t="n">
        <v>0</v>
      </c>
      <c r="Q28" s="18" t="n">
        <v>1.1946612</v>
      </c>
      <c r="R28" s="20" t="n">
        <v>0.49773853</v>
      </c>
    </row>
    <row r="29" spans="1:18">
      <c r="A29" s="15" t="s">
        <v>589</v>
      </c>
      <c r="B29" s="17" t="n">
        <v>2685</v>
      </c>
      <c r="C29" s="18">
        <f>(2097.0/B29*100)</f>
        <v/>
      </c>
      <c r="D29" s="19" t="n">
        <v>588</v>
      </c>
      <c r="E29" s="18" t="n">
        <v>63.14655423</v>
      </c>
      <c r="F29" s="20" t="n">
        <v>2.28039099</v>
      </c>
      <c r="G29" s="18" t="n">
        <v>36.15628013</v>
      </c>
      <c r="H29" s="20" t="n">
        <v>2.36597017</v>
      </c>
      <c r="I29" s="18" t="s">
        <v>567</v>
      </c>
      <c r="J29" s="20" t="s">
        <v>567</v>
      </c>
      <c r="K29" s="18" t="n">
        <v>0.13260537</v>
      </c>
      <c r="L29" s="20" t="n">
        <v>0.13106918</v>
      </c>
      <c r="M29" s="18" t="n">
        <v>0</v>
      </c>
      <c r="N29" s="20" t="n">
        <v>0</v>
      </c>
      <c r="O29" s="18" t="n">
        <v>0</v>
      </c>
      <c r="P29" s="20" t="n">
        <v>0</v>
      </c>
      <c r="Q29" s="18" t="n">
        <v>0.56456027</v>
      </c>
      <c r="R29" s="20" t="n">
        <v>0.32056853</v>
      </c>
    </row>
    <row r="30" spans="1:18">
      <c r="A30" s="15" t="s">
        <v>590</v>
      </c>
      <c r="B30" s="17" t="n">
        <v>2263</v>
      </c>
      <c r="C30" s="18">
        <f>(1769.0/B30*100)</f>
        <v/>
      </c>
      <c r="D30" s="19" t="n">
        <v>494</v>
      </c>
      <c r="E30" s="18" t="n">
        <v>66.59468307</v>
      </c>
      <c r="F30" s="20" t="n">
        <v>2.08271682</v>
      </c>
      <c r="G30" s="18" t="n">
        <v>32.24389709</v>
      </c>
      <c r="H30" s="20" t="n">
        <v>2.1032646</v>
      </c>
      <c r="I30" s="18" t="s">
        <v>567</v>
      </c>
      <c r="J30" s="20" t="s">
        <v>567</v>
      </c>
      <c r="K30" s="18" t="n">
        <v>0.35334857</v>
      </c>
      <c r="L30" s="20" t="n">
        <v>0.25418355</v>
      </c>
      <c r="M30" s="18" t="n">
        <v>0</v>
      </c>
      <c r="N30" s="20" t="n">
        <v>0</v>
      </c>
      <c r="O30" s="18" t="n">
        <v>0</v>
      </c>
      <c r="P30" s="20" t="n">
        <v>0</v>
      </c>
      <c r="Q30" s="18" t="n">
        <v>0.80807127</v>
      </c>
      <c r="R30" s="20" t="n">
        <v>0.33551525</v>
      </c>
    </row>
    <row r="31" spans="1:18">
      <c r="A31" s="15" t="s">
        <v>591</v>
      </c>
      <c r="B31" s="17" t="n">
        <v>2750</v>
      </c>
      <c r="C31" s="18">
        <f>(2132.0/B31*100)</f>
        <v/>
      </c>
      <c r="D31" s="19" t="n">
        <v>618</v>
      </c>
      <c r="E31" s="18" t="n">
        <v>63.96844529</v>
      </c>
      <c r="F31" s="20" t="n">
        <v>1.79927033</v>
      </c>
      <c r="G31" s="18" t="n">
        <v>34.50921323</v>
      </c>
      <c r="H31" s="20" t="n">
        <v>1.71537216</v>
      </c>
      <c r="I31" s="18" t="s">
        <v>567</v>
      </c>
      <c r="J31" s="20" t="s">
        <v>567</v>
      </c>
      <c r="K31" s="18" t="n">
        <v>0.16084674</v>
      </c>
      <c r="L31" s="20" t="n">
        <v>0.16081705</v>
      </c>
      <c r="M31" s="18" t="n">
        <v>0</v>
      </c>
      <c r="N31" s="20" t="n">
        <v>0</v>
      </c>
      <c r="O31" s="18" t="n">
        <v>0</v>
      </c>
      <c r="P31" s="20" t="n">
        <v>0</v>
      </c>
      <c r="Q31" s="18" t="n">
        <v>1.36149473</v>
      </c>
      <c r="R31" s="20" t="n">
        <v>0.44580461</v>
      </c>
    </row>
    <row r="32" spans="1:18">
      <c r="A32" s="15" t="s">
        <v>592</v>
      </c>
      <c r="B32" s="17" t="n">
        <v>2269</v>
      </c>
      <c r="C32" s="18">
        <f>(1731.0/B32*100)</f>
        <v/>
      </c>
      <c r="D32" s="19" t="n">
        <v>538</v>
      </c>
      <c r="E32" s="18" t="n">
        <v>63.11181833</v>
      </c>
      <c r="F32" s="20" t="n">
        <v>2.10047397</v>
      </c>
      <c r="G32" s="18" t="n">
        <v>36.88818167</v>
      </c>
      <c r="H32" s="20" t="n">
        <v>2.10047397</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(2864.0/B33*100)</f>
        <v/>
      </c>
      <c r="D33" s="19" t="n">
        <v>810</v>
      </c>
      <c r="E33" s="18" t="n">
        <v>82.58651655</v>
      </c>
      <c r="F33" s="20" t="n">
        <v>1.64590765</v>
      </c>
      <c r="G33" s="18" t="n">
        <v>16.54481021</v>
      </c>
      <c r="H33" s="20" t="n">
        <v>1.62982065</v>
      </c>
      <c r="I33" s="18" t="s">
        <v>567</v>
      </c>
      <c r="J33" s="20" t="s">
        <v>567</v>
      </c>
      <c r="K33" s="18" t="n">
        <v>0.24321062</v>
      </c>
      <c r="L33" s="20" t="n">
        <v>0.29036924</v>
      </c>
      <c r="M33" s="18" t="n">
        <v>0</v>
      </c>
      <c r="N33" s="20" t="n">
        <v>0</v>
      </c>
      <c r="O33" s="18" t="n">
        <v>0</v>
      </c>
      <c r="P33" s="20" t="n">
        <v>0</v>
      </c>
      <c r="Q33" s="18" t="n">
        <v>0.62546262</v>
      </c>
      <c r="R33" s="20" t="n">
        <v>0.27243935</v>
      </c>
    </row>
    <row r="34" spans="1:18">
      <c r="A34" s="15" t="s">
        <v>594</v>
      </c>
      <c r="B34" s="17" t="n">
        <v>3315</v>
      </c>
      <c r="C34" s="18">
        <f>(2582.0/B34*100)</f>
        <v/>
      </c>
      <c r="D34" s="19" t="n">
        <v>733</v>
      </c>
      <c r="E34" s="18" t="n">
        <v>74.14957751</v>
      </c>
      <c r="F34" s="20" t="n">
        <v>1.63395093</v>
      </c>
      <c r="G34" s="18" t="n">
        <v>24.9884375</v>
      </c>
      <c r="H34" s="20" t="n">
        <v>1.69042395</v>
      </c>
      <c r="I34" s="18" t="s">
        <v>567</v>
      </c>
      <c r="J34" s="20" t="s">
        <v>567</v>
      </c>
      <c r="K34" s="18" t="n">
        <v>0</v>
      </c>
      <c r="L34" s="20" t="n">
        <v>0</v>
      </c>
      <c r="M34" s="18" t="n">
        <v>0</v>
      </c>
      <c r="N34" s="20" t="n">
        <v>0</v>
      </c>
      <c r="O34" s="18" t="n">
        <v>0</v>
      </c>
      <c r="P34" s="20" t="n">
        <v>0</v>
      </c>
      <c r="Q34" s="18" t="n">
        <v>0.86198499</v>
      </c>
      <c r="R34" s="20" t="n">
        <v>0.3360359</v>
      </c>
    </row>
    <row r="35" spans="1:18">
      <c r="A35" s="15" t="s">
        <v>595</v>
      </c>
      <c r="B35" s="17" t="n">
        <v>3505</v>
      </c>
      <c r="C35" s="18">
        <f>(2762.0/B35*100)</f>
        <v/>
      </c>
      <c r="D35" s="19" t="n">
        <v>743</v>
      </c>
      <c r="E35" s="18" t="n">
        <v>53.51704809</v>
      </c>
      <c r="F35" s="20" t="n">
        <v>2.36773227</v>
      </c>
      <c r="G35" s="18" t="n">
        <v>44.8903611</v>
      </c>
      <c r="H35" s="20" t="n">
        <v>2.35856566</v>
      </c>
      <c r="I35" s="18" t="s">
        <v>567</v>
      </c>
      <c r="J35" s="20" t="s">
        <v>567</v>
      </c>
      <c r="K35" s="18" t="n">
        <v>0.96265176</v>
      </c>
      <c r="L35" s="20" t="n">
        <v>0.72892872</v>
      </c>
      <c r="M35" s="18" t="n">
        <v>0</v>
      </c>
      <c r="N35" s="20" t="n">
        <v>0</v>
      </c>
      <c r="O35" s="18" t="n">
        <v>0</v>
      </c>
      <c r="P35" s="20" t="n">
        <v>0</v>
      </c>
      <c r="Q35" s="18" t="n">
        <v>0.6299390499999999</v>
      </c>
      <c r="R35" s="20" t="n">
        <v>0.34117147</v>
      </c>
    </row>
    <row r="36" spans="1:18">
      <c r="A36" s="15" t="s">
        <v>596</v>
      </c>
      <c r="B36" s="17" t="n">
        <v>3332</v>
      </c>
      <c r="C36" s="18">
        <f>(2613.0/B36*100)</f>
        <v/>
      </c>
      <c r="D36" s="19" t="n">
        <v>719</v>
      </c>
      <c r="E36" s="18" t="n">
        <v>68.83212057999999</v>
      </c>
      <c r="F36" s="20" t="n">
        <v>2.10131426</v>
      </c>
      <c r="G36" s="18" t="n">
        <v>30.75282263</v>
      </c>
      <c r="H36" s="20" t="n">
        <v>2.03645052</v>
      </c>
      <c r="I36" s="18" t="s">
        <v>567</v>
      </c>
      <c r="J36" s="20" t="s">
        <v>567</v>
      </c>
      <c r="K36" s="18" t="n">
        <v>0</v>
      </c>
      <c r="L36" s="20" t="n">
        <v>0</v>
      </c>
      <c r="M36" s="18" t="n">
        <v>0</v>
      </c>
      <c r="N36" s="20" t="n">
        <v>0</v>
      </c>
      <c r="O36" s="18" t="n">
        <v>0</v>
      </c>
      <c r="P36" s="20" t="n">
        <v>0</v>
      </c>
      <c r="Q36" s="18" t="n">
        <v>0.41505679</v>
      </c>
      <c r="R36" s="20" t="n">
        <v>0.2873823</v>
      </c>
    </row>
    <row r="37" spans="1:18">
      <c r="A37" s="15" t="s">
        <v>597</v>
      </c>
      <c r="B37" s="17" t="n">
        <v>2727</v>
      </c>
      <c r="C37" s="18">
        <f>(2120.0/B37*100)</f>
        <v/>
      </c>
      <c r="D37" s="19" t="n">
        <v>607</v>
      </c>
      <c r="E37" s="18" t="n">
        <v>63.60376701</v>
      </c>
      <c r="F37" s="20" t="n">
        <v>1.95511744</v>
      </c>
      <c r="G37" s="18" t="n">
        <v>35.29740534</v>
      </c>
      <c r="H37" s="20" t="n">
        <v>1.96398213</v>
      </c>
      <c r="I37" s="18" t="s">
        <v>567</v>
      </c>
      <c r="J37" s="20" t="s">
        <v>567</v>
      </c>
      <c r="K37" s="18" t="n">
        <v>0.17457987</v>
      </c>
      <c r="L37" s="20" t="n">
        <v>0.17469728</v>
      </c>
      <c r="M37" s="18" t="n">
        <v>0</v>
      </c>
      <c r="N37" s="20" t="n">
        <v>0</v>
      </c>
      <c r="O37" s="18" t="n">
        <v>0</v>
      </c>
      <c r="P37" s="20" t="n">
        <v>0</v>
      </c>
      <c r="Q37" s="18" t="n">
        <v>0.92424778</v>
      </c>
      <c r="R37" s="20" t="n">
        <v>0.37843318</v>
      </c>
    </row>
    <row r="38" spans="1:18">
      <c r="A38" s="15" t="s">
        <v>598</v>
      </c>
      <c r="B38" s="17" t="n">
        <v>3053</v>
      </c>
      <c r="C38" s="18">
        <f>(2383.0/B38*100)</f>
        <v/>
      </c>
      <c r="D38" s="19" t="n">
        <v>670</v>
      </c>
      <c r="E38" s="18" t="n">
        <v>64.49328171000001</v>
      </c>
      <c r="F38" s="20" t="n">
        <v>2.10167758</v>
      </c>
      <c r="G38" s="18" t="n">
        <v>35.07879512</v>
      </c>
      <c r="H38" s="20" t="n">
        <v>2.12642632</v>
      </c>
      <c r="I38" s="18" t="s">
        <v>567</v>
      </c>
      <c r="J38" s="20" t="s">
        <v>567</v>
      </c>
      <c r="K38" s="18" t="n">
        <v>0</v>
      </c>
      <c r="L38" s="20" t="n">
        <v>0</v>
      </c>
      <c r="M38" s="18" t="n">
        <v>0</v>
      </c>
      <c r="N38" s="20" t="n">
        <v>0</v>
      </c>
      <c r="O38" s="18" t="n">
        <v>0</v>
      </c>
      <c r="P38" s="20" t="n">
        <v>0</v>
      </c>
      <c r="Q38" s="18" t="n">
        <v>0.42792316</v>
      </c>
      <c r="R38" s="20" t="n">
        <v>0.23754656</v>
      </c>
    </row>
    <row r="39" spans="1:18">
      <c r="A39" s="15" t="s">
        <v>599</v>
      </c>
      <c r="B39" s="17" t="n">
        <v>2957</v>
      </c>
      <c r="C39" s="18">
        <f>(2298.0/B39*100)</f>
        <v/>
      </c>
      <c r="D39" s="19" t="n">
        <v>659</v>
      </c>
      <c r="E39" s="18" t="n">
        <v>70.44206262</v>
      </c>
      <c r="F39" s="20" t="n">
        <v>2.56615434</v>
      </c>
      <c r="G39" s="18" t="n">
        <v>28.80243151</v>
      </c>
      <c r="H39" s="20" t="n">
        <v>2.54963926</v>
      </c>
      <c r="I39" s="18" t="s">
        <v>567</v>
      </c>
      <c r="J39" s="20" t="s">
        <v>567</v>
      </c>
      <c r="K39" s="18" t="n">
        <v>0</v>
      </c>
      <c r="L39" s="20" t="n">
        <v>0</v>
      </c>
      <c r="M39" s="18" t="n">
        <v>0</v>
      </c>
      <c r="N39" s="20" t="n">
        <v>0</v>
      </c>
      <c r="O39" s="18" t="n">
        <v>0</v>
      </c>
      <c r="P39" s="20" t="n">
        <v>0</v>
      </c>
      <c r="Q39" s="18" t="n">
        <v>0.75550587</v>
      </c>
      <c r="R39" s="20" t="n">
        <v>0.37658215</v>
      </c>
    </row>
    <row r="40" spans="1:18">
      <c r="A40" s="15" t="s">
        <v>600</v>
      </c>
      <c r="B40" s="17" t="n">
        <v>7235</v>
      </c>
      <c r="C40" s="18">
        <f>(5656.0/B40*100)</f>
        <v/>
      </c>
      <c r="D40" s="19" t="n">
        <v>1579</v>
      </c>
      <c r="E40" s="18" t="n">
        <v>68.78544362</v>
      </c>
      <c r="F40" s="20" t="n">
        <v>1.82001978</v>
      </c>
      <c r="G40" s="18" t="n">
        <v>29.85894523</v>
      </c>
      <c r="H40" s="20" t="n">
        <v>1.85645668</v>
      </c>
      <c r="I40" s="18" t="s">
        <v>567</v>
      </c>
      <c r="J40" s="20" t="s">
        <v>567</v>
      </c>
      <c r="K40" s="18" t="n">
        <v>0.42726769</v>
      </c>
      <c r="L40" s="20" t="n">
        <v>0.29655648</v>
      </c>
      <c r="M40" s="18" t="n">
        <v>0</v>
      </c>
      <c r="N40" s="20" t="n">
        <v>0</v>
      </c>
      <c r="O40" s="18" t="n">
        <v>0</v>
      </c>
      <c r="P40" s="20" t="n">
        <v>0</v>
      </c>
      <c r="Q40" s="18" t="n">
        <v>0.92834346</v>
      </c>
      <c r="R40" s="20" t="n">
        <v>0.32625035</v>
      </c>
    </row>
    <row r="41" spans="1:18">
      <c r="A41" s="15" t="s">
        <v>601</v>
      </c>
      <c r="B41" s="17" t="n">
        <v>2858</v>
      </c>
      <c r="C41" s="18">
        <f>(2249.0/B41*100)</f>
        <v/>
      </c>
      <c r="D41" s="19" t="n">
        <v>609</v>
      </c>
      <c r="E41" s="18" t="n">
        <v>69.64816399</v>
      </c>
      <c r="F41" s="20" t="n">
        <v>1.8873577</v>
      </c>
      <c r="G41" s="18" t="n">
        <v>30.01618026</v>
      </c>
      <c r="H41" s="20" t="n">
        <v>1.89889204</v>
      </c>
      <c r="I41" s="18" t="s">
        <v>567</v>
      </c>
      <c r="J41" s="20" t="s">
        <v>567</v>
      </c>
      <c r="K41" s="18" t="n">
        <v>0.06695593</v>
      </c>
      <c r="L41" s="20" t="n">
        <v>0.06729796</v>
      </c>
      <c r="M41" s="18" t="n">
        <v>0</v>
      </c>
      <c r="N41" s="20" t="n">
        <v>0</v>
      </c>
      <c r="O41" s="18" t="n">
        <v>0</v>
      </c>
      <c r="P41" s="20" t="n">
        <v>0</v>
      </c>
      <c r="Q41" s="18" t="n">
        <v>0.26869982</v>
      </c>
      <c r="R41" s="20" t="n">
        <v>0.19872667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(8839.0/B46*100)</f>
        <v/>
      </c>
      <c r="D46" s="19" t="n">
        <v>2229</v>
      </c>
      <c r="E46" s="18" t="n">
        <v>78.93998646</v>
      </c>
      <c r="F46" s="20" t="n">
        <v>1.23150896</v>
      </c>
      <c r="G46" s="18" t="n">
        <v>18.59226675</v>
      </c>
      <c r="H46" s="20" t="n">
        <v>1.20593623</v>
      </c>
      <c r="I46" s="18" t="s">
        <v>567</v>
      </c>
      <c r="J46" s="20" t="s">
        <v>567</v>
      </c>
      <c r="K46" s="18" t="n">
        <v>0.50701012</v>
      </c>
      <c r="L46" s="20" t="n">
        <v>0.19040707</v>
      </c>
      <c r="M46" s="18" t="n">
        <v>0</v>
      </c>
      <c r="N46" s="20" t="n">
        <v>0</v>
      </c>
      <c r="O46" s="18" t="n">
        <v>0</v>
      </c>
      <c r="P46" s="20" t="n">
        <v>0</v>
      </c>
      <c r="Q46" s="18" t="n">
        <v>1.96073668</v>
      </c>
      <c r="R46" s="20" t="n">
        <v>0.42493924</v>
      </c>
    </row>
    <row r="47" spans="1:18">
      <c r="A47" s="15" t="s">
        <v>607</v>
      </c>
      <c r="B47" s="17" t="n">
        <v>3105</v>
      </c>
      <c r="C47" s="18">
        <f>(2395.0/B47*100)</f>
        <v/>
      </c>
      <c r="D47" s="19" t="n">
        <v>710</v>
      </c>
      <c r="E47" s="18" t="n">
        <v>71.61868079</v>
      </c>
      <c r="F47" s="20" t="n">
        <v>1.73437387</v>
      </c>
      <c r="G47" s="18" t="n">
        <v>27.13322769</v>
      </c>
      <c r="H47" s="20" t="n">
        <v>1.71321851</v>
      </c>
      <c r="I47" s="18" t="s">
        <v>567</v>
      </c>
      <c r="J47" s="20" t="s">
        <v>567</v>
      </c>
      <c r="K47" s="18" t="n">
        <v>0</v>
      </c>
      <c r="L47" s="20" t="n">
        <v>0</v>
      </c>
      <c r="M47" s="18" t="n">
        <v>0</v>
      </c>
      <c r="N47" s="20" t="n">
        <v>0</v>
      </c>
      <c r="O47" s="18" t="n">
        <v>0</v>
      </c>
      <c r="P47" s="20" t="n">
        <v>0</v>
      </c>
      <c r="Q47" s="18" t="n">
        <v>1.24809152</v>
      </c>
      <c r="R47" s="20" t="n">
        <v>0.40566523</v>
      </c>
    </row>
    <row r="48" spans="1:18">
      <c r="A48" s="15" t="s">
        <v>608</v>
      </c>
      <c r="B48" s="17" t="n">
        <v>5159</v>
      </c>
      <c r="C48" s="18">
        <f>(3966.0/B48*100)</f>
        <v/>
      </c>
      <c r="D48" s="19" t="n">
        <v>1193</v>
      </c>
      <c r="E48" s="18" t="n">
        <v>77.46657842</v>
      </c>
      <c r="F48" s="20" t="n">
        <v>1.60742721</v>
      </c>
      <c r="G48" s="18" t="n">
        <v>21.43644506</v>
      </c>
      <c r="H48" s="20" t="n">
        <v>1.60059999</v>
      </c>
      <c r="I48" s="18" t="s">
        <v>567</v>
      </c>
      <c r="J48" s="20" t="s">
        <v>567</v>
      </c>
      <c r="K48" s="18" t="n">
        <v>0.05355702</v>
      </c>
      <c r="L48" s="20" t="n">
        <v>0.05369875</v>
      </c>
      <c r="M48" s="18" t="n">
        <v>0</v>
      </c>
      <c r="N48" s="20" t="n">
        <v>0</v>
      </c>
      <c r="O48" s="18" t="n">
        <v>0</v>
      </c>
      <c r="P48" s="20" t="n">
        <v>0</v>
      </c>
      <c r="Q48" s="18" t="n">
        <v>1.0434195</v>
      </c>
      <c r="R48" s="20" t="n">
        <v>0.48242212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(4412.0/B50*100)</f>
        <v/>
      </c>
      <c r="D50" s="19" t="n">
        <v>1225</v>
      </c>
      <c r="E50" s="18" t="n">
        <v>83.00071357</v>
      </c>
      <c r="F50" s="20" t="n">
        <v>1.34526846</v>
      </c>
      <c r="G50" s="18" t="n">
        <v>16.93668901</v>
      </c>
      <c r="H50" s="20" t="n">
        <v>1.34843692</v>
      </c>
      <c r="I50" s="18" t="s">
        <v>567</v>
      </c>
      <c r="J50" s="20" t="s">
        <v>567</v>
      </c>
      <c r="K50" s="18" t="n">
        <v>0</v>
      </c>
      <c r="L50" s="20" t="n">
        <v>0</v>
      </c>
      <c r="M50" s="18" t="n">
        <v>0</v>
      </c>
      <c r="N50" s="20" t="n">
        <v>0</v>
      </c>
      <c r="O50" s="18" t="n">
        <v>0</v>
      </c>
      <c r="P50" s="20" t="n">
        <v>0</v>
      </c>
      <c r="Q50" s="18" t="n">
        <v>0.06259742</v>
      </c>
      <c r="R50" s="20" t="n">
        <v>0.03593941</v>
      </c>
    </row>
    <row r="51" spans="1:18">
      <c r="A51" s="15" t="s">
        <v>611</v>
      </c>
      <c r="B51" s="17" t="n">
        <v>3372</v>
      </c>
      <c r="C51" s="18">
        <f>(2720.0/B51*100)</f>
        <v/>
      </c>
      <c r="D51" s="19" t="n">
        <v>652</v>
      </c>
      <c r="E51" s="18" t="n">
        <v>87.99782304999999</v>
      </c>
      <c r="F51" s="20" t="n">
        <v>1.56875982</v>
      </c>
      <c r="G51" s="18" t="n">
        <v>10.9333577</v>
      </c>
      <c r="H51" s="20" t="n">
        <v>1.52513014</v>
      </c>
      <c r="I51" s="18" t="s">
        <v>567</v>
      </c>
      <c r="J51" s="20" t="s">
        <v>567</v>
      </c>
      <c r="K51" s="18" t="n">
        <v>0</v>
      </c>
      <c r="L51" s="20" t="n">
        <v>0</v>
      </c>
      <c r="M51" s="18" t="n">
        <v>0</v>
      </c>
      <c r="N51" s="20" t="n">
        <v>0</v>
      </c>
      <c r="O51" s="18" t="n">
        <v>0</v>
      </c>
      <c r="P51" s="20" t="n">
        <v>0</v>
      </c>
      <c r="Q51" s="18" t="n">
        <v>1.06881925</v>
      </c>
      <c r="R51" s="20" t="n">
        <v>0.48681601</v>
      </c>
    </row>
    <row r="52" spans="1:18">
      <c r="A52" s="15" t="s">
        <v>612</v>
      </c>
      <c r="B52" s="17" t="n">
        <v>2796</v>
      </c>
      <c r="C52" s="18">
        <f>(2207.0/B52*100)</f>
        <v/>
      </c>
      <c r="D52" s="19" t="n">
        <v>589</v>
      </c>
      <c r="E52" s="18" t="n">
        <v>66.23810967999999</v>
      </c>
      <c r="F52" s="20" t="n">
        <v>1.70913593</v>
      </c>
      <c r="G52" s="18" t="n">
        <v>32.88957539</v>
      </c>
      <c r="H52" s="20" t="n">
        <v>1.72738196</v>
      </c>
      <c r="I52" s="18" t="s">
        <v>567</v>
      </c>
      <c r="J52" s="20" t="s">
        <v>567</v>
      </c>
      <c r="K52" s="18" t="n">
        <v>0</v>
      </c>
      <c r="L52" s="20" t="n">
        <v>0</v>
      </c>
      <c r="M52" s="18" t="n">
        <v>0</v>
      </c>
      <c r="N52" s="20" t="n">
        <v>0</v>
      </c>
      <c r="O52" s="18" t="n">
        <v>0</v>
      </c>
      <c r="P52" s="20" t="n">
        <v>0</v>
      </c>
      <c r="Q52" s="18" t="n">
        <v>0.87231493</v>
      </c>
      <c r="R52" s="20" t="n">
        <v>0.3913719</v>
      </c>
    </row>
    <row r="53" spans="1:18">
      <c r="A53" s="15" t="s">
        <v>613</v>
      </c>
      <c r="B53" s="17" t="n">
        <v>2811</v>
      </c>
      <c r="C53" s="18">
        <f>(2199.0/B53*100)</f>
        <v/>
      </c>
      <c r="D53" s="19" t="n">
        <v>612</v>
      </c>
      <c r="E53" s="18" t="n">
        <v>73.20270363</v>
      </c>
      <c r="F53" s="20" t="n">
        <v>2.09201206</v>
      </c>
      <c r="G53" s="18" t="n">
        <v>24.63218388</v>
      </c>
      <c r="H53" s="20" t="n">
        <v>2.01854413</v>
      </c>
      <c r="I53" s="18" t="s">
        <v>567</v>
      </c>
      <c r="J53" s="20" t="s">
        <v>567</v>
      </c>
      <c r="K53" s="18" t="n">
        <v>0.36401197</v>
      </c>
      <c r="L53" s="20" t="n">
        <v>0.2090533</v>
      </c>
      <c r="M53" s="18" t="n">
        <v>0</v>
      </c>
      <c r="N53" s="20" t="n">
        <v>0</v>
      </c>
      <c r="O53" s="18" t="n">
        <v>0</v>
      </c>
      <c r="P53" s="20" t="n">
        <v>0</v>
      </c>
      <c r="Q53" s="18" t="n">
        <v>1.80110052</v>
      </c>
      <c r="R53" s="20" t="n">
        <v>0.5669447</v>
      </c>
    </row>
    <row r="54" spans="1:18">
      <c r="A54" s="15" t="s">
        <v>614</v>
      </c>
      <c r="B54" s="17" t="n">
        <v>2266</v>
      </c>
      <c r="C54" s="18">
        <f>(1774.0/B54*100)</f>
        <v/>
      </c>
      <c r="D54" s="19" t="n">
        <v>492</v>
      </c>
      <c r="E54" s="18" t="n">
        <v>76.77528992000001</v>
      </c>
      <c r="F54" s="20" t="n">
        <v>2.07617793</v>
      </c>
      <c r="G54" s="18" t="n">
        <v>12.52826679</v>
      </c>
      <c r="H54" s="20" t="n">
        <v>1.52242427</v>
      </c>
      <c r="I54" s="18" t="s">
        <v>567</v>
      </c>
      <c r="J54" s="20" t="s">
        <v>567</v>
      </c>
      <c r="K54" s="18" t="n">
        <v>7.59593125</v>
      </c>
      <c r="L54" s="20" t="n">
        <v>1.35550374</v>
      </c>
      <c r="M54" s="18" t="n">
        <v>0</v>
      </c>
      <c r="N54" s="20" t="n">
        <v>0</v>
      </c>
      <c r="O54" s="18" t="n">
        <v>0</v>
      </c>
      <c r="P54" s="20" t="n">
        <v>0</v>
      </c>
      <c r="Q54" s="18" t="n">
        <v>3.10051204</v>
      </c>
      <c r="R54" s="20" t="n">
        <v>0.9616751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(2101.0/B56*100)</f>
        <v/>
      </c>
      <c r="D56" s="19" t="n">
        <v>583</v>
      </c>
      <c r="E56" s="18" t="n">
        <v>73.13035677000001</v>
      </c>
      <c r="F56" s="20" t="n">
        <v>2.07630194</v>
      </c>
      <c r="G56" s="18" t="n">
        <v>26.35436713</v>
      </c>
      <c r="H56" s="20" t="n">
        <v>2.01545223</v>
      </c>
      <c r="I56" s="18" t="s">
        <v>567</v>
      </c>
      <c r="J56" s="20" t="s">
        <v>567</v>
      </c>
      <c r="K56" s="18" t="n">
        <v>0.14415811</v>
      </c>
      <c r="L56" s="20" t="n">
        <v>0.14311588</v>
      </c>
      <c r="M56" s="18" t="n">
        <v>0</v>
      </c>
      <c r="N56" s="20" t="n">
        <v>0</v>
      </c>
      <c r="O56" s="18" t="n">
        <v>0</v>
      </c>
      <c r="P56" s="20" t="n">
        <v>0</v>
      </c>
      <c r="Q56" s="18" t="n">
        <v>0.37111799</v>
      </c>
      <c r="R56" s="20" t="n">
        <v>0.29144906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(2556.0/B61*100)</f>
        <v/>
      </c>
      <c r="D61" s="19" t="n">
        <v>768</v>
      </c>
      <c r="E61" s="18" t="n">
        <v>61.74298475</v>
      </c>
      <c r="F61" s="20" t="n">
        <v>2.11871975</v>
      </c>
      <c r="G61" s="18" t="n">
        <v>37.32275858</v>
      </c>
      <c r="H61" s="20" t="n">
        <v>1.99870332</v>
      </c>
      <c r="I61" s="18" t="s">
        <v>567</v>
      </c>
      <c r="J61" s="20" t="s">
        <v>567</v>
      </c>
      <c r="K61" s="18" t="n">
        <v>0.16976622</v>
      </c>
      <c r="L61" s="20" t="n">
        <v>0.12038499</v>
      </c>
      <c r="M61" s="18" t="n">
        <v>0</v>
      </c>
      <c r="N61" s="20" t="n">
        <v>0</v>
      </c>
      <c r="O61" s="18" t="n">
        <v>0</v>
      </c>
      <c r="P61" s="20" t="n">
        <v>0</v>
      </c>
      <c r="Q61" s="18" t="n">
        <v>0.76449046</v>
      </c>
      <c r="R61" s="20" t="n">
        <v>0.36905648</v>
      </c>
    </row>
    <row r="62" spans="1:18">
      <c r="A62" s="15" t="s">
        <v>622</v>
      </c>
      <c r="B62" s="17" t="n">
        <v>2246</v>
      </c>
      <c r="C62" s="18">
        <f>(1758.0/B62*100)</f>
        <v/>
      </c>
      <c r="D62" s="19" t="n">
        <v>488</v>
      </c>
      <c r="E62" s="18" t="n">
        <v>73.37602158</v>
      </c>
      <c r="F62" s="20" t="n">
        <v>2.07972518</v>
      </c>
      <c r="G62" s="18" t="n">
        <v>26.41345546</v>
      </c>
      <c r="H62" s="20" t="n">
        <v>2.06913358</v>
      </c>
      <c r="I62" s="18" t="s">
        <v>567</v>
      </c>
      <c r="J62" s="20" t="s">
        <v>567</v>
      </c>
      <c r="K62" s="18" t="n">
        <v>0.21052296</v>
      </c>
      <c r="L62" s="20" t="n">
        <v>0.21050445</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(2234.0/B66*100)</f>
        <v/>
      </c>
      <c r="D66" s="19" t="n">
        <v>660</v>
      </c>
      <c r="E66" s="18" t="n">
        <v>79.31983841</v>
      </c>
      <c r="F66" s="20" t="n">
        <v>1.73605187</v>
      </c>
      <c r="G66" s="18" t="n">
        <v>17.34228319</v>
      </c>
      <c r="H66" s="20" t="n">
        <v>1.52706078</v>
      </c>
      <c r="I66" s="18" t="s">
        <v>567</v>
      </c>
      <c r="J66" s="20" t="s">
        <v>567</v>
      </c>
      <c r="K66" s="18" t="n">
        <v>0.43232793</v>
      </c>
      <c r="L66" s="20" t="n">
        <v>0.24984272</v>
      </c>
      <c r="M66" s="18" t="n">
        <v>0</v>
      </c>
      <c r="N66" s="20" t="n">
        <v>0</v>
      </c>
      <c r="O66" s="18" t="n">
        <v>0</v>
      </c>
      <c r="P66" s="20" t="n">
        <v>0</v>
      </c>
      <c r="Q66" s="18" t="n">
        <v>2.90555047</v>
      </c>
      <c r="R66" s="20" t="n">
        <v>0.62404255</v>
      </c>
    </row>
    <row r="67" spans="1:18">
      <c r="A67" s="15" t="s">
        <v>627</v>
      </c>
      <c r="B67" s="17" t="n">
        <v>3511</v>
      </c>
      <c r="C67" s="18">
        <f>(2722.0/B67*100)</f>
        <v/>
      </c>
      <c r="D67" s="19" t="n">
        <v>789</v>
      </c>
      <c r="E67" s="18" t="n">
        <v>84.39918523</v>
      </c>
      <c r="F67" s="20" t="n">
        <v>1.41252096</v>
      </c>
      <c r="G67" s="18" t="n">
        <v>14.74002106</v>
      </c>
      <c r="H67" s="20" t="n">
        <v>1.39707797</v>
      </c>
      <c r="I67" s="18" t="s">
        <v>567</v>
      </c>
      <c r="J67" s="20" t="s">
        <v>567</v>
      </c>
      <c r="K67" s="18" t="n">
        <v>0.11382025</v>
      </c>
      <c r="L67" s="20" t="n">
        <v>0.11423452</v>
      </c>
      <c r="M67" s="18" t="n">
        <v>0</v>
      </c>
      <c r="N67" s="20" t="n">
        <v>0</v>
      </c>
      <c r="O67" s="18" t="n">
        <v>0</v>
      </c>
      <c r="P67" s="20" t="n">
        <v>0</v>
      </c>
      <c r="Q67" s="18" t="n">
        <v>0.74697346</v>
      </c>
      <c r="R67" s="20" t="n">
        <v>0.34339785</v>
      </c>
    </row>
    <row r="68" spans="1:18">
      <c r="A68" s="15" t="s">
        <v>628</v>
      </c>
      <c r="B68" s="17" t="n">
        <v>6049</v>
      </c>
      <c r="C68" s="18">
        <f>(4693.0/B68*100)</f>
        <v/>
      </c>
      <c r="D68" s="19" t="n">
        <v>1356</v>
      </c>
      <c r="E68" s="18" t="n">
        <v>72.20798041</v>
      </c>
      <c r="F68" s="20" t="n">
        <v>1.12982677</v>
      </c>
      <c r="G68" s="18" t="n">
        <v>24.68138157</v>
      </c>
      <c r="H68" s="20" t="n">
        <v>1.17580849</v>
      </c>
      <c r="I68" s="18" t="s">
        <v>567</v>
      </c>
      <c r="J68" s="20" t="s">
        <v>567</v>
      </c>
      <c r="K68" s="18" t="n">
        <v>0.56970929</v>
      </c>
      <c r="L68" s="20" t="n">
        <v>0.21655921</v>
      </c>
      <c r="M68" s="18" t="n">
        <v>0</v>
      </c>
      <c r="N68" s="20" t="n">
        <v>0</v>
      </c>
      <c r="O68" s="18" t="n">
        <v>0</v>
      </c>
      <c r="P68" s="20" t="n">
        <v>0</v>
      </c>
      <c r="Q68" s="18" t="n">
        <v>2.54092873</v>
      </c>
      <c r="R68" s="20" t="n">
        <v>0.37683243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(2264.0/B70*100)</f>
        <v/>
      </c>
      <c r="D70" s="19" t="n">
        <v>665</v>
      </c>
      <c r="E70" s="18" t="n">
        <v>80.27931460000001</v>
      </c>
      <c r="F70" s="20" t="n">
        <v>1.31741838</v>
      </c>
      <c r="G70" s="18" t="n">
        <v>19.4552211</v>
      </c>
      <c r="H70" s="20" t="n">
        <v>1.31434717</v>
      </c>
      <c r="I70" s="18" t="s">
        <v>567</v>
      </c>
      <c r="J70" s="20" t="s">
        <v>567</v>
      </c>
      <c r="K70" s="18" t="n">
        <v>0</v>
      </c>
      <c r="L70" s="20" t="n">
        <v>0</v>
      </c>
      <c r="M70" s="18" t="n">
        <v>0</v>
      </c>
      <c r="N70" s="20" t="n">
        <v>0</v>
      </c>
      <c r="O70" s="18" t="n">
        <v>0</v>
      </c>
      <c r="P70" s="20" t="n">
        <v>0</v>
      </c>
      <c r="Q70" s="18" t="n">
        <v>0.2654643</v>
      </c>
      <c r="R70" s="20" t="n">
        <v>0.19735756</v>
      </c>
    </row>
    <row r="71" spans="1:18">
      <c r="A71" s="15" t="s">
        <v>631</v>
      </c>
      <c r="B71" s="17" t="n">
        <v>3142</v>
      </c>
      <c r="C71" s="18">
        <f>(2439.0/B71*100)</f>
        <v/>
      </c>
      <c r="D71" s="19" t="n">
        <v>703</v>
      </c>
      <c r="E71" s="18" t="n">
        <v>60.69635715</v>
      </c>
      <c r="F71" s="20" t="n">
        <v>1.96419766</v>
      </c>
      <c r="G71" s="18" t="n">
        <v>38.94821641</v>
      </c>
      <c r="H71" s="20" t="n">
        <v>1.95258585</v>
      </c>
      <c r="I71" s="18" t="s">
        <v>567</v>
      </c>
      <c r="J71" s="20" t="s">
        <v>567</v>
      </c>
      <c r="K71" s="18" t="n">
        <v>0.18869447</v>
      </c>
      <c r="L71" s="20" t="n">
        <v>0.13759489</v>
      </c>
      <c r="M71" s="18" t="n">
        <v>0</v>
      </c>
      <c r="N71" s="20" t="n">
        <v>0</v>
      </c>
      <c r="O71" s="18" t="n">
        <v>0</v>
      </c>
      <c r="P71" s="20" t="n">
        <v>0</v>
      </c>
      <c r="Q71" s="18" t="n">
        <v>0.16673197</v>
      </c>
      <c r="R71" s="20" t="n">
        <v>0.11848691</v>
      </c>
    </row>
    <row r="72" spans="1:18">
      <c r="A72" s="15" t="s">
        <v>632</v>
      </c>
      <c r="B72" s="17" t="n">
        <v>3889</v>
      </c>
      <c r="C72" s="18">
        <f>(3036.0/B72*100)</f>
        <v/>
      </c>
      <c r="D72" s="19" t="n">
        <v>853</v>
      </c>
      <c r="E72" s="18" t="n">
        <v>60.59155568</v>
      </c>
      <c r="F72" s="20" t="n">
        <v>1.88553667</v>
      </c>
      <c r="G72" s="18" t="n">
        <v>38.97276973</v>
      </c>
      <c r="H72" s="20" t="n">
        <v>1.88341095</v>
      </c>
      <c r="I72" s="18" t="s">
        <v>567</v>
      </c>
      <c r="J72" s="20" t="s">
        <v>567</v>
      </c>
      <c r="K72" s="18" t="n">
        <v>0</v>
      </c>
      <c r="L72" s="20" t="n">
        <v>0</v>
      </c>
      <c r="M72" s="18" t="n">
        <v>0</v>
      </c>
      <c r="N72" s="20" t="n">
        <v>0</v>
      </c>
      <c r="O72" s="18" t="n">
        <v>0</v>
      </c>
      <c r="P72" s="20" t="n">
        <v>0</v>
      </c>
      <c r="Q72" s="18" t="n">
        <v>0.43567459</v>
      </c>
      <c r="R72" s="20" t="n">
        <v>0.2294283</v>
      </c>
    </row>
    <row r="73" spans="1:18">
      <c r="A73" s="15" t="s">
        <v>633</v>
      </c>
      <c r="B73" s="17" t="n">
        <v>3597</v>
      </c>
      <c r="C73" s="18">
        <f>(2803.0/B73*100)</f>
        <v/>
      </c>
      <c r="D73" s="19" t="n">
        <v>794</v>
      </c>
      <c r="E73" s="18" t="n">
        <v>80.28284336999999</v>
      </c>
      <c r="F73" s="20" t="n">
        <v>1.6769341</v>
      </c>
      <c r="G73" s="18" t="n">
        <v>19.27395998</v>
      </c>
      <c r="H73" s="20" t="n">
        <v>1.66975413</v>
      </c>
      <c r="I73" s="18" t="s">
        <v>567</v>
      </c>
      <c r="J73" s="20" t="s">
        <v>567</v>
      </c>
      <c r="K73" s="18" t="n">
        <v>0</v>
      </c>
      <c r="L73" s="20" t="n">
        <v>0</v>
      </c>
      <c r="M73" s="18" t="n">
        <v>0</v>
      </c>
      <c r="N73" s="20" t="n">
        <v>0</v>
      </c>
      <c r="O73" s="18" t="n">
        <v>0</v>
      </c>
      <c r="P73" s="20" t="n">
        <v>0</v>
      </c>
      <c r="Q73" s="18" t="n">
        <v>0.44319665</v>
      </c>
      <c r="R73" s="20" t="n">
        <v>0.31859363</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(1886.0/B75*100)</f>
        <v/>
      </c>
      <c r="D75" s="19" t="n">
        <v>520</v>
      </c>
      <c r="E75" s="18" t="n">
        <v>70.67756961000001</v>
      </c>
      <c r="F75" s="20" t="n">
        <v>2.07864211</v>
      </c>
      <c r="G75" s="18" t="n">
        <v>26.17449218</v>
      </c>
      <c r="H75" s="20" t="n">
        <v>1.95820279</v>
      </c>
      <c r="I75" s="18" t="s">
        <v>567</v>
      </c>
      <c r="J75" s="20" t="s">
        <v>567</v>
      </c>
      <c r="K75" s="18" t="n">
        <v>0.32938298</v>
      </c>
      <c r="L75" s="20" t="n">
        <v>0.24387953</v>
      </c>
      <c r="M75" s="18" t="n">
        <v>0</v>
      </c>
      <c r="N75" s="20" t="n">
        <v>0</v>
      </c>
      <c r="O75" s="18" t="n">
        <v>0</v>
      </c>
      <c r="P75" s="20" t="n">
        <v>0</v>
      </c>
      <c r="Q75" s="18" t="n">
        <v>2.81855523</v>
      </c>
      <c r="R75" s="20" t="n">
        <v>0.93668357</v>
      </c>
    </row>
    <row r="76" spans="1:18">
      <c r="A76" s="15" t="s">
        <v>636</v>
      </c>
      <c r="B76" s="17" t="n">
        <v>7052</v>
      </c>
      <c r="C76" s="18">
        <f>(5495.0/B76*100)</f>
        <v/>
      </c>
      <c r="D76" s="19" t="n">
        <v>1557</v>
      </c>
      <c r="E76" s="18" t="n">
        <v>74.52935106</v>
      </c>
      <c r="F76" s="20" t="n">
        <v>1.51686264</v>
      </c>
      <c r="G76" s="18" t="n">
        <v>23.53184918</v>
      </c>
      <c r="H76" s="20" t="n">
        <v>1.4717939</v>
      </c>
      <c r="I76" s="18" t="s">
        <v>567</v>
      </c>
      <c r="J76" s="20" t="s">
        <v>567</v>
      </c>
      <c r="K76" s="18" t="n">
        <v>0.46379259</v>
      </c>
      <c r="L76" s="20" t="n">
        <v>0.16813025</v>
      </c>
      <c r="M76" s="18" t="n">
        <v>0</v>
      </c>
      <c r="N76" s="20" t="n">
        <v>0</v>
      </c>
      <c r="O76" s="18" t="n">
        <v>0</v>
      </c>
      <c r="P76" s="20" t="n">
        <v>0</v>
      </c>
      <c r="Q76" s="18" t="n">
        <v>1.47500717</v>
      </c>
      <c r="R76" s="20" t="n">
        <v>0.36898455</v>
      </c>
    </row>
    <row r="77" spans="1:18">
      <c r="A77" s="15" t="s">
        <v>637</v>
      </c>
      <c r="B77" s="17" t="n">
        <v>2908</v>
      </c>
      <c r="C77" s="18">
        <f>(2323.0/B77*100)</f>
        <v/>
      </c>
      <c r="D77" s="19" t="n">
        <v>585</v>
      </c>
      <c r="E77" s="18" t="n">
        <v>78.3296708</v>
      </c>
      <c r="F77" s="20" t="n">
        <v>1.48481012</v>
      </c>
      <c r="G77" s="18" t="n">
        <v>20.14184307</v>
      </c>
      <c r="H77" s="20" t="n">
        <v>1.39721696</v>
      </c>
      <c r="I77" s="18" t="s">
        <v>567</v>
      </c>
      <c r="J77" s="20" t="s">
        <v>567</v>
      </c>
      <c r="K77" s="18" t="n">
        <v>0.76818308</v>
      </c>
      <c r="L77" s="20" t="n">
        <v>0.40628059</v>
      </c>
      <c r="M77" s="18" t="n">
        <v>0</v>
      </c>
      <c r="N77" s="20" t="n">
        <v>0</v>
      </c>
      <c r="O77" s="18" t="n">
        <v>0</v>
      </c>
      <c r="P77" s="20" t="n">
        <v>0</v>
      </c>
      <c r="Q77" s="18" t="n">
        <v>0.76030305</v>
      </c>
      <c r="R77" s="20" t="n">
        <v>0.41639711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(3262.0/B81*100)</f>
        <v/>
      </c>
      <c r="D81" s="19" t="n">
        <v>901</v>
      </c>
      <c r="E81" s="18" t="n">
        <v>16.10019111</v>
      </c>
      <c r="F81" s="20" t="n">
        <v>2.72256222</v>
      </c>
      <c r="G81" s="18" t="n">
        <v>5.43877124</v>
      </c>
      <c r="H81" s="20" t="n">
        <v>1.05289334</v>
      </c>
      <c r="I81" s="18" t="s">
        <v>567</v>
      </c>
      <c r="J81" s="20" t="s">
        <v>567</v>
      </c>
      <c r="K81" s="18" t="n">
        <v>0</v>
      </c>
      <c r="L81" s="20" t="n">
        <v>0</v>
      </c>
      <c r="M81" s="18" t="n">
        <v>78.10889358999999</v>
      </c>
      <c r="N81" s="20" t="n">
        <v>3.26261877</v>
      </c>
      <c r="O81" s="18" t="n">
        <v>0</v>
      </c>
      <c r="P81" s="20" t="n">
        <v>0</v>
      </c>
      <c r="Q81" s="18" t="n">
        <v>0.35214406</v>
      </c>
      <c r="R81" s="20" t="n">
        <v>0.20575158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(5710.0/B7*100)</f>
        <v/>
      </c>
      <c r="D7" s="19" t="n">
        <v>1657</v>
      </c>
      <c r="E7" s="18" t="n">
        <v>78.04742548</v>
      </c>
      <c r="F7" s="20" t="n">
        <v>1.37961756</v>
      </c>
      <c r="G7" s="18" t="n">
        <v>14.62103659</v>
      </c>
      <c r="H7" s="20" t="n">
        <v>1.20914154</v>
      </c>
      <c r="I7" s="18" t="s">
        <v>567</v>
      </c>
      <c r="J7" s="20" t="s">
        <v>567</v>
      </c>
      <c r="K7" s="18" t="n">
        <v>0.1807804</v>
      </c>
      <c r="L7" s="20" t="n">
        <v>0.11375341</v>
      </c>
      <c r="M7" s="18" t="n">
        <v>0.01546159</v>
      </c>
      <c r="N7" s="20" t="n">
        <v>0.01075906</v>
      </c>
      <c r="O7" s="18" t="n">
        <v>0</v>
      </c>
      <c r="P7" s="20" t="n">
        <v>0</v>
      </c>
      <c r="Q7" s="18" t="n">
        <v>7.13529594</v>
      </c>
      <c r="R7" s="20" t="n">
        <v>0.68219274</v>
      </c>
    </row>
    <row r="8" spans="1:18">
      <c r="A8" s="15" t="s">
        <v>568</v>
      </c>
      <c r="B8" s="17" t="n">
        <v>3564</v>
      </c>
      <c r="C8" s="18">
        <f>(2771.0/B8*100)</f>
        <v/>
      </c>
      <c r="D8" s="19" t="n">
        <v>793</v>
      </c>
      <c r="E8" s="18" t="n">
        <v>52.79756386</v>
      </c>
      <c r="F8" s="20" t="n">
        <v>2.05798898</v>
      </c>
      <c r="G8" s="18" t="n">
        <v>27.13347892</v>
      </c>
      <c r="H8" s="20" t="n">
        <v>1.93462195</v>
      </c>
      <c r="I8" s="18" t="s">
        <v>567</v>
      </c>
      <c r="J8" s="20" t="s">
        <v>567</v>
      </c>
      <c r="K8" s="18" t="n">
        <v>0</v>
      </c>
      <c r="L8" s="20" t="n">
        <v>0</v>
      </c>
      <c r="M8" s="18" t="n">
        <v>0</v>
      </c>
      <c r="N8" s="20" t="n">
        <v>0</v>
      </c>
      <c r="O8" s="18" t="n">
        <v>0</v>
      </c>
      <c r="P8" s="20" t="n">
        <v>0</v>
      </c>
      <c r="Q8" s="18" t="n">
        <v>20.06895721</v>
      </c>
      <c r="R8" s="20" t="n">
        <v>1.76170586</v>
      </c>
    </row>
    <row r="9" spans="1:18">
      <c r="A9" s="15" t="s">
        <v>569</v>
      </c>
      <c r="B9" s="17" t="n">
        <v>4899</v>
      </c>
      <c r="C9" s="18">
        <f>(3850.0/B9*100)</f>
        <v/>
      </c>
      <c r="D9" s="19" t="n">
        <v>1049</v>
      </c>
      <c r="E9" s="18" t="n">
        <v>72.43844353999999</v>
      </c>
      <c r="F9" s="20" t="n">
        <v>1.35527216</v>
      </c>
      <c r="G9" s="18" t="n">
        <v>15.15273139</v>
      </c>
      <c r="H9" s="20" t="n">
        <v>1.0652485</v>
      </c>
      <c r="I9" s="18" t="s">
        <v>567</v>
      </c>
      <c r="J9" s="20" t="s">
        <v>567</v>
      </c>
      <c r="K9" s="18" t="n">
        <v>0</v>
      </c>
      <c r="L9" s="20" t="n">
        <v>0</v>
      </c>
      <c r="M9" s="18" t="n">
        <v>0.24892152</v>
      </c>
      <c r="N9" s="20" t="n">
        <v>0.14652391</v>
      </c>
      <c r="O9" s="18" t="n">
        <v>0</v>
      </c>
      <c r="P9" s="20" t="n">
        <v>0</v>
      </c>
      <c r="Q9" s="18" t="n">
        <v>12.15990355</v>
      </c>
      <c r="R9" s="20" t="n">
        <v>1.14302741</v>
      </c>
    </row>
    <row r="10" spans="1:18">
      <c r="A10" s="15" t="s">
        <v>570</v>
      </c>
      <c r="B10" s="17" t="n">
        <v>10036</v>
      </c>
      <c r="C10" s="18">
        <f>(7750.0/B10*100)</f>
        <v/>
      </c>
      <c r="D10" s="19" t="n">
        <v>2286</v>
      </c>
      <c r="E10" s="18" t="n">
        <v>75.7972323</v>
      </c>
      <c r="F10" s="20" t="n">
        <v>1.42056904</v>
      </c>
      <c r="G10" s="18" t="n">
        <v>18.86461731</v>
      </c>
      <c r="H10" s="20" t="n">
        <v>1.32587564</v>
      </c>
      <c r="I10" s="18" t="s">
        <v>567</v>
      </c>
      <c r="J10" s="20" t="s">
        <v>567</v>
      </c>
      <c r="K10" s="18" t="n">
        <v>0</v>
      </c>
      <c r="L10" s="20" t="n">
        <v>0</v>
      </c>
      <c r="M10" s="18" t="n">
        <v>0.03998026</v>
      </c>
      <c r="N10" s="20" t="n">
        <v>0.02826907</v>
      </c>
      <c r="O10" s="18" t="n">
        <v>0</v>
      </c>
      <c r="P10" s="20" t="n">
        <v>0</v>
      </c>
      <c r="Q10" s="18" t="n">
        <v>5.29817013</v>
      </c>
      <c r="R10" s="20" t="n">
        <v>0.67254123</v>
      </c>
    </row>
    <row r="11" spans="1:18">
      <c r="A11" s="15" t="s">
        <v>571</v>
      </c>
      <c r="B11" s="17" t="n">
        <v>3553</v>
      </c>
      <c r="C11" s="18">
        <f>(2741.0/B11*100)</f>
        <v/>
      </c>
      <c r="D11" s="19" t="n">
        <v>812</v>
      </c>
      <c r="E11" s="18" t="n">
        <v>83.90060712</v>
      </c>
      <c r="F11" s="20" t="n">
        <v>1.3171116</v>
      </c>
      <c r="G11" s="18" t="n">
        <v>1.61320556</v>
      </c>
      <c r="H11" s="20" t="n">
        <v>0.47177458</v>
      </c>
      <c r="I11" s="18" t="s">
        <v>567</v>
      </c>
      <c r="J11" s="20" t="s">
        <v>567</v>
      </c>
      <c r="K11" s="18" t="n">
        <v>0</v>
      </c>
      <c r="L11" s="20" t="n">
        <v>0</v>
      </c>
      <c r="M11" s="18" t="n">
        <v>0</v>
      </c>
      <c r="N11" s="20" t="n">
        <v>0</v>
      </c>
      <c r="O11" s="18" t="n">
        <v>0</v>
      </c>
      <c r="P11" s="20" t="n">
        <v>0</v>
      </c>
      <c r="Q11" s="18" t="n">
        <v>14.48618732</v>
      </c>
      <c r="R11" s="20" t="n">
        <v>1.2967978</v>
      </c>
    </row>
    <row r="12" spans="1:18">
      <c r="A12" s="15" t="s">
        <v>572</v>
      </c>
      <c r="B12" s="17" t="n">
        <v>3472</v>
      </c>
      <c r="C12" s="18">
        <f>(2753.0/B12*100)</f>
        <v/>
      </c>
      <c r="D12" s="19" t="n">
        <v>719</v>
      </c>
      <c r="E12" s="18" t="n">
        <v>56.1233171</v>
      </c>
      <c r="F12" s="20" t="n">
        <v>2.34792924</v>
      </c>
      <c r="G12" s="18" t="n">
        <v>28.61110888</v>
      </c>
      <c r="H12" s="20" t="n">
        <v>1.85018369</v>
      </c>
      <c r="I12" s="18" t="s">
        <v>567</v>
      </c>
      <c r="J12" s="20" t="s">
        <v>567</v>
      </c>
      <c r="K12" s="18" t="n">
        <v>0</v>
      </c>
      <c r="L12" s="20" t="n">
        <v>0</v>
      </c>
      <c r="M12" s="18" t="n">
        <v>0.12341559</v>
      </c>
      <c r="N12" s="20" t="n">
        <v>0.12141011</v>
      </c>
      <c r="O12" s="18" t="n">
        <v>0</v>
      </c>
      <c r="P12" s="20" t="n">
        <v>0</v>
      </c>
      <c r="Q12" s="18" t="n">
        <v>15.14215842</v>
      </c>
      <c r="R12" s="20" t="n">
        <v>1.44144843</v>
      </c>
    </row>
    <row r="13" spans="1:18">
      <c r="A13" s="15" t="s">
        <v>573</v>
      </c>
      <c r="B13" s="17" t="n">
        <v>3559</v>
      </c>
      <c r="C13" s="18">
        <f>(2796.0/B13*100)</f>
        <v/>
      </c>
      <c r="D13" s="19" t="n">
        <v>763</v>
      </c>
      <c r="E13" s="18" t="n">
        <v>56.3906494</v>
      </c>
      <c r="F13" s="20" t="n">
        <v>2.80804557</v>
      </c>
      <c r="G13" s="18" t="n">
        <v>33.46652025</v>
      </c>
      <c r="H13" s="20" t="n">
        <v>2.57419588</v>
      </c>
      <c r="I13" s="18" t="s">
        <v>567</v>
      </c>
      <c r="J13" s="20" t="s">
        <v>567</v>
      </c>
      <c r="K13" s="18" t="n">
        <v>0.03844518</v>
      </c>
      <c r="L13" s="20" t="n">
        <v>0.03664662</v>
      </c>
      <c r="M13" s="18" t="n">
        <v>0.46769785</v>
      </c>
      <c r="N13" s="20" t="n">
        <v>0.46674013</v>
      </c>
      <c r="O13" s="18" t="n">
        <v>0</v>
      </c>
      <c r="P13" s="20" t="n">
        <v>0</v>
      </c>
      <c r="Q13" s="18" t="n">
        <v>9.63668732</v>
      </c>
      <c r="R13" s="20" t="n">
        <v>1.51143783</v>
      </c>
    </row>
    <row r="14" spans="1:18">
      <c r="A14" s="15" t="s">
        <v>574</v>
      </c>
      <c r="B14" s="17" t="n">
        <v>2799</v>
      </c>
      <c r="C14" s="18">
        <f>(2159.0/B14*100)</f>
        <v/>
      </c>
      <c r="D14" s="19" t="n">
        <v>640</v>
      </c>
      <c r="E14" s="18" t="n">
        <v>66.56185902999999</v>
      </c>
      <c r="F14" s="20" t="n">
        <v>2.23149997</v>
      </c>
      <c r="G14" s="18" t="n">
        <v>24.08282637</v>
      </c>
      <c r="H14" s="20" t="n">
        <v>1.96832109</v>
      </c>
      <c r="I14" s="18" t="s">
        <v>567</v>
      </c>
      <c r="J14" s="20" t="s">
        <v>567</v>
      </c>
      <c r="K14" s="18" t="n">
        <v>0.13860967</v>
      </c>
      <c r="L14" s="20" t="n">
        <v>0.13793246</v>
      </c>
      <c r="M14" s="18" t="n">
        <v>0</v>
      </c>
      <c r="N14" s="20" t="n">
        <v>0</v>
      </c>
      <c r="O14" s="18" t="n">
        <v>0</v>
      </c>
      <c r="P14" s="20" t="n">
        <v>0</v>
      </c>
      <c r="Q14" s="18" t="n">
        <v>9.21670492</v>
      </c>
      <c r="R14" s="20" t="n">
        <v>1.00301726</v>
      </c>
    </row>
    <row r="15" spans="1:18">
      <c r="A15" s="15" t="s">
        <v>575</v>
      </c>
      <c r="B15" s="17" t="n">
        <v>3019</v>
      </c>
      <c r="C15" s="18">
        <f>(2350.0/B15*100)</f>
        <v/>
      </c>
      <c r="D15" s="19" t="n">
        <v>669</v>
      </c>
      <c r="E15" s="18" t="n">
        <v>68.37898015</v>
      </c>
      <c r="F15" s="20" t="n">
        <v>1.72607523</v>
      </c>
      <c r="G15" s="18" t="n">
        <v>19.68409746</v>
      </c>
      <c r="H15" s="20" t="n">
        <v>1.56277277</v>
      </c>
      <c r="I15" s="18" t="s">
        <v>567</v>
      </c>
      <c r="J15" s="20" t="s">
        <v>567</v>
      </c>
      <c r="K15" s="18" t="n">
        <v>0.15398038</v>
      </c>
      <c r="L15" s="20" t="n">
        <v>0.15444609</v>
      </c>
      <c r="M15" s="18" t="n">
        <v>0</v>
      </c>
      <c r="N15" s="20" t="n">
        <v>0</v>
      </c>
      <c r="O15" s="18" t="n">
        <v>0</v>
      </c>
      <c r="P15" s="20" t="n">
        <v>0</v>
      </c>
      <c r="Q15" s="18" t="n">
        <v>11.78294201</v>
      </c>
      <c r="R15" s="20" t="n">
        <v>1.3094276</v>
      </c>
    </row>
    <row r="16" spans="1:18">
      <c r="A16" s="15" t="s">
        <v>576</v>
      </c>
      <c r="B16" s="17" t="n">
        <v>2997</v>
      </c>
      <c r="C16" s="18">
        <f>(2318.0/B16*100)</f>
        <v/>
      </c>
      <c r="D16" s="19" t="n">
        <v>679</v>
      </c>
      <c r="E16" s="18" t="n">
        <v>67.11356379999999</v>
      </c>
      <c r="F16" s="20" t="n">
        <v>2.07273824</v>
      </c>
      <c r="G16" s="18" t="n">
        <v>9.088032200000001</v>
      </c>
      <c r="H16" s="20" t="n">
        <v>1.14354663</v>
      </c>
      <c r="I16" s="18" t="s">
        <v>567</v>
      </c>
      <c r="J16" s="20" t="s">
        <v>567</v>
      </c>
      <c r="K16" s="18" t="n">
        <v>0</v>
      </c>
      <c r="L16" s="20" t="n">
        <v>0</v>
      </c>
      <c r="M16" s="18" t="n">
        <v>0</v>
      </c>
      <c r="N16" s="20" t="n">
        <v>0</v>
      </c>
      <c r="O16" s="18" t="n">
        <v>0</v>
      </c>
      <c r="P16" s="20" t="n">
        <v>0</v>
      </c>
      <c r="Q16" s="18" t="n">
        <v>23.798404</v>
      </c>
      <c r="R16" s="20" t="n">
        <v>1.8450708</v>
      </c>
    </row>
    <row r="17" spans="1:18">
      <c r="A17" s="15" t="s">
        <v>577</v>
      </c>
      <c r="B17" s="17" t="n">
        <v>3307</v>
      </c>
      <c r="C17" s="18">
        <f>(2553.0/B17*100)</f>
        <v/>
      </c>
      <c r="D17" s="19" t="n">
        <v>754</v>
      </c>
      <c r="E17" s="18" t="n">
        <v>56.22425922</v>
      </c>
      <c r="F17" s="20" t="n">
        <v>2.06606</v>
      </c>
      <c r="G17" s="18" t="n">
        <v>28.84773353</v>
      </c>
      <c r="H17" s="20" t="n">
        <v>1.86458198</v>
      </c>
      <c r="I17" s="18" t="s">
        <v>567</v>
      </c>
      <c r="J17" s="20" t="s">
        <v>567</v>
      </c>
      <c r="K17" s="18" t="n">
        <v>0.13297913</v>
      </c>
      <c r="L17" s="20" t="n">
        <v>0.13242715</v>
      </c>
      <c r="M17" s="18" t="n">
        <v>0</v>
      </c>
      <c r="N17" s="20" t="n">
        <v>0</v>
      </c>
      <c r="O17" s="18" t="n">
        <v>0</v>
      </c>
      <c r="P17" s="20" t="n">
        <v>0</v>
      </c>
      <c r="Q17" s="18" t="n">
        <v>14.79502812</v>
      </c>
      <c r="R17" s="20" t="n">
        <v>1.30942132</v>
      </c>
    </row>
    <row r="18" spans="1:18">
      <c r="A18" s="15" t="s">
        <v>578</v>
      </c>
      <c r="B18" s="17" t="n">
        <v>2826</v>
      </c>
      <c r="C18" s="18">
        <f>(2214.0/B18*100)</f>
        <v/>
      </c>
      <c r="D18" s="19" t="n">
        <v>612</v>
      </c>
      <c r="E18" s="18" t="n">
        <v>75.46106179</v>
      </c>
      <c r="F18" s="20" t="n">
        <v>2.17806596</v>
      </c>
      <c r="G18" s="18" t="n">
        <v>8.22724539</v>
      </c>
      <c r="H18" s="20" t="n">
        <v>1.08161298</v>
      </c>
      <c r="I18" s="18" t="s">
        <v>567</v>
      </c>
      <c r="J18" s="20" t="s">
        <v>567</v>
      </c>
      <c r="K18" s="18" t="n">
        <v>0.16726073</v>
      </c>
      <c r="L18" s="20" t="n">
        <v>0.17368182</v>
      </c>
      <c r="M18" s="18" t="n">
        <v>0</v>
      </c>
      <c r="N18" s="20" t="n">
        <v>0</v>
      </c>
      <c r="O18" s="18" t="n">
        <v>0</v>
      </c>
      <c r="P18" s="20" t="n">
        <v>0</v>
      </c>
      <c r="Q18" s="18" t="n">
        <v>16.14443209</v>
      </c>
      <c r="R18" s="20" t="n">
        <v>1.97011032</v>
      </c>
    </row>
    <row r="19" spans="1:18">
      <c r="A19" s="15" t="s">
        <v>579</v>
      </c>
      <c r="B19" s="17" t="n">
        <v>2808</v>
      </c>
      <c r="C19" s="18">
        <f>(2199.0/B19*100)</f>
        <v/>
      </c>
      <c r="D19" s="19" t="n">
        <v>609</v>
      </c>
      <c r="E19" s="18" t="n">
        <v>57.48761204</v>
      </c>
      <c r="F19" s="20" t="n">
        <v>1.97120758</v>
      </c>
      <c r="G19" s="18" t="n">
        <v>18.11158832</v>
      </c>
      <c r="H19" s="20" t="n">
        <v>1.56918693</v>
      </c>
      <c r="I19" s="18" t="s">
        <v>567</v>
      </c>
      <c r="J19" s="20" t="s">
        <v>567</v>
      </c>
      <c r="K19" s="18" t="n">
        <v>0</v>
      </c>
      <c r="L19" s="20" t="n">
        <v>0</v>
      </c>
      <c r="M19" s="18" t="n">
        <v>0</v>
      </c>
      <c r="N19" s="20" t="n">
        <v>0</v>
      </c>
      <c r="O19" s="18" t="n">
        <v>0</v>
      </c>
      <c r="P19" s="20" t="n">
        <v>0</v>
      </c>
      <c r="Q19" s="18" t="n">
        <v>24.40079965</v>
      </c>
      <c r="R19" s="20" t="n">
        <v>1.65990781</v>
      </c>
    </row>
    <row r="20" spans="1:18">
      <c r="A20" s="15" t="s">
        <v>580</v>
      </c>
      <c r="B20" s="17" t="n">
        <v>1630</v>
      </c>
      <c r="C20" s="18">
        <f>(1256.0/B20*100)</f>
        <v/>
      </c>
      <c r="D20" s="19" t="n">
        <v>374</v>
      </c>
      <c r="E20" s="18" t="n">
        <v>81.15595304</v>
      </c>
      <c r="F20" s="20" t="n">
        <v>2.43897421</v>
      </c>
      <c r="G20" s="18" t="n">
        <v>6.60827196</v>
      </c>
      <c r="H20" s="20" t="n">
        <v>1.48083633</v>
      </c>
      <c r="I20" s="18" t="s">
        <v>567</v>
      </c>
      <c r="J20" s="20" t="s">
        <v>567</v>
      </c>
      <c r="K20" s="18" t="n">
        <v>0.2463374</v>
      </c>
      <c r="L20" s="20" t="n">
        <v>0.17296735</v>
      </c>
      <c r="M20" s="18" t="n">
        <v>0</v>
      </c>
      <c r="N20" s="20" t="n">
        <v>0</v>
      </c>
      <c r="O20" s="18" t="n">
        <v>0</v>
      </c>
      <c r="P20" s="20" t="n">
        <v>0</v>
      </c>
      <c r="Q20" s="18" t="n">
        <v>11.9894376</v>
      </c>
      <c r="R20" s="20" t="n">
        <v>1.92988196</v>
      </c>
    </row>
    <row r="21" spans="1:18">
      <c r="A21" s="15" t="s">
        <v>581</v>
      </c>
      <c r="B21" s="17" t="n">
        <v>2908</v>
      </c>
      <c r="C21" s="18">
        <f>(2285.0/B21*100)</f>
        <v/>
      </c>
      <c r="D21" s="19" t="n">
        <v>623</v>
      </c>
      <c r="E21" s="18" t="n">
        <v>78.22135897</v>
      </c>
      <c r="F21" s="20" t="n">
        <v>1.74188329</v>
      </c>
      <c r="G21" s="18" t="n">
        <v>13.81551352</v>
      </c>
      <c r="H21" s="20" t="n">
        <v>1.35513898</v>
      </c>
      <c r="I21" s="18" t="s">
        <v>567</v>
      </c>
      <c r="J21" s="20" t="s">
        <v>567</v>
      </c>
      <c r="K21" s="18" t="n">
        <v>0</v>
      </c>
      <c r="L21" s="20" t="n">
        <v>0</v>
      </c>
      <c r="M21" s="18" t="n">
        <v>0</v>
      </c>
      <c r="N21" s="20" t="n">
        <v>0</v>
      </c>
      <c r="O21" s="18" t="n">
        <v>0</v>
      </c>
      <c r="P21" s="20" t="n">
        <v>0</v>
      </c>
      <c r="Q21" s="18" t="n">
        <v>7.96312751</v>
      </c>
      <c r="R21" s="20" t="n">
        <v>1.35887202</v>
      </c>
    </row>
    <row r="22" spans="1:18">
      <c r="A22" s="15" t="s">
        <v>582</v>
      </c>
      <c r="B22" s="17" t="n">
        <v>2931</v>
      </c>
      <c r="C22" s="18">
        <f>(2263.0/B22*100)</f>
        <v/>
      </c>
      <c r="D22" s="19" t="n">
        <v>668</v>
      </c>
      <c r="E22" s="18" t="n">
        <v>68.15336956</v>
      </c>
      <c r="F22" s="20" t="n">
        <v>1.97446174</v>
      </c>
      <c r="G22" s="18" t="n">
        <v>12.93569813</v>
      </c>
      <c r="H22" s="20" t="n">
        <v>1.6243645</v>
      </c>
      <c r="I22" s="18" t="s">
        <v>567</v>
      </c>
      <c r="J22" s="20" t="s">
        <v>567</v>
      </c>
      <c r="K22" s="18" t="n">
        <v>0.12062442</v>
      </c>
      <c r="L22" s="20" t="n">
        <v>0.12071977</v>
      </c>
      <c r="M22" s="18" t="n">
        <v>0</v>
      </c>
      <c r="N22" s="20" t="n">
        <v>0</v>
      </c>
      <c r="O22" s="18" t="n">
        <v>0</v>
      </c>
      <c r="P22" s="20" t="n">
        <v>0</v>
      </c>
      <c r="Q22" s="18" t="n">
        <v>18.79030789</v>
      </c>
      <c r="R22" s="20" t="n">
        <v>1.80013741</v>
      </c>
    </row>
    <row r="23" spans="1:18">
      <c r="A23" s="15" t="s">
        <v>583</v>
      </c>
      <c r="B23" s="17" t="n">
        <v>5791</v>
      </c>
      <c r="C23" s="18">
        <f>(4495.0/B23*100)</f>
        <v/>
      </c>
      <c r="D23" s="19" t="n">
        <v>1296</v>
      </c>
      <c r="E23" s="18" t="n">
        <v>72.49534267999999</v>
      </c>
      <c r="F23" s="20" t="n">
        <v>1.87578212</v>
      </c>
      <c r="G23" s="18" t="n">
        <v>9.824028350000001</v>
      </c>
      <c r="H23" s="20" t="n">
        <v>1.12720454</v>
      </c>
      <c r="I23" s="18" t="s">
        <v>567</v>
      </c>
      <c r="J23" s="20" t="s">
        <v>567</v>
      </c>
      <c r="K23" s="18" t="n">
        <v>0.08048445999999999</v>
      </c>
      <c r="L23" s="20" t="n">
        <v>0.08105233000000001</v>
      </c>
      <c r="M23" s="18" t="n">
        <v>0.24846996</v>
      </c>
      <c r="N23" s="20" t="n">
        <v>0.29011022</v>
      </c>
      <c r="O23" s="18" t="n">
        <v>0</v>
      </c>
      <c r="P23" s="20" t="n">
        <v>0</v>
      </c>
      <c r="Q23" s="18" t="n">
        <v>17.35167455</v>
      </c>
      <c r="R23" s="20" t="n">
        <v>1.60658563</v>
      </c>
    </row>
    <row r="24" spans="1:18">
      <c r="A24" s="15" t="s">
        <v>584</v>
      </c>
      <c r="B24" s="17" t="n">
        <v>3338</v>
      </c>
      <c r="C24" s="18">
        <f>(2591.0/B24*100)</f>
        <v/>
      </c>
      <c r="D24" s="19" t="n">
        <v>747</v>
      </c>
      <c r="E24" s="18" t="n">
        <v>46.70438209</v>
      </c>
      <c r="F24" s="20" t="n">
        <v>2.0649291</v>
      </c>
      <c r="G24" s="18" t="n">
        <v>41.5256563</v>
      </c>
      <c r="H24" s="20" t="n">
        <v>2.09579106</v>
      </c>
      <c r="I24" s="18" t="s">
        <v>567</v>
      </c>
      <c r="J24" s="20" t="s">
        <v>567</v>
      </c>
      <c r="K24" s="18" t="n">
        <v>0</v>
      </c>
      <c r="L24" s="20" t="n">
        <v>0</v>
      </c>
      <c r="M24" s="18" t="n">
        <v>0</v>
      </c>
      <c r="N24" s="20" t="n">
        <v>0</v>
      </c>
      <c r="O24" s="18" t="n">
        <v>0</v>
      </c>
      <c r="P24" s="20" t="n">
        <v>0</v>
      </c>
      <c r="Q24" s="18" t="n">
        <v>11.7699616</v>
      </c>
      <c r="R24" s="20" t="n">
        <v>1.29446371</v>
      </c>
    </row>
    <row r="25" spans="1:18">
      <c r="A25" s="15" t="s">
        <v>585</v>
      </c>
      <c r="B25" s="17" t="n">
        <v>2912</v>
      </c>
      <c r="C25" s="18">
        <f>(2245.0/B25*100)</f>
        <v/>
      </c>
      <c r="D25" s="19" t="n">
        <v>667</v>
      </c>
      <c r="E25" s="18" t="n">
        <v>49.83691403</v>
      </c>
      <c r="F25" s="20" t="n">
        <v>2.07269208</v>
      </c>
      <c r="G25" s="18" t="n">
        <v>38.60523315</v>
      </c>
      <c r="H25" s="20" t="n">
        <v>2.36014157</v>
      </c>
      <c r="I25" s="18" t="s">
        <v>567</v>
      </c>
      <c r="J25" s="20" t="s">
        <v>567</v>
      </c>
      <c r="K25" s="18" t="n">
        <v>0.46709647</v>
      </c>
      <c r="L25" s="20" t="n">
        <v>0.35791141</v>
      </c>
      <c r="M25" s="18" t="n">
        <v>0</v>
      </c>
      <c r="N25" s="20" t="n">
        <v>0</v>
      </c>
      <c r="O25" s="18" t="n">
        <v>0</v>
      </c>
      <c r="P25" s="20" t="n">
        <v>0</v>
      </c>
      <c r="Q25" s="18" t="n">
        <v>11.09075635</v>
      </c>
      <c r="R25" s="20" t="n">
        <v>1.30371191</v>
      </c>
    </row>
    <row r="26" spans="1:18">
      <c r="A26" s="15" t="s">
        <v>586</v>
      </c>
      <c r="B26" s="17" t="n">
        <v>2450</v>
      </c>
      <c r="C26" s="18">
        <f>(1876.0/B26*100)</f>
        <v/>
      </c>
      <c r="D26" s="19" t="n">
        <v>574</v>
      </c>
      <c r="E26" s="18" t="n">
        <v>70.89209852</v>
      </c>
      <c r="F26" s="20" t="n">
        <v>1.96427733</v>
      </c>
      <c r="G26" s="18" t="n">
        <v>20.45365388</v>
      </c>
      <c r="H26" s="20" t="n">
        <v>1.87602535</v>
      </c>
      <c r="I26" s="18" t="s">
        <v>567</v>
      </c>
      <c r="J26" s="20" t="s">
        <v>567</v>
      </c>
      <c r="K26" s="18" t="n">
        <v>0</v>
      </c>
      <c r="L26" s="20" t="n">
        <v>0</v>
      </c>
      <c r="M26" s="18" t="n">
        <v>0.19013243</v>
      </c>
      <c r="N26" s="20" t="n">
        <v>0.13085211</v>
      </c>
      <c r="O26" s="18" t="n">
        <v>0</v>
      </c>
      <c r="P26" s="20" t="n">
        <v>0</v>
      </c>
      <c r="Q26" s="18" t="n">
        <v>8.46411516</v>
      </c>
      <c r="R26" s="20" t="n">
        <v>1.23928625</v>
      </c>
    </row>
    <row r="27" spans="1:18">
      <c r="A27" s="15" t="s">
        <v>587</v>
      </c>
      <c r="B27" s="17" t="n">
        <v>2616</v>
      </c>
      <c r="C27" s="18">
        <f>(2037.0/B27*100)</f>
        <v/>
      </c>
      <c r="D27" s="19" t="n">
        <v>579</v>
      </c>
      <c r="E27" s="18" t="n">
        <v>59.24320484</v>
      </c>
      <c r="F27" s="20" t="n">
        <v>1.91705266</v>
      </c>
      <c r="G27" s="18" t="n">
        <v>18.73771832</v>
      </c>
      <c r="H27" s="20" t="n">
        <v>1.6103533</v>
      </c>
      <c r="I27" s="18" t="s">
        <v>567</v>
      </c>
      <c r="J27" s="20" t="s">
        <v>567</v>
      </c>
      <c r="K27" s="18" t="n">
        <v>0.35085916</v>
      </c>
      <c r="L27" s="20" t="n">
        <v>0.24934726</v>
      </c>
      <c r="M27" s="18" t="n">
        <v>0</v>
      </c>
      <c r="N27" s="20" t="n">
        <v>0</v>
      </c>
      <c r="O27" s="18" t="n">
        <v>0</v>
      </c>
      <c r="P27" s="20" t="n">
        <v>0</v>
      </c>
      <c r="Q27" s="18" t="n">
        <v>21.66821768</v>
      </c>
      <c r="R27" s="20" t="n">
        <v>1.89650886</v>
      </c>
    </row>
    <row r="28" spans="1:18">
      <c r="A28" s="15" t="s">
        <v>588</v>
      </c>
      <c r="B28" s="17" t="n">
        <v>3765</v>
      </c>
      <c r="C28" s="18">
        <f>(2952.0/B28*100)</f>
        <v/>
      </c>
      <c r="D28" s="19" t="n">
        <v>813</v>
      </c>
      <c r="E28" s="18" t="n">
        <v>92.36032767</v>
      </c>
      <c r="F28" s="20" t="n">
        <v>1.04091852</v>
      </c>
      <c r="G28" s="18" t="n">
        <v>4.04693102</v>
      </c>
      <c r="H28" s="20" t="n">
        <v>0.91002299</v>
      </c>
      <c r="I28" s="18" t="s">
        <v>567</v>
      </c>
      <c r="J28" s="20" t="s">
        <v>567</v>
      </c>
      <c r="K28" s="18" t="n">
        <v>0</v>
      </c>
      <c r="L28" s="20" t="n">
        <v>0</v>
      </c>
      <c r="M28" s="18" t="n">
        <v>0.26534735</v>
      </c>
      <c r="N28" s="20" t="n">
        <v>0.20517103</v>
      </c>
      <c r="O28" s="18" t="n">
        <v>0</v>
      </c>
      <c r="P28" s="20" t="n">
        <v>0</v>
      </c>
      <c r="Q28" s="18" t="n">
        <v>3.32739396</v>
      </c>
      <c r="R28" s="20" t="n">
        <v>0.69520229</v>
      </c>
    </row>
    <row r="29" spans="1:18">
      <c r="A29" s="15" t="s">
        <v>589</v>
      </c>
      <c r="B29" s="17" t="n">
        <v>2685</v>
      </c>
      <c r="C29" s="18">
        <f>(2097.0/B29*100)</f>
        <v/>
      </c>
      <c r="D29" s="19" t="n">
        <v>588</v>
      </c>
      <c r="E29" s="18" t="n">
        <v>78.9626299</v>
      </c>
      <c r="F29" s="20" t="n">
        <v>1.65140071</v>
      </c>
      <c r="G29" s="18" t="n">
        <v>17.9696409</v>
      </c>
      <c r="H29" s="20" t="n">
        <v>1.57027926</v>
      </c>
      <c r="I29" s="18" t="s">
        <v>567</v>
      </c>
      <c r="J29" s="20" t="s">
        <v>567</v>
      </c>
      <c r="K29" s="18" t="n">
        <v>0.13260537</v>
      </c>
      <c r="L29" s="20" t="n">
        <v>0.13106918</v>
      </c>
      <c r="M29" s="18" t="n">
        <v>0</v>
      </c>
      <c r="N29" s="20" t="n">
        <v>0</v>
      </c>
      <c r="O29" s="18" t="n">
        <v>0</v>
      </c>
      <c r="P29" s="20" t="n">
        <v>0</v>
      </c>
      <c r="Q29" s="18" t="n">
        <v>2.93512383</v>
      </c>
      <c r="R29" s="20" t="n">
        <v>0.83485412</v>
      </c>
    </row>
    <row r="30" spans="1:18">
      <c r="A30" s="15" t="s">
        <v>590</v>
      </c>
      <c r="B30" s="17" t="n">
        <v>2263</v>
      </c>
      <c r="C30" s="18">
        <f>(1770.0/B30*100)</f>
        <v/>
      </c>
      <c r="D30" s="19" t="n">
        <v>493</v>
      </c>
      <c r="E30" s="18" t="n">
        <v>72.48782433</v>
      </c>
      <c r="F30" s="20" t="n">
        <v>2.23704092</v>
      </c>
      <c r="G30" s="18" t="n">
        <v>20.19361345</v>
      </c>
      <c r="H30" s="20" t="n">
        <v>2.1619423</v>
      </c>
      <c r="I30" s="18" t="s">
        <v>567</v>
      </c>
      <c r="J30" s="20" t="s">
        <v>567</v>
      </c>
      <c r="K30" s="18" t="n">
        <v>0.35414767</v>
      </c>
      <c r="L30" s="20" t="n">
        <v>0.25476778</v>
      </c>
      <c r="M30" s="18" t="n">
        <v>0</v>
      </c>
      <c r="N30" s="20" t="n">
        <v>0</v>
      </c>
      <c r="O30" s="18" t="n">
        <v>0</v>
      </c>
      <c r="P30" s="20" t="n">
        <v>0</v>
      </c>
      <c r="Q30" s="18" t="n">
        <v>6.96441455</v>
      </c>
      <c r="R30" s="20" t="n">
        <v>1.38164469</v>
      </c>
    </row>
    <row r="31" spans="1:18">
      <c r="A31" s="15" t="s">
        <v>591</v>
      </c>
      <c r="B31" s="17" t="n">
        <v>2750</v>
      </c>
      <c r="C31" s="18">
        <f>(2132.0/B31*100)</f>
        <v/>
      </c>
      <c r="D31" s="19" t="n">
        <v>618</v>
      </c>
      <c r="E31" s="18" t="n">
        <v>69.82018970999999</v>
      </c>
      <c r="F31" s="20" t="n">
        <v>2.22400974</v>
      </c>
      <c r="G31" s="18" t="n">
        <v>19.48743391</v>
      </c>
      <c r="H31" s="20" t="n">
        <v>1.95680139</v>
      </c>
      <c r="I31" s="18" t="s">
        <v>567</v>
      </c>
      <c r="J31" s="20" t="s">
        <v>567</v>
      </c>
      <c r="K31" s="18" t="n">
        <v>0.34302246</v>
      </c>
      <c r="L31" s="20" t="n">
        <v>0.24811237</v>
      </c>
      <c r="M31" s="18" t="n">
        <v>0</v>
      </c>
      <c r="N31" s="20" t="n">
        <v>0</v>
      </c>
      <c r="O31" s="18" t="n">
        <v>0</v>
      </c>
      <c r="P31" s="20" t="n">
        <v>0</v>
      </c>
      <c r="Q31" s="18" t="n">
        <v>10.34935392</v>
      </c>
      <c r="R31" s="20" t="n">
        <v>1.48713201</v>
      </c>
    </row>
    <row r="32" spans="1:18">
      <c r="A32" s="15" t="s">
        <v>592</v>
      </c>
      <c r="B32" s="17" t="n">
        <v>2269</v>
      </c>
      <c r="C32" s="18">
        <f>(1732.0/B32*100)</f>
        <v/>
      </c>
      <c r="D32" s="19" t="n">
        <v>537</v>
      </c>
      <c r="E32" s="18" t="n">
        <v>68.38292534999999</v>
      </c>
      <c r="F32" s="20" t="n">
        <v>2.34068822</v>
      </c>
      <c r="G32" s="18" t="n">
        <v>15.54528345</v>
      </c>
      <c r="H32" s="20" t="n">
        <v>1.68489167</v>
      </c>
      <c r="I32" s="18" t="s">
        <v>567</v>
      </c>
      <c r="J32" s="20" t="s">
        <v>567</v>
      </c>
      <c r="K32" s="18" t="n">
        <v>0</v>
      </c>
      <c r="L32" s="20" t="n">
        <v>0</v>
      </c>
      <c r="M32" s="18" t="n">
        <v>0</v>
      </c>
      <c r="N32" s="20" t="n">
        <v>0</v>
      </c>
      <c r="O32" s="18" t="n">
        <v>0</v>
      </c>
      <c r="P32" s="20" t="n">
        <v>0</v>
      </c>
      <c r="Q32" s="18" t="n">
        <v>16.0717912</v>
      </c>
      <c r="R32" s="20" t="n">
        <v>1.71392759</v>
      </c>
    </row>
    <row r="33" spans="1:18">
      <c r="A33" s="15" t="s">
        <v>593</v>
      </c>
      <c r="B33" s="17" t="n">
        <v>3674</v>
      </c>
      <c r="C33" s="18">
        <f>(2867.0/B33*100)</f>
        <v/>
      </c>
      <c r="D33" s="19" t="n">
        <v>807</v>
      </c>
      <c r="E33" s="18" t="n">
        <v>79.51778326</v>
      </c>
      <c r="F33" s="20" t="n">
        <v>1.73394007</v>
      </c>
      <c r="G33" s="18" t="n">
        <v>4.37352949</v>
      </c>
      <c r="H33" s="20" t="n">
        <v>0.63280182</v>
      </c>
      <c r="I33" s="18" t="s">
        <v>567</v>
      </c>
      <c r="J33" s="20" t="s">
        <v>567</v>
      </c>
      <c r="K33" s="18" t="n">
        <v>0.24433487</v>
      </c>
      <c r="L33" s="20" t="n">
        <v>0.29177303</v>
      </c>
      <c r="M33" s="18" t="n">
        <v>0.49287167</v>
      </c>
      <c r="N33" s="20" t="n">
        <v>0.2800943</v>
      </c>
      <c r="O33" s="18" t="n">
        <v>0</v>
      </c>
      <c r="P33" s="20" t="n">
        <v>0</v>
      </c>
      <c r="Q33" s="18" t="n">
        <v>15.37148071</v>
      </c>
      <c r="R33" s="20" t="n">
        <v>1.62499378</v>
      </c>
    </row>
    <row r="34" spans="1:18">
      <c r="A34" s="15" t="s">
        <v>594</v>
      </c>
      <c r="B34" s="17" t="n">
        <v>3315</v>
      </c>
      <c r="C34" s="18">
        <f>(2583.0/B34*100)</f>
        <v/>
      </c>
      <c r="D34" s="19" t="n">
        <v>732</v>
      </c>
      <c r="E34" s="18" t="n">
        <v>57.94497768</v>
      </c>
      <c r="F34" s="20" t="n">
        <v>1.73762766</v>
      </c>
      <c r="G34" s="18" t="n">
        <v>24.33909176</v>
      </c>
      <c r="H34" s="20" t="n">
        <v>1.50786187</v>
      </c>
      <c r="I34" s="18" t="s">
        <v>567</v>
      </c>
      <c r="J34" s="20" t="s">
        <v>567</v>
      </c>
      <c r="K34" s="18" t="n">
        <v>0</v>
      </c>
      <c r="L34" s="20" t="n">
        <v>0</v>
      </c>
      <c r="M34" s="18" t="n">
        <v>0.63537067</v>
      </c>
      <c r="N34" s="20" t="n">
        <v>0.35781903</v>
      </c>
      <c r="O34" s="18" t="n">
        <v>0</v>
      </c>
      <c r="P34" s="20" t="n">
        <v>0</v>
      </c>
      <c r="Q34" s="18" t="n">
        <v>17.08055989</v>
      </c>
      <c r="R34" s="20" t="n">
        <v>1.39692407</v>
      </c>
    </row>
    <row r="35" spans="1:18">
      <c r="A35" s="15" t="s">
        <v>595</v>
      </c>
      <c r="B35" s="17" t="n">
        <v>3505</v>
      </c>
      <c r="C35" s="18">
        <f>(2761.0/B35*100)</f>
        <v/>
      </c>
      <c r="D35" s="19" t="n">
        <v>744</v>
      </c>
      <c r="E35" s="18" t="n">
        <v>59.39159237</v>
      </c>
      <c r="F35" s="20" t="n">
        <v>1.87941753</v>
      </c>
      <c r="G35" s="18" t="n">
        <v>23.31852228</v>
      </c>
      <c r="H35" s="20" t="n">
        <v>1.93786449</v>
      </c>
      <c r="I35" s="18" t="s">
        <v>567</v>
      </c>
      <c r="J35" s="20" t="s">
        <v>567</v>
      </c>
      <c r="K35" s="18" t="n">
        <v>0.96210966</v>
      </c>
      <c r="L35" s="20" t="n">
        <v>0.7285176799999999</v>
      </c>
      <c r="M35" s="18" t="n">
        <v>0.46875782</v>
      </c>
      <c r="N35" s="20" t="n">
        <v>0.31734299</v>
      </c>
      <c r="O35" s="18" t="n">
        <v>0</v>
      </c>
      <c r="P35" s="20" t="n">
        <v>0</v>
      </c>
      <c r="Q35" s="18" t="n">
        <v>15.85901788</v>
      </c>
      <c r="R35" s="20" t="n">
        <v>1.67083295</v>
      </c>
    </row>
    <row r="36" spans="1:18">
      <c r="A36" s="15" t="s">
        <v>596</v>
      </c>
      <c r="B36" s="17" t="n">
        <v>3332</v>
      </c>
      <c r="C36" s="18">
        <f>(2614.0/B36*100)</f>
        <v/>
      </c>
      <c r="D36" s="19" t="n">
        <v>718</v>
      </c>
      <c r="E36" s="18" t="n">
        <v>81.56878497</v>
      </c>
      <c r="F36" s="20" t="n">
        <v>1.67736006</v>
      </c>
      <c r="G36" s="18" t="n">
        <v>5.63319495</v>
      </c>
      <c r="H36" s="20" t="n">
        <v>0.93071523</v>
      </c>
      <c r="I36" s="18" t="s">
        <v>567</v>
      </c>
      <c r="J36" s="20" t="s">
        <v>567</v>
      </c>
      <c r="K36" s="18" t="n">
        <v>0.19812371</v>
      </c>
      <c r="L36" s="20" t="n">
        <v>0.2083328</v>
      </c>
      <c r="M36" s="18" t="n">
        <v>0.29783965</v>
      </c>
      <c r="N36" s="20" t="n">
        <v>0.22526137</v>
      </c>
      <c r="O36" s="18" t="n">
        <v>0</v>
      </c>
      <c r="P36" s="20" t="n">
        <v>0</v>
      </c>
      <c r="Q36" s="18" t="n">
        <v>12.30205671</v>
      </c>
      <c r="R36" s="20" t="n">
        <v>1.54030095</v>
      </c>
    </row>
    <row r="37" spans="1:18">
      <c r="A37" s="15" t="s">
        <v>597</v>
      </c>
      <c r="B37" s="17" t="n">
        <v>2727</v>
      </c>
      <c r="C37" s="18">
        <f>(2119.0/B37*100)</f>
        <v/>
      </c>
      <c r="D37" s="19" t="n">
        <v>608</v>
      </c>
      <c r="E37" s="18" t="n">
        <v>66.51207153</v>
      </c>
      <c r="F37" s="20" t="n">
        <v>2.16444426</v>
      </c>
      <c r="G37" s="18" t="n">
        <v>15.52020253</v>
      </c>
      <c r="H37" s="20" t="n">
        <v>1.57101774</v>
      </c>
      <c r="I37" s="18" t="s">
        <v>567</v>
      </c>
      <c r="J37" s="20" t="s">
        <v>567</v>
      </c>
      <c r="K37" s="18" t="n">
        <v>0.17428029</v>
      </c>
      <c r="L37" s="20" t="n">
        <v>0.17439196</v>
      </c>
      <c r="M37" s="18" t="n">
        <v>0</v>
      </c>
      <c r="N37" s="20" t="n">
        <v>0</v>
      </c>
      <c r="O37" s="18" t="n">
        <v>0</v>
      </c>
      <c r="P37" s="20" t="n">
        <v>0</v>
      </c>
      <c r="Q37" s="18" t="n">
        <v>17.79344565</v>
      </c>
      <c r="R37" s="20" t="n">
        <v>1.48628236</v>
      </c>
    </row>
    <row r="38" spans="1:18">
      <c r="A38" s="15" t="s">
        <v>598</v>
      </c>
      <c r="B38" s="17" t="n">
        <v>3053</v>
      </c>
      <c r="C38" s="18">
        <f>(2383.0/B38*100)</f>
        <v/>
      </c>
      <c r="D38" s="19" t="n">
        <v>670</v>
      </c>
      <c r="E38" s="18" t="n">
        <v>60.55226572</v>
      </c>
      <c r="F38" s="20" t="n">
        <v>2.37735004</v>
      </c>
      <c r="G38" s="18" t="n">
        <v>24.78958663</v>
      </c>
      <c r="H38" s="20" t="n">
        <v>2.2000428</v>
      </c>
      <c r="I38" s="18" t="s">
        <v>567</v>
      </c>
      <c r="J38" s="20" t="s">
        <v>567</v>
      </c>
      <c r="K38" s="18" t="n">
        <v>0</v>
      </c>
      <c r="L38" s="20" t="n">
        <v>0</v>
      </c>
      <c r="M38" s="18" t="n">
        <v>3.56594853</v>
      </c>
      <c r="N38" s="20" t="n">
        <v>0.8357004099999999</v>
      </c>
      <c r="O38" s="18" t="n">
        <v>0</v>
      </c>
      <c r="P38" s="20" t="n">
        <v>0</v>
      </c>
      <c r="Q38" s="18" t="n">
        <v>11.09219912</v>
      </c>
      <c r="R38" s="20" t="n">
        <v>1.36109139</v>
      </c>
    </row>
    <row r="39" spans="1:18">
      <c r="A39" s="15" t="s">
        <v>599</v>
      </c>
      <c r="B39" s="17" t="n">
        <v>2957</v>
      </c>
      <c r="C39" s="18">
        <f>(2297.0/B39*100)</f>
        <v/>
      </c>
      <c r="D39" s="19" t="n">
        <v>660</v>
      </c>
      <c r="E39" s="18" t="n">
        <v>83.46667979</v>
      </c>
      <c r="F39" s="20" t="n">
        <v>1.81119809</v>
      </c>
      <c r="G39" s="18" t="n">
        <v>5.47890149</v>
      </c>
      <c r="H39" s="20" t="n">
        <v>0.85672974</v>
      </c>
      <c r="I39" s="18" t="s">
        <v>567</v>
      </c>
      <c r="J39" s="20" t="s">
        <v>567</v>
      </c>
      <c r="K39" s="18" t="n">
        <v>0</v>
      </c>
      <c r="L39" s="20" t="n">
        <v>0</v>
      </c>
      <c r="M39" s="18" t="n">
        <v>0</v>
      </c>
      <c r="N39" s="20" t="n">
        <v>0</v>
      </c>
      <c r="O39" s="18" t="n">
        <v>0</v>
      </c>
      <c r="P39" s="20" t="n">
        <v>0</v>
      </c>
      <c r="Q39" s="18" t="n">
        <v>11.05441872</v>
      </c>
      <c r="R39" s="20" t="n">
        <v>1.58910303</v>
      </c>
    </row>
    <row r="40" spans="1:18">
      <c r="A40" s="15" t="s">
        <v>600</v>
      </c>
      <c r="B40" s="17" t="n">
        <v>7235</v>
      </c>
      <c r="C40" s="18">
        <f>(5654.0/B40*100)</f>
        <v/>
      </c>
      <c r="D40" s="19" t="n">
        <v>1581</v>
      </c>
      <c r="E40" s="18" t="n">
        <v>71.24835541</v>
      </c>
      <c r="F40" s="20" t="n">
        <v>1.64598528</v>
      </c>
      <c r="G40" s="18" t="n">
        <v>19.00974786</v>
      </c>
      <c r="H40" s="20" t="n">
        <v>1.55831831</v>
      </c>
      <c r="I40" s="18" t="s">
        <v>567</v>
      </c>
      <c r="J40" s="20" t="s">
        <v>567</v>
      </c>
      <c r="K40" s="18" t="n">
        <v>0.42652178</v>
      </c>
      <c r="L40" s="20" t="n">
        <v>0.29617249</v>
      </c>
      <c r="M40" s="18" t="n">
        <v>0</v>
      </c>
      <c r="N40" s="20" t="n">
        <v>0</v>
      </c>
      <c r="O40" s="18" t="n">
        <v>0</v>
      </c>
      <c r="P40" s="20" t="n">
        <v>0</v>
      </c>
      <c r="Q40" s="18" t="n">
        <v>9.31537494</v>
      </c>
      <c r="R40" s="20" t="n">
        <v>1.15673184</v>
      </c>
    </row>
    <row r="41" spans="1:18">
      <c r="A41" s="15" t="s">
        <v>601</v>
      </c>
      <c r="B41" s="17" t="n">
        <v>2858</v>
      </c>
      <c r="C41" s="18">
        <f>(2252.0/B41*100)</f>
        <v/>
      </c>
      <c r="D41" s="19" t="n">
        <v>606</v>
      </c>
      <c r="E41" s="18" t="n">
        <v>89.54589661999999</v>
      </c>
      <c r="F41" s="20" t="n">
        <v>1.26179241</v>
      </c>
      <c r="G41" s="18" t="n">
        <v>6.90223665</v>
      </c>
      <c r="H41" s="20" t="n">
        <v>1.10790846</v>
      </c>
      <c r="I41" s="18" t="s">
        <v>567</v>
      </c>
      <c r="J41" s="20" t="s">
        <v>567</v>
      </c>
      <c r="K41" s="18" t="n">
        <v>0.06728763</v>
      </c>
      <c r="L41" s="20" t="n">
        <v>0.06766502000000001</v>
      </c>
      <c r="M41" s="18" t="n">
        <v>0</v>
      </c>
      <c r="N41" s="20" t="n">
        <v>0</v>
      </c>
      <c r="O41" s="18" t="n">
        <v>0</v>
      </c>
      <c r="P41" s="20" t="n">
        <v>0</v>
      </c>
      <c r="Q41" s="18" t="n">
        <v>3.4845791</v>
      </c>
      <c r="R41" s="20" t="n">
        <v>0.71222654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(8901.0/B46*100)</f>
        <v/>
      </c>
      <c r="D46" s="19" t="n">
        <v>2167</v>
      </c>
      <c r="E46" s="18" t="n">
        <v>76.59162243</v>
      </c>
      <c r="F46" s="20" t="n">
        <v>1.28275817</v>
      </c>
      <c r="G46" s="18" t="n">
        <v>1.57157387</v>
      </c>
      <c r="H46" s="20" t="n">
        <v>0.30414056</v>
      </c>
      <c r="I46" s="18" t="s">
        <v>567</v>
      </c>
      <c r="J46" s="20" t="s">
        <v>567</v>
      </c>
      <c r="K46" s="18" t="n">
        <v>0.60053628</v>
      </c>
      <c r="L46" s="20" t="n">
        <v>0.20112886</v>
      </c>
      <c r="M46" s="18" t="n">
        <v>0.8686355</v>
      </c>
      <c r="N46" s="20" t="n">
        <v>0.30953507</v>
      </c>
      <c r="O46" s="18" t="n">
        <v>0</v>
      </c>
      <c r="P46" s="20" t="n">
        <v>0</v>
      </c>
      <c r="Q46" s="18" t="n">
        <v>20.36763192</v>
      </c>
      <c r="R46" s="20" t="n">
        <v>1.2325579</v>
      </c>
    </row>
    <row r="47" spans="1:18">
      <c r="A47" s="15" t="s">
        <v>607</v>
      </c>
      <c r="B47" s="17" t="n">
        <v>3105</v>
      </c>
      <c r="C47" s="18">
        <f>(2395.0/B47*100)</f>
        <v/>
      </c>
      <c r="D47" s="19" t="n">
        <v>710</v>
      </c>
      <c r="E47" s="18" t="n">
        <v>59.74944283</v>
      </c>
      <c r="F47" s="20" t="n">
        <v>2.34394007</v>
      </c>
      <c r="G47" s="18" t="n">
        <v>10.23131732</v>
      </c>
      <c r="H47" s="20" t="n">
        <v>1.09931098</v>
      </c>
      <c r="I47" s="18" t="s">
        <v>567</v>
      </c>
      <c r="J47" s="20" t="s">
        <v>567</v>
      </c>
      <c r="K47" s="18" t="n">
        <v>0</v>
      </c>
      <c r="L47" s="20" t="n">
        <v>0</v>
      </c>
      <c r="M47" s="18" t="n">
        <v>0.14238196</v>
      </c>
      <c r="N47" s="20" t="n">
        <v>0.1350735</v>
      </c>
      <c r="O47" s="18" t="n">
        <v>0</v>
      </c>
      <c r="P47" s="20" t="n">
        <v>0</v>
      </c>
      <c r="Q47" s="18" t="n">
        <v>29.8768579</v>
      </c>
      <c r="R47" s="20" t="n">
        <v>2.30942992</v>
      </c>
    </row>
    <row r="48" spans="1:18">
      <c r="A48" s="15" t="s">
        <v>608</v>
      </c>
      <c r="B48" s="17" t="n">
        <v>5159</v>
      </c>
      <c r="C48" s="18">
        <f>(3966.0/B48*100)</f>
        <v/>
      </c>
      <c r="D48" s="19" t="n">
        <v>1193</v>
      </c>
      <c r="E48" s="18" t="n">
        <v>38.28062524</v>
      </c>
      <c r="F48" s="20" t="n">
        <v>2.03725117</v>
      </c>
      <c r="G48" s="18" t="n">
        <v>49.61194016</v>
      </c>
      <c r="H48" s="20" t="n">
        <v>2.25799463</v>
      </c>
      <c r="I48" s="18" t="s">
        <v>567</v>
      </c>
      <c r="J48" s="20" t="s">
        <v>567</v>
      </c>
      <c r="K48" s="18" t="n">
        <v>0.05355702</v>
      </c>
      <c r="L48" s="20" t="n">
        <v>0.05369875</v>
      </c>
      <c r="M48" s="18" t="n">
        <v>0</v>
      </c>
      <c r="N48" s="20" t="n">
        <v>0</v>
      </c>
      <c r="O48" s="18" t="n">
        <v>0</v>
      </c>
      <c r="P48" s="20" t="n">
        <v>0</v>
      </c>
      <c r="Q48" s="18" t="n">
        <v>12.05387758</v>
      </c>
      <c r="R48" s="20" t="n">
        <v>1.32983162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(4418.0/B50*100)</f>
        <v/>
      </c>
      <c r="D50" s="19" t="n">
        <v>1219</v>
      </c>
      <c r="E50" s="18" t="n">
        <v>89.89112584999999</v>
      </c>
      <c r="F50" s="20" t="n">
        <v>1.23338651</v>
      </c>
      <c r="G50" s="18" t="n">
        <v>4.00119358</v>
      </c>
      <c r="H50" s="20" t="n">
        <v>0.8018058300000001</v>
      </c>
      <c r="I50" s="18" t="s">
        <v>567</v>
      </c>
      <c r="J50" s="20" t="s">
        <v>567</v>
      </c>
      <c r="K50" s="18" t="n">
        <v>0.01908641</v>
      </c>
      <c r="L50" s="20" t="n">
        <v>0.01740415</v>
      </c>
      <c r="M50" s="18" t="n">
        <v>0.20068597</v>
      </c>
      <c r="N50" s="20" t="n">
        <v>0.2343188</v>
      </c>
      <c r="O50" s="18" t="n">
        <v>0</v>
      </c>
      <c r="P50" s="20" t="n">
        <v>0</v>
      </c>
      <c r="Q50" s="18" t="n">
        <v>5.88790819</v>
      </c>
      <c r="R50" s="20" t="n">
        <v>0.98598186</v>
      </c>
    </row>
    <row r="51" spans="1:18">
      <c r="A51" s="15" t="s">
        <v>611</v>
      </c>
      <c r="B51" s="17" t="n">
        <v>3372</v>
      </c>
      <c r="C51" s="18">
        <f>(2723.0/B51*100)</f>
        <v/>
      </c>
      <c r="D51" s="19" t="n">
        <v>649</v>
      </c>
      <c r="E51" s="18" t="n">
        <v>85.92891285</v>
      </c>
      <c r="F51" s="20" t="n">
        <v>1.30755246</v>
      </c>
      <c r="G51" s="18" t="n">
        <v>6.35613424</v>
      </c>
      <c r="H51" s="20" t="n">
        <v>0.94587163</v>
      </c>
      <c r="I51" s="18" t="s">
        <v>567</v>
      </c>
      <c r="J51" s="20" t="s">
        <v>567</v>
      </c>
      <c r="K51" s="18" t="n">
        <v>0</v>
      </c>
      <c r="L51" s="20" t="n">
        <v>0</v>
      </c>
      <c r="M51" s="18" t="n">
        <v>0.33130493</v>
      </c>
      <c r="N51" s="20" t="n">
        <v>0.32272189</v>
      </c>
      <c r="O51" s="18" t="n">
        <v>0</v>
      </c>
      <c r="P51" s="20" t="n">
        <v>0</v>
      </c>
      <c r="Q51" s="18" t="n">
        <v>7.38364798</v>
      </c>
      <c r="R51" s="20" t="n">
        <v>1.07571787</v>
      </c>
    </row>
    <row r="52" spans="1:18">
      <c r="A52" s="15" t="s">
        <v>612</v>
      </c>
      <c r="B52" s="17" t="n">
        <v>2796</v>
      </c>
      <c r="C52" s="18">
        <f>(2207.0/B52*100)</f>
        <v/>
      </c>
      <c r="D52" s="19" t="n">
        <v>589</v>
      </c>
      <c r="E52" s="18" t="n">
        <v>58.42731286</v>
      </c>
      <c r="F52" s="20" t="n">
        <v>2.28200981</v>
      </c>
      <c r="G52" s="18" t="n">
        <v>18.14947827</v>
      </c>
      <c r="H52" s="20" t="n">
        <v>1.85212045</v>
      </c>
      <c r="I52" s="18" t="s">
        <v>567</v>
      </c>
      <c r="J52" s="20" t="s">
        <v>567</v>
      </c>
      <c r="K52" s="18" t="n">
        <v>0</v>
      </c>
      <c r="L52" s="20" t="n">
        <v>0</v>
      </c>
      <c r="M52" s="18" t="n">
        <v>0</v>
      </c>
      <c r="N52" s="20" t="n">
        <v>0</v>
      </c>
      <c r="O52" s="18" t="n">
        <v>0</v>
      </c>
      <c r="P52" s="20" t="n">
        <v>0</v>
      </c>
      <c r="Q52" s="18" t="n">
        <v>23.42320887</v>
      </c>
      <c r="R52" s="20" t="n">
        <v>1.63168324</v>
      </c>
    </row>
    <row r="53" spans="1:18">
      <c r="A53" s="15" t="s">
        <v>613</v>
      </c>
      <c r="B53" s="17" t="n">
        <v>2811</v>
      </c>
      <c r="C53" s="18">
        <f>(2198.0/B53*100)</f>
        <v/>
      </c>
      <c r="D53" s="19" t="n">
        <v>613</v>
      </c>
      <c r="E53" s="18" t="n">
        <v>70.41713643</v>
      </c>
      <c r="F53" s="20" t="n">
        <v>2.06534292</v>
      </c>
      <c r="G53" s="18" t="n">
        <v>6.93599541</v>
      </c>
      <c r="H53" s="20" t="n">
        <v>1.19280584</v>
      </c>
      <c r="I53" s="18" t="s">
        <v>567</v>
      </c>
      <c r="J53" s="20" t="s">
        <v>567</v>
      </c>
      <c r="K53" s="18" t="n">
        <v>0.36331261</v>
      </c>
      <c r="L53" s="20" t="n">
        <v>0.20864315</v>
      </c>
      <c r="M53" s="18" t="n">
        <v>0.23230559</v>
      </c>
      <c r="N53" s="20" t="n">
        <v>0.23396313</v>
      </c>
      <c r="O53" s="18" t="n">
        <v>0</v>
      </c>
      <c r="P53" s="20" t="n">
        <v>0</v>
      </c>
      <c r="Q53" s="18" t="n">
        <v>22.05124996</v>
      </c>
      <c r="R53" s="20" t="n">
        <v>1.82923578</v>
      </c>
    </row>
    <row r="54" spans="1:18">
      <c r="A54" s="15" t="s">
        <v>614</v>
      </c>
      <c r="B54" s="17" t="n">
        <v>2266</v>
      </c>
      <c r="C54" s="18">
        <f>(1774.0/B54*100)</f>
        <v/>
      </c>
      <c r="D54" s="19" t="n">
        <v>492</v>
      </c>
      <c r="E54" s="18" t="n">
        <v>73.26741174</v>
      </c>
      <c r="F54" s="20" t="n">
        <v>2.61744549</v>
      </c>
      <c r="G54" s="18" t="n">
        <v>0.89594998</v>
      </c>
      <c r="H54" s="20" t="n">
        <v>0.38478837</v>
      </c>
      <c r="I54" s="18" t="s">
        <v>567</v>
      </c>
      <c r="J54" s="20" t="s">
        <v>567</v>
      </c>
      <c r="K54" s="18" t="n">
        <v>7.74162878</v>
      </c>
      <c r="L54" s="20" t="n">
        <v>1.36109496</v>
      </c>
      <c r="M54" s="18" t="n">
        <v>0.61395628</v>
      </c>
      <c r="N54" s="20" t="n">
        <v>0.49215828</v>
      </c>
      <c r="O54" s="18" t="n">
        <v>0</v>
      </c>
      <c r="P54" s="20" t="n">
        <v>0</v>
      </c>
      <c r="Q54" s="18" t="n">
        <v>17.48105322</v>
      </c>
      <c r="R54" s="20" t="n">
        <v>1.9719752</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(2100.0/B56*100)</f>
        <v/>
      </c>
      <c r="D56" s="19" t="n">
        <v>584</v>
      </c>
      <c r="E56" s="18" t="n">
        <v>41.66627701</v>
      </c>
      <c r="F56" s="20" t="n">
        <v>2.22320451</v>
      </c>
      <c r="G56" s="18" t="n">
        <v>49.89462524</v>
      </c>
      <c r="H56" s="20" t="n">
        <v>2.43594506</v>
      </c>
      <c r="I56" s="18" t="s">
        <v>567</v>
      </c>
      <c r="J56" s="20" t="s">
        <v>567</v>
      </c>
      <c r="K56" s="18" t="n">
        <v>0.14395059</v>
      </c>
      <c r="L56" s="20" t="n">
        <v>0.14270379</v>
      </c>
      <c r="M56" s="18" t="n">
        <v>0</v>
      </c>
      <c r="N56" s="20" t="n">
        <v>0</v>
      </c>
      <c r="O56" s="18" t="n">
        <v>0</v>
      </c>
      <c r="P56" s="20" t="n">
        <v>0</v>
      </c>
      <c r="Q56" s="18" t="n">
        <v>8.295147160000001</v>
      </c>
      <c r="R56" s="20" t="n">
        <v>1.24484749</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(2556.0/B61*100)</f>
        <v/>
      </c>
      <c r="D61" s="19" t="n">
        <v>768</v>
      </c>
      <c r="E61" s="18" t="n">
        <v>68.26815963</v>
      </c>
      <c r="F61" s="20" t="n">
        <v>1.96945804</v>
      </c>
      <c r="G61" s="18" t="n">
        <v>15.28162873</v>
      </c>
      <c r="H61" s="20" t="n">
        <v>1.54532114</v>
      </c>
      <c r="I61" s="18" t="s">
        <v>567</v>
      </c>
      <c r="J61" s="20" t="s">
        <v>567</v>
      </c>
      <c r="K61" s="18" t="n">
        <v>0.16976622</v>
      </c>
      <c r="L61" s="20" t="n">
        <v>0.12038499</v>
      </c>
      <c r="M61" s="18" t="n">
        <v>0</v>
      </c>
      <c r="N61" s="20" t="n">
        <v>0</v>
      </c>
      <c r="O61" s="18" t="n">
        <v>0</v>
      </c>
      <c r="P61" s="20" t="n">
        <v>0</v>
      </c>
      <c r="Q61" s="18" t="n">
        <v>16.28044543</v>
      </c>
      <c r="R61" s="20" t="n">
        <v>1.58530653</v>
      </c>
    </row>
    <row r="62" spans="1:18">
      <c r="A62" s="15" t="s">
        <v>622</v>
      </c>
      <c r="B62" s="17" t="n">
        <v>2246</v>
      </c>
      <c r="C62" s="18">
        <f>(1758.0/B62*100)</f>
        <v/>
      </c>
      <c r="D62" s="19" t="n">
        <v>488</v>
      </c>
      <c r="E62" s="18" t="n">
        <v>47.25735076</v>
      </c>
      <c r="F62" s="20" t="n">
        <v>2.14010638</v>
      </c>
      <c r="G62" s="18" t="n">
        <v>46.77851726</v>
      </c>
      <c r="H62" s="20" t="n">
        <v>2.13681158</v>
      </c>
      <c r="I62" s="18" t="s">
        <v>567</v>
      </c>
      <c r="J62" s="20" t="s">
        <v>567</v>
      </c>
      <c r="K62" s="18" t="n">
        <v>0.21052296</v>
      </c>
      <c r="L62" s="20" t="n">
        <v>0.21050445</v>
      </c>
      <c r="M62" s="18" t="n">
        <v>0.20350607</v>
      </c>
      <c r="N62" s="20" t="n">
        <v>0.20231369</v>
      </c>
      <c r="O62" s="18" t="n">
        <v>0</v>
      </c>
      <c r="P62" s="20" t="n">
        <v>0</v>
      </c>
      <c r="Q62" s="18" t="n">
        <v>5.55010295</v>
      </c>
      <c r="R62" s="20" t="n">
        <v>1.02565905</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(2234.0/B66*100)</f>
        <v/>
      </c>
      <c r="D66" s="19" t="n">
        <v>660</v>
      </c>
      <c r="E66" s="18" t="n">
        <v>54.74248458</v>
      </c>
      <c r="F66" s="20" t="n">
        <v>1.90076011</v>
      </c>
      <c r="G66" s="18" t="n">
        <v>5.30014041</v>
      </c>
      <c r="H66" s="20" t="n">
        <v>0.99011083</v>
      </c>
      <c r="I66" s="18" t="s">
        <v>567</v>
      </c>
      <c r="J66" s="20" t="s">
        <v>567</v>
      </c>
      <c r="K66" s="18" t="n">
        <v>0.43232793</v>
      </c>
      <c r="L66" s="20" t="n">
        <v>0.24984272</v>
      </c>
      <c r="M66" s="18" t="n">
        <v>0.81428118</v>
      </c>
      <c r="N66" s="20" t="n">
        <v>0.33508654</v>
      </c>
      <c r="O66" s="18" t="n">
        <v>0</v>
      </c>
      <c r="P66" s="20" t="n">
        <v>0</v>
      </c>
      <c r="Q66" s="18" t="n">
        <v>38.7107659</v>
      </c>
      <c r="R66" s="20" t="n">
        <v>1.79609044</v>
      </c>
    </row>
    <row r="67" spans="1:18">
      <c r="A67" s="15" t="s">
        <v>627</v>
      </c>
      <c r="B67" s="17" t="n">
        <v>3511</v>
      </c>
      <c r="C67" s="18">
        <f>(2732.0/B67*100)</f>
        <v/>
      </c>
      <c r="D67" s="19" t="n">
        <v>779</v>
      </c>
      <c r="E67" s="18" t="n">
        <v>88.71005303</v>
      </c>
      <c r="F67" s="20" t="n">
        <v>1.22048804</v>
      </c>
      <c r="G67" s="18" t="n">
        <v>1.62961166</v>
      </c>
      <c r="H67" s="20" t="n">
        <v>0.4333975</v>
      </c>
      <c r="I67" s="18" t="s">
        <v>567</v>
      </c>
      <c r="J67" s="20" t="s">
        <v>567</v>
      </c>
      <c r="K67" s="18" t="n">
        <v>0.11534301</v>
      </c>
      <c r="L67" s="20" t="n">
        <v>0.11576756</v>
      </c>
      <c r="M67" s="18" t="n">
        <v>0</v>
      </c>
      <c r="N67" s="20" t="n">
        <v>0</v>
      </c>
      <c r="O67" s="18" t="n">
        <v>0</v>
      </c>
      <c r="P67" s="20" t="n">
        <v>0</v>
      </c>
      <c r="Q67" s="18" t="n">
        <v>9.54499231</v>
      </c>
      <c r="R67" s="20" t="n">
        <v>1.16326583</v>
      </c>
    </row>
    <row r="68" spans="1:18">
      <c r="A68" s="15" t="s">
        <v>628</v>
      </c>
      <c r="B68" s="17" t="n">
        <v>6049</v>
      </c>
      <c r="C68" s="18">
        <f>(4693.0/B68*100)</f>
        <v/>
      </c>
      <c r="D68" s="19" t="n">
        <v>1356</v>
      </c>
      <c r="E68" s="18" t="n">
        <v>71.62299096</v>
      </c>
      <c r="F68" s="20" t="n">
        <v>1.31754409</v>
      </c>
      <c r="G68" s="18" t="n">
        <v>11.46184426</v>
      </c>
      <c r="H68" s="20" t="n">
        <v>0.90201866</v>
      </c>
      <c r="I68" s="18" t="s">
        <v>567</v>
      </c>
      <c r="J68" s="20" t="s">
        <v>567</v>
      </c>
      <c r="K68" s="18" t="n">
        <v>0.65048188</v>
      </c>
      <c r="L68" s="20" t="n">
        <v>0.2305956</v>
      </c>
      <c r="M68" s="18" t="n">
        <v>0</v>
      </c>
      <c r="N68" s="20" t="n">
        <v>0</v>
      </c>
      <c r="O68" s="18" t="n">
        <v>0</v>
      </c>
      <c r="P68" s="20" t="n">
        <v>0</v>
      </c>
      <c r="Q68" s="18" t="n">
        <v>16.2646829</v>
      </c>
      <c r="R68" s="20" t="n">
        <v>1.04972214</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(2268.0/B70*100)</f>
        <v/>
      </c>
      <c r="D70" s="19" t="n">
        <v>661</v>
      </c>
      <c r="E70" s="18" t="n">
        <v>69.85477890999999</v>
      </c>
      <c r="F70" s="20" t="n">
        <v>2.0591715</v>
      </c>
      <c r="G70" s="18" t="n">
        <v>15.61546607</v>
      </c>
      <c r="H70" s="20" t="n">
        <v>1.56024059</v>
      </c>
      <c r="I70" s="18" t="s">
        <v>567</v>
      </c>
      <c r="J70" s="20" t="s">
        <v>567</v>
      </c>
      <c r="K70" s="18" t="n">
        <v>0</v>
      </c>
      <c r="L70" s="20" t="n">
        <v>0</v>
      </c>
      <c r="M70" s="18" t="n">
        <v>0.16944515</v>
      </c>
      <c r="N70" s="20" t="n">
        <v>0.17016863</v>
      </c>
      <c r="O70" s="18" t="n">
        <v>0</v>
      </c>
      <c r="P70" s="20" t="n">
        <v>0</v>
      </c>
      <c r="Q70" s="18" t="n">
        <v>14.36030987</v>
      </c>
      <c r="R70" s="20" t="n">
        <v>1.54357206</v>
      </c>
    </row>
    <row r="71" spans="1:18">
      <c r="A71" s="15" t="s">
        <v>631</v>
      </c>
      <c r="B71" s="17" t="n">
        <v>3142</v>
      </c>
      <c r="C71" s="18">
        <f>(2439.0/B71*100)</f>
        <v/>
      </c>
      <c r="D71" s="19" t="n">
        <v>703</v>
      </c>
      <c r="E71" s="18" t="n">
        <v>63.32823914</v>
      </c>
      <c r="F71" s="20" t="n">
        <v>1.86335727</v>
      </c>
      <c r="G71" s="18" t="n">
        <v>32.7391126</v>
      </c>
      <c r="H71" s="20" t="n">
        <v>1.90347902</v>
      </c>
      <c r="I71" s="18" t="s">
        <v>567</v>
      </c>
      <c r="J71" s="20" t="s">
        <v>567</v>
      </c>
      <c r="K71" s="18" t="n">
        <v>0.18869447</v>
      </c>
      <c r="L71" s="20" t="n">
        <v>0.13759489</v>
      </c>
      <c r="M71" s="18" t="n">
        <v>0</v>
      </c>
      <c r="N71" s="20" t="n">
        <v>0</v>
      </c>
      <c r="O71" s="18" t="n">
        <v>0</v>
      </c>
      <c r="P71" s="20" t="n">
        <v>0</v>
      </c>
      <c r="Q71" s="18" t="n">
        <v>3.74395379</v>
      </c>
      <c r="R71" s="20" t="n">
        <v>0.7399602</v>
      </c>
    </row>
    <row r="72" spans="1:18">
      <c r="A72" s="15" t="s">
        <v>632</v>
      </c>
      <c r="B72" s="17" t="n">
        <v>3889</v>
      </c>
      <c r="C72" s="18">
        <f>(3036.0/B72*100)</f>
        <v/>
      </c>
      <c r="D72" s="19" t="n">
        <v>853</v>
      </c>
      <c r="E72" s="18" t="n">
        <v>28.93905555</v>
      </c>
      <c r="F72" s="20" t="n">
        <v>1.75742831</v>
      </c>
      <c r="G72" s="18" t="n">
        <v>62.15430337</v>
      </c>
      <c r="H72" s="20" t="n">
        <v>2.04726174</v>
      </c>
      <c r="I72" s="18" t="s">
        <v>567</v>
      </c>
      <c r="J72" s="20" t="s">
        <v>567</v>
      </c>
      <c r="K72" s="18" t="n">
        <v>0</v>
      </c>
      <c r="L72" s="20" t="n">
        <v>0</v>
      </c>
      <c r="M72" s="18" t="n">
        <v>0</v>
      </c>
      <c r="N72" s="20" t="n">
        <v>0</v>
      </c>
      <c r="O72" s="18" t="n">
        <v>0</v>
      </c>
      <c r="P72" s="20" t="n">
        <v>0</v>
      </c>
      <c r="Q72" s="18" t="n">
        <v>8.906641090000001</v>
      </c>
      <c r="R72" s="20" t="n">
        <v>1.00566487</v>
      </c>
    </row>
    <row r="73" spans="1:18">
      <c r="A73" s="15" t="s">
        <v>633</v>
      </c>
      <c r="B73" s="17" t="n">
        <v>3597</v>
      </c>
      <c r="C73" s="18">
        <f>(2806.0/B73*100)</f>
        <v/>
      </c>
      <c r="D73" s="19" t="n">
        <v>791</v>
      </c>
      <c r="E73" s="18" t="n">
        <v>87.17620051999999</v>
      </c>
      <c r="F73" s="20" t="n">
        <v>1.50306476</v>
      </c>
      <c r="G73" s="18" t="n">
        <v>8.38126037</v>
      </c>
      <c r="H73" s="20" t="n">
        <v>1.17813939</v>
      </c>
      <c r="I73" s="18" t="s">
        <v>567</v>
      </c>
      <c r="J73" s="20" t="s">
        <v>567</v>
      </c>
      <c r="K73" s="18" t="n">
        <v>0</v>
      </c>
      <c r="L73" s="20" t="n">
        <v>0</v>
      </c>
      <c r="M73" s="18" t="n">
        <v>0.18957136</v>
      </c>
      <c r="N73" s="20" t="n">
        <v>0.17466755</v>
      </c>
      <c r="O73" s="18" t="n">
        <v>0</v>
      </c>
      <c r="P73" s="20" t="n">
        <v>0</v>
      </c>
      <c r="Q73" s="18" t="n">
        <v>4.25296775</v>
      </c>
      <c r="R73" s="20" t="n">
        <v>0.96576235</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(1891.0/B75*100)</f>
        <v/>
      </c>
      <c r="D75" s="19" t="n">
        <v>515</v>
      </c>
      <c r="E75" s="18" t="n">
        <v>65.36668059</v>
      </c>
      <c r="F75" s="20" t="n">
        <v>2.21390767</v>
      </c>
      <c r="G75" s="18" t="n">
        <v>1.81800817</v>
      </c>
      <c r="H75" s="20" t="n">
        <v>0.50028815</v>
      </c>
      <c r="I75" s="18" t="s">
        <v>567</v>
      </c>
      <c r="J75" s="20" t="s">
        <v>567</v>
      </c>
      <c r="K75" s="18" t="n">
        <v>0.33251605</v>
      </c>
      <c r="L75" s="20" t="n">
        <v>0.24620826</v>
      </c>
      <c r="M75" s="18" t="n">
        <v>0.5732841400000001</v>
      </c>
      <c r="N75" s="20" t="n">
        <v>0.3342535</v>
      </c>
      <c r="O75" s="18" t="n">
        <v>0</v>
      </c>
      <c r="P75" s="20" t="n">
        <v>0</v>
      </c>
      <c r="Q75" s="18" t="n">
        <v>31.90951105</v>
      </c>
      <c r="R75" s="20" t="n">
        <v>2.07186798</v>
      </c>
    </row>
    <row r="76" spans="1:18">
      <c r="A76" s="15" t="s">
        <v>636</v>
      </c>
      <c r="B76" s="17" t="n">
        <v>7052</v>
      </c>
      <c r="C76" s="18">
        <f>(5495.0/B76*100)</f>
        <v/>
      </c>
      <c r="D76" s="19" t="n">
        <v>1557</v>
      </c>
      <c r="E76" s="18" t="n">
        <v>78.04364753</v>
      </c>
      <c r="F76" s="20" t="n">
        <v>1.77678481</v>
      </c>
      <c r="G76" s="18" t="n">
        <v>14.62215891</v>
      </c>
      <c r="H76" s="20" t="n">
        <v>1.62710912</v>
      </c>
      <c r="I76" s="18" t="s">
        <v>567</v>
      </c>
      <c r="J76" s="20" t="s">
        <v>567</v>
      </c>
      <c r="K76" s="18" t="n">
        <v>0.75869946</v>
      </c>
      <c r="L76" s="20" t="n">
        <v>0.24310692</v>
      </c>
      <c r="M76" s="18" t="n">
        <v>0.03269443</v>
      </c>
      <c r="N76" s="20" t="n">
        <v>0.03265123</v>
      </c>
      <c r="O76" s="18" t="n">
        <v>0</v>
      </c>
      <c r="P76" s="20" t="n">
        <v>0</v>
      </c>
      <c r="Q76" s="18" t="n">
        <v>6.54279966</v>
      </c>
      <c r="R76" s="20" t="n">
        <v>0.61484433</v>
      </c>
    </row>
    <row r="77" spans="1:18">
      <c r="A77" s="15" t="s">
        <v>637</v>
      </c>
      <c r="B77" s="17" t="n">
        <v>2908</v>
      </c>
      <c r="C77" s="18">
        <f>(2330.0/B77*100)</f>
        <v/>
      </c>
      <c r="D77" s="19" t="n">
        <v>578</v>
      </c>
      <c r="E77" s="18" t="n">
        <v>77.62289282</v>
      </c>
      <c r="F77" s="20" t="n">
        <v>1.84043562</v>
      </c>
      <c r="G77" s="18" t="n">
        <v>4.98635606</v>
      </c>
      <c r="H77" s="20" t="n">
        <v>1.18276834</v>
      </c>
      <c r="I77" s="18" t="s">
        <v>567</v>
      </c>
      <c r="J77" s="20" t="s">
        <v>567</v>
      </c>
      <c r="K77" s="18" t="n">
        <v>0.9269428199999999</v>
      </c>
      <c r="L77" s="20" t="n">
        <v>0.43696615</v>
      </c>
      <c r="M77" s="18" t="n">
        <v>0.14339091</v>
      </c>
      <c r="N77" s="20" t="n">
        <v>0.16069314</v>
      </c>
      <c r="O77" s="18" t="n">
        <v>0</v>
      </c>
      <c r="P77" s="20" t="n">
        <v>0</v>
      </c>
      <c r="Q77" s="18" t="n">
        <v>16.32041739</v>
      </c>
      <c r="R77" s="20" t="n">
        <v>1.44584718</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(3262.0/B81*100)</f>
        <v/>
      </c>
      <c r="D81" s="19" t="n">
        <v>901</v>
      </c>
      <c r="E81" s="18" t="n">
        <v>87.31764583</v>
      </c>
      <c r="F81" s="20" t="n">
        <v>1.54871295</v>
      </c>
      <c r="G81" s="18" t="n">
        <v>9.08840698</v>
      </c>
      <c r="H81" s="20" t="n">
        <v>1.45476321</v>
      </c>
      <c r="I81" s="18" t="s">
        <v>567</v>
      </c>
      <c r="J81" s="20" t="s">
        <v>567</v>
      </c>
      <c r="K81" s="18" t="n">
        <v>0</v>
      </c>
      <c r="L81" s="20" t="n">
        <v>0</v>
      </c>
      <c r="M81" s="18" t="n">
        <v>0</v>
      </c>
      <c r="N81" s="20" t="n">
        <v>0</v>
      </c>
      <c r="O81" s="18" t="n">
        <v>0</v>
      </c>
      <c r="P81" s="20" t="n">
        <v>0</v>
      </c>
      <c r="Q81" s="18" t="n">
        <v>3.5939472</v>
      </c>
      <c r="R81" s="20" t="n">
        <v>0.83381071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(5709.0/B7*100)</f>
        <v/>
      </c>
      <c r="D7" s="19" t="n">
        <v>1658</v>
      </c>
      <c r="E7" s="18" t="n">
        <v>67.70456606</v>
      </c>
      <c r="F7" s="20" t="n">
        <v>1.33893976</v>
      </c>
      <c r="G7" s="18" t="n">
        <v>30.73879835</v>
      </c>
      <c r="H7" s="20" t="n">
        <v>1.33293776</v>
      </c>
      <c r="I7" s="18" t="s">
        <v>567</v>
      </c>
      <c r="J7" s="20" t="s">
        <v>567</v>
      </c>
      <c r="K7" s="18" t="n">
        <v>0.18061656</v>
      </c>
      <c r="L7" s="20" t="n">
        <v>0.11362987</v>
      </c>
      <c r="M7" s="18" t="n">
        <v>0</v>
      </c>
      <c r="N7" s="20" t="n">
        <v>0</v>
      </c>
      <c r="O7" s="18" t="n">
        <v>0</v>
      </c>
      <c r="P7" s="20" t="n">
        <v>0</v>
      </c>
      <c r="Q7" s="18" t="n">
        <v>1.37601903</v>
      </c>
      <c r="R7" s="20" t="n">
        <v>0.25034663</v>
      </c>
    </row>
    <row r="8" spans="1:18">
      <c r="A8" s="15" t="s">
        <v>568</v>
      </c>
      <c r="B8" s="17" t="n">
        <v>3564</v>
      </c>
      <c r="C8" s="18">
        <f>(2771.0/B8*100)</f>
        <v/>
      </c>
      <c r="D8" s="19" t="n">
        <v>793</v>
      </c>
      <c r="E8" s="18" t="n">
        <v>55.26127248</v>
      </c>
      <c r="F8" s="20" t="n">
        <v>2.03388479</v>
      </c>
      <c r="G8" s="18" t="n">
        <v>44.43095366</v>
      </c>
      <c r="H8" s="20" t="n">
        <v>2.0360173</v>
      </c>
      <c r="I8" s="18" t="s">
        <v>567</v>
      </c>
      <c r="J8" s="20" t="s">
        <v>567</v>
      </c>
      <c r="K8" s="18" t="n">
        <v>0</v>
      </c>
      <c r="L8" s="20" t="n">
        <v>0</v>
      </c>
      <c r="M8" s="18" t="n">
        <v>0</v>
      </c>
      <c r="N8" s="20" t="n">
        <v>0</v>
      </c>
      <c r="O8" s="18" t="n">
        <v>0</v>
      </c>
      <c r="P8" s="20" t="n">
        <v>0</v>
      </c>
      <c r="Q8" s="18" t="n">
        <v>0.30777386</v>
      </c>
      <c r="R8" s="20" t="n">
        <v>0.15524116</v>
      </c>
    </row>
    <row r="9" spans="1:18">
      <c r="A9" s="15" t="s">
        <v>569</v>
      </c>
      <c r="B9" s="17" t="n">
        <v>4899</v>
      </c>
      <c r="C9" s="18">
        <f>(3849.0/B9*100)</f>
        <v/>
      </c>
      <c r="D9" s="19" t="n">
        <v>1050</v>
      </c>
      <c r="E9" s="18" t="n">
        <v>60.71770945</v>
      </c>
      <c r="F9" s="20" t="n">
        <v>1.53580756</v>
      </c>
      <c r="G9" s="18" t="n">
        <v>37.88093299</v>
      </c>
      <c r="H9" s="20" t="n">
        <v>1.53338308</v>
      </c>
      <c r="I9" s="18" t="s">
        <v>567</v>
      </c>
      <c r="J9" s="20" t="s">
        <v>567</v>
      </c>
      <c r="K9" s="18" t="n">
        <v>0</v>
      </c>
      <c r="L9" s="20" t="n">
        <v>0</v>
      </c>
      <c r="M9" s="18" t="n">
        <v>0</v>
      </c>
      <c r="N9" s="20" t="n">
        <v>0</v>
      </c>
      <c r="O9" s="18" t="n">
        <v>0</v>
      </c>
      <c r="P9" s="20" t="n">
        <v>0</v>
      </c>
      <c r="Q9" s="18" t="n">
        <v>1.40135756</v>
      </c>
      <c r="R9" s="20" t="n">
        <v>0.36528188</v>
      </c>
    </row>
    <row r="10" spans="1:18">
      <c r="A10" s="15" t="s">
        <v>570</v>
      </c>
      <c r="B10" s="17" t="n">
        <v>10036</v>
      </c>
      <c r="C10" s="18">
        <f>(7746.0/B10*100)</f>
        <v/>
      </c>
      <c r="D10" s="19" t="n">
        <v>2290</v>
      </c>
      <c r="E10" s="18" t="n">
        <v>63.16268722</v>
      </c>
      <c r="F10" s="20" t="n">
        <v>1.49852838</v>
      </c>
      <c r="G10" s="18" t="n">
        <v>36.26130658</v>
      </c>
      <c r="H10" s="20" t="n">
        <v>1.47735542</v>
      </c>
      <c r="I10" s="18" t="s">
        <v>567</v>
      </c>
      <c r="J10" s="20" t="s">
        <v>567</v>
      </c>
      <c r="K10" s="18" t="n">
        <v>0</v>
      </c>
      <c r="L10" s="20" t="n">
        <v>0</v>
      </c>
      <c r="M10" s="18" t="n">
        <v>0</v>
      </c>
      <c r="N10" s="20" t="n">
        <v>0</v>
      </c>
      <c r="O10" s="18" t="n">
        <v>0</v>
      </c>
      <c r="P10" s="20" t="n">
        <v>0</v>
      </c>
      <c r="Q10" s="18" t="n">
        <v>0.5760062</v>
      </c>
      <c r="R10" s="20" t="n">
        <v>0.20814299</v>
      </c>
    </row>
    <row r="11" spans="1:18">
      <c r="A11" s="15" t="s">
        <v>571</v>
      </c>
      <c r="B11" s="17" t="n">
        <v>3553</v>
      </c>
      <c r="C11" s="18">
        <f>(2741.0/B11*100)</f>
        <v/>
      </c>
      <c r="D11" s="19" t="n">
        <v>812</v>
      </c>
      <c r="E11" s="18" t="n">
        <v>79.69764073</v>
      </c>
      <c r="F11" s="20" t="n">
        <v>1.76487503</v>
      </c>
      <c r="G11" s="18" t="n">
        <v>19.22355563</v>
      </c>
      <c r="H11" s="20" t="n">
        <v>1.75445796</v>
      </c>
      <c r="I11" s="18" t="s">
        <v>567</v>
      </c>
      <c r="J11" s="20" t="s">
        <v>567</v>
      </c>
      <c r="K11" s="18" t="n">
        <v>0</v>
      </c>
      <c r="L11" s="20" t="n">
        <v>0</v>
      </c>
      <c r="M11" s="18" t="n">
        <v>0</v>
      </c>
      <c r="N11" s="20" t="n">
        <v>0</v>
      </c>
      <c r="O11" s="18" t="n">
        <v>0</v>
      </c>
      <c r="P11" s="20" t="n">
        <v>0</v>
      </c>
      <c r="Q11" s="18" t="n">
        <v>1.07880364</v>
      </c>
      <c r="R11" s="20" t="n">
        <v>0.37185414</v>
      </c>
    </row>
    <row r="12" spans="1:18">
      <c r="A12" s="15" t="s">
        <v>572</v>
      </c>
      <c r="B12" s="17" t="n">
        <v>3472</v>
      </c>
      <c r="C12" s="18">
        <f>(2752.0/B12*100)</f>
        <v/>
      </c>
      <c r="D12" s="19" t="n">
        <v>720</v>
      </c>
      <c r="E12" s="18" t="n">
        <v>65.59375428</v>
      </c>
      <c r="F12" s="20" t="n">
        <v>1.83195683</v>
      </c>
      <c r="G12" s="18" t="n">
        <v>34.14917168</v>
      </c>
      <c r="H12" s="20" t="n">
        <v>1.80507255</v>
      </c>
      <c r="I12" s="18" t="s">
        <v>567</v>
      </c>
      <c r="J12" s="20" t="s">
        <v>567</v>
      </c>
      <c r="K12" s="18" t="n">
        <v>0</v>
      </c>
      <c r="L12" s="20" t="n">
        <v>0</v>
      </c>
      <c r="M12" s="18" t="n">
        <v>0</v>
      </c>
      <c r="N12" s="20" t="n">
        <v>0</v>
      </c>
      <c r="O12" s="18" t="n">
        <v>0</v>
      </c>
      <c r="P12" s="20" t="n">
        <v>0</v>
      </c>
      <c r="Q12" s="18" t="n">
        <v>0.25707404</v>
      </c>
      <c r="R12" s="20" t="n">
        <v>0.18369218</v>
      </c>
    </row>
    <row r="13" spans="1:18">
      <c r="A13" s="15" t="s">
        <v>573</v>
      </c>
      <c r="B13" s="17" t="n">
        <v>3559</v>
      </c>
      <c r="C13" s="18">
        <f>(2795.0/B13*100)</f>
        <v/>
      </c>
      <c r="D13" s="19" t="n">
        <v>764</v>
      </c>
      <c r="E13" s="18" t="n">
        <v>58.80812762</v>
      </c>
      <c r="F13" s="20" t="n">
        <v>1.94660069</v>
      </c>
      <c r="G13" s="18" t="n">
        <v>40.66371682</v>
      </c>
      <c r="H13" s="20" t="n">
        <v>2.00818632</v>
      </c>
      <c r="I13" s="18" t="s">
        <v>567</v>
      </c>
      <c r="J13" s="20" t="s">
        <v>567</v>
      </c>
      <c r="K13" s="18" t="n">
        <v>0.03843175</v>
      </c>
      <c r="L13" s="20" t="n">
        <v>0.03663331</v>
      </c>
      <c r="M13" s="18" t="n">
        <v>0</v>
      </c>
      <c r="N13" s="20" t="n">
        <v>0</v>
      </c>
      <c r="O13" s="18" t="n">
        <v>0</v>
      </c>
      <c r="P13" s="20" t="n">
        <v>0</v>
      </c>
      <c r="Q13" s="18" t="n">
        <v>0.48972381</v>
      </c>
      <c r="R13" s="20" t="n">
        <v>0.35792157</v>
      </c>
    </row>
    <row r="14" spans="1:18">
      <c r="A14" s="15" t="s">
        <v>574</v>
      </c>
      <c r="B14" s="17" t="n">
        <v>2799</v>
      </c>
      <c r="C14" s="18">
        <f>(2158.0/B14*100)</f>
        <v/>
      </c>
      <c r="D14" s="19" t="n">
        <v>641</v>
      </c>
      <c r="E14" s="18" t="n">
        <v>61.38489863</v>
      </c>
      <c r="F14" s="20" t="n">
        <v>1.89877063</v>
      </c>
      <c r="G14" s="18" t="n">
        <v>37.99236824</v>
      </c>
      <c r="H14" s="20" t="n">
        <v>1.89772037</v>
      </c>
      <c r="I14" s="18" t="s">
        <v>567</v>
      </c>
      <c r="J14" s="20" t="s">
        <v>567</v>
      </c>
      <c r="K14" s="18" t="n">
        <v>0.13842207</v>
      </c>
      <c r="L14" s="20" t="n">
        <v>0.13774777</v>
      </c>
      <c r="M14" s="18" t="n">
        <v>0</v>
      </c>
      <c r="N14" s="20" t="n">
        <v>0</v>
      </c>
      <c r="O14" s="18" t="n">
        <v>0</v>
      </c>
      <c r="P14" s="20" t="n">
        <v>0</v>
      </c>
      <c r="Q14" s="18" t="n">
        <v>0.48431105</v>
      </c>
      <c r="R14" s="20" t="n">
        <v>0.37543871</v>
      </c>
    </row>
    <row r="15" spans="1:18">
      <c r="A15" s="15" t="s">
        <v>575</v>
      </c>
      <c r="B15" s="17" t="n">
        <v>3019</v>
      </c>
      <c r="C15" s="18">
        <f>(2349.0/B15*100)</f>
        <v/>
      </c>
      <c r="D15" s="19" t="n">
        <v>670</v>
      </c>
      <c r="E15" s="18" t="n">
        <v>60.06737394</v>
      </c>
      <c r="F15" s="20" t="n">
        <v>1.94357846</v>
      </c>
      <c r="G15" s="18" t="n">
        <v>38.79978155</v>
      </c>
      <c r="H15" s="20" t="n">
        <v>1.81633752</v>
      </c>
      <c r="I15" s="18" t="s">
        <v>567</v>
      </c>
      <c r="J15" s="20" t="s">
        <v>567</v>
      </c>
      <c r="K15" s="18" t="n">
        <v>0.15372696</v>
      </c>
      <c r="L15" s="20" t="n">
        <v>0.15419184</v>
      </c>
      <c r="M15" s="18" t="n">
        <v>0</v>
      </c>
      <c r="N15" s="20" t="n">
        <v>0</v>
      </c>
      <c r="O15" s="18" t="n">
        <v>0</v>
      </c>
      <c r="P15" s="20" t="n">
        <v>0</v>
      </c>
      <c r="Q15" s="18" t="n">
        <v>0.97911755</v>
      </c>
      <c r="R15" s="20" t="n">
        <v>0.36624048</v>
      </c>
    </row>
    <row r="16" spans="1:18">
      <c r="A16" s="15" t="s">
        <v>576</v>
      </c>
      <c r="B16" s="17" t="n">
        <v>2997</v>
      </c>
      <c r="C16" s="18">
        <f>(2317.0/B16*100)</f>
        <v/>
      </c>
      <c r="D16" s="19" t="n">
        <v>680</v>
      </c>
      <c r="E16" s="18" t="n">
        <v>64.38692838</v>
      </c>
      <c r="F16" s="20" t="n">
        <v>1.6157762</v>
      </c>
      <c r="G16" s="18" t="n">
        <v>33.0906352</v>
      </c>
      <c r="H16" s="20" t="n">
        <v>1.607013</v>
      </c>
      <c r="I16" s="18" t="s">
        <v>567</v>
      </c>
      <c r="J16" s="20" t="s">
        <v>567</v>
      </c>
      <c r="K16" s="18" t="n">
        <v>0.16885478</v>
      </c>
      <c r="L16" s="20" t="n">
        <v>0.16451488</v>
      </c>
      <c r="M16" s="18" t="n">
        <v>0</v>
      </c>
      <c r="N16" s="20" t="n">
        <v>0</v>
      </c>
      <c r="O16" s="18" t="n">
        <v>0</v>
      </c>
      <c r="P16" s="20" t="n">
        <v>0</v>
      </c>
      <c r="Q16" s="18" t="n">
        <v>2.35358164</v>
      </c>
      <c r="R16" s="20" t="n">
        <v>0.53888862</v>
      </c>
    </row>
    <row r="17" spans="1:18">
      <c r="A17" s="15" t="s">
        <v>577</v>
      </c>
      <c r="B17" s="17" t="n">
        <v>3307</v>
      </c>
      <c r="C17" s="18">
        <f>(2552.0/B17*100)</f>
        <v/>
      </c>
      <c r="D17" s="19" t="n">
        <v>755</v>
      </c>
      <c r="E17" s="18" t="n">
        <v>56.82315517</v>
      </c>
      <c r="F17" s="20" t="n">
        <v>2.11836906</v>
      </c>
      <c r="G17" s="18" t="n">
        <v>42.71016473</v>
      </c>
      <c r="H17" s="20" t="n">
        <v>2.14306391</v>
      </c>
      <c r="I17" s="18" t="s">
        <v>567</v>
      </c>
      <c r="J17" s="20" t="s">
        <v>567</v>
      </c>
      <c r="K17" s="18" t="n">
        <v>0.13287496</v>
      </c>
      <c r="L17" s="20" t="n">
        <v>0.1324967</v>
      </c>
      <c r="M17" s="18" t="n">
        <v>0</v>
      </c>
      <c r="N17" s="20" t="n">
        <v>0</v>
      </c>
      <c r="O17" s="18" t="n">
        <v>0</v>
      </c>
      <c r="P17" s="20" t="n">
        <v>0</v>
      </c>
      <c r="Q17" s="18" t="n">
        <v>0.33380514</v>
      </c>
      <c r="R17" s="20" t="n">
        <v>0.19468459</v>
      </c>
    </row>
    <row r="18" spans="1:18">
      <c r="A18" s="15" t="s">
        <v>578</v>
      </c>
      <c r="B18" s="17" t="n">
        <v>2826</v>
      </c>
      <c r="C18" s="18">
        <f>(2214.0/B18*100)</f>
        <v/>
      </c>
      <c r="D18" s="19" t="n">
        <v>612</v>
      </c>
      <c r="E18" s="18" t="n">
        <v>74.45238268999999</v>
      </c>
      <c r="F18" s="20" t="n">
        <v>2.1417329</v>
      </c>
      <c r="G18" s="18" t="n">
        <v>24.90299487</v>
      </c>
      <c r="H18" s="20" t="n">
        <v>2.07695204</v>
      </c>
      <c r="I18" s="18" t="s">
        <v>567</v>
      </c>
      <c r="J18" s="20" t="s">
        <v>567</v>
      </c>
      <c r="K18" s="18" t="n">
        <v>0.16726073</v>
      </c>
      <c r="L18" s="20" t="n">
        <v>0.17368182</v>
      </c>
      <c r="M18" s="18" t="n">
        <v>0</v>
      </c>
      <c r="N18" s="20" t="n">
        <v>0</v>
      </c>
      <c r="O18" s="18" t="n">
        <v>0</v>
      </c>
      <c r="P18" s="20" t="n">
        <v>0</v>
      </c>
      <c r="Q18" s="18" t="n">
        <v>0.47736171</v>
      </c>
      <c r="R18" s="20" t="n">
        <v>0.31525626</v>
      </c>
    </row>
    <row r="19" spans="1:18">
      <c r="A19" s="15" t="s">
        <v>579</v>
      </c>
      <c r="B19" s="17" t="n">
        <v>2808</v>
      </c>
      <c r="C19" s="18">
        <f>(2198.0/B19*100)</f>
        <v/>
      </c>
      <c r="D19" s="19" t="n">
        <v>610</v>
      </c>
      <c r="E19" s="18" t="n">
        <v>65.92301808000001</v>
      </c>
      <c r="F19" s="20" t="n">
        <v>2.08751173</v>
      </c>
      <c r="G19" s="18" t="n">
        <v>32.88502774</v>
      </c>
      <c r="H19" s="20" t="n">
        <v>2.05272825</v>
      </c>
      <c r="I19" s="18" t="s">
        <v>567</v>
      </c>
      <c r="J19" s="20" t="s">
        <v>567</v>
      </c>
      <c r="K19" s="18" t="n">
        <v>0</v>
      </c>
      <c r="L19" s="20" t="n">
        <v>0</v>
      </c>
      <c r="M19" s="18" t="n">
        <v>0</v>
      </c>
      <c r="N19" s="20" t="n">
        <v>0</v>
      </c>
      <c r="O19" s="18" t="n">
        <v>0</v>
      </c>
      <c r="P19" s="20" t="n">
        <v>0</v>
      </c>
      <c r="Q19" s="18" t="n">
        <v>1.19195418</v>
      </c>
      <c r="R19" s="20" t="n">
        <v>0.42420102</v>
      </c>
    </row>
    <row r="20" spans="1:18">
      <c r="A20" s="15" t="s">
        <v>580</v>
      </c>
      <c r="B20" s="17" t="n">
        <v>1630</v>
      </c>
      <c r="C20" s="18">
        <f>(1256.0/B20*100)</f>
        <v/>
      </c>
      <c r="D20" s="19" t="n">
        <v>374</v>
      </c>
      <c r="E20" s="18" t="n">
        <v>72.49788306000001</v>
      </c>
      <c r="F20" s="20" t="n">
        <v>2.56705567</v>
      </c>
      <c r="G20" s="18" t="n">
        <v>25.82752868</v>
      </c>
      <c r="H20" s="20" t="n">
        <v>2.58035609</v>
      </c>
      <c r="I20" s="18" t="s">
        <v>567</v>
      </c>
      <c r="J20" s="20" t="s">
        <v>567</v>
      </c>
      <c r="K20" s="18" t="n">
        <v>0.2463374</v>
      </c>
      <c r="L20" s="20" t="n">
        <v>0.17296735</v>
      </c>
      <c r="M20" s="18" t="n">
        <v>0</v>
      </c>
      <c r="N20" s="20" t="n">
        <v>0</v>
      </c>
      <c r="O20" s="18" t="n">
        <v>0</v>
      </c>
      <c r="P20" s="20" t="n">
        <v>0</v>
      </c>
      <c r="Q20" s="18" t="n">
        <v>1.42825086</v>
      </c>
      <c r="R20" s="20" t="n">
        <v>0.63602672</v>
      </c>
    </row>
    <row r="21" spans="1:18">
      <c r="A21" s="15" t="s">
        <v>581</v>
      </c>
      <c r="B21" s="17" t="n">
        <v>2908</v>
      </c>
      <c r="C21" s="18">
        <f>(2285.0/B21*100)</f>
        <v/>
      </c>
      <c r="D21" s="19" t="n">
        <v>623</v>
      </c>
      <c r="E21" s="18" t="n">
        <v>73.17295188</v>
      </c>
      <c r="F21" s="20" t="n">
        <v>1.75149305</v>
      </c>
      <c r="G21" s="18" t="n">
        <v>25.76306597</v>
      </c>
      <c r="H21" s="20" t="n">
        <v>1.85118612</v>
      </c>
      <c r="I21" s="18" t="s">
        <v>567</v>
      </c>
      <c r="J21" s="20" t="s">
        <v>567</v>
      </c>
      <c r="K21" s="18" t="n">
        <v>0</v>
      </c>
      <c r="L21" s="20" t="n">
        <v>0</v>
      </c>
      <c r="M21" s="18" t="n">
        <v>0</v>
      </c>
      <c r="N21" s="20" t="n">
        <v>0</v>
      </c>
      <c r="O21" s="18" t="n">
        <v>0</v>
      </c>
      <c r="P21" s="20" t="n">
        <v>0</v>
      </c>
      <c r="Q21" s="18" t="n">
        <v>1.06398215</v>
      </c>
      <c r="R21" s="20" t="n">
        <v>0.47301857</v>
      </c>
    </row>
    <row r="22" spans="1:18">
      <c r="A22" s="15" t="s">
        <v>582</v>
      </c>
      <c r="B22" s="17" t="n">
        <v>2931</v>
      </c>
      <c r="C22" s="18">
        <f>(2262.0/B22*100)</f>
        <v/>
      </c>
      <c r="D22" s="19" t="n">
        <v>669</v>
      </c>
      <c r="E22" s="18" t="n">
        <v>63.11472812</v>
      </c>
      <c r="F22" s="20" t="n">
        <v>2.00663139</v>
      </c>
      <c r="G22" s="18" t="n">
        <v>33.63182298</v>
      </c>
      <c r="H22" s="20" t="n">
        <v>2.07890722</v>
      </c>
      <c r="I22" s="18" t="s">
        <v>567</v>
      </c>
      <c r="J22" s="20" t="s">
        <v>567</v>
      </c>
      <c r="K22" s="18" t="n">
        <v>0.12046647</v>
      </c>
      <c r="L22" s="20" t="n">
        <v>0.12056001</v>
      </c>
      <c r="M22" s="18" t="n">
        <v>0</v>
      </c>
      <c r="N22" s="20" t="n">
        <v>0</v>
      </c>
      <c r="O22" s="18" t="n">
        <v>0</v>
      </c>
      <c r="P22" s="20" t="n">
        <v>0</v>
      </c>
      <c r="Q22" s="18" t="n">
        <v>3.13298243</v>
      </c>
      <c r="R22" s="20" t="n">
        <v>0.77811117</v>
      </c>
    </row>
    <row r="23" spans="1:18">
      <c r="A23" s="15" t="s">
        <v>583</v>
      </c>
      <c r="B23" s="17" t="n">
        <v>5791</v>
      </c>
      <c r="C23" s="18">
        <f>(4495.0/B23*100)</f>
        <v/>
      </c>
      <c r="D23" s="19" t="n">
        <v>1296</v>
      </c>
      <c r="E23" s="18" t="n">
        <v>60.37344701</v>
      </c>
      <c r="F23" s="20" t="n">
        <v>2.22130998</v>
      </c>
      <c r="G23" s="18" t="n">
        <v>38.51850272</v>
      </c>
      <c r="H23" s="20" t="n">
        <v>2.28233377</v>
      </c>
      <c r="I23" s="18" t="s">
        <v>567</v>
      </c>
      <c r="J23" s="20" t="s">
        <v>567</v>
      </c>
      <c r="K23" s="18" t="n">
        <v>0.24390745</v>
      </c>
      <c r="L23" s="20" t="n">
        <v>0.17860482</v>
      </c>
      <c r="M23" s="18" t="n">
        <v>0</v>
      </c>
      <c r="N23" s="20" t="n">
        <v>0</v>
      </c>
      <c r="O23" s="18" t="n">
        <v>0</v>
      </c>
      <c r="P23" s="20" t="n">
        <v>0</v>
      </c>
      <c r="Q23" s="18" t="n">
        <v>0.86414283</v>
      </c>
      <c r="R23" s="20" t="n">
        <v>0.46495803</v>
      </c>
    </row>
    <row r="24" spans="1:18">
      <c r="A24" s="15" t="s">
        <v>584</v>
      </c>
      <c r="B24" s="17" t="n">
        <v>3338</v>
      </c>
      <c r="C24" s="18">
        <f>(2590.0/B24*100)</f>
        <v/>
      </c>
      <c r="D24" s="19" t="n">
        <v>748</v>
      </c>
      <c r="E24" s="18" t="n">
        <v>56.82165574</v>
      </c>
      <c r="F24" s="20" t="n">
        <v>2.22792616</v>
      </c>
      <c r="G24" s="18" t="n">
        <v>43.05388018</v>
      </c>
      <c r="H24" s="20" t="n">
        <v>2.23593197</v>
      </c>
      <c r="I24" s="18" t="s">
        <v>567</v>
      </c>
      <c r="J24" s="20" t="s">
        <v>567</v>
      </c>
      <c r="K24" s="18" t="n">
        <v>0</v>
      </c>
      <c r="L24" s="20" t="n">
        <v>0</v>
      </c>
      <c r="M24" s="18" t="n">
        <v>0</v>
      </c>
      <c r="N24" s="20" t="n">
        <v>0</v>
      </c>
      <c r="O24" s="18" t="n">
        <v>0</v>
      </c>
      <c r="P24" s="20" t="n">
        <v>0</v>
      </c>
      <c r="Q24" s="18" t="n">
        <v>0.12446408</v>
      </c>
      <c r="R24" s="20" t="n">
        <v>0.12514195</v>
      </c>
    </row>
    <row r="25" spans="1:18">
      <c r="A25" s="15" t="s">
        <v>585</v>
      </c>
      <c r="B25" s="17" t="n">
        <v>2912</v>
      </c>
      <c r="C25" s="18">
        <f>(2245.0/B25*100)</f>
        <v/>
      </c>
      <c r="D25" s="19" t="n">
        <v>667</v>
      </c>
      <c r="E25" s="18" t="n">
        <v>56.48937118</v>
      </c>
      <c r="F25" s="20" t="n">
        <v>2.35315394</v>
      </c>
      <c r="G25" s="18" t="n">
        <v>42.71321844</v>
      </c>
      <c r="H25" s="20" t="n">
        <v>2.36959673</v>
      </c>
      <c r="I25" s="18" t="s">
        <v>567</v>
      </c>
      <c r="J25" s="20" t="s">
        <v>567</v>
      </c>
      <c r="K25" s="18" t="n">
        <v>0.46709647</v>
      </c>
      <c r="L25" s="20" t="n">
        <v>0.35791141</v>
      </c>
      <c r="M25" s="18" t="n">
        <v>0</v>
      </c>
      <c r="N25" s="20" t="n">
        <v>0</v>
      </c>
      <c r="O25" s="18" t="n">
        <v>0</v>
      </c>
      <c r="P25" s="20" t="n">
        <v>0</v>
      </c>
      <c r="Q25" s="18" t="n">
        <v>0.3303139</v>
      </c>
      <c r="R25" s="20" t="n">
        <v>0.2324369</v>
      </c>
    </row>
    <row r="26" spans="1:18">
      <c r="A26" s="15" t="s">
        <v>586</v>
      </c>
      <c r="B26" s="17" t="n">
        <v>2450</v>
      </c>
      <c r="C26" s="18">
        <f>(1876.0/B26*100)</f>
        <v/>
      </c>
      <c r="D26" s="19" t="n">
        <v>574</v>
      </c>
      <c r="E26" s="18" t="n">
        <v>67.57674273000001</v>
      </c>
      <c r="F26" s="20" t="n">
        <v>1.77188005</v>
      </c>
      <c r="G26" s="18" t="n">
        <v>31.99680432</v>
      </c>
      <c r="H26" s="20" t="n">
        <v>1.76918351</v>
      </c>
      <c r="I26" s="18" t="s">
        <v>567</v>
      </c>
      <c r="J26" s="20" t="s">
        <v>567</v>
      </c>
      <c r="K26" s="18" t="n">
        <v>0</v>
      </c>
      <c r="L26" s="20" t="n">
        <v>0</v>
      </c>
      <c r="M26" s="18" t="n">
        <v>0</v>
      </c>
      <c r="N26" s="20" t="n">
        <v>0</v>
      </c>
      <c r="O26" s="18" t="n">
        <v>0</v>
      </c>
      <c r="P26" s="20" t="n">
        <v>0</v>
      </c>
      <c r="Q26" s="18" t="n">
        <v>0.42645295</v>
      </c>
      <c r="R26" s="20" t="n">
        <v>0.24835444</v>
      </c>
    </row>
    <row r="27" spans="1:18">
      <c r="A27" s="15" t="s">
        <v>587</v>
      </c>
      <c r="B27" s="17" t="n">
        <v>2616</v>
      </c>
      <c r="C27" s="18">
        <f>(2037.0/B27*100)</f>
        <v/>
      </c>
      <c r="D27" s="19" t="n">
        <v>579</v>
      </c>
      <c r="E27" s="18" t="n">
        <v>66.0550569</v>
      </c>
      <c r="F27" s="20" t="n">
        <v>1.62909492</v>
      </c>
      <c r="G27" s="18" t="n">
        <v>32.88924733</v>
      </c>
      <c r="H27" s="20" t="n">
        <v>1.64703708</v>
      </c>
      <c r="I27" s="18" t="s">
        <v>567</v>
      </c>
      <c r="J27" s="20" t="s">
        <v>567</v>
      </c>
      <c r="K27" s="18" t="n">
        <v>0.35085916</v>
      </c>
      <c r="L27" s="20" t="n">
        <v>0.24934726</v>
      </c>
      <c r="M27" s="18" t="n">
        <v>0</v>
      </c>
      <c r="N27" s="20" t="n">
        <v>0</v>
      </c>
      <c r="O27" s="18" t="n">
        <v>0</v>
      </c>
      <c r="P27" s="20" t="n">
        <v>0</v>
      </c>
      <c r="Q27" s="18" t="n">
        <v>0.70483661</v>
      </c>
      <c r="R27" s="20" t="n">
        <v>0.35171731</v>
      </c>
    </row>
    <row r="28" spans="1:18">
      <c r="A28" s="15" t="s">
        <v>588</v>
      </c>
      <c r="B28" s="17" t="n">
        <v>3765</v>
      </c>
      <c r="C28" s="18">
        <f>(2947.0/B28*100)</f>
        <v/>
      </c>
      <c r="D28" s="19" t="n">
        <v>818</v>
      </c>
      <c r="E28" s="18" t="n">
        <v>85.56050137</v>
      </c>
      <c r="F28" s="20" t="n">
        <v>1.26101694</v>
      </c>
      <c r="G28" s="18" t="n">
        <v>12.1524946</v>
      </c>
      <c r="H28" s="20" t="n">
        <v>1.16023174</v>
      </c>
      <c r="I28" s="18" t="s">
        <v>567</v>
      </c>
      <c r="J28" s="20" t="s">
        <v>567</v>
      </c>
      <c r="K28" s="18" t="n">
        <v>0</v>
      </c>
      <c r="L28" s="20" t="n">
        <v>0</v>
      </c>
      <c r="M28" s="18" t="n">
        <v>0</v>
      </c>
      <c r="N28" s="20" t="n">
        <v>0</v>
      </c>
      <c r="O28" s="18" t="n">
        <v>0</v>
      </c>
      <c r="P28" s="20" t="n">
        <v>0</v>
      </c>
      <c r="Q28" s="18" t="n">
        <v>2.28700403</v>
      </c>
      <c r="R28" s="20" t="n">
        <v>0.61654946</v>
      </c>
    </row>
    <row r="29" spans="1:18">
      <c r="A29" s="15" t="s">
        <v>589</v>
      </c>
      <c r="B29" s="17" t="n">
        <v>2685</v>
      </c>
      <c r="C29" s="18">
        <f>(2097.0/B29*100)</f>
        <v/>
      </c>
      <c r="D29" s="19" t="n">
        <v>588</v>
      </c>
      <c r="E29" s="18" t="n">
        <v>62.93941213</v>
      </c>
      <c r="F29" s="20" t="n">
        <v>2.28759433</v>
      </c>
      <c r="G29" s="18" t="n">
        <v>36.52980196</v>
      </c>
      <c r="H29" s="20" t="n">
        <v>2.31199613</v>
      </c>
      <c r="I29" s="18" t="s">
        <v>567</v>
      </c>
      <c r="J29" s="20" t="s">
        <v>567</v>
      </c>
      <c r="K29" s="18" t="n">
        <v>0.13260537</v>
      </c>
      <c r="L29" s="20" t="n">
        <v>0.13106918</v>
      </c>
      <c r="M29" s="18" t="n">
        <v>0</v>
      </c>
      <c r="N29" s="20" t="n">
        <v>0</v>
      </c>
      <c r="O29" s="18" t="n">
        <v>0</v>
      </c>
      <c r="P29" s="20" t="n">
        <v>0</v>
      </c>
      <c r="Q29" s="18" t="n">
        <v>0.39818054</v>
      </c>
      <c r="R29" s="20" t="n">
        <v>0.26618863</v>
      </c>
    </row>
    <row r="30" spans="1:18">
      <c r="A30" s="15" t="s">
        <v>590</v>
      </c>
      <c r="B30" s="17" t="n">
        <v>2263</v>
      </c>
      <c r="C30" s="18">
        <f>(1769.0/B30*100)</f>
        <v/>
      </c>
      <c r="D30" s="19" t="n">
        <v>494</v>
      </c>
      <c r="E30" s="18" t="n">
        <v>65.0708353</v>
      </c>
      <c r="F30" s="20" t="n">
        <v>2.54738432</v>
      </c>
      <c r="G30" s="18" t="n">
        <v>32.27681775</v>
      </c>
      <c r="H30" s="20" t="n">
        <v>2.36636147</v>
      </c>
      <c r="I30" s="18" t="s">
        <v>567</v>
      </c>
      <c r="J30" s="20" t="s">
        <v>567</v>
      </c>
      <c r="K30" s="18" t="n">
        <v>0.55683725</v>
      </c>
      <c r="L30" s="20" t="n">
        <v>0.32240426</v>
      </c>
      <c r="M30" s="18" t="n">
        <v>0</v>
      </c>
      <c r="N30" s="20" t="n">
        <v>0</v>
      </c>
      <c r="O30" s="18" t="n">
        <v>0</v>
      </c>
      <c r="P30" s="20" t="n">
        <v>0</v>
      </c>
      <c r="Q30" s="18" t="n">
        <v>2.0955097</v>
      </c>
      <c r="R30" s="20" t="n">
        <v>0.68040336</v>
      </c>
    </row>
    <row r="31" spans="1:18">
      <c r="A31" s="15" t="s">
        <v>591</v>
      </c>
      <c r="B31" s="17" t="n">
        <v>2750</v>
      </c>
      <c r="C31" s="18">
        <f>(2132.0/B31*100)</f>
        <v/>
      </c>
      <c r="D31" s="19" t="n">
        <v>618</v>
      </c>
      <c r="E31" s="18" t="n">
        <v>61.75604687</v>
      </c>
      <c r="F31" s="20" t="n">
        <v>2.02414515</v>
      </c>
      <c r="G31" s="18" t="n">
        <v>35.89339929</v>
      </c>
      <c r="H31" s="20" t="n">
        <v>1.97242997</v>
      </c>
      <c r="I31" s="18" t="s">
        <v>567</v>
      </c>
      <c r="J31" s="20" t="s">
        <v>567</v>
      </c>
      <c r="K31" s="18" t="n">
        <v>0.34297902</v>
      </c>
      <c r="L31" s="20" t="n">
        <v>0.24808418</v>
      </c>
      <c r="M31" s="18" t="n">
        <v>0</v>
      </c>
      <c r="N31" s="20" t="n">
        <v>0</v>
      </c>
      <c r="O31" s="18" t="n">
        <v>0</v>
      </c>
      <c r="P31" s="20" t="n">
        <v>0</v>
      </c>
      <c r="Q31" s="18" t="n">
        <v>2.00757482</v>
      </c>
      <c r="R31" s="20" t="n">
        <v>0.60365742</v>
      </c>
    </row>
    <row r="32" spans="1:18">
      <c r="A32" s="15" t="s">
        <v>592</v>
      </c>
      <c r="B32" s="17" t="n">
        <v>2269</v>
      </c>
      <c r="C32" s="18">
        <f>(1731.0/B32*100)</f>
        <v/>
      </c>
      <c r="D32" s="19" t="n">
        <v>538</v>
      </c>
      <c r="E32" s="18" t="n">
        <v>61.66598421</v>
      </c>
      <c r="F32" s="20" t="n">
        <v>2.31173827</v>
      </c>
      <c r="G32" s="18" t="n">
        <v>38.01587244</v>
      </c>
      <c r="H32" s="20" t="n">
        <v>2.27226085</v>
      </c>
      <c r="I32" s="18" t="s">
        <v>567</v>
      </c>
      <c r="J32" s="20" t="s">
        <v>567</v>
      </c>
      <c r="K32" s="18" t="n">
        <v>0</v>
      </c>
      <c r="L32" s="20" t="n">
        <v>0</v>
      </c>
      <c r="M32" s="18" t="n">
        <v>0</v>
      </c>
      <c r="N32" s="20" t="n">
        <v>0</v>
      </c>
      <c r="O32" s="18" t="n">
        <v>0</v>
      </c>
      <c r="P32" s="20" t="n">
        <v>0</v>
      </c>
      <c r="Q32" s="18" t="n">
        <v>0.31814335</v>
      </c>
      <c r="R32" s="20" t="n">
        <v>0.31622338</v>
      </c>
    </row>
    <row r="33" spans="1:18">
      <c r="A33" s="15" t="s">
        <v>593</v>
      </c>
      <c r="B33" s="17" t="n">
        <v>3674</v>
      </c>
      <c r="C33" s="18">
        <f>(2863.0/B33*100)</f>
        <v/>
      </c>
      <c r="D33" s="19" t="n">
        <v>811</v>
      </c>
      <c r="E33" s="18" t="n">
        <v>69.78897684</v>
      </c>
      <c r="F33" s="20" t="n">
        <v>1.97546205</v>
      </c>
      <c r="G33" s="18" t="n">
        <v>29.36112187</v>
      </c>
      <c r="H33" s="20" t="n">
        <v>1.88107809</v>
      </c>
      <c r="I33" s="18" t="s">
        <v>567</v>
      </c>
      <c r="J33" s="20" t="s">
        <v>567</v>
      </c>
      <c r="K33" s="18" t="n">
        <v>0.24274129</v>
      </c>
      <c r="L33" s="20" t="n">
        <v>0.28978397</v>
      </c>
      <c r="M33" s="18" t="n">
        <v>0</v>
      </c>
      <c r="N33" s="20" t="n">
        <v>0</v>
      </c>
      <c r="O33" s="18" t="n">
        <v>0</v>
      </c>
      <c r="P33" s="20" t="n">
        <v>0</v>
      </c>
      <c r="Q33" s="18" t="n">
        <v>0.60716</v>
      </c>
      <c r="R33" s="20" t="n">
        <v>0.30666661</v>
      </c>
    </row>
    <row r="34" spans="1:18">
      <c r="A34" s="15" t="s">
        <v>594</v>
      </c>
      <c r="B34" s="17" t="n">
        <v>3315</v>
      </c>
      <c r="C34" s="18">
        <f>(2582.0/B34*100)</f>
        <v/>
      </c>
      <c r="D34" s="19" t="n">
        <v>733</v>
      </c>
      <c r="E34" s="18" t="n">
        <v>66.04307401</v>
      </c>
      <c r="F34" s="20" t="n">
        <v>1.93926095</v>
      </c>
      <c r="G34" s="18" t="n">
        <v>32.87845803</v>
      </c>
      <c r="H34" s="20" t="n">
        <v>1.96071809</v>
      </c>
      <c r="I34" s="18" t="s">
        <v>567</v>
      </c>
      <c r="J34" s="20" t="s">
        <v>567</v>
      </c>
      <c r="K34" s="18" t="n">
        <v>0</v>
      </c>
      <c r="L34" s="20" t="n">
        <v>0</v>
      </c>
      <c r="M34" s="18" t="n">
        <v>0</v>
      </c>
      <c r="N34" s="20" t="n">
        <v>0</v>
      </c>
      <c r="O34" s="18" t="n">
        <v>0</v>
      </c>
      <c r="P34" s="20" t="n">
        <v>0</v>
      </c>
      <c r="Q34" s="18" t="n">
        <v>1.07846796</v>
      </c>
      <c r="R34" s="20" t="n">
        <v>0.37557881</v>
      </c>
    </row>
    <row r="35" spans="1:18">
      <c r="A35" s="15" t="s">
        <v>595</v>
      </c>
      <c r="B35" s="17" t="n">
        <v>3505</v>
      </c>
      <c r="C35" s="18">
        <f>(2761.0/B35*100)</f>
        <v/>
      </c>
      <c r="D35" s="19" t="n">
        <v>744</v>
      </c>
      <c r="E35" s="18" t="n">
        <v>57.16315261</v>
      </c>
      <c r="F35" s="20" t="n">
        <v>2.3223896</v>
      </c>
      <c r="G35" s="18" t="n">
        <v>41.48694512</v>
      </c>
      <c r="H35" s="20" t="n">
        <v>2.20919497</v>
      </c>
      <c r="I35" s="18" t="s">
        <v>567</v>
      </c>
      <c r="J35" s="20" t="s">
        <v>567</v>
      </c>
      <c r="K35" s="18" t="n">
        <v>0.96210966</v>
      </c>
      <c r="L35" s="20" t="n">
        <v>0.7285176799999999</v>
      </c>
      <c r="M35" s="18" t="n">
        <v>0</v>
      </c>
      <c r="N35" s="20" t="n">
        <v>0</v>
      </c>
      <c r="O35" s="18" t="n">
        <v>0</v>
      </c>
      <c r="P35" s="20" t="n">
        <v>0</v>
      </c>
      <c r="Q35" s="18" t="n">
        <v>0.38779261</v>
      </c>
      <c r="R35" s="20" t="n">
        <v>0.22602308</v>
      </c>
    </row>
    <row r="36" spans="1:18">
      <c r="A36" s="15" t="s">
        <v>596</v>
      </c>
      <c r="B36" s="17" t="n">
        <v>3332</v>
      </c>
      <c r="C36" s="18">
        <f>(2613.0/B36*100)</f>
        <v/>
      </c>
      <c r="D36" s="19" t="n">
        <v>719</v>
      </c>
      <c r="E36" s="18" t="n">
        <v>63.85277193</v>
      </c>
      <c r="F36" s="20" t="n">
        <v>1.98333764</v>
      </c>
      <c r="G36" s="18" t="n">
        <v>34.36321809</v>
      </c>
      <c r="H36" s="20" t="n">
        <v>1.91488901</v>
      </c>
      <c r="I36" s="18" t="s">
        <v>567</v>
      </c>
      <c r="J36" s="20" t="s">
        <v>567</v>
      </c>
      <c r="K36" s="18" t="n">
        <v>0.19756886</v>
      </c>
      <c r="L36" s="20" t="n">
        <v>0.20776117</v>
      </c>
      <c r="M36" s="18" t="n">
        <v>0</v>
      </c>
      <c r="N36" s="20" t="n">
        <v>0</v>
      </c>
      <c r="O36" s="18" t="n">
        <v>0</v>
      </c>
      <c r="P36" s="20" t="n">
        <v>0</v>
      </c>
      <c r="Q36" s="18" t="n">
        <v>1.58644112</v>
      </c>
      <c r="R36" s="20" t="n">
        <v>0.42194478</v>
      </c>
    </row>
    <row r="37" spans="1:18">
      <c r="A37" s="15" t="s">
        <v>597</v>
      </c>
      <c r="B37" s="17" t="n">
        <v>2727</v>
      </c>
      <c r="C37" s="18">
        <f>(2119.0/B37*100)</f>
        <v/>
      </c>
      <c r="D37" s="19" t="n">
        <v>608</v>
      </c>
      <c r="E37" s="18" t="n">
        <v>71.56696753999999</v>
      </c>
      <c r="F37" s="20" t="n">
        <v>2.04157293</v>
      </c>
      <c r="G37" s="18" t="n">
        <v>26.58236311</v>
      </c>
      <c r="H37" s="20" t="n">
        <v>2.05278063</v>
      </c>
      <c r="I37" s="18" t="s">
        <v>567</v>
      </c>
      <c r="J37" s="20" t="s">
        <v>567</v>
      </c>
      <c r="K37" s="18" t="n">
        <v>0.17428029</v>
      </c>
      <c r="L37" s="20" t="n">
        <v>0.17439196</v>
      </c>
      <c r="M37" s="18" t="n">
        <v>0</v>
      </c>
      <c r="N37" s="20" t="n">
        <v>0</v>
      </c>
      <c r="O37" s="18" t="n">
        <v>0</v>
      </c>
      <c r="P37" s="20" t="n">
        <v>0</v>
      </c>
      <c r="Q37" s="18" t="n">
        <v>1.67638907</v>
      </c>
      <c r="R37" s="20" t="n">
        <v>0.59909418</v>
      </c>
    </row>
    <row r="38" spans="1:18">
      <c r="A38" s="15" t="s">
        <v>598</v>
      </c>
      <c r="B38" s="17" t="n">
        <v>3053</v>
      </c>
      <c r="C38" s="18">
        <f>(2383.0/B38*100)</f>
        <v/>
      </c>
      <c r="D38" s="19" t="n">
        <v>670</v>
      </c>
      <c r="E38" s="18" t="n">
        <v>57.32928034</v>
      </c>
      <c r="F38" s="20" t="n">
        <v>2.11929484</v>
      </c>
      <c r="G38" s="18" t="n">
        <v>42.03789721</v>
      </c>
      <c r="H38" s="20" t="n">
        <v>2.13954971</v>
      </c>
      <c r="I38" s="18" t="s">
        <v>567</v>
      </c>
      <c r="J38" s="20" t="s">
        <v>567</v>
      </c>
      <c r="K38" s="18" t="n">
        <v>0</v>
      </c>
      <c r="L38" s="20" t="n">
        <v>0</v>
      </c>
      <c r="M38" s="18" t="n">
        <v>0</v>
      </c>
      <c r="N38" s="20" t="n">
        <v>0</v>
      </c>
      <c r="O38" s="18" t="n">
        <v>0</v>
      </c>
      <c r="P38" s="20" t="n">
        <v>0</v>
      </c>
      <c r="Q38" s="18" t="n">
        <v>0.63282245</v>
      </c>
      <c r="R38" s="20" t="n">
        <v>0.31635846</v>
      </c>
    </row>
    <row r="39" spans="1:18">
      <c r="A39" s="15" t="s">
        <v>599</v>
      </c>
      <c r="B39" s="17" t="n">
        <v>2957</v>
      </c>
      <c r="C39" s="18">
        <f>(2297.0/B39*100)</f>
        <v/>
      </c>
      <c r="D39" s="19" t="n">
        <v>660</v>
      </c>
      <c r="E39" s="18" t="n">
        <v>87.91111515999999</v>
      </c>
      <c r="F39" s="20" t="n">
        <v>1.41058388</v>
      </c>
      <c r="G39" s="18" t="n">
        <v>11.84651842</v>
      </c>
      <c r="H39" s="20" t="n">
        <v>1.4075802</v>
      </c>
      <c r="I39" s="18" t="s">
        <v>567</v>
      </c>
      <c r="J39" s="20" t="s">
        <v>567</v>
      </c>
      <c r="K39" s="18" t="n">
        <v>0</v>
      </c>
      <c r="L39" s="20" t="n">
        <v>0</v>
      </c>
      <c r="M39" s="18" t="n">
        <v>0</v>
      </c>
      <c r="N39" s="20" t="n">
        <v>0</v>
      </c>
      <c r="O39" s="18" t="n">
        <v>0</v>
      </c>
      <c r="P39" s="20" t="n">
        <v>0</v>
      </c>
      <c r="Q39" s="18" t="n">
        <v>0.24236642</v>
      </c>
      <c r="R39" s="20" t="n">
        <v>0.17072973</v>
      </c>
    </row>
    <row r="40" spans="1:18">
      <c r="A40" s="15" t="s">
        <v>600</v>
      </c>
      <c r="B40" s="17" t="n">
        <v>7235</v>
      </c>
      <c r="C40" s="18">
        <f>(5654.0/B40*100)</f>
        <v/>
      </c>
      <c r="D40" s="19" t="n">
        <v>1581</v>
      </c>
      <c r="E40" s="18" t="n">
        <v>67.81273595</v>
      </c>
      <c r="F40" s="20" t="n">
        <v>1.69411561</v>
      </c>
      <c r="G40" s="18" t="n">
        <v>30.95496743</v>
      </c>
      <c r="H40" s="20" t="n">
        <v>1.71858114</v>
      </c>
      <c r="I40" s="18" t="s">
        <v>567</v>
      </c>
      <c r="J40" s="20" t="s">
        <v>567</v>
      </c>
      <c r="K40" s="18" t="n">
        <v>0.42652178</v>
      </c>
      <c r="L40" s="20" t="n">
        <v>0.29617249</v>
      </c>
      <c r="M40" s="18" t="n">
        <v>0</v>
      </c>
      <c r="N40" s="20" t="n">
        <v>0</v>
      </c>
      <c r="O40" s="18" t="n">
        <v>0</v>
      </c>
      <c r="P40" s="20" t="n">
        <v>0</v>
      </c>
      <c r="Q40" s="18" t="n">
        <v>0.80577484</v>
      </c>
      <c r="R40" s="20" t="n">
        <v>0.29978041</v>
      </c>
    </row>
    <row r="41" spans="1:18">
      <c r="A41" s="15" t="s">
        <v>601</v>
      </c>
      <c r="B41" s="17" t="n">
        <v>2858</v>
      </c>
      <c r="C41" s="18">
        <f>(2249.0/B41*100)</f>
        <v/>
      </c>
      <c r="D41" s="19" t="n">
        <v>609</v>
      </c>
      <c r="E41" s="18" t="n">
        <v>78.24708887</v>
      </c>
      <c r="F41" s="20" t="n">
        <v>1.97506709</v>
      </c>
      <c r="G41" s="18" t="n">
        <v>21.17125554</v>
      </c>
      <c r="H41" s="20" t="n">
        <v>1.9275487</v>
      </c>
      <c r="I41" s="18" t="s">
        <v>567</v>
      </c>
      <c r="J41" s="20" t="s">
        <v>567</v>
      </c>
      <c r="K41" s="18" t="n">
        <v>0.06704688</v>
      </c>
      <c r="L41" s="20" t="n">
        <v>0.06738903</v>
      </c>
      <c r="M41" s="18" t="n">
        <v>0</v>
      </c>
      <c r="N41" s="20" t="n">
        <v>0</v>
      </c>
      <c r="O41" s="18" t="n">
        <v>0</v>
      </c>
      <c r="P41" s="20" t="n">
        <v>0</v>
      </c>
      <c r="Q41" s="18" t="n">
        <v>0.51460872</v>
      </c>
      <c r="R41" s="20" t="n">
        <v>0.28353149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(8866.0/B46*100)</f>
        <v/>
      </c>
      <c r="D46" s="19" t="n">
        <v>2202</v>
      </c>
      <c r="E46" s="18" t="n">
        <v>80.89653045</v>
      </c>
      <c r="F46" s="20" t="n">
        <v>1.00063485</v>
      </c>
      <c r="G46" s="18" t="n">
        <v>12.96829666</v>
      </c>
      <c r="H46" s="20" t="n">
        <v>0.87868136</v>
      </c>
      <c r="I46" s="18" t="s">
        <v>567</v>
      </c>
      <c r="J46" s="20" t="s">
        <v>567</v>
      </c>
      <c r="K46" s="18" t="n">
        <v>0.59407037</v>
      </c>
      <c r="L46" s="20" t="n">
        <v>0.19913245</v>
      </c>
      <c r="M46" s="18" t="n">
        <v>0</v>
      </c>
      <c r="N46" s="20" t="n">
        <v>0</v>
      </c>
      <c r="O46" s="18" t="n">
        <v>0</v>
      </c>
      <c r="P46" s="20" t="n">
        <v>0</v>
      </c>
      <c r="Q46" s="18" t="n">
        <v>5.54110252</v>
      </c>
      <c r="R46" s="20" t="n">
        <v>0.59258444</v>
      </c>
    </row>
    <row r="47" spans="1:18">
      <c r="A47" s="15" t="s">
        <v>607</v>
      </c>
      <c r="B47" s="17" t="n">
        <v>3105</v>
      </c>
      <c r="C47" s="18">
        <f>(2394.0/B47*100)</f>
        <v/>
      </c>
      <c r="D47" s="19" t="n">
        <v>711</v>
      </c>
      <c r="E47" s="18" t="n">
        <v>73.26837037999999</v>
      </c>
      <c r="F47" s="20" t="n">
        <v>2.36810499</v>
      </c>
      <c r="G47" s="18" t="n">
        <v>24.50073371</v>
      </c>
      <c r="H47" s="20" t="n">
        <v>2.36179384</v>
      </c>
      <c r="I47" s="18" t="s">
        <v>567</v>
      </c>
      <c r="J47" s="20" t="s">
        <v>567</v>
      </c>
      <c r="K47" s="18" t="n">
        <v>0</v>
      </c>
      <c r="L47" s="20" t="n">
        <v>0</v>
      </c>
      <c r="M47" s="18" t="n">
        <v>0</v>
      </c>
      <c r="N47" s="20" t="n">
        <v>0</v>
      </c>
      <c r="O47" s="18" t="n">
        <v>0</v>
      </c>
      <c r="P47" s="20" t="n">
        <v>0</v>
      </c>
      <c r="Q47" s="18" t="n">
        <v>2.23089592</v>
      </c>
      <c r="R47" s="20" t="n">
        <v>0.63715579</v>
      </c>
    </row>
    <row r="48" spans="1:18">
      <c r="A48" s="15" t="s">
        <v>608</v>
      </c>
      <c r="B48" s="17" t="n">
        <v>5159</v>
      </c>
      <c r="C48" s="18">
        <f>(3966.0/B48*100)</f>
        <v/>
      </c>
      <c r="D48" s="19" t="n">
        <v>1193</v>
      </c>
      <c r="E48" s="18" t="n">
        <v>53.13207913</v>
      </c>
      <c r="F48" s="20" t="n">
        <v>2.3409233</v>
      </c>
      <c r="G48" s="18" t="n">
        <v>46.14343359</v>
      </c>
      <c r="H48" s="20" t="n">
        <v>2.28018235</v>
      </c>
      <c r="I48" s="18" t="s">
        <v>567</v>
      </c>
      <c r="J48" s="20" t="s">
        <v>567</v>
      </c>
      <c r="K48" s="18" t="n">
        <v>0.05355702</v>
      </c>
      <c r="L48" s="20" t="n">
        <v>0.05369875</v>
      </c>
      <c r="M48" s="18" t="n">
        <v>0</v>
      </c>
      <c r="N48" s="20" t="n">
        <v>0</v>
      </c>
      <c r="O48" s="18" t="n">
        <v>0</v>
      </c>
      <c r="P48" s="20" t="n">
        <v>0</v>
      </c>
      <c r="Q48" s="18" t="n">
        <v>0.67093026</v>
      </c>
      <c r="R48" s="20" t="n">
        <v>0.43302564</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(4414.0/B50*100)</f>
        <v/>
      </c>
      <c r="D50" s="19" t="n">
        <v>1223</v>
      </c>
      <c r="E50" s="18" t="n">
        <v>82.49375965</v>
      </c>
      <c r="F50" s="20" t="n">
        <v>1.5307326</v>
      </c>
      <c r="G50" s="18" t="n">
        <v>15.15635172</v>
      </c>
      <c r="H50" s="20" t="n">
        <v>1.24641036</v>
      </c>
      <c r="I50" s="18" t="s">
        <v>567</v>
      </c>
      <c r="J50" s="20" t="s">
        <v>567</v>
      </c>
      <c r="K50" s="18" t="n">
        <v>0.04186741</v>
      </c>
      <c r="L50" s="20" t="n">
        <v>0.03006555</v>
      </c>
      <c r="M50" s="18" t="n">
        <v>0</v>
      </c>
      <c r="N50" s="20" t="n">
        <v>0</v>
      </c>
      <c r="O50" s="18" t="n">
        <v>0</v>
      </c>
      <c r="P50" s="20" t="n">
        <v>0</v>
      </c>
      <c r="Q50" s="18" t="n">
        <v>2.30802122</v>
      </c>
      <c r="R50" s="20" t="n">
        <v>1.09633257</v>
      </c>
    </row>
    <row r="51" spans="1:18">
      <c r="A51" s="15" t="s">
        <v>611</v>
      </c>
      <c r="B51" s="17" t="n">
        <v>3372</v>
      </c>
      <c r="C51" s="18">
        <f>(2720.0/B51*100)</f>
        <v/>
      </c>
      <c r="D51" s="19" t="n">
        <v>652</v>
      </c>
      <c r="E51" s="18" t="n">
        <v>81.16158895</v>
      </c>
      <c r="F51" s="20" t="n">
        <v>1.7409429</v>
      </c>
      <c r="G51" s="18" t="n">
        <v>15.77853839</v>
      </c>
      <c r="H51" s="20" t="n">
        <v>1.63142332</v>
      </c>
      <c r="I51" s="18" t="s">
        <v>567</v>
      </c>
      <c r="J51" s="20" t="s">
        <v>567</v>
      </c>
      <c r="K51" s="18" t="n">
        <v>0</v>
      </c>
      <c r="L51" s="20" t="n">
        <v>0</v>
      </c>
      <c r="M51" s="18" t="n">
        <v>0</v>
      </c>
      <c r="N51" s="20" t="n">
        <v>0</v>
      </c>
      <c r="O51" s="18" t="n">
        <v>0</v>
      </c>
      <c r="P51" s="20" t="n">
        <v>0</v>
      </c>
      <c r="Q51" s="18" t="n">
        <v>3.05987265</v>
      </c>
      <c r="R51" s="20" t="n">
        <v>0.69266393</v>
      </c>
    </row>
    <row r="52" spans="1:18">
      <c r="A52" s="15" t="s">
        <v>612</v>
      </c>
      <c r="B52" s="17" t="n">
        <v>2796</v>
      </c>
      <c r="C52" s="18">
        <f>(2207.0/B52*100)</f>
        <v/>
      </c>
      <c r="D52" s="19" t="n">
        <v>589</v>
      </c>
      <c r="E52" s="18" t="n">
        <v>64.98688154</v>
      </c>
      <c r="F52" s="20" t="n">
        <v>2.03109013</v>
      </c>
      <c r="G52" s="18" t="n">
        <v>33.89032766</v>
      </c>
      <c r="H52" s="20" t="n">
        <v>2.0720807</v>
      </c>
      <c r="I52" s="18" t="s">
        <v>567</v>
      </c>
      <c r="J52" s="20" t="s">
        <v>567</v>
      </c>
      <c r="K52" s="18" t="n">
        <v>0</v>
      </c>
      <c r="L52" s="20" t="n">
        <v>0</v>
      </c>
      <c r="M52" s="18" t="n">
        <v>0</v>
      </c>
      <c r="N52" s="20" t="n">
        <v>0</v>
      </c>
      <c r="O52" s="18" t="n">
        <v>0</v>
      </c>
      <c r="P52" s="20" t="n">
        <v>0</v>
      </c>
      <c r="Q52" s="18" t="n">
        <v>1.1227908</v>
      </c>
      <c r="R52" s="20" t="n">
        <v>0.47194607</v>
      </c>
    </row>
    <row r="53" spans="1:18">
      <c r="A53" s="15" t="s">
        <v>613</v>
      </c>
      <c r="B53" s="17" t="n">
        <v>2811</v>
      </c>
      <c r="C53" s="18">
        <f>(2199.0/B53*100)</f>
        <v/>
      </c>
      <c r="D53" s="19" t="n">
        <v>612</v>
      </c>
      <c r="E53" s="18" t="n">
        <v>70.89344444</v>
      </c>
      <c r="F53" s="20" t="n">
        <v>2.05710157</v>
      </c>
      <c r="G53" s="18" t="n">
        <v>25.13586234</v>
      </c>
      <c r="H53" s="20" t="n">
        <v>1.85919563</v>
      </c>
      <c r="I53" s="18" t="s">
        <v>567</v>
      </c>
      <c r="J53" s="20" t="s">
        <v>567</v>
      </c>
      <c r="K53" s="18" t="n">
        <v>0.58865838</v>
      </c>
      <c r="L53" s="20" t="n">
        <v>0.30887747</v>
      </c>
      <c r="M53" s="18" t="n">
        <v>0</v>
      </c>
      <c r="N53" s="20" t="n">
        <v>0</v>
      </c>
      <c r="O53" s="18" t="n">
        <v>0</v>
      </c>
      <c r="P53" s="20" t="n">
        <v>0</v>
      </c>
      <c r="Q53" s="18" t="n">
        <v>3.38203484</v>
      </c>
      <c r="R53" s="20" t="n">
        <v>0.77154061</v>
      </c>
    </row>
    <row r="54" spans="1:18">
      <c r="A54" s="15" t="s">
        <v>614</v>
      </c>
      <c r="B54" s="17" t="n">
        <v>2266</v>
      </c>
      <c r="C54" s="18">
        <f>(1774.0/B54*100)</f>
        <v/>
      </c>
      <c r="D54" s="19" t="n">
        <v>492</v>
      </c>
      <c r="E54" s="18" t="n">
        <v>73.56661971</v>
      </c>
      <c r="F54" s="20" t="n">
        <v>2.5670905</v>
      </c>
      <c r="G54" s="18" t="n">
        <v>7.76989059</v>
      </c>
      <c r="H54" s="20" t="n">
        <v>1.43003957</v>
      </c>
      <c r="I54" s="18" t="s">
        <v>567</v>
      </c>
      <c r="J54" s="20" t="s">
        <v>567</v>
      </c>
      <c r="K54" s="18" t="n">
        <v>8.15131832</v>
      </c>
      <c r="L54" s="20" t="n">
        <v>1.37045547</v>
      </c>
      <c r="M54" s="18" t="n">
        <v>0</v>
      </c>
      <c r="N54" s="20" t="n">
        <v>0</v>
      </c>
      <c r="O54" s="18" t="n">
        <v>0</v>
      </c>
      <c r="P54" s="20" t="n">
        <v>0</v>
      </c>
      <c r="Q54" s="18" t="n">
        <v>10.51217138</v>
      </c>
      <c r="R54" s="20" t="n">
        <v>1.71142098</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(2101.0/B56*100)</f>
        <v/>
      </c>
      <c r="D56" s="19" t="n">
        <v>583</v>
      </c>
      <c r="E56" s="18" t="n">
        <v>68.40478134999999</v>
      </c>
      <c r="F56" s="20" t="n">
        <v>1.97569225</v>
      </c>
      <c r="G56" s="18" t="n">
        <v>30.89621477</v>
      </c>
      <c r="H56" s="20" t="n">
        <v>1.94714861</v>
      </c>
      <c r="I56" s="18" t="s">
        <v>567</v>
      </c>
      <c r="J56" s="20" t="s">
        <v>567</v>
      </c>
      <c r="K56" s="18" t="n">
        <v>0.14415811</v>
      </c>
      <c r="L56" s="20" t="n">
        <v>0.14311588</v>
      </c>
      <c r="M56" s="18" t="n">
        <v>0</v>
      </c>
      <c r="N56" s="20" t="n">
        <v>0</v>
      </c>
      <c r="O56" s="18" t="n">
        <v>0</v>
      </c>
      <c r="P56" s="20" t="n">
        <v>0</v>
      </c>
      <c r="Q56" s="18" t="n">
        <v>0.55484577</v>
      </c>
      <c r="R56" s="20" t="n">
        <v>0.34655417</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(2556.0/B61*100)</f>
        <v/>
      </c>
      <c r="D61" s="19" t="n">
        <v>768</v>
      </c>
      <c r="E61" s="18" t="n">
        <v>72.7523211</v>
      </c>
      <c r="F61" s="20" t="n">
        <v>2.03350843</v>
      </c>
      <c r="G61" s="18" t="n">
        <v>26.26396116</v>
      </c>
      <c r="H61" s="20" t="n">
        <v>1.95664757</v>
      </c>
      <c r="I61" s="18" t="s">
        <v>567</v>
      </c>
      <c r="J61" s="20" t="s">
        <v>567</v>
      </c>
      <c r="K61" s="18" t="n">
        <v>0.16976622</v>
      </c>
      <c r="L61" s="20" t="n">
        <v>0.12038499</v>
      </c>
      <c r="M61" s="18" t="n">
        <v>0</v>
      </c>
      <c r="N61" s="20" t="n">
        <v>0</v>
      </c>
      <c r="O61" s="18" t="n">
        <v>0</v>
      </c>
      <c r="P61" s="20" t="n">
        <v>0</v>
      </c>
      <c r="Q61" s="18" t="n">
        <v>0.81395152</v>
      </c>
      <c r="R61" s="20" t="n">
        <v>0.39344784</v>
      </c>
    </row>
    <row r="62" spans="1:18">
      <c r="A62" s="15" t="s">
        <v>622</v>
      </c>
      <c r="B62" s="17" t="n">
        <v>2246</v>
      </c>
      <c r="C62" s="18">
        <f>(1758.0/B62*100)</f>
        <v/>
      </c>
      <c r="D62" s="19" t="n">
        <v>488</v>
      </c>
      <c r="E62" s="18" t="n">
        <v>64.74869931000001</v>
      </c>
      <c r="F62" s="20" t="n">
        <v>2.0489498</v>
      </c>
      <c r="G62" s="18" t="n">
        <v>35.04077773</v>
      </c>
      <c r="H62" s="20" t="n">
        <v>2.01708919</v>
      </c>
      <c r="I62" s="18" t="s">
        <v>567</v>
      </c>
      <c r="J62" s="20" t="s">
        <v>567</v>
      </c>
      <c r="K62" s="18" t="n">
        <v>0.21052296</v>
      </c>
      <c r="L62" s="20" t="n">
        <v>0.21050445</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(2234.0/B66*100)</f>
        <v/>
      </c>
      <c r="D66" s="19" t="n">
        <v>660</v>
      </c>
      <c r="E66" s="18" t="n">
        <v>77.51218301999999</v>
      </c>
      <c r="F66" s="20" t="n">
        <v>1.75336708</v>
      </c>
      <c r="G66" s="18" t="n">
        <v>16.27613236</v>
      </c>
      <c r="H66" s="20" t="n">
        <v>1.6030569</v>
      </c>
      <c r="I66" s="18" t="s">
        <v>567</v>
      </c>
      <c r="J66" s="20" t="s">
        <v>567</v>
      </c>
      <c r="K66" s="18" t="n">
        <v>0.43232793</v>
      </c>
      <c r="L66" s="20" t="n">
        <v>0.24984272</v>
      </c>
      <c r="M66" s="18" t="n">
        <v>0</v>
      </c>
      <c r="N66" s="20" t="n">
        <v>0</v>
      </c>
      <c r="O66" s="18" t="n">
        <v>0</v>
      </c>
      <c r="P66" s="20" t="n">
        <v>0</v>
      </c>
      <c r="Q66" s="18" t="n">
        <v>5.77935668</v>
      </c>
      <c r="R66" s="20" t="n">
        <v>0.8889404400000001</v>
      </c>
    </row>
    <row r="67" spans="1:18">
      <c r="A67" s="15" t="s">
        <v>627</v>
      </c>
      <c r="B67" s="17" t="n">
        <v>3511</v>
      </c>
      <c r="C67" s="18">
        <f>(2723.0/B67*100)</f>
        <v/>
      </c>
      <c r="D67" s="19" t="n">
        <v>788</v>
      </c>
      <c r="E67" s="18" t="n">
        <v>83.35951412999999</v>
      </c>
      <c r="F67" s="20" t="n">
        <v>1.28338786</v>
      </c>
      <c r="G67" s="18" t="n">
        <v>13.52081241</v>
      </c>
      <c r="H67" s="20" t="n">
        <v>1.21932377</v>
      </c>
      <c r="I67" s="18" t="s">
        <v>567</v>
      </c>
      <c r="J67" s="20" t="s">
        <v>567</v>
      </c>
      <c r="K67" s="18" t="n">
        <v>0.11398146</v>
      </c>
      <c r="L67" s="20" t="n">
        <v>0.11439659</v>
      </c>
      <c r="M67" s="18" t="n">
        <v>0</v>
      </c>
      <c r="N67" s="20" t="n">
        <v>0</v>
      </c>
      <c r="O67" s="18" t="n">
        <v>0</v>
      </c>
      <c r="P67" s="20" t="n">
        <v>0</v>
      </c>
      <c r="Q67" s="18" t="n">
        <v>3.005692</v>
      </c>
      <c r="R67" s="20" t="n">
        <v>0.61260635</v>
      </c>
    </row>
    <row r="68" spans="1:18">
      <c r="A68" s="15" t="s">
        <v>628</v>
      </c>
      <c r="B68" s="17" t="n">
        <v>6049</v>
      </c>
      <c r="C68" s="18">
        <f>(4694.0/B68*100)</f>
        <v/>
      </c>
      <c r="D68" s="19" t="n">
        <v>1355</v>
      </c>
      <c r="E68" s="18" t="n">
        <v>79.18842277</v>
      </c>
      <c r="F68" s="20" t="n">
        <v>1.00058642</v>
      </c>
      <c r="G68" s="18" t="n">
        <v>15.40679037</v>
      </c>
      <c r="H68" s="20" t="n">
        <v>0.91714004</v>
      </c>
      <c r="I68" s="18" t="s">
        <v>567</v>
      </c>
      <c r="J68" s="20" t="s">
        <v>567</v>
      </c>
      <c r="K68" s="18" t="n">
        <v>0.6509244</v>
      </c>
      <c r="L68" s="20" t="n">
        <v>0.23075685</v>
      </c>
      <c r="M68" s="18" t="n">
        <v>0</v>
      </c>
      <c r="N68" s="20" t="n">
        <v>0</v>
      </c>
      <c r="O68" s="18" t="n">
        <v>0</v>
      </c>
      <c r="P68" s="20" t="n">
        <v>0</v>
      </c>
      <c r="Q68" s="18" t="n">
        <v>4.75386245</v>
      </c>
      <c r="R68" s="20" t="n">
        <v>0.53140263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(2265.0/B70*100)</f>
        <v/>
      </c>
      <c r="D70" s="19" t="n">
        <v>664</v>
      </c>
      <c r="E70" s="18" t="n">
        <v>61.90211591</v>
      </c>
      <c r="F70" s="20" t="n">
        <v>2.33045258</v>
      </c>
      <c r="G70" s="18" t="n">
        <v>37.59447427</v>
      </c>
      <c r="H70" s="20" t="n">
        <v>2.35216943</v>
      </c>
      <c r="I70" s="18" t="s">
        <v>567</v>
      </c>
      <c r="J70" s="20" t="s">
        <v>567</v>
      </c>
      <c r="K70" s="18" t="n">
        <v>0.25126489</v>
      </c>
      <c r="L70" s="20" t="n">
        <v>0.14246599</v>
      </c>
      <c r="M70" s="18" t="n">
        <v>0</v>
      </c>
      <c r="N70" s="20" t="n">
        <v>0</v>
      </c>
      <c r="O70" s="18" t="n">
        <v>0</v>
      </c>
      <c r="P70" s="20" t="n">
        <v>0</v>
      </c>
      <c r="Q70" s="18" t="n">
        <v>0.25214494</v>
      </c>
      <c r="R70" s="20" t="n">
        <v>0.25315894</v>
      </c>
    </row>
    <row r="71" spans="1:18">
      <c r="A71" s="15" t="s">
        <v>631</v>
      </c>
      <c r="B71" s="17" t="n">
        <v>3142</v>
      </c>
      <c r="C71" s="18">
        <f>(2440.0/B71*100)</f>
        <v/>
      </c>
      <c r="D71" s="19" t="n">
        <v>702</v>
      </c>
      <c r="E71" s="18" t="n">
        <v>62.63032937</v>
      </c>
      <c r="F71" s="20" t="n">
        <v>1.85222718</v>
      </c>
      <c r="G71" s="18" t="n">
        <v>36.50917664</v>
      </c>
      <c r="H71" s="20" t="n">
        <v>1.88734709</v>
      </c>
      <c r="I71" s="18" t="s">
        <v>567</v>
      </c>
      <c r="J71" s="20" t="s">
        <v>567</v>
      </c>
      <c r="K71" s="18" t="n">
        <v>0.18903381</v>
      </c>
      <c r="L71" s="20" t="n">
        <v>0.13784256</v>
      </c>
      <c r="M71" s="18" t="n">
        <v>0</v>
      </c>
      <c r="N71" s="20" t="n">
        <v>0</v>
      </c>
      <c r="O71" s="18" t="n">
        <v>0</v>
      </c>
      <c r="P71" s="20" t="n">
        <v>0</v>
      </c>
      <c r="Q71" s="18" t="n">
        <v>0.67146018</v>
      </c>
      <c r="R71" s="20" t="n">
        <v>0.28483591</v>
      </c>
    </row>
    <row r="72" spans="1:18">
      <c r="A72" s="15" t="s">
        <v>632</v>
      </c>
      <c r="B72" s="17" t="n">
        <v>3889</v>
      </c>
      <c r="C72" s="18">
        <f>(3036.0/B72*100)</f>
        <v/>
      </c>
      <c r="D72" s="19" t="n">
        <v>853</v>
      </c>
      <c r="E72" s="18" t="n">
        <v>55.76813954</v>
      </c>
      <c r="F72" s="20" t="n">
        <v>1.98661967</v>
      </c>
      <c r="G72" s="18" t="n">
        <v>43.66020045</v>
      </c>
      <c r="H72" s="20" t="n">
        <v>1.97772053</v>
      </c>
      <c r="I72" s="18" t="s">
        <v>567</v>
      </c>
      <c r="J72" s="20" t="s">
        <v>567</v>
      </c>
      <c r="K72" s="18" t="n">
        <v>0</v>
      </c>
      <c r="L72" s="20" t="n">
        <v>0</v>
      </c>
      <c r="M72" s="18" t="n">
        <v>0</v>
      </c>
      <c r="N72" s="20" t="n">
        <v>0</v>
      </c>
      <c r="O72" s="18" t="n">
        <v>0</v>
      </c>
      <c r="P72" s="20" t="n">
        <v>0</v>
      </c>
      <c r="Q72" s="18" t="n">
        <v>0.57166001</v>
      </c>
      <c r="R72" s="20" t="n">
        <v>0.22250192</v>
      </c>
    </row>
    <row r="73" spans="1:18">
      <c r="A73" s="15" t="s">
        <v>633</v>
      </c>
      <c r="B73" s="17" t="n">
        <v>3597</v>
      </c>
      <c r="C73" s="18">
        <f>(2802.0/B73*100)</f>
        <v/>
      </c>
      <c r="D73" s="19" t="n">
        <v>795</v>
      </c>
      <c r="E73" s="18" t="n">
        <v>88.85564707</v>
      </c>
      <c r="F73" s="20" t="n">
        <v>1.55162133</v>
      </c>
      <c r="G73" s="18" t="n">
        <v>10.00277279</v>
      </c>
      <c r="H73" s="20" t="n">
        <v>1.52002493</v>
      </c>
      <c r="I73" s="18" t="s">
        <v>567</v>
      </c>
      <c r="J73" s="20" t="s">
        <v>567</v>
      </c>
      <c r="K73" s="18" t="n">
        <v>0</v>
      </c>
      <c r="L73" s="20" t="n">
        <v>0</v>
      </c>
      <c r="M73" s="18" t="n">
        <v>0</v>
      </c>
      <c r="N73" s="20" t="n">
        <v>0</v>
      </c>
      <c r="O73" s="18" t="n">
        <v>0</v>
      </c>
      <c r="P73" s="20" t="n">
        <v>0</v>
      </c>
      <c r="Q73" s="18" t="n">
        <v>1.14158015</v>
      </c>
      <c r="R73" s="20" t="n">
        <v>0.4623771</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(1886.0/B75*100)</f>
        <v/>
      </c>
      <c r="D75" s="19" t="n">
        <v>520</v>
      </c>
      <c r="E75" s="18" t="n">
        <v>88.29454079</v>
      </c>
      <c r="F75" s="20" t="n">
        <v>1.38642967</v>
      </c>
      <c r="G75" s="18" t="n">
        <v>8.465581459999999</v>
      </c>
      <c r="H75" s="20" t="n">
        <v>1.09664398</v>
      </c>
      <c r="I75" s="18" t="s">
        <v>567</v>
      </c>
      <c r="J75" s="20" t="s">
        <v>567</v>
      </c>
      <c r="K75" s="18" t="n">
        <v>0.5369692700000001</v>
      </c>
      <c r="L75" s="20" t="n">
        <v>0.28053175</v>
      </c>
      <c r="M75" s="18" t="n">
        <v>0</v>
      </c>
      <c r="N75" s="20" t="n">
        <v>0</v>
      </c>
      <c r="O75" s="18" t="n">
        <v>0</v>
      </c>
      <c r="P75" s="20" t="n">
        <v>0</v>
      </c>
      <c r="Q75" s="18" t="n">
        <v>2.70290848</v>
      </c>
      <c r="R75" s="20" t="n">
        <v>0.9059617</v>
      </c>
    </row>
    <row r="76" spans="1:18">
      <c r="A76" s="15" t="s">
        <v>636</v>
      </c>
      <c r="B76" s="17" t="n">
        <v>7052</v>
      </c>
      <c r="C76" s="18">
        <f>(5495.0/B76*100)</f>
        <v/>
      </c>
      <c r="D76" s="19" t="n">
        <v>1557</v>
      </c>
      <c r="E76" s="18" t="n">
        <v>76.51953742000001</v>
      </c>
      <c r="F76" s="20" t="n">
        <v>1.36400717</v>
      </c>
      <c r="G76" s="18" t="n">
        <v>21.46470989</v>
      </c>
      <c r="H76" s="20" t="n">
        <v>1.40077711</v>
      </c>
      <c r="I76" s="18" t="s">
        <v>567</v>
      </c>
      <c r="J76" s="20" t="s">
        <v>567</v>
      </c>
      <c r="K76" s="18" t="n">
        <v>0.75869946</v>
      </c>
      <c r="L76" s="20" t="n">
        <v>0.24310692</v>
      </c>
      <c r="M76" s="18" t="n">
        <v>0</v>
      </c>
      <c r="N76" s="20" t="n">
        <v>0</v>
      </c>
      <c r="O76" s="18" t="n">
        <v>0</v>
      </c>
      <c r="P76" s="20" t="n">
        <v>0</v>
      </c>
      <c r="Q76" s="18" t="n">
        <v>1.25705323</v>
      </c>
      <c r="R76" s="20" t="n">
        <v>0.31333289</v>
      </c>
    </row>
    <row r="77" spans="1:18">
      <c r="A77" s="15" t="s">
        <v>637</v>
      </c>
      <c r="B77" s="17" t="n">
        <v>2908</v>
      </c>
      <c r="C77" s="18">
        <f>(2326.0/B77*100)</f>
        <v/>
      </c>
      <c r="D77" s="19" t="n">
        <v>582</v>
      </c>
      <c r="E77" s="18" t="n">
        <v>78.80511772</v>
      </c>
      <c r="F77" s="20" t="n">
        <v>1.85372317</v>
      </c>
      <c r="G77" s="18" t="n">
        <v>17.0248045</v>
      </c>
      <c r="H77" s="20" t="n">
        <v>1.75191132</v>
      </c>
      <c r="I77" s="18" t="s">
        <v>567</v>
      </c>
      <c r="J77" s="20" t="s">
        <v>567</v>
      </c>
      <c r="K77" s="18" t="n">
        <v>0.92083406</v>
      </c>
      <c r="L77" s="20" t="n">
        <v>0.4340635</v>
      </c>
      <c r="M77" s="18" t="n">
        <v>0</v>
      </c>
      <c r="N77" s="20" t="n">
        <v>0</v>
      </c>
      <c r="O77" s="18" t="n">
        <v>0</v>
      </c>
      <c r="P77" s="20" t="n">
        <v>0</v>
      </c>
      <c r="Q77" s="18" t="n">
        <v>3.24924373</v>
      </c>
      <c r="R77" s="20" t="n">
        <v>0.7643511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(3262.0/B81*100)</f>
        <v/>
      </c>
      <c r="D81" s="19" t="n">
        <v>901</v>
      </c>
      <c r="E81" s="18" t="n">
        <v>87.37078673000001</v>
      </c>
      <c r="F81" s="20" t="n">
        <v>1.37396273</v>
      </c>
      <c r="G81" s="18" t="n">
        <v>12.2770692</v>
      </c>
      <c r="H81" s="20" t="n">
        <v>1.31362674</v>
      </c>
      <c r="I81" s="18" t="s">
        <v>567</v>
      </c>
      <c r="J81" s="20" t="s">
        <v>567</v>
      </c>
      <c r="K81" s="18" t="n">
        <v>0</v>
      </c>
      <c r="L81" s="20" t="n">
        <v>0</v>
      </c>
      <c r="M81" s="18" t="n">
        <v>0</v>
      </c>
      <c r="N81" s="20" t="n">
        <v>0</v>
      </c>
      <c r="O81" s="18" t="n">
        <v>0</v>
      </c>
      <c r="P81" s="20" t="n">
        <v>0</v>
      </c>
      <c r="Q81" s="18" t="n">
        <v>0.35214406</v>
      </c>
      <c r="R81" s="20" t="n">
        <v>0.20575158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(5711.0/B7*100)</f>
        <v/>
      </c>
      <c r="D7" s="19" t="n">
        <v>1656</v>
      </c>
      <c r="E7" s="18" t="n">
        <v>53.73438458</v>
      </c>
      <c r="F7" s="20" t="n">
        <v>1.51660558</v>
      </c>
      <c r="G7" s="18" t="n">
        <v>45.2181958</v>
      </c>
      <c r="H7" s="20" t="n">
        <v>1.47774305</v>
      </c>
      <c r="I7" s="18" t="s">
        <v>567</v>
      </c>
      <c r="J7" s="20" t="s">
        <v>567</v>
      </c>
      <c r="K7" s="18" t="n">
        <v>0.18084547</v>
      </c>
      <c r="L7" s="20" t="n">
        <v>0.1138058</v>
      </c>
      <c r="M7" s="18" t="n">
        <v>0</v>
      </c>
      <c r="N7" s="20" t="n">
        <v>0</v>
      </c>
      <c r="O7" s="18" t="n">
        <v>0</v>
      </c>
      <c r="P7" s="20" t="n">
        <v>0</v>
      </c>
      <c r="Q7" s="18" t="n">
        <v>0.86657416</v>
      </c>
      <c r="R7" s="20" t="n">
        <v>0.2733147</v>
      </c>
    </row>
    <row r="8" spans="1:18">
      <c r="A8" s="15" t="s">
        <v>568</v>
      </c>
      <c r="B8" s="17" t="n">
        <v>3564</v>
      </c>
      <c r="C8" s="18">
        <f>(2771.0/B8*100)</f>
        <v/>
      </c>
      <c r="D8" s="19" t="n">
        <v>793</v>
      </c>
      <c r="E8" s="18" t="n">
        <v>50.50205996</v>
      </c>
      <c r="F8" s="20" t="n">
        <v>2.12488757</v>
      </c>
      <c r="G8" s="18" t="n">
        <v>47.77008254</v>
      </c>
      <c r="H8" s="20" t="n">
        <v>2.03039041</v>
      </c>
      <c r="I8" s="18" t="s">
        <v>567</v>
      </c>
      <c r="J8" s="20" t="s">
        <v>567</v>
      </c>
      <c r="K8" s="18" t="n">
        <v>0</v>
      </c>
      <c r="L8" s="20" t="n">
        <v>0</v>
      </c>
      <c r="M8" s="18" t="n">
        <v>0</v>
      </c>
      <c r="N8" s="20" t="n">
        <v>0</v>
      </c>
      <c r="O8" s="18" t="n">
        <v>0</v>
      </c>
      <c r="P8" s="20" t="n">
        <v>0</v>
      </c>
      <c r="Q8" s="18" t="n">
        <v>1.7278575</v>
      </c>
      <c r="R8" s="20" t="n">
        <v>0.5210116299999999</v>
      </c>
    </row>
    <row r="9" spans="1:18">
      <c r="A9" s="15" t="s">
        <v>569</v>
      </c>
      <c r="B9" s="17" t="n">
        <v>4899</v>
      </c>
      <c r="C9" s="18">
        <f>(3849.0/B9*100)</f>
        <v/>
      </c>
      <c r="D9" s="19" t="n">
        <v>1050</v>
      </c>
      <c r="E9" s="18" t="n">
        <v>48.83478812</v>
      </c>
      <c r="F9" s="20" t="n">
        <v>1.45209661</v>
      </c>
      <c r="G9" s="18" t="n">
        <v>49.64604772</v>
      </c>
      <c r="H9" s="20" t="n">
        <v>1.42571895</v>
      </c>
      <c r="I9" s="18" t="s">
        <v>567</v>
      </c>
      <c r="J9" s="20" t="s">
        <v>567</v>
      </c>
      <c r="K9" s="18" t="n">
        <v>0.07799526</v>
      </c>
      <c r="L9" s="20" t="n">
        <v>0.07441382000000001</v>
      </c>
      <c r="M9" s="18" t="n">
        <v>0</v>
      </c>
      <c r="N9" s="20" t="n">
        <v>0</v>
      </c>
      <c r="O9" s="18" t="n">
        <v>0</v>
      </c>
      <c r="P9" s="20" t="n">
        <v>0</v>
      </c>
      <c r="Q9" s="18" t="n">
        <v>1.44116891</v>
      </c>
      <c r="R9" s="20" t="n">
        <v>0.34677854</v>
      </c>
    </row>
    <row r="10" spans="1:18">
      <c r="A10" s="15" t="s">
        <v>570</v>
      </c>
      <c r="B10" s="17" t="n">
        <v>10036</v>
      </c>
      <c r="C10" s="18">
        <f>(7750.0/B10*100)</f>
        <v/>
      </c>
      <c r="D10" s="19" t="n">
        <v>2286</v>
      </c>
      <c r="E10" s="18" t="n">
        <v>44.72753487</v>
      </c>
      <c r="F10" s="20" t="n">
        <v>1.44612207</v>
      </c>
      <c r="G10" s="18" t="n">
        <v>54.73599882</v>
      </c>
      <c r="H10" s="20" t="n">
        <v>1.47394157</v>
      </c>
      <c r="I10" s="18" t="s">
        <v>567</v>
      </c>
      <c r="J10" s="20" t="s">
        <v>567</v>
      </c>
      <c r="K10" s="18" t="n">
        <v>0</v>
      </c>
      <c r="L10" s="20" t="n">
        <v>0</v>
      </c>
      <c r="M10" s="18" t="n">
        <v>0</v>
      </c>
      <c r="N10" s="20" t="n">
        <v>0</v>
      </c>
      <c r="O10" s="18" t="n">
        <v>0</v>
      </c>
      <c r="P10" s="20" t="n">
        <v>0</v>
      </c>
      <c r="Q10" s="18" t="n">
        <v>0.53646631</v>
      </c>
      <c r="R10" s="20" t="n">
        <v>0.18362091</v>
      </c>
    </row>
    <row r="11" spans="1:18">
      <c r="A11" s="15" t="s">
        <v>571</v>
      </c>
      <c r="B11" s="17" t="n">
        <v>3553</v>
      </c>
      <c r="C11" s="18">
        <f>(2741.0/B11*100)</f>
        <v/>
      </c>
      <c r="D11" s="19" t="n">
        <v>812</v>
      </c>
      <c r="E11" s="18" t="n">
        <v>58.53601533</v>
      </c>
      <c r="F11" s="20" t="n">
        <v>2.33550905</v>
      </c>
      <c r="G11" s="18" t="n">
        <v>39.87848686</v>
      </c>
      <c r="H11" s="20" t="n">
        <v>2.33862566</v>
      </c>
      <c r="I11" s="18" t="s">
        <v>567</v>
      </c>
      <c r="J11" s="20" t="s">
        <v>567</v>
      </c>
      <c r="K11" s="18" t="n">
        <v>0</v>
      </c>
      <c r="L11" s="20" t="n">
        <v>0</v>
      </c>
      <c r="M11" s="18" t="n">
        <v>0</v>
      </c>
      <c r="N11" s="20" t="n">
        <v>0</v>
      </c>
      <c r="O11" s="18" t="n">
        <v>0</v>
      </c>
      <c r="P11" s="20" t="n">
        <v>0</v>
      </c>
      <c r="Q11" s="18" t="n">
        <v>1.58549781</v>
      </c>
      <c r="R11" s="20" t="n">
        <v>0.46915186</v>
      </c>
    </row>
    <row r="12" spans="1:18">
      <c r="A12" s="15" t="s">
        <v>572</v>
      </c>
      <c r="B12" s="17" t="n">
        <v>3472</v>
      </c>
      <c r="C12" s="18">
        <f>(2753.0/B12*100)</f>
        <v/>
      </c>
      <c r="D12" s="19" t="n">
        <v>719</v>
      </c>
      <c r="E12" s="18" t="n">
        <v>41.99466456</v>
      </c>
      <c r="F12" s="20" t="n">
        <v>2.19526439</v>
      </c>
      <c r="G12" s="18" t="n">
        <v>57.49292002</v>
      </c>
      <c r="H12" s="20" t="n">
        <v>2.20278612</v>
      </c>
      <c r="I12" s="18" t="s">
        <v>567</v>
      </c>
      <c r="J12" s="20" t="s">
        <v>567</v>
      </c>
      <c r="K12" s="18" t="n">
        <v>0</v>
      </c>
      <c r="L12" s="20" t="n">
        <v>0</v>
      </c>
      <c r="M12" s="18" t="n">
        <v>0</v>
      </c>
      <c r="N12" s="20" t="n">
        <v>0</v>
      </c>
      <c r="O12" s="18" t="n">
        <v>0</v>
      </c>
      <c r="P12" s="20" t="n">
        <v>0</v>
      </c>
      <c r="Q12" s="18" t="n">
        <v>0.51241541</v>
      </c>
      <c r="R12" s="20" t="n">
        <v>0.28303455</v>
      </c>
    </row>
    <row r="13" spans="1:18">
      <c r="A13" s="15" t="s">
        <v>573</v>
      </c>
      <c r="B13" s="17" t="n">
        <v>3559</v>
      </c>
      <c r="C13" s="18">
        <f>(2796.0/B13*100)</f>
        <v/>
      </c>
      <c r="D13" s="19" t="n">
        <v>763</v>
      </c>
      <c r="E13" s="18" t="n">
        <v>47.78500329</v>
      </c>
      <c r="F13" s="20" t="n">
        <v>2.11344285</v>
      </c>
      <c r="G13" s="18" t="n">
        <v>51.78794989</v>
      </c>
      <c r="H13" s="20" t="n">
        <v>2.10093472</v>
      </c>
      <c r="I13" s="18" t="s">
        <v>567</v>
      </c>
      <c r="J13" s="20" t="s">
        <v>567</v>
      </c>
      <c r="K13" s="18" t="n">
        <v>0.03844518</v>
      </c>
      <c r="L13" s="20" t="n">
        <v>0.03664662</v>
      </c>
      <c r="M13" s="18" t="n">
        <v>0</v>
      </c>
      <c r="N13" s="20" t="n">
        <v>0</v>
      </c>
      <c r="O13" s="18" t="n">
        <v>0</v>
      </c>
      <c r="P13" s="20" t="n">
        <v>0</v>
      </c>
      <c r="Q13" s="18" t="n">
        <v>0.38860164</v>
      </c>
      <c r="R13" s="20" t="n">
        <v>0.18172327</v>
      </c>
    </row>
    <row r="14" spans="1:18">
      <c r="A14" s="15" t="s">
        <v>574</v>
      </c>
      <c r="B14" s="17" t="n">
        <v>2799</v>
      </c>
      <c r="C14" s="18">
        <f>(2208.0/B14*100)</f>
        <v/>
      </c>
      <c r="D14" s="19" t="n">
        <v>591</v>
      </c>
      <c r="E14" s="18" t="n">
        <v>49.88289441</v>
      </c>
      <c r="F14" s="20" t="n">
        <v>2.06977552</v>
      </c>
      <c r="G14" s="18" t="n">
        <v>48.87080082</v>
      </c>
      <c r="H14" s="20" t="n">
        <v>2.1793423</v>
      </c>
      <c r="I14" s="18" t="s">
        <v>567</v>
      </c>
      <c r="J14" s="20" t="s">
        <v>567</v>
      </c>
      <c r="K14" s="18" t="n">
        <v>0.14969941</v>
      </c>
      <c r="L14" s="20" t="n">
        <v>0.14893695</v>
      </c>
      <c r="M14" s="18" t="n">
        <v>0</v>
      </c>
      <c r="N14" s="20" t="n">
        <v>0</v>
      </c>
      <c r="O14" s="18" t="n">
        <v>0</v>
      </c>
      <c r="P14" s="20" t="n">
        <v>0</v>
      </c>
      <c r="Q14" s="18" t="n">
        <v>1.09660536</v>
      </c>
      <c r="R14" s="20" t="n">
        <v>0.49375943</v>
      </c>
    </row>
    <row r="15" spans="1:18">
      <c r="A15" s="15" t="s">
        <v>575</v>
      </c>
      <c r="B15" s="17" t="n">
        <v>3019</v>
      </c>
      <c r="C15" s="18">
        <f>(2350.0/B15*100)</f>
        <v/>
      </c>
      <c r="D15" s="19" t="n">
        <v>669</v>
      </c>
      <c r="E15" s="18" t="n">
        <v>56.03249127</v>
      </c>
      <c r="F15" s="20" t="n">
        <v>2.3250859</v>
      </c>
      <c r="G15" s="18" t="n">
        <v>42.98101202</v>
      </c>
      <c r="H15" s="20" t="n">
        <v>2.31060125</v>
      </c>
      <c r="I15" s="18" t="s">
        <v>567</v>
      </c>
      <c r="J15" s="20" t="s">
        <v>567</v>
      </c>
      <c r="K15" s="18" t="n">
        <v>0.15398038</v>
      </c>
      <c r="L15" s="20" t="n">
        <v>0.15444609</v>
      </c>
      <c r="M15" s="18" t="n">
        <v>0</v>
      </c>
      <c r="N15" s="20" t="n">
        <v>0</v>
      </c>
      <c r="O15" s="18" t="n">
        <v>0</v>
      </c>
      <c r="P15" s="20" t="n">
        <v>0</v>
      </c>
      <c r="Q15" s="18" t="n">
        <v>0.83251633</v>
      </c>
      <c r="R15" s="20" t="n">
        <v>0.3407429</v>
      </c>
    </row>
    <row r="16" spans="1:18">
      <c r="A16" s="15" t="s">
        <v>576</v>
      </c>
      <c r="B16" s="17" t="n">
        <v>2997</v>
      </c>
      <c r="C16" s="18">
        <f>(2317.0/B16*100)</f>
        <v/>
      </c>
      <c r="D16" s="19" t="n">
        <v>680</v>
      </c>
      <c r="E16" s="18" t="n">
        <v>50.26849849</v>
      </c>
      <c r="F16" s="20" t="n">
        <v>1.89969416</v>
      </c>
      <c r="G16" s="18" t="n">
        <v>46.40303599</v>
      </c>
      <c r="H16" s="20" t="n">
        <v>1.92650852</v>
      </c>
      <c r="I16" s="18" t="s">
        <v>567</v>
      </c>
      <c r="J16" s="20" t="s">
        <v>567</v>
      </c>
      <c r="K16" s="18" t="n">
        <v>0.16885478</v>
      </c>
      <c r="L16" s="20" t="n">
        <v>0.16451488</v>
      </c>
      <c r="M16" s="18" t="n">
        <v>0</v>
      </c>
      <c r="N16" s="20" t="n">
        <v>0</v>
      </c>
      <c r="O16" s="18" t="n">
        <v>0</v>
      </c>
      <c r="P16" s="20" t="n">
        <v>0</v>
      </c>
      <c r="Q16" s="18" t="n">
        <v>3.15961074</v>
      </c>
      <c r="R16" s="20" t="n">
        <v>0.67296013</v>
      </c>
    </row>
    <row r="17" spans="1:18">
      <c r="A17" s="15" t="s">
        <v>577</v>
      </c>
      <c r="B17" s="17" t="n">
        <v>3307</v>
      </c>
      <c r="C17" s="18">
        <f>(2554.0/B17*100)</f>
        <v/>
      </c>
      <c r="D17" s="19" t="n">
        <v>753</v>
      </c>
      <c r="E17" s="18" t="n">
        <v>58.59848498</v>
      </c>
      <c r="F17" s="20" t="n">
        <v>1.89995646</v>
      </c>
      <c r="G17" s="18" t="n">
        <v>40.82762456</v>
      </c>
      <c r="H17" s="20" t="n">
        <v>1.87479409</v>
      </c>
      <c r="I17" s="18" t="s">
        <v>567</v>
      </c>
      <c r="J17" s="20" t="s">
        <v>567</v>
      </c>
      <c r="K17" s="18" t="n">
        <v>0.1331562</v>
      </c>
      <c r="L17" s="20" t="n">
        <v>0.13277993</v>
      </c>
      <c r="M17" s="18" t="n">
        <v>0</v>
      </c>
      <c r="N17" s="20" t="n">
        <v>0</v>
      </c>
      <c r="O17" s="18" t="n">
        <v>0</v>
      </c>
      <c r="P17" s="20" t="n">
        <v>0</v>
      </c>
      <c r="Q17" s="18" t="n">
        <v>0.44073426</v>
      </c>
      <c r="R17" s="20" t="n">
        <v>0.22411807</v>
      </c>
    </row>
    <row r="18" spans="1:18">
      <c r="A18" s="15" t="s">
        <v>578</v>
      </c>
      <c r="B18" s="17" t="n">
        <v>2826</v>
      </c>
      <c r="C18" s="18">
        <f>(2214.0/B18*100)</f>
        <v/>
      </c>
      <c r="D18" s="19" t="n">
        <v>612</v>
      </c>
      <c r="E18" s="18" t="n">
        <v>52.06800304</v>
      </c>
      <c r="F18" s="20" t="n">
        <v>2.32473636</v>
      </c>
      <c r="G18" s="18" t="n">
        <v>46.17356713</v>
      </c>
      <c r="H18" s="20" t="n">
        <v>2.16491571</v>
      </c>
      <c r="I18" s="18" t="s">
        <v>567</v>
      </c>
      <c r="J18" s="20" t="s">
        <v>567</v>
      </c>
      <c r="K18" s="18" t="n">
        <v>0.16726073</v>
      </c>
      <c r="L18" s="20" t="n">
        <v>0.17368182</v>
      </c>
      <c r="M18" s="18" t="n">
        <v>0</v>
      </c>
      <c r="N18" s="20" t="n">
        <v>0</v>
      </c>
      <c r="O18" s="18" t="n">
        <v>0</v>
      </c>
      <c r="P18" s="20" t="n">
        <v>0</v>
      </c>
      <c r="Q18" s="18" t="n">
        <v>1.5911691</v>
      </c>
      <c r="R18" s="20" t="n">
        <v>0.48372048</v>
      </c>
    </row>
    <row r="19" spans="1:18">
      <c r="A19" s="15" t="s">
        <v>579</v>
      </c>
      <c r="B19" s="17" t="n">
        <v>2808</v>
      </c>
      <c r="C19" s="18">
        <f>(2200.0/B19*100)</f>
        <v/>
      </c>
      <c r="D19" s="19" t="n">
        <v>608</v>
      </c>
      <c r="E19" s="18" t="n">
        <v>51.92924413</v>
      </c>
      <c r="F19" s="20" t="n">
        <v>2.24006229</v>
      </c>
      <c r="G19" s="18" t="n">
        <v>46.34736652</v>
      </c>
      <c r="H19" s="20" t="n">
        <v>2.23173793</v>
      </c>
      <c r="I19" s="18" t="s">
        <v>567</v>
      </c>
      <c r="J19" s="20" t="s">
        <v>567</v>
      </c>
      <c r="K19" s="18" t="n">
        <v>0</v>
      </c>
      <c r="L19" s="20" t="n">
        <v>0</v>
      </c>
      <c r="M19" s="18" t="n">
        <v>0</v>
      </c>
      <c r="N19" s="20" t="n">
        <v>0</v>
      </c>
      <c r="O19" s="18" t="n">
        <v>0</v>
      </c>
      <c r="P19" s="20" t="n">
        <v>0</v>
      </c>
      <c r="Q19" s="18" t="n">
        <v>1.72338935</v>
      </c>
      <c r="R19" s="20" t="n">
        <v>0.50976809</v>
      </c>
    </row>
    <row r="20" spans="1:18">
      <c r="A20" s="15" t="s">
        <v>580</v>
      </c>
      <c r="B20" s="17" t="n">
        <v>1630</v>
      </c>
      <c r="C20" s="18">
        <f>(1256.0/B20*100)</f>
        <v/>
      </c>
      <c r="D20" s="19" t="n">
        <v>374</v>
      </c>
      <c r="E20" s="18" t="n">
        <v>47.18468219</v>
      </c>
      <c r="F20" s="20" t="n">
        <v>2.56845705</v>
      </c>
      <c r="G20" s="18" t="n">
        <v>51.53123623</v>
      </c>
      <c r="H20" s="20" t="n">
        <v>2.42220269</v>
      </c>
      <c r="I20" s="18" t="s">
        <v>567</v>
      </c>
      <c r="J20" s="20" t="s">
        <v>567</v>
      </c>
      <c r="K20" s="18" t="n">
        <v>0.49892404</v>
      </c>
      <c r="L20" s="20" t="n">
        <v>0.30458447</v>
      </c>
      <c r="M20" s="18" t="n">
        <v>0</v>
      </c>
      <c r="N20" s="20" t="n">
        <v>0</v>
      </c>
      <c r="O20" s="18" t="n">
        <v>0</v>
      </c>
      <c r="P20" s="20" t="n">
        <v>0</v>
      </c>
      <c r="Q20" s="18" t="n">
        <v>0.78515754</v>
      </c>
      <c r="R20" s="20" t="n">
        <v>0.45467113</v>
      </c>
    </row>
    <row r="21" spans="1:18">
      <c r="A21" s="15" t="s">
        <v>581</v>
      </c>
      <c r="B21" s="17" t="n">
        <v>2908</v>
      </c>
      <c r="C21" s="18">
        <f>(2285.0/B21*100)</f>
        <v/>
      </c>
      <c r="D21" s="19" t="n">
        <v>623</v>
      </c>
      <c r="E21" s="18" t="n">
        <v>53.57886594</v>
      </c>
      <c r="F21" s="20" t="n">
        <v>2.16864545</v>
      </c>
      <c r="G21" s="18" t="n">
        <v>45.35145091</v>
      </c>
      <c r="H21" s="20" t="n">
        <v>2.1878837</v>
      </c>
      <c r="I21" s="18" t="s">
        <v>567</v>
      </c>
      <c r="J21" s="20" t="s">
        <v>567</v>
      </c>
      <c r="K21" s="18" t="n">
        <v>0</v>
      </c>
      <c r="L21" s="20" t="n">
        <v>0</v>
      </c>
      <c r="M21" s="18" t="n">
        <v>0</v>
      </c>
      <c r="N21" s="20" t="n">
        <v>0</v>
      </c>
      <c r="O21" s="18" t="n">
        <v>0</v>
      </c>
      <c r="P21" s="20" t="n">
        <v>0</v>
      </c>
      <c r="Q21" s="18" t="n">
        <v>1.06968314</v>
      </c>
      <c r="R21" s="20" t="n">
        <v>0.42896874</v>
      </c>
    </row>
    <row r="22" spans="1:18">
      <c r="A22" s="15" t="s">
        <v>582</v>
      </c>
      <c r="B22" s="17" t="n">
        <v>2931</v>
      </c>
      <c r="C22" s="18">
        <f>(2263.0/B22*100)</f>
        <v/>
      </c>
      <c r="D22" s="19" t="n">
        <v>668</v>
      </c>
      <c r="E22" s="18" t="n">
        <v>42.7071579</v>
      </c>
      <c r="F22" s="20" t="n">
        <v>2.17294156</v>
      </c>
      <c r="G22" s="18" t="n">
        <v>53.66600014</v>
      </c>
      <c r="H22" s="20" t="n">
        <v>2.26423078</v>
      </c>
      <c r="I22" s="18" t="s">
        <v>567</v>
      </c>
      <c r="J22" s="20" t="s">
        <v>567</v>
      </c>
      <c r="K22" s="18" t="n">
        <v>0.12062442</v>
      </c>
      <c r="L22" s="20" t="n">
        <v>0.12071977</v>
      </c>
      <c r="M22" s="18" t="n">
        <v>0</v>
      </c>
      <c r="N22" s="20" t="n">
        <v>0</v>
      </c>
      <c r="O22" s="18" t="n">
        <v>0</v>
      </c>
      <c r="P22" s="20" t="n">
        <v>0</v>
      </c>
      <c r="Q22" s="18" t="n">
        <v>3.50621754</v>
      </c>
      <c r="R22" s="20" t="n">
        <v>0.80274085</v>
      </c>
    </row>
    <row r="23" spans="1:18">
      <c r="A23" s="15" t="s">
        <v>583</v>
      </c>
      <c r="B23" s="17" t="n">
        <v>5791</v>
      </c>
      <c r="C23" s="18">
        <f>(4495.0/B23*100)</f>
        <v/>
      </c>
      <c r="D23" s="19" t="n">
        <v>1296</v>
      </c>
      <c r="E23" s="18" t="n">
        <v>46.70848621</v>
      </c>
      <c r="F23" s="20" t="n">
        <v>2.08789144</v>
      </c>
      <c r="G23" s="18" t="n">
        <v>52.01033402</v>
      </c>
      <c r="H23" s="20" t="n">
        <v>2.08933823</v>
      </c>
      <c r="I23" s="18" t="s">
        <v>567</v>
      </c>
      <c r="J23" s="20" t="s">
        <v>567</v>
      </c>
      <c r="K23" s="18" t="n">
        <v>0.24390745</v>
      </c>
      <c r="L23" s="20" t="n">
        <v>0.17860482</v>
      </c>
      <c r="M23" s="18" t="n">
        <v>0</v>
      </c>
      <c r="N23" s="20" t="n">
        <v>0</v>
      </c>
      <c r="O23" s="18" t="n">
        <v>0</v>
      </c>
      <c r="P23" s="20" t="n">
        <v>0</v>
      </c>
      <c r="Q23" s="18" t="n">
        <v>1.03727232</v>
      </c>
      <c r="R23" s="20" t="n">
        <v>0.37413306</v>
      </c>
    </row>
    <row r="24" spans="1:18">
      <c r="A24" s="15" t="s">
        <v>584</v>
      </c>
      <c r="B24" s="17" t="n">
        <v>3338</v>
      </c>
      <c r="C24" s="18">
        <f>(2591.0/B24*100)</f>
        <v/>
      </c>
      <c r="D24" s="19" t="n">
        <v>747</v>
      </c>
      <c r="E24" s="18" t="n">
        <v>33.8698088</v>
      </c>
      <c r="F24" s="20" t="n">
        <v>1.25097027</v>
      </c>
      <c r="G24" s="18" t="n">
        <v>65.47676389</v>
      </c>
      <c r="H24" s="20" t="n">
        <v>1.25155267</v>
      </c>
      <c r="I24" s="18" t="s">
        <v>567</v>
      </c>
      <c r="J24" s="20" t="s">
        <v>567</v>
      </c>
      <c r="K24" s="18" t="n">
        <v>0.14036263</v>
      </c>
      <c r="L24" s="20" t="n">
        <v>0.13556593</v>
      </c>
      <c r="M24" s="18" t="n">
        <v>0</v>
      </c>
      <c r="N24" s="20" t="n">
        <v>0</v>
      </c>
      <c r="O24" s="18" t="n">
        <v>0</v>
      </c>
      <c r="P24" s="20" t="n">
        <v>0</v>
      </c>
      <c r="Q24" s="18" t="n">
        <v>0.5130646800000001</v>
      </c>
      <c r="R24" s="20" t="n">
        <v>0.25095905</v>
      </c>
    </row>
    <row r="25" spans="1:18">
      <c r="A25" s="15" t="s">
        <v>585</v>
      </c>
      <c r="B25" s="17" t="n">
        <v>2912</v>
      </c>
      <c r="C25" s="18">
        <f>(2245.0/B25*100)</f>
        <v/>
      </c>
      <c r="D25" s="19" t="n">
        <v>667</v>
      </c>
      <c r="E25" s="18" t="n">
        <v>42.16544569</v>
      </c>
      <c r="F25" s="20" t="n">
        <v>2.12438477</v>
      </c>
      <c r="G25" s="18" t="n">
        <v>56.75639379</v>
      </c>
      <c r="H25" s="20" t="n">
        <v>2.18903218</v>
      </c>
      <c r="I25" s="18" t="s">
        <v>567</v>
      </c>
      <c r="J25" s="20" t="s">
        <v>567</v>
      </c>
      <c r="K25" s="18" t="n">
        <v>0.46709647</v>
      </c>
      <c r="L25" s="20" t="n">
        <v>0.35791141</v>
      </c>
      <c r="M25" s="18" t="n">
        <v>0</v>
      </c>
      <c r="N25" s="20" t="n">
        <v>0</v>
      </c>
      <c r="O25" s="18" t="n">
        <v>0</v>
      </c>
      <c r="P25" s="20" t="n">
        <v>0</v>
      </c>
      <c r="Q25" s="18" t="n">
        <v>0.61106405</v>
      </c>
      <c r="R25" s="20" t="n">
        <v>0.30148461</v>
      </c>
    </row>
    <row r="26" spans="1:18">
      <c r="A26" s="15" t="s">
        <v>586</v>
      </c>
      <c r="B26" s="17" t="n">
        <v>2450</v>
      </c>
      <c r="C26" s="18">
        <f>(1876.0/B26*100)</f>
        <v/>
      </c>
      <c r="D26" s="19" t="n">
        <v>574</v>
      </c>
      <c r="E26" s="18" t="n">
        <v>57.0385409</v>
      </c>
      <c r="F26" s="20" t="n">
        <v>2.30787135</v>
      </c>
      <c r="G26" s="18" t="n">
        <v>42.65875654</v>
      </c>
      <c r="H26" s="20" t="n">
        <v>2.34551662</v>
      </c>
      <c r="I26" s="18" t="s">
        <v>567</v>
      </c>
      <c r="J26" s="20" t="s">
        <v>567</v>
      </c>
      <c r="K26" s="18" t="n">
        <v>0</v>
      </c>
      <c r="L26" s="20" t="n">
        <v>0</v>
      </c>
      <c r="M26" s="18" t="n">
        <v>0</v>
      </c>
      <c r="N26" s="20" t="n">
        <v>0</v>
      </c>
      <c r="O26" s="18" t="n">
        <v>0</v>
      </c>
      <c r="P26" s="20" t="n">
        <v>0</v>
      </c>
      <c r="Q26" s="18" t="n">
        <v>0.30270255</v>
      </c>
      <c r="R26" s="20" t="n">
        <v>0.217959</v>
      </c>
    </row>
    <row r="27" spans="1:18">
      <c r="A27" s="15" t="s">
        <v>587</v>
      </c>
      <c r="B27" s="17" t="n">
        <v>2616</v>
      </c>
      <c r="C27" s="18">
        <f>(2038.0/B27*100)</f>
        <v/>
      </c>
      <c r="D27" s="19" t="n">
        <v>578</v>
      </c>
      <c r="E27" s="18" t="n">
        <v>58.72631301</v>
      </c>
      <c r="F27" s="20" t="n">
        <v>2.28126611</v>
      </c>
      <c r="G27" s="18" t="n">
        <v>39.52081984</v>
      </c>
      <c r="H27" s="20" t="n">
        <v>2.36484356</v>
      </c>
      <c r="I27" s="18" t="s">
        <v>567</v>
      </c>
      <c r="J27" s="20" t="s">
        <v>567</v>
      </c>
      <c r="K27" s="18" t="n">
        <v>0.35155225</v>
      </c>
      <c r="L27" s="20" t="n">
        <v>0.24983859</v>
      </c>
      <c r="M27" s="18" t="n">
        <v>0</v>
      </c>
      <c r="N27" s="20" t="n">
        <v>0</v>
      </c>
      <c r="O27" s="18" t="n">
        <v>0</v>
      </c>
      <c r="P27" s="20" t="n">
        <v>0</v>
      </c>
      <c r="Q27" s="18" t="n">
        <v>1.4013149</v>
      </c>
      <c r="R27" s="20" t="n">
        <v>0.47566634</v>
      </c>
    </row>
    <row r="28" spans="1:18">
      <c r="A28" s="15" t="s">
        <v>588</v>
      </c>
      <c r="B28" s="17" t="n">
        <v>3765</v>
      </c>
      <c r="C28" s="18">
        <f>(2952.0/B28*100)</f>
        <v/>
      </c>
      <c r="D28" s="19" t="n">
        <v>813</v>
      </c>
      <c r="E28" s="18" t="n">
        <v>63.48571283</v>
      </c>
      <c r="F28" s="20" t="n">
        <v>2.07950754</v>
      </c>
      <c r="G28" s="18" t="n">
        <v>35.60672098</v>
      </c>
      <c r="H28" s="20" t="n">
        <v>2.08726111</v>
      </c>
      <c r="I28" s="18" t="s">
        <v>567</v>
      </c>
      <c r="J28" s="20" t="s">
        <v>567</v>
      </c>
      <c r="K28" s="18" t="n">
        <v>0</v>
      </c>
      <c r="L28" s="20" t="n">
        <v>0</v>
      </c>
      <c r="M28" s="18" t="n">
        <v>0</v>
      </c>
      <c r="N28" s="20" t="n">
        <v>0</v>
      </c>
      <c r="O28" s="18" t="n">
        <v>0</v>
      </c>
      <c r="P28" s="20" t="n">
        <v>0</v>
      </c>
      <c r="Q28" s="18" t="n">
        <v>0.90756618</v>
      </c>
      <c r="R28" s="20" t="n">
        <v>0.39340209</v>
      </c>
    </row>
    <row r="29" spans="1:18">
      <c r="A29" s="15" t="s">
        <v>589</v>
      </c>
      <c r="B29" s="17" t="n">
        <v>2685</v>
      </c>
      <c r="C29" s="18">
        <f>(2097.0/B29*100)</f>
        <v/>
      </c>
      <c r="D29" s="19" t="n">
        <v>588</v>
      </c>
      <c r="E29" s="18" t="n">
        <v>53.24978371</v>
      </c>
      <c r="F29" s="20" t="n">
        <v>2.21271479</v>
      </c>
      <c r="G29" s="18" t="n">
        <v>45.65812119</v>
      </c>
      <c r="H29" s="20" t="n">
        <v>2.16919296</v>
      </c>
      <c r="I29" s="18" t="s">
        <v>567</v>
      </c>
      <c r="J29" s="20" t="s">
        <v>567</v>
      </c>
      <c r="K29" s="18" t="n">
        <v>0.13260537</v>
      </c>
      <c r="L29" s="20" t="n">
        <v>0.13106918</v>
      </c>
      <c r="M29" s="18" t="n">
        <v>0</v>
      </c>
      <c r="N29" s="20" t="n">
        <v>0</v>
      </c>
      <c r="O29" s="18" t="n">
        <v>0</v>
      </c>
      <c r="P29" s="20" t="n">
        <v>0</v>
      </c>
      <c r="Q29" s="18" t="n">
        <v>0.95948973</v>
      </c>
      <c r="R29" s="20" t="n">
        <v>0.4356829</v>
      </c>
    </row>
    <row r="30" spans="1:18">
      <c r="A30" s="15" t="s">
        <v>590</v>
      </c>
      <c r="B30" s="17" t="n">
        <v>2263</v>
      </c>
      <c r="C30" s="18">
        <f>(1769.0/B30*100)</f>
        <v/>
      </c>
      <c r="D30" s="19" t="n">
        <v>494</v>
      </c>
      <c r="E30" s="18" t="n">
        <v>42.79561833</v>
      </c>
      <c r="F30" s="20" t="n">
        <v>2.24585178</v>
      </c>
      <c r="G30" s="18" t="n">
        <v>54.73831782</v>
      </c>
      <c r="H30" s="20" t="n">
        <v>2.25813122</v>
      </c>
      <c r="I30" s="18" t="s">
        <v>567</v>
      </c>
      <c r="J30" s="20" t="s">
        <v>567</v>
      </c>
      <c r="K30" s="18" t="n">
        <v>0.55683725</v>
      </c>
      <c r="L30" s="20" t="n">
        <v>0.32240426</v>
      </c>
      <c r="M30" s="18" t="n">
        <v>0</v>
      </c>
      <c r="N30" s="20" t="n">
        <v>0</v>
      </c>
      <c r="O30" s="18" t="n">
        <v>0</v>
      </c>
      <c r="P30" s="20" t="n">
        <v>0</v>
      </c>
      <c r="Q30" s="18" t="n">
        <v>1.9092266</v>
      </c>
      <c r="R30" s="20" t="n">
        <v>0.67134527</v>
      </c>
    </row>
    <row r="31" spans="1:18">
      <c r="A31" s="15" t="s">
        <v>591</v>
      </c>
      <c r="B31" s="17" t="n">
        <v>2750</v>
      </c>
      <c r="C31" s="18">
        <f>(2133.0/B31*100)</f>
        <v/>
      </c>
      <c r="D31" s="19" t="n">
        <v>617</v>
      </c>
      <c r="E31" s="18" t="n">
        <v>37.26322969</v>
      </c>
      <c r="F31" s="20" t="n">
        <v>1.69656148</v>
      </c>
      <c r="G31" s="18" t="n">
        <v>60.18426318</v>
      </c>
      <c r="H31" s="20" t="n">
        <v>1.74589944</v>
      </c>
      <c r="I31" s="18" t="s">
        <v>567</v>
      </c>
      <c r="J31" s="20" t="s">
        <v>567</v>
      </c>
      <c r="K31" s="18" t="n">
        <v>0.34352276</v>
      </c>
      <c r="L31" s="20" t="n">
        <v>0.24847335</v>
      </c>
      <c r="M31" s="18" t="n">
        <v>0</v>
      </c>
      <c r="N31" s="20" t="n">
        <v>0</v>
      </c>
      <c r="O31" s="18" t="n">
        <v>0</v>
      </c>
      <c r="P31" s="20" t="n">
        <v>0</v>
      </c>
      <c r="Q31" s="18" t="n">
        <v>2.20898438</v>
      </c>
      <c r="R31" s="20" t="n">
        <v>0.54124256</v>
      </c>
    </row>
    <row r="32" spans="1:18">
      <c r="A32" s="15" t="s">
        <v>592</v>
      </c>
      <c r="B32" s="17" t="n">
        <v>2269</v>
      </c>
      <c r="C32" s="18">
        <f>(1732.0/B32*100)</f>
        <v/>
      </c>
      <c r="D32" s="19" t="n">
        <v>537</v>
      </c>
      <c r="E32" s="18" t="n">
        <v>34.9446386</v>
      </c>
      <c r="F32" s="20" t="n">
        <v>2.14749023</v>
      </c>
      <c r="G32" s="18" t="n">
        <v>65.0553614</v>
      </c>
      <c r="H32" s="20" t="n">
        <v>2.14749023</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(2866.0/B33*100)</f>
        <v/>
      </c>
      <c r="D33" s="19" t="n">
        <v>808</v>
      </c>
      <c r="E33" s="18" t="n">
        <v>44.27017833</v>
      </c>
      <c r="F33" s="20" t="n">
        <v>2.42168378</v>
      </c>
      <c r="G33" s="18" t="n">
        <v>54.75458157</v>
      </c>
      <c r="H33" s="20" t="n">
        <v>2.35546062</v>
      </c>
      <c r="I33" s="18" t="s">
        <v>567</v>
      </c>
      <c r="J33" s="20" t="s">
        <v>567</v>
      </c>
      <c r="K33" s="18" t="n">
        <v>0.24398168</v>
      </c>
      <c r="L33" s="20" t="n">
        <v>0.29132843</v>
      </c>
      <c r="M33" s="18" t="n">
        <v>0</v>
      </c>
      <c r="N33" s="20" t="n">
        <v>0</v>
      </c>
      <c r="O33" s="18" t="n">
        <v>0</v>
      </c>
      <c r="P33" s="20" t="n">
        <v>0</v>
      </c>
      <c r="Q33" s="18" t="n">
        <v>0.73125843</v>
      </c>
      <c r="R33" s="20" t="n">
        <v>0.30840625</v>
      </c>
    </row>
    <row r="34" spans="1:18">
      <c r="A34" s="15" t="s">
        <v>594</v>
      </c>
      <c r="B34" s="17" t="n">
        <v>3315</v>
      </c>
      <c r="C34" s="18">
        <f>(2582.0/B34*100)</f>
        <v/>
      </c>
      <c r="D34" s="19" t="n">
        <v>733</v>
      </c>
      <c r="E34" s="18" t="n">
        <v>51.42961279</v>
      </c>
      <c r="F34" s="20" t="n">
        <v>1.81183786</v>
      </c>
      <c r="G34" s="18" t="n">
        <v>47.4748014</v>
      </c>
      <c r="H34" s="20" t="n">
        <v>1.90857994</v>
      </c>
      <c r="I34" s="18" t="s">
        <v>567</v>
      </c>
      <c r="J34" s="20" t="s">
        <v>567</v>
      </c>
      <c r="K34" s="18" t="n">
        <v>0</v>
      </c>
      <c r="L34" s="20" t="n">
        <v>0</v>
      </c>
      <c r="M34" s="18" t="n">
        <v>0</v>
      </c>
      <c r="N34" s="20" t="n">
        <v>0</v>
      </c>
      <c r="O34" s="18" t="n">
        <v>0</v>
      </c>
      <c r="P34" s="20" t="n">
        <v>0</v>
      </c>
      <c r="Q34" s="18" t="n">
        <v>1.09558581</v>
      </c>
      <c r="R34" s="20" t="n">
        <v>0.39350329</v>
      </c>
    </row>
    <row r="35" spans="1:18">
      <c r="A35" s="15" t="s">
        <v>595</v>
      </c>
      <c r="B35" s="17" t="n">
        <v>3505</v>
      </c>
      <c r="C35" s="18">
        <f>(2761.0/B35*100)</f>
        <v/>
      </c>
      <c r="D35" s="19" t="n">
        <v>744</v>
      </c>
      <c r="E35" s="18" t="n">
        <v>36.844067</v>
      </c>
      <c r="F35" s="20" t="n">
        <v>2.15710752</v>
      </c>
      <c r="G35" s="18" t="n">
        <v>61.47315378</v>
      </c>
      <c r="H35" s="20" t="n">
        <v>2.33947524</v>
      </c>
      <c r="I35" s="18" t="s">
        <v>567</v>
      </c>
      <c r="J35" s="20" t="s">
        <v>567</v>
      </c>
      <c r="K35" s="18" t="n">
        <v>0.96210966</v>
      </c>
      <c r="L35" s="20" t="n">
        <v>0.7285176799999999</v>
      </c>
      <c r="M35" s="18" t="n">
        <v>0</v>
      </c>
      <c r="N35" s="20" t="n">
        <v>0</v>
      </c>
      <c r="O35" s="18" t="n">
        <v>0</v>
      </c>
      <c r="P35" s="20" t="n">
        <v>0</v>
      </c>
      <c r="Q35" s="18" t="n">
        <v>0.72066957</v>
      </c>
      <c r="R35" s="20" t="n">
        <v>0.32234691</v>
      </c>
    </row>
    <row r="36" spans="1:18">
      <c r="A36" s="15" t="s">
        <v>596</v>
      </c>
      <c r="B36" s="17" t="n">
        <v>3332</v>
      </c>
      <c r="C36" s="18">
        <f>(2614.0/B36*100)</f>
        <v/>
      </c>
      <c r="D36" s="19" t="n">
        <v>718</v>
      </c>
      <c r="E36" s="18" t="n">
        <v>45.1518016</v>
      </c>
      <c r="F36" s="20" t="n">
        <v>2.01809596</v>
      </c>
      <c r="G36" s="18" t="n">
        <v>53.49690981</v>
      </c>
      <c r="H36" s="20" t="n">
        <v>1.97476149</v>
      </c>
      <c r="I36" s="18" t="s">
        <v>567</v>
      </c>
      <c r="J36" s="20" t="s">
        <v>567</v>
      </c>
      <c r="K36" s="18" t="n">
        <v>0.19812371</v>
      </c>
      <c r="L36" s="20" t="n">
        <v>0.2083328</v>
      </c>
      <c r="M36" s="18" t="n">
        <v>0</v>
      </c>
      <c r="N36" s="20" t="n">
        <v>0</v>
      </c>
      <c r="O36" s="18" t="n">
        <v>0</v>
      </c>
      <c r="P36" s="20" t="n">
        <v>0</v>
      </c>
      <c r="Q36" s="18" t="n">
        <v>1.15316488</v>
      </c>
      <c r="R36" s="20" t="n">
        <v>0.47190416</v>
      </c>
    </row>
    <row r="37" spans="1:18">
      <c r="A37" s="15" t="s">
        <v>597</v>
      </c>
      <c r="B37" s="17" t="n">
        <v>2727</v>
      </c>
      <c r="C37" s="18">
        <f>(2120.0/B37*100)</f>
        <v/>
      </c>
      <c r="D37" s="19" t="n">
        <v>607</v>
      </c>
      <c r="E37" s="18" t="n">
        <v>48.20221057</v>
      </c>
      <c r="F37" s="20" t="n">
        <v>1.84019844</v>
      </c>
      <c r="G37" s="18" t="n">
        <v>49.80103629</v>
      </c>
      <c r="H37" s="20" t="n">
        <v>1.82464272</v>
      </c>
      <c r="I37" s="18" t="s">
        <v>567</v>
      </c>
      <c r="J37" s="20" t="s">
        <v>567</v>
      </c>
      <c r="K37" s="18" t="n">
        <v>0.17457987</v>
      </c>
      <c r="L37" s="20" t="n">
        <v>0.17469728</v>
      </c>
      <c r="M37" s="18" t="n">
        <v>0</v>
      </c>
      <c r="N37" s="20" t="n">
        <v>0</v>
      </c>
      <c r="O37" s="18" t="n">
        <v>0</v>
      </c>
      <c r="P37" s="20" t="n">
        <v>0</v>
      </c>
      <c r="Q37" s="18" t="n">
        <v>1.82217328</v>
      </c>
      <c r="R37" s="20" t="n">
        <v>0.60943969</v>
      </c>
    </row>
    <row r="38" spans="1:18">
      <c r="A38" s="15" t="s">
        <v>598</v>
      </c>
      <c r="B38" s="17" t="n">
        <v>3053</v>
      </c>
      <c r="C38" s="18">
        <f>(2383.0/B38*100)</f>
        <v/>
      </c>
      <c r="D38" s="19" t="n">
        <v>670</v>
      </c>
      <c r="E38" s="18" t="n">
        <v>52.65931098</v>
      </c>
      <c r="F38" s="20" t="n">
        <v>2.09022625</v>
      </c>
      <c r="G38" s="18" t="n">
        <v>46.1707785</v>
      </c>
      <c r="H38" s="20" t="n">
        <v>2.14985458</v>
      </c>
      <c r="I38" s="18" t="s">
        <v>567</v>
      </c>
      <c r="J38" s="20" t="s">
        <v>567</v>
      </c>
      <c r="K38" s="18" t="n">
        <v>0</v>
      </c>
      <c r="L38" s="20" t="n">
        <v>0</v>
      </c>
      <c r="M38" s="18" t="n">
        <v>0</v>
      </c>
      <c r="N38" s="20" t="n">
        <v>0</v>
      </c>
      <c r="O38" s="18" t="n">
        <v>0</v>
      </c>
      <c r="P38" s="20" t="n">
        <v>0</v>
      </c>
      <c r="Q38" s="18" t="n">
        <v>1.16991052</v>
      </c>
      <c r="R38" s="20" t="n">
        <v>0.58445524</v>
      </c>
    </row>
    <row r="39" spans="1:18">
      <c r="A39" s="15" t="s">
        <v>599</v>
      </c>
      <c r="B39" s="17" t="n">
        <v>2957</v>
      </c>
      <c r="C39" s="18">
        <f>(2298.0/B39*100)</f>
        <v/>
      </c>
      <c r="D39" s="19" t="n">
        <v>659</v>
      </c>
      <c r="E39" s="18" t="n">
        <v>44.496988</v>
      </c>
      <c r="F39" s="20" t="n">
        <v>2.40771781</v>
      </c>
      <c r="G39" s="18" t="n">
        <v>54.80831421</v>
      </c>
      <c r="H39" s="20" t="n">
        <v>2.45446613</v>
      </c>
      <c r="I39" s="18" t="s">
        <v>567</v>
      </c>
      <c r="J39" s="20" t="s">
        <v>567</v>
      </c>
      <c r="K39" s="18" t="n">
        <v>0</v>
      </c>
      <c r="L39" s="20" t="n">
        <v>0</v>
      </c>
      <c r="M39" s="18" t="n">
        <v>0</v>
      </c>
      <c r="N39" s="20" t="n">
        <v>0</v>
      </c>
      <c r="O39" s="18" t="n">
        <v>0</v>
      </c>
      <c r="P39" s="20" t="n">
        <v>0</v>
      </c>
      <c r="Q39" s="18" t="n">
        <v>0.69469779</v>
      </c>
      <c r="R39" s="20" t="n">
        <v>0.37887356</v>
      </c>
    </row>
    <row r="40" spans="1:18">
      <c r="A40" s="15" t="s">
        <v>600</v>
      </c>
      <c r="B40" s="17" t="n">
        <v>7235</v>
      </c>
      <c r="C40" s="18">
        <f>(5654.0/B40*100)</f>
        <v/>
      </c>
      <c r="D40" s="19" t="n">
        <v>1581</v>
      </c>
      <c r="E40" s="18" t="n">
        <v>55.86877427</v>
      </c>
      <c r="F40" s="20" t="n">
        <v>1.95604172</v>
      </c>
      <c r="G40" s="18" t="n">
        <v>41.99412034</v>
      </c>
      <c r="H40" s="20" t="n">
        <v>1.8827807</v>
      </c>
      <c r="I40" s="18" t="s">
        <v>567</v>
      </c>
      <c r="J40" s="20" t="s">
        <v>567</v>
      </c>
      <c r="K40" s="18" t="n">
        <v>0.44066592</v>
      </c>
      <c r="L40" s="20" t="n">
        <v>0.29656605</v>
      </c>
      <c r="M40" s="18" t="n">
        <v>0</v>
      </c>
      <c r="N40" s="20" t="n">
        <v>0</v>
      </c>
      <c r="O40" s="18" t="n">
        <v>0</v>
      </c>
      <c r="P40" s="20" t="n">
        <v>0</v>
      </c>
      <c r="Q40" s="18" t="n">
        <v>1.69643947</v>
      </c>
      <c r="R40" s="20" t="n">
        <v>0.41315379</v>
      </c>
    </row>
    <row r="41" spans="1:18">
      <c r="A41" s="15" t="s">
        <v>601</v>
      </c>
      <c r="B41" s="17" t="n">
        <v>2858</v>
      </c>
      <c r="C41" s="18">
        <f>(2252.0/B41*100)</f>
        <v/>
      </c>
      <c r="D41" s="19" t="n">
        <v>606</v>
      </c>
      <c r="E41" s="18" t="n">
        <v>53.69268867</v>
      </c>
      <c r="F41" s="20" t="n">
        <v>2.00703914</v>
      </c>
      <c r="G41" s="18" t="n">
        <v>45.44574776</v>
      </c>
      <c r="H41" s="20" t="n">
        <v>2.1255359</v>
      </c>
      <c r="I41" s="18" t="s">
        <v>567</v>
      </c>
      <c r="J41" s="20" t="s">
        <v>567</v>
      </c>
      <c r="K41" s="18" t="n">
        <v>0.06728763</v>
      </c>
      <c r="L41" s="20" t="n">
        <v>0.06766502000000001</v>
      </c>
      <c r="M41" s="18" t="n">
        <v>0</v>
      </c>
      <c r="N41" s="20" t="n">
        <v>0</v>
      </c>
      <c r="O41" s="18" t="n">
        <v>0</v>
      </c>
      <c r="P41" s="20" t="n">
        <v>0</v>
      </c>
      <c r="Q41" s="18" t="n">
        <v>0.79427594</v>
      </c>
      <c r="R41" s="20" t="n">
        <v>0.59494354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(8900.0/B46*100)</f>
        <v/>
      </c>
      <c r="D46" s="19" t="n">
        <v>2168</v>
      </c>
      <c r="E46" s="18" t="n">
        <v>57.69420711</v>
      </c>
      <c r="F46" s="20" t="n">
        <v>1.54835281</v>
      </c>
      <c r="G46" s="18" t="n">
        <v>38.69022971</v>
      </c>
      <c r="H46" s="20" t="n">
        <v>1.561154</v>
      </c>
      <c r="I46" s="18" t="s">
        <v>567</v>
      </c>
      <c r="J46" s="20" t="s">
        <v>567</v>
      </c>
      <c r="K46" s="18" t="n">
        <v>0.7134153</v>
      </c>
      <c r="L46" s="20" t="n">
        <v>0.23126392</v>
      </c>
      <c r="M46" s="18" t="n">
        <v>0</v>
      </c>
      <c r="N46" s="20" t="n">
        <v>0</v>
      </c>
      <c r="O46" s="18" t="n">
        <v>0</v>
      </c>
      <c r="P46" s="20" t="n">
        <v>0</v>
      </c>
      <c r="Q46" s="18" t="n">
        <v>2.90214788</v>
      </c>
      <c r="R46" s="20" t="n">
        <v>0.52259291</v>
      </c>
    </row>
    <row r="47" spans="1:18">
      <c r="A47" s="15" t="s">
        <v>607</v>
      </c>
      <c r="B47" s="17" t="n">
        <v>3105</v>
      </c>
      <c r="C47" s="18">
        <f>(2395.0/B47*100)</f>
        <v/>
      </c>
      <c r="D47" s="19" t="n">
        <v>710</v>
      </c>
      <c r="E47" s="18" t="n">
        <v>51.02265329</v>
      </c>
      <c r="F47" s="20" t="n">
        <v>2.46307503</v>
      </c>
      <c r="G47" s="18" t="n">
        <v>47.51027101</v>
      </c>
      <c r="H47" s="20" t="n">
        <v>2.46715471</v>
      </c>
      <c r="I47" s="18" t="s">
        <v>567</v>
      </c>
      <c r="J47" s="20" t="s">
        <v>567</v>
      </c>
      <c r="K47" s="18" t="n">
        <v>0.11557446</v>
      </c>
      <c r="L47" s="20" t="n">
        <v>0.11499204</v>
      </c>
      <c r="M47" s="18" t="n">
        <v>0</v>
      </c>
      <c r="N47" s="20" t="n">
        <v>0</v>
      </c>
      <c r="O47" s="18" t="n">
        <v>0</v>
      </c>
      <c r="P47" s="20" t="n">
        <v>0</v>
      </c>
      <c r="Q47" s="18" t="n">
        <v>1.35150124</v>
      </c>
      <c r="R47" s="20" t="n">
        <v>0.36066325</v>
      </c>
    </row>
    <row r="48" spans="1:18">
      <c r="A48" s="15" t="s">
        <v>608</v>
      </c>
      <c r="B48" s="17" t="n">
        <v>5159</v>
      </c>
      <c r="C48" s="18">
        <f>(3966.0/B48*100)</f>
        <v/>
      </c>
      <c r="D48" s="19" t="n">
        <v>1193</v>
      </c>
      <c r="E48" s="18" t="n">
        <v>54.34407999</v>
      </c>
      <c r="F48" s="20" t="n">
        <v>2.38556936</v>
      </c>
      <c r="G48" s="18" t="n">
        <v>44.21401312</v>
      </c>
      <c r="H48" s="20" t="n">
        <v>2.35022641</v>
      </c>
      <c r="I48" s="18" t="s">
        <v>567</v>
      </c>
      <c r="J48" s="20" t="s">
        <v>567</v>
      </c>
      <c r="K48" s="18" t="n">
        <v>0.24401637</v>
      </c>
      <c r="L48" s="20" t="n">
        <v>0.19846552</v>
      </c>
      <c r="M48" s="18" t="n">
        <v>0</v>
      </c>
      <c r="N48" s="20" t="n">
        <v>0</v>
      </c>
      <c r="O48" s="18" t="n">
        <v>0</v>
      </c>
      <c r="P48" s="20" t="n">
        <v>0</v>
      </c>
      <c r="Q48" s="18" t="n">
        <v>1.19789052</v>
      </c>
      <c r="R48" s="20" t="n">
        <v>0.49665086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(4418.0/B50*100)</f>
        <v/>
      </c>
      <c r="D50" s="19" t="n">
        <v>1219</v>
      </c>
      <c r="E50" s="18" t="n">
        <v>68.54767022999999</v>
      </c>
      <c r="F50" s="20" t="n">
        <v>1.88212843</v>
      </c>
      <c r="G50" s="18" t="n">
        <v>30.55935413</v>
      </c>
      <c r="H50" s="20" t="n">
        <v>1.85727234</v>
      </c>
      <c r="I50" s="18" t="s">
        <v>567</v>
      </c>
      <c r="J50" s="20" t="s">
        <v>567</v>
      </c>
      <c r="K50" s="18" t="n">
        <v>0.19439342</v>
      </c>
      <c r="L50" s="20" t="n">
        <v>0.15528253</v>
      </c>
      <c r="M50" s="18" t="n">
        <v>0</v>
      </c>
      <c r="N50" s="20" t="n">
        <v>0</v>
      </c>
      <c r="O50" s="18" t="n">
        <v>0</v>
      </c>
      <c r="P50" s="20" t="n">
        <v>0</v>
      </c>
      <c r="Q50" s="18" t="n">
        <v>0.69858222</v>
      </c>
      <c r="R50" s="20" t="n">
        <v>0.3294249</v>
      </c>
    </row>
    <row r="51" spans="1:18">
      <c r="A51" s="15" t="s">
        <v>611</v>
      </c>
      <c r="B51" s="17" t="n">
        <v>3372</v>
      </c>
      <c r="C51" s="18">
        <f>(2723.0/B51*100)</f>
        <v/>
      </c>
      <c r="D51" s="19" t="n">
        <v>649</v>
      </c>
      <c r="E51" s="18" t="n">
        <v>58.00270449</v>
      </c>
      <c r="F51" s="20" t="n">
        <v>2.16587908</v>
      </c>
      <c r="G51" s="18" t="n">
        <v>39.9158613</v>
      </c>
      <c r="H51" s="20" t="n">
        <v>2.26596884</v>
      </c>
      <c r="I51" s="18" t="s">
        <v>567</v>
      </c>
      <c r="J51" s="20" t="s">
        <v>567</v>
      </c>
      <c r="K51" s="18" t="n">
        <v>0</v>
      </c>
      <c r="L51" s="20" t="n">
        <v>0</v>
      </c>
      <c r="M51" s="18" t="n">
        <v>0</v>
      </c>
      <c r="N51" s="20" t="n">
        <v>0</v>
      </c>
      <c r="O51" s="18" t="n">
        <v>0</v>
      </c>
      <c r="P51" s="20" t="n">
        <v>0</v>
      </c>
      <c r="Q51" s="18" t="n">
        <v>2.08143422</v>
      </c>
      <c r="R51" s="20" t="n">
        <v>0.67844929</v>
      </c>
    </row>
    <row r="52" spans="1:18">
      <c r="A52" s="15" t="s">
        <v>612</v>
      </c>
      <c r="B52" s="17" t="n">
        <v>2796</v>
      </c>
      <c r="C52" s="18">
        <f>(2207.0/B52*100)</f>
        <v/>
      </c>
      <c r="D52" s="19" t="n">
        <v>589</v>
      </c>
      <c r="E52" s="18" t="n">
        <v>51.88874933</v>
      </c>
      <c r="F52" s="20" t="n">
        <v>2.06818783</v>
      </c>
      <c r="G52" s="18" t="n">
        <v>46.80389316</v>
      </c>
      <c r="H52" s="20" t="n">
        <v>2.1772778</v>
      </c>
      <c r="I52" s="18" t="s">
        <v>567</v>
      </c>
      <c r="J52" s="20" t="s">
        <v>567</v>
      </c>
      <c r="K52" s="18" t="n">
        <v>0</v>
      </c>
      <c r="L52" s="20" t="n">
        <v>0</v>
      </c>
      <c r="M52" s="18" t="n">
        <v>0</v>
      </c>
      <c r="N52" s="20" t="n">
        <v>0</v>
      </c>
      <c r="O52" s="18" t="n">
        <v>0</v>
      </c>
      <c r="P52" s="20" t="n">
        <v>0</v>
      </c>
      <c r="Q52" s="18" t="n">
        <v>1.30735751</v>
      </c>
      <c r="R52" s="20" t="n">
        <v>0.45777988</v>
      </c>
    </row>
    <row r="53" spans="1:18">
      <c r="A53" s="15" t="s">
        <v>613</v>
      </c>
      <c r="B53" s="17" t="n">
        <v>2811</v>
      </c>
      <c r="C53" s="18">
        <f>(2199.0/B53*100)</f>
        <v/>
      </c>
      <c r="D53" s="19" t="n">
        <v>612</v>
      </c>
      <c r="E53" s="18" t="n">
        <v>67.63623565</v>
      </c>
      <c r="F53" s="20" t="n">
        <v>1.95694936</v>
      </c>
      <c r="G53" s="18" t="n">
        <v>29.55396751</v>
      </c>
      <c r="H53" s="20" t="n">
        <v>1.94399717</v>
      </c>
      <c r="I53" s="18" t="s">
        <v>567</v>
      </c>
      <c r="J53" s="20" t="s">
        <v>567</v>
      </c>
      <c r="K53" s="18" t="n">
        <v>0.58865838</v>
      </c>
      <c r="L53" s="20" t="n">
        <v>0.30887747</v>
      </c>
      <c r="M53" s="18" t="n">
        <v>0</v>
      </c>
      <c r="N53" s="20" t="n">
        <v>0</v>
      </c>
      <c r="O53" s="18" t="n">
        <v>0</v>
      </c>
      <c r="P53" s="20" t="n">
        <v>0</v>
      </c>
      <c r="Q53" s="18" t="n">
        <v>2.22113846</v>
      </c>
      <c r="R53" s="20" t="n">
        <v>0.63308218</v>
      </c>
    </row>
    <row r="54" spans="1:18">
      <c r="A54" s="15" t="s">
        <v>614</v>
      </c>
      <c r="B54" s="17" t="n">
        <v>2266</v>
      </c>
      <c r="C54" s="18">
        <f>(1774.0/B54*100)</f>
        <v/>
      </c>
      <c r="D54" s="19" t="n">
        <v>492</v>
      </c>
      <c r="E54" s="18" t="n">
        <v>58.90928974</v>
      </c>
      <c r="F54" s="20" t="n">
        <v>2.29213148</v>
      </c>
      <c r="G54" s="18" t="n">
        <v>27.29618349</v>
      </c>
      <c r="H54" s="20" t="n">
        <v>2.27341065</v>
      </c>
      <c r="I54" s="18" t="s">
        <v>567</v>
      </c>
      <c r="J54" s="20" t="s">
        <v>567</v>
      </c>
      <c r="K54" s="18" t="n">
        <v>9.252141079999999</v>
      </c>
      <c r="L54" s="20" t="n">
        <v>1.43582939</v>
      </c>
      <c r="M54" s="18" t="n">
        <v>0</v>
      </c>
      <c r="N54" s="20" t="n">
        <v>0</v>
      </c>
      <c r="O54" s="18" t="n">
        <v>0</v>
      </c>
      <c r="P54" s="20" t="n">
        <v>0</v>
      </c>
      <c r="Q54" s="18" t="n">
        <v>4.5423857</v>
      </c>
      <c r="R54" s="20" t="n">
        <v>1.18588366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(2101.0/B56*100)</f>
        <v/>
      </c>
      <c r="D56" s="19" t="n">
        <v>583</v>
      </c>
      <c r="E56" s="18" t="n">
        <v>46.12305837</v>
      </c>
      <c r="F56" s="20" t="n">
        <v>2.17786453</v>
      </c>
      <c r="G56" s="18" t="n">
        <v>53.36166553</v>
      </c>
      <c r="H56" s="20" t="n">
        <v>2.25602661</v>
      </c>
      <c r="I56" s="18" t="s">
        <v>567</v>
      </c>
      <c r="J56" s="20" t="s">
        <v>567</v>
      </c>
      <c r="K56" s="18" t="n">
        <v>0.14415811</v>
      </c>
      <c r="L56" s="20" t="n">
        <v>0.14311588</v>
      </c>
      <c r="M56" s="18" t="n">
        <v>0</v>
      </c>
      <c r="N56" s="20" t="n">
        <v>0</v>
      </c>
      <c r="O56" s="18" t="n">
        <v>0</v>
      </c>
      <c r="P56" s="20" t="n">
        <v>0</v>
      </c>
      <c r="Q56" s="18" t="n">
        <v>0.37111799</v>
      </c>
      <c r="R56" s="20" t="n">
        <v>0.29144906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(2556.0/B61*100)</f>
        <v/>
      </c>
      <c r="D61" s="19" t="n">
        <v>768</v>
      </c>
      <c r="E61" s="18" t="n">
        <v>45.23119772</v>
      </c>
      <c r="F61" s="20" t="n">
        <v>2.13455094</v>
      </c>
      <c r="G61" s="18" t="n">
        <v>53.39310807</v>
      </c>
      <c r="H61" s="20" t="n">
        <v>2.1222784</v>
      </c>
      <c r="I61" s="18" t="s">
        <v>567</v>
      </c>
      <c r="J61" s="20" t="s">
        <v>567</v>
      </c>
      <c r="K61" s="18" t="n">
        <v>0.16976622</v>
      </c>
      <c r="L61" s="20" t="n">
        <v>0.12038499</v>
      </c>
      <c r="M61" s="18" t="n">
        <v>0</v>
      </c>
      <c r="N61" s="20" t="n">
        <v>0</v>
      </c>
      <c r="O61" s="18" t="n">
        <v>0</v>
      </c>
      <c r="P61" s="20" t="n">
        <v>0</v>
      </c>
      <c r="Q61" s="18" t="n">
        <v>1.20592799</v>
      </c>
      <c r="R61" s="20" t="n">
        <v>0.46883864</v>
      </c>
    </row>
    <row r="62" spans="1:18">
      <c r="A62" s="15" t="s">
        <v>622</v>
      </c>
      <c r="B62" s="17" t="n">
        <v>2246</v>
      </c>
      <c r="C62" s="18">
        <f>(1758.0/B62*100)</f>
        <v/>
      </c>
      <c r="D62" s="19" t="n">
        <v>488</v>
      </c>
      <c r="E62" s="18" t="n">
        <v>54.50157864</v>
      </c>
      <c r="F62" s="20" t="n">
        <v>2.43675091</v>
      </c>
      <c r="G62" s="18" t="n">
        <v>45.08439234</v>
      </c>
      <c r="H62" s="20" t="n">
        <v>2.42302998</v>
      </c>
      <c r="I62" s="18" t="s">
        <v>567</v>
      </c>
      <c r="J62" s="20" t="s">
        <v>567</v>
      </c>
      <c r="K62" s="18" t="n">
        <v>0.21052296</v>
      </c>
      <c r="L62" s="20" t="n">
        <v>0.21050445</v>
      </c>
      <c r="M62" s="18" t="n">
        <v>0</v>
      </c>
      <c r="N62" s="20" t="n">
        <v>0</v>
      </c>
      <c r="O62" s="18" t="n">
        <v>0</v>
      </c>
      <c r="P62" s="20" t="n">
        <v>0</v>
      </c>
      <c r="Q62" s="18" t="n">
        <v>0.20350607</v>
      </c>
      <c r="R62" s="20" t="n">
        <v>0.20218645</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(2235.0/B66*100)</f>
        <v/>
      </c>
      <c r="D66" s="19" t="n">
        <v>659</v>
      </c>
      <c r="E66" s="18" t="n">
        <v>50.20091048</v>
      </c>
      <c r="F66" s="20" t="n">
        <v>1.91744974</v>
      </c>
      <c r="G66" s="18" t="n">
        <v>43.20828907</v>
      </c>
      <c r="H66" s="20" t="n">
        <v>1.89431357</v>
      </c>
      <c r="I66" s="18" t="s">
        <v>567</v>
      </c>
      <c r="J66" s="20" t="s">
        <v>567</v>
      </c>
      <c r="K66" s="18" t="n">
        <v>0.60332779</v>
      </c>
      <c r="L66" s="20" t="n">
        <v>0.30281869</v>
      </c>
      <c r="M66" s="18" t="n">
        <v>0</v>
      </c>
      <c r="N66" s="20" t="n">
        <v>0</v>
      </c>
      <c r="O66" s="18" t="n">
        <v>0</v>
      </c>
      <c r="P66" s="20" t="n">
        <v>0</v>
      </c>
      <c r="Q66" s="18" t="n">
        <v>5.98747266</v>
      </c>
      <c r="R66" s="20" t="n">
        <v>0.92702976</v>
      </c>
    </row>
    <row r="67" spans="1:18">
      <c r="A67" s="15" t="s">
        <v>627</v>
      </c>
      <c r="B67" s="17" t="n">
        <v>3511</v>
      </c>
      <c r="C67" s="18">
        <f>(2732.0/B67*100)</f>
        <v/>
      </c>
      <c r="D67" s="19" t="n">
        <v>779</v>
      </c>
      <c r="E67" s="18" t="n">
        <v>71.24161725</v>
      </c>
      <c r="F67" s="20" t="n">
        <v>1.62451645</v>
      </c>
      <c r="G67" s="18" t="n">
        <v>27.34138572</v>
      </c>
      <c r="H67" s="20" t="n">
        <v>1.6626603</v>
      </c>
      <c r="I67" s="18" t="s">
        <v>567</v>
      </c>
      <c r="J67" s="20" t="s">
        <v>567</v>
      </c>
      <c r="K67" s="18" t="n">
        <v>0.11534301</v>
      </c>
      <c r="L67" s="20" t="n">
        <v>0.11576756</v>
      </c>
      <c r="M67" s="18" t="n">
        <v>0</v>
      </c>
      <c r="N67" s="20" t="n">
        <v>0</v>
      </c>
      <c r="O67" s="18" t="n">
        <v>0</v>
      </c>
      <c r="P67" s="20" t="n">
        <v>0</v>
      </c>
      <c r="Q67" s="18" t="n">
        <v>1.30165403</v>
      </c>
      <c r="R67" s="20" t="n">
        <v>0.42239599</v>
      </c>
    </row>
    <row r="68" spans="1:18">
      <c r="A68" s="15" t="s">
        <v>628</v>
      </c>
      <c r="B68" s="17" t="n">
        <v>6049</v>
      </c>
      <c r="C68" s="18">
        <f>(4693.0/B68*100)</f>
        <v/>
      </c>
      <c r="D68" s="19" t="n">
        <v>1356</v>
      </c>
      <c r="E68" s="18" t="n">
        <v>54.84039487</v>
      </c>
      <c r="F68" s="20" t="n">
        <v>1.50214049</v>
      </c>
      <c r="G68" s="18" t="n">
        <v>39.45015942</v>
      </c>
      <c r="H68" s="20" t="n">
        <v>1.33948042</v>
      </c>
      <c r="I68" s="18" t="s">
        <v>567</v>
      </c>
      <c r="J68" s="20" t="s">
        <v>567</v>
      </c>
      <c r="K68" s="18" t="n">
        <v>0.65048188</v>
      </c>
      <c r="L68" s="20" t="n">
        <v>0.2305956</v>
      </c>
      <c r="M68" s="18" t="n">
        <v>0</v>
      </c>
      <c r="N68" s="20" t="n">
        <v>0</v>
      </c>
      <c r="O68" s="18" t="n">
        <v>0</v>
      </c>
      <c r="P68" s="20" t="n">
        <v>0</v>
      </c>
      <c r="Q68" s="18" t="n">
        <v>5.05896382</v>
      </c>
      <c r="R68" s="20" t="n">
        <v>0.56513627</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(2267.0/B70*100)</f>
        <v/>
      </c>
      <c r="D70" s="19" t="n">
        <v>662</v>
      </c>
      <c r="E70" s="18" t="n">
        <v>44.56771911</v>
      </c>
      <c r="F70" s="20" t="n">
        <v>1.93330379</v>
      </c>
      <c r="G70" s="18" t="n">
        <v>54.60994484</v>
      </c>
      <c r="H70" s="20" t="n">
        <v>2.01147399</v>
      </c>
      <c r="I70" s="18" t="s">
        <v>567</v>
      </c>
      <c r="J70" s="20" t="s">
        <v>567</v>
      </c>
      <c r="K70" s="18" t="n">
        <v>0.25220626</v>
      </c>
      <c r="L70" s="20" t="n">
        <v>0.14314007</v>
      </c>
      <c r="M70" s="18" t="n">
        <v>0</v>
      </c>
      <c r="N70" s="20" t="n">
        <v>0</v>
      </c>
      <c r="O70" s="18" t="n">
        <v>0</v>
      </c>
      <c r="P70" s="20" t="n">
        <v>0</v>
      </c>
      <c r="Q70" s="18" t="n">
        <v>0.57012979</v>
      </c>
      <c r="R70" s="20" t="n">
        <v>0.30149213</v>
      </c>
    </row>
    <row r="71" spans="1:18">
      <c r="A71" s="15" t="s">
        <v>631</v>
      </c>
      <c r="B71" s="17" t="n">
        <v>3142</v>
      </c>
      <c r="C71" s="18">
        <f>(2439.0/B71*100)</f>
        <v/>
      </c>
      <c r="D71" s="19" t="n">
        <v>703</v>
      </c>
      <c r="E71" s="18" t="n">
        <v>39.08353687</v>
      </c>
      <c r="F71" s="20" t="n">
        <v>2.00230123</v>
      </c>
      <c r="G71" s="18" t="n">
        <v>59.99972036</v>
      </c>
      <c r="H71" s="20" t="n">
        <v>1.93722593</v>
      </c>
      <c r="I71" s="18" t="s">
        <v>567</v>
      </c>
      <c r="J71" s="20" t="s">
        <v>567</v>
      </c>
      <c r="K71" s="18" t="n">
        <v>0.18869447</v>
      </c>
      <c r="L71" s="20" t="n">
        <v>0.13759489</v>
      </c>
      <c r="M71" s="18" t="n">
        <v>0</v>
      </c>
      <c r="N71" s="20" t="n">
        <v>0</v>
      </c>
      <c r="O71" s="18" t="n">
        <v>0</v>
      </c>
      <c r="P71" s="20" t="n">
        <v>0</v>
      </c>
      <c r="Q71" s="18" t="n">
        <v>0.7280483</v>
      </c>
      <c r="R71" s="20" t="n">
        <v>0.29771331</v>
      </c>
    </row>
    <row r="72" spans="1:18">
      <c r="A72" s="15" t="s">
        <v>632</v>
      </c>
      <c r="B72" s="17" t="n">
        <v>3889</v>
      </c>
      <c r="C72" s="18">
        <f>(3037.0/B72*100)</f>
        <v/>
      </c>
      <c r="D72" s="19" t="n">
        <v>852</v>
      </c>
      <c r="E72" s="18" t="n">
        <v>58.70477722</v>
      </c>
      <c r="F72" s="20" t="n">
        <v>1.60554593</v>
      </c>
      <c r="G72" s="18" t="n">
        <v>40.58148944</v>
      </c>
      <c r="H72" s="20" t="n">
        <v>1.54785476</v>
      </c>
      <c r="I72" s="18" t="s">
        <v>567</v>
      </c>
      <c r="J72" s="20" t="s">
        <v>567</v>
      </c>
      <c r="K72" s="18" t="n">
        <v>0.0772014</v>
      </c>
      <c r="L72" s="20" t="n">
        <v>0.07966412</v>
      </c>
      <c r="M72" s="18" t="n">
        <v>0</v>
      </c>
      <c r="N72" s="20" t="n">
        <v>0</v>
      </c>
      <c r="O72" s="18" t="n">
        <v>0</v>
      </c>
      <c r="P72" s="20" t="n">
        <v>0</v>
      </c>
      <c r="Q72" s="18" t="n">
        <v>0.63653193</v>
      </c>
      <c r="R72" s="20" t="n">
        <v>0.33009516</v>
      </c>
    </row>
    <row r="73" spans="1:18">
      <c r="A73" s="15" t="s">
        <v>633</v>
      </c>
      <c r="B73" s="17" t="n">
        <v>3597</v>
      </c>
      <c r="C73" s="18">
        <f>(2806.0/B73*100)</f>
        <v/>
      </c>
      <c r="D73" s="19" t="n">
        <v>791</v>
      </c>
      <c r="E73" s="18" t="n">
        <v>67.28396264</v>
      </c>
      <c r="F73" s="20" t="n">
        <v>2.05022123</v>
      </c>
      <c r="G73" s="18" t="n">
        <v>31.63590581</v>
      </c>
      <c r="H73" s="20" t="n">
        <v>2.0179701</v>
      </c>
      <c r="I73" s="18" t="s">
        <v>567</v>
      </c>
      <c r="J73" s="20" t="s">
        <v>567</v>
      </c>
      <c r="K73" s="18" t="n">
        <v>0</v>
      </c>
      <c r="L73" s="20" t="n">
        <v>0</v>
      </c>
      <c r="M73" s="18" t="n">
        <v>0</v>
      </c>
      <c r="N73" s="20" t="n">
        <v>0</v>
      </c>
      <c r="O73" s="18" t="n">
        <v>0</v>
      </c>
      <c r="P73" s="20" t="n">
        <v>0</v>
      </c>
      <c r="Q73" s="18" t="n">
        <v>1.08013155</v>
      </c>
      <c r="R73" s="20" t="n">
        <v>0.38855987</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(1892.0/B75*100)</f>
        <v/>
      </c>
      <c r="D75" s="19" t="n">
        <v>514</v>
      </c>
      <c r="E75" s="18" t="n">
        <v>59.03321834</v>
      </c>
      <c r="F75" s="20" t="n">
        <v>2.23532259</v>
      </c>
      <c r="G75" s="18" t="n">
        <v>37.28075389</v>
      </c>
      <c r="H75" s="20" t="n">
        <v>2.19946368</v>
      </c>
      <c r="I75" s="18" t="s">
        <v>567</v>
      </c>
      <c r="J75" s="20" t="s">
        <v>567</v>
      </c>
      <c r="K75" s="18" t="n">
        <v>0.54339534</v>
      </c>
      <c r="L75" s="20" t="n">
        <v>0.28368522</v>
      </c>
      <c r="M75" s="18" t="n">
        <v>0</v>
      </c>
      <c r="N75" s="20" t="n">
        <v>0</v>
      </c>
      <c r="O75" s="18" t="n">
        <v>0</v>
      </c>
      <c r="P75" s="20" t="n">
        <v>0</v>
      </c>
      <c r="Q75" s="18" t="n">
        <v>3.14263243</v>
      </c>
      <c r="R75" s="20" t="n">
        <v>0.97516915</v>
      </c>
    </row>
    <row r="76" spans="1:18">
      <c r="A76" s="15" t="s">
        <v>636</v>
      </c>
      <c r="B76" s="17" t="n">
        <v>7052</v>
      </c>
      <c r="C76" s="18">
        <f>(5495.0/B76*100)</f>
        <v/>
      </c>
      <c r="D76" s="19" t="n">
        <v>1557</v>
      </c>
      <c r="E76" s="18" t="n">
        <v>54.56270371</v>
      </c>
      <c r="F76" s="20" t="n">
        <v>1.72819661</v>
      </c>
      <c r="G76" s="18" t="n">
        <v>42.67910203</v>
      </c>
      <c r="H76" s="20" t="n">
        <v>1.6644422</v>
      </c>
      <c r="I76" s="18" t="s">
        <v>567</v>
      </c>
      <c r="J76" s="20" t="s">
        <v>567</v>
      </c>
      <c r="K76" s="18" t="n">
        <v>0.75869946</v>
      </c>
      <c r="L76" s="20" t="n">
        <v>0.24310692</v>
      </c>
      <c r="M76" s="18" t="n">
        <v>0</v>
      </c>
      <c r="N76" s="20" t="n">
        <v>0</v>
      </c>
      <c r="O76" s="18" t="n">
        <v>0</v>
      </c>
      <c r="P76" s="20" t="n">
        <v>0</v>
      </c>
      <c r="Q76" s="18" t="n">
        <v>1.9994948</v>
      </c>
      <c r="R76" s="20" t="n">
        <v>0.45442237</v>
      </c>
    </row>
    <row r="77" spans="1:18">
      <c r="A77" s="15" t="s">
        <v>637</v>
      </c>
      <c r="B77" s="17" t="n">
        <v>2908</v>
      </c>
      <c r="C77" s="18">
        <f>(2330.0/B77*100)</f>
        <v/>
      </c>
      <c r="D77" s="19" t="n">
        <v>578</v>
      </c>
      <c r="E77" s="18" t="n">
        <v>57.80882615</v>
      </c>
      <c r="F77" s="20" t="n">
        <v>2.1421479</v>
      </c>
      <c r="G77" s="18" t="n">
        <v>37.82793727</v>
      </c>
      <c r="H77" s="20" t="n">
        <v>2.21806919</v>
      </c>
      <c r="I77" s="18" t="s">
        <v>567</v>
      </c>
      <c r="J77" s="20" t="s">
        <v>567</v>
      </c>
      <c r="K77" s="18" t="n">
        <v>0.9269428199999999</v>
      </c>
      <c r="L77" s="20" t="n">
        <v>0.43696615</v>
      </c>
      <c r="M77" s="18" t="n">
        <v>0</v>
      </c>
      <c r="N77" s="20" t="n">
        <v>0</v>
      </c>
      <c r="O77" s="18" t="n">
        <v>0</v>
      </c>
      <c r="P77" s="20" t="n">
        <v>0</v>
      </c>
      <c r="Q77" s="18" t="n">
        <v>3.43629376</v>
      </c>
      <c r="R77" s="20" t="n">
        <v>0.86801247</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(3262.0/B81*100)</f>
        <v/>
      </c>
      <c r="D81" s="19" t="n">
        <v>901</v>
      </c>
      <c r="E81" s="18" t="n">
        <v>65.44943960000001</v>
      </c>
      <c r="F81" s="20" t="n">
        <v>2.08483565</v>
      </c>
      <c r="G81" s="18" t="n">
        <v>34.19841634</v>
      </c>
      <c r="H81" s="20" t="n">
        <v>2.0048544</v>
      </c>
      <c r="I81" s="18" t="s">
        <v>567</v>
      </c>
      <c r="J81" s="20" t="s">
        <v>567</v>
      </c>
      <c r="K81" s="18" t="n">
        <v>0</v>
      </c>
      <c r="L81" s="20" t="n">
        <v>0</v>
      </c>
      <c r="M81" s="18" t="n">
        <v>0</v>
      </c>
      <c r="N81" s="20" t="n">
        <v>0</v>
      </c>
      <c r="O81" s="18" t="n">
        <v>0</v>
      </c>
      <c r="P81" s="20" t="n">
        <v>0</v>
      </c>
      <c r="Q81" s="18" t="n">
        <v>0.35214406</v>
      </c>
      <c r="R81" s="20" t="n">
        <v>0.20575158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(5718.0/B7*100)</f>
        <v/>
      </c>
      <c r="D7" s="19" t="n">
        <v>1649</v>
      </c>
      <c r="E7" s="18" t="n">
        <v>71.62794407</v>
      </c>
      <c r="F7" s="20" t="n">
        <v>1.29671812</v>
      </c>
      <c r="G7" s="18" t="n">
        <v>23.07847533</v>
      </c>
      <c r="H7" s="20" t="n">
        <v>1.34028555</v>
      </c>
      <c r="I7" s="18" t="s">
        <v>567</v>
      </c>
      <c r="J7" s="20" t="s">
        <v>567</v>
      </c>
      <c r="K7" s="18" t="n">
        <v>0.18129476</v>
      </c>
      <c r="L7" s="20" t="n">
        <v>0.11409897</v>
      </c>
      <c r="M7" s="18" t="n">
        <v>0</v>
      </c>
      <c r="N7" s="20" t="n">
        <v>0</v>
      </c>
      <c r="O7" s="18" t="n">
        <v>0</v>
      </c>
      <c r="P7" s="20" t="n">
        <v>0</v>
      </c>
      <c r="Q7" s="18" t="n">
        <v>5.11228584</v>
      </c>
      <c r="R7" s="20" t="n">
        <v>0.56645157</v>
      </c>
    </row>
    <row r="8" spans="1:18">
      <c r="A8" s="15" t="s">
        <v>568</v>
      </c>
      <c r="B8" s="17" t="n">
        <v>3564</v>
      </c>
      <c r="C8" s="18">
        <f>(2772.0/B8*100)</f>
        <v/>
      </c>
      <c r="D8" s="19" t="n">
        <v>792</v>
      </c>
      <c r="E8" s="18" t="n">
        <v>73.0553273</v>
      </c>
      <c r="F8" s="20" t="n">
        <v>1.95991247</v>
      </c>
      <c r="G8" s="18" t="n">
        <v>23.83107862</v>
      </c>
      <c r="H8" s="20" t="n">
        <v>2.00094818</v>
      </c>
      <c r="I8" s="18" t="s">
        <v>567</v>
      </c>
      <c r="J8" s="20" t="s">
        <v>567</v>
      </c>
      <c r="K8" s="18" t="n">
        <v>0</v>
      </c>
      <c r="L8" s="20" t="n">
        <v>0</v>
      </c>
      <c r="M8" s="18" t="n">
        <v>0</v>
      </c>
      <c r="N8" s="20" t="n">
        <v>0</v>
      </c>
      <c r="O8" s="18" t="n">
        <v>0</v>
      </c>
      <c r="P8" s="20" t="n">
        <v>0</v>
      </c>
      <c r="Q8" s="18" t="n">
        <v>3.11359407</v>
      </c>
      <c r="R8" s="20" t="n">
        <v>0.54820094</v>
      </c>
    </row>
    <row r="9" spans="1:18">
      <c r="A9" s="15" t="s">
        <v>569</v>
      </c>
      <c r="B9" s="17" t="n">
        <v>4899</v>
      </c>
      <c r="C9" s="18">
        <f>(3853.0/B9*100)</f>
        <v/>
      </c>
      <c r="D9" s="19" t="n">
        <v>1046</v>
      </c>
      <c r="E9" s="18" t="n">
        <v>70.06702869999999</v>
      </c>
      <c r="F9" s="20" t="n">
        <v>1.61615792</v>
      </c>
      <c r="G9" s="18" t="n">
        <v>26.09435324</v>
      </c>
      <c r="H9" s="20" t="n">
        <v>1.48974013</v>
      </c>
      <c r="I9" s="18" t="s">
        <v>567</v>
      </c>
      <c r="J9" s="20" t="s">
        <v>567</v>
      </c>
      <c r="K9" s="18" t="n">
        <v>0.14762511</v>
      </c>
      <c r="L9" s="20" t="n">
        <v>0.10139858</v>
      </c>
      <c r="M9" s="18" t="n">
        <v>0</v>
      </c>
      <c r="N9" s="20" t="n">
        <v>0</v>
      </c>
      <c r="O9" s="18" t="n">
        <v>0</v>
      </c>
      <c r="P9" s="20" t="n">
        <v>0</v>
      </c>
      <c r="Q9" s="18" t="n">
        <v>3.69099295</v>
      </c>
      <c r="R9" s="20" t="n">
        <v>0.62579809</v>
      </c>
    </row>
    <row r="10" spans="1:18">
      <c r="A10" s="15" t="s">
        <v>570</v>
      </c>
      <c r="B10" s="17" t="n">
        <v>10036</v>
      </c>
      <c r="C10" s="18">
        <f>(7755.0/B10*100)</f>
        <v/>
      </c>
      <c r="D10" s="19" t="n">
        <v>2281</v>
      </c>
      <c r="E10" s="18" t="n">
        <v>70.36765991</v>
      </c>
      <c r="F10" s="20" t="n">
        <v>1.20203104</v>
      </c>
      <c r="G10" s="18" t="n">
        <v>25.40464037</v>
      </c>
      <c r="H10" s="20" t="n">
        <v>1.02302559</v>
      </c>
      <c r="I10" s="18" t="s">
        <v>567</v>
      </c>
      <c r="J10" s="20" t="s">
        <v>567</v>
      </c>
      <c r="K10" s="18" t="n">
        <v>0</v>
      </c>
      <c r="L10" s="20" t="n">
        <v>0</v>
      </c>
      <c r="M10" s="18" t="n">
        <v>0</v>
      </c>
      <c r="N10" s="20" t="n">
        <v>0</v>
      </c>
      <c r="O10" s="18" t="n">
        <v>0</v>
      </c>
      <c r="P10" s="20" t="n">
        <v>0</v>
      </c>
      <c r="Q10" s="18" t="n">
        <v>4.22769972</v>
      </c>
      <c r="R10" s="20" t="n">
        <v>0.5242864</v>
      </c>
    </row>
    <row r="11" spans="1:18">
      <c r="A11" s="15" t="s">
        <v>571</v>
      </c>
      <c r="B11" s="17" t="n">
        <v>3553</v>
      </c>
      <c r="C11" s="18">
        <f>(2746.0/B11*100)</f>
        <v/>
      </c>
      <c r="D11" s="19" t="n">
        <v>807</v>
      </c>
      <c r="E11" s="18" t="n">
        <v>81.74866362</v>
      </c>
      <c r="F11" s="20" t="n">
        <v>1.41533853</v>
      </c>
      <c r="G11" s="18" t="n">
        <v>11.99801346</v>
      </c>
      <c r="H11" s="20" t="n">
        <v>1.37865665</v>
      </c>
      <c r="I11" s="18" t="s">
        <v>567</v>
      </c>
      <c r="J11" s="20" t="s">
        <v>567</v>
      </c>
      <c r="K11" s="18" t="n">
        <v>0</v>
      </c>
      <c r="L11" s="20" t="n">
        <v>0</v>
      </c>
      <c r="M11" s="18" t="n">
        <v>0</v>
      </c>
      <c r="N11" s="20" t="n">
        <v>0</v>
      </c>
      <c r="O11" s="18" t="n">
        <v>0</v>
      </c>
      <c r="P11" s="20" t="n">
        <v>0</v>
      </c>
      <c r="Q11" s="18" t="n">
        <v>6.25332292</v>
      </c>
      <c r="R11" s="20" t="n">
        <v>1.13995589</v>
      </c>
    </row>
    <row r="12" spans="1:18">
      <c r="A12" s="15" t="s">
        <v>572</v>
      </c>
      <c r="B12" s="17" t="n">
        <v>3472</v>
      </c>
      <c r="C12" s="18">
        <f>(2754.0/B12*100)</f>
        <v/>
      </c>
      <c r="D12" s="19" t="n">
        <v>718</v>
      </c>
      <c r="E12" s="18" t="n">
        <v>77.08498084999999</v>
      </c>
      <c r="F12" s="20" t="n">
        <v>1.66333908</v>
      </c>
      <c r="G12" s="18" t="n">
        <v>19.88256301</v>
      </c>
      <c r="H12" s="20" t="n">
        <v>1.64449609</v>
      </c>
      <c r="I12" s="18" t="s">
        <v>567</v>
      </c>
      <c r="J12" s="20" t="s">
        <v>567</v>
      </c>
      <c r="K12" s="18" t="n">
        <v>0</v>
      </c>
      <c r="L12" s="20" t="n">
        <v>0</v>
      </c>
      <c r="M12" s="18" t="n">
        <v>0</v>
      </c>
      <c r="N12" s="20" t="n">
        <v>0</v>
      </c>
      <c r="O12" s="18" t="n">
        <v>0</v>
      </c>
      <c r="P12" s="20" t="n">
        <v>0</v>
      </c>
      <c r="Q12" s="18" t="n">
        <v>3.03245614</v>
      </c>
      <c r="R12" s="20" t="n">
        <v>0.76821541</v>
      </c>
    </row>
    <row r="13" spans="1:18">
      <c r="A13" s="15" t="s">
        <v>573</v>
      </c>
      <c r="B13" s="17" t="n">
        <v>3559</v>
      </c>
      <c r="C13" s="18">
        <f>(2797.0/B13*100)</f>
        <v/>
      </c>
      <c r="D13" s="19" t="n">
        <v>762</v>
      </c>
      <c r="E13" s="18" t="n">
        <v>71.4241703</v>
      </c>
      <c r="F13" s="20" t="n">
        <v>1.8107052</v>
      </c>
      <c r="G13" s="18" t="n">
        <v>25.81793546</v>
      </c>
      <c r="H13" s="20" t="n">
        <v>1.82456913</v>
      </c>
      <c r="I13" s="18" t="s">
        <v>567</v>
      </c>
      <c r="J13" s="20" t="s">
        <v>567</v>
      </c>
      <c r="K13" s="18" t="n">
        <v>0.03851869</v>
      </c>
      <c r="L13" s="20" t="n">
        <v>0.03671698</v>
      </c>
      <c r="M13" s="18" t="n">
        <v>0</v>
      </c>
      <c r="N13" s="20" t="n">
        <v>0</v>
      </c>
      <c r="O13" s="18" t="n">
        <v>0</v>
      </c>
      <c r="P13" s="20" t="n">
        <v>0</v>
      </c>
      <c r="Q13" s="18" t="n">
        <v>2.71937554</v>
      </c>
      <c r="R13" s="20" t="n">
        <v>0.64529007</v>
      </c>
    </row>
    <row r="14" spans="1:18">
      <c r="A14" s="15" t="s">
        <v>574</v>
      </c>
      <c r="B14" s="17" t="n">
        <v>2799</v>
      </c>
      <c r="C14" s="18">
        <f>(2158.0/B14*100)</f>
        <v/>
      </c>
      <c r="D14" s="19" t="n">
        <v>641</v>
      </c>
      <c r="E14" s="18" t="n">
        <v>70.29445527999999</v>
      </c>
      <c r="F14" s="20" t="n">
        <v>2.00170168</v>
      </c>
      <c r="G14" s="18" t="n">
        <v>27.60607973</v>
      </c>
      <c r="H14" s="20" t="n">
        <v>1.93936407</v>
      </c>
      <c r="I14" s="18" t="s">
        <v>567</v>
      </c>
      <c r="J14" s="20" t="s">
        <v>567</v>
      </c>
      <c r="K14" s="18" t="n">
        <v>0.28736731</v>
      </c>
      <c r="L14" s="20" t="n">
        <v>0.20380929</v>
      </c>
      <c r="M14" s="18" t="n">
        <v>0</v>
      </c>
      <c r="N14" s="20" t="n">
        <v>0</v>
      </c>
      <c r="O14" s="18" t="n">
        <v>0</v>
      </c>
      <c r="P14" s="20" t="n">
        <v>0</v>
      </c>
      <c r="Q14" s="18" t="n">
        <v>1.81209768</v>
      </c>
      <c r="R14" s="20" t="n">
        <v>0.44323237</v>
      </c>
    </row>
    <row r="15" spans="1:18">
      <c r="A15" s="15" t="s">
        <v>575</v>
      </c>
      <c r="B15" s="17" t="n">
        <v>3019</v>
      </c>
      <c r="C15" s="18">
        <f>(2350.0/B15*100)</f>
        <v/>
      </c>
      <c r="D15" s="19" t="n">
        <v>669</v>
      </c>
      <c r="E15" s="18" t="n">
        <v>67.57740747</v>
      </c>
      <c r="F15" s="20" t="n">
        <v>1.70887948</v>
      </c>
      <c r="G15" s="18" t="n">
        <v>28.84633861</v>
      </c>
      <c r="H15" s="20" t="n">
        <v>1.71144938</v>
      </c>
      <c r="I15" s="18" t="s">
        <v>567</v>
      </c>
      <c r="J15" s="20" t="s">
        <v>567</v>
      </c>
      <c r="K15" s="18" t="n">
        <v>0.15398038</v>
      </c>
      <c r="L15" s="20" t="n">
        <v>0.15444609</v>
      </c>
      <c r="M15" s="18" t="n">
        <v>0</v>
      </c>
      <c r="N15" s="20" t="n">
        <v>0</v>
      </c>
      <c r="O15" s="18" t="n">
        <v>0</v>
      </c>
      <c r="P15" s="20" t="n">
        <v>0</v>
      </c>
      <c r="Q15" s="18" t="n">
        <v>3.42227355</v>
      </c>
      <c r="R15" s="20" t="n">
        <v>0.63738972</v>
      </c>
    </row>
    <row r="16" spans="1:18">
      <c r="A16" s="15" t="s">
        <v>576</v>
      </c>
      <c r="B16" s="17" t="n">
        <v>2997</v>
      </c>
      <c r="C16" s="18">
        <f>(2317.0/B16*100)</f>
        <v/>
      </c>
      <c r="D16" s="19" t="n">
        <v>680</v>
      </c>
      <c r="E16" s="18" t="n">
        <v>64.94992193</v>
      </c>
      <c r="F16" s="20" t="n">
        <v>2.03292262</v>
      </c>
      <c r="G16" s="18" t="n">
        <v>30.07874208</v>
      </c>
      <c r="H16" s="20" t="n">
        <v>2.0538466</v>
      </c>
      <c r="I16" s="18" t="s">
        <v>567</v>
      </c>
      <c r="J16" s="20" t="s">
        <v>567</v>
      </c>
      <c r="K16" s="18" t="n">
        <v>0.32231831</v>
      </c>
      <c r="L16" s="20" t="n">
        <v>0.25593785</v>
      </c>
      <c r="M16" s="18" t="n">
        <v>0</v>
      </c>
      <c r="N16" s="20" t="n">
        <v>0</v>
      </c>
      <c r="O16" s="18" t="n">
        <v>0</v>
      </c>
      <c r="P16" s="20" t="n">
        <v>0</v>
      </c>
      <c r="Q16" s="18" t="n">
        <v>4.64901768</v>
      </c>
      <c r="R16" s="20" t="n">
        <v>0.86112995</v>
      </c>
    </row>
    <row r="17" spans="1:18">
      <c r="A17" s="15" t="s">
        <v>577</v>
      </c>
      <c r="B17" s="17" t="n">
        <v>3307</v>
      </c>
      <c r="C17" s="18">
        <f>(2557.0/B17*100)</f>
        <v/>
      </c>
      <c r="D17" s="19" t="n">
        <v>750</v>
      </c>
      <c r="E17" s="18" t="n">
        <v>71.51612118</v>
      </c>
      <c r="F17" s="20" t="n">
        <v>2.10551048</v>
      </c>
      <c r="G17" s="18" t="n">
        <v>26.18295029</v>
      </c>
      <c r="H17" s="20" t="n">
        <v>2.02831841</v>
      </c>
      <c r="I17" s="18" t="s">
        <v>567</v>
      </c>
      <c r="J17" s="20" t="s">
        <v>567</v>
      </c>
      <c r="K17" s="18" t="n">
        <v>0.13369565</v>
      </c>
      <c r="L17" s="20" t="n">
        <v>0.13331462</v>
      </c>
      <c r="M17" s="18" t="n">
        <v>0</v>
      </c>
      <c r="N17" s="20" t="n">
        <v>0</v>
      </c>
      <c r="O17" s="18" t="n">
        <v>0</v>
      </c>
      <c r="P17" s="20" t="n">
        <v>0</v>
      </c>
      <c r="Q17" s="18" t="n">
        <v>2.16723287</v>
      </c>
      <c r="R17" s="20" t="n">
        <v>0.49644886</v>
      </c>
    </row>
    <row r="18" spans="1:18">
      <c r="A18" s="15" t="s">
        <v>578</v>
      </c>
      <c r="B18" s="17" t="n">
        <v>2826</v>
      </c>
      <c r="C18" s="18">
        <f>(2215.0/B18*100)</f>
        <v/>
      </c>
      <c r="D18" s="19" t="n">
        <v>611</v>
      </c>
      <c r="E18" s="18" t="n">
        <v>81.43697233</v>
      </c>
      <c r="F18" s="20" t="n">
        <v>1.84846344</v>
      </c>
      <c r="G18" s="18" t="n">
        <v>12.90320259</v>
      </c>
      <c r="H18" s="20" t="n">
        <v>1.35711632</v>
      </c>
      <c r="I18" s="18" t="s">
        <v>567</v>
      </c>
      <c r="J18" s="20" t="s">
        <v>567</v>
      </c>
      <c r="K18" s="18" t="n">
        <v>0.16762794</v>
      </c>
      <c r="L18" s="20" t="n">
        <v>0.17406097</v>
      </c>
      <c r="M18" s="18" t="n">
        <v>0</v>
      </c>
      <c r="N18" s="20" t="n">
        <v>0</v>
      </c>
      <c r="O18" s="18" t="n">
        <v>0</v>
      </c>
      <c r="P18" s="20" t="n">
        <v>0</v>
      </c>
      <c r="Q18" s="18" t="n">
        <v>5.49219714</v>
      </c>
      <c r="R18" s="20" t="n">
        <v>1.19591885</v>
      </c>
    </row>
    <row r="19" spans="1:18">
      <c r="A19" s="15" t="s">
        <v>579</v>
      </c>
      <c r="B19" s="17" t="n">
        <v>2808</v>
      </c>
      <c r="C19" s="18">
        <f>(2202.0/B19*100)</f>
        <v/>
      </c>
      <c r="D19" s="19" t="n">
        <v>606</v>
      </c>
      <c r="E19" s="18" t="n">
        <v>74.25609113</v>
      </c>
      <c r="F19" s="20" t="n">
        <v>2.15107727</v>
      </c>
      <c r="G19" s="18" t="n">
        <v>20.75834736</v>
      </c>
      <c r="H19" s="20" t="n">
        <v>1.97064463</v>
      </c>
      <c r="I19" s="18" t="s">
        <v>567</v>
      </c>
      <c r="J19" s="20" t="s">
        <v>567</v>
      </c>
      <c r="K19" s="18" t="n">
        <v>0</v>
      </c>
      <c r="L19" s="20" t="n">
        <v>0</v>
      </c>
      <c r="M19" s="18" t="n">
        <v>0</v>
      </c>
      <c r="N19" s="20" t="n">
        <v>0</v>
      </c>
      <c r="O19" s="18" t="n">
        <v>0</v>
      </c>
      <c r="P19" s="20" t="n">
        <v>0</v>
      </c>
      <c r="Q19" s="18" t="n">
        <v>4.98556151</v>
      </c>
      <c r="R19" s="20" t="n">
        <v>0.93339624</v>
      </c>
    </row>
    <row r="20" spans="1:18">
      <c r="A20" s="15" t="s">
        <v>580</v>
      </c>
      <c r="B20" s="17" t="n">
        <v>1630</v>
      </c>
      <c r="C20" s="18">
        <f>(1256.0/B20*100)</f>
        <v/>
      </c>
      <c r="D20" s="19" t="n">
        <v>374</v>
      </c>
      <c r="E20" s="18" t="n">
        <v>72.74340208</v>
      </c>
      <c r="F20" s="20" t="n">
        <v>2.36823662</v>
      </c>
      <c r="G20" s="18" t="n">
        <v>23.61084447</v>
      </c>
      <c r="H20" s="20" t="n">
        <v>2.21501516</v>
      </c>
      <c r="I20" s="18" t="s">
        <v>567</v>
      </c>
      <c r="J20" s="20" t="s">
        <v>567</v>
      </c>
      <c r="K20" s="18" t="n">
        <v>1.04313187</v>
      </c>
      <c r="L20" s="20" t="n">
        <v>0.48479175</v>
      </c>
      <c r="M20" s="18" t="n">
        <v>0</v>
      </c>
      <c r="N20" s="20" t="n">
        <v>0</v>
      </c>
      <c r="O20" s="18" t="n">
        <v>0</v>
      </c>
      <c r="P20" s="20" t="n">
        <v>0</v>
      </c>
      <c r="Q20" s="18" t="n">
        <v>2.60262158</v>
      </c>
      <c r="R20" s="20" t="n">
        <v>0.70130057</v>
      </c>
    </row>
    <row r="21" spans="1:18">
      <c r="A21" s="15" t="s">
        <v>581</v>
      </c>
      <c r="B21" s="17" t="n">
        <v>2908</v>
      </c>
      <c r="C21" s="18">
        <f>(2285.0/B21*100)</f>
        <v/>
      </c>
      <c r="D21" s="19" t="n">
        <v>623</v>
      </c>
      <c r="E21" s="18" t="n">
        <v>77.16971178999999</v>
      </c>
      <c r="F21" s="20" t="n">
        <v>1.73698212</v>
      </c>
      <c r="G21" s="18" t="n">
        <v>19.65818192</v>
      </c>
      <c r="H21" s="20" t="n">
        <v>1.58068748</v>
      </c>
      <c r="I21" s="18" t="s">
        <v>567</v>
      </c>
      <c r="J21" s="20" t="s">
        <v>567</v>
      </c>
      <c r="K21" s="18" t="n">
        <v>0</v>
      </c>
      <c r="L21" s="20" t="n">
        <v>0</v>
      </c>
      <c r="M21" s="18" t="n">
        <v>0</v>
      </c>
      <c r="N21" s="20" t="n">
        <v>0</v>
      </c>
      <c r="O21" s="18" t="n">
        <v>0</v>
      </c>
      <c r="P21" s="20" t="n">
        <v>0</v>
      </c>
      <c r="Q21" s="18" t="n">
        <v>3.17210629</v>
      </c>
      <c r="R21" s="20" t="n">
        <v>0.86879649</v>
      </c>
    </row>
    <row r="22" spans="1:18">
      <c r="A22" s="15" t="s">
        <v>582</v>
      </c>
      <c r="B22" s="17" t="n">
        <v>2931</v>
      </c>
      <c r="C22" s="18">
        <f>(2266.0/B22*100)</f>
        <v/>
      </c>
      <c r="D22" s="19" t="n">
        <v>665</v>
      </c>
      <c r="E22" s="18" t="n">
        <v>76.56776702000001</v>
      </c>
      <c r="F22" s="20" t="n">
        <v>1.58331002</v>
      </c>
      <c r="G22" s="18" t="n">
        <v>17.29759569</v>
      </c>
      <c r="H22" s="20" t="n">
        <v>1.57064721</v>
      </c>
      <c r="I22" s="18" t="s">
        <v>567</v>
      </c>
      <c r="J22" s="20" t="s">
        <v>567</v>
      </c>
      <c r="K22" s="18" t="n">
        <v>0.12135449</v>
      </c>
      <c r="L22" s="20" t="n">
        <v>0.12144873</v>
      </c>
      <c r="M22" s="18" t="n">
        <v>0</v>
      </c>
      <c r="N22" s="20" t="n">
        <v>0</v>
      </c>
      <c r="O22" s="18" t="n">
        <v>0</v>
      </c>
      <c r="P22" s="20" t="n">
        <v>0</v>
      </c>
      <c r="Q22" s="18" t="n">
        <v>6.0132828</v>
      </c>
      <c r="R22" s="20" t="n">
        <v>1.03645843</v>
      </c>
    </row>
    <row r="23" spans="1:18">
      <c r="A23" s="15" t="s">
        <v>583</v>
      </c>
      <c r="B23" s="17" t="n">
        <v>5791</v>
      </c>
      <c r="C23" s="18">
        <f>(4497.0/B23*100)</f>
        <v/>
      </c>
      <c r="D23" s="19" t="n">
        <v>1294</v>
      </c>
      <c r="E23" s="18" t="n">
        <v>77.71176895000001</v>
      </c>
      <c r="F23" s="20" t="n">
        <v>1.54905312</v>
      </c>
      <c r="G23" s="18" t="n">
        <v>17.83882185</v>
      </c>
      <c r="H23" s="20" t="n">
        <v>1.61272149</v>
      </c>
      <c r="I23" s="18" t="s">
        <v>567</v>
      </c>
      <c r="J23" s="20" t="s">
        <v>567</v>
      </c>
      <c r="K23" s="18" t="n">
        <v>0.24442409</v>
      </c>
      <c r="L23" s="20" t="n">
        <v>0.17895733</v>
      </c>
      <c r="M23" s="18" t="n">
        <v>0</v>
      </c>
      <c r="N23" s="20" t="n">
        <v>0</v>
      </c>
      <c r="O23" s="18" t="n">
        <v>0</v>
      </c>
      <c r="P23" s="20" t="n">
        <v>0</v>
      </c>
      <c r="Q23" s="18" t="n">
        <v>4.20498511</v>
      </c>
      <c r="R23" s="20" t="n">
        <v>0.86679165</v>
      </c>
    </row>
    <row r="24" spans="1:18">
      <c r="A24" s="15" t="s">
        <v>584</v>
      </c>
      <c r="B24" s="17" t="n">
        <v>3338</v>
      </c>
      <c r="C24" s="18">
        <f>(2592.0/B24*100)</f>
        <v/>
      </c>
      <c r="D24" s="19" t="n">
        <v>746</v>
      </c>
      <c r="E24" s="18" t="n">
        <v>69.35280372</v>
      </c>
      <c r="F24" s="20" t="n">
        <v>1.92922886</v>
      </c>
      <c r="G24" s="18" t="n">
        <v>23.896612</v>
      </c>
      <c r="H24" s="20" t="n">
        <v>1.91280209</v>
      </c>
      <c r="I24" s="18" t="s">
        <v>567</v>
      </c>
      <c r="J24" s="20" t="s">
        <v>567</v>
      </c>
      <c r="K24" s="18" t="n">
        <v>0.14055455</v>
      </c>
      <c r="L24" s="20" t="n">
        <v>0.13574794</v>
      </c>
      <c r="M24" s="18" t="n">
        <v>0</v>
      </c>
      <c r="N24" s="20" t="n">
        <v>0</v>
      </c>
      <c r="O24" s="18" t="n">
        <v>0</v>
      </c>
      <c r="P24" s="20" t="n">
        <v>0</v>
      </c>
      <c r="Q24" s="18" t="n">
        <v>6.61002973</v>
      </c>
      <c r="R24" s="20" t="n">
        <v>1.05411326</v>
      </c>
    </row>
    <row r="25" spans="1:18">
      <c r="A25" s="15" t="s">
        <v>585</v>
      </c>
      <c r="B25" s="17" t="n">
        <v>2912</v>
      </c>
      <c r="C25" s="18">
        <f>(2245.0/B25*100)</f>
        <v/>
      </c>
      <c r="D25" s="19" t="n">
        <v>667</v>
      </c>
      <c r="E25" s="18" t="n">
        <v>80.86770962</v>
      </c>
      <c r="F25" s="20" t="n">
        <v>1.70653038</v>
      </c>
      <c r="G25" s="18" t="n">
        <v>15.53462049</v>
      </c>
      <c r="H25" s="20" t="n">
        <v>1.51468252</v>
      </c>
      <c r="I25" s="18" t="s">
        <v>567</v>
      </c>
      <c r="J25" s="20" t="s">
        <v>567</v>
      </c>
      <c r="K25" s="18" t="n">
        <v>0.46709647</v>
      </c>
      <c r="L25" s="20" t="n">
        <v>0.35791141</v>
      </c>
      <c r="M25" s="18" t="n">
        <v>0</v>
      </c>
      <c r="N25" s="20" t="n">
        <v>0</v>
      </c>
      <c r="O25" s="18" t="n">
        <v>0</v>
      </c>
      <c r="P25" s="20" t="n">
        <v>0</v>
      </c>
      <c r="Q25" s="18" t="n">
        <v>3.13057342</v>
      </c>
      <c r="R25" s="20" t="n">
        <v>0.74555256</v>
      </c>
    </row>
    <row r="26" spans="1:18">
      <c r="A26" s="15" t="s">
        <v>586</v>
      </c>
      <c r="B26" s="17" t="n">
        <v>2450</v>
      </c>
      <c r="C26" s="18">
        <f>(1899.0/B26*100)</f>
        <v/>
      </c>
      <c r="D26" s="19" t="n">
        <v>551</v>
      </c>
      <c r="E26" s="18" t="n">
        <v>83.37403002000001</v>
      </c>
      <c r="F26" s="20" t="n">
        <v>1.78146508</v>
      </c>
      <c r="G26" s="18" t="n">
        <v>15.31052332</v>
      </c>
      <c r="H26" s="20" t="n">
        <v>1.79266915</v>
      </c>
      <c r="I26" s="18" t="s">
        <v>567</v>
      </c>
      <c r="J26" s="20" t="s">
        <v>567</v>
      </c>
      <c r="K26" s="18" t="n">
        <v>0</v>
      </c>
      <c r="L26" s="20" t="n">
        <v>0</v>
      </c>
      <c r="M26" s="18" t="n">
        <v>0</v>
      </c>
      <c r="N26" s="20" t="n">
        <v>0</v>
      </c>
      <c r="O26" s="18" t="n">
        <v>0</v>
      </c>
      <c r="P26" s="20" t="n">
        <v>0</v>
      </c>
      <c r="Q26" s="18" t="n">
        <v>1.31544666</v>
      </c>
      <c r="R26" s="20" t="n">
        <v>0.52783282</v>
      </c>
    </row>
    <row r="27" spans="1:18">
      <c r="A27" s="15" t="s">
        <v>587</v>
      </c>
      <c r="B27" s="17" t="n">
        <v>2616</v>
      </c>
      <c r="C27" s="18">
        <f>(2043.0/B27*100)</f>
        <v/>
      </c>
      <c r="D27" s="19" t="n">
        <v>573</v>
      </c>
      <c r="E27" s="18" t="n">
        <v>71.16061233000001</v>
      </c>
      <c r="F27" s="20" t="n">
        <v>1.82117267</v>
      </c>
      <c r="G27" s="18" t="n">
        <v>26.69023809</v>
      </c>
      <c r="H27" s="20" t="n">
        <v>1.80083411</v>
      </c>
      <c r="I27" s="18" t="s">
        <v>567</v>
      </c>
      <c r="J27" s="20" t="s">
        <v>567</v>
      </c>
      <c r="K27" s="18" t="n">
        <v>0.35456415</v>
      </c>
      <c r="L27" s="20" t="n">
        <v>0.25206451</v>
      </c>
      <c r="M27" s="18" t="n">
        <v>0</v>
      </c>
      <c r="N27" s="20" t="n">
        <v>0</v>
      </c>
      <c r="O27" s="18" t="n">
        <v>0</v>
      </c>
      <c r="P27" s="20" t="n">
        <v>0</v>
      </c>
      <c r="Q27" s="18" t="n">
        <v>1.79458543</v>
      </c>
      <c r="R27" s="20" t="n">
        <v>0.54981996</v>
      </c>
    </row>
    <row r="28" spans="1:18">
      <c r="A28" s="15" t="s">
        <v>588</v>
      </c>
      <c r="B28" s="17" t="n">
        <v>3765</v>
      </c>
      <c r="C28" s="18">
        <f>(2962.0/B28*100)</f>
        <v/>
      </c>
      <c r="D28" s="19" t="n">
        <v>803</v>
      </c>
      <c r="E28" s="18" t="n">
        <v>88.85437969</v>
      </c>
      <c r="F28" s="20" t="n">
        <v>1.22229901</v>
      </c>
      <c r="G28" s="18" t="n">
        <v>7.65679854</v>
      </c>
      <c r="H28" s="20" t="n">
        <v>0.94643498</v>
      </c>
      <c r="I28" s="18" t="s">
        <v>567</v>
      </c>
      <c r="J28" s="20" t="s">
        <v>567</v>
      </c>
      <c r="K28" s="18" t="n">
        <v>0.10794203</v>
      </c>
      <c r="L28" s="20" t="n">
        <v>0.10496766</v>
      </c>
      <c r="M28" s="18" t="n">
        <v>0</v>
      </c>
      <c r="N28" s="20" t="n">
        <v>0</v>
      </c>
      <c r="O28" s="18" t="n">
        <v>0</v>
      </c>
      <c r="P28" s="20" t="n">
        <v>0</v>
      </c>
      <c r="Q28" s="18" t="n">
        <v>3.38087974</v>
      </c>
      <c r="R28" s="20" t="n">
        <v>0.86514703</v>
      </c>
    </row>
    <row r="29" spans="1:18">
      <c r="A29" s="15" t="s">
        <v>589</v>
      </c>
      <c r="B29" s="17" t="n">
        <v>2685</v>
      </c>
      <c r="C29" s="18">
        <f>(2097.0/B29*100)</f>
        <v/>
      </c>
      <c r="D29" s="19" t="n">
        <v>588</v>
      </c>
      <c r="E29" s="18" t="n">
        <v>71.44044918</v>
      </c>
      <c r="F29" s="20" t="n">
        <v>2.40819361</v>
      </c>
      <c r="G29" s="18" t="n">
        <v>23.67550888</v>
      </c>
      <c r="H29" s="20" t="n">
        <v>2.17165992</v>
      </c>
      <c r="I29" s="18" t="s">
        <v>567</v>
      </c>
      <c r="J29" s="20" t="s">
        <v>567</v>
      </c>
      <c r="K29" s="18" t="n">
        <v>0.13260537</v>
      </c>
      <c r="L29" s="20" t="n">
        <v>0.13106918</v>
      </c>
      <c r="M29" s="18" t="n">
        <v>0</v>
      </c>
      <c r="N29" s="20" t="n">
        <v>0</v>
      </c>
      <c r="O29" s="18" t="n">
        <v>0</v>
      </c>
      <c r="P29" s="20" t="n">
        <v>0</v>
      </c>
      <c r="Q29" s="18" t="n">
        <v>4.75143657</v>
      </c>
      <c r="R29" s="20" t="n">
        <v>1.02834081</v>
      </c>
    </row>
    <row r="30" spans="1:18">
      <c r="A30" s="15" t="s">
        <v>590</v>
      </c>
      <c r="B30" s="17" t="n">
        <v>2263</v>
      </c>
      <c r="C30" s="18">
        <f>(1771.0/B30*100)</f>
        <v/>
      </c>
      <c r="D30" s="19" t="n">
        <v>492</v>
      </c>
      <c r="E30" s="18" t="n">
        <v>68.73063779</v>
      </c>
      <c r="F30" s="20" t="n">
        <v>2.00922133</v>
      </c>
      <c r="G30" s="18" t="n">
        <v>26.83769678</v>
      </c>
      <c r="H30" s="20" t="n">
        <v>1.77479021</v>
      </c>
      <c r="I30" s="18" t="s">
        <v>567</v>
      </c>
      <c r="J30" s="20" t="s">
        <v>567</v>
      </c>
      <c r="K30" s="18" t="n">
        <v>0.55905295</v>
      </c>
      <c r="L30" s="20" t="n">
        <v>0.32419618</v>
      </c>
      <c r="M30" s="18" t="n">
        <v>0</v>
      </c>
      <c r="N30" s="20" t="n">
        <v>0</v>
      </c>
      <c r="O30" s="18" t="n">
        <v>0</v>
      </c>
      <c r="P30" s="20" t="n">
        <v>0</v>
      </c>
      <c r="Q30" s="18" t="n">
        <v>3.87261249</v>
      </c>
      <c r="R30" s="20" t="n">
        <v>0.82995758</v>
      </c>
    </row>
    <row r="31" spans="1:18">
      <c r="A31" s="15" t="s">
        <v>591</v>
      </c>
      <c r="B31" s="17" t="n">
        <v>2750</v>
      </c>
      <c r="C31" s="18">
        <f>(2135.0/B31*100)</f>
        <v/>
      </c>
      <c r="D31" s="19" t="n">
        <v>615</v>
      </c>
      <c r="E31" s="18" t="n">
        <v>69.34230372</v>
      </c>
      <c r="F31" s="20" t="n">
        <v>2.00177493</v>
      </c>
      <c r="G31" s="18" t="n">
        <v>25.3014281</v>
      </c>
      <c r="H31" s="20" t="n">
        <v>1.92501893</v>
      </c>
      <c r="I31" s="18" t="s">
        <v>567</v>
      </c>
      <c r="J31" s="20" t="s">
        <v>567</v>
      </c>
      <c r="K31" s="18" t="n">
        <v>0.49163145</v>
      </c>
      <c r="L31" s="20" t="n">
        <v>0.2885053</v>
      </c>
      <c r="M31" s="18" t="n">
        <v>0</v>
      </c>
      <c r="N31" s="20" t="n">
        <v>0</v>
      </c>
      <c r="O31" s="18" t="n">
        <v>0</v>
      </c>
      <c r="P31" s="20" t="n">
        <v>0</v>
      </c>
      <c r="Q31" s="18" t="n">
        <v>4.86463673</v>
      </c>
      <c r="R31" s="20" t="n">
        <v>0.96049766</v>
      </c>
    </row>
    <row r="32" spans="1:18">
      <c r="A32" s="15" t="s">
        <v>592</v>
      </c>
      <c r="B32" s="17" t="n">
        <v>2269</v>
      </c>
      <c r="C32" s="18">
        <f>(1733.0/B32*100)</f>
        <v/>
      </c>
      <c r="D32" s="19" t="n">
        <v>536</v>
      </c>
      <c r="E32" s="18" t="n">
        <v>80.71761297</v>
      </c>
      <c r="F32" s="20" t="n">
        <v>1.56243418</v>
      </c>
      <c r="G32" s="18" t="n">
        <v>17.2870959</v>
      </c>
      <c r="H32" s="20" t="n">
        <v>1.54249381</v>
      </c>
      <c r="I32" s="18" t="s">
        <v>567</v>
      </c>
      <c r="J32" s="20" t="s">
        <v>567</v>
      </c>
      <c r="K32" s="18" t="n">
        <v>0</v>
      </c>
      <c r="L32" s="20" t="n">
        <v>0</v>
      </c>
      <c r="M32" s="18" t="n">
        <v>0</v>
      </c>
      <c r="N32" s="20" t="n">
        <v>0</v>
      </c>
      <c r="O32" s="18" t="n">
        <v>0</v>
      </c>
      <c r="P32" s="20" t="n">
        <v>0</v>
      </c>
      <c r="Q32" s="18" t="n">
        <v>1.99529113</v>
      </c>
      <c r="R32" s="20" t="n">
        <v>0.53914411</v>
      </c>
    </row>
    <row r="33" spans="1:18">
      <c r="A33" s="15" t="s">
        <v>593</v>
      </c>
      <c r="B33" s="17" t="n">
        <v>3674</v>
      </c>
      <c r="C33" s="18">
        <f>(2875.0/B33*100)</f>
        <v/>
      </c>
      <c r="D33" s="19" t="n">
        <v>799</v>
      </c>
      <c r="E33" s="18" t="n">
        <v>76.95828012</v>
      </c>
      <c r="F33" s="20" t="n">
        <v>1.71073844</v>
      </c>
      <c r="G33" s="18" t="n">
        <v>18.84930456</v>
      </c>
      <c r="H33" s="20" t="n">
        <v>1.56105551</v>
      </c>
      <c r="I33" s="18" t="s">
        <v>567</v>
      </c>
      <c r="J33" s="20" t="s">
        <v>567</v>
      </c>
      <c r="K33" s="18" t="n">
        <v>0.24765084</v>
      </c>
      <c r="L33" s="20" t="n">
        <v>0.29579674</v>
      </c>
      <c r="M33" s="18" t="n">
        <v>0</v>
      </c>
      <c r="N33" s="20" t="n">
        <v>0</v>
      </c>
      <c r="O33" s="18" t="n">
        <v>0</v>
      </c>
      <c r="P33" s="20" t="n">
        <v>0</v>
      </c>
      <c r="Q33" s="18" t="n">
        <v>3.94476448</v>
      </c>
      <c r="R33" s="20" t="n">
        <v>0.86045993</v>
      </c>
    </row>
    <row r="34" spans="1:18">
      <c r="A34" s="15" t="s">
        <v>594</v>
      </c>
      <c r="B34" s="17" t="n">
        <v>3315</v>
      </c>
      <c r="C34" s="18">
        <f>(2585.0/B34*100)</f>
        <v/>
      </c>
      <c r="D34" s="19" t="n">
        <v>730</v>
      </c>
      <c r="E34" s="18" t="n">
        <v>81.83291637000001</v>
      </c>
      <c r="F34" s="20" t="n">
        <v>1.56317731</v>
      </c>
      <c r="G34" s="18" t="n">
        <v>15.04634795</v>
      </c>
      <c r="H34" s="20" t="n">
        <v>1.4489313</v>
      </c>
      <c r="I34" s="18" t="s">
        <v>567</v>
      </c>
      <c r="J34" s="20" t="s">
        <v>567</v>
      </c>
      <c r="K34" s="18" t="n">
        <v>0</v>
      </c>
      <c r="L34" s="20" t="n">
        <v>0</v>
      </c>
      <c r="M34" s="18" t="n">
        <v>0</v>
      </c>
      <c r="N34" s="20" t="n">
        <v>0</v>
      </c>
      <c r="O34" s="18" t="n">
        <v>0</v>
      </c>
      <c r="P34" s="20" t="n">
        <v>0</v>
      </c>
      <c r="Q34" s="18" t="n">
        <v>3.12073568</v>
      </c>
      <c r="R34" s="20" t="n">
        <v>0.65087501</v>
      </c>
    </row>
    <row r="35" spans="1:18">
      <c r="A35" s="15" t="s">
        <v>595</v>
      </c>
      <c r="B35" s="17" t="n">
        <v>3505</v>
      </c>
      <c r="C35" s="18">
        <f>(2762.0/B35*100)</f>
        <v/>
      </c>
      <c r="D35" s="19" t="n">
        <v>743</v>
      </c>
      <c r="E35" s="18" t="n">
        <v>73.57881893</v>
      </c>
      <c r="F35" s="20" t="n">
        <v>2.41064711</v>
      </c>
      <c r="G35" s="18" t="n">
        <v>21.86510738</v>
      </c>
      <c r="H35" s="20" t="n">
        <v>2.22000538</v>
      </c>
      <c r="I35" s="18" t="s">
        <v>567</v>
      </c>
      <c r="J35" s="20" t="s">
        <v>567</v>
      </c>
      <c r="K35" s="18" t="n">
        <v>0.96372081</v>
      </c>
      <c r="L35" s="20" t="n">
        <v>0.7295767399999999</v>
      </c>
      <c r="M35" s="18" t="n">
        <v>0</v>
      </c>
      <c r="N35" s="20" t="n">
        <v>0</v>
      </c>
      <c r="O35" s="18" t="n">
        <v>0</v>
      </c>
      <c r="P35" s="20" t="n">
        <v>0</v>
      </c>
      <c r="Q35" s="18" t="n">
        <v>3.59235288</v>
      </c>
      <c r="R35" s="20" t="n">
        <v>0.81531104</v>
      </c>
    </row>
    <row r="36" spans="1:18">
      <c r="A36" s="15" t="s">
        <v>596</v>
      </c>
      <c r="B36" s="17" t="n">
        <v>3332</v>
      </c>
      <c r="C36" s="18">
        <f>(2618.0/B36*100)</f>
        <v/>
      </c>
      <c r="D36" s="19" t="n">
        <v>714</v>
      </c>
      <c r="E36" s="18" t="n">
        <v>77.37690439000001</v>
      </c>
      <c r="F36" s="20" t="n">
        <v>1.67088571</v>
      </c>
      <c r="G36" s="18" t="n">
        <v>18.67496801</v>
      </c>
      <c r="H36" s="20" t="n">
        <v>1.45855561</v>
      </c>
      <c r="I36" s="18" t="s">
        <v>567</v>
      </c>
      <c r="J36" s="20" t="s">
        <v>567</v>
      </c>
      <c r="K36" s="18" t="n">
        <v>0.1992847</v>
      </c>
      <c r="L36" s="20" t="n">
        <v>0.20957275</v>
      </c>
      <c r="M36" s="18" t="n">
        <v>0</v>
      </c>
      <c r="N36" s="20" t="n">
        <v>0</v>
      </c>
      <c r="O36" s="18" t="n">
        <v>0</v>
      </c>
      <c r="P36" s="20" t="n">
        <v>0</v>
      </c>
      <c r="Q36" s="18" t="n">
        <v>3.7488429</v>
      </c>
      <c r="R36" s="20" t="n">
        <v>0.72166481</v>
      </c>
    </row>
    <row r="37" spans="1:18">
      <c r="A37" s="15" t="s">
        <v>597</v>
      </c>
      <c r="B37" s="17" t="n">
        <v>2727</v>
      </c>
      <c r="C37" s="18">
        <f>(2129.0/B37*100)</f>
        <v/>
      </c>
      <c r="D37" s="19" t="n">
        <v>598</v>
      </c>
      <c r="E37" s="18" t="n">
        <v>73.24846664</v>
      </c>
      <c r="F37" s="20" t="n">
        <v>1.78020628</v>
      </c>
      <c r="G37" s="18" t="n">
        <v>20.03435227</v>
      </c>
      <c r="H37" s="20" t="n">
        <v>1.69316411</v>
      </c>
      <c r="I37" s="18" t="s">
        <v>567</v>
      </c>
      <c r="J37" s="20" t="s">
        <v>567</v>
      </c>
      <c r="K37" s="18" t="n">
        <v>0.31533806</v>
      </c>
      <c r="L37" s="20" t="n">
        <v>0.22368782</v>
      </c>
      <c r="M37" s="18" t="n">
        <v>0</v>
      </c>
      <c r="N37" s="20" t="n">
        <v>0</v>
      </c>
      <c r="O37" s="18" t="n">
        <v>0</v>
      </c>
      <c r="P37" s="20" t="n">
        <v>0</v>
      </c>
      <c r="Q37" s="18" t="n">
        <v>6.40184303</v>
      </c>
      <c r="R37" s="20" t="n">
        <v>1.12541232</v>
      </c>
    </row>
    <row r="38" spans="1:18">
      <c r="A38" s="15" t="s">
        <v>598</v>
      </c>
      <c r="B38" s="17" t="n">
        <v>3053</v>
      </c>
      <c r="C38" s="18">
        <f>(2387.0/B38*100)</f>
        <v/>
      </c>
      <c r="D38" s="19" t="n">
        <v>666</v>
      </c>
      <c r="E38" s="18" t="n">
        <v>67.44211654</v>
      </c>
      <c r="F38" s="20" t="n">
        <v>2.15550833</v>
      </c>
      <c r="G38" s="18" t="n">
        <v>29.79658535</v>
      </c>
      <c r="H38" s="20" t="n">
        <v>2.14913615</v>
      </c>
      <c r="I38" s="18" t="s">
        <v>567</v>
      </c>
      <c r="J38" s="20" t="s">
        <v>567</v>
      </c>
      <c r="K38" s="18" t="n">
        <v>0.23137816</v>
      </c>
      <c r="L38" s="20" t="n">
        <v>0.23050598</v>
      </c>
      <c r="M38" s="18" t="n">
        <v>0</v>
      </c>
      <c r="N38" s="20" t="n">
        <v>0</v>
      </c>
      <c r="O38" s="18" t="n">
        <v>0</v>
      </c>
      <c r="P38" s="20" t="n">
        <v>0</v>
      </c>
      <c r="Q38" s="18" t="n">
        <v>2.52991995</v>
      </c>
      <c r="R38" s="20" t="n">
        <v>0.59173106</v>
      </c>
    </row>
    <row r="39" spans="1:18">
      <c r="A39" s="15" t="s">
        <v>599</v>
      </c>
      <c r="B39" s="17" t="n">
        <v>2957</v>
      </c>
      <c r="C39" s="18">
        <f>(2298.0/B39*100)</f>
        <v/>
      </c>
      <c r="D39" s="19" t="n">
        <v>659</v>
      </c>
      <c r="E39" s="18" t="n">
        <v>86.38172517</v>
      </c>
      <c r="F39" s="20" t="n">
        <v>1.77220561</v>
      </c>
      <c r="G39" s="18" t="n">
        <v>7.49601335</v>
      </c>
      <c r="H39" s="20" t="n">
        <v>1.4182647</v>
      </c>
      <c r="I39" s="18" t="s">
        <v>567</v>
      </c>
      <c r="J39" s="20" t="s">
        <v>567</v>
      </c>
      <c r="K39" s="18" t="n">
        <v>0</v>
      </c>
      <c r="L39" s="20" t="n">
        <v>0</v>
      </c>
      <c r="M39" s="18" t="n">
        <v>0</v>
      </c>
      <c r="N39" s="20" t="n">
        <v>0</v>
      </c>
      <c r="O39" s="18" t="n">
        <v>0</v>
      </c>
      <c r="P39" s="20" t="n">
        <v>0</v>
      </c>
      <c r="Q39" s="18" t="n">
        <v>6.12226148</v>
      </c>
      <c r="R39" s="20" t="n">
        <v>1.52596635</v>
      </c>
    </row>
    <row r="40" spans="1:18">
      <c r="A40" s="15" t="s">
        <v>600</v>
      </c>
      <c r="B40" s="17" t="n">
        <v>7235</v>
      </c>
      <c r="C40" s="18">
        <f>(5657.0/B40*100)</f>
        <v/>
      </c>
      <c r="D40" s="19" t="n">
        <v>1578</v>
      </c>
      <c r="E40" s="18" t="n">
        <v>72.17466611</v>
      </c>
      <c r="F40" s="20" t="n">
        <v>2.02382977</v>
      </c>
      <c r="G40" s="18" t="n">
        <v>22.84857527</v>
      </c>
      <c r="H40" s="20" t="n">
        <v>1.92969184</v>
      </c>
      <c r="I40" s="18" t="s">
        <v>567</v>
      </c>
      <c r="J40" s="20" t="s">
        <v>567</v>
      </c>
      <c r="K40" s="18" t="n">
        <v>0.44164278</v>
      </c>
      <c r="L40" s="20" t="n">
        <v>0.29720263</v>
      </c>
      <c r="M40" s="18" t="n">
        <v>0</v>
      </c>
      <c r="N40" s="20" t="n">
        <v>0</v>
      </c>
      <c r="O40" s="18" t="n">
        <v>0</v>
      </c>
      <c r="P40" s="20" t="n">
        <v>0</v>
      </c>
      <c r="Q40" s="18" t="n">
        <v>4.53511584</v>
      </c>
      <c r="R40" s="20" t="n">
        <v>0.76701016</v>
      </c>
    </row>
    <row r="41" spans="1:18">
      <c r="A41" s="15" t="s">
        <v>601</v>
      </c>
      <c r="B41" s="17" t="n">
        <v>2858</v>
      </c>
      <c r="C41" s="18">
        <f>(2256.0/B41*100)</f>
        <v/>
      </c>
      <c r="D41" s="19" t="n">
        <v>602</v>
      </c>
      <c r="E41" s="18" t="n">
        <v>70.0389121</v>
      </c>
      <c r="F41" s="20" t="n">
        <v>2.16224221</v>
      </c>
      <c r="G41" s="18" t="n">
        <v>26.8692437</v>
      </c>
      <c r="H41" s="20" t="n">
        <v>2.02461219</v>
      </c>
      <c r="I41" s="18" t="s">
        <v>567</v>
      </c>
      <c r="J41" s="20" t="s">
        <v>567</v>
      </c>
      <c r="K41" s="18" t="n">
        <v>0.06771609000000001</v>
      </c>
      <c r="L41" s="20" t="n">
        <v>0.06809773</v>
      </c>
      <c r="M41" s="18" t="n">
        <v>0</v>
      </c>
      <c r="N41" s="20" t="n">
        <v>0</v>
      </c>
      <c r="O41" s="18" t="n">
        <v>0</v>
      </c>
      <c r="P41" s="20" t="n">
        <v>0</v>
      </c>
      <c r="Q41" s="18" t="n">
        <v>3.02412812</v>
      </c>
      <c r="R41" s="20" t="n">
        <v>0.74043101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(9001.0/B46*100)</f>
        <v/>
      </c>
      <c r="D46" s="19" t="n">
        <v>2067</v>
      </c>
      <c r="E46" s="18" t="n">
        <v>84.98276481000001</v>
      </c>
      <c r="F46" s="20" t="n">
        <v>0.9258421999999999</v>
      </c>
      <c r="G46" s="18" t="n">
        <v>5.88116673</v>
      </c>
      <c r="H46" s="20" t="n">
        <v>0.76700031</v>
      </c>
      <c r="I46" s="18" t="s">
        <v>567</v>
      </c>
      <c r="J46" s="20" t="s">
        <v>567</v>
      </c>
      <c r="K46" s="18" t="n">
        <v>0.95579858</v>
      </c>
      <c r="L46" s="20" t="n">
        <v>0.30695572</v>
      </c>
      <c r="M46" s="18" t="n">
        <v>0</v>
      </c>
      <c r="N46" s="20" t="n">
        <v>0</v>
      </c>
      <c r="O46" s="18" t="n">
        <v>0</v>
      </c>
      <c r="P46" s="20" t="n">
        <v>0</v>
      </c>
      <c r="Q46" s="18" t="n">
        <v>8.180269880000001</v>
      </c>
      <c r="R46" s="20" t="n">
        <v>0.78141581</v>
      </c>
    </row>
    <row r="47" spans="1:18">
      <c r="A47" s="15" t="s">
        <v>607</v>
      </c>
      <c r="B47" s="17" t="n">
        <v>3105</v>
      </c>
      <c r="C47" s="18">
        <f>(2402.0/B47*100)</f>
        <v/>
      </c>
      <c r="D47" s="19" t="n">
        <v>703</v>
      </c>
      <c r="E47" s="18" t="n">
        <v>80.22143032</v>
      </c>
      <c r="F47" s="20" t="n">
        <v>1.58623081</v>
      </c>
      <c r="G47" s="18" t="n">
        <v>11.63774336</v>
      </c>
      <c r="H47" s="20" t="n">
        <v>1.61258811</v>
      </c>
      <c r="I47" s="18" t="s">
        <v>567</v>
      </c>
      <c r="J47" s="20" t="s">
        <v>567</v>
      </c>
      <c r="K47" s="18" t="n">
        <v>0.24020211</v>
      </c>
      <c r="L47" s="20" t="n">
        <v>0.1676097</v>
      </c>
      <c r="M47" s="18" t="n">
        <v>0</v>
      </c>
      <c r="N47" s="20" t="n">
        <v>0</v>
      </c>
      <c r="O47" s="18" t="n">
        <v>0</v>
      </c>
      <c r="P47" s="20" t="n">
        <v>0</v>
      </c>
      <c r="Q47" s="18" t="n">
        <v>7.90062422</v>
      </c>
      <c r="R47" s="20" t="n">
        <v>1.09062381</v>
      </c>
    </row>
    <row r="48" spans="1:18">
      <c r="A48" s="15" t="s">
        <v>608</v>
      </c>
      <c r="B48" s="17" t="n">
        <v>5159</v>
      </c>
      <c r="C48" s="18">
        <f>(3974.0/B48*100)</f>
        <v/>
      </c>
      <c r="D48" s="19" t="n">
        <v>1185</v>
      </c>
      <c r="E48" s="18" t="n">
        <v>74.28633281</v>
      </c>
      <c r="F48" s="20" t="n">
        <v>1.81559474</v>
      </c>
      <c r="G48" s="18" t="n">
        <v>23.87468058</v>
      </c>
      <c r="H48" s="20" t="n">
        <v>1.88767641</v>
      </c>
      <c r="I48" s="18" t="s">
        <v>567</v>
      </c>
      <c r="J48" s="20" t="s">
        <v>567</v>
      </c>
      <c r="K48" s="18" t="n">
        <v>0.24623286</v>
      </c>
      <c r="L48" s="20" t="n">
        <v>0.20025218</v>
      </c>
      <c r="M48" s="18" t="n">
        <v>0</v>
      </c>
      <c r="N48" s="20" t="n">
        <v>0</v>
      </c>
      <c r="O48" s="18" t="n">
        <v>0</v>
      </c>
      <c r="P48" s="20" t="n">
        <v>0</v>
      </c>
      <c r="Q48" s="18" t="n">
        <v>1.59275376</v>
      </c>
      <c r="R48" s="20" t="n">
        <v>0.5147893100000001</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(4429.0/B50*100)</f>
        <v/>
      </c>
      <c r="D50" s="19" t="n">
        <v>1208</v>
      </c>
      <c r="E50" s="18" t="n">
        <v>89.16965346000001</v>
      </c>
      <c r="F50" s="20" t="n">
        <v>1.10776475</v>
      </c>
      <c r="G50" s="18" t="n">
        <v>8.001253370000001</v>
      </c>
      <c r="H50" s="20" t="n">
        <v>1.01658115</v>
      </c>
      <c r="I50" s="18" t="s">
        <v>567</v>
      </c>
      <c r="J50" s="20" t="s">
        <v>567</v>
      </c>
      <c r="K50" s="18" t="n">
        <v>0.30722191</v>
      </c>
      <c r="L50" s="20" t="n">
        <v>0.18000164</v>
      </c>
      <c r="M50" s="18" t="n">
        <v>0</v>
      </c>
      <c r="N50" s="20" t="n">
        <v>0</v>
      </c>
      <c r="O50" s="18" t="n">
        <v>0</v>
      </c>
      <c r="P50" s="20" t="n">
        <v>0</v>
      </c>
      <c r="Q50" s="18" t="n">
        <v>2.52187126</v>
      </c>
      <c r="R50" s="20" t="n">
        <v>0.51408791</v>
      </c>
    </row>
    <row r="51" spans="1:18">
      <c r="A51" s="15" t="s">
        <v>611</v>
      </c>
      <c r="B51" s="17" t="n">
        <v>3372</v>
      </c>
      <c r="C51" s="18">
        <f>(2731.0/B51*100)</f>
        <v/>
      </c>
      <c r="D51" s="19" t="n">
        <v>641</v>
      </c>
      <c r="E51" s="18" t="n">
        <v>85.79566561999999</v>
      </c>
      <c r="F51" s="20" t="n">
        <v>1.5701917</v>
      </c>
      <c r="G51" s="18" t="n">
        <v>8.717464270000001</v>
      </c>
      <c r="H51" s="20" t="n">
        <v>1.17331561</v>
      </c>
      <c r="I51" s="18" t="s">
        <v>567</v>
      </c>
      <c r="J51" s="20" t="s">
        <v>567</v>
      </c>
      <c r="K51" s="18" t="n">
        <v>0</v>
      </c>
      <c r="L51" s="20" t="n">
        <v>0</v>
      </c>
      <c r="M51" s="18" t="n">
        <v>0</v>
      </c>
      <c r="N51" s="20" t="n">
        <v>0</v>
      </c>
      <c r="O51" s="18" t="n">
        <v>0</v>
      </c>
      <c r="P51" s="20" t="n">
        <v>0</v>
      </c>
      <c r="Q51" s="18" t="n">
        <v>5.48687011</v>
      </c>
      <c r="R51" s="20" t="n">
        <v>1.26871382</v>
      </c>
    </row>
    <row r="52" spans="1:18">
      <c r="A52" s="15" t="s">
        <v>612</v>
      </c>
      <c r="B52" s="17" t="n">
        <v>2796</v>
      </c>
      <c r="C52" s="18">
        <f>(2207.0/B52*100)</f>
        <v/>
      </c>
      <c r="D52" s="19" t="n">
        <v>589</v>
      </c>
      <c r="E52" s="18" t="n">
        <v>81.98950850999999</v>
      </c>
      <c r="F52" s="20" t="n">
        <v>1.9626427</v>
      </c>
      <c r="G52" s="18" t="n">
        <v>12.20763675</v>
      </c>
      <c r="H52" s="20" t="n">
        <v>1.7443806</v>
      </c>
      <c r="I52" s="18" t="s">
        <v>567</v>
      </c>
      <c r="J52" s="20" t="s">
        <v>567</v>
      </c>
      <c r="K52" s="18" t="n">
        <v>0</v>
      </c>
      <c r="L52" s="20" t="n">
        <v>0</v>
      </c>
      <c r="M52" s="18" t="n">
        <v>0</v>
      </c>
      <c r="N52" s="20" t="n">
        <v>0</v>
      </c>
      <c r="O52" s="18" t="n">
        <v>0</v>
      </c>
      <c r="P52" s="20" t="n">
        <v>0</v>
      </c>
      <c r="Q52" s="18" t="n">
        <v>5.80285474</v>
      </c>
      <c r="R52" s="20" t="n">
        <v>0.93708889</v>
      </c>
    </row>
    <row r="53" spans="1:18">
      <c r="A53" s="15" t="s">
        <v>613</v>
      </c>
      <c r="B53" s="17" t="n">
        <v>2811</v>
      </c>
      <c r="C53" s="18">
        <f>(2200.0/B53*100)</f>
        <v/>
      </c>
      <c r="D53" s="19" t="n">
        <v>611</v>
      </c>
      <c r="E53" s="18" t="n">
        <v>79.09174962</v>
      </c>
      <c r="F53" s="20" t="n">
        <v>2.06825345</v>
      </c>
      <c r="G53" s="18" t="n">
        <v>11.88584125</v>
      </c>
      <c r="H53" s="20" t="n">
        <v>1.67965043</v>
      </c>
      <c r="I53" s="18" t="s">
        <v>567</v>
      </c>
      <c r="J53" s="20" t="s">
        <v>567</v>
      </c>
      <c r="K53" s="18" t="n">
        <v>0.71218103</v>
      </c>
      <c r="L53" s="20" t="n">
        <v>0.33326767</v>
      </c>
      <c r="M53" s="18" t="n">
        <v>0</v>
      </c>
      <c r="N53" s="20" t="n">
        <v>0</v>
      </c>
      <c r="O53" s="18" t="n">
        <v>0</v>
      </c>
      <c r="P53" s="20" t="n">
        <v>0</v>
      </c>
      <c r="Q53" s="18" t="n">
        <v>8.3102281</v>
      </c>
      <c r="R53" s="20" t="n">
        <v>1.1376234</v>
      </c>
    </row>
    <row r="54" spans="1:18">
      <c r="A54" s="15" t="s">
        <v>614</v>
      </c>
      <c r="B54" s="17" t="n">
        <v>2266</v>
      </c>
      <c r="C54" s="18">
        <f>(1775.0/B54*100)</f>
        <v/>
      </c>
      <c r="D54" s="19" t="n">
        <v>491</v>
      </c>
      <c r="E54" s="18" t="n">
        <v>76.53475381</v>
      </c>
      <c r="F54" s="20" t="n">
        <v>1.88851717</v>
      </c>
      <c r="G54" s="18" t="n">
        <v>2.13146425</v>
      </c>
      <c r="H54" s="20" t="n">
        <v>0.69874147</v>
      </c>
      <c r="I54" s="18" t="s">
        <v>567</v>
      </c>
      <c r="J54" s="20" t="s">
        <v>567</v>
      </c>
      <c r="K54" s="18" t="n">
        <v>12.03874625</v>
      </c>
      <c r="L54" s="20" t="n">
        <v>1.57609572</v>
      </c>
      <c r="M54" s="18" t="n">
        <v>0</v>
      </c>
      <c r="N54" s="20" t="n">
        <v>0</v>
      </c>
      <c r="O54" s="18" t="n">
        <v>0</v>
      </c>
      <c r="P54" s="20" t="n">
        <v>0</v>
      </c>
      <c r="Q54" s="18" t="n">
        <v>9.295035690000001</v>
      </c>
      <c r="R54" s="20" t="n">
        <v>1.43111151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(2102.0/B56*100)</f>
        <v/>
      </c>
      <c r="D56" s="19" t="n">
        <v>582</v>
      </c>
      <c r="E56" s="18" t="n">
        <v>79.31060466</v>
      </c>
      <c r="F56" s="20" t="n">
        <v>1.51169081</v>
      </c>
      <c r="G56" s="18" t="n">
        <v>18.2629009</v>
      </c>
      <c r="H56" s="20" t="n">
        <v>1.43830574</v>
      </c>
      <c r="I56" s="18" t="s">
        <v>567</v>
      </c>
      <c r="J56" s="20" t="s">
        <v>567</v>
      </c>
      <c r="K56" s="18" t="n">
        <v>0.14437194</v>
      </c>
      <c r="L56" s="20" t="n">
        <v>0.14333038</v>
      </c>
      <c r="M56" s="18" t="n">
        <v>0</v>
      </c>
      <c r="N56" s="20" t="n">
        <v>0</v>
      </c>
      <c r="O56" s="18" t="n">
        <v>0</v>
      </c>
      <c r="P56" s="20" t="n">
        <v>0</v>
      </c>
      <c r="Q56" s="18" t="n">
        <v>2.28212249</v>
      </c>
      <c r="R56" s="20" t="n">
        <v>0.63139409</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(2557.0/B61*100)</f>
        <v/>
      </c>
      <c r="D61" s="19" t="n">
        <v>767</v>
      </c>
      <c r="E61" s="18" t="n">
        <v>81.97184088</v>
      </c>
      <c r="F61" s="20" t="n">
        <v>1.31769407</v>
      </c>
      <c r="G61" s="18" t="n">
        <v>12.94861887</v>
      </c>
      <c r="H61" s="20" t="n">
        <v>1.32945105</v>
      </c>
      <c r="I61" s="18" t="s">
        <v>567</v>
      </c>
      <c r="J61" s="20" t="s">
        <v>567</v>
      </c>
      <c r="K61" s="18" t="n">
        <v>0.17000991</v>
      </c>
      <c r="L61" s="20" t="n">
        <v>0.12056484</v>
      </c>
      <c r="M61" s="18" t="n">
        <v>0</v>
      </c>
      <c r="N61" s="20" t="n">
        <v>0</v>
      </c>
      <c r="O61" s="18" t="n">
        <v>0</v>
      </c>
      <c r="P61" s="20" t="n">
        <v>0</v>
      </c>
      <c r="Q61" s="18" t="n">
        <v>4.90953034</v>
      </c>
      <c r="R61" s="20" t="n">
        <v>0.78475598</v>
      </c>
    </row>
    <row r="62" spans="1:18">
      <c r="A62" s="15" t="s">
        <v>622</v>
      </c>
      <c r="B62" s="17" t="n">
        <v>2246</v>
      </c>
      <c r="C62" s="18">
        <f>(1758.0/B62*100)</f>
        <v/>
      </c>
      <c r="D62" s="19" t="n">
        <v>488</v>
      </c>
      <c r="E62" s="18" t="n">
        <v>72.94562252999999</v>
      </c>
      <c r="F62" s="20" t="n">
        <v>2.15096719</v>
      </c>
      <c r="G62" s="18" t="n">
        <v>25.81046495</v>
      </c>
      <c r="H62" s="20" t="n">
        <v>2.13148746</v>
      </c>
      <c r="I62" s="18" t="s">
        <v>567</v>
      </c>
      <c r="J62" s="20" t="s">
        <v>567</v>
      </c>
      <c r="K62" s="18" t="n">
        <v>0.21052296</v>
      </c>
      <c r="L62" s="20" t="n">
        <v>0.21050445</v>
      </c>
      <c r="M62" s="18" t="n">
        <v>0</v>
      </c>
      <c r="N62" s="20" t="n">
        <v>0</v>
      </c>
      <c r="O62" s="18" t="n">
        <v>0</v>
      </c>
      <c r="P62" s="20" t="n">
        <v>0</v>
      </c>
      <c r="Q62" s="18" t="n">
        <v>1.03338957</v>
      </c>
      <c r="R62" s="20" t="n">
        <v>0.45435698</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(2246.0/B66*100)</f>
        <v/>
      </c>
      <c r="D66" s="19" t="n">
        <v>648</v>
      </c>
      <c r="E66" s="18" t="n">
        <v>85.99871619</v>
      </c>
      <c r="F66" s="20" t="n">
        <v>1.4866523</v>
      </c>
      <c r="G66" s="18" t="n">
        <v>3.51581965</v>
      </c>
      <c r="H66" s="20" t="n">
        <v>0.78780891</v>
      </c>
      <c r="I66" s="18" t="s">
        <v>567</v>
      </c>
      <c r="J66" s="20" t="s">
        <v>567</v>
      </c>
      <c r="K66" s="18" t="n">
        <v>0.61318439</v>
      </c>
      <c r="L66" s="20" t="n">
        <v>0.3084244</v>
      </c>
      <c r="M66" s="18" t="n">
        <v>0</v>
      </c>
      <c r="N66" s="20" t="n">
        <v>0</v>
      </c>
      <c r="O66" s="18" t="n">
        <v>0</v>
      </c>
      <c r="P66" s="20" t="n">
        <v>0</v>
      </c>
      <c r="Q66" s="18" t="n">
        <v>9.87227978</v>
      </c>
      <c r="R66" s="20" t="n">
        <v>1.12661797</v>
      </c>
    </row>
    <row r="67" spans="1:18">
      <c r="A67" s="15" t="s">
        <v>627</v>
      </c>
      <c r="B67" s="17" t="n">
        <v>3511</v>
      </c>
      <c r="C67" s="18">
        <f>(2753.0/B67*100)</f>
        <v/>
      </c>
      <c r="D67" s="19" t="n">
        <v>758</v>
      </c>
      <c r="E67" s="18" t="n">
        <v>88.22100387</v>
      </c>
      <c r="F67" s="20" t="n">
        <v>1.23262872</v>
      </c>
      <c r="G67" s="18" t="n">
        <v>7.81715149</v>
      </c>
      <c r="H67" s="20" t="n">
        <v>0.97740772</v>
      </c>
      <c r="I67" s="18" t="s">
        <v>567</v>
      </c>
      <c r="J67" s="20" t="s">
        <v>567</v>
      </c>
      <c r="K67" s="18" t="n">
        <v>0.11849223</v>
      </c>
      <c r="L67" s="20" t="n">
        <v>0.1189361</v>
      </c>
      <c r="M67" s="18" t="n">
        <v>0</v>
      </c>
      <c r="N67" s="20" t="n">
        <v>0</v>
      </c>
      <c r="O67" s="18" t="n">
        <v>0</v>
      </c>
      <c r="P67" s="20" t="n">
        <v>0</v>
      </c>
      <c r="Q67" s="18" t="n">
        <v>3.84335242</v>
      </c>
      <c r="R67" s="20" t="n">
        <v>0.88269004</v>
      </c>
    </row>
    <row r="68" spans="1:18">
      <c r="A68" s="15" t="s">
        <v>628</v>
      </c>
      <c r="B68" s="17" t="n">
        <v>6049</v>
      </c>
      <c r="C68" s="18">
        <f>(4693.0/B68*100)</f>
        <v/>
      </c>
      <c r="D68" s="19" t="n">
        <v>1356</v>
      </c>
      <c r="E68" s="18" t="n">
        <v>83.26209769</v>
      </c>
      <c r="F68" s="20" t="n">
        <v>0.97655115</v>
      </c>
      <c r="G68" s="18" t="n">
        <v>8.251882910000001</v>
      </c>
      <c r="H68" s="20" t="n">
        <v>0.76728142</v>
      </c>
      <c r="I68" s="18" t="s">
        <v>567</v>
      </c>
      <c r="J68" s="20" t="s">
        <v>567</v>
      </c>
      <c r="K68" s="18" t="n">
        <v>0.89920562</v>
      </c>
      <c r="L68" s="20" t="n">
        <v>0.27490663</v>
      </c>
      <c r="M68" s="18" t="n">
        <v>0</v>
      </c>
      <c r="N68" s="20" t="n">
        <v>0</v>
      </c>
      <c r="O68" s="18" t="n">
        <v>0</v>
      </c>
      <c r="P68" s="20" t="n">
        <v>0</v>
      </c>
      <c r="Q68" s="18" t="n">
        <v>7.58681379</v>
      </c>
      <c r="R68" s="20" t="n">
        <v>0.6813236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(2273.0/B70*100)</f>
        <v/>
      </c>
      <c r="D70" s="19" t="n">
        <v>656</v>
      </c>
      <c r="E70" s="18" t="n">
        <v>77.36309771000001</v>
      </c>
      <c r="F70" s="20" t="n">
        <v>2.1455332</v>
      </c>
      <c r="G70" s="18" t="n">
        <v>18.44333655</v>
      </c>
      <c r="H70" s="20" t="n">
        <v>1.90337036</v>
      </c>
      <c r="I70" s="18" t="s">
        <v>567</v>
      </c>
      <c r="J70" s="20" t="s">
        <v>567</v>
      </c>
      <c r="K70" s="18" t="n">
        <v>0.25637003</v>
      </c>
      <c r="L70" s="20" t="n">
        <v>0.14554351</v>
      </c>
      <c r="M70" s="18" t="n">
        <v>0</v>
      </c>
      <c r="N70" s="20" t="n">
        <v>0</v>
      </c>
      <c r="O70" s="18" t="n">
        <v>0</v>
      </c>
      <c r="P70" s="20" t="n">
        <v>0</v>
      </c>
      <c r="Q70" s="18" t="n">
        <v>3.9371957</v>
      </c>
      <c r="R70" s="20" t="n">
        <v>1.12475384</v>
      </c>
    </row>
    <row r="71" spans="1:18">
      <c r="A71" s="15" t="s">
        <v>631</v>
      </c>
      <c r="B71" s="17" t="n">
        <v>3142</v>
      </c>
      <c r="C71" s="18">
        <f>(2439.0/B71*100)</f>
        <v/>
      </c>
      <c r="D71" s="19" t="n">
        <v>703</v>
      </c>
      <c r="E71" s="18" t="n">
        <v>65.90640569999999</v>
      </c>
      <c r="F71" s="20" t="n">
        <v>2.15169236</v>
      </c>
      <c r="G71" s="18" t="n">
        <v>32.80705202</v>
      </c>
      <c r="H71" s="20" t="n">
        <v>2.14754775</v>
      </c>
      <c r="I71" s="18" t="s">
        <v>567</v>
      </c>
      <c r="J71" s="20" t="s">
        <v>567</v>
      </c>
      <c r="K71" s="18" t="n">
        <v>0.18869447</v>
      </c>
      <c r="L71" s="20" t="n">
        <v>0.13759489</v>
      </c>
      <c r="M71" s="18" t="n">
        <v>0</v>
      </c>
      <c r="N71" s="20" t="n">
        <v>0</v>
      </c>
      <c r="O71" s="18" t="n">
        <v>0</v>
      </c>
      <c r="P71" s="20" t="n">
        <v>0</v>
      </c>
      <c r="Q71" s="18" t="n">
        <v>1.09784781</v>
      </c>
      <c r="R71" s="20" t="n">
        <v>0.45036479</v>
      </c>
    </row>
    <row r="72" spans="1:18">
      <c r="A72" s="15" t="s">
        <v>632</v>
      </c>
      <c r="B72" s="17" t="n">
        <v>3889</v>
      </c>
      <c r="C72" s="18">
        <f>(3036.0/B72*100)</f>
        <v/>
      </c>
      <c r="D72" s="19" t="n">
        <v>853</v>
      </c>
      <c r="E72" s="18" t="n">
        <v>76.64294254000001</v>
      </c>
      <c r="F72" s="20" t="n">
        <v>1.54350456</v>
      </c>
      <c r="G72" s="18" t="n">
        <v>21.08994156</v>
      </c>
      <c r="H72" s="20" t="n">
        <v>1.54819022</v>
      </c>
      <c r="I72" s="18" t="s">
        <v>567</v>
      </c>
      <c r="J72" s="20" t="s">
        <v>567</v>
      </c>
      <c r="K72" s="18" t="n">
        <v>0.07709439999999999</v>
      </c>
      <c r="L72" s="20" t="n">
        <v>0.07955299</v>
      </c>
      <c r="M72" s="18" t="n">
        <v>0</v>
      </c>
      <c r="N72" s="20" t="n">
        <v>0</v>
      </c>
      <c r="O72" s="18" t="n">
        <v>0</v>
      </c>
      <c r="P72" s="20" t="n">
        <v>0</v>
      </c>
      <c r="Q72" s="18" t="n">
        <v>2.1900215</v>
      </c>
      <c r="R72" s="20" t="n">
        <v>0.51413089</v>
      </c>
    </row>
    <row r="73" spans="1:18">
      <c r="A73" s="15" t="s">
        <v>633</v>
      </c>
      <c r="B73" s="17" t="n">
        <v>3597</v>
      </c>
      <c r="C73" s="18">
        <f>(2809.0/B73*100)</f>
        <v/>
      </c>
      <c r="D73" s="19" t="n">
        <v>788</v>
      </c>
      <c r="E73" s="18" t="n">
        <v>91.06339654999999</v>
      </c>
      <c r="F73" s="20" t="n">
        <v>1.06943645</v>
      </c>
      <c r="G73" s="18" t="n">
        <v>5.9941087</v>
      </c>
      <c r="H73" s="20" t="n">
        <v>0.90927898</v>
      </c>
      <c r="I73" s="18" t="s">
        <v>567</v>
      </c>
      <c r="J73" s="20" t="s">
        <v>567</v>
      </c>
      <c r="K73" s="18" t="n">
        <v>0</v>
      </c>
      <c r="L73" s="20" t="n">
        <v>0</v>
      </c>
      <c r="M73" s="18" t="n">
        <v>0</v>
      </c>
      <c r="N73" s="20" t="n">
        <v>0</v>
      </c>
      <c r="O73" s="18" t="n">
        <v>0</v>
      </c>
      <c r="P73" s="20" t="n">
        <v>0</v>
      </c>
      <c r="Q73" s="18" t="n">
        <v>2.94249475</v>
      </c>
      <c r="R73" s="20" t="n">
        <v>0.71424462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(1898.0/B75*100)</f>
        <v/>
      </c>
      <c r="D75" s="19" t="n">
        <v>508</v>
      </c>
      <c r="E75" s="18" t="n">
        <v>84.95857433</v>
      </c>
      <c r="F75" s="20" t="n">
        <v>1.70028718</v>
      </c>
      <c r="G75" s="18" t="n">
        <v>5.75808147</v>
      </c>
      <c r="H75" s="20" t="n">
        <v>0.98219779</v>
      </c>
      <c r="I75" s="18" t="s">
        <v>567</v>
      </c>
      <c r="J75" s="20" t="s">
        <v>567</v>
      </c>
      <c r="K75" s="18" t="n">
        <v>1.53812217</v>
      </c>
      <c r="L75" s="20" t="n">
        <v>0.58110055</v>
      </c>
      <c r="M75" s="18" t="n">
        <v>0</v>
      </c>
      <c r="N75" s="20" t="n">
        <v>0</v>
      </c>
      <c r="O75" s="18" t="n">
        <v>0</v>
      </c>
      <c r="P75" s="20" t="n">
        <v>0</v>
      </c>
      <c r="Q75" s="18" t="n">
        <v>7.74522204</v>
      </c>
      <c r="R75" s="20" t="n">
        <v>1.26568159</v>
      </c>
    </row>
    <row r="76" spans="1:18">
      <c r="A76" s="15" t="s">
        <v>636</v>
      </c>
      <c r="B76" s="17" t="n">
        <v>7052</v>
      </c>
      <c r="C76" s="18">
        <f>(5496.0/B76*100)</f>
        <v/>
      </c>
      <c r="D76" s="19" t="n">
        <v>1556</v>
      </c>
      <c r="E76" s="18" t="n">
        <v>83.38244998</v>
      </c>
      <c r="F76" s="20" t="n">
        <v>1.03841033</v>
      </c>
      <c r="G76" s="18" t="n">
        <v>11.23244903</v>
      </c>
      <c r="H76" s="20" t="n">
        <v>1.03064548</v>
      </c>
      <c r="I76" s="18" t="s">
        <v>567</v>
      </c>
      <c r="J76" s="20" t="s">
        <v>567</v>
      </c>
      <c r="K76" s="18" t="n">
        <v>0.75885265</v>
      </c>
      <c r="L76" s="20" t="n">
        <v>0.24321619</v>
      </c>
      <c r="M76" s="18" t="n">
        <v>0</v>
      </c>
      <c r="N76" s="20" t="n">
        <v>0</v>
      </c>
      <c r="O76" s="18" t="n">
        <v>0</v>
      </c>
      <c r="P76" s="20" t="n">
        <v>0</v>
      </c>
      <c r="Q76" s="18" t="n">
        <v>4.62624834</v>
      </c>
      <c r="R76" s="20" t="n">
        <v>0.53021649</v>
      </c>
    </row>
    <row r="77" spans="1:18">
      <c r="A77" s="15" t="s">
        <v>637</v>
      </c>
      <c r="B77" s="17" t="n">
        <v>2908</v>
      </c>
      <c r="C77" s="18">
        <f>(2339.0/B77*100)</f>
        <v/>
      </c>
      <c r="D77" s="19" t="n">
        <v>569</v>
      </c>
      <c r="E77" s="18" t="n">
        <v>80.64502637</v>
      </c>
      <c r="F77" s="20" t="n">
        <v>1.90063948</v>
      </c>
      <c r="G77" s="18" t="n">
        <v>11.87642449</v>
      </c>
      <c r="H77" s="20" t="n">
        <v>1.39194015</v>
      </c>
      <c r="I77" s="18" t="s">
        <v>567</v>
      </c>
      <c r="J77" s="20" t="s">
        <v>567</v>
      </c>
      <c r="K77" s="18" t="n">
        <v>0.94079528</v>
      </c>
      <c r="L77" s="20" t="n">
        <v>0.44343439</v>
      </c>
      <c r="M77" s="18" t="n">
        <v>0</v>
      </c>
      <c r="N77" s="20" t="n">
        <v>0</v>
      </c>
      <c r="O77" s="18" t="n">
        <v>0</v>
      </c>
      <c r="P77" s="20" t="n">
        <v>0</v>
      </c>
      <c r="Q77" s="18" t="n">
        <v>6.53775386</v>
      </c>
      <c r="R77" s="20" t="n">
        <v>1.16850404</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(3267.0/B81*100)</f>
        <v/>
      </c>
      <c r="D81" s="19" t="n">
        <v>896</v>
      </c>
      <c r="E81" s="18" t="n">
        <v>87.08031311000001</v>
      </c>
      <c r="F81" s="20" t="n">
        <v>1.39984865</v>
      </c>
      <c r="G81" s="18" t="n">
        <v>10.57731448</v>
      </c>
      <c r="H81" s="20" t="n">
        <v>1.22718273</v>
      </c>
      <c r="I81" s="18" t="s">
        <v>567</v>
      </c>
      <c r="J81" s="20" t="s">
        <v>567</v>
      </c>
      <c r="K81" s="18" t="n">
        <v>0</v>
      </c>
      <c r="L81" s="20" t="n">
        <v>0</v>
      </c>
      <c r="M81" s="18" t="n">
        <v>0</v>
      </c>
      <c r="N81" s="20" t="n">
        <v>0</v>
      </c>
      <c r="O81" s="18" t="n">
        <v>0</v>
      </c>
      <c r="P81" s="20" t="n">
        <v>0</v>
      </c>
      <c r="Q81" s="18" t="n">
        <v>2.34237241</v>
      </c>
      <c r="R81" s="20" t="n">
        <v>0.68063595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789</v>
      </c>
    </row>
    <row customHeight="1" ht="30" r="4" spans="1:20">
      <c r="A4" s="6" t="n"/>
      <c r="B4" s="7" t="s">
        <v>551</v>
      </c>
      <c r="C4" s="7" t="s">
        <v>552</v>
      </c>
      <c r="D4" s="8" t="s">
        <v>551</v>
      </c>
      <c r="E4" s="9" t="s">
        <v>662</v>
      </c>
      <c r="F4" s="10" t="n"/>
      <c r="G4" s="9" t="s">
        <v>754</v>
      </c>
      <c r="H4" s="10" t="n"/>
      <c r="I4" s="9" t="s">
        <v>663</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7367</v>
      </c>
      <c r="C7" s="18">
        <f>(5724.0/B7*100)</f>
        <v/>
      </c>
      <c r="D7" s="19" t="n">
        <v>1643</v>
      </c>
      <c r="E7" s="18" t="n">
        <v>48.06329508</v>
      </c>
      <c r="F7" s="20" t="n">
        <v>1.37734936</v>
      </c>
      <c r="G7" s="18" t="n">
        <v>31.26065496</v>
      </c>
      <c r="H7" s="20" t="n">
        <v>1.44036748</v>
      </c>
      <c r="I7" s="18" t="n">
        <v>17.72895159</v>
      </c>
      <c r="J7" s="20" t="n">
        <v>1.2018253</v>
      </c>
      <c r="K7" s="18" t="s">
        <v>567</v>
      </c>
      <c r="L7" s="20" t="s">
        <v>567</v>
      </c>
      <c r="M7" s="18" t="n">
        <v>0.30580812</v>
      </c>
      <c r="N7" s="20" t="n">
        <v>0.16222512</v>
      </c>
      <c r="O7" s="18" t="n">
        <v>0</v>
      </c>
      <c r="P7" s="20" t="n">
        <v>0</v>
      </c>
      <c r="Q7" s="18" t="n">
        <v>0</v>
      </c>
      <c r="R7" s="20" t="n">
        <v>0</v>
      </c>
      <c r="S7" s="18" t="n">
        <v>2.64129025</v>
      </c>
      <c r="T7" s="20" t="n">
        <v>0.47613209</v>
      </c>
    </row>
    <row r="8" spans="1:20">
      <c r="A8" s="15" t="s">
        <v>568</v>
      </c>
      <c r="B8" s="17" t="n">
        <v>3564</v>
      </c>
      <c r="C8" s="18">
        <f>(2773.0/B8*100)</f>
        <v/>
      </c>
      <c r="D8" s="19" t="n">
        <v>791</v>
      </c>
      <c r="E8" s="18" t="n">
        <v>43.10363497</v>
      </c>
      <c r="F8" s="20" t="n">
        <v>1.98248522</v>
      </c>
      <c r="G8" s="18" t="n">
        <v>36.6797228</v>
      </c>
      <c r="H8" s="20" t="n">
        <v>1.99732522</v>
      </c>
      <c r="I8" s="18" t="n">
        <v>18.00118305</v>
      </c>
      <c r="J8" s="20" t="n">
        <v>1.58922832</v>
      </c>
      <c r="K8" s="18" t="s">
        <v>567</v>
      </c>
      <c r="L8" s="20" t="s">
        <v>567</v>
      </c>
      <c r="M8" s="18" t="n">
        <v>0</v>
      </c>
      <c r="N8" s="20" t="n">
        <v>0</v>
      </c>
      <c r="O8" s="18" t="n">
        <v>0</v>
      </c>
      <c r="P8" s="20" t="n">
        <v>0</v>
      </c>
      <c r="Q8" s="18" t="n">
        <v>0</v>
      </c>
      <c r="R8" s="20" t="n">
        <v>0</v>
      </c>
      <c r="S8" s="18" t="n">
        <v>2.21545918</v>
      </c>
      <c r="T8" s="20" t="n">
        <v>0.71082859</v>
      </c>
    </row>
    <row r="9" spans="1:20">
      <c r="A9" s="15" t="s">
        <v>569</v>
      </c>
      <c r="B9" s="17" t="n">
        <v>4899</v>
      </c>
      <c r="C9" s="18">
        <f>(3855.0/B9*100)</f>
        <v/>
      </c>
      <c r="D9" s="19" t="n">
        <v>1044</v>
      </c>
      <c r="E9" s="18" t="n">
        <v>41.16395075</v>
      </c>
      <c r="F9" s="20" t="n">
        <v>1.91052901</v>
      </c>
      <c r="G9" s="18" t="n">
        <v>31.11224322</v>
      </c>
      <c r="H9" s="20" t="n">
        <v>1.79999369</v>
      </c>
      <c r="I9" s="18" t="n">
        <v>25.33860042</v>
      </c>
      <c r="J9" s="20" t="n">
        <v>1.35558715</v>
      </c>
      <c r="K9" s="18" t="s">
        <v>567</v>
      </c>
      <c r="L9" s="20" t="s">
        <v>567</v>
      </c>
      <c r="M9" s="18" t="n">
        <v>0.14786714</v>
      </c>
      <c r="N9" s="20" t="n">
        <v>0.10156526</v>
      </c>
      <c r="O9" s="18" t="n">
        <v>0</v>
      </c>
      <c r="P9" s="20" t="n">
        <v>0</v>
      </c>
      <c r="Q9" s="18" t="n">
        <v>0</v>
      </c>
      <c r="R9" s="20" t="n">
        <v>0</v>
      </c>
      <c r="S9" s="18" t="n">
        <v>2.23733848</v>
      </c>
      <c r="T9" s="20" t="n">
        <v>0.6276856200000001</v>
      </c>
    </row>
    <row r="10" spans="1:20">
      <c r="A10" s="15" t="s">
        <v>570</v>
      </c>
      <c r="B10" s="17" t="n">
        <v>10036</v>
      </c>
      <c r="C10" s="18">
        <f>(7760.0/B10*100)</f>
        <v/>
      </c>
      <c r="D10" s="19" t="n">
        <v>2276</v>
      </c>
      <c r="E10" s="18" t="n">
        <v>42.49560562</v>
      </c>
      <c r="F10" s="20" t="n">
        <v>1.46959284</v>
      </c>
      <c r="G10" s="18" t="n">
        <v>36.85532619</v>
      </c>
      <c r="H10" s="20" t="n">
        <v>1.49012209</v>
      </c>
      <c r="I10" s="18" t="n">
        <v>19.27374662</v>
      </c>
      <c r="J10" s="20" t="n">
        <v>1.34211047</v>
      </c>
      <c r="K10" s="18" t="s">
        <v>567</v>
      </c>
      <c r="L10" s="20" t="s">
        <v>567</v>
      </c>
      <c r="M10" s="18" t="n">
        <v>0</v>
      </c>
      <c r="N10" s="20" t="n">
        <v>0</v>
      </c>
      <c r="O10" s="18" t="n">
        <v>0</v>
      </c>
      <c r="P10" s="20" t="n">
        <v>0</v>
      </c>
      <c r="Q10" s="18" t="n">
        <v>0</v>
      </c>
      <c r="R10" s="20" t="n">
        <v>0</v>
      </c>
      <c r="S10" s="18" t="n">
        <v>1.37532158</v>
      </c>
      <c r="T10" s="20" t="n">
        <v>0.32730183</v>
      </c>
    </row>
    <row r="11" spans="1:20">
      <c r="A11" s="15" t="s">
        <v>571</v>
      </c>
      <c r="B11" s="17" t="n">
        <v>3553</v>
      </c>
      <c r="C11" s="18">
        <f>(2749.0/B11*100)</f>
        <v/>
      </c>
      <c r="D11" s="19" t="n">
        <v>804</v>
      </c>
      <c r="E11" s="18" t="n">
        <v>56.87499766</v>
      </c>
      <c r="F11" s="20" t="n">
        <v>2.04117734</v>
      </c>
      <c r="G11" s="18" t="n">
        <v>32.55296462</v>
      </c>
      <c r="H11" s="20" t="n">
        <v>1.79903647</v>
      </c>
      <c r="I11" s="18" t="n">
        <v>5.89525202</v>
      </c>
      <c r="J11" s="20" t="n">
        <v>0.96498151</v>
      </c>
      <c r="K11" s="18" t="s">
        <v>567</v>
      </c>
      <c r="L11" s="20" t="s">
        <v>567</v>
      </c>
      <c r="M11" s="18" t="n">
        <v>0.15184371</v>
      </c>
      <c r="N11" s="20" t="n">
        <v>0.15243957</v>
      </c>
      <c r="O11" s="18" t="n">
        <v>0</v>
      </c>
      <c r="P11" s="20" t="n">
        <v>0</v>
      </c>
      <c r="Q11" s="18" t="n">
        <v>0</v>
      </c>
      <c r="R11" s="20" t="n">
        <v>0</v>
      </c>
      <c r="S11" s="18" t="n">
        <v>4.52494199</v>
      </c>
      <c r="T11" s="20" t="n">
        <v>0.9572826</v>
      </c>
    </row>
    <row r="12" spans="1:20">
      <c r="A12" s="15" t="s">
        <v>572</v>
      </c>
      <c r="B12" s="17" t="n">
        <v>3472</v>
      </c>
      <c r="C12" s="18">
        <f>(2756.0/B12*100)</f>
        <v/>
      </c>
      <c r="D12" s="19" t="n">
        <v>716</v>
      </c>
      <c r="E12" s="18" t="n">
        <v>45.16581988</v>
      </c>
      <c r="F12" s="20" t="n">
        <v>1.93707218</v>
      </c>
      <c r="G12" s="18" t="n">
        <v>35.22340668</v>
      </c>
      <c r="H12" s="20" t="n">
        <v>1.78713479</v>
      </c>
      <c r="I12" s="18" t="n">
        <v>18.14081318</v>
      </c>
      <c r="J12" s="20" t="n">
        <v>1.72784368</v>
      </c>
      <c r="K12" s="18" t="s">
        <v>567</v>
      </c>
      <c r="L12" s="20" t="s">
        <v>567</v>
      </c>
      <c r="M12" s="18" t="n">
        <v>0</v>
      </c>
      <c r="N12" s="20" t="n">
        <v>0</v>
      </c>
      <c r="O12" s="18" t="n">
        <v>0</v>
      </c>
      <c r="P12" s="20" t="n">
        <v>0</v>
      </c>
      <c r="Q12" s="18" t="n">
        <v>0</v>
      </c>
      <c r="R12" s="20" t="n">
        <v>0</v>
      </c>
      <c r="S12" s="18" t="n">
        <v>1.46996026</v>
      </c>
      <c r="T12" s="20" t="n">
        <v>0.49824951</v>
      </c>
    </row>
    <row r="13" spans="1:20">
      <c r="A13" s="15" t="s">
        <v>573</v>
      </c>
      <c r="B13" s="17" t="n">
        <v>3559</v>
      </c>
      <c r="C13" s="18">
        <f>(2798.0/B13*100)</f>
        <v/>
      </c>
      <c r="D13" s="19" t="n">
        <v>761</v>
      </c>
      <c r="E13" s="18" t="n">
        <v>52.71920913</v>
      </c>
      <c r="F13" s="20" t="n">
        <v>2.50334001</v>
      </c>
      <c r="G13" s="18" t="n">
        <v>34.63212769</v>
      </c>
      <c r="H13" s="20" t="n">
        <v>2.19130576</v>
      </c>
      <c r="I13" s="18" t="n">
        <v>10.53140372</v>
      </c>
      <c r="J13" s="20" t="n">
        <v>1.46442503</v>
      </c>
      <c r="K13" s="18" t="s">
        <v>567</v>
      </c>
      <c r="L13" s="20" t="s">
        <v>567</v>
      </c>
      <c r="M13" s="18" t="n">
        <v>0.03854367</v>
      </c>
      <c r="N13" s="20" t="n">
        <v>0.03674111</v>
      </c>
      <c r="O13" s="18" t="n">
        <v>0</v>
      </c>
      <c r="P13" s="20" t="n">
        <v>0</v>
      </c>
      <c r="Q13" s="18" t="n">
        <v>0</v>
      </c>
      <c r="R13" s="20" t="n">
        <v>0</v>
      </c>
      <c r="S13" s="18" t="n">
        <v>2.07871579</v>
      </c>
      <c r="T13" s="20" t="n">
        <v>0.64484475</v>
      </c>
    </row>
    <row r="14" spans="1:20">
      <c r="A14" s="15" t="s">
        <v>574</v>
      </c>
      <c r="B14" s="17" t="n">
        <v>2799</v>
      </c>
      <c r="C14" s="18">
        <f>(2158.0/B14*100)</f>
        <v/>
      </c>
      <c r="D14" s="19" t="n">
        <v>641</v>
      </c>
      <c r="E14" s="18" t="n">
        <v>44.40608138</v>
      </c>
      <c r="F14" s="20" t="n">
        <v>2.18449007</v>
      </c>
      <c r="G14" s="18" t="n">
        <v>34.19770206</v>
      </c>
      <c r="H14" s="20" t="n">
        <v>1.84720681</v>
      </c>
      <c r="I14" s="18" t="n">
        <v>20.5802048</v>
      </c>
      <c r="J14" s="20" t="n">
        <v>1.53189119</v>
      </c>
      <c r="K14" s="18" t="s">
        <v>567</v>
      </c>
      <c r="L14" s="20" t="s">
        <v>567</v>
      </c>
      <c r="M14" s="18" t="n">
        <v>0.28736731</v>
      </c>
      <c r="N14" s="20" t="n">
        <v>0.20380929</v>
      </c>
      <c r="O14" s="18" t="n">
        <v>0</v>
      </c>
      <c r="P14" s="20" t="n">
        <v>0</v>
      </c>
      <c r="Q14" s="18" t="n">
        <v>0</v>
      </c>
      <c r="R14" s="20" t="n">
        <v>0</v>
      </c>
      <c r="S14" s="18" t="n">
        <v>0.52864446</v>
      </c>
      <c r="T14" s="20" t="n">
        <v>0.31284012</v>
      </c>
    </row>
    <row r="15" spans="1:20">
      <c r="A15" s="15" t="s">
        <v>575</v>
      </c>
      <c r="B15" s="17" t="n">
        <v>3019</v>
      </c>
      <c r="C15" s="18">
        <f>(2350.0/B15*100)</f>
        <v/>
      </c>
      <c r="D15" s="19" t="n">
        <v>669</v>
      </c>
      <c r="E15" s="18" t="n">
        <v>45.21974485</v>
      </c>
      <c r="F15" s="20" t="n">
        <v>1.86551294</v>
      </c>
      <c r="G15" s="18" t="n">
        <v>36.42539366</v>
      </c>
      <c r="H15" s="20" t="n">
        <v>1.81760071</v>
      </c>
      <c r="I15" s="18" t="n">
        <v>16.88017728</v>
      </c>
      <c r="J15" s="20" t="n">
        <v>1.4447292</v>
      </c>
      <c r="K15" s="18" t="s">
        <v>567</v>
      </c>
      <c r="L15" s="20" t="s">
        <v>567</v>
      </c>
      <c r="M15" s="18" t="n">
        <v>0.15398038</v>
      </c>
      <c r="N15" s="20" t="n">
        <v>0.15444609</v>
      </c>
      <c r="O15" s="18" t="n">
        <v>0</v>
      </c>
      <c r="P15" s="20" t="n">
        <v>0</v>
      </c>
      <c r="Q15" s="18" t="n">
        <v>0</v>
      </c>
      <c r="R15" s="20" t="n">
        <v>0</v>
      </c>
      <c r="S15" s="18" t="n">
        <v>1.32070384</v>
      </c>
      <c r="T15" s="20" t="n">
        <v>0.44045061</v>
      </c>
    </row>
    <row r="16" spans="1:20">
      <c r="A16" s="15" t="s">
        <v>576</v>
      </c>
      <c r="B16" s="17" t="n">
        <v>2997</v>
      </c>
      <c r="C16" s="18">
        <f>(2318.0/B16*100)</f>
        <v/>
      </c>
      <c r="D16" s="19" t="n">
        <v>679</v>
      </c>
      <c r="E16" s="18" t="n">
        <v>44.15240399</v>
      </c>
      <c r="F16" s="20" t="n">
        <v>2.0170892</v>
      </c>
      <c r="G16" s="18" t="n">
        <v>30.24284128</v>
      </c>
      <c r="H16" s="20" t="n">
        <v>1.69550842</v>
      </c>
      <c r="I16" s="18" t="n">
        <v>20.5603098</v>
      </c>
      <c r="J16" s="20" t="n">
        <v>1.72059972</v>
      </c>
      <c r="K16" s="18" t="s">
        <v>567</v>
      </c>
      <c r="L16" s="20" t="s">
        <v>567</v>
      </c>
      <c r="M16" s="18" t="n">
        <v>0.55007801</v>
      </c>
      <c r="N16" s="20" t="n">
        <v>0.28243926</v>
      </c>
      <c r="O16" s="18" t="n">
        <v>0</v>
      </c>
      <c r="P16" s="20" t="n">
        <v>0</v>
      </c>
      <c r="Q16" s="18" t="n">
        <v>0</v>
      </c>
      <c r="R16" s="20" t="n">
        <v>0</v>
      </c>
      <c r="S16" s="18" t="n">
        <v>4.49436692</v>
      </c>
      <c r="T16" s="20" t="n">
        <v>0.84340326</v>
      </c>
    </row>
    <row r="17" spans="1:20">
      <c r="A17" s="15" t="s">
        <v>577</v>
      </c>
      <c r="B17" s="17" t="n">
        <v>3307</v>
      </c>
      <c r="C17" s="18">
        <f>(2558.0/B17*100)</f>
        <v/>
      </c>
      <c r="D17" s="19" t="n">
        <v>749</v>
      </c>
      <c r="E17" s="18" t="n">
        <v>39.32484692</v>
      </c>
      <c r="F17" s="20" t="n">
        <v>2.05193058</v>
      </c>
      <c r="G17" s="18" t="n">
        <v>36.90768118</v>
      </c>
      <c r="H17" s="20" t="n">
        <v>1.89590031</v>
      </c>
      <c r="I17" s="18" t="n">
        <v>21.53275587</v>
      </c>
      <c r="J17" s="20" t="n">
        <v>1.56636648</v>
      </c>
      <c r="K17" s="18" t="s">
        <v>567</v>
      </c>
      <c r="L17" s="20" t="s">
        <v>567</v>
      </c>
      <c r="M17" s="18" t="n">
        <v>0.13387167</v>
      </c>
      <c r="N17" s="20" t="n">
        <v>0.13349058</v>
      </c>
      <c r="O17" s="18" t="n">
        <v>0</v>
      </c>
      <c r="P17" s="20" t="n">
        <v>0</v>
      </c>
      <c r="Q17" s="18" t="n">
        <v>0</v>
      </c>
      <c r="R17" s="20" t="n">
        <v>0</v>
      </c>
      <c r="S17" s="18" t="n">
        <v>2.10084436</v>
      </c>
      <c r="T17" s="20" t="n">
        <v>0.60224797</v>
      </c>
    </row>
    <row r="18" spans="1:20">
      <c r="A18" s="15" t="s">
        <v>578</v>
      </c>
      <c r="B18" s="17" t="n">
        <v>2826</v>
      </c>
      <c r="C18" s="18">
        <f>(2216.0/B18*100)</f>
        <v/>
      </c>
      <c r="D18" s="19" t="n">
        <v>610</v>
      </c>
      <c r="E18" s="18" t="n">
        <v>54.35736848</v>
      </c>
      <c r="F18" s="20" t="n">
        <v>2.23909652</v>
      </c>
      <c r="G18" s="18" t="n">
        <v>33.3847659</v>
      </c>
      <c r="H18" s="20" t="n">
        <v>2.07213737</v>
      </c>
      <c r="I18" s="18" t="n">
        <v>8.51482315</v>
      </c>
      <c r="J18" s="20" t="n">
        <v>1.35888357</v>
      </c>
      <c r="K18" s="18" t="s">
        <v>567</v>
      </c>
      <c r="L18" s="20" t="s">
        <v>567</v>
      </c>
      <c r="M18" s="18" t="n">
        <v>0.1678352</v>
      </c>
      <c r="N18" s="20" t="n">
        <v>0.17427468</v>
      </c>
      <c r="O18" s="18" t="n">
        <v>0</v>
      </c>
      <c r="P18" s="20" t="n">
        <v>0</v>
      </c>
      <c r="Q18" s="18" t="n">
        <v>0</v>
      </c>
      <c r="R18" s="20" t="n">
        <v>0</v>
      </c>
      <c r="S18" s="18" t="n">
        <v>3.57520727</v>
      </c>
      <c r="T18" s="20" t="n">
        <v>1.02363619</v>
      </c>
    </row>
    <row r="19" spans="1:20">
      <c r="A19" s="15" t="s">
        <v>579</v>
      </c>
      <c r="B19" s="17" t="n">
        <v>2808</v>
      </c>
      <c r="C19" s="18">
        <f>(2202.0/B19*100)</f>
        <v/>
      </c>
      <c r="D19" s="19" t="n">
        <v>606</v>
      </c>
      <c r="E19" s="18" t="n">
        <v>47.81544006</v>
      </c>
      <c r="F19" s="20" t="n">
        <v>2.3951822</v>
      </c>
      <c r="G19" s="18" t="n">
        <v>38.05910294</v>
      </c>
      <c r="H19" s="20" t="n">
        <v>2.1496101</v>
      </c>
      <c r="I19" s="18" t="n">
        <v>12.90232794</v>
      </c>
      <c r="J19" s="20" t="n">
        <v>1.1832268</v>
      </c>
      <c r="K19" s="18" t="s">
        <v>567</v>
      </c>
      <c r="L19" s="20" t="s">
        <v>567</v>
      </c>
      <c r="M19" s="18" t="n">
        <v>0</v>
      </c>
      <c r="N19" s="20" t="n">
        <v>0</v>
      </c>
      <c r="O19" s="18" t="n">
        <v>0</v>
      </c>
      <c r="P19" s="20" t="n">
        <v>0</v>
      </c>
      <c r="Q19" s="18" t="n">
        <v>0</v>
      </c>
      <c r="R19" s="20" t="n">
        <v>0</v>
      </c>
      <c r="S19" s="18" t="n">
        <v>1.22312906</v>
      </c>
      <c r="T19" s="20" t="n">
        <v>0.47227467</v>
      </c>
    </row>
    <row r="20" spans="1:20">
      <c r="A20" s="15" t="s">
        <v>580</v>
      </c>
      <c r="B20" s="17" t="n">
        <v>1630</v>
      </c>
      <c r="C20" s="18">
        <f>(1257.0/B20*100)</f>
        <v/>
      </c>
      <c r="D20" s="19" t="n">
        <v>373</v>
      </c>
      <c r="E20" s="18" t="n">
        <v>51.28933932</v>
      </c>
      <c r="F20" s="20" t="n">
        <v>2.97980519</v>
      </c>
      <c r="G20" s="18" t="n">
        <v>31.9206924</v>
      </c>
      <c r="H20" s="20" t="n">
        <v>2.56976317</v>
      </c>
      <c r="I20" s="18" t="n">
        <v>12.52289484</v>
      </c>
      <c r="J20" s="20" t="n">
        <v>1.87683206</v>
      </c>
      <c r="K20" s="18" t="s">
        <v>567</v>
      </c>
      <c r="L20" s="20" t="s">
        <v>567</v>
      </c>
      <c r="M20" s="18" t="n">
        <v>1.31030231</v>
      </c>
      <c r="N20" s="20" t="n">
        <v>0.56047741</v>
      </c>
      <c r="O20" s="18" t="n">
        <v>0</v>
      </c>
      <c r="P20" s="20" t="n">
        <v>0</v>
      </c>
      <c r="Q20" s="18" t="n">
        <v>0</v>
      </c>
      <c r="R20" s="20" t="n">
        <v>0</v>
      </c>
      <c r="S20" s="18" t="n">
        <v>2.95677113</v>
      </c>
      <c r="T20" s="20" t="n">
        <v>0.8689016899999999</v>
      </c>
    </row>
    <row r="21" spans="1:20">
      <c r="A21" s="15" t="s">
        <v>581</v>
      </c>
      <c r="B21" s="17" t="n">
        <v>2908</v>
      </c>
      <c r="C21" s="18">
        <f>(2285.0/B21*100)</f>
        <v/>
      </c>
      <c r="D21" s="19" t="n">
        <v>623</v>
      </c>
      <c r="E21" s="18" t="n">
        <v>53.1565902</v>
      </c>
      <c r="F21" s="20" t="n">
        <v>1.95047425</v>
      </c>
      <c r="G21" s="18" t="n">
        <v>31.40185662</v>
      </c>
      <c r="H21" s="20" t="n">
        <v>2.3159456</v>
      </c>
      <c r="I21" s="18" t="n">
        <v>13.94579732</v>
      </c>
      <c r="J21" s="20" t="n">
        <v>1.54576795</v>
      </c>
      <c r="K21" s="18" t="s">
        <v>567</v>
      </c>
      <c r="L21" s="20" t="s">
        <v>567</v>
      </c>
      <c r="M21" s="18" t="n">
        <v>0</v>
      </c>
      <c r="N21" s="20" t="n">
        <v>0</v>
      </c>
      <c r="O21" s="18" t="n">
        <v>0</v>
      </c>
      <c r="P21" s="20" t="n">
        <v>0</v>
      </c>
      <c r="Q21" s="18" t="n">
        <v>0</v>
      </c>
      <c r="R21" s="20" t="n">
        <v>0</v>
      </c>
      <c r="S21" s="18" t="n">
        <v>1.49575586</v>
      </c>
      <c r="T21" s="20" t="n">
        <v>0.6630236</v>
      </c>
    </row>
    <row r="22" spans="1:20">
      <c r="A22" s="15" t="s">
        <v>582</v>
      </c>
      <c r="B22" s="17" t="n">
        <v>2931</v>
      </c>
      <c r="C22" s="18">
        <f>(2268.0/B22*100)</f>
        <v/>
      </c>
      <c r="D22" s="19" t="n">
        <v>663</v>
      </c>
      <c r="E22" s="18" t="n">
        <v>45.09782198</v>
      </c>
      <c r="F22" s="20" t="n">
        <v>2.34245088</v>
      </c>
      <c r="G22" s="18" t="n">
        <v>34.4053529</v>
      </c>
      <c r="H22" s="20" t="n">
        <v>1.9218575</v>
      </c>
      <c r="I22" s="18" t="n">
        <v>15.88157494</v>
      </c>
      <c r="J22" s="20" t="n">
        <v>1.67187143</v>
      </c>
      <c r="K22" s="18" t="s">
        <v>567</v>
      </c>
      <c r="L22" s="20" t="s">
        <v>567</v>
      </c>
      <c r="M22" s="18" t="n">
        <v>0.12177011</v>
      </c>
      <c r="N22" s="20" t="n">
        <v>0.1218597</v>
      </c>
      <c r="O22" s="18" t="n">
        <v>0</v>
      </c>
      <c r="P22" s="20" t="n">
        <v>0</v>
      </c>
      <c r="Q22" s="18" t="n">
        <v>0</v>
      </c>
      <c r="R22" s="20" t="n">
        <v>0</v>
      </c>
      <c r="S22" s="18" t="n">
        <v>4.49348007</v>
      </c>
      <c r="T22" s="20" t="n">
        <v>0.96699684</v>
      </c>
    </row>
    <row r="23" spans="1:20">
      <c r="A23" s="15" t="s">
        <v>583</v>
      </c>
      <c r="B23" s="17" t="n">
        <v>5791</v>
      </c>
      <c r="C23" s="18">
        <f>(4504.0/B23*100)</f>
        <v/>
      </c>
      <c r="D23" s="19" t="n">
        <v>1287</v>
      </c>
      <c r="E23" s="18" t="n">
        <v>45.73137177</v>
      </c>
      <c r="F23" s="20" t="n">
        <v>2.07500152</v>
      </c>
      <c r="G23" s="18" t="n">
        <v>32.10155362</v>
      </c>
      <c r="H23" s="20" t="n">
        <v>1.82190716</v>
      </c>
      <c r="I23" s="18" t="n">
        <v>18.23612652</v>
      </c>
      <c r="J23" s="20" t="n">
        <v>1.68369555</v>
      </c>
      <c r="K23" s="18" t="s">
        <v>567</v>
      </c>
      <c r="L23" s="20" t="s">
        <v>567</v>
      </c>
      <c r="M23" s="18" t="n">
        <v>0.24545337</v>
      </c>
      <c r="N23" s="20" t="n">
        <v>0.17983937</v>
      </c>
      <c r="O23" s="18" t="n">
        <v>0</v>
      </c>
      <c r="P23" s="20" t="n">
        <v>0</v>
      </c>
      <c r="Q23" s="18" t="n">
        <v>0</v>
      </c>
      <c r="R23" s="20" t="n">
        <v>0</v>
      </c>
      <c r="S23" s="18" t="n">
        <v>3.68549473</v>
      </c>
      <c r="T23" s="20" t="n">
        <v>0.8891685</v>
      </c>
    </row>
    <row r="24" spans="1:20">
      <c r="A24" s="15" t="s">
        <v>584</v>
      </c>
      <c r="B24" s="17" t="n">
        <v>3338</v>
      </c>
      <c r="C24" s="18">
        <f>(2593.0/B24*100)</f>
        <v/>
      </c>
      <c r="D24" s="19" t="n">
        <v>745</v>
      </c>
      <c r="E24" s="18" t="n">
        <v>29.80371862</v>
      </c>
      <c r="F24" s="20" t="n">
        <v>1.7596037</v>
      </c>
      <c r="G24" s="18" t="n">
        <v>48.25535956</v>
      </c>
      <c r="H24" s="20" t="n">
        <v>1.83886848</v>
      </c>
      <c r="I24" s="18" t="n">
        <v>20.16225685</v>
      </c>
      <c r="J24" s="20" t="n">
        <v>1.93754187</v>
      </c>
      <c r="K24" s="18" t="s">
        <v>567</v>
      </c>
      <c r="L24" s="20" t="s">
        <v>567</v>
      </c>
      <c r="M24" s="18" t="n">
        <v>0.14074614</v>
      </c>
      <c r="N24" s="20" t="n">
        <v>0.13593198</v>
      </c>
      <c r="O24" s="18" t="n">
        <v>0</v>
      </c>
      <c r="P24" s="20" t="n">
        <v>0</v>
      </c>
      <c r="Q24" s="18" t="n">
        <v>0</v>
      </c>
      <c r="R24" s="20" t="n">
        <v>0</v>
      </c>
      <c r="S24" s="18" t="n">
        <v>1.63791883</v>
      </c>
      <c r="T24" s="20" t="n">
        <v>0.52004071</v>
      </c>
    </row>
    <row r="25" spans="1:20">
      <c r="A25" s="15" t="s">
        <v>585</v>
      </c>
      <c r="B25" s="17" t="n">
        <v>2912</v>
      </c>
      <c r="C25" s="18">
        <f>(2245.0/B25*100)</f>
        <v/>
      </c>
      <c r="D25" s="19" t="n">
        <v>667</v>
      </c>
      <c r="E25" s="18" t="n">
        <v>39.57926491</v>
      </c>
      <c r="F25" s="20" t="n">
        <v>2.01954415</v>
      </c>
      <c r="G25" s="18" t="n">
        <v>31.0087072</v>
      </c>
      <c r="H25" s="20" t="n">
        <v>2.16953396</v>
      </c>
      <c r="I25" s="18" t="n">
        <v>28.04617626</v>
      </c>
      <c r="J25" s="20" t="n">
        <v>1.840465</v>
      </c>
      <c r="K25" s="18" t="s">
        <v>567</v>
      </c>
      <c r="L25" s="20" t="s">
        <v>567</v>
      </c>
      <c r="M25" s="18" t="n">
        <v>0.46709647</v>
      </c>
      <c r="N25" s="20" t="n">
        <v>0.35791141</v>
      </c>
      <c r="O25" s="18" t="n">
        <v>0</v>
      </c>
      <c r="P25" s="20" t="n">
        <v>0</v>
      </c>
      <c r="Q25" s="18" t="n">
        <v>0</v>
      </c>
      <c r="R25" s="20" t="n">
        <v>0</v>
      </c>
      <c r="S25" s="18" t="n">
        <v>0.89875517</v>
      </c>
      <c r="T25" s="20" t="n">
        <v>0.35759998</v>
      </c>
    </row>
    <row r="26" spans="1:20">
      <c r="A26" s="15" t="s">
        <v>586</v>
      </c>
      <c r="B26" s="17" t="n">
        <v>2450</v>
      </c>
      <c r="C26" s="18">
        <f>(1900.0/B26*100)</f>
        <v/>
      </c>
      <c r="D26" s="19" t="n">
        <v>550</v>
      </c>
      <c r="E26" s="18" t="n">
        <v>51.97445395</v>
      </c>
      <c r="F26" s="20" t="n">
        <v>2.30148866</v>
      </c>
      <c r="G26" s="18" t="n">
        <v>31.8908166</v>
      </c>
      <c r="H26" s="20" t="n">
        <v>1.91527568</v>
      </c>
      <c r="I26" s="18" t="n">
        <v>15.30054721</v>
      </c>
      <c r="J26" s="20" t="n">
        <v>1.6544156</v>
      </c>
      <c r="K26" s="18" t="s">
        <v>567</v>
      </c>
      <c r="L26" s="20" t="s">
        <v>567</v>
      </c>
      <c r="M26" s="18" t="n">
        <v>0</v>
      </c>
      <c r="N26" s="20" t="n">
        <v>0</v>
      </c>
      <c r="O26" s="18" t="n">
        <v>0</v>
      </c>
      <c r="P26" s="20" t="n">
        <v>0</v>
      </c>
      <c r="Q26" s="18" t="n">
        <v>0</v>
      </c>
      <c r="R26" s="20" t="n">
        <v>0</v>
      </c>
      <c r="S26" s="18" t="n">
        <v>0.83418224</v>
      </c>
      <c r="T26" s="20" t="n">
        <v>0.38427965</v>
      </c>
    </row>
    <row r="27" spans="1:20">
      <c r="A27" s="15" t="s">
        <v>587</v>
      </c>
      <c r="B27" s="17" t="n">
        <v>2616</v>
      </c>
      <c r="C27" s="18">
        <f>(2046.0/B27*100)</f>
        <v/>
      </c>
      <c r="D27" s="19" t="n">
        <v>570</v>
      </c>
      <c r="E27" s="18" t="n">
        <v>50.45726921</v>
      </c>
      <c r="F27" s="20" t="n">
        <v>2.00030728</v>
      </c>
      <c r="G27" s="18" t="n">
        <v>31.84576169</v>
      </c>
      <c r="H27" s="20" t="n">
        <v>1.8284248</v>
      </c>
      <c r="I27" s="18" t="n">
        <v>15.57369457</v>
      </c>
      <c r="J27" s="20" t="n">
        <v>1.41346573</v>
      </c>
      <c r="K27" s="18" t="s">
        <v>567</v>
      </c>
      <c r="L27" s="20" t="s">
        <v>567</v>
      </c>
      <c r="M27" s="18" t="n">
        <v>0.3564145</v>
      </c>
      <c r="N27" s="20" t="n">
        <v>0.25381687</v>
      </c>
      <c r="O27" s="18" t="n">
        <v>0</v>
      </c>
      <c r="P27" s="20" t="n">
        <v>0</v>
      </c>
      <c r="Q27" s="18" t="n">
        <v>0</v>
      </c>
      <c r="R27" s="20" t="n">
        <v>0</v>
      </c>
      <c r="S27" s="18" t="n">
        <v>1.76686003</v>
      </c>
      <c r="T27" s="20" t="n">
        <v>0.55687443</v>
      </c>
    </row>
    <row r="28" spans="1:20">
      <c r="A28" s="15" t="s">
        <v>588</v>
      </c>
      <c r="B28" s="17" t="n">
        <v>3765</v>
      </c>
      <c r="C28" s="18">
        <f>(2971.0/B28*100)</f>
        <v/>
      </c>
      <c r="D28" s="19" t="n">
        <v>794</v>
      </c>
      <c r="E28" s="18" t="n">
        <v>72.01651531</v>
      </c>
      <c r="F28" s="20" t="n">
        <v>1.83184327</v>
      </c>
      <c r="G28" s="18" t="n">
        <v>23.03534026</v>
      </c>
      <c r="H28" s="20" t="n">
        <v>1.71086489</v>
      </c>
      <c r="I28" s="18" t="n">
        <v>2.77994251</v>
      </c>
      <c r="J28" s="20" t="n">
        <v>0.63489049</v>
      </c>
      <c r="K28" s="18" t="s">
        <v>567</v>
      </c>
      <c r="L28" s="20" t="s">
        <v>567</v>
      </c>
      <c r="M28" s="18" t="n">
        <v>0.10911287</v>
      </c>
      <c r="N28" s="20" t="n">
        <v>0.10610989</v>
      </c>
      <c r="O28" s="18" t="n">
        <v>0</v>
      </c>
      <c r="P28" s="20" t="n">
        <v>0</v>
      </c>
      <c r="Q28" s="18" t="n">
        <v>0</v>
      </c>
      <c r="R28" s="20" t="n">
        <v>0</v>
      </c>
      <c r="S28" s="18" t="n">
        <v>2.05908905</v>
      </c>
      <c r="T28" s="20" t="n">
        <v>0.79420675</v>
      </c>
    </row>
    <row r="29" spans="1:20">
      <c r="A29" s="15" t="s">
        <v>589</v>
      </c>
      <c r="B29" s="17" t="n">
        <v>2685</v>
      </c>
      <c r="C29" s="18">
        <f>(2097.0/B29*100)</f>
        <v/>
      </c>
      <c r="D29" s="19" t="n">
        <v>588</v>
      </c>
      <c r="E29" s="18" t="n">
        <v>44.93657852</v>
      </c>
      <c r="F29" s="20" t="n">
        <v>2.05571471</v>
      </c>
      <c r="G29" s="18" t="n">
        <v>33.4720483</v>
      </c>
      <c r="H29" s="20" t="n">
        <v>1.87363075</v>
      </c>
      <c r="I29" s="18" t="n">
        <v>20.18474988</v>
      </c>
      <c r="J29" s="20" t="n">
        <v>1.91733001</v>
      </c>
      <c r="K29" s="18" t="s">
        <v>567</v>
      </c>
      <c r="L29" s="20" t="s">
        <v>567</v>
      </c>
      <c r="M29" s="18" t="n">
        <v>0.13260537</v>
      </c>
      <c r="N29" s="20" t="n">
        <v>0.13106918</v>
      </c>
      <c r="O29" s="18" t="n">
        <v>0</v>
      </c>
      <c r="P29" s="20" t="n">
        <v>0</v>
      </c>
      <c r="Q29" s="18" t="n">
        <v>0</v>
      </c>
      <c r="R29" s="20" t="n">
        <v>0</v>
      </c>
      <c r="S29" s="18" t="n">
        <v>1.27401793</v>
      </c>
      <c r="T29" s="20" t="n">
        <v>0.40914657</v>
      </c>
    </row>
    <row r="30" spans="1:20">
      <c r="A30" s="15" t="s">
        <v>590</v>
      </c>
      <c r="B30" s="17" t="n">
        <v>2263</v>
      </c>
      <c r="C30" s="18">
        <f>(1773.0/B30*100)</f>
        <v/>
      </c>
      <c r="D30" s="19" t="n">
        <v>490</v>
      </c>
      <c r="E30" s="18" t="n">
        <v>46.86422903</v>
      </c>
      <c r="F30" s="20" t="n">
        <v>2.25084131</v>
      </c>
      <c r="G30" s="18" t="n">
        <v>29.36166492</v>
      </c>
      <c r="H30" s="20" t="n">
        <v>2.08213164</v>
      </c>
      <c r="I30" s="18" t="n">
        <v>21.68651687</v>
      </c>
      <c r="J30" s="20" t="n">
        <v>2.0161777</v>
      </c>
      <c r="K30" s="18" t="s">
        <v>567</v>
      </c>
      <c r="L30" s="20" t="s">
        <v>567</v>
      </c>
      <c r="M30" s="18" t="n">
        <v>0.56111727</v>
      </c>
      <c r="N30" s="20" t="n">
        <v>0.32542086</v>
      </c>
      <c r="O30" s="18" t="n">
        <v>0</v>
      </c>
      <c r="P30" s="20" t="n">
        <v>0</v>
      </c>
      <c r="Q30" s="18" t="n">
        <v>0</v>
      </c>
      <c r="R30" s="20" t="n">
        <v>0</v>
      </c>
      <c r="S30" s="18" t="n">
        <v>1.5264719</v>
      </c>
      <c r="T30" s="20" t="n">
        <v>0.60023169</v>
      </c>
    </row>
    <row r="31" spans="1:20">
      <c r="A31" s="15" t="s">
        <v>591</v>
      </c>
      <c r="B31" s="17" t="n">
        <v>2750</v>
      </c>
      <c r="C31" s="18">
        <f>(2135.0/B31*100)</f>
        <v/>
      </c>
      <c r="D31" s="19" t="n">
        <v>615</v>
      </c>
      <c r="E31" s="18" t="n">
        <v>46.5942947</v>
      </c>
      <c r="F31" s="20" t="n">
        <v>2.25664067</v>
      </c>
      <c r="G31" s="18" t="n">
        <v>31.85112714</v>
      </c>
      <c r="H31" s="20" t="n">
        <v>1.99792619</v>
      </c>
      <c r="I31" s="18" t="n">
        <v>17.74277758</v>
      </c>
      <c r="J31" s="20" t="n">
        <v>1.6245078</v>
      </c>
      <c r="K31" s="18" t="s">
        <v>567</v>
      </c>
      <c r="L31" s="20" t="s">
        <v>567</v>
      </c>
      <c r="M31" s="18" t="n">
        <v>0.49163145</v>
      </c>
      <c r="N31" s="20" t="n">
        <v>0.2885053</v>
      </c>
      <c r="O31" s="18" t="n">
        <v>0</v>
      </c>
      <c r="P31" s="20" t="n">
        <v>0</v>
      </c>
      <c r="Q31" s="18" t="n">
        <v>0</v>
      </c>
      <c r="R31" s="20" t="n">
        <v>0</v>
      </c>
      <c r="S31" s="18" t="n">
        <v>3.32016913</v>
      </c>
      <c r="T31" s="20" t="n">
        <v>0.78329654</v>
      </c>
    </row>
    <row r="32" spans="1:20">
      <c r="A32" s="15" t="s">
        <v>592</v>
      </c>
      <c r="B32" s="17" t="n">
        <v>2269</v>
      </c>
      <c r="C32" s="18">
        <f>(1734.0/B32*100)</f>
        <v/>
      </c>
      <c r="D32" s="19" t="n">
        <v>535</v>
      </c>
      <c r="E32" s="18" t="n">
        <v>52.37416406</v>
      </c>
      <c r="F32" s="20" t="n">
        <v>2.16692947</v>
      </c>
      <c r="G32" s="18" t="n">
        <v>28.93942308</v>
      </c>
      <c r="H32" s="20" t="n">
        <v>2.16419156</v>
      </c>
      <c r="I32" s="18" t="n">
        <v>18.12029695</v>
      </c>
      <c r="J32" s="20" t="n">
        <v>1.51553666</v>
      </c>
      <c r="K32" s="18" t="s">
        <v>567</v>
      </c>
      <c r="L32" s="20" t="s">
        <v>567</v>
      </c>
      <c r="M32" s="18" t="n">
        <v>0</v>
      </c>
      <c r="N32" s="20" t="n">
        <v>0</v>
      </c>
      <c r="O32" s="18" t="n">
        <v>0</v>
      </c>
      <c r="P32" s="20" t="n">
        <v>0</v>
      </c>
      <c r="Q32" s="18" t="n">
        <v>0</v>
      </c>
      <c r="R32" s="20" t="n">
        <v>0</v>
      </c>
      <c r="S32" s="18" t="n">
        <v>0.5661159100000001</v>
      </c>
      <c r="T32" s="20" t="n">
        <v>0.30907953</v>
      </c>
    </row>
    <row r="33" spans="1:20">
      <c r="A33" s="15" t="s">
        <v>593</v>
      </c>
      <c r="B33" s="17" t="n">
        <v>3674</v>
      </c>
      <c r="C33" s="18">
        <f>(2881.0/B33*100)</f>
        <v/>
      </c>
      <c r="D33" s="19" t="n">
        <v>793</v>
      </c>
      <c r="E33" s="18" t="n">
        <v>43.42550489</v>
      </c>
      <c r="F33" s="20" t="n">
        <v>1.64420763</v>
      </c>
      <c r="G33" s="18" t="n">
        <v>34.77646041</v>
      </c>
      <c r="H33" s="20" t="n">
        <v>1.8873253</v>
      </c>
      <c r="I33" s="18" t="n">
        <v>20.56352732</v>
      </c>
      <c r="J33" s="20" t="n">
        <v>1.74675542</v>
      </c>
      <c r="K33" s="18" t="s">
        <v>567</v>
      </c>
      <c r="L33" s="20" t="s">
        <v>567</v>
      </c>
      <c r="M33" s="18" t="n">
        <v>0.25008749</v>
      </c>
      <c r="N33" s="20" t="n">
        <v>0.29872746</v>
      </c>
      <c r="O33" s="18" t="n">
        <v>0</v>
      </c>
      <c r="P33" s="20" t="n">
        <v>0</v>
      </c>
      <c r="Q33" s="18" t="n">
        <v>0</v>
      </c>
      <c r="R33" s="20" t="n">
        <v>0</v>
      </c>
      <c r="S33" s="18" t="n">
        <v>0.9844199</v>
      </c>
      <c r="T33" s="20" t="n">
        <v>0.48977414</v>
      </c>
    </row>
    <row r="34" spans="1:20">
      <c r="A34" s="15" t="s">
        <v>594</v>
      </c>
      <c r="B34" s="17" t="n">
        <v>3315</v>
      </c>
      <c r="C34" s="18">
        <f>(2586.0/B34*100)</f>
        <v/>
      </c>
      <c r="D34" s="19" t="n">
        <v>729</v>
      </c>
      <c r="E34" s="18" t="n">
        <v>49.77464176</v>
      </c>
      <c r="F34" s="20" t="n">
        <v>1.89520875</v>
      </c>
      <c r="G34" s="18" t="n">
        <v>29.78397784</v>
      </c>
      <c r="H34" s="20" t="n">
        <v>1.55213581</v>
      </c>
      <c r="I34" s="18" t="n">
        <v>17.58675874</v>
      </c>
      <c r="J34" s="20" t="n">
        <v>1.44249163</v>
      </c>
      <c r="K34" s="18" t="s">
        <v>567</v>
      </c>
      <c r="L34" s="20" t="s">
        <v>567</v>
      </c>
      <c r="M34" s="18" t="n">
        <v>0</v>
      </c>
      <c r="N34" s="20" t="n">
        <v>0</v>
      </c>
      <c r="O34" s="18" t="n">
        <v>0</v>
      </c>
      <c r="P34" s="20" t="n">
        <v>0</v>
      </c>
      <c r="Q34" s="18" t="n">
        <v>0</v>
      </c>
      <c r="R34" s="20" t="n">
        <v>0</v>
      </c>
      <c r="S34" s="18" t="n">
        <v>2.85462165</v>
      </c>
      <c r="T34" s="20" t="n">
        <v>0.68055588</v>
      </c>
    </row>
    <row r="35" spans="1:20">
      <c r="A35" s="15" t="s">
        <v>595</v>
      </c>
      <c r="B35" s="17" t="n">
        <v>3505</v>
      </c>
      <c r="C35" s="18">
        <f>(2762.0/B35*100)</f>
        <v/>
      </c>
      <c r="D35" s="19" t="n">
        <v>743</v>
      </c>
      <c r="E35" s="18" t="n">
        <v>47.24974557</v>
      </c>
      <c r="F35" s="20" t="n">
        <v>2.43674056</v>
      </c>
      <c r="G35" s="18" t="n">
        <v>27.27400616</v>
      </c>
      <c r="H35" s="20" t="n">
        <v>1.79924666</v>
      </c>
      <c r="I35" s="18" t="n">
        <v>23.55195738</v>
      </c>
      <c r="J35" s="20" t="n">
        <v>2.00111747</v>
      </c>
      <c r="K35" s="18" t="s">
        <v>567</v>
      </c>
      <c r="L35" s="20" t="s">
        <v>567</v>
      </c>
      <c r="M35" s="18" t="n">
        <v>0.96372081</v>
      </c>
      <c r="N35" s="20" t="n">
        <v>0.7295767399999999</v>
      </c>
      <c r="O35" s="18" t="n">
        <v>0</v>
      </c>
      <c r="P35" s="20" t="n">
        <v>0</v>
      </c>
      <c r="Q35" s="18" t="n">
        <v>0</v>
      </c>
      <c r="R35" s="20" t="n">
        <v>0</v>
      </c>
      <c r="S35" s="18" t="n">
        <v>0.96057009</v>
      </c>
      <c r="T35" s="20" t="n">
        <v>0.30702373</v>
      </c>
    </row>
    <row r="36" spans="1:20">
      <c r="A36" s="15" t="s">
        <v>596</v>
      </c>
      <c r="B36" s="17" t="n">
        <v>3332</v>
      </c>
      <c r="C36" s="18">
        <f>(2622.0/B36*100)</f>
        <v/>
      </c>
      <c r="D36" s="19" t="n">
        <v>710</v>
      </c>
      <c r="E36" s="18" t="n">
        <v>44.2285498</v>
      </c>
      <c r="F36" s="20" t="n">
        <v>1.94629495</v>
      </c>
      <c r="G36" s="18" t="n">
        <v>37.28136349</v>
      </c>
      <c r="H36" s="20" t="n">
        <v>1.69091133</v>
      </c>
      <c r="I36" s="18" t="n">
        <v>15.5698881</v>
      </c>
      <c r="J36" s="20" t="n">
        <v>1.30343166</v>
      </c>
      <c r="K36" s="18" t="s">
        <v>567</v>
      </c>
      <c r="L36" s="20" t="s">
        <v>567</v>
      </c>
      <c r="M36" s="18" t="n">
        <v>0.2002431</v>
      </c>
      <c r="N36" s="20" t="n">
        <v>0.21058363</v>
      </c>
      <c r="O36" s="18" t="n">
        <v>0</v>
      </c>
      <c r="P36" s="20" t="n">
        <v>0</v>
      </c>
      <c r="Q36" s="18" t="n">
        <v>0</v>
      </c>
      <c r="R36" s="20" t="n">
        <v>0</v>
      </c>
      <c r="S36" s="18" t="n">
        <v>2.71995551</v>
      </c>
      <c r="T36" s="20" t="n">
        <v>0.83385794</v>
      </c>
    </row>
    <row r="37" spans="1:20">
      <c r="A37" s="15" t="s">
        <v>597</v>
      </c>
      <c r="B37" s="17" t="n">
        <v>2727</v>
      </c>
      <c r="C37" s="18">
        <f>(2131.0/B37*100)</f>
        <v/>
      </c>
      <c r="D37" s="19" t="n">
        <v>596</v>
      </c>
      <c r="E37" s="18" t="n">
        <v>52.26415102</v>
      </c>
      <c r="F37" s="20" t="n">
        <v>1.96400553</v>
      </c>
      <c r="G37" s="18" t="n">
        <v>28.39938717</v>
      </c>
      <c r="H37" s="20" t="n">
        <v>1.53507547</v>
      </c>
      <c r="I37" s="18" t="n">
        <v>14.4011009</v>
      </c>
      <c r="J37" s="20" t="n">
        <v>1.42816216</v>
      </c>
      <c r="K37" s="18" t="s">
        <v>567</v>
      </c>
      <c r="L37" s="20" t="s">
        <v>567</v>
      </c>
      <c r="M37" s="18" t="n">
        <v>0.47079609</v>
      </c>
      <c r="N37" s="20" t="n">
        <v>0.27182079</v>
      </c>
      <c r="O37" s="18" t="n">
        <v>0</v>
      </c>
      <c r="P37" s="20" t="n">
        <v>0</v>
      </c>
      <c r="Q37" s="18" t="n">
        <v>0</v>
      </c>
      <c r="R37" s="20" t="n">
        <v>0</v>
      </c>
      <c r="S37" s="18" t="n">
        <v>4.46456481</v>
      </c>
      <c r="T37" s="20" t="n">
        <v>0.80698314</v>
      </c>
    </row>
    <row r="38" spans="1:20">
      <c r="A38" s="15" t="s">
        <v>598</v>
      </c>
      <c r="B38" s="17" t="n">
        <v>3053</v>
      </c>
      <c r="C38" s="18">
        <f>(2388.0/B38*100)</f>
        <v/>
      </c>
      <c r="D38" s="19" t="n">
        <v>665</v>
      </c>
      <c r="E38" s="18" t="n">
        <v>38.97426783</v>
      </c>
      <c r="F38" s="20" t="n">
        <v>2.60754791</v>
      </c>
      <c r="G38" s="18" t="n">
        <v>36.6642954</v>
      </c>
      <c r="H38" s="20" t="n">
        <v>2.06328074</v>
      </c>
      <c r="I38" s="18" t="n">
        <v>21.59711811</v>
      </c>
      <c r="J38" s="20" t="n">
        <v>2.0443198</v>
      </c>
      <c r="K38" s="18" t="s">
        <v>567</v>
      </c>
      <c r="L38" s="20" t="s">
        <v>567</v>
      </c>
      <c r="M38" s="18" t="n">
        <v>0.2320724</v>
      </c>
      <c r="N38" s="20" t="n">
        <v>0.23118855</v>
      </c>
      <c r="O38" s="18" t="n">
        <v>0</v>
      </c>
      <c r="P38" s="20" t="n">
        <v>0</v>
      </c>
      <c r="Q38" s="18" t="n">
        <v>0</v>
      </c>
      <c r="R38" s="20" t="n">
        <v>0</v>
      </c>
      <c r="S38" s="18" t="n">
        <v>2.53224626</v>
      </c>
      <c r="T38" s="20" t="n">
        <v>0.66631652</v>
      </c>
    </row>
    <row r="39" spans="1:20">
      <c r="A39" s="15" t="s">
        <v>599</v>
      </c>
      <c r="B39" s="17" t="n">
        <v>2957</v>
      </c>
      <c r="C39" s="18">
        <f>(2298.0/B39*100)</f>
        <v/>
      </c>
      <c r="D39" s="19" t="n">
        <v>659</v>
      </c>
      <c r="E39" s="18" t="n">
        <v>53.00778641</v>
      </c>
      <c r="F39" s="20" t="n">
        <v>2.36061515</v>
      </c>
      <c r="G39" s="18" t="n">
        <v>33.84717111</v>
      </c>
      <c r="H39" s="20" t="n">
        <v>2.05441738</v>
      </c>
      <c r="I39" s="18" t="n">
        <v>9.37929761</v>
      </c>
      <c r="J39" s="20" t="n">
        <v>1.36013892</v>
      </c>
      <c r="K39" s="18" t="s">
        <v>567</v>
      </c>
      <c r="L39" s="20" t="s">
        <v>567</v>
      </c>
      <c r="M39" s="18" t="n">
        <v>0</v>
      </c>
      <c r="N39" s="20" t="n">
        <v>0</v>
      </c>
      <c r="O39" s="18" t="n">
        <v>0</v>
      </c>
      <c r="P39" s="20" t="n">
        <v>0</v>
      </c>
      <c r="Q39" s="18" t="n">
        <v>0</v>
      </c>
      <c r="R39" s="20" t="n">
        <v>0</v>
      </c>
      <c r="S39" s="18" t="n">
        <v>3.76574487</v>
      </c>
      <c r="T39" s="20" t="n">
        <v>0.9851044799999999</v>
      </c>
    </row>
    <row r="40" spans="1:20">
      <c r="A40" s="15" t="s">
        <v>600</v>
      </c>
      <c r="B40" s="17" t="n">
        <v>7235</v>
      </c>
      <c r="C40" s="18">
        <f>(5661.0/B40*100)</f>
        <v/>
      </c>
      <c r="D40" s="19" t="n">
        <v>1574</v>
      </c>
      <c r="E40" s="18" t="n">
        <v>43.37828234</v>
      </c>
      <c r="F40" s="20" t="n">
        <v>1.76209229</v>
      </c>
      <c r="G40" s="18" t="n">
        <v>34.66798602</v>
      </c>
      <c r="H40" s="20" t="n">
        <v>1.75589852</v>
      </c>
      <c r="I40" s="18" t="n">
        <v>19.16825084</v>
      </c>
      <c r="J40" s="20" t="n">
        <v>1.76580281</v>
      </c>
      <c r="K40" s="18" t="s">
        <v>567</v>
      </c>
      <c r="L40" s="20" t="s">
        <v>567</v>
      </c>
      <c r="M40" s="18" t="n">
        <v>0.4600004</v>
      </c>
      <c r="N40" s="20" t="n">
        <v>0.2992359</v>
      </c>
      <c r="O40" s="18" t="n">
        <v>0</v>
      </c>
      <c r="P40" s="20" t="n">
        <v>0</v>
      </c>
      <c r="Q40" s="18" t="n">
        <v>0</v>
      </c>
      <c r="R40" s="20" t="n">
        <v>0</v>
      </c>
      <c r="S40" s="18" t="n">
        <v>2.3254804</v>
      </c>
      <c r="T40" s="20" t="n">
        <v>0.56563648</v>
      </c>
    </row>
    <row r="41" spans="1:20">
      <c r="A41" s="15" t="s">
        <v>601</v>
      </c>
      <c r="B41" s="17" t="n">
        <v>2858</v>
      </c>
      <c r="C41" s="18">
        <f>(2256.0/B41*100)</f>
        <v/>
      </c>
      <c r="D41" s="19" t="n">
        <v>602</v>
      </c>
      <c r="E41" s="18" t="n">
        <v>54.87181021</v>
      </c>
      <c r="F41" s="20" t="n">
        <v>2.05580016</v>
      </c>
      <c r="G41" s="18" t="n">
        <v>30.26293234</v>
      </c>
      <c r="H41" s="20" t="n">
        <v>2.17440337</v>
      </c>
      <c r="I41" s="18" t="n">
        <v>14.096242</v>
      </c>
      <c r="J41" s="20" t="n">
        <v>1.43642382</v>
      </c>
      <c r="K41" s="18" t="s">
        <v>567</v>
      </c>
      <c r="L41" s="20" t="s">
        <v>567</v>
      </c>
      <c r="M41" s="18" t="n">
        <v>0.06771609000000001</v>
      </c>
      <c r="N41" s="20" t="n">
        <v>0.06809773</v>
      </c>
      <c r="O41" s="18" t="n">
        <v>0</v>
      </c>
      <c r="P41" s="20" t="n">
        <v>0</v>
      </c>
      <c r="Q41" s="18" t="n">
        <v>0</v>
      </c>
      <c r="R41" s="20" t="n">
        <v>0</v>
      </c>
      <c r="S41" s="18" t="n">
        <v>0.70129936</v>
      </c>
      <c r="T41" s="20" t="n">
        <v>0.32691022</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11068</v>
      </c>
      <c r="C46" s="18">
        <f>(9053.0/B46*100)</f>
        <v/>
      </c>
      <c r="D46" s="19" t="n">
        <v>2015</v>
      </c>
      <c r="E46" s="18" t="n">
        <v>58.95954882</v>
      </c>
      <c r="F46" s="20" t="n">
        <v>1.90788049</v>
      </c>
      <c r="G46" s="18" t="n">
        <v>26.2828327</v>
      </c>
      <c r="H46" s="20" t="n">
        <v>1.65294347</v>
      </c>
      <c r="I46" s="18" t="n">
        <v>4.99031142</v>
      </c>
      <c r="J46" s="20" t="n">
        <v>0.7997107</v>
      </c>
      <c r="K46" s="18" t="s">
        <v>567</v>
      </c>
      <c r="L46" s="20" t="s">
        <v>567</v>
      </c>
      <c r="M46" s="18" t="n">
        <v>1.14492737</v>
      </c>
      <c r="N46" s="20" t="n">
        <v>0.33891975</v>
      </c>
      <c r="O46" s="18" t="n">
        <v>0</v>
      </c>
      <c r="P46" s="20" t="n">
        <v>0</v>
      </c>
      <c r="Q46" s="18" t="n">
        <v>0</v>
      </c>
      <c r="R46" s="20" t="n">
        <v>0</v>
      </c>
      <c r="S46" s="18" t="n">
        <v>8.6223797</v>
      </c>
      <c r="T46" s="20" t="n">
        <v>0.96821083</v>
      </c>
    </row>
    <row r="47" spans="1:20">
      <c r="A47" s="15" t="s">
        <v>607</v>
      </c>
      <c r="B47" s="17" t="n">
        <v>3105</v>
      </c>
      <c r="C47" s="18">
        <f>(2405.0/B47*100)</f>
        <v/>
      </c>
      <c r="D47" s="19" t="n">
        <v>700</v>
      </c>
      <c r="E47" s="18" t="n">
        <v>61.73612485</v>
      </c>
      <c r="F47" s="20" t="n">
        <v>1.78052999</v>
      </c>
      <c r="G47" s="18" t="n">
        <v>24.09734902</v>
      </c>
      <c r="H47" s="20" t="n">
        <v>1.61922236</v>
      </c>
      <c r="I47" s="18" t="n">
        <v>7.33726828</v>
      </c>
      <c r="J47" s="20" t="n">
        <v>1.2360895</v>
      </c>
      <c r="K47" s="18" t="s">
        <v>567</v>
      </c>
      <c r="L47" s="20" t="s">
        <v>567</v>
      </c>
      <c r="M47" s="18" t="n">
        <v>0.24118548</v>
      </c>
      <c r="N47" s="20" t="n">
        <v>0.16829662</v>
      </c>
      <c r="O47" s="18" t="n">
        <v>0</v>
      </c>
      <c r="P47" s="20" t="n">
        <v>0</v>
      </c>
      <c r="Q47" s="18" t="n">
        <v>0</v>
      </c>
      <c r="R47" s="20" t="n">
        <v>0</v>
      </c>
      <c r="S47" s="18" t="n">
        <v>6.58807237</v>
      </c>
      <c r="T47" s="20" t="n">
        <v>1.17451712</v>
      </c>
    </row>
    <row r="48" spans="1:20">
      <c r="A48" s="15" t="s">
        <v>608</v>
      </c>
      <c r="B48" s="17" t="n">
        <v>5159</v>
      </c>
      <c r="C48" s="18">
        <f>(3975.0/B48*100)</f>
        <v/>
      </c>
      <c r="D48" s="19" t="n">
        <v>1184</v>
      </c>
      <c r="E48" s="18" t="n">
        <v>39.97956232</v>
      </c>
      <c r="F48" s="20" t="n">
        <v>2.40931932</v>
      </c>
      <c r="G48" s="18" t="n">
        <v>30.18203988</v>
      </c>
      <c r="H48" s="20" t="n">
        <v>1.60886233</v>
      </c>
      <c r="I48" s="18" t="n">
        <v>29.04120646</v>
      </c>
      <c r="J48" s="20" t="n">
        <v>2.27380637</v>
      </c>
      <c r="K48" s="18" t="s">
        <v>567</v>
      </c>
      <c r="L48" s="20" t="s">
        <v>567</v>
      </c>
      <c r="M48" s="18" t="n">
        <v>0.24704564</v>
      </c>
      <c r="N48" s="20" t="n">
        <v>0.20041739</v>
      </c>
      <c r="O48" s="18" t="n">
        <v>0</v>
      </c>
      <c r="P48" s="20" t="n">
        <v>0</v>
      </c>
      <c r="Q48" s="18" t="n">
        <v>0</v>
      </c>
      <c r="R48" s="20" t="n">
        <v>0</v>
      </c>
      <c r="S48" s="18" t="n">
        <v>0.55014571</v>
      </c>
      <c r="T48" s="20" t="n">
        <v>0.2374427</v>
      </c>
    </row>
    <row r="49" spans="1:20">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5637</v>
      </c>
      <c r="C50" s="18">
        <f>(4435.0/B50*100)</f>
        <v/>
      </c>
      <c r="D50" s="19" t="n">
        <v>1202</v>
      </c>
      <c r="E50" s="18" t="n">
        <v>62.4961844</v>
      </c>
      <c r="F50" s="20" t="n">
        <v>1.77226311</v>
      </c>
      <c r="G50" s="18" t="n">
        <v>28.68648157</v>
      </c>
      <c r="H50" s="20" t="n">
        <v>1.60848113</v>
      </c>
      <c r="I50" s="18" t="n">
        <v>5.56655312</v>
      </c>
      <c r="J50" s="20" t="n">
        <v>0.96954225</v>
      </c>
      <c r="K50" s="18" t="s">
        <v>567</v>
      </c>
      <c r="L50" s="20" t="s">
        <v>567</v>
      </c>
      <c r="M50" s="18" t="n">
        <v>0.30843026</v>
      </c>
      <c r="N50" s="20" t="n">
        <v>0.18069991</v>
      </c>
      <c r="O50" s="18" t="n">
        <v>0</v>
      </c>
      <c r="P50" s="20" t="n">
        <v>0</v>
      </c>
      <c r="Q50" s="18" t="n">
        <v>0</v>
      </c>
      <c r="R50" s="20" t="n">
        <v>0</v>
      </c>
      <c r="S50" s="18" t="n">
        <v>2.94235066</v>
      </c>
      <c r="T50" s="20" t="n">
        <v>0.8053888</v>
      </c>
    </row>
    <row r="51" spans="1:20">
      <c r="A51" s="15" t="s">
        <v>611</v>
      </c>
      <c r="B51" s="17" t="n">
        <v>3372</v>
      </c>
      <c r="C51" s="18">
        <f>(2739.0/B51*100)</f>
        <v/>
      </c>
      <c r="D51" s="19" t="n">
        <v>633</v>
      </c>
      <c r="E51" s="18" t="n">
        <v>65.33504637</v>
      </c>
      <c r="F51" s="20" t="n">
        <v>1.91216957</v>
      </c>
      <c r="G51" s="18" t="n">
        <v>26.87745525</v>
      </c>
      <c r="H51" s="20" t="n">
        <v>1.76523552</v>
      </c>
      <c r="I51" s="18" t="n">
        <v>4.65733764</v>
      </c>
      <c r="J51" s="20" t="n">
        <v>0.79236652</v>
      </c>
      <c r="K51" s="18" t="s">
        <v>567</v>
      </c>
      <c r="L51" s="20" t="s">
        <v>567</v>
      </c>
      <c r="M51" s="18" t="n">
        <v>0</v>
      </c>
      <c r="N51" s="20" t="n">
        <v>0</v>
      </c>
      <c r="O51" s="18" t="n">
        <v>0</v>
      </c>
      <c r="P51" s="20" t="n">
        <v>0</v>
      </c>
      <c r="Q51" s="18" t="n">
        <v>0</v>
      </c>
      <c r="R51" s="20" t="n">
        <v>0</v>
      </c>
      <c r="S51" s="18" t="n">
        <v>3.13016074</v>
      </c>
      <c r="T51" s="20" t="n">
        <v>0.71485221</v>
      </c>
    </row>
    <row r="52" spans="1:20">
      <c r="A52" s="15" t="s">
        <v>612</v>
      </c>
      <c r="B52" s="17" t="n">
        <v>2796</v>
      </c>
      <c r="C52" s="18">
        <f>(2209.0/B52*100)</f>
        <v/>
      </c>
      <c r="D52" s="19" t="n">
        <v>587</v>
      </c>
      <c r="E52" s="18" t="n">
        <v>54.54562365</v>
      </c>
      <c r="F52" s="20" t="n">
        <v>2.04535466</v>
      </c>
      <c r="G52" s="18" t="n">
        <v>24.47533576</v>
      </c>
      <c r="H52" s="20" t="n">
        <v>1.50321048</v>
      </c>
      <c r="I52" s="18" t="n">
        <v>17.5622983</v>
      </c>
      <c r="J52" s="20" t="n">
        <v>1.61572377</v>
      </c>
      <c r="K52" s="18" t="s">
        <v>567</v>
      </c>
      <c r="L52" s="20" t="s">
        <v>567</v>
      </c>
      <c r="M52" s="18" t="n">
        <v>0.11814647</v>
      </c>
      <c r="N52" s="20" t="n">
        <v>0.11476062</v>
      </c>
      <c r="O52" s="18" t="n">
        <v>0</v>
      </c>
      <c r="P52" s="20" t="n">
        <v>0</v>
      </c>
      <c r="Q52" s="18" t="n">
        <v>0</v>
      </c>
      <c r="R52" s="20" t="n">
        <v>0</v>
      </c>
      <c r="S52" s="18" t="n">
        <v>3.29859583</v>
      </c>
      <c r="T52" s="20" t="n">
        <v>0.80596354</v>
      </c>
    </row>
    <row r="53" spans="1:20">
      <c r="A53" s="15" t="s">
        <v>613</v>
      </c>
      <c r="B53" s="17" t="n">
        <v>2811</v>
      </c>
      <c r="C53" s="18">
        <f>(2203.0/B53*100)</f>
        <v/>
      </c>
      <c r="D53" s="19" t="n">
        <v>608</v>
      </c>
      <c r="E53" s="18" t="n">
        <v>60.72185909</v>
      </c>
      <c r="F53" s="20" t="n">
        <v>2.23899834</v>
      </c>
      <c r="G53" s="18" t="n">
        <v>24.35595071</v>
      </c>
      <c r="H53" s="20" t="n">
        <v>1.91348063</v>
      </c>
      <c r="I53" s="18" t="n">
        <v>7.87806368</v>
      </c>
      <c r="J53" s="20" t="n">
        <v>1.34178716</v>
      </c>
      <c r="K53" s="18" t="s">
        <v>567</v>
      </c>
      <c r="L53" s="20" t="s">
        <v>567</v>
      </c>
      <c r="M53" s="18" t="n">
        <v>0.71537057</v>
      </c>
      <c r="N53" s="20" t="n">
        <v>0.33435162</v>
      </c>
      <c r="O53" s="18" t="n">
        <v>0</v>
      </c>
      <c r="P53" s="20" t="n">
        <v>0</v>
      </c>
      <c r="Q53" s="18" t="n">
        <v>0</v>
      </c>
      <c r="R53" s="20" t="n">
        <v>0</v>
      </c>
      <c r="S53" s="18" t="n">
        <v>6.32875595</v>
      </c>
      <c r="T53" s="20" t="n">
        <v>1.07794912</v>
      </c>
    </row>
    <row r="54" spans="1:20">
      <c r="A54" s="15" t="s">
        <v>614</v>
      </c>
      <c r="B54" s="17" t="n">
        <v>2266</v>
      </c>
      <c r="C54" s="18">
        <f>(1775.0/B54*100)</f>
        <v/>
      </c>
      <c r="D54" s="19" t="n">
        <v>491</v>
      </c>
      <c r="E54" s="18" t="n">
        <v>66.55061215000001</v>
      </c>
      <c r="F54" s="20" t="n">
        <v>2.37342463</v>
      </c>
      <c r="G54" s="18" t="n">
        <v>10.29891603</v>
      </c>
      <c r="H54" s="20" t="n">
        <v>1.3567467</v>
      </c>
      <c r="I54" s="18" t="n">
        <v>0.14697674</v>
      </c>
      <c r="J54" s="20" t="n">
        <v>0.20686263</v>
      </c>
      <c r="K54" s="18" t="s">
        <v>567</v>
      </c>
      <c r="L54" s="20" t="s">
        <v>567</v>
      </c>
      <c r="M54" s="18" t="n">
        <v>13.10141521</v>
      </c>
      <c r="N54" s="20" t="n">
        <v>1.62666449</v>
      </c>
      <c r="O54" s="18" t="n">
        <v>0</v>
      </c>
      <c r="P54" s="20" t="n">
        <v>0</v>
      </c>
      <c r="Q54" s="18" t="n">
        <v>0</v>
      </c>
      <c r="R54" s="20" t="n">
        <v>0</v>
      </c>
      <c r="S54" s="18" t="n">
        <v>9.90207987</v>
      </c>
      <c r="T54" s="20" t="n">
        <v>1.71338479</v>
      </c>
    </row>
    <row r="55" spans="1:20">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2684</v>
      </c>
      <c r="C56" s="18">
        <f>(2101.0/B56*100)</f>
        <v/>
      </c>
      <c r="D56" s="19" t="n">
        <v>583</v>
      </c>
      <c r="E56" s="18" t="n">
        <v>41.39838959</v>
      </c>
      <c r="F56" s="20" t="n">
        <v>2.90450804</v>
      </c>
      <c r="G56" s="18" t="n">
        <v>36.28014052</v>
      </c>
      <c r="H56" s="20" t="n">
        <v>2.46270852</v>
      </c>
      <c r="I56" s="18" t="n">
        <v>21.08848177</v>
      </c>
      <c r="J56" s="20" t="n">
        <v>1.93302876</v>
      </c>
      <c r="K56" s="18" t="s">
        <v>567</v>
      </c>
      <c r="L56" s="20" t="s">
        <v>567</v>
      </c>
      <c r="M56" s="18" t="n">
        <v>0.37018168</v>
      </c>
      <c r="N56" s="20" t="n">
        <v>0.28833972</v>
      </c>
      <c r="O56" s="18" t="n">
        <v>0</v>
      </c>
      <c r="P56" s="20" t="n">
        <v>0</v>
      </c>
      <c r="Q56" s="18" t="n">
        <v>0</v>
      </c>
      <c r="R56" s="20" t="n">
        <v>0</v>
      </c>
      <c r="S56" s="18" t="n">
        <v>0.86280643</v>
      </c>
      <c r="T56" s="20" t="n">
        <v>0.39715208</v>
      </c>
    </row>
    <row r="57" spans="1:20">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3324</v>
      </c>
      <c r="C61" s="18">
        <f>(2557.0/B61*100)</f>
        <v/>
      </c>
      <c r="D61" s="19" t="n">
        <v>767</v>
      </c>
      <c r="E61" s="18" t="n">
        <v>56.86953734</v>
      </c>
      <c r="F61" s="20" t="n">
        <v>1.87008742</v>
      </c>
      <c r="G61" s="18" t="n">
        <v>28.81514729</v>
      </c>
      <c r="H61" s="20" t="n">
        <v>1.68884757</v>
      </c>
      <c r="I61" s="18" t="n">
        <v>10.55201618</v>
      </c>
      <c r="J61" s="20" t="n">
        <v>1.24856667</v>
      </c>
      <c r="K61" s="18" t="s">
        <v>567</v>
      </c>
      <c r="L61" s="20" t="s">
        <v>567</v>
      </c>
      <c r="M61" s="18" t="n">
        <v>0.17000991</v>
      </c>
      <c r="N61" s="20" t="n">
        <v>0.12056484</v>
      </c>
      <c r="O61" s="18" t="n">
        <v>0</v>
      </c>
      <c r="P61" s="20" t="n">
        <v>0</v>
      </c>
      <c r="Q61" s="18" t="n">
        <v>0</v>
      </c>
      <c r="R61" s="20" t="n">
        <v>0</v>
      </c>
      <c r="S61" s="18" t="n">
        <v>3.59328927</v>
      </c>
      <c r="T61" s="20" t="n">
        <v>0.63890336</v>
      </c>
    </row>
    <row r="62" spans="1:20">
      <c r="A62" s="15" t="s">
        <v>622</v>
      </c>
      <c r="B62" s="17" t="n">
        <v>2246</v>
      </c>
      <c r="C62" s="18">
        <f>(1759.0/B62*100)</f>
        <v/>
      </c>
      <c r="D62" s="19" t="n">
        <v>487</v>
      </c>
      <c r="E62" s="18" t="n">
        <v>40.06830123</v>
      </c>
      <c r="F62" s="20" t="n">
        <v>2.31176241</v>
      </c>
      <c r="G62" s="18" t="n">
        <v>34.02600331</v>
      </c>
      <c r="H62" s="20" t="n">
        <v>2.18754036</v>
      </c>
      <c r="I62" s="18" t="n">
        <v>24.86959963</v>
      </c>
      <c r="J62" s="20" t="n">
        <v>1.81718441</v>
      </c>
      <c r="K62" s="18" t="s">
        <v>567</v>
      </c>
      <c r="L62" s="20" t="s">
        <v>567</v>
      </c>
      <c r="M62" s="18" t="n">
        <v>0.21096709</v>
      </c>
      <c r="N62" s="20" t="n">
        <v>0.21094555</v>
      </c>
      <c r="O62" s="18" t="n">
        <v>0</v>
      </c>
      <c r="P62" s="20" t="n">
        <v>0</v>
      </c>
      <c r="Q62" s="18" t="n">
        <v>0</v>
      </c>
      <c r="R62" s="20" t="n">
        <v>0</v>
      </c>
      <c r="S62" s="18" t="n">
        <v>0.82512874</v>
      </c>
      <c r="T62" s="20" t="n">
        <v>0.40817785</v>
      </c>
    </row>
    <row r="63" spans="1:20">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2894</v>
      </c>
      <c r="C66" s="18">
        <f>(2247.0/B66*100)</f>
        <v/>
      </c>
      <c r="D66" s="19" t="n">
        <v>647</v>
      </c>
      <c r="E66" s="18" t="n">
        <v>64.27500578</v>
      </c>
      <c r="F66" s="20" t="n">
        <v>1.73914438</v>
      </c>
      <c r="G66" s="18" t="n">
        <v>21.17908649</v>
      </c>
      <c r="H66" s="20" t="n">
        <v>1.57749391</v>
      </c>
      <c r="I66" s="18" t="n">
        <v>3.85300217</v>
      </c>
      <c r="J66" s="20" t="n">
        <v>0.71631705</v>
      </c>
      <c r="K66" s="18" t="s">
        <v>567</v>
      </c>
      <c r="L66" s="20" t="s">
        <v>567</v>
      </c>
      <c r="M66" s="18" t="n">
        <v>0.61397278</v>
      </c>
      <c r="N66" s="20" t="n">
        <v>0.30881083</v>
      </c>
      <c r="O66" s="18" t="n">
        <v>0</v>
      </c>
      <c r="P66" s="20" t="n">
        <v>0</v>
      </c>
      <c r="Q66" s="18" t="n">
        <v>0</v>
      </c>
      <c r="R66" s="20" t="n">
        <v>0</v>
      </c>
      <c r="S66" s="18" t="n">
        <v>10.07893278</v>
      </c>
      <c r="T66" s="20" t="n">
        <v>1.24341605</v>
      </c>
    </row>
    <row r="67" spans="1:20">
      <c r="A67" s="15" t="s">
        <v>627</v>
      </c>
      <c r="B67" s="17" t="n">
        <v>3511</v>
      </c>
      <c r="C67" s="18">
        <f>(2768.0/B67*100)</f>
        <v/>
      </c>
      <c r="D67" s="19" t="n">
        <v>743</v>
      </c>
      <c r="E67" s="18" t="n">
        <v>67.42156478</v>
      </c>
      <c r="F67" s="20" t="n">
        <v>2.12651761</v>
      </c>
      <c r="G67" s="18" t="n">
        <v>25.76548762</v>
      </c>
      <c r="H67" s="20" t="n">
        <v>1.63043928</v>
      </c>
      <c r="I67" s="18" t="n">
        <v>3.83093979</v>
      </c>
      <c r="J67" s="20" t="n">
        <v>0.92242399</v>
      </c>
      <c r="K67" s="18" t="s">
        <v>567</v>
      </c>
      <c r="L67" s="20" t="s">
        <v>567</v>
      </c>
      <c r="M67" s="18" t="n">
        <v>0.12067811</v>
      </c>
      <c r="N67" s="20" t="n">
        <v>0.12101673</v>
      </c>
      <c r="O67" s="18" t="n">
        <v>0</v>
      </c>
      <c r="P67" s="20" t="n">
        <v>0</v>
      </c>
      <c r="Q67" s="18" t="n">
        <v>0</v>
      </c>
      <c r="R67" s="20" t="n">
        <v>0</v>
      </c>
      <c r="S67" s="18" t="n">
        <v>2.8613297</v>
      </c>
      <c r="T67" s="20" t="n">
        <v>0.73040008</v>
      </c>
    </row>
    <row r="68" spans="1:20">
      <c r="A68" s="15" t="s">
        <v>628</v>
      </c>
      <c r="B68" s="17" t="n">
        <v>6049</v>
      </c>
      <c r="C68" s="18">
        <f>(4692.0/B68*100)</f>
        <v/>
      </c>
      <c r="D68" s="19" t="n">
        <v>1357</v>
      </c>
      <c r="E68" s="18" t="n">
        <v>59.0543868</v>
      </c>
      <c r="F68" s="20" t="n">
        <v>1.38746714</v>
      </c>
      <c r="G68" s="18" t="n">
        <v>25.4704973</v>
      </c>
      <c r="H68" s="20" t="n">
        <v>1.33260224</v>
      </c>
      <c r="I68" s="18" t="n">
        <v>7.5293938</v>
      </c>
      <c r="J68" s="20" t="n">
        <v>0.7249411</v>
      </c>
      <c r="K68" s="18" t="s">
        <v>567</v>
      </c>
      <c r="L68" s="20" t="s">
        <v>567</v>
      </c>
      <c r="M68" s="18" t="n">
        <v>1.18098624</v>
      </c>
      <c r="N68" s="20" t="n">
        <v>0.31064856</v>
      </c>
      <c r="O68" s="18" t="n">
        <v>0</v>
      </c>
      <c r="P68" s="20" t="n">
        <v>0</v>
      </c>
      <c r="Q68" s="18" t="n">
        <v>0</v>
      </c>
      <c r="R68" s="20" t="n">
        <v>0</v>
      </c>
      <c r="S68" s="18" t="n">
        <v>6.76473586</v>
      </c>
      <c r="T68" s="20" t="n">
        <v>0.75093622</v>
      </c>
    </row>
    <row r="69" spans="1:20">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2929</v>
      </c>
      <c r="C70" s="18">
        <f>(2276.0/B70*100)</f>
        <v/>
      </c>
      <c r="D70" s="19" t="n">
        <v>653</v>
      </c>
      <c r="E70" s="18" t="n">
        <v>46.60978244</v>
      </c>
      <c r="F70" s="20" t="n">
        <v>2.00028161</v>
      </c>
      <c r="G70" s="18" t="n">
        <v>34.73213744</v>
      </c>
      <c r="H70" s="20" t="n">
        <v>2.08131491</v>
      </c>
      <c r="I70" s="18" t="n">
        <v>15.66870307</v>
      </c>
      <c r="J70" s="20" t="n">
        <v>1.57390099</v>
      </c>
      <c r="K70" s="18" t="s">
        <v>567</v>
      </c>
      <c r="L70" s="20" t="s">
        <v>567</v>
      </c>
      <c r="M70" s="18" t="n">
        <v>0.25769342</v>
      </c>
      <c r="N70" s="20" t="n">
        <v>0.14645281</v>
      </c>
      <c r="O70" s="18" t="n">
        <v>0</v>
      </c>
      <c r="P70" s="20" t="n">
        <v>0</v>
      </c>
      <c r="Q70" s="18" t="n">
        <v>0</v>
      </c>
      <c r="R70" s="20" t="n">
        <v>0</v>
      </c>
      <c r="S70" s="18" t="n">
        <v>2.73168362</v>
      </c>
      <c r="T70" s="20" t="n">
        <v>0.6598921</v>
      </c>
    </row>
    <row r="71" spans="1:20">
      <c r="A71" s="15" t="s">
        <v>631</v>
      </c>
      <c r="B71" s="17" t="n">
        <v>3142</v>
      </c>
      <c r="C71" s="18">
        <f>(2440.0/B71*100)</f>
        <v/>
      </c>
      <c r="D71" s="19" t="n">
        <v>702</v>
      </c>
      <c r="E71" s="18" t="n">
        <v>31.81920266</v>
      </c>
      <c r="F71" s="20" t="n">
        <v>1.70793587</v>
      </c>
      <c r="G71" s="18" t="n">
        <v>32.73324364</v>
      </c>
      <c r="H71" s="20" t="n">
        <v>1.63918189</v>
      </c>
      <c r="I71" s="18" t="n">
        <v>34.25323243</v>
      </c>
      <c r="J71" s="20" t="n">
        <v>1.74040434</v>
      </c>
      <c r="K71" s="18" t="s">
        <v>567</v>
      </c>
      <c r="L71" s="20" t="s">
        <v>567</v>
      </c>
      <c r="M71" s="18" t="n">
        <v>0.18894219</v>
      </c>
      <c r="N71" s="20" t="n">
        <v>0.1377763</v>
      </c>
      <c r="O71" s="18" t="n">
        <v>0</v>
      </c>
      <c r="P71" s="20" t="n">
        <v>0</v>
      </c>
      <c r="Q71" s="18" t="n">
        <v>0</v>
      </c>
      <c r="R71" s="20" t="n">
        <v>0</v>
      </c>
      <c r="S71" s="18" t="n">
        <v>1.00537907</v>
      </c>
      <c r="T71" s="20" t="n">
        <v>0.27202081</v>
      </c>
    </row>
    <row r="72" spans="1:20">
      <c r="A72" s="15" t="s">
        <v>632</v>
      </c>
      <c r="B72" s="17" t="n">
        <v>3889</v>
      </c>
      <c r="C72" s="18">
        <f>(3036.0/B72*100)</f>
        <v/>
      </c>
      <c r="D72" s="19" t="n">
        <v>853</v>
      </c>
      <c r="E72" s="18" t="n">
        <v>37.17797127</v>
      </c>
      <c r="F72" s="20" t="n">
        <v>2.06934375</v>
      </c>
      <c r="G72" s="18" t="n">
        <v>34.36555745</v>
      </c>
      <c r="H72" s="20" t="n">
        <v>1.76716151</v>
      </c>
      <c r="I72" s="18" t="n">
        <v>27.23118123</v>
      </c>
      <c r="J72" s="20" t="n">
        <v>2.16210784</v>
      </c>
      <c r="K72" s="18" t="s">
        <v>567</v>
      </c>
      <c r="L72" s="20" t="s">
        <v>567</v>
      </c>
      <c r="M72" s="18" t="n">
        <v>0.07709439999999999</v>
      </c>
      <c r="N72" s="20" t="n">
        <v>0.07955299</v>
      </c>
      <c r="O72" s="18" t="n">
        <v>0</v>
      </c>
      <c r="P72" s="20" t="n">
        <v>0</v>
      </c>
      <c r="Q72" s="18" t="n">
        <v>0</v>
      </c>
      <c r="R72" s="20" t="n">
        <v>0</v>
      </c>
      <c r="S72" s="18" t="n">
        <v>1.14819566</v>
      </c>
      <c r="T72" s="20" t="n">
        <v>0.37176079</v>
      </c>
    </row>
    <row r="73" spans="1:20">
      <c r="A73" s="15" t="s">
        <v>633</v>
      </c>
      <c r="B73" s="17" t="n">
        <v>3597</v>
      </c>
      <c r="C73" s="18">
        <f>(2814.0/B73*100)</f>
        <v/>
      </c>
      <c r="D73" s="19" t="n">
        <v>783</v>
      </c>
      <c r="E73" s="18" t="n">
        <v>64.96965194000001</v>
      </c>
      <c r="F73" s="20" t="n">
        <v>1.91120132</v>
      </c>
      <c r="G73" s="18" t="n">
        <v>29.20753456</v>
      </c>
      <c r="H73" s="20" t="n">
        <v>1.77195862</v>
      </c>
      <c r="I73" s="18" t="n">
        <v>4.6736675</v>
      </c>
      <c r="J73" s="20" t="n">
        <v>0.92471042</v>
      </c>
      <c r="K73" s="18" t="s">
        <v>567</v>
      </c>
      <c r="L73" s="20" t="s">
        <v>567</v>
      </c>
      <c r="M73" s="18" t="n">
        <v>0</v>
      </c>
      <c r="N73" s="20" t="n">
        <v>0</v>
      </c>
      <c r="O73" s="18" t="n">
        <v>0</v>
      </c>
      <c r="P73" s="20" t="n">
        <v>0</v>
      </c>
      <c r="Q73" s="18" t="n">
        <v>0</v>
      </c>
      <c r="R73" s="20" t="n">
        <v>0</v>
      </c>
      <c r="S73" s="18" t="n">
        <v>1.149146</v>
      </c>
      <c r="T73" s="20" t="n">
        <v>0.45548396</v>
      </c>
    </row>
    <row r="74" spans="1:20">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2406</v>
      </c>
      <c r="C75" s="18">
        <f>(1900.0/B75*100)</f>
        <v/>
      </c>
      <c r="D75" s="19" t="n">
        <v>506</v>
      </c>
      <c r="E75" s="18" t="n">
        <v>63.81351008</v>
      </c>
      <c r="F75" s="20" t="n">
        <v>2.67545137</v>
      </c>
      <c r="G75" s="18" t="n">
        <v>25.58983651</v>
      </c>
      <c r="H75" s="20" t="n">
        <v>2.12109081</v>
      </c>
      <c r="I75" s="18" t="n">
        <v>4.1981173</v>
      </c>
      <c r="J75" s="20" t="n">
        <v>0.78017753</v>
      </c>
      <c r="K75" s="18" t="s">
        <v>567</v>
      </c>
      <c r="L75" s="20" t="s">
        <v>567</v>
      </c>
      <c r="M75" s="18" t="n">
        <v>2.14906136</v>
      </c>
      <c r="N75" s="20" t="n">
        <v>0.67298146</v>
      </c>
      <c r="O75" s="18" t="n">
        <v>0</v>
      </c>
      <c r="P75" s="20" t="n">
        <v>0</v>
      </c>
      <c r="Q75" s="18" t="n">
        <v>0</v>
      </c>
      <c r="R75" s="20" t="n">
        <v>0</v>
      </c>
      <c r="S75" s="18" t="n">
        <v>4.24947474</v>
      </c>
      <c r="T75" s="20" t="n">
        <v>0.90125859</v>
      </c>
    </row>
    <row r="76" spans="1:20">
      <c r="A76" s="15" t="s">
        <v>636</v>
      </c>
      <c r="B76" s="17" t="n">
        <v>7052</v>
      </c>
      <c r="C76" s="18">
        <f>(5496.0/B76*100)</f>
        <v/>
      </c>
      <c r="D76" s="19" t="n">
        <v>1556</v>
      </c>
      <c r="E76" s="18" t="n">
        <v>58.71479426</v>
      </c>
      <c r="F76" s="20" t="n">
        <v>1.60122088</v>
      </c>
      <c r="G76" s="18" t="n">
        <v>28.14893254</v>
      </c>
      <c r="H76" s="20" t="n">
        <v>1.31846074</v>
      </c>
      <c r="I76" s="18" t="n">
        <v>8.715532359999999</v>
      </c>
      <c r="J76" s="20" t="n">
        <v>1.03876286</v>
      </c>
      <c r="K76" s="18" t="s">
        <v>567</v>
      </c>
      <c r="L76" s="20" t="s">
        <v>567</v>
      </c>
      <c r="M76" s="18" t="n">
        <v>0.94683207</v>
      </c>
      <c r="N76" s="20" t="n">
        <v>0.30891044</v>
      </c>
      <c r="O76" s="18" t="n">
        <v>0</v>
      </c>
      <c r="P76" s="20" t="n">
        <v>0</v>
      </c>
      <c r="Q76" s="18" t="n">
        <v>0</v>
      </c>
      <c r="R76" s="20" t="n">
        <v>0</v>
      </c>
      <c r="S76" s="18" t="n">
        <v>3.47390876</v>
      </c>
      <c r="T76" s="20" t="n">
        <v>0.55640946</v>
      </c>
    </row>
    <row r="77" spans="1:20">
      <c r="A77" s="15" t="s">
        <v>637</v>
      </c>
      <c r="B77" s="17" t="n">
        <v>2908</v>
      </c>
      <c r="C77" s="18">
        <f>(2342.0/B77*100)</f>
        <v/>
      </c>
      <c r="D77" s="19" t="n">
        <v>566</v>
      </c>
      <c r="E77" s="18" t="n">
        <v>55.12195013</v>
      </c>
      <c r="F77" s="20" t="n">
        <v>2.35608195</v>
      </c>
      <c r="G77" s="18" t="n">
        <v>33.11695841</v>
      </c>
      <c r="H77" s="20" t="n">
        <v>2.27740516</v>
      </c>
      <c r="I77" s="18" t="n">
        <v>5.80036614</v>
      </c>
      <c r="J77" s="20" t="n">
        <v>1.00973553</v>
      </c>
      <c r="K77" s="18" t="s">
        <v>567</v>
      </c>
      <c r="L77" s="20" t="s">
        <v>567</v>
      </c>
      <c r="M77" s="18" t="n">
        <v>1.110457</v>
      </c>
      <c r="N77" s="20" t="n">
        <v>0.47525958</v>
      </c>
      <c r="O77" s="18" t="n">
        <v>0</v>
      </c>
      <c r="P77" s="20" t="n">
        <v>0</v>
      </c>
      <c r="Q77" s="18" t="n">
        <v>0</v>
      </c>
      <c r="R77" s="20" t="n">
        <v>0</v>
      </c>
      <c r="S77" s="18" t="n">
        <v>4.85026832</v>
      </c>
      <c r="T77" s="20" t="n">
        <v>1.1090696</v>
      </c>
    </row>
    <row r="78" spans="1:20">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4163</v>
      </c>
      <c r="C81" s="18">
        <f>(3267.0/B81*100)</f>
        <v/>
      </c>
      <c r="D81" s="19" t="n">
        <v>896</v>
      </c>
      <c r="E81" s="18" t="n">
        <v>69.15917899999999</v>
      </c>
      <c r="F81" s="20" t="n">
        <v>2.19092165</v>
      </c>
      <c r="G81" s="18" t="n">
        <v>24.85822085</v>
      </c>
      <c r="H81" s="20" t="n">
        <v>1.80480582</v>
      </c>
      <c r="I81" s="18" t="n">
        <v>5.47049778</v>
      </c>
      <c r="J81" s="20" t="n">
        <v>1.1990862</v>
      </c>
      <c r="K81" s="18" t="s">
        <v>567</v>
      </c>
      <c r="L81" s="20" t="s">
        <v>567</v>
      </c>
      <c r="M81" s="18" t="n">
        <v>0</v>
      </c>
      <c r="N81" s="20" t="n">
        <v>0</v>
      </c>
      <c r="O81" s="18" t="n">
        <v>0</v>
      </c>
      <c r="P81" s="20" t="n">
        <v>0</v>
      </c>
      <c r="Q81" s="18" t="n">
        <v>0</v>
      </c>
      <c r="R81" s="20" t="n">
        <v>0</v>
      </c>
      <c r="S81" s="18" t="n">
        <v>0.51210236</v>
      </c>
      <c r="T81" s="20" t="n">
        <v>0.25653899</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(5738.0/B7*100)</f>
        <v/>
      </c>
      <c r="D7" s="19" t="n">
        <v>1629</v>
      </c>
      <c r="E7" s="18" t="n">
        <v>68.62827171000001</v>
      </c>
      <c r="F7" s="20" t="n">
        <v>1.47534357</v>
      </c>
      <c r="G7" s="18" t="n">
        <v>26.20374675</v>
      </c>
      <c r="H7" s="20" t="n">
        <v>1.40340114</v>
      </c>
      <c r="I7" s="18" t="s">
        <v>567</v>
      </c>
      <c r="J7" s="20" t="s">
        <v>567</v>
      </c>
      <c r="K7" s="18" t="n">
        <v>0.30873908</v>
      </c>
      <c r="L7" s="20" t="n">
        <v>0.16371886</v>
      </c>
      <c r="M7" s="18" t="n">
        <v>0.01568246</v>
      </c>
      <c r="N7" s="20" t="n">
        <v>0.01090927</v>
      </c>
      <c r="O7" s="18" t="n">
        <v>0</v>
      </c>
      <c r="P7" s="20" t="n">
        <v>0</v>
      </c>
      <c r="Q7" s="18" t="n">
        <v>4.84355999</v>
      </c>
      <c r="R7" s="20" t="n">
        <v>0.58384512</v>
      </c>
    </row>
    <row r="8" spans="1:18">
      <c r="A8" s="15" t="s">
        <v>568</v>
      </c>
      <c r="B8" s="17" t="n">
        <v>3564</v>
      </c>
      <c r="C8" s="18">
        <f>(2776.0/B8*100)</f>
        <v/>
      </c>
      <c r="D8" s="19" t="n">
        <v>788</v>
      </c>
      <c r="E8" s="18" t="n">
        <v>71.63890619999999</v>
      </c>
      <c r="F8" s="20" t="n">
        <v>1.65355335</v>
      </c>
      <c r="G8" s="18" t="n">
        <v>24.22992226</v>
      </c>
      <c r="H8" s="20" t="n">
        <v>1.71043907</v>
      </c>
      <c r="I8" s="18" t="s">
        <v>567</v>
      </c>
      <c r="J8" s="20" t="s">
        <v>567</v>
      </c>
      <c r="K8" s="18" t="n">
        <v>0</v>
      </c>
      <c r="L8" s="20" t="n">
        <v>0</v>
      </c>
      <c r="M8" s="18" t="n">
        <v>0</v>
      </c>
      <c r="N8" s="20" t="n">
        <v>0</v>
      </c>
      <c r="O8" s="18" t="n">
        <v>0</v>
      </c>
      <c r="P8" s="20" t="n">
        <v>0</v>
      </c>
      <c r="Q8" s="18" t="n">
        <v>4.13117154</v>
      </c>
      <c r="R8" s="20" t="n">
        <v>1.00459743</v>
      </c>
    </row>
    <row r="9" spans="1:18">
      <c r="A9" s="15" t="s">
        <v>569</v>
      </c>
      <c r="B9" s="17" t="n">
        <v>4899</v>
      </c>
      <c r="C9" s="18">
        <f>(3870.0/B9*100)</f>
        <v/>
      </c>
      <c r="D9" s="19" t="n">
        <v>1029</v>
      </c>
      <c r="E9" s="18" t="n">
        <v>68.68359866</v>
      </c>
      <c r="F9" s="20" t="n">
        <v>1.65754892</v>
      </c>
      <c r="G9" s="18" t="n">
        <v>28.21571249</v>
      </c>
      <c r="H9" s="20" t="n">
        <v>1.68264269</v>
      </c>
      <c r="I9" s="18" t="s">
        <v>567</v>
      </c>
      <c r="J9" s="20" t="s">
        <v>567</v>
      </c>
      <c r="K9" s="18" t="n">
        <v>0.15026797</v>
      </c>
      <c r="L9" s="20" t="n">
        <v>0.10322516</v>
      </c>
      <c r="M9" s="18" t="n">
        <v>0.25416287</v>
      </c>
      <c r="N9" s="20" t="n">
        <v>0.14963817</v>
      </c>
      <c r="O9" s="18" t="n">
        <v>0</v>
      </c>
      <c r="P9" s="20" t="n">
        <v>0</v>
      </c>
      <c r="Q9" s="18" t="n">
        <v>2.69625801</v>
      </c>
      <c r="R9" s="20" t="n">
        <v>0.57916218</v>
      </c>
    </row>
    <row r="10" spans="1:18">
      <c r="A10" s="15" t="s">
        <v>570</v>
      </c>
      <c r="B10" s="17" t="n">
        <v>10036</v>
      </c>
      <c r="C10" s="18">
        <f>(7763.0/B10*100)</f>
        <v/>
      </c>
      <c r="D10" s="19" t="n">
        <v>2273</v>
      </c>
      <c r="E10" s="18" t="n">
        <v>68.95158979999999</v>
      </c>
      <c r="F10" s="20" t="n">
        <v>1.05087849</v>
      </c>
      <c r="G10" s="18" t="n">
        <v>28.63106158</v>
      </c>
      <c r="H10" s="20" t="n">
        <v>1.05439388</v>
      </c>
      <c r="I10" s="18" t="s">
        <v>567</v>
      </c>
      <c r="J10" s="20" t="s">
        <v>567</v>
      </c>
      <c r="K10" s="18" t="n">
        <v>0.08478557</v>
      </c>
      <c r="L10" s="20" t="n">
        <v>0.07555155</v>
      </c>
      <c r="M10" s="18" t="n">
        <v>0.04014129</v>
      </c>
      <c r="N10" s="20" t="n">
        <v>0.02838364</v>
      </c>
      <c r="O10" s="18" t="n">
        <v>0</v>
      </c>
      <c r="P10" s="20" t="n">
        <v>0</v>
      </c>
      <c r="Q10" s="18" t="n">
        <v>2.29242176</v>
      </c>
      <c r="R10" s="20" t="n">
        <v>0.4071187</v>
      </c>
    </row>
    <row r="11" spans="1:18">
      <c r="A11" s="15" t="s">
        <v>571</v>
      </c>
      <c r="B11" s="17" t="n">
        <v>3553</v>
      </c>
      <c r="C11" s="18">
        <f>(2760.0/B11*100)</f>
        <v/>
      </c>
      <c r="D11" s="19" t="n">
        <v>793</v>
      </c>
      <c r="E11" s="18" t="n">
        <v>79.85486992</v>
      </c>
      <c r="F11" s="20" t="n">
        <v>1.98575398</v>
      </c>
      <c r="G11" s="18" t="n">
        <v>12.27165961</v>
      </c>
      <c r="H11" s="20" t="n">
        <v>1.51592479</v>
      </c>
      <c r="I11" s="18" t="s">
        <v>567</v>
      </c>
      <c r="J11" s="20" t="s">
        <v>567</v>
      </c>
      <c r="K11" s="18" t="n">
        <v>0.15381825</v>
      </c>
      <c r="L11" s="20" t="n">
        <v>0.15418573</v>
      </c>
      <c r="M11" s="18" t="n">
        <v>0</v>
      </c>
      <c r="N11" s="20" t="n">
        <v>0</v>
      </c>
      <c r="O11" s="18" t="n">
        <v>0</v>
      </c>
      <c r="P11" s="20" t="n">
        <v>0</v>
      </c>
      <c r="Q11" s="18" t="n">
        <v>7.71965222</v>
      </c>
      <c r="R11" s="20" t="n">
        <v>1.22245642</v>
      </c>
    </row>
    <row r="12" spans="1:18">
      <c r="A12" s="15" t="s">
        <v>572</v>
      </c>
      <c r="B12" s="17" t="n">
        <v>3472</v>
      </c>
      <c r="C12" s="18">
        <f>(2757.0/B12*100)</f>
        <v/>
      </c>
      <c r="D12" s="19" t="n">
        <v>715</v>
      </c>
      <c r="E12" s="18" t="n">
        <v>78.74659834000001</v>
      </c>
      <c r="F12" s="20" t="n">
        <v>1.70587515</v>
      </c>
      <c r="G12" s="18" t="n">
        <v>18.87552416</v>
      </c>
      <c r="H12" s="20" t="n">
        <v>1.70306238</v>
      </c>
      <c r="I12" s="18" t="s">
        <v>567</v>
      </c>
      <c r="J12" s="20" t="s">
        <v>567</v>
      </c>
      <c r="K12" s="18" t="n">
        <v>0</v>
      </c>
      <c r="L12" s="20" t="n">
        <v>0</v>
      </c>
      <c r="M12" s="18" t="n">
        <v>0.12456292</v>
      </c>
      <c r="N12" s="20" t="n">
        <v>0.12254527</v>
      </c>
      <c r="O12" s="18" t="n">
        <v>0</v>
      </c>
      <c r="P12" s="20" t="n">
        <v>0</v>
      </c>
      <c r="Q12" s="18" t="n">
        <v>2.25331459</v>
      </c>
      <c r="R12" s="20" t="n">
        <v>0.57079564</v>
      </c>
    </row>
    <row r="13" spans="1:18">
      <c r="A13" s="15" t="s">
        <v>573</v>
      </c>
      <c r="B13" s="17" t="n">
        <v>3559</v>
      </c>
      <c r="C13" s="18">
        <f>(2803.0/B13*100)</f>
        <v/>
      </c>
      <c r="D13" s="19" t="n">
        <v>756</v>
      </c>
      <c r="E13" s="18" t="n">
        <v>75.6185933</v>
      </c>
      <c r="F13" s="20" t="n">
        <v>1.83028377</v>
      </c>
      <c r="G13" s="18" t="n">
        <v>19.9375013</v>
      </c>
      <c r="H13" s="20" t="n">
        <v>1.60998222</v>
      </c>
      <c r="I13" s="18" t="s">
        <v>567</v>
      </c>
      <c r="J13" s="20" t="s">
        <v>567</v>
      </c>
      <c r="K13" s="18" t="n">
        <v>0.03874856</v>
      </c>
      <c r="L13" s="20" t="n">
        <v>0.03693826</v>
      </c>
      <c r="M13" s="18" t="n">
        <v>0.47138853</v>
      </c>
      <c r="N13" s="20" t="n">
        <v>0.46912376</v>
      </c>
      <c r="O13" s="18" t="n">
        <v>0</v>
      </c>
      <c r="P13" s="20" t="n">
        <v>0</v>
      </c>
      <c r="Q13" s="18" t="n">
        <v>3.93376831</v>
      </c>
      <c r="R13" s="20" t="n">
        <v>1.15727973</v>
      </c>
    </row>
    <row r="14" spans="1:18">
      <c r="A14" s="15" t="s">
        <v>574</v>
      </c>
      <c r="B14" s="17" t="n">
        <v>2799</v>
      </c>
      <c r="C14" s="18">
        <f>(2160.0/B14*100)</f>
        <v/>
      </c>
      <c r="D14" s="19" t="n">
        <v>639</v>
      </c>
      <c r="E14" s="18" t="n">
        <v>73.91809076</v>
      </c>
      <c r="F14" s="20" t="n">
        <v>1.89139726</v>
      </c>
      <c r="G14" s="18" t="n">
        <v>24.49903936</v>
      </c>
      <c r="H14" s="20" t="n">
        <v>1.86224283</v>
      </c>
      <c r="I14" s="18" t="s">
        <v>567</v>
      </c>
      <c r="J14" s="20" t="s">
        <v>567</v>
      </c>
      <c r="K14" s="18" t="n">
        <v>0.7850707099999999</v>
      </c>
      <c r="L14" s="20" t="n">
        <v>0.47849868</v>
      </c>
      <c r="M14" s="18" t="n">
        <v>0</v>
      </c>
      <c r="N14" s="20" t="n">
        <v>0</v>
      </c>
      <c r="O14" s="18" t="n">
        <v>0</v>
      </c>
      <c r="P14" s="20" t="n">
        <v>0</v>
      </c>
      <c r="Q14" s="18" t="n">
        <v>0.79779917</v>
      </c>
      <c r="R14" s="20" t="n">
        <v>0.36775066</v>
      </c>
    </row>
    <row r="15" spans="1:18">
      <c r="A15" s="15" t="s">
        <v>575</v>
      </c>
      <c r="B15" s="17" t="n">
        <v>3019</v>
      </c>
      <c r="C15" s="18">
        <f>(2351.0/B15*100)</f>
        <v/>
      </c>
      <c r="D15" s="19" t="n">
        <v>668</v>
      </c>
      <c r="E15" s="18" t="n">
        <v>75.64961246999999</v>
      </c>
      <c r="F15" s="20" t="n">
        <v>2.01346696</v>
      </c>
      <c r="G15" s="18" t="n">
        <v>22.53820826</v>
      </c>
      <c r="H15" s="20" t="n">
        <v>1.90627226</v>
      </c>
      <c r="I15" s="18" t="s">
        <v>567</v>
      </c>
      <c r="J15" s="20" t="s">
        <v>567</v>
      </c>
      <c r="K15" s="18" t="n">
        <v>0.15419846</v>
      </c>
      <c r="L15" s="20" t="n">
        <v>0.1546614</v>
      </c>
      <c r="M15" s="18" t="n">
        <v>0</v>
      </c>
      <c r="N15" s="20" t="n">
        <v>0</v>
      </c>
      <c r="O15" s="18" t="n">
        <v>0</v>
      </c>
      <c r="P15" s="20" t="n">
        <v>0</v>
      </c>
      <c r="Q15" s="18" t="n">
        <v>1.65798082</v>
      </c>
      <c r="R15" s="20" t="n">
        <v>0.44939942</v>
      </c>
    </row>
    <row r="16" spans="1:18">
      <c r="A16" s="15" t="s">
        <v>576</v>
      </c>
      <c r="B16" s="17" t="n">
        <v>2997</v>
      </c>
      <c r="C16" s="18">
        <f>(2326.0/B16*100)</f>
        <v/>
      </c>
      <c r="D16" s="19" t="n">
        <v>671</v>
      </c>
      <c r="E16" s="18" t="n">
        <v>73.51310101999999</v>
      </c>
      <c r="F16" s="20" t="n">
        <v>1.71503235</v>
      </c>
      <c r="G16" s="18" t="n">
        <v>19.8067883</v>
      </c>
      <c r="H16" s="20" t="n">
        <v>1.54026391</v>
      </c>
      <c r="I16" s="18" t="s">
        <v>567</v>
      </c>
      <c r="J16" s="20" t="s">
        <v>567</v>
      </c>
      <c r="K16" s="18" t="n">
        <v>0.5565121200000001</v>
      </c>
      <c r="L16" s="20" t="n">
        <v>0.28568198</v>
      </c>
      <c r="M16" s="18" t="n">
        <v>0</v>
      </c>
      <c r="N16" s="20" t="n">
        <v>0</v>
      </c>
      <c r="O16" s="18" t="n">
        <v>0</v>
      </c>
      <c r="P16" s="20" t="n">
        <v>0</v>
      </c>
      <c r="Q16" s="18" t="n">
        <v>6.12359856</v>
      </c>
      <c r="R16" s="20" t="n">
        <v>1.00933609</v>
      </c>
    </row>
    <row r="17" spans="1:18">
      <c r="A17" s="15" t="s">
        <v>577</v>
      </c>
      <c r="B17" s="17" t="n">
        <v>3307</v>
      </c>
      <c r="C17" s="18">
        <f>(2559.0/B17*100)</f>
        <v/>
      </c>
      <c r="D17" s="19" t="n">
        <v>748</v>
      </c>
      <c r="E17" s="18" t="n">
        <v>77.20378899000001</v>
      </c>
      <c r="F17" s="20" t="n">
        <v>1.29864762</v>
      </c>
      <c r="G17" s="18" t="n">
        <v>18.86029565</v>
      </c>
      <c r="H17" s="20" t="n">
        <v>1.32881571</v>
      </c>
      <c r="I17" s="18" t="s">
        <v>567</v>
      </c>
      <c r="J17" s="20" t="s">
        <v>567</v>
      </c>
      <c r="K17" s="18" t="n">
        <v>0.13400863</v>
      </c>
      <c r="L17" s="20" t="n">
        <v>0.13345007</v>
      </c>
      <c r="M17" s="18" t="n">
        <v>0</v>
      </c>
      <c r="N17" s="20" t="n">
        <v>0</v>
      </c>
      <c r="O17" s="18" t="n">
        <v>0</v>
      </c>
      <c r="P17" s="20" t="n">
        <v>0</v>
      </c>
      <c r="Q17" s="18" t="n">
        <v>3.80190673</v>
      </c>
      <c r="R17" s="20" t="n">
        <v>0.7178745399999999</v>
      </c>
    </row>
    <row r="18" spans="1:18">
      <c r="A18" s="15" t="s">
        <v>578</v>
      </c>
      <c r="B18" s="17" t="n">
        <v>2826</v>
      </c>
      <c r="C18" s="18">
        <f>(2219.0/B18*100)</f>
        <v/>
      </c>
      <c r="D18" s="19" t="n">
        <v>607</v>
      </c>
      <c r="E18" s="18" t="n">
        <v>86.03077469</v>
      </c>
      <c r="F18" s="20" t="n">
        <v>1.37417351</v>
      </c>
      <c r="G18" s="18" t="n">
        <v>10.05661748</v>
      </c>
      <c r="H18" s="20" t="n">
        <v>1.27035797</v>
      </c>
      <c r="I18" s="18" t="s">
        <v>567</v>
      </c>
      <c r="J18" s="20" t="s">
        <v>567</v>
      </c>
      <c r="K18" s="18" t="n">
        <v>0.16851356</v>
      </c>
      <c r="L18" s="20" t="n">
        <v>0.17498533</v>
      </c>
      <c r="M18" s="18" t="n">
        <v>0</v>
      </c>
      <c r="N18" s="20" t="n">
        <v>0</v>
      </c>
      <c r="O18" s="18" t="n">
        <v>0</v>
      </c>
      <c r="P18" s="20" t="n">
        <v>0</v>
      </c>
      <c r="Q18" s="18" t="n">
        <v>3.74409427</v>
      </c>
      <c r="R18" s="20" t="n">
        <v>0.73861159</v>
      </c>
    </row>
    <row r="19" spans="1:18">
      <c r="A19" s="15" t="s">
        <v>579</v>
      </c>
      <c r="B19" s="17" t="n">
        <v>2808</v>
      </c>
      <c r="C19" s="18">
        <f>(2213.0/B19*100)</f>
        <v/>
      </c>
      <c r="D19" s="19" t="n">
        <v>595</v>
      </c>
      <c r="E19" s="18" t="n">
        <v>83.40167375999999</v>
      </c>
      <c r="F19" s="20" t="n">
        <v>1.77914384</v>
      </c>
      <c r="G19" s="18" t="n">
        <v>13.62959237</v>
      </c>
      <c r="H19" s="20" t="n">
        <v>1.62805615</v>
      </c>
      <c r="I19" s="18" t="s">
        <v>567</v>
      </c>
      <c r="J19" s="20" t="s">
        <v>567</v>
      </c>
      <c r="K19" s="18" t="n">
        <v>0</v>
      </c>
      <c r="L19" s="20" t="n">
        <v>0</v>
      </c>
      <c r="M19" s="18" t="n">
        <v>0</v>
      </c>
      <c r="N19" s="20" t="n">
        <v>0</v>
      </c>
      <c r="O19" s="18" t="n">
        <v>0</v>
      </c>
      <c r="P19" s="20" t="n">
        <v>0</v>
      </c>
      <c r="Q19" s="18" t="n">
        <v>2.96873387</v>
      </c>
      <c r="R19" s="20" t="n">
        <v>0.71550643</v>
      </c>
    </row>
    <row r="20" spans="1:18">
      <c r="A20" s="15" t="s">
        <v>580</v>
      </c>
      <c r="B20" s="17" t="n">
        <v>1630</v>
      </c>
      <c r="C20" s="18">
        <f>(1259.0/B20*100)</f>
        <v/>
      </c>
      <c r="D20" s="19" t="n">
        <v>371</v>
      </c>
      <c r="E20" s="18" t="n">
        <v>80.81049671</v>
      </c>
      <c r="F20" s="20" t="n">
        <v>1.94077574</v>
      </c>
      <c r="G20" s="18" t="n">
        <v>14.90364571</v>
      </c>
      <c r="H20" s="20" t="n">
        <v>1.59473051</v>
      </c>
      <c r="I20" s="18" t="s">
        <v>567</v>
      </c>
      <c r="J20" s="20" t="s">
        <v>567</v>
      </c>
      <c r="K20" s="18" t="n">
        <v>1.3167707</v>
      </c>
      <c r="L20" s="20" t="n">
        <v>0.56327654</v>
      </c>
      <c r="M20" s="18" t="n">
        <v>0</v>
      </c>
      <c r="N20" s="20" t="n">
        <v>0</v>
      </c>
      <c r="O20" s="18" t="n">
        <v>0</v>
      </c>
      <c r="P20" s="20" t="n">
        <v>0</v>
      </c>
      <c r="Q20" s="18" t="n">
        <v>2.96908688</v>
      </c>
      <c r="R20" s="20" t="n">
        <v>0.88512138</v>
      </c>
    </row>
    <row r="21" spans="1:18">
      <c r="A21" s="15" t="s">
        <v>581</v>
      </c>
      <c r="B21" s="17" t="n">
        <v>2908</v>
      </c>
      <c r="C21" s="18">
        <f>(2289.0/B21*100)</f>
        <v/>
      </c>
      <c r="D21" s="19" t="n">
        <v>619</v>
      </c>
      <c r="E21" s="18" t="n">
        <v>72.57530588</v>
      </c>
      <c r="F21" s="20" t="n">
        <v>1.86643576</v>
      </c>
      <c r="G21" s="18" t="n">
        <v>23.3274487</v>
      </c>
      <c r="H21" s="20" t="n">
        <v>1.86124277</v>
      </c>
      <c r="I21" s="18" t="s">
        <v>567</v>
      </c>
      <c r="J21" s="20" t="s">
        <v>567</v>
      </c>
      <c r="K21" s="18" t="n">
        <v>0</v>
      </c>
      <c r="L21" s="20" t="n">
        <v>0</v>
      </c>
      <c r="M21" s="18" t="n">
        <v>0</v>
      </c>
      <c r="N21" s="20" t="n">
        <v>0</v>
      </c>
      <c r="O21" s="18" t="n">
        <v>0</v>
      </c>
      <c r="P21" s="20" t="n">
        <v>0</v>
      </c>
      <c r="Q21" s="18" t="n">
        <v>4.09724541</v>
      </c>
      <c r="R21" s="20" t="n">
        <v>0.85034032</v>
      </c>
    </row>
    <row r="22" spans="1:18">
      <c r="A22" s="15" t="s">
        <v>582</v>
      </c>
      <c r="B22" s="17" t="n">
        <v>2931</v>
      </c>
      <c r="C22" s="18">
        <f>(2271.0/B22*100)</f>
        <v/>
      </c>
      <c r="D22" s="19" t="n">
        <v>660</v>
      </c>
      <c r="E22" s="18" t="n">
        <v>79.35352252</v>
      </c>
      <c r="F22" s="20" t="n">
        <v>1.68720005</v>
      </c>
      <c r="G22" s="18" t="n">
        <v>14.33996778</v>
      </c>
      <c r="H22" s="20" t="n">
        <v>1.48883889</v>
      </c>
      <c r="I22" s="18" t="s">
        <v>567</v>
      </c>
      <c r="J22" s="20" t="s">
        <v>567</v>
      </c>
      <c r="K22" s="18" t="n">
        <v>0.34516351</v>
      </c>
      <c r="L22" s="20" t="n">
        <v>0.26961829</v>
      </c>
      <c r="M22" s="18" t="n">
        <v>0</v>
      </c>
      <c r="N22" s="20" t="n">
        <v>0</v>
      </c>
      <c r="O22" s="18" t="n">
        <v>0</v>
      </c>
      <c r="P22" s="20" t="n">
        <v>0</v>
      </c>
      <c r="Q22" s="18" t="n">
        <v>5.96134619</v>
      </c>
      <c r="R22" s="20" t="n">
        <v>1.04402388</v>
      </c>
    </row>
    <row r="23" spans="1:18">
      <c r="A23" s="15" t="s">
        <v>583</v>
      </c>
      <c r="B23" s="17" t="n">
        <v>5791</v>
      </c>
      <c r="C23" s="18">
        <f>(4511.0/B23*100)</f>
        <v/>
      </c>
      <c r="D23" s="19" t="n">
        <v>1280</v>
      </c>
      <c r="E23" s="18" t="n">
        <v>73.7064408</v>
      </c>
      <c r="F23" s="20" t="n">
        <v>1.66639579</v>
      </c>
      <c r="G23" s="18" t="n">
        <v>21.62469383</v>
      </c>
      <c r="H23" s="20" t="n">
        <v>1.75499862</v>
      </c>
      <c r="I23" s="18" t="s">
        <v>567</v>
      </c>
      <c r="J23" s="20" t="s">
        <v>567</v>
      </c>
      <c r="K23" s="18" t="n">
        <v>0.31827405</v>
      </c>
      <c r="L23" s="20" t="n">
        <v>0.19360877</v>
      </c>
      <c r="M23" s="18" t="n">
        <v>0.25095311</v>
      </c>
      <c r="N23" s="20" t="n">
        <v>0.29341832</v>
      </c>
      <c r="O23" s="18" t="n">
        <v>0</v>
      </c>
      <c r="P23" s="20" t="n">
        <v>0</v>
      </c>
      <c r="Q23" s="18" t="n">
        <v>4.0996382</v>
      </c>
      <c r="R23" s="20" t="n">
        <v>0.90338366</v>
      </c>
    </row>
    <row r="24" spans="1:18">
      <c r="A24" s="15" t="s">
        <v>584</v>
      </c>
      <c r="B24" s="17" t="n">
        <v>3338</v>
      </c>
      <c r="C24" s="18">
        <f>(2596.0/B24*100)</f>
        <v/>
      </c>
      <c r="D24" s="19" t="n">
        <v>742</v>
      </c>
      <c r="E24" s="18" t="n">
        <v>67.62741314</v>
      </c>
      <c r="F24" s="20" t="n">
        <v>1.82328573</v>
      </c>
      <c r="G24" s="18" t="n">
        <v>28.64627158</v>
      </c>
      <c r="H24" s="20" t="n">
        <v>1.92342183</v>
      </c>
      <c r="I24" s="18" t="s">
        <v>567</v>
      </c>
      <c r="J24" s="20" t="s">
        <v>567</v>
      </c>
      <c r="K24" s="18" t="n">
        <v>0.14162719</v>
      </c>
      <c r="L24" s="20" t="n">
        <v>0.13676846</v>
      </c>
      <c r="M24" s="18" t="n">
        <v>0</v>
      </c>
      <c r="N24" s="20" t="n">
        <v>0</v>
      </c>
      <c r="O24" s="18" t="n">
        <v>0</v>
      </c>
      <c r="P24" s="20" t="n">
        <v>0</v>
      </c>
      <c r="Q24" s="18" t="n">
        <v>3.5846881</v>
      </c>
      <c r="R24" s="20" t="n">
        <v>0.78744171</v>
      </c>
    </row>
    <row r="25" spans="1:18">
      <c r="A25" s="15" t="s">
        <v>585</v>
      </c>
      <c r="B25" s="17" t="n">
        <v>2912</v>
      </c>
      <c r="C25" s="18">
        <f>(2245.0/B25*100)</f>
        <v/>
      </c>
      <c r="D25" s="19" t="n">
        <v>667</v>
      </c>
      <c r="E25" s="18" t="n">
        <v>76.12996398999999</v>
      </c>
      <c r="F25" s="20" t="n">
        <v>1.81405758</v>
      </c>
      <c r="G25" s="18" t="n">
        <v>22.43528145</v>
      </c>
      <c r="H25" s="20" t="n">
        <v>1.86349978</v>
      </c>
      <c r="I25" s="18" t="s">
        <v>567</v>
      </c>
      <c r="J25" s="20" t="s">
        <v>567</v>
      </c>
      <c r="K25" s="18" t="n">
        <v>0.46709647</v>
      </c>
      <c r="L25" s="20" t="n">
        <v>0.35791141</v>
      </c>
      <c r="M25" s="18" t="n">
        <v>0</v>
      </c>
      <c r="N25" s="20" t="n">
        <v>0</v>
      </c>
      <c r="O25" s="18" t="n">
        <v>0</v>
      </c>
      <c r="P25" s="20" t="n">
        <v>0</v>
      </c>
      <c r="Q25" s="18" t="n">
        <v>0.96765809</v>
      </c>
      <c r="R25" s="20" t="n">
        <v>0.45476708</v>
      </c>
    </row>
    <row r="26" spans="1:18">
      <c r="A26" s="15" t="s">
        <v>586</v>
      </c>
      <c r="B26" s="17" t="n">
        <v>2450</v>
      </c>
      <c r="C26" s="18">
        <f>(1902.0/B26*100)</f>
        <v/>
      </c>
      <c r="D26" s="19" t="n">
        <v>548</v>
      </c>
      <c r="E26" s="18" t="n">
        <v>85.75609995000001</v>
      </c>
      <c r="F26" s="20" t="n">
        <v>1.49223254</v>
      </c>
      <c r="G26" s="18" t="n">
        <v>12.55346336</v>
      </c>
      <c r="H26" s="20" t="n">
        <v>1.29676875</v>
      </c>
      <c r="I26" s="18" t="s">
        <v>567</v>
      </c>
      <c r="J26" s="20" t="s">
        <v>567</v>
      </c>
      <c r="K26" s="18" t="n">
        <v>0</v>
      </c>
      <c r="L26" s="20" t="n">
        <v>0</v>
      </c>
      <c r="M26" s="18" t="n">
        <v>0</v>
      </c>
      <c r="N26" s="20" t="n">
        <v>0</v>
      </c>
      <c r="O26" s="18" t="n">
        <v>0</v>
      </c>
      <c r="P26" s="20" t="n">
        <v>0</v>
      </c>
      <c r="Q26" s="18" t="n">
        <v>1.69043669</v>
      </c>
      <c r="R26" s="20" t="n">
        <v>0.52692319</v>
      </c>
    </row>
    <row r="27" spans="1:18">
      <c r="A27" s="15" t="s">
        <v>587</v>
      </c>
      <c r="B27" s="17" t="n">
        <v>2616</v>
      </c>
      <c r="C27" s="18">
        <f>(2051.0/B27*100)</f>
        <v/>
      </c>
      <c r="D27" s="19" t="n">
        <v>565</v>
      </c>
      <c r="E27" s="18" t="n">
        <v>72.44863361</v>
      </c>
      <c r="F27" s="20" t="n">
        <v>2.06445678</v>
      </c>
      <c r="G27" s="18" t="n">
        <v>22.56484241</v>
      </c>
      <c r="H27" s="20" t="n">
        <v>1.71739161</v>
      </c>
      <c r="I27" s="18" t="s">
        <v>567</v>
      </c>
      <c r="J27" s="20" t="s">
        <v>567</v>
      </c>
      <c r="K27" s="18" t="n">
        <v>0.71244715</v>
      </c>
      <c r="L27" s="20" t="n">
        <v>0.35668324</v>
      </c>
      <c r="M27" s="18" t="n">
        <v>0</v>
      </c>
      <c r="N27" s="20" t="n">
        <v>0</v>
      </c>
      <c r="O27" s="18" t="n">
        <v>0</v>
      </c>
      <c r="P27" s="20" t="n">
        <v>0</v>
      </c>
      <c r="Q27" s="18" t="n">
        <v>4.27407682</v>
      </c>
      <c r="R27" s="20" t="n">
        <v>0.89941346</v>
      </c>
    </row>
    <row r="28" spans="1:18">
      <c r="A28" s="15" t="s">
        <v>588</v>
      </c>
      <c r="B28" s="17" t="n">
        <v>3765</v>
      </c>
      <c r="C28" s="18">
        <f>(2992.0/B28*100)</f>
        <v/>
      </c>
      <c r="D28" s="19" t="n">
        <v>773</v>
      </c>
      <c r="E28" s="18" t="n">
        <v>90.44521468000001</v>
      </c>
      <c r="F28" s="20" t="n">
        <v>1.24657474</v>
      </c>
      <c r="G28" s="18" t="n">
        <v>6.78327496</v>
      </c>
      <c r="H28" s="20" t="n">
        <v>1.02640553</v>
      </c>
      <c r="I28" s="18" t="s">
        <v>567</v>
      </c>
      <c r="J28" s="20" t="s">
        <v>567</v>
      </c>
      <c r="K28" s="18" t="n">
        <v>0.11201232</v>
      </c>
      <c r="L28" s="20" t="n">
        <v>0.10878317</v>
      </c>
      <c r="M28" s="18" t="n">
        <v>0.27947986</v>
      </c>
      <c r="N28" s="20" t="n">
        <v>0.21611155</v>
      </c>
      <c r="O28" s="18" t="n">
        <v>0</v>
      </c>
      <c r="P28" s="20" t="n">
        <v>0</v>
      </c>
      <c r="Q28" s="18" t="n">
        <v>2.38001818</v>
      </c>
      <c r="R28" s="20" t="n">
        <v>0.65087174</v>
      </c>
    </row>
    <row r="29" spans="1:18">
      <c r="A29" s="15" t="s">
        <v>589</v>
      </c>
      <c r="B29" s="17" t="n">
        <v>2685</v>
      </c>
      <c r="C29" s="18">
        <f>(2097.0/B29*100)</f>
        <v/>
      </c>
      <c r="D29" s="19" t="n">
        <v>588</v>
      </c>
      <c r="E29" s="18" t="n">
        <v>75.97960070000001</v>
      </c>
      <c r="F29" s="20" t="n">
        <v>1.80257257</v>
      </c>
      <c r="G29" s="18" t="n">
        <v>22.03503008</v>
      </c>
      <c r="H29" s="20" t="n">
        <v>1.61787813</v>
      </c>
      <c r="I29" s="18" t="s">
        <v>567</v>
      </c>
      <c r="J29" s="20" t="s">
        <v>567</v>
      </c>
      <c r="K29" s="18" t="n">
        <v>0.13260537</v>
      </c>
      <c r="L29" s="20" t="n">
        <v>0.13106918</v>
      </c>
      <c r="M29" s="18" t="n">
        <v>0</v>
      </c>
      <c r="N29" s="20" t="n">
        <v>0</v>
      </c>
      <c r="O29" s="18" t="n">
        <v>0</v>
      </c>
      <c r="P29" s="20" t="n">
        <v>0</v>
      </c>
      <c r="Q29" s="18" t="n">
        <v>1.85276385</v>
      </c>
      <c r="R29" s="20" t="n">
        <v>0.5789896</v>
      </c>
    </row>
    <row r="30" spans="1:18">
      <c r="A30" s="15" t="s">
        <v>590</v>
      </c>
      <c r="B30" s="17" t="n">
        <v>2263</v>
      </c>
      <c r="C30" s="18">
        <f>(1777.0/B30*100)</f>
        <v/>
      </c>
      <c r="D30" s="19" t="n">
        <v>486</v>
      </c>
      <c r="E30" s="18" t="n">
        <v>62.95230838</v>
      </c>
      <c r="F30" s="20" t="n">
        <v>1.84987924</v>
      </c>
      <c r="G30" s="18" t="n">
        <v>32.97225905</v>
      </c>
      <c r="H30" s="20" t="n">
        <v>1.92295516</v>
      </c>
      <c r="I30" s="18" t="s">
        <v>567</v>
      </c>
      <c r="J30" s="20" t="s">
        <v>567</v>
      </c>
      <c r="K30" s="18" t="n">
        <v>0.56533819</v>
      </c>
      <c r="L30" s="20" t="n">
        <v>0.32793443</v>
      </c>
      <c r="M30" s="18" t="n">
        <v>0</v>
      </c>
      <c r="N30" s="20" t="n">
        <v>0</v>
      </c>
      <c r="O30" s="18" t="n">
        <v>0</v>
      </c>
      <c r="P30" s="20" t="n">
        <v>0</v>
      </c>
      <c r="Q30" s="18" t="n">
        <v>3.51009438</v>
      </c>
      <c r="R30" s="20" t="n">
        <v>0.83042096</v>
      </c>
    </row>
    <row r="31" spans="1:18">
      <c r="A31" s="15" t="s">
        <v>591</v>
      </c>
      <c r="B31" s="17" t="n">
        <v>2750</v>
      </c>
      <c r="C31" s="18">
        <f>(2139.0/B31*100)</f>
        <v/>
      </c>
      <c r="D31" s="19" t="n">
        <v>611</v>
      </c>
      <c r="E31" s="18" t="n">
        <v>72.62395235</v>
      </c>
      <c r="F31" s="20" t="n">
        <v>1.71015933</v>
      </c>
      <c r="G31" s="18" t="n">
        <v>23.39348441</v>
      </c>
      <c r="H31" s="20" t="n">
        <v>1.77461068</v>
      </c>
      <c r="I31" s="18" t="s">
        <v>567</v>
      </c>
      <c r="J31" s="20" t="s">
        <v>567</v>
      </c>
      <c r="K31" s="18" t="n">
        <v>0.49485413</v>
      </c>
      <c r="L31" s="20" t="n">
        <v>0.29043323</v>
      </c>
      <c r="M31" s="18" t="n">
        <v>0</v>
      </c>
      <c r="N31" s="20" t="n">
        <v>0</v>
      </c>
      <c r="O31" s="18" t="n">
        <v>0</v>
      </c>
      <c r="P31" s="20" t="n">
        <v>0</v>
      </c>
      <c r="Q31" s="18" t="n">
        <v>3.48770911</v>
      </c>
      <c r="R31" s="20" t="n">
        <v>0.68591214</v>
      </c>
    </row>
    <row r="32" spans="1:18">
      <c r="A32" s="15" t="s">
        <v>592</v>
      </c>
      <c r="B32" s="17" t="n">
        <v>2269</v>
      </c>
      <c r="C32" s="18">
        <f>(1737.0/B32*100)</f>
        <v/>
      </c>
      <c r="D32" s="19" t="n">
        <v>532</v>
      </c>
      <c r="E32" s="18" t="n">
        <v>81.90262884000001</v>
      </c>
      <c r="F32" s="20" t="n">
        <v>1.64907441</v>
      </c>
      <c r="G32" s="18" t="n">
        <v>16.47327329</v>
      </c>
      <c r="H32" s="20" t="n">
        <v>1.47827599</v>
      </c>
      <c r="I32" s="18" t="s">
        <v>567</v>
      </c>
      <c r="J32" s="20" t="s">
        <v>567</v>
      </c>
      <c r="K32" s="18" t="n">
        <v>0.16297266</v>
      </c>
      <c r="L32" s="20" t="n">
        <v>0.16294823</v>
      </c>
      <c r="M32" s="18" t="n">
        <v>0</v>
      </c>
      <c r="N32" s="20" t="n">
        <v>0</v>
      </c>
      <c r="O32" s="18" t="n">
        <v>0</v>
      </c>
      <c r="P32" s="20" t="n">
        <v>0</v>
      </c>
      <c r="Q32" s="18" t="n">
        <v>1.46112521</v>
      </c>
      <c r="R32" s="20" t="n">
        <v>0.55928204</v>
      </c>
    </row>
    <row r="33" spans="1:18">
      <c r="A33" s="15" t="s">
        <v>593</v>
      </c>
      <c r="B33" s="17" t="n">
        <v>3674</v>
      </c>
      <c r="C33" s="18">
        <f>(2900.0/B33*100)</f>
        <v/>
      </c>
      <c r="D33" s="19" t="n">
        <v>774</v>
      </c>
      <c r="E33" s="18" t="n">
        <v>74.86377446</v>
      </c>
      <c r="F33" s="20" t="n">
        <v>2.03283048</v>
      </c>
      <c r="G33" s="18" t="n">
        <v>22.39833677</v>
      </c>
      <c r="H33" s="20" t="n">
        <v>1.91769653</v>
      </c>
      <c r="I33" s="18" t="s">
        <v>567</v>
      </c>
      <c r="J33" s="20" t="s">
        <v>567</v>
      </c>
      <c r="K33" s="18" t="n">
        <v>0.25645302</v>
      </c>
      <c r="L33" s="20" t="n">
        <v>0.30631258</v>
      </c>
      <c r="M33" s="18" t="n">
        <v>0.1648587</v>
      </c>
      <c r="N33" s="20" t="n">
        <v>0.16519927</v>
      </c>
      <c r="O33" s="18" t="n">
        <v>0</v>
      </c>
      <c r="P33" s="20" t="n">
        <v>0</v>
      </c>
      <c r="Q33" s="18" t="n">
        <v>2.31657705</v>
      </c>
      <c r="R33" s="20" t="n">
        <v>0.70438443</v>
      </c>
    </row>
    <row r="34" spans="1:18">
      <c r="A34" s="15" t="s">
        <v>594</v>
      </c>
      <c r="B34" s="17" t="n">
        <v>3315</v>
      </c>
      <c r="C34" s="18">
        <f>(2590.0/B34*100)</f>
        <v/>
      </c>
      <c r="D34" s="19" t="n">
        <v>725</v>
      </c>
      <c r="E34" s="18" t="n">
        <v>81.69994708</v>
      </c>
      <c r="F34" s="20" t="n">
        <v>1.24510423</v>
      </c>
      <c r="G34" s="18" t="n">
        <v>14.44893162</v>
      </c>
      <c r="H34" s="20" t="n">
        <v>1.11037044</v>
      </c>
      <c r="I34" s="18" t="s">
        <v>567</v>
      </c>
      <c r="J34" s="20" t="s">
        <v>567</v>
      </c>
      <c r="K34" s="18" t="n">
        <v>0</v>
      </c>
      <c r="L34" s="20" t="n">
        <v>0</v>
      </c>
      <c r="M34" s="18" t="n">
        <v>0.64047235</v>
      </c>
      <c r="N34" s="20" t="n">
        <v>0.3606271</v>
      </c>
      <c r="O34" s="18" t="n">
        <v>0</v>
      </c>
      <c r="P34" s="20" t="n">
        <v>0</v>
      </c>
      <c r="Q34" s="18" t="n">
        <v>3.21064895</v>
      </c>
      <c r="R34" s="20" t="n">
        <v>0.67906882</v>
      </c>
    </row>
    <row r="35" spans="1:18">
      <c r="A35" s="15" t="s">
        <v>595</v>
      </c>
      <c r="B35" s="17" t="n">
        <v>3505</v>
      </c>
      <c r="C35" s="18">
        <f>(2762.0/B35*100)</f>
        <v/>
      </c>
      <c r="D35" s="19" t="n">
        <v>743</v>
      </c>
      <c r="E35" s="18" t="n">
        <v>70.58909874</v>
      </c>
      <c r="F35" s="20" t="n">
        <v>2.16646895</v>
      </c>
      <c r="G35" s="18" t="n">
        <v>25.8672408</v>
      </c>
      <c r="H35" s="20" t="n">
        <v>2.10123604</v>
      </c>
      <c r="I35" s="18" t="s">
        <v>567</v>
      </c>
      <c r="J35" s="20" t="s">
        <v>567</v>
      </c>
      <c r="K35" s="18" t="n">
        <v>0.96372081</v>
      </c>
      <c r="L35" s="20" t="n">
        <v>0.7295767399999999</v>
      </c>
      <c r="M35" s="18" t="n">
        <v>0.4695428</v>
      </c>
      <c r="N35" s="20" t="n">
        <v>0.31785599</v>
      </c>
      <c r="O35" s="18" t="n">
        <v>0</v>
      </c>
      <c r="P35" s="20" t="n">
        <v>0</v>
      </c>
      <c r="Q35" s="18" t="n">
        <v>2.11039685</v>
      </c>
      <c r="R35" s="20" t="n">
        <v>0.66005998</v>
      </c>
    </row>
    <row r="36" spans="1:18">
      <c r="A36" s="15" t="s">
        <v>596</v>
      </c>
      <c r="B36" s="17" t="n">
        <v>3332</v>
      </c>
      <c r="C36" s="18">
        <f>(2632.0/B36*100)</f>
        <v/>
      </c>
      <c r="D36" s="19" t="n">
        <v>700</v>
      </c>
      <c r="E36" s="18" t="n">
        <v>73.21467518999999</v>
      </c>
      <c r="F36" s="20" t="n">
        <v>1.64972213</v>
      </c>
      <c r="G36" s="18" t="n">
        <v>22.16596262</v>
      </c>
      <c r="H36" s="20" t="n">
        <v>1.68175204</v>
      </c>
      <c r="I36" s="18" t="s">
        <v>567</v>
      </c>
      <c r="J36" s="20" t="s">
        <v>567</v>
      </c>
      <c r="K36" s="18" t="n">
        <v>0.24016034</v>
      </c>
      <c r="L36" s="20" t="n">
        <v>0.21684293</v>
      </c>
      <c r="M36" s="18" t="n">
        <v>0.30473167</v>
      </c>
      <c r="N36" s="20" t="n">
        <v>0.23074181</v>
      </c>
      <c r="O36" s="18" t="n">
        <v>0</v>
      </c>
      <c r="P36" s="20" t="n">
        <v>0</v>
      </c>
      <c r="Q36" s="18" t="n">
        <v>4.07447018</v>
      </c>
      <c r="R36" s="20" t="n">
        <v>0.88914054</v>
      </c>
    </row>
    <row r="37" spans="1:18">
      <c r="A37" s="15" t="s">
        <v>597</v>
      </c>
      <c r="B37" s="17" t="n">
        <v>2727</v>
      </c>
      <c r="C37" s="18">
        <f>(2136.0/B37*100)</f>
        <v/>
      </c>
      <c r="D37" s="19" t="n">
        <v>591</v>
      </c>
      <c r="E37" s="18" t="n">
        <v>75.54024999000001</v>
      </c>
      <c r="F37" s="20" t="n">
        <v>1.90256741</v>
      </c>
      <c r="G37" s="18" t="n">
        <v>19.34495515</v>
      </c>
      <c r="H37" s="20" t="n">
        <v>1.64223472</v>
      </c>
      <c r="I37" s="18" t="s">
        <v>567</v>
      </c>
      <c r="J37" s="20" t="s">
        <v>567</v>
      </c>
      <c r="K37" s="18" t="n">
        <v>0.47416415</v>
      </c>
      <c r="L37" s="20" t="n">
        <v>0.27370654</v>
      </c>
      <c r="M37" s="18" t="n">
        <v>0</v>
      </c>
      <c r="N37" s="20" t="n">
        <v>0</v>
      </c>
      <c r="O37" s="18" t="n">
        <v>0</v>
      </c>
      <c r="P37" s="20" t="n">
        <v>0</v>
      </c>
      <c r="Q37" s="18" t="n">
        <v>4.6406307</v>
      </c>
      <c r="R37" s="20" t="n">
        <v>0.81799095</v>
      </c>
    </row>
    <row r="38" spans="1:18">
      <c r="A38" s="15" t="s">
        <v>598</v>
      </c>
      <c r="B38" s="17" t="n">
        <v>3053</v>
      </c>
      <c r="C38" s="18">
        <f>(2394.0/B38*100)</f>
        <v/>
      </c>
      <c r="D38" s="19" t="n">
        <v>659</v>
      </c>
      <c r="E38" s="18" t="n">
        <v>68.48032483999999</v>
      </c>
      <c r="F38" s="20" t="n">
        <v>2.58456976</v>
      </c>
      <c r="G38" s="18" t="n">
        <v>25.36428511</v>
      </c>
      <c r="H38" s="20" t="n">
        <v>2.62902885</v>
      </c>
      <c r="I38" s="18" t="s">
        <v>567</v>
      </c>
      <c r="J38" s="20" t="s">
        <v>567</v>
      </c>
      <c r="K38" s="18" t="n">
        <v>0.23292564</v>
      </c>
      <c r="L38" s="20" t="n">
        <v>0.23200922</v>
      </c>
      <c r="M38" s="18" t="n">
        <v>2.60199611</v>
      </c>
      <c r="N38" s="20" t="n">
        <v>0.75245715</v>
      </c>
      <c r="O38" s="18" t="n">
        <v>0</v>
      </c>
      <c r="P38" s="20" t="n">
        <v>0</v>
      </c>
      <c r="Q38" s="18" t="n">
        <v>3.3204683</v>
      </c>
      <c r="R38" s="20" t="n">
        <v>0.86319351</v>
      </c>
    </row>
    <row r="39" spans="1:18">
      <c r="A39" s="15" t="s">
        <v>599</v>
      </c>
      <c r="B39" s="17" t="n">
        <v>2957</v>
      </c>
      <c r="C39" s="18">
        <f>(2297.0/B39*100)</f>
        <v/>
      </c>
      <c r="D39" s="19" t="n">
        <v>660</v>
      </c>
      <c r="E39" s="18" t="n">
        <v>89.94081099</v>
      </c>
      <c r="F39" s="20" t="n">
        <v>1.46930468</v>
      </c>
      <c r="G39" s="18" t="n">
        <v>5.09082805</v>
      </c>
      <c r="H39" s="20" t="n">
        <v>1.01260053</v>
      </c>
      <c r="I39" s="18" t="s">
        <v>567</v>
      </c>
      <c r="J39" s="20" t="s">
        <v>567</v>
      </c>
      <c r="K39" s="18" t="n">
        <v>0</v>
      </c>
      <c r="L39" s="20" t="n">
        <v>0</v>
      </c>
      <c r="M39" s="18" t="n">
        <v>0</v>
      </c>
      <c r="N39" s="20" t="n">
        <v>0</v>
      </c>
      <c r="O39" s="18" t="n">
        <v>0</v>
      </c>
      <c r="P39" s="20" t="n">
        <v>0</v>
      </c>
      <c r="Q39" s="18" t="n">
        <v>4.96836096</v>
      </c>
      <c r="R39" s="20" t="n">
        <v>1.16623299</v>
      </c>
    </row>
    <row r="40" spans="1:18">
      <c r="A40" s="15" t="s">
        <v>600</v>
      </c>
      <c r="B40" s="17" t="n">
        <v>7235</v>
      </c>
      <c r="C40" s="18">
        <f>(5662.0/B40*100)</f>
        <v/>
      </c>
      <c r="D40" s="19" t="n">
        <v>1573</v>
      </c>
      <c r="E40" s="18" t="n">
        <v>68.51254586</v>
      </c>
      <c r="F40" s="20" t="n">
        <v>1.95662392</v>
      </c>
      <c r="G40" s="18" t="n">
        <v>27.55040499</v>
      </c>
      <c r="H40" s="20" t="n">
        <v>1.81761444</v>
      </c>
      <c r="I40" s="18" t="s">
        <v>567</v>
      </c>
      <c r="J40" s="20" t="s">
        <v>567</v>
      </c>
      <c r="K40" s="18" t="n">
        <v>0.47570925</v>
      </c>
      <c r="L40" s="20" t="n">
        <v>0.30124653</v>
      </c>
      <c r="M40" s="18" t="n">
        <v>0.01083435</v>
      </c>
      <c r="N40" s="20" t="n">
        <v>0.01089062</v>
      </c>
      <c r="O40" s="18" t="n">
        <v>0</v>
      </c>
      <c r="P40" s="20" t="n">
        <v>0</v>
      </c>
      <c r="Q40" s="18" t="n">
        <v>3.45050554</v>
      </c>
      <c r="R40" s="20" t="n">
        <v>0.67370344</v>
      </c>
    </row>
    <row r="41" spans="1:18">
      <c r="A41" s="15" t="s">
        <v>601</v>
      </c>
      <c r="B41" s="17" t="n">
        <v>2858</v>
      </c>
      <c r="C41" s="18">
        <f>(2269.0/B41*100)</f>
        <v/>
      </c>
      <c r="D41" s="19" t="n">
        <v>589</v>
      </c>
      <c r="E41" s="18" t="n">
        <v>76.95524272999999</v>
      </c>
      <c r="F41" s="20" t="n">
        <v>1.71946655</v>
      </c>
      <c r="G41" s="18" t="n">
        <v>20.98298833</v>
      </c>
      <c r="H41" s="20" t="n">
        <v>1.70682467</v>
      </c>
      <c r="I41" s="18" t="s">
        <v>567</v>
      </c>
      <c r="J41" s="20" t="s">
        <v>567</v>
      </c>
      <c r="K41" s="18" t="n">
        <v>0.06906295</v>
      </c>
      <c r="L41" s="20" t="n">
        <v>0.06946244</v>
      </c>
      <c r="M41" s="18" t="n">
        <v>0</v>
      </c>
      <c r="N41" s="20" t="n">
        <v>0</v>
      </c>
      <c r="O41" s="18" t="n">
        <v>0</v>
      </c>
      <c r="P41" s="20" t="n">
        <v>0</v>
      </c>
      <c r="Q41" s="18" t="n">
        <v>1.99270598</v>
      </c>
      <c r="R41" s="20" t="n">
        <v>0.64889577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(9190.0/B46*100)</f>
        <v/>
      </c>
      <c r="D46" s="19" t="n">
        <v>1878</v>
      </c>
      <c r="E46" s="18" t="n">
        <v>80.22054996</v>
      </c>
      <c r="F46" s="20" t="n">
        <v>1.23963784</v>
      </c>
      <c r="G46" s="18" t="n">
        <v>9.85545815</v>
      </c>
      <c r="H46" s="20" t="n">
        <v>0.85668942</v>
      </c>
      <c r="I46" s="18" t="s">
        <v>567</v>
      </c>
      <c r="J46" s="20" t="s">
        <v>567</v>
      </c>
      <c r="K46" s="18" t="n">
        <v>1.40661665</v>
      </c>
      <c r="L46" s="20" t="n">
        <v>0.38962414</v>
      </c>
      <c r="M46" s="18" t="n">
        <v>0.91392822</v>
      </c>
      <c r="N46" s="20" t="n">
        <v>0.34328721</v>
      </c>
      <c r="O46" s="18" t="n">
        <v>0</v>
      </c>
      <c r="P46" s="20" t="n">
        <v>0</v>
      </c>
      <c r="Q46" s="18" t="n">
        <v>7.60344702</v>
      </c>
      <c r="R46" s="20" t="n">
        <v>0.82171449</v>
      </c>
    </row>
    <row r="47" spans="1:18">
      <c r="A47" s="15" t="s">
        <v>607</v>
      </c>
      <c r="B47" s="17" t="n">
        <v>3105</v>
      </c>
      <c r="C47" s="18">
        <f>(2412.0/B47*100)</f>
        <v/>
      </c>
      <c r="D47" s="19" t="n">
        <v>693</v>
      </c>
      <c r="E47" s="18" t="n">
        <v>81.44702615</v>
      </c>
      <c r="F47" s="20" t="n">
        <v>1.77858143</v>
      </c>
      <c r="G47" s="18" t="n">
        <v>12.95463774</v>
      </c>
      <c r="H47" s="20" t="n">
        <v>1.68816418</v>
      </c>
      <c r="I47" s="18" t="s">
        <v>567</v>
      </c>
      <c r="J47" s="20" t="s">
        <v>567</v>
      </c>
      <c r="K47" s="18" t="n">
        <v>0.24412062</v>
      </c>
      <c r="L47" s="20" t="n">
        <v>0.17030933</v>
      </c>
      <c r="M47" s="18" t="n">
        <v>0.14611175</v>
      </c>
      <c r="N47" s="20" t="n">
        <v>0.13855528</v>
      </c>
      <c r="O47" s="18" t="n">
        <v>0</v>
      </c>
      <c r="P47" s="20" t="n">
        <v>0</v>
      </c>
      <c r="Q47" s="18" t="n">
        <v>5.20810374</v>
      </c>
      <c r="R47" s="20" t="n">
        <v>1.00319792</v>
      </c>
    </row>
    <row r="48" spans="1:18">
      <c r="A48" s="15" t="s">
        <v>608</v>
      </c>
      <c r="B48" s="17" t="n">
        <v>5159</v>
      </c>
      <c r="C48" s="18">
        <f>(3976.0/B48*100)</f>
        <v/>
      </c>
      <c r="D48" s="19" t="n">
        <v>1183</v>
      </c>
      <c r="E48" s="18" t="n">
        <v>73.34185012</v>
      </c>
      <c r="F48" s="20" t="n">
        <v>1.59019381</v>
      </c>
      <c r="G48" s="18" t="n">
        <v>25.4323425</v>
      </c>
      <c r="H48" s="20" t="n">
        <v>1.582575</v>
      </c>
      <c r="I48" s="18" t="s">
        <v>567</v>
      </c>
      <c r="J48" s="20" t="s">
        <v>567</v>
      </c>
      <c r="K48" s="18" t="n">
        <v>0.24729103</v>
      </c>
      <c r="L48" s="20" t="n">
        <v>0.20061224</v>
      </c>
      <c r="M48" s="18" t="n">
        <v>0</v>
      </c>
      <c r="N48" s="20" t="n">
        <v>0</v>
      </c>
      <c r="O48" s="18" t="n">
        <v>0</v>
      </c>
      <c r="P48" s="20" t="n">
        <v>0</v>
      </c>
      <c r="Q48" s="18" t="n">
        <v>0.97851635</v>
      </c>
      <c r="R48" s="20" t="n">
        <v>0.32543989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(4455.0/B50*100)</f>
        <v/>
      </c>
      <c r="D50" s="19" t="n">
        <v>1182</v>
      </c>
      <c r="E50" s="18" t="n">
        <v>90.10374177</v>
      </c>
      <c r="F50" s="20" t="n">
        <v>1.13699568</v>
      </c>
      <c r="G50" s="18" t="n">
        <v>7.42771167</v>
      </c>
      <c r="H50" s="20" t="n">
        <v>1.02337264</v>
      </c>
      <c r="I50" s="18" t="s">
        <v>567</v>
      </c>
      <c r="J50" s="20" t="s">
        <v>567</v>
      </c>
      <c r="K50" s="18" t="n">
        <v>0.32073313</v>
      </c>
      <c r="L50" s="20" t="n">
        <v>0.1840073</v>
      </c>
      <c r="M50" s="18" t="n">
        <v>0.20289464</v>
      </c>
      <c r="N50" s="20" t="n">
        <v>0.24176753</v>
      </c>
      <c r="O50" s="18" t="n">
        <v>0</v>
      </c>
      <c r="P50" s="20" t="n">
        <v>0</v>
      </c>
      <c r="Q50" s="18" t="n">
        <v>1.9449188</v>
      </c>
      <c r="R50" s="20" t="n">
        <v>0.49696509</v>
      </c>
    </row>
    <row r="51" spans="1:18">
      <c r="A51" s="15" t="s">
        <v>611</v>
      </c>
      <c r="B51" s="17" t="n">
        <v>3372</v>
      </c>
      <c r="C51" s="18">
        <f>(2748.0/B51*100)</f>
        <v/>
      </c>
      <c r="D51" s="19" t="n">
        <v>624</v>
      </c>
      <c r="E51" s="18" t="n">
        <v>80.70063665000001</v>
      </c>
      <c r="F51" s="20" t="n">
        <v>1.62523011</v>
      </c>
      <c r="G51" s="18" t="n">
        <v>15.15432991</v>
      </c>
      <c r="H51" s="20" t="n">
        <v>1.46689759</v>
      </c>
      <c r="I51" s="18" t="s">
        <v>567</v>
      </c>
      <c r="J51" s="20" t="s">
        <v>567</v>
      </c>
      <c r="K51" s="18" t="n">
        <v>0</v>
      </c>
      <c r="L51" s="20" t="n">
        <v>0</v>
      </c>
      <c r="M51" s="18" t="n">
        <v>0.34454794</v>
      </c>
      <c r="N51" s="20" t="n">
        <v>0.33563955</v>
      </c>
      <c r="O51" s="18" t="n">
        <v>0</v>
      </c>
      <c r="P51" s="20" t="n">
        <v>0</v>
      </c>
      <c r="Q51" s="18" t="n">
        <v>3.80048551</v>
      </c>
      <c r="R51" s="20" t="n">
        <v>0.66419445</v>
      </c>
    </row>
    <row r="52" spans="1:18">
      <c r="A52" s="15" t="s">
        <v>612</v>
      </c>
      <c r="B52" s="17" t="n">
        <v>2796</v>
      </c>
      <c r="C52" s="18">
        <f>(2211.0/B52*100)</f>
        <v/>
      </c>
      <c r="D52" s="19" t="n">
        <v>585</v>
      </c>
      <c r="E52" s="18" t="n">
        <v>79.88605856</v>
      </c>
      <c r="F52" s="20" t="n">
        <v>1.76160465</v>
      </c>
      <c r="G52" s="18" t="n">
        <v>16.67990654</v>
      </c>
      <c r="H52" s="20" t="n">
        <v>1.60519295</v>
      </c>
      <c r="I52" s="18" t="s">
        <v>567</v>
      </c>
      <c r="J52" s="20" t="s">
        <v>567</v>
      </c>
      <c r="K52" s="18" t="n">
        <v>0.11851602</v>
      </c>
      <c r="L52" s="20" t="n">
        <v>0.11511273</v>
      </c>
      <c r="M52" s="18" t="n">
        <v>0</v>
      </c>
      <c r="N52" s="20" t="n">
        <v>0</v>
      </c>
      <c r="O52" s="18" t="n">
        <v>0</v>
      </c>
      <c r="P52" s="20" t="n">
        <v>0</v>
      </c>
      <c r="Q52" s="18" t="n">
        <v>3.31551888</v>
      </c>
      <c r="R52" s="20" t="n">
        <v>0.79805095</v>
      </c>
    </row>
    <row r="53" spans="1:18">
      <c r="A53" s="15" t="s">
        <v>613</v>
      </c>
      <c r="B53" s="17" t="n">
        <v>2811</v>
      </c>
      <c r="C53" s="18">
        <f>(2206.0/B53*100)</f>
        <v/>
      </c>
      <c r="D53" s="19" t="n">
        <v>605</v>
      </c>
      <c r="E53" s="18" t="n">
        <v>80.2897045</v>
      </c>
      <c r="F53" s="20" t="n">
        <v>1.36193431</v>
      </c>
      <c r="G53" s="18" t="n">
        <v>11.39069556</v>
      </c>
      <c r="H53" s="20" t="n">
        <v>1.08134557</v>
      </c>
      <c r="I53" s="18" t="s">
        <v>567</v>
      </c>
      <c r="J53" s="20" t="s">
        <v>567</v>
      </c>
      <c r="K53" s="18" t="n">
        <v>0.71860771</v>
      </c>
      <c r="L53" s="20" t="n">
        <v>0.33543369</v>
      </c>
      <c r="M53" s="18" t="n">
        <v>0</v>
      </c>
      <c r="N53" s="20" t="n">
        <v>0</v>
      </c>
      <c r="O53" s="18" t="n">
        <v>0</v>
      </c>
      <c r="P53" s="20" t="n">
        <v>0</v>
      </c>
      <c r="Q53" s="18" t="n">
        <v>7.60099223</v>
      </c>
      <c r="R53" s="20" t="n">
        <v>1.04312167</v>
      </c>
    </row>
    <row r="54" spans="1:18">
      <c r="A54" s="15" t="s">
        <v>614</v>
      </c>
      <c r="B54" s="17" t="n">
        <v>2266</v>
      </c>
      <c r="C54" s="18">
        <f>(1776.0/B54*100)</f>
        <v/>
      </c>
      <c r="D54" s="19" t="n">
        <v>490</v>
      </c>
      <c r="E54" s="18" t="n">
        <v>75.88453079999999</v>
      </c>
      <c r="F54" s="20" t="n">
        <v>2.21657393</v>
      </c>
      <c r="G54" s="18" t="n">
        <v>2.20281414</v>
      </c>
      <c r="H54" s="20" t="n">
        <v>0.80902139</v>
      </c>
      <c r="I54" s="18" t="s">
        <v>567</v>
      </c>
      <c r="J54" s="20" t="s">
        <v>567</v>
      </c>
      <c r="K54" s="18" t="n">
        <v>13.76767037</v>
      </c>
      <c r="L54" s="20" t="n">
        <v>1.68260371</v>
      </c>
      <c r="M54" s="18" t="n">
        <v>0.61651188</v>
      </c>
      <c r="N54" s="20" t="n">
        <v>0.49422652</v>
      </c>
      <c r="O54" s="18" t="n">
        <v>0</v>
      </c>
      <c r="P54" s="20" t="n">
        <v>0</v>
      </c>
      <c r="Q54" s="18" t="n">
        <v>7.52847282</v>
      </c>
      <c r="R54" s="20" t="n">
        <v>1.36293333</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(2101.0/B56*100)</f>
        <v/>
      </c>
      <c r="D56" s="19" t="n">
        <v>583</v>
      </c>
      <c r="E56" s="18" t="n">
        <v>76.43957826</v>
      </c>
      <c r="F56" s="20" t="n">
        <v>1.69897306</v>
      </c>
      <c r="G56" s="18" t="n">
        <v>22.49628141</v>
      </c>
      <c r="H56" s="20" t="n">
        <v>1.68513666</v>
      </c>
      <c r="I56" s="18" t="s">
        <v>567</v>
      </c>
      <c r="J56" s="20" t="s">
        <v>567</v>
      </c>
      <c r="K56" s="18" t="n">
        <v>0.37049563</v>
      </c>
      <c r="L56" s="20" t="n">
        <v>0.28833038</v>
      </c>
      <c r="M56" s="18" t="n">
        <v>0</v>
      </c>
      <c r="N56" s="20" t="n">
        <v>0</v>
      </c>
      <c r="O56" s="18" t="n">
        <v>0</v>
      </c>
      <c r="P56" s="20" t="n">
        <v>0</v>
      </c>
      <c r="Q56" s="18" t="n">
        <v>0.69364469</v>
      </c>
      <c r="R56" s="20" t="n">
        <v>0.305576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(2560.0/B61*100)</f>
        <v/>
      </c>
      <c r="D61" s="19" t="n">
        <v>764</v>
      </c>
      <c r="E61" s="18" t="n">
        <v>86.16416092</v>
      </c>
      <c r="F61" s="20" t="n">
        <v>1.58002256</v>
      </c>
      <c r="G61" s="18" t="n">
        <v>10.82883921</v>
      </c>
      <c r="H61" s="20" t="n">
        <v>1.50256826</v>
      </c>
      <c r="I61" s="18" t="s">
        <v>567</v>
      </c>
      <c r="J61" s="20" t="s">
        <v>567</v>
      </c>
      <c r="K61" s="18" t="n">
        <v>0.28357508</v>
      </c>
      <c r="L61" s="20" t="n">
        <v>0.17101271</v>
      </c>
      <c r="M61" s="18" t="n">
        <v>0</v>
      </c>
      <c r="N61" s="20" t="n">
        <v>0</v>
      </c>
      <c r="O61" s="18" t="n">
        <v>0</v>
      </c>
      <c r="P61" s="20" t="n">
        <v>0</v>
      </c>
      <c r="Q61" s="18" t="n">
        <v>2.72342479</v>
      </c>
      <c r="R61" s="20" t="n">
        <v>0.5926169100000001</v>
      </c>
    </row>
    <row r="62" spans="1:18">
      <c r="A62" s="15" t="s">
        <v>622</v>
      </c>
      <c r="B62" s="17" t="n">
        <v>2246</v>
      </c>
      <c r="C62" s="18">
        <f>(1766.0/B62*100)</f>
        <v/>
      </c>
      <c r="D62" s="19" t="n">
        <v>480</v>
      </c>
      <c r="E62" s="18" t="n">
        <v>82.50115157</v>
      </c>
      <c r="F62" s="20" t="n">
        <v>1.96485515</v>
      </c>
      <c r="G62" s="18" t="n">
        <v>16.4477245</v>
      </c>
      <c r="H62" s="20" t="n">
        <v>1.88448966</v>
      </c>
      <c r="I62" s="18" t="s">
        <v>567</v>
      </c>
      <c r="J62" s="20" t="s">
        <v>567</v>
      </c>
      <c r="K62" s="18" t="n">
        <v>0.21402707</v>
      </c>
      <c r="L62" s="20" t="n">
        <v>0.21400676</v>
      </c>
      <c r="M62" s="18" t="n">
        <v>0.20689339</v>
      </c>
      <c r="N62" s="20" t="n">
        <v>0.20564492</v>
      </c>
      <c r="O62" s="18" t="n">
        <v>0</v>
      </c>
      <c r="P62" s="20" t="n">
        <v>0</v>
      </c>
      <c r="Q62" s="18" t="n">
        <v>0.63020347</v>
      </c>
      <c r="R62" s="20" t="n">
        <v>0.36160953</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(2254.0/B66*100)</f>
        <v/>
      </c>
      <c r="D66" s="19" t="n">
        <v>640</v>
      </c>
      <c r="E66" s="18" t="n">
        <v>78.29998198</v>
      </c>
      <c r="F66" s="20" t="n">
        <v>1.65994373</v>
      </c>
      <c r="G66" s="18" t="n">
        <v>8.963868789999999</v>
      </c>
      <c r="H66" s="20" t="n">
        <v>1.29437233</v>
      </c>
      <c r="I66" s="18" t="s">
        <v>567</v>
      </c>
      <c r="J66" s="20" t="s">
        <v>567</v>
      </c>
      <c r="K66" s="18" t="n">
        <v>0.62129337</v>
      </c>
      <c r="L66" s="20" t="n">
        <v>0.31249138</v>
      </c>
      <c r="M66" s="18" t="n">
        <v>0.56676921</v>
      </c>
      <c r="N66" s="20" t="n">
        <v>0.28678667</v>
      </c>
      <c r="O66" s="18" t="n">
        <v>0</v>
      </c>
      <c r="P66" s="20" t="n">
        <v>0</v>
      </c>
      <c r="Q66" s="18" t="n">
        <v>11.54808664</v>
      </c>
      <c r="R66" s="20" t="n">
        <v>1.15375191</v>
      </c>
    </row>
    <row r="67" spans="1:18">
      <c r="A67" s="15" t="s">
        <v>627</v>
      </c>
      <c r="B67" s="17" t="n">
        <v>3511</v>
      </c>
      <c r="C67" s="18">
        <f>(2799.0/B67*100)</f>
        <v/>
      </c>
      <c r="D67" s="19" t="n">
        <v>712</v>
      </c>
      <c r="E67" s="18" t="n">
        <v>91.40806361999999</v>
      </c>
      <c r="F67" s="20" t="n">
        <v>1.04362976</v>
      </c>
      <c r="G67" s="18" t="n">
        <v>4.98716793</v>
      </c>
      <c r="H67" s="20" t="n">
        <v>0.8633421999999999</v>
      </c>
      <c r="I67" s="18" t="s">
        <v>567</v>
      </c>
      <c r="J67" s="20" t="s">
        <v>567</v>
      </c>
      <c r="K67" s="18" t="n">
        <v>0.12641089</v>
      </c>
      <c r="L67" s="20" t="n">
        <v>0.12677928</v>
      </c>
      <c r="M67" s="18" t="n">
        <v>0</v>
      </c>
      <c r="N67" s="20" t="n">
        <v>0</v>
      </c>
      <c r="O67" s="18" t="n">
        <v>0</v>
      </c>
      <c r="P67" s="20" t="n">
        <v>0</v>
      </c>
      <c r="Q67" s="18" t="n">
        <v>3.47835756</v>
      </c>
      <c r="R67" s="20" t="n">
        <v>0.6671551100000001</v>
      </c>
    </row>
    <row r="68" spans="1:18">
      <c r="A68" s="15" t="s">
        <v>628</v>
      </c>
      <c r="B68" s="17" t="n">
        <v>6049</v>
      </c>
      <c r="C68" s="18">
        <f>(4691.0/B68*100)</f>
        <v/>
      </c>
      <c r="D68" s="19" t="n">
        <v>1358</v>
      </c>
      <c r="E68" s="18" t="n">
        <v>83.36340441</v>
      </c>
      <c r="F68" s="20" t="n">
        <v>1.00741606</v>
      </c>
      <c r="G68" s="18" t="n">
        <v>6.30765999</v>
      </c>
      <c r="H68" s="20" t="n">
        <v>0.60931213</v>
      </c>
      <c r="I68" s="18" t="s">
        <v>567</v>
      </c>
      <c r="J68" s="20" t="s">
        <v>567</v>
      </c>
      <c r="K68" s="18" t="n">
        <v>1.61042733</v>
      </c>
      <c r="L68" s="20" t="n">
        <v>0.35490892</v>
      </c>
      <c r="M68" s="18" t="n">
        <v>0</v>
      </c>
      <c r="N68" s="20" t="n">
        <v>0</v>
      </c>
      <c r="O68" s="18" t="n">
        <v>0</v>
      </c>
      <c r="P68" s="20" t="n">
        <v>0</v>
      </c>
      <c r="Q68" s="18" t="n">
        <v>8.718508269999999</v>
      </c>
      <c r="R68" s="20" t="n">
        <v>0.76606159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(2294.0/B70*100)</f>
        <v/>
      </c>
      <c r="D70" s="19" t="n">
        <v>635</v>
      </c>
      <c r="E70" s="18" t="n">
        <v>77.46861354000001</v>
      </c>
      <c r="F70" s="20" t="n">
        <v>1.77798476</v>
      </c>
      <c r="G70" s="18" t="n">
        <v>19.45732597</v>
      </c>
      <c r="H70" s="20" t="n">
        <v>1.91608093</v>
      </c>
      <c r="I70" s="18" t="s">
        <v>567</v>
      </c>
      <c r="J70" s="20" t="s">
        <v>567</v>
      </c>
      <c r="K70" s="18" t="n">
        <v>0.26439286</v>
      </c>
      <c r="L70" s="20" t="n">
        <v>0.15059243</v>
      </c>
      <c r="M70" s="18" t="n">
        <v>0.17742066</v>
      </c>
      <c r="N70" s="20" t="n">
        <v>0.17827484</v>
      </c>
      <c r="O70" s="18" t="n">
        <v>0</v>
      </c>
      <c r="P70" s="20" t="n">
        <v>0</v>
      </c>
      <c r="Q70" s="18" t="n">
        <v>2.63224698</v>
      </c>
      <c r="R70" s="20" t="n">
        <v>0.60360266</v>
      </c>
    </row>
    <row r="71" spans="1:18">
      <c r="A71" s="15" t="s">
        <v>631</v>
      </c>
      <c r="B71" s="17" t="n">
        <v>3142</v>
      </c>
      <c r="C71" s="18">
        <f>(2441.0/B71*100)</f>
        <v/>
      </c>
      <c r="D71" s="19" t="n">
        <v>701</v>
      </c>
      <c r="E71" s="18" t="n">
        <v>63.36594753</v>
      </c>
      <c r="F71" s="20" t="n">
        <v>1.81548211</v>
      </c>
      <c r="G71" s="18" t="n">
        <v>35.22650176</v>
      </c>
      <c r="H71" s="20" t="n">
        <v>1.83266263</v>
      </c>
      <c r="I71" s="18" t="s">
        <v>567</v>
      </c>
      <c r="J71" s="20" t="s">
        <v>567</v>
      </c>
      <c r="K71" s="18" t="n">
        <v>0.18925325</v>
      </c>
      <c r="L71" s="20" t="n">
        <v>0.13800869</v>
      </c>
      <c r="M71" s="18" t="n">
        <v>0</v>
      </c>
      <c r="N71" s="20" t="n">
        <v>0</v>
      </c>
      <c r="O71" s="18" t="n">
        <v>0</v>
      </c>
      <c r="P71" s="20" t="n">
        <v>0</v>
      </c>
      <c r="Q71" s="18" t="n">
        <v>1.21829747</v>
      </c>
      <c r="R71" s="20" t="n">
        <v>0.40828827</v>
      </c>
    </row>
    <row r="72" spans="1:18">
      <c r="A72" s="15" t="s">
        <v>632</v>
      </c>
      <c r="B72" s="17" t="n">
        <v>3889</v>
      </c>
      <c r="C72" s="18">
        <f>(3037.0/B72*100)</f>
        <v/>
      </c>
      <c r="D72" s="19" t="n">
        <v>852</v>
      </c>
      <c r="E72" s="18" t="n">
        <v>74.34677689999999</v>
      </c>
      <c r="F72" s="20" t="n">
        <v>1.91342285</v>
      </c>
      <c r="G72" s="18" t="n">
        <v>24.30577257</v>
      </c>
      <c r="H72" s="20" t="n">
        <v>1.90292396</v>
      </c>
      <c r="I72" s="18" t="s">
        <v>567</v>
      </c>
      <c r="J72" s="20" t="s">
        <v>567</v>
      </c>
      <c r="K72" s="18" t="n">
        <v>0.07721187</v>
      </c>
      <c r="L72" s="20" t="n">
        <v>0.07967167</v>
      </c>
      <c r="M72" s="18" t="n">
        <v>0</v>
      </c>
      <c r="N72" s="20" t="n">
        <v>0</v>
      </c>
      <c r="O72" s="18" t="n">
        <v>0</v>
      </c>
      <c r="P72" s="20" t="n">
        <v>0</v>
      </c>
      <c r="Q72" s="18" t="n">
        <v>1.27023866</v>
      </c>
      <c r="R72" s="20" t="n">
        <v>0.42852418</v>
      </c>
    </row>
    <row r="73" spans="1:18">
      <c r="A73" s="15" t="s">
        <v>633</v>
      </c>
      <c r="B73" s="17" t="n">
        <v>3597</v>
      </c>
      <c r="C73" s="18">
        <f>(2825.0/B73*100)</f>
        <v/>
      </c>
      <c r="D73" s="19" t="n">
        <v>772</v>
      </c>
      <c r="E73" s="18" t="n">
        <v>96.8525556</v>
      </c>
      <c r="F73" s="20" t="n">
        <v>0.63889534</v>
      </c>
      <c r="G73" s="18" t="n">
        <v>1.43121608</v>
      </c>
      <c r="H73" s="20" t="n">
        <v>0.3986855</v>
      </c>
      <c r="I73" s="18" t="s">
        <v>567</v>
      </c>
      <c r="J73" s="20" t="s">
        <v>567</v>
      </c>
      <c r="K73" s="18" t="n">
        <v>0</v>
      </c>
      <c r="L73" s="20" t="n">
        <v>0</v>
      </c>
      <c r="M73" s="18" t="n">
        <v>0.18646607</v>
      </c>
      <c r="N73" s="20" t="n">
        <v>0.1794014</v>
      </c>
      <c r="O73" s="18" t="n">
        <v>0</v>
      </c>
      <c r="P73" s="20" t="n">
        <v>0</v>
      </c>
      <c r="Q73" s="18" t="n">
        <v>1.52976224</v>
      </c>
      <c r="R73" s="20" t="n">
        <v>0.50918069</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(1901.0/B75*100)</f>
        <v/>
      </c>
      <c r="D75" s="19" t="n">
        <v>505</v>
      </c>
      <c r="E75" s="18" t="n">
        <v>90.00070504999999</v>
      </c>
      <c r="F75" s="20" t="n">
        <v>1.5225485</v>
      </c>
      <c r="G75" s="18" t="n">
        <v>1.49352306</v>
      </c>
      <c r="H75" s="20" t="n">
        <v>0.62967564</v>
      </c>
      <c r="I75" s="18" t="s">
        <v>567</v>
      </c>
      <c r="J75" s="20" t="s">
        <v>567</v>
      </c>
      <c r="K75" s="18" t="n">
        <v>2.55564933</v>
      </c>
      <c r="L75" s="20" t="n">
        <v>0.7016322699999999</v>
      </c>
      <c r="M75" s="18" t="n">
        <v>0.77165409</v>
      </c>
      <c r="N75" s="20" t="n">
        <v>0.37805887</v>
      </c>
      <c r="O75" s="18" t="n">
        <v>0</v>
      </c>
      <c r="P75" s="20" t="n">
        <v>0</v>
      </c>
      <c r="Q75" s="18" t="n">
        <v>5.17846847</v>
      </c>
      <c r="R75" s="20" t="n">
        <v>1.08156368</v>
      </c>
    </row>
    <row r="76" spans="1:18">
      <c r="A76" s="15" t="s">
        <v>636</v>
      </c>
      <c r="B76" s="17" t="n">
        <v>7052</v>
      </c>
      <c r="C76" s="18">
        <f>(5499.0/B76*100)</f>
        <v/>
      </c>
      <c r="D76" s="19" t="n">
        <v>1553</v>
      </c>
      <c r="E76" s="18" t="n">
        <v>84.73126626</v>
      </c>
      <c r="F76" s="20" t="n">
        <v>0.97197064</v>
      </c>
      <c r="G76" s="18" t="n">
        <v>10.90346021</v>
      </c>
      <c r="H76" s="20" t="n">
        <v>0.98435725</v>
      </c>
      <c r="I76" s="18" t="s">
        <v>567</v>
      </c>
      <c r="J76" s="20" t="s">
        <v>567</v>
      </c>
      <c r="K76" s="18" t="n">
        <v>0.9681097400000001</v>
      </c>
      <c r="L76" s="20" t="n">
        <v>0.30960172</v>
      </c>
      <c r="M76" s="18" t="n">
        <v>0.0327573</v>
      </c>
      <c r="N76" s="20" t="n">
        <v>0.03271439</v>
      </c>
      <c r="O76" s="18" t="n">
        <v>0</v>
      </c>
      <c r="P76" s="20" t="n">
        <v>0</v>
      </c>
      <c r="Q76" s="18" t="n">
        <v>3.36440649</v>
      </c>
      <c r="R76" s="20" t="n">
        <v>0.59139928</v>
      </c>
    </row>
    <row r="77" spans="1:18">
      <c r="A77" s="15" t="s">
        <v>637</v>
      </c>
      <c r="B77" s="17" t="n">
        <v>2908</v>
      </c>
      <c r="C77" s="18">
        <f>(2357.0/B77*100)</f>
        <v/>
      </c>
      <c r="D77" s="19" t="n">
        <v>551</v>
      </c>
      <c r="E77" s="18" t="n">
        <v>84.02910276999999</v>
      </c>
      <c r="F77" s="20" t="n">
        <v>1.64438889</v>
      </c>
      <c r="G77" s="18" t="n">
        <v>7.91846598</v>
      </c>
      <c r="H77" s="20" t="n">
        <v>1.2933092</v>
      </c>
      <c r="I77" s="18" t="s">
        <v>567</v>
      </c>
      <c r="J77" s="20" t="s">
        <v>567</v>
      </c>
      <c r="K77" s="18" t="n">
        <v>1.14463964</v>
      </c>
      <c r="L77" s="20" t="n">
        <v>0.48969652</v>
      </c>
      <c r="M77" s="18" t="n">
        <v>0</v>
      </c>
      <c r="N77" s="20" t="n">
        <v>0</v>
      </c>
      <c r="O77" s="18" t="n">
        <v>0</v>
      </c>
      <c r="P77" s="20" t="n">
        <v>0</v>
      </c>
      <c r="Q77" s="18" t="n">
        <v>6.90779161</v>
      </c>
      <c r="R77" s="20" t="n">
        <v>1.11832631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(3273.0/B81*100)</f>
        <v/>
      </c>
      <c r="D81" s="19" t="n">
        <v>890</v>
      </c>
      <c r="E81" s="18" t="n">
        <v>95.24660916000001</v>
      </c>
      <c r="F81" s="20" t="n">
        <v>0.9318453799999999</v>
      </c>
      <c r="G81" s="18" t="n">
        <v>4.44504262</v>
      </c>
      <c r="H81" s="20" t="n">
        <v>0.89214237</v>
      </c>
      <c r="I81" s="18" t="s">
        <v>567</v>
      </c>
      <c r="J81" s="20" t="s">
        <v>567</v>
      </c>
      <c r="K81" s="18" t="n">
        <v>0</v>
      </c>
      <c r="L81" s="20" t="n">
        <v>0</v>
      </c>
      <c r="M81" s="18" t="n">
        <v>0</v>
      </c>
      <c r="N81" s="20" t="n">
        <v>0</v>
      </c>
      <c r="O81" s="18" t="n">
        <v>0</v>
      </c>
      <c r="P81" s="20" t="n">
        <v>0</v>
      </c>
      <c r="Q81" s="18" t="n">
        <v>0.30834822</v>
      </c>
      <c r="R81" s="20" t="n">
        <v>0.17601386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(5738.0/B7*100)</f>
        <v/>
      </c>
      <c r="D7" s="19" t="n">
        <v>1629</v>
      </c>
      <c r="E7" s="18" t="n">
        <v>74.51092997000001</v>
      </c>
      <c r="F7" s="20" t="n">
        <v>1.17135785</v>
      </c>
      <c r="G7" s="18" t="n">
        <v>21.31956418</v>
      </c>
      <c r="H7" s="20" t="n">
        <v>1.08390781</v>
      </c>
      <c r="I7" s="18" t="s">
        <v>567</v>
      </c>
      <c r="J7" s="20" t="s">
        <v>567</v>
      </c>
      <c r="K7" s="18" t="n">
        <v>0.30873908</v>
      </c>
      <c r="L7" s="20" t="n">
        <v>0.16371886</v>
      </c>
      <c r="M7" s="18" t="n">
        <v>0.01568246</v>
      </c>
      <c r="N7" s="20" t="n">
        <v>0.01090927</v>
      </c>
      <c r="O7" s="18" t="n">
        <v>0</v>
      </c>
      <c r="P7" s="20" t="n">
        <v>0</v>
      </c>
      <c r="Q7" s="18" t="n">
        <v>3.84508431</v>
      </c>
      <c r="R7" s="20" t="n">
        <v>0.551692</v>
      </c>
    </row>
    <row r="8" spans="1:18">
      <c r="A8" s="15" t="s">
        <v>568</v>
      </c>
      <c r="B8" s="17" t="n">
        <v>3564</v>
      </c>
      <c r="C8" s="18">
        <f>(2776.0/B8*100)</f>
        <v/>
      </c>
      <c r="D8" s="19" t="n">
        <v>788</v>
      </c>
      <c r="E8" s="18" t="n">
        <v>84.49675237</v>
      </c>
      <c r="F8" s="20" t="n">
        <v>1.56446688</v>
      </c>
      <c r="G8" s="18" t="n">
        <v>12.27150002</v>
      </c>
      <c r="H8" s="20" t="n">
        <v>1.17971874</v>
      </c>
      <c r="I8" s="18" t="s">
        <v>567</v>
      </c>
      <c r="J8" s="20" t="s">
        <v>567</v>
      </c>
      <c r="K8" s="18" t="n">
        <v>0</v>
      </c>
      <c r="L8" s="20" t="n">
        <v>0</v>
      </c>
      <c r="M8" s="18" t="n">
        <v>0</v>
      </c>
      <c r="N8" s="20" t="n">
        <v>0</v>
      </c>
      <c r="O8" s="18" t="n">
        <v>0</v>
      </c>
      <c r="P8" s="20" t="n">
        <v>0</v>
      </c>
      <c r="Q8" s="18" t="n">
        <v>3.2317476</v>
      </c>
      <c r="R8" s="20" t="n">
        <v>0.9109017700000001</v>
      </c>
    </row>
    <row r="9" spans="1:18">
      <c r="A9" s="15" t="s">
        <v>569</v>
      </c>
      <c r="B9" s="17" t="n">
        <v>4899</v>
      </c>
      <c r="C9" s="18">
        <f>(3870.0/B9*100)</f>
        <v/>
      </c>
      <c r="D9" s="19" t="n">
        <v>1029</v>
      </c>
      <c r="E9" s="18" t="n">
        <v>79.0213763</v>
      </c>
      <c r="F9" s="20" t="n">
        <v>1.21057452</v>
      </c>
      <c r="G9" s="18" t="n">
        <v>17.05562971</v>
      </c>
      <c r="H9" s="20" t="n">
        <v>1.21456483</v>
      </c>
      <c r="I9" s="18" t="s">
        <v>567</v>
      </c>
      <c r="J9" s="20" t="s">
        <v>567</v>
      </c>
      <c r="K9" s="18" t="n">
        <v>0.30185568</v>
      </c>
      <c r="L9" s="20" t="n">
        <v>0.14216971</v>
      </c>
      <c r="M9" s="18" t="n">
        <v>0.25416287</v>
      </c>
      <c r="N9" s="20" t="n">
        <v>0.14963817</v>
      </c>
      <c r="O9" s="18" t="n">
        <v>0</v>
      </c>
      <c r="P9" s="20" t="n">
        <v>0</v>
      </c>
      <c r="Q9" s="18" t="n">
        <v>3.36697545</v>
      </c>
      <c r="R9" s="20" t="n">
        <v>0.64998165</v>
      </c>
    </row>
    <row r="10" spans="1:18">
      <c r="A10" s="15" t="s">
        <v>570</v>
      </c>
      <c r="B10" s="17" t="n">
        <v>10036</v>
      </c>
      <c r="C10" s="18">
        <f>(7763.0/B10*100)</f>
        <v/>
      </c>
      <c r="D10" s="19" t="n">
        <v>2273</v>
      </c>
      <c r="E10" s="18" t="n">
        <v>71.02500014</v>
      </c>
      <c r="F10" s="20" t="n">
        <v>1.357303</v>
      </c>
      <c r="G10" s="18" t="n">
        <v>26.38670842</v>
      </c>
      <c r="H10" s="20" t="n">
        <v>1.34042792</v>
      </c>
      <c r="I10" s="18" t="s">
        <v>567</v>
      </c>
      <c r="J10" s="20" t="s">
        <v>567</v>
      </c>
      <c r="K10" s="18" t="n">
        <v>0.1361531</v>
      </c>
      <c r="L10" s="20" t="n">
        <v>0.09729446</v>
      </c>
      <c r="M10" s="18" t="n">
        <v>0.04014129</v>
      </c>
      <c r="N10" s="20" t="n">
        <v>0.02838364</v>
      </c>
      <c r="O10" s="18" t="n">
        <v>0</v>
      </c>
      <c r="P10" s="20" t="n">
        <v>0</v>
      </c>
      <c r="Q10" s="18" t="n">
        <v>2.41199705</v>
      </c>
      <c r="R10" s="20" t="n">
        <v>0.45228366</v>
      </c>
    </row>
    <row r="11" spans="1:18">
      <c r="A11" s="15" t="s">
        <v>571</v>
      </c>
      <c r="B11" s="17" t="n">
        <v>3553</v>
      </c>
      <c r="C11" s="18">
        <f>(2760.0/B11*100)</f>
        <v/>
      </c>
      <c r="D11" s="19" t="n">
        <v>793</v>
      </c>
      <c r="E11" s="18" t="n">
        <v>82.66134452</v>
      </c>
      <c r="F11" s="20" t="n">
        <v>1.43655187</v>
      </c>
      <c r="G11" s="18" t="n">
        <v>10.22653527</v>
      </c>
      <c r="H11" s="20" t="n">
        <v>1.13087444</v>
      </c>
      <c r="I11" s="18" t="s">
        <v>567</v>
      </c>
      <c r="J11" s="20" t="s">
        <v>567</v>
      </c>
      <c r="K11" s="18" t="n">
        <v>0.5635277400000001</v>
      </c>
      <c r="L11" s="20" t="n">
        <v>0.26674811</v>
      </c>
      <c r="M11" s="18" t="n">
        <v>0</v>
      </c>
      <c r="N11" s="20" t="n">
        <v>0</v>
      </c>
      <c r="O11" s="18" t="n">
        <v>0</v>
      </c>
      <c r="P11" s="20" t="n">
        <v>0</v>
      </c>
      <c r="Q11" s="18" t="n">
        <v>6.54859247</v>
      </c>
      <c r="R11" s="20" t="n">
        <v>1.08242827</v>
      </c>
    </row>
    <row r="12" spans="1:18">
      <c r="A12" s="15" t="s">
        <v>572</v>
      </c>
      <c r="B12" s="17" t="n">
        <v>3472</v>
      </c>
      <c r="C12" s="18">
        <f>(2757.0/B12*100)</f>
        <v/>
      </c>
      <c r="D12" s="19" t="n">
        <v>715</v>
      </c>
      <c r="E12" s="18" t="n">
        <v>85.92414223</v>
      </c>
      <c r="F12" s="20" t="n">
        <v>1.39128745</v>
      </c>
      <c r="G12" s="18" t="n">
        <v>11.4215075</v>
      </c>
      <c r="H12" s="20" t="n">
        <v>1.42072014</v>
      </c>
      <c r="I12" s="18" t="s">
        <v>567</v>
      </c>
      <c r="J12" s="20" t="s">
        <v>567</v>
      </c>
      <c r="K12" s="18" t="n">
        <v>0.1182035</v>
      </c>
      <c r="L12" s="20" t="n">
        <v>0.11450095</v>
      </c>
      <c r="M12" s="18" t="n">
        <v>0.12456292</v>
      </c>
      <c r="N12" s="20" t="n">
        <v>0.12254527</v>
      </c>
      <c r="O12" s="18" t="n">
        <v>0</v>
      </c>
      <c r="P12" s="20" t="n">
        <v>0</v>
      </c>
      <c r="Q12" s="18" t="n">
        <v>2.41158385</v>
      </c>
      <c r="R12" s="20" t="n">
        <v>0.69144178</v>
      </c>
    </row>
    <row r="13" spans="1:18">
      <c r="A13" s="15" t="s">
        <v>573</v>
      </c>
      <c r="B13" s="17" t="n">
        <v>3559</v>
      </c>
      <c r="C13" s="18">
        <f>(2803.0/B13*100)</f>
        <v/>
      </c>
      <c r="D13" s="19" t="n">
        <v>756</v>
      </c>
      <c r="E13" s="18" t="n">
        <v>80.28881564</v>
      </c>
      <c r="F13" s="20" t="n">
        <v>1.98205974</v>
      </c>
      <c r="G13" s="18" t="n">
        <v>15.7535387</v>
      </c>
      <c r="H13" s="20" t="n">
        <v>1.86052941</v>
      </c>
      <c r="I13" s="18" t="s">
        <v>567</v>
      </c>
      <c r="J13" s="20" t="s">
        <v>567</v>
      </c>
      <c r="K13" s="18" t="n">
        <v>0.08321496</v>
      </c>
      <c r="L13" s="20" t="n">
        <v>0.05762215</v>
      </c>
      <c r="M13" s="18" t="n">
        <v>0.47138853</v>
      </c>
      <c r="N13" s="20" t="n">
        <v>0.46912376</v>
      </c>
      <c r="O13" s="18" t="n">
        <v>0</v>
      </c>
      <c r="P13" s="20" t="n">
        <v>0</v>
      </c>
      <c r="Q13" s="18" t="n">
        <v>3.40304218</v>
      </c>
      <c r="R13" s="20" t="n">
        <v>1.27456615</v>
      </c>
    </row>
    <row r="14" spans="1:18">
      <c r="A14" s="15" t="s">
        <v>574</v>
      </c>
      <c r="B14" s="17" t="n">
        <v>2799</v>
      </c>
      <c r="C14" s="18">
        <f>(2161.0/B14*100)</f>
        <v/>
      </c>
      <c r="D14" s="19" t="n">
        <v>638</v>
      </c>
      <c r="E14" s="18" t="n">
        <v>82.72070730999999</v>
      </c>
      <c r="F14" s="20" t="n">
        <v>1.61788424</v>
      </c>
      <c r="G14" s="18" t="n">
        <v>15.31852484</v>
      </c>
      <c r="H14" s="20" t="n">
        <v>1.53998368</v>
      </c>
      <c r="I14" s="18" t="s">
        <v>567</v>
      </c>
      <c r="J14" s="20" t="s">
        <v>567</v>
      </c>
      <c r="K14" s="18" t="n">
        <v>1.05651875</v>
      </c>
      <c r="L14" s="20" t="n">
        <v>0.51537603</v>
      </c>
      <c r="M14" s="18" t="n">
        <v>0</v>
      </c>
      <c r="N14" s="20" t="n">
        <v>0</v>
      </c>
      <c r="O14" s="18" t="n">
        <v>0</v>
      </c>
      <c r="P14" s="20" t="n">
        <v>0</v>
      </c>
      <c r="Q14" s="18" t="n">
        <v>0.9042491</v>
      </c>
      <c r="R14" s="20" t="n">
        <v>0.43960602</v>
      </c>
    </row>
    <row r="15" spans="1:18">
      <c r="A15" s="15" t="s">
        <v>575</v>
      </c>
      <c r="B15" s="17" t="n">
        <v>3019</v>
      </c>
      <c r="C15" s="18">
        <f>(2351.0/B15*100)</f>
        <v/>
      </c>
      <c r="D15" s="19" t="n">
        <v>668</v>
      </c>
      <c r="E15" s="18" t="n">
        <v>77.28235813000001</v>
      </c>
      <c r="F15" s="20" t="n">
        <v>1.48518447</v>
      </c>
      <c r="G15" s="18" t="n">
        <v>19.69765192</v>
      </c>
      <c r="H15" s="20" t="n">
        <v>1.47677113</v>
      </c>
      <c r="I15" s="18" t="s">
        <v>567</v>
      </c>
      <c r="J15" s="20" t="s">
        <v>567</v>
      </c>
      <c r="K15" s="18" t="n">
        <v>0.15419846</v>
      </c>
      <c r="L15" s="20" t="n">
        <v>0.1546614</v>
      </c>
      <c r="M15" s="18" t="n">
        <v>0</v>
      </c>
      <c r="N15" s="20" t="n">
        <v>0</v>
      </c>
      <c r="O15" s="18" t="n">
        <v>0</v>
      </c>
      <c r="P15" s="20" t="n">
        <v>0</v>
      </c>
      <c r="Q15" s="18" t="n">
        <v>2.8657915</v>
      </c>
      <c r="R15" s="20" t="n">
        <v>0.7693808</v>
      </c>
    </row>
    <row r="16" spans="1:18">
      <c r="A16" s="15" t="s">
        <v>576</v>
      </c>
      <c r="B16" s="17" t="n">
        <v>2997</v>
      </c>
      <c r="C16" s="18">
        <f>(2327.0/B16*100)</f>
        <v/>
      </c>
      <c r="D16" s="19" t="n">
        <v>670</v>
      </c>
      <c r="E16" s="18" t="n">
        <v>79.45685908999999</v>
      </c>
      <c r="F16" s="20" t="n">
        <v>1.61832608</v>
      </c>
      <c r="G16" s="18" t="n">
        <v>13.77349907</v>
      </c>
      <c r="H16" s="20" t="n">
        <v>1.37626816</v>
      </c>
      <c r="I16" s="18" t="s">
        <v>567</v>
      </c>
      <c r="J16" s="20" t="s">
        <v>567</v>
      </c>
      <c r="K16" s="18" t="n">
        <v>1.00495201</v>
      </c>
      <c r="L16" s="20" t="n">
        <v>0.38608201</v>
      </c>
      <c r="M16" s="18" t="n">
        <v>0</v>
      </c>
      <c r="N16" s="20" t="n">
        <v>0</v>
      </c>
      <c r="O16" s="18" t="n">
        <v>0</v>
      </c>
      <c r="P16" s="20" t="n">
        <v>0</v>
      </c>
      <c r="Q16" s="18" t="n">
        <v>5.76468982</v>
      </c>
      <c r="R16" s="20" t="n">
        <v>0.99617394</v>
      </c>
    </row>
    <row r="17" spans="1:18">
      <c r="A17" s="15" t="s">
        <v>577</v>
      </c>
      <c r="B17" s="17" t="n">
        <v>3307</v>
      </c>
      <c r="C17" s="18">
        <f>(2559.0/B17*100)</f>
        <v/>
      </c>
      <c r="D17" s="19" t="n">
        <v>748</v>
      </c>
      <c r="E17" s="18" t="n">
        <v>82.14478377</v>
      </c>
      <c r="F17" s="20" t="n">
        <v>1.26103422</v>
      </c>
      <c r="G17" s="18" t="n">
        <v>13.40549583</v>
      </c>
      <c r="H17" s="20" t="n">
        <v>1.27408707</v>
      </c>
      <c r="I17" s="18" t="s">
        <v>567</v>
      </c>
      <c r="J17" s="20" t="s">
        <v>567</v>
      </c>
      <c r="K17" s="18" t="n">
        <v>0.13400863</v>
      </c>
      <c r="L17" s="20" t="n">
        <v>0.13345007</v>
      </c>
      <c r="M17" s="18" t="n">
        <v>0</v>
      </c>
      <c r="N17" s="20" t="n">
        <v>0</v>
      </c>
      <c r="O17" s="18" t="n">
        <v>0</v>
      </c>
      <c r="P17" s="20" t="n">
        <v>0</v>
      </c>
      <c r="Q17" s="18" t="n">
        <v>4.31571177</v>
      </c>
      <c r="R17" s="20" t="n">
        <v>0.75043606</v>
      </c>
    </row>
    <row r="18" spans="1:18">
      <c r="A18" s="15" t="s">
        <v>578</v>
      </c>
      <c r="B18" s="17" t="n">
        <v>2826</v>
      </c>
      <c r="C18" s="18">
        <f>(2219.0/B18*100)</f>
        <v/>
      </c>
      <c r="D18" s="19" t="n">
        <v>607</v>
      </c>
      <c r="E18" s="18" t="n">
        <v>89.10303245999999</v>
      </c>
      <c r="F18" s="20" t="n">
        <v>1.33855174</v>
      </c>
      <c r="G18" s="18" t="n">
        <v>6.81726325</v>
      </c>
      <c r="H18" s="20" t="n">
        <v>1.06741191</v>
      </c>
      <c r="I18" s="18" t="s">
        <v>567</v>
      </c>
      <c r="J18" s="20" t="s">
        <v>567</v>
      </c>
      <c r="K18" s="18" t="n">
        <v>0.32838986</v>
      </c>
      <c r="L18" s="20" t="n">
        <v>0.23169578</v>
      </c>
      <c r="M18" s="18" t="n">
        <v>0</v>
      </c>
      <c r="N18" s="20" t="n">
        <v>0</v>
      </c>
      <c r="O18" s="18" t="n">
        <v>0</v>
      </c>
      <c r="P18" s="20" t="n">
        <v>0</v>
      </c>
      <c r="Q18" s="18" t="n">
        <v>3.75131443</v>
      </c>
      <c r="R18" s="20" t="n">
        <v>0.81781905</v>
      </c>
    </row>
    <row r="19" spans="1:18">
      <c r="A19" s="15" t="s">
        <v>579</v>
      </c>
      <c r="B19" s="17" t="n">
        <v>2808</v>
      </c>
      <c r="C19" s="18">
        <f>(2213.0/B19*100)</f>
        <v/>
      </c>
      <c r="D19" s="19" t="n">
        <v>595</v>
      </c>
      <c r="E19" s="18" t="n">
        <v>86.66386309000001</v>
      </c>
      <c r="F19" s="20" t="n">
        <v>1.42787896</v>
      </c>
      <c r="G19" s="18" t="n">
        <v>10.09046895</v>
      </c>
      <c r="H19" s="20" t="n">
        <v>1.28831263</v>
      </c>
      <c r="I19" s="18" t="s">
        <v>567</v>
      </c>
      <c r="J19" s="20" t="s">
        <v>567</v>
      </c>
      <c r="K19" s="18" t="n">
        <v>0</v>
      </c>
      <c r="L19" s="20" t="n">
        <v>0</v>
      </c>
      <c r="M19" s="18" t="n">
        <v>0</v>
      </c>
      <c r="N19" s="20" t="n">
        <v>0</v>
      </c>
      <c r="O19" s="18" t="n">
        <v>0</v>
      </c>
      <c r="P19" s="20" t="n">
        <v>0</v>
      </c>
      <c r="Q19" s="18" t="n">
        <v>3.24566796</v>
      </c>
      <c r="R19" s="20" t="n">
        <v>0.79707785</v>
      </c>
    </row>
    <row r="20" spans="1:18">
      <c r="A20" s="15" t="s">
        <v>580</v>
      </c>
      <c r="B20" s="17" t="n">
        <v>1630</v>
      </c>
      <c r="C20" s="18">
        <f>(1259.0/B20*100)</f>
        <v/>
      </c>
      <c r="D20" s="19" t="n">
        <v>371</v>
      </c>
      <c r="E20" s="18" t="n">
        <v>80.60605083999999</v>
      </c>
      <c r="F20" s="20" t="n">
        <v>2.3350532</v>
      </c>
      <c r="G20" s="18" t="n">
        <v>14.06002515</v>
      </c>
      <c r="H20" s="20" t="n">
        <v>2.03291617</v>
      </c>
      <c r="I20" s="18" t="s">
        <v>567</v>
      </c>
      <c r="J20" s="20" t="s">
        <v>567</v>
      </c>
      <c r="K20" s="18" t="n">
        <v>1.3167707</v>
      </c>
      <c r="L20" s="20" t="n">
        <v>0.56327654</v>
      </c>
      <c r="M20" s="18" t="n">
        <v>0</v>
      </c>
      <c r="N20" s="20" t="n">
        <v>0</v>
      </c>
      <c r="O20" s="18" t="n">
        <v>0</v>
      </c>
      <c r="P20" s="20" t="n">
        <v>0</v>
      </c>
      <c r="Q20" s="18" t="n">
        <v>4.01715331</v>
      </c>
      <c r="R20" s="20" t="n">
        <v>1.09743258</v>
      </c>
    </row>
    <row r="21" spans="1:18">
      <c r="A21" s="15" t="s">
        <v>581</v>
      </c>
      <c r="B21" s="17" t="n">
        <v>2908</v>
      </c>
      <c r="C21" s="18">
        <f>(2289.0/B21*100)</f>
        <v/>
      </c>
      <c r="D21" s="19" t="n">
        <v>619</v>
      </c>
      <c r="E21" s="18" t="n">
        <v>83.86586930999999</v>
      </c>
      <c r="F21" s="20" t="n">
        <v>1.4261841</v>
      </c>
      <c r="G21" s="18" t="n">
        <v>13.03592604</v>
      </c>
      <c r="H21" s="20" t="n">
        <v>1.2016777</v>
      </c>
      <c r="I21" s="18" t="s">
        <v>567</v>
      </c>
      <c r="J21" s="20" t="s">
        <v>567</v>
      </c>
      <c r="K21" s="18" t="n">
        <v>0</v>
      </c>
      <c r="L21" s="20" t="n">
        <v>0</v>
      </c>
      <c r="M21" s="18" t="n">
        <v>0</v>
      </c>
      <c r="N21" s="20" t="n">
        <v>0</v>
      </c>
      <c r="O21" s="18" t="n">
        <v>0</v>
      </c>
      <c r="P21" s="20" t="n">
        <v>0</v>
      </c>
      <c r="Q21" s="18" t="n">
        <v>3.09820465</v>
      </c>
      <c r="R21" s="20" t="n">
        <v>0.75968085</v>
      </c>
    </row>
    <row r="22" spans="1:18">
      <c r="A22" s="15" t="s">
        <v>582</v>
      </c>
      <c r="B22" s="17" t="n">
        <v>2931</v>
      </c>
      <c r="C22" s="18">
        <f>(2271.0/B22*100)</f>
        <v/>
      </c>
      <c r="D22" s="19" t="n">
        <v>660</v>
      </c>
      <c r="E22" s="18" t="n">
        <v>83.73625337</v>
      </c>
      <c r="F22" s="20" t="n">
        <v>1.88613617</v>
      </c>
      <c r="G22" s="18" t="n">
        <v>9.87752068</v>
      </c>
      <c r="H22" s="20" t="n">
        <v>1.58711795</v>
      </c>
      <c r="I22" s="18" t="s">
        <v>567</v>
      </c>
      <c r="J22" s="20" t="s">
        <v>567</v>
      </c>
      <c r="K22" s="18" t="n">
        <v>0.34516351</v>
      </c>
      <c r="L22" s="20" t="n">
        <v>0.26961829</v>
      </c>
      <c r="M22" s="18" t="n">
        <v>0</v>
      </c>
      <c r="N22" s="20" t="n">
        <v>0</v>
      </c>
      <c r="O22" s="18" t="n">
        <v>0</v>
      </c>
      <c r="P22" s="20" t="n">
        <v>0</v>
      </c>
      <c r="Q22" s="18" t="n">
        <v>6.04106244</v>
      </c>
      <c r="R22" s="20" t="n">
        <v>0.99854279</v>
      </c>
    </row>
    <row r="23" spans="1:18">
      <c r="A23" s="15" t="s">
        <v>583</v>
      </c>
      <c r="B23" s="17" t="n">
        <v>5791</v>
      </c>
      <c r="C23" s="18">
        <f>(4512.0/B23*100)</f>
        <v/>
      </c>
      <c r="D23" s="19" t="n">
        <v>1279</v>
      </c>
      <c r="E23" s="18" t="n">
        <v>86.08723825</v>
      </c>
      <c r="F23" s="20" t="n">
        <v>1.3006547</v>
      </c>
      <c r="G23" s="18" t="n">
        <v>8.880247819999999</v>
      </c>
      <c r="H23" s="20" t="n">
        <v>1.06539834</v>
      </c>
      <c r="I23" s="18" t="s">
        <v>567</v>
      </c>
      <c r="J23" s="20" t="s">
        <v>567</v>
      </c>
      <c r="K23" s="18" t="n">
        <v>0.32050153</v>
      </c>
      <c r="L23" s="20" t="n">
        <v>0.19361465</v>
      </c>
      <c r="M23" s="18" t="n">
        <v>0.25095981</v>
      </c>
      <c r="N23" s="20" t="n">
        <v>0.29342607</v>
      </c>
      <c r="O23" s="18" t="n">
        <v>0</v>
      </c>
      <c r="P23" s="20" t="n">
        <v>0</v>
      </c>
      <c r="Q23" s="18" t="n">
        <v>4.46105259</v>
      </c>
      <c r="R23" s="20" t="n">
        <v>1.07533737</v>
      </c>
    </row>
    <row r="24" spans="1:18">
      <c r="A24" s="15" t="s">
        <v>584</v>
      </c>
      <c r="B24" s="17" t="n">
        <v>3338</v>
      </c>
      <c r="C24" s="18">
        <f>(2596.0/B24*100)</f>
        <v/>
      </c>
      <c r="D24" s="19" t="n">
        <v>742</v>
      </c>
      <c r="E24" s="18" t="n">
        <v>79.36019161</v>
      </c>
      <c r="F24" s="20" t="n">
        <v>1.83980801</v>
      </c>
      <c r="G24" s="18" t="n">
        <v>16.93587575</v>
      </c>
      <c r="H24" s="20" t="n">
        <v>1.78555156</v>
      </c>
      <c r="I24" s="18" t="s">
        <v>567</v>
      </c>
      <c r="J24" s="20" t="s">
        <v>567</v>
      </c>
      <c r="K24" s="18" t="n">
        <v>0.26773505</v>
      </c>
      <c r="L24" s="20" t="n">
        <v>0.18515961</v>
      </c>
      <c r="M24" s="18" t="n">
        <v>0</v>
      </c>
      <c r="N24" s="20" t="n">
        <v>0</v>
      </c>
      <c r="O24" s="18" t="n">
        <v>0</v>
      </c>
      <c r="P24" s="20" t="n">
        <v>0</v>
      </c>
      <c r="Q24" s="18" t="n">
        <v>3.43619759</v>
      </c>
      <c r="R24" s="20" t="n">
        <v>0.76483648</v>
      </c>
    </row>
    <row r="25" spans="1:18">
      <c r="A25" s="15" t="s">
        <v>585</v>
      </c>
      <c r="B25" s="17" t="n">
        <v>2912</v>
      </c>
      <c r="C25" s="18">
        <f>(2245.0/B25*100)</f>
        <v/>
      </c>
      <c r="D25" s="19" t="n">
        <v>667</v>
      </c>
      <c r="E25" s="18" t="n">
        <v>78.99490338</v>
      </c>
      <c r="F25" s="20" t="n">
        <v>1.7184943</v>
      </c>
      <c r="G25" s="18" t="n">
        <v>19.04694246</v>
      </c>
      <c r="H25" s="20" t="n">
        <v>1.81795847</v>
      </c>
      <c r="I25" s="18" t="s">
        <v>567</v>
      </c>
      <c r="J25" s="20" t="s">
        <v>567</v>
      </c>
      <c r="K25" s="18" t="n">
        <v>0.46709647</v>
      </c>
      <c r="L25" s="20" t="n">
        <v>0.35791141</v>
      </c>
      <c r="M25" s="18" t="n">
        <v>0</v>
      </c>
      <c r="N25" s="20" t="n">
        <v>0</v>
      </c>
      <c r="O25" s="18" t="n">
        <v>0</v>
      </c>
      <c r="P25" s="20" t="n">
        <v>0</v>
      </c>
      <c r="Q25" s="18" t="n">
        <v>1.49105769</v>
      </c>
      <c r="R25" s="20" t="n">
        <v>0.46880221</v>
      </c>
    </row>
    <row r="26" spans="1:18">
      <c r="A26" s="15" t="s">
        <v>586</v>
      </c>
      <c r="B26" s="17" t="n">
        <v>2450</v>
      </c>
      <c r="C26" s="18">
        <f>(1902.0/B26*100)</f>
        <v/>
      </c>
      <c r="D26" s="19" t="n">
        <v>548</v>
      </c>
      <c r="E26" s="18" t="n">
        <v>89.67497802</v>
      </c>
      <c r="F26" s="20" t="n">
        <v>1.29836302</v>
      </c>
      <c r="G26" s="18" t="n">
        <v>9.156555839999999</v>
      </c>
      <c r="H26" s="20" t="n">
        <v>1.28190996</v>
      </c>
      <c r="I26" s="18" t="s">
        <v>567</v>
      </c>
      <c r="J26" s="20" t="s">
        <v>567</v>
      </c>
      <c r="K26" s="18" t="n">
        <v>0</v>
      </c>
      <c r="L26" s="20" t="n">
        <v>0</v>
      </c>
      <c r="M26" s="18" t="n">
        <v>0</v>
      </c>
      <c r="N26" s="20" t="n">
        <v>0</v>
      </c>
      <c r="O26" s="18" t="n">
        <v>0</v>
      </c>
      <c r="P26" s="20" t="n">
        <v>0</v>
      </c>
      <c r="Q26" s="18" t="n">
        <v>1.16846614</v>
      </c>
      <c r="R26" s="20" t="n">
        <v>0.43358254</v>
      </c>
    </row>
    <row r="27" spans="1:18">
      <c r="A27" s="15" t="s">
        <v>587</v>
      </c>
      <c r="B27" s="17" t="n">
        <v>2616</v>
      </c>
      <c r="C27" s="18">
        <f>(2051.0/B27*100)</f>
        <v/>
      </c>
      <c r="D27" s="19" t="n">
        <v>565</v>
      </c>
      <c r="E27" s="18" t="n">
        <v>81.59072331</v>
      </c>
      <c r="F27" s="20" t="n">
        <v>1.76649673</v>
      </c>
      <c r="G27" s="18" t="n">
        <v>12.69784365</v>
      </c>
      <c r="H27" s="20" t="n">
        <v>1.6083434</v>
      </c>
      <c r="I27" s="18" t="s">
        <v>567</v>
      </c>
      <c r="J27" s="20" t="s">
        <v>567</v>
      </c>
      <c r="K27" s="18" t="n">
        <v>0.71244715</v>
      </c>
      <c r="L27" s="20" t="n">
        <v>0.35668324</v>
      </c>
      <c r="M27" s="18" t="n">
        <v>0</v>
      </c>
      <c r="N27" s="20" t="n">
        <v>0</v>
      </c>
      <c r="O27" s="18" t="n">
        <v>0</v>
      </c>
      <c r="P27" s="20" t="n">
        <v>0</v>
      </c>
      <c r="Q27" s="18" t="n">
        <v>4.99898589</v>
      </c>
      <c r="R27" s="20" t="n">
        <v>0.90411743</v>
      </c>
    </row>
    <row r="28" spans="1:18">
      <c r="A28" s="15" t="s">
        <v>588</v>
      </c>
      <c r="B28" s="17" t="n">
        <v>3765</v>
      </c>
      <c r="C28" s="18">
        <f>(2992.0/B28*100)</f>
        <v/>
      </c>
      <c r="D28" s="19" t="n">
        <v>773</v>
      </c>
      <c r="E28" s="18" t="n">
        <v>89.53054677</v>
      </c>
      <c r="F28" s="20" t="n">
        <v>1.1564677</v>
      </c>
      <c r="G28" s="18" t="n">
        <v>7.74654206</v>
      </c>
      <c r="H28" s="20" t="n">
        <v>1.10285156</v>
      </c>
      <c r="I28" s="18" t="s">
        <v>567</v>
      </c>
      <c r="J28" s="20" t="s">
        <v>567</v>
      </c>
      <c r="K28" s="18" t="n">
        <v>0.39140813</v>
      </c>
      <c r="L28" s="20" t="n">
        <v>0.29303075</v>
      </c>
      <c r="M28" s="18" t="n">
        <v>0.27947986</v>
      </c>
      <c r="N28" s="20" t="n">
        <v>0.21611155</v>
      </c>
      <c r="O28" s="18" t="n">
        <v>0</v>
      </c>
      <c r="P28" s="20" t="n">
        <v>0</v>
      </c>
      <c r="Q28" s="18" t="n">
        <v>2.05202318</v>
      </c>
      <c r="R28" s="20" t="n">
        <v>0.54466267</v>
      </c>
    </row>
    <row r="29" spans="1:18">
      <c r="A29" s="15" t="s">
        <v>589</v>
      </c>
      <c r="B29" s="17" t="n">
        <v>2685</v>
      </c>
      <c r="C29" s="18">
        <f>(2097.0/B29*100)</f>
        <v/>
      </c>
      <c r="D29" s="19" t="n">
        <v>588</v>
      </c>
      <c r="E29" s="18" t="n">
        <v>81.63612454</v>
      </c>
      <c r="F29" s="20" t="n">
        <v>1.54072243</v>
      </c>
      <c r="G29" s="18" t="n">
        <v>15.79960366</v>
      </c>
      <c r="H29" s="20" t="n">
        <v>1.46134102</v>
      </c>
      <c r="I29" s="18" t="s">
        <v>567</v>
      </c>
      <c r="J29" s="20" t="s">
        <v>567</v>
      </c>
      <c r="K29" s="18" t="n">
        <v>0.27348526</v>
      </c>
      <c r="L29" s="20" t="n">
        <v>0.18211507</v>
      </c>
      <c r="M29" s="18" t="n">
        <v>0</v>
      </c>
      <c r="N29" s="20" t="n">
        <v>0</v>
      </c>
      <c r="O29" s="18" t="n">
        <v>0</v>
      </c>
      <c r="P29" s="20" t="n">
        <v>0</v>
      </c>
      <c r="Q29" s="18" t="n">
        <v>2.29078655</v>
      </c>
      <c r="R29" s="20" t="n">
        <v>0.70810195</v>
      </c>
    </row>
    <row r="30" spans="1:18">
      <c r="A30" s="15" t="s">
        <v>590</v>
      </c>
      <c r="B30" s="17" t="n">
        <v>2263</v>
      </c>
      <c r="C30" s="18">
        <f>(1777.0/B30*100)</f>
        <v/>
      </c>
      <c r="D30" s="19" t="n">
        <v>486</v>
      </c>
      <c r="E30" s="18" t="n">
        <v>67.36056871</v>
      </c>
      <c r="F30" s="20" t="n">
        <v>2.32587064</v>
      </c>
      <c r="G30" s="18" t="n">
        <v>25.42362194</v>
      </c>
      <c r="H30" s="20" t="n">
        <v>2.13551735</v>
      </c>
      <c r="I30" s="18" t="s">
        <v>567</v>
      </c>
      <c r="J30" s="20" t="s">
        <v>567</v>
      </c>
      <c r="K30" s="18" t="n">
        <v>0.7497986800000001</v>
      </c>
      <c r="L30" s="20" t="n">
        <v>0.37686043</v>
      </c>
      <c r="M30" s="18" t="n">
        <v>0</v>
      </c>
      <c r="N30" s="20" t="n">
        <v>0</v>
      </c>
      <c r="O30" s="18" t="n">
        <v>0</v>
      </c>
      <c r="P30" s="20" t="n">
        <v>0</v>
      </c>
      <c r="Q30" s="18" t="n">
        <v>6.46601067</v>
      </c>
      <c r="R30" s="20" t="n">
        <v>1.10592472</v>
      </c>
    </row>
    <row r="31" spans="1:18">
      <c r="A31" s="15" t="s">
        <v>591</v>
      </c>
      <c r="B31" s="17" t="n">
        <v>2750</v>
      </c>
      <c r="C31" s="18">
        <f>(2139.0/B31*100)</f>
        <v/>
      </c>
      <c r="D31" s="19" t="n">
        <v>611</v>
      </c>
      <c r="E31" s="18" t="n">
        <v>80.40842761</v>
      </c>
      <c r="F31" s="20" t="n">
        <v>1.39007147</v>
      </c>
      <c r="G31" s="18" t="n">
        <v>14.9014526</v>
      </c>
      <c r="H31" s="20" t="n">
        <v>1.55483694</v>
      </c>
      <c r="I31" s="18" t="s">
        <v>567</v>
      </c>
      <c r="J31" s="20" t="s">
        <v>567</v>
      </c>
      <c r="K31" s="18" t="n">
        <v>0.49485413</v>
      </c>
      <c r="L31" s="20" t="n">
        <v>0.29043323</v>
      </c>
      <c r="M31" s="18" t="n">
        <v>0.1472857</v>
      </c>
      <c r="N31" s="20" t="n">
        <v>0.14676619</v>
      </c>
      <c r="O31" s="18" t="n">
        <v>0</v>
      </c>
      <c r="P31" s="20" t="n">
        <v>0</v>
      </c>
      <c r="Q31" s="18" t="n">
        <v>4.04797996</v>
      </c>
      <c r="R31" s="20" t="n">
        <v>0.75223506</v>
      </c>
    </row>
    <row r="32" spans="1:18">
      <c r="A32" s="15" t="s">
        <v>592</v>
      </c>
      <c r="B32" s="17" t="n">
        <v>2269</v>
      </c>
      <c r="C32" s="18">
        <f>(1737.0/B32*100)</f>
        <v/>
      </c>
      <c r="D32" s="19" t="n">
        <v>532</v>
      </c>
      <c r="E32" s="18" t="n">
        <v>84.52152226</v>
      </c>
      <c r="F32" s="20" t="n">
        <v>1.58775739</v>
      </c>
      <c r="G32" s="18" t="n">
        <v>13.73847013</v>
      </c>
      <c r="H32" s="20" t="n">
        <v>1.47769422</v>
      </c>
      <c r="I32" s="18" t="s">
        <v>567</v>
      </c>
      <c r="J32" s="20" t="s">
        <v>567</v>
      </c>
      <c r="K32" s="18" t="n">
        <v>0.16297266</v>
      </c>
      <c r="L32" s="20" t="n">
        <v>0.16294823</v>
      </c>
      <c r="M32" s="18" t="n">
        <v>0</v>
      </c>
      <c r="N32" s="20" t="n">
        <v>0</v>
      </c>
      <c r="O32" s="18" t="n">
        <v>0</v>
      </c>
      <c r="P32" s="20" t="n">
        <v>0</v>
      </c>
      <c r="Q32" s="18" t="n">
        <v>1.57703496</v>
      </c>
      <c r="R32" s="20" t="n">
        <v>0.5601338300000001</v>
      </c>
    </row>
    <row r="33" spans="1:18">
      <c r="A33" s="15" t="s">
        <v>593</v>
      </c>
      <c r="B33" s="17" t="n">
        <v>3674</v>
      </c>
      <c r="C33" s="18">
        <f>(2900.0/B33*100)</f>
        <v/>
      </c>
      <c r="D33" s="19" t="n">
        <v>774</v>
      </c>
      <c r="E33" s="18" t="n">
        <v>89.07024795</v>
      </c>
      <c r="F33" s="20" t="n">
        <v>1.22702347</v>
      </c>
      <c r="G33" s="18" t="n">
        <v>7.83541091</v>
      </c>
      <c r="H33" s="20" t="n">
        <v>0.9619583900000001</v>
      </c>
      <c r="I33" s="18" t="s">
        <v>567</v>
      </c>
      <c r="J33" s="20" t="s">
        <v>567</v>
      </c>
      <c r="K33" s="18" t="n">
        <v>0.25645302</v>
      </c>
      <c r="L33" s="20" t="n">
        <v>0.30631258</v>
      </c>
      <c r="M33" s="18" t="n">
        <v>0.1648587</v>
      </c>
      <c r="N33" s="20" t="n">
        <v>0.16519927</v>
      </c>
      <c r="O33" s="18" t="n">
        <v>0</v>
      </c>
      <c r="P33" s="20" t="n">
        <v>0</v>
      </c>
      <c r="Q33" s="18" t="n">
        <v>2.67302942</v>
      </c>
      <c r="R33" s="20" t="n">
        <v>0.604705</v>
      </c>
    </row>
    <row r="34" spans="1:18">
      <c r="A34" s="15" t="s">
        <v>594</v>
      </c>
      <c r="B34" s="17" t="n">
        <v>3315</v>
      </c>
      <c r="C34" s="18">
        <f>(2590.0/B34*100)</f>
        <v/>
      </c>
      <c r="D34" s="19" t="n">
        <v>725</v>
      </c>
      <c r="E34" s="18" t="n">
        <v>88.349518</v>
      </c>
      <c r="F34" s="20" t="n">
        <v>0.99711992</v>
      </c>
      <c r="G34" s="18" t="n">
        <v>7.80933909</v>
      </c>
      <c r="H34" s="20" t="n">
        <v>0.87818862</v>
      </c>
      <c r="I34" s="18" t="s">
        <v>567</v>
      </c>
      <c r="J34" s="20" t="s">
        <v>567</v>
      </c>
      <c r="K34" s="18" t="n">
        <v>0.20377474</v>
      </c>
      <c r="L34" s="20" t="n">
        <v>0.20115671</v>
      </c>
      <c r="M34" s="18" t="n">
        <v>0.64047235</v>
      </c>
      <c r="N34" s="20" t="n">
        <v>0.3606271</v>
      </c>
      <c r="O34" s="18" t="n">
        <v>0</v>
      </c>
      <c r="P34" s="20" t="n">
        <v>0</v>
      </c>
      <c r="Q34" s="18" t="n">
        <v>2.99689582</v>
      </c>
      <c r="R34" s="20" t="n">
        <v>0.6585951799999999</v>
      </c>
    </row>
    <row r="35" spans="1:18">
      <c r="A35" s="15" t="s">
        <v>595</v>
      </c>
      <c r="B35" s="17" t="n">
        <v>3505</v>
      </c>
      <c r="C35" s="18">
        <f>(2763.0/B35*100)</f>
        <v/>
      </c>
      <c r="D35" s="19" t="n">
        <v>742</v>
      </c>
      <c r="E35" s="18" t="n">
        <v>77.25964854999999</v>
      </c>
      <c r="F35" s="20" t="n">
        <v>2.50316588</v>
      </c>
      <c r="G35" s="18" t="n">
        <v>19.27545107</v>
      </c>
      <c r="H35" s="20" t="n">
        <v>2.09290236</v>
      </c>
      <c r="I35" s="18" t="s">
        <v>567</v>
      </c>
      <c r="J35" s="20" t="s">
        <v>567</v>
      </c>
      <c r="K35" s="18" t="n">
        <v>0.96521933</v>
      </c>
      <c r="L35" s="20" t="n">
        <v>0.73066678</v>
      </c>
      <c r="M35" s="18" t="n">
        <v>0.47027291</v>
      </c>
      <c r="N35" s="20" t="n">
        <v>0.31834445</v>
      </c>
      <c r="O35" s="18" t="n">
        <v>0</v>
      </c>
      <c r="P35" s="20" t="n">
        <v>0</v>
      </c>
      <c r="Q35" s="18" t="n">
        <v>2.02940814</v>
      </c>
      <c r="R35" s="20" t="n">
        <v>0.57957725</v>
      </c>
    </row>
    <row r="36" spans="1:18">
      <c r="A36" s="15" t="s">
        <v>596</v>
      </c>
      <c r="B36" s="17" t="n">
        <v>3332</v>
      </c>
      <c r="C36" s="18">
        <f>(2632.0/B36*100)</f>
        <v/>
      </c>
      <c r="D36" s="19" t="n">
        <v>700</v>
      </c>
      <c r="E36" s="18" t="n">
        <v>80.87206198</v>
      </c>
      <c r="F36" s="20" t="n">
        <v>1.57641508</v>
      </c>
      <c r="G36" s="18" t="n">
        <v>14.64529959</v>
      </c>
      <c r="H36" s="20" t="n">
        <v>1.40979619</v>
      </c>
      <c r="I36" s="18" t="s">
        <v>567</v>
      </c>
      <c r="J36" s="20" t="s">
        <v>567</v>
      </c>
      <c r="K36" s="18" t="n">
        <v>0.24016034</v>
      </c>
      <c r="L36" s="20" t="n">
        <v>0.21684293</v>
      </c>
      <c r="M36" s="18" t="n">
        <v>0.30473167</v>
      </c>
      <c r="N36" s="20" t="n">
        <v>0.23074181</v>
      </c>
      <c r="O36" s="18" t="n">
        <v>0</v>
      </c>
      <c r="P36" s="20" t="n">
        <v>0</v>
      </c>
      <c r="Q36" s="18" t="n">
        <v>3.93774641</v>
      </c>
      <c r="R36" s="20" t="n">
        <v>0.9047993</v>
      </c>
    </row>
    <row r="37" spans="1:18">
      <c r="A37" s="15" t="s">
        <v>597</v>
      </c>
      <c r="B37" s="17" t="n">
        <v>2727</v>
      </c>
      <c r="C37" s="18">
        <f>(2136.0/B37*100)</f>
        <v/>
      </c>
      <c r="D37" s="19" t="n">
        <v>591</v>
      </c>
      <c r="E37" s="18" t="n">
        <v>77.37700627</v>
      </c>
      <c r="F37" s="20" t="n">
        <v>1.7546072</v>
      </c>
      <c r="G37" s="18" t="n">
        <v>17.19912839</v>
      </c>
      <c r="H37" s="20" t="n">
        <v>1.54040185</v>
      </c>
      <c r="I37" s="18" t="s">
        <v>567</v>
      </c>
      <c r="J37" s="20" t="s">
        <v>567</v>
      </c>
      <c r="K37" s="18" t="n">
        <v>0.65818317</v>
      </c>
      <c r="L37" s="20" t="n">
        <v>0.33420742</v>
      </c>
      <c r="M37" s="18" t="n">
        <v>0</v>
      </c>
      <c r="N37" s="20" t="n">
        <v>0</v>
      </c>
      <c r="O37" s="18" t="n">
        <v>0</v>
      </c>
      <c r="P37" s="20" t="n">
        <v>0</v>
      </c>
      <c r="Q37" s="18" t="n">
        <v>4.76568217</v>
      </c>
      <c r="R37" s="20" t="n">
        <v>0.9368175399999999</v>
      </c>
    </row>
    <row r="38" spans="1:18">
      <c r="A38" s="15" t="s">
        <v>598</v>
      </c>
      <c r="B38" s="17" t="n">
        <v>3053</v>
      </c>
      <c r="C38" s="18">
        <f>(2394.0/B38*100)</f>
        <v/>
      </c>
      <c r="D38" s="19" t="n">
        <v>659</v>
      </c>
      <c r="E38" s="18" t="n">
        <v>76.32656537</v>
      </c>
      <c r="F38" s="20" t="n">
        <v>1.65690571</v>
      </c>
      <c r="G38" s="18" t="n">
        <v>17.70329514</v>
      </c>
      <c r="H38" s="20" t="n">
        <v>1.45957908</v>
      </c>
      <c r="I38" s="18" t="s">
        <v>567</v>
      </c>
      <c r="J38" s="20" t="s">
        <v>567</v>
      </c>
      <c r="K38" s="18" t="n">
        <v>0.23292564</v>
      </c>
      <c r="L38" s="20" t="n">
        <v>0.23200922</v>
      </c>
      <c r="M38" s="18" t="n">
        <v>1.94958755</v>
      </c>
      <c r="N38" s="20" t="n">
        <v>0.54261884</v>
      </c>
      <c r="O38" s="18" t="n">
        <v>0</v>
      </c>
      <c r="P38" s="20" t="n">
        <v>0</v>
      </c>
      <c r="Q38" s="18" t="n">
        <v>3.7876263</v>
      </c>
      <c r="R38" s="20" t="n">
        <v>0.74182716</v>
      </c>
    </row>
    <row r="39" spans="1:18">
      <c r="A39" s="15" t="s">
        <v>599</v>
      </c>
      <c r="B39" s="17" t="n">
        <v>2957</v>
      </c>
      <c r="C39" s="18">
        <f>(2298.0/B39*100)</f>
        <v/>
      </c>
      <c r="D39" s="19" t="n">
        <v>659</v>
      </c>
      <c r="E39" s="18" t="n">
        <v>93.69720325</v>
      </c>
      <c r="F39" s="20" t="n">
        <v>0.97665865</v>
      </c>
      <c r="G39" s="18" t="n">
        <v>4.23729872</v>
      </c>
      <c r="H39" s="20" t="n">
        <v>0.75724972</v>
      </c>
      <c r="I39" s="18" t="s">
        <v>567</v>
      </c>
      <c r="J39" s="20" t="s">
        <v>567</v>
      </c>
      <c r="K39" s="18" t="n">
        <v>0</v>
      </c>
      <c r="L39" s="20" t="n">
        <v>0</v>
      </c>
      <c r="M39" s="18" t="n">
        <v>0</v>
      </c>
      <c r="N39" s="20" t="n">
        <v>0</v>
      </c>
      <c r="O39" s="18" t="n">
        <v>0</v>
      </c>
      <c r="P39" s="20" t="n">
        <v>0</v>
      </c>
      <c r="Q39" s="18" t="n">
        <v>2.06549803</v>
      </c>
      <c r="R39" s="20" t="n">
        <v>0.61257209</v>
      </c>
    </row>
    <row r="40" spans="1:18">
      <c r="A40" s="15" t="s">
        <v>600</v>
      </c>
      <c r="B40" s="17" t="n">
        <v>7235</v>
      </c>
      <c r="C40" s="18">
        <f>(5662.0/B40*100)</f>
        <v/>
      </c>
      <c r="D40" s="19" t="n">
        <v>1573</v>
      </c>
      <c r="E40" s="18" t="n">
        <v>74.38816283</v>
      </c>
      <c r="F40" s="20" t="n">
        <v>1.72998727</v>
      </c>
      <c r="G40" s="18" t="n">
        <v>20.85389916</v>
      </c>
      <c r="H40" s="20" t="n">
        <v>1.55369058</v>
      </c>
      <c r="I40" s="18" t="s">
        <v>567</v>
      </c>
      <c r="J40" s="20" t="s">
        <v>567</v>
      </c>
      <c r="K40" s="18" t="n">
        <v>0.49864534</v>
      </c>
      <c r="L40" s="20" t="n">
        <v>0.30231272</v>
      </c>
      <c r="M40" s="18" t="n">
        <v>0</v>
      </c>
      <c r="N40" s="20" t="n">
        <v>0</v>
      </c>
      <c r="O40" s="18" t="n">
        <v>0</v>
      </c>
      <c r="P40" s="20" t="n">
        <v>0</v>
      </c>
      <c r="Q40" s="18" t="n">
        <v>4.25929268</v>
      </c>
      <c r="R40" s="20" t="n">
        <v>0.86927449</v>
      </c>
    </row>
    <row r="41" spans="1:18">
      <c r="A41" s="15" t="s">
        <v>601</v>
      </c>
      <c r="B41" s="17" t="n">
        <v>2858</v>
      </c>
      <c r="C41" s="18">
        <f>(2269.0/B41*100)</f>
        <v/>
      </c>
      <c r="D41" s="19" t="n">
        <v>589</v>
      </c>
      <c r="E41" s="18" t="n">
        <v>72.23861621</v>
      </c>
      <c r="F41" s="20" t="n">
        <v>1.80573054</v>
      </c>
      <c r="G41" s="18" t="n">
        <v>25.17655519</v>
      </c>
      <c r="H41" s="20" t="n">
        <v>1.7230929</v>
      </c>
      <c r="I41" s="18" t="s">
        <v>567</v>
      </c>
      <c r="J41" s="20" t="s">
        <v>567</v>
      </c>
      <c r="K41" s="18" t="n">
        <v>0.2018977</v>
      </c>
      <c r="L41" s="20" t="n">
        <v>0.14140584</v>
      </c>
      <c r="M41" s="18" t="n">
        <v>0</v>
      </c>
      <c r="N41" s="20" t="n">
        <v>0</v>
      </c>
      <c r="O41" s="18" t="n">
        <v>0</v>
      </c>
      <c r="P41" s="20" t="n">
        <v>0</v>
      </c>
      <c r="Q41" s="18" t="n">
        <v>2.3829309</v>
      </c>
      <c r="R41" s="20" t="n">
        <v>0.76679808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(9189.0/B46*100)</f>
        <v/>
      </c>
      <c r="D46" s="19" t="n">
        <v>1879</v>
      </c>
      <c r="E46" s="18" t="n">
        <v>85.83690884000001</v>
      </c>
      <c r="F46" s="20" t="n">
        <v>1.12769606</v>
      </c>
      <c r="G46" s="18" t="n">
        <v>5.0046731</v>
      </c>
      <c r="H46" s="20" t="n">
        <v>0.68646254</v>
      </c>
      <c r="I46" s="18" t="s">
        <v>567</v>
      </c>
      <c r="J46" s="20" t="s">
        <v>567</v>
      </c>
      <c r="K46" s="18" t="n">
        <v>1.71747999</v>
      </c>
      <c r="L46" s="20" t="n">
        <v>0.42837062</v>
      </c>
      <c r="M46" s="18" t="n">
        <v>0.91381216</v>
      </c>
      <c r="N46" s="20" t="n">
        <v>0.34325106</v>
      </c>
      <c r="O46" s="18" t="n">
        <v>0</v>
      </c>
      <c r="P46" s="20" t="n">
        <v>0</v>
      </c>
      <c r="Q46" s="18" t="n">
        <v>6.52712591</v>
      </c>
      <c r="R46" s="20" t="n">
        <v>0.77013895</v>
      </c>
    </row>
    <row r="47" spans="1:18">
      <c r="A47" s="15" t="s">
        <v>607</v>
      </c>
      <c r="B47" s="17" t="n">
        <v>3105</v>
      </c>
      <c r="C47" s="18">
        <f>(2412.0/B47*100)</f>
        <v/>
      </c>
      <c r="D47" s="19" t="n">
        <v>693</v>
      </c>
      <c r="E47" s="18" t="n">
        <v>87.41751965</v>
      </c>
      <c r="F47" s="20" t="n">
        <v>1.39107655</v>
      </c>
      <c r="G47" s="18" t="n">
        <v>8.28408398</v>
      </c>
      <c r="H47" s="20" t="n">
        <v>1.3365133</v>
      </c>
      <c r="I47" s="18" t="s">
        <v>567</v>
      </c>
      <c r="J47" s="20" t="s">
        <v>567</v>
      </c>
      <c r="K47" s="18" t="n">
        <v>0.24412062</v>
      </c>
      <c r="L47" s="20" t="n">
        <v>0.17030933</v>
      </c>
      <c r="M47" s="18" t="n">
        <v>0.14611175</v>
      </c>
      <c r="N47" s="20" t="n">
        <v>0.13855528</v>
      </c>
      <c r="O47" s="18" t="n">
        <v>0</v>
      </c>
      <c r="P47" s="20" t="n">
        <v>0</v>
      </c>
      <c r="Q47" s="18" t="n">
        <v>3.90816401</v>
      </c>
      <c r="R47" s="20" t="n">
        <v>0.78837691</v>
      </c>
    </row>
    <row r="48" spans="1:18">
      <c r="A48" s="15" t="s">
        <v>608</v>
      </c>
      <c r="B48" s="17" t="n">
        <v>5159</v>
      </c>
      <c r="C48" s="18">
        <f>(3976.0/B48*100)</f>
        <v/>
      </c>
      <c r="D48" s="19" t="n">
        <v>1183</v>
      </c>
      <c r="E48" s="18" t="n">
        <v>82.24906364</v>
      </c>
      <c r="F48" s="20" t="n">
        <v>1.49169721</v>
      </c>
      <c r="G48" s="18" t="n">
        <v>16.45900472</v>
      </c>
      <c r="H48" s="20" t="n">
        <v>1.46649886</v>
      </c>
      <c r="I48" s="18" t="s">
        <v>567</v>
      </c>
      <c r="J48" s="20" t="s">
        <v>567</v>
      </c>
      <c r="K48" s="18" t="n">
        <v>0.34075673</v>
      </c>
      <c r="L48" s="20" t="n">
        <v>0.21241568</v>
      </c>
      <c r="M48" s="18" t="n">
        <v>0</v>
      </c>
      <c r="N48" s="20" t="n">
        <v>0</v>
      </c>
      <c r="O48" s="18" t="n">
        <v>0</v>
      </c>
      <c r="P48" s="20" t="n">
        <v>0</v>
      </c>
      <c r="Q48" s="18" t="n">
        <v>0.95117491</v>
      </c>
      <c r="R48" s="20" t="n">
        <v>0.35056126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(4456.0/B50*100)</f>
        <v/>
      </c>
      <c r="D50" s="19" t="n">
        <v>1181</v>
      </c>
      <c r="E50" s="18" t="n">
        <v>89.99387887</v>
      </c>
      <c r="F50" s="20" t="n">
        <v>0.9886779999999999</v>
      </c>
      <c r="G50" s="18" t="n">
        <v>7.22901515</v>
      </c>
      <c r="H50" s="20" t="n">
        <v>0.95108283</v>
      </c>
      <c r="I50" s="18" t="s">
        <v>567</v>
      </c>
      <c r="J50" s="20" t="s">
        <v>567</v>
      </c>
      <c r="K50" s="18" t="n">
        <v>0.32158188</v>
      </c>
      <c r="L50" s="20" t="n">
        <v>0.18447366</v>
      </c>
      <c r="M50" s="18" t="n">
        <v>0.20343155</v>
      </c>
      <c r="N50" s="20" t="n">
        <v>0.24238976</v>
      </c>
      <c r="O50" s="18" t="n">
        <v>0</v>
      </c>
      <c r="P50" s="20" t="n">
        <v>0</v>
      </c>
      <c r="Q50" s="18" t="n">
        <v>2.25209254</v>
      </c>
      <c r="R50" s="20" t="n">
        <v>0.44490307</v>
      </c>
    </row>
    <row r="51" spans="1:18">
      <c r="A51" s="15" t="s">
        <v>611</v>
      </c>
      <c r="B51" s="17" t="n">
        <v>3372</v>
      </c>
      <c r="C51" s="18">
        <f>(2750.0/B51*100)</f>
        <v/>
      </c>
      <c r="D51" s="19" t="n">
        <v>622</v>
      </c>
      <c r="E51" s="18" t="n">
        <v>93.10496766</v>
      </c>
      <c r="F51" s="20" t="n">
        <v>1.06262672</v>
      </c>
      <c r="G51" s="18" t="n">
        <v>4.64210123</v>
      </c>
      <c r="H51" s="20" t="n">
        <v>0.8470549000000001</v>
      </c>
      <c r="I51" s="18" t="s">
        <v>567</v>
      </c>
      <c r="J51" s="20" t="s">
        <v>567</v>
      </c>
      <c r="K51" s="18" t="n">
        <v>0</v>
      </c>
      <c r="L51" s="20" t="n">
        <v>0</v>
      </c>
      <c r="M51" s="18" t="n">
        <v>0.45884008</v>
      </c>
      <c r="N51" s="20" t="n">
        <v>0.35311747</v>
      </c>
      <c r="O51" s="18" t="n">
        <v>0</v>
      </c>
      <c r="P51" s="20" t="n">
        <v>0</v>
      </c>
      <c r="Q51" s="18" t="n">
        <v>1.79409103</v>
      </c>
      <c r="R51" s="20" t="n">
        <v>0.5767886</v>
      </c>
    </row>
    <row r="52" spans="1:18">
      <c r="A52" s="15" t="s">
        <v>612</v>
      </c>
      <c r="B52" s="17" t="n">
        <v>2796</v>
      </c>
      <c r="C52" s="18">
        <f>(2211.0/B52*100)</f>
        <v/>
      </c>
      <c r="D52" s="19" t="n">
        <v>585</v>
      </c>
      <c r="E52" s="18" t="n">
        <v>87.08038773</v>
      </c>
      <c r="F52" s="20" t="n">
        <v>1.64959563</v>
      </c>
      <c r="G52" s="18" t="n">
        <v>9.09091377</v>
      </c>
      <c r="H52" s="20" t="n">
        <v>1.52628555</v>
      </c>
      <c r="I52" s="18" t="s">
        <v>567</v>
      </c>
      <c r="J52" s="20" t="s">
        <v>567</v>
      </c>
      <c r="K52" s="18" t="n">
        <v>0.11851602</v>
      </c>
      <c r="L52" s="20" t="n">
        <v>0.11511273</v>
      </c>
      <c r="M52" s="18" t="n">
        <v>0</v>
      </c>
      <c r="N52" s="20" t="n">
        <v>0</v>
      </c>
      <c r="O52" s="18" t="n">
        <v>0</v>
      </c>
      <c r="P52" s="20" t="n">
        <v>0</v>
      </c>
      <c r="Q52" s="18" t="n">
        <v>3.71018248</v>
      </c>
      <c r="R52" s="20" t="n">
        <v>0.77870823</v>
      </c>
    </row>
    <row r="53" spans="1:18">
      <c r="A53" s="15" t="s">
        <v>613</v>
      </c>
      <c r="B53" s="17" t="n">
        <v>2811</v>
      </c>
      <c r="C53" s="18">
        <f>(2206.0/B53*100)</f>
        <v/>
      </c>
      <c r="D53" s="19" t="n">
        <v>605</v>
      </c>
      <c r="E53" s="18" t="n">
        <v>86.35809274</v>
      </c>
      <c r="F53" s="20" t="n">
        <v>1.52360865</v>
      </c>
      <c r="G53" s="18" t="n">
        <v>5.80783572</v>
      </c>
      <c r="H53" s="20" t="n">
        <v>1.25044299</v>
      </c>
      <c r="I53" s="18" t="s">
        <v>567</v>
      </c>
      <c r="J53" s="20" t="s">
        <v>567</v>
      </c>
      <c r="K53" s="18" t="n">
        <v>0.71860771</v>
      </c>
      <c r="L53" s="20" t="n">
        <v>0.33543369</v>
      </c>
      <c r="M53" s="18" t="n">
        <v>0</v>
      </c>
      <c r="N53" s="20" t="n">
        <v>0</v>
      </c>
      <c r="O53" s="18" t="n">
        <v>0</v>
      </c>
      <c r="P53" s="20" t="n">
        <v>0</v>
      </c>
      <c r="Q53" s="18" t="n">
        <v>7.11546382</v>
      </c>
      <c r="R53" s="20" t="n">
        <v>1.08712623</v>
      </c>
    </row>
    <row r="54" spans="1:18">
      <c r="A54" s="15" t="s">
        <v>614</v>
      </c>
      <c r="B54" s="17" t="n">
        <v>2266</v>
      </c>
      <c r="C54" s="18">
        <f>(1776.0/B54*100)</f>
        <v/>
      </c>
      <c r="D54" s="19" t="n">
        <v>490</v>
      </c>
      <c r="E54" s="18" t="n">
        <v>76.71953872</v>
      </c>
      <c r="F54" s="20" t="n">
        <v>2.19197036</v>
      </c>
      <c r="G54" s="18" t="n">
        <v>1.42942286</v>
      </c>
      <c r="H54" s="20" t="n">
        <v>0.50276471</v>
      </c>
      <c r="I54" s="18" t="s">
        <v>567</v>
      </c>
      <c r="J54" s="20" t="s">
        <v>567</v>
      </c>
      <c r="K54" s="18" t="n">
        <v>14.81437947</v>
      </c>
      <c r="L54" s="20" t="n">
        <v>1.72890205</v>
      </c>
      <c r="M54" s="18" t="n">
        <v>0.61651188</v>
      </c>
      <c r="N54" s="20" t="n">
        <v>0.49422652</v>
      </c>
      <c r="O54" s="18" t="n">
        <v>0</v>
      </c>
      <c r="P54" s="20" t="n">
        <v>0</v>
      </c>
      <c r="Q54" s="18" t="n">
        <v>6.42014706</v>
      </c>
      <c r="R54" s="20" t="n">
        <v>1.49070614</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(2101.0/B56*100)</f>
        <v/>
      </c>
      <c r="D56" s="19" t="n">
        <v>583</v>
      </c>
      <c r="E56" s="18" t="n">
        <v>89.03064289</v>
      </c>
      <c r="F56" s="20" t="n">
        <v>1.3511081</v>
      </c>
      <c r="G56" s="18" t="n">
        <v>9.937391529999999</v>
      </c>
      <c r="H56" s="20" t="n">
        <v>1.2789454</v>
      </c>
      <c r="I56" s="18" t="s">
        <v>567</v>
      </c>
      <c r="J56" s="20" t="s">
        <v>567</v>
      </c>
      <c r="K56" s="18" t="n">
        <v>0.37049563</v>
      </c>
      <c r="L56" s="20" t="n">
        <v>0.28833038</v>
      </c>
      <c r="M56" s="18" t="n">
        <v>0</v>
      </c>
      <c r="N56" s="20" t="n">
        <v>0</v>
      </c>
      <c r="O56" s="18" t="n">
        <v>0</v>
      </c>
      <c r="P56" s="20" t="n">
        <v>0</v>
      </c>
      <c r="Q56" s="18" t="n">
        <v>0.66146994</v>
      </c>
      <c r="R56" s="20" t="n">
        <v>0.21552525</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(2560.0/B61*100)</f>
        <v/>
      </c>
      <c r="D61" s="19" t="n">
        <v>764</v>
      </c>
      <c r="E61" s="18" t="n">
        <v>82.06736911</v>
      </c>
      <c r="F61" s="20" t="n">
        <v>1.36482794</v>
      </c>
      <c r="G61" s="18" t="n">
        <v>15.1067897</v>
      </c>
      <c r="H61" s="20" t="n">
        <v>1.41931205</v>
      </c>
      <c r="I61" s="18" t="s">
        <v>567</v>
      </c>
      <c r="J61" s="20" t="s">
        <v>567</v>
      </c>
      <c r="K61" s="18" t="n">
        <v>0.28357508</v>
      </c>
      <c r="L61" s="20" t="n">
        <v>0.17101271</v>
      </c>
      <c r="M61" s="18" t="n">
        <v>0</v>
      </c>
      <c r="N61" s="20" t="n">
        <v>0</v>
      </c>
      <c r="O61" s="18" t="n">
        <v>0</v>
      </c>
      <c r="P61" s="20" t="n">
        <v>0</v>
      </c>
      <c r="Q61" s="18" t="n">
        <v>2.5422661</v>
      </c>
      <c r="R61" s="20" t="n">
        <v>0.60351506</v>
      </c>
    </row>
    <row r="62" spans="1:18">
      <c r="A62" s="15" t="s">
        <v>622</v>
      </c>
      <c r="B62" s="17" t="n">
        <v>2246</v>
      </c>
      <c r="C62" s="18">
        <f>(1766.0/B62*100)</f>
        <v/>
      </c>
      <c r="D62" s="19" t="n">
        <v>480</v>
      </c>
      <c r="E62" s="18" t="n">
        <v>88.74082654999999</v>
      </c>
      <c r="F62" s="20" t="n">
        <v>1.3844812</v>
      </c>
      <c r="G62" s="18" t="n">
        <v>10.62676242</v>
      </c>
      <c r="H62" s="20" t="n">
        <v>1.38871667</v>
      </c>
      <c r="I62" s="18" t="s">
        <v>567</v>
      </c>
      <c r="J62" s="20" t="s">
        <v>567</v>
      </c>
      <c r="K62" s="18" t="n">
        <v>0.21402707</v>
      </c>
      <c r="L62" s="20" t="n">
        <v>0.21400676</v>
      </c>
      <c r="M62" s="18" t="n">
        <v>0.20689339</v>
      </c>
      <c r="N62" s="20" t="n">
        <v>0.20564492</v>
      </c>
      <c r="O62" s="18" t="n">
        <v>0</v>
      </c>
      <c r="P62" s="20" t="n">
        <v>0</v>
      </c>
      <c r="Q62" s="18" t="n">
        <v>0.21149056</v>
      </c>
      <c r="R62" s="20" t="n">
        <v>0.21030598</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(2254.0/B66*100)</f>
        <v/>
      </c>
      <c r="D66" s="19" t="n">
        <v>640</v>
      </c>
      <c r="E66" s="18" t="n">
        <v>85.31292870999999</v>
      </c>
      <c r="F66" s="20" t="n">
        <v>1.51530716</v>
      </c>
      <c r="G66" s="18" t="n">
        <v>2.36313524</v>
      </c>
      <c r="H66" s="20" t="n">
        <v>0.58212639</v>
      </c>
      <c r="I66" s="18" t="s">
        <v>567</v>
      </c>
      <c r="J66" s="20" t="s">
        <v>567</v>
      </c>
      <c r="K66" s="18" t="n">
        <v>0.62129337</v>
      </c>
      <c r="L66" s="20" t="n">
        <v>0.31249138</v>
      </c>
      <c r="M66" s="18" t="n">
        <v>0.56676921</v>
      </c>
      <c r="N66" s="20" t="n">
        <v>0.28678667</v>
      </c>
      <c r="O66" s="18" t="n">
        <v>0</v>
      </c>
      <c r="P66" s="20" t="n">
        <v>0</v>
      </c>
      <c r="Q66" s="18" t="n">
        <v>11.13587347</v>
      </c>
      <c r="R66" s="20" t="n">
        <v>1.31290332</v>
      </c>
    </row>
    <row r="67" spans="1:18">
      <c r="A67" s="15" t="s">
        <v>627</v>
      </c>
      <c r="B67" s="17" t="n">
        <v>3511</v>
      </c>
      <c r="C67" s="18">
        <f>(2800.0/B67*100)</f>
        <v/>
      </c>
      <c r="D67" s="19" t="n">
        <v>711</v>
      </c>
      <c r="E67" s="18" t="n">
        <v>94.52742431999999</v>
      </c>
      <c r="F67" s="20" t="n">
        <v>0.8176391200000001</v>
      </c>
      <c r="G67" s="18" t="n">
        <v>2.33920437</v>
      </c>
      <c r="H67" s="20" t="n">
        <v>0.63620789</v>
      </c>
      <c r="I67" s="18" t="s">
        <v>567</v>
      </c>
      <c r="J67" s="20" t="s">
        <v>567</v>
      </c>
      <c r="K67" s="18" t="n">
        <v>0.1265386</v>
      </c>
      <c r="L67" s="20" t="n">
        <v>0.12690829</v>
      </c>
      <c r="M67" s="18" t="n">
        <v>0</v>
      </c>
      <c r="N67" s="20" t="n">
        <v>0</v>
      </c>
      <c r="O67" s="18" t="n">
        <v>0</v>
      </c>
      <c r="P67" s="20" t="n">
        <v>0</v>
      </c>
      <c r="Q67" s="18" t="n">
        <v>3.00683271</v>
      </c>
      <c r="R67" s="20" t="n">
        <v>0.59463382</v>
      </c>
    </row>
    <row r="68" spans="1:18">
      <c r="A68" s="15" t="s">
        <v>628</v>
      </c>
      <c r="B68" s="17" t="n">
        <v>6049</v>
      </c>
      <c r="C68" s="18">
        <f>(4692.0/B68*100)</f>
        <v/>
      </c>
      <c r="D68" s="19" t="n">
        <v>1357</v>
      </c>
      <c r="E68" s="18" t="n">
        <v>83.08135072</v>
      </c>
      <c r="F68" s="20" t="n">
        <v>1.03782009</v>
      </c>
      <c r="G68" s="18" t="n">
        <v>6.68505873</v>
      </c>
      <c r="H68" s="20" t="n">
        <v>0.60699647</v>
      </c>
      <c r="I68" s="18" t="s">
        <v>567</v>
      </c>
      <c r="J68" s="20" t="s">
        <v>567</v>
      </c>
      <c r="K68" s="18" t="n">
        <v>1.82202945</v>
      </c>
      <c r="L68" s="20" t="n">
        <v>0.37375337</v>
      </c>
      <c r="M68" s="18" t="n">
        <v>0</v>
      </c>
      <c r="N68" s="20" t="n">
        <v>0</v>
      </c>
      <c r="O68" s="18" t="n">
        <v>0</v>
      </c>
      <c r="P68" s="20" t="n">
        <v>0</v>
      </c>
      <c r="Q68" s="18" t="n">
        <v>8.411561089999999</v>
      </c>
      <c r="R68" s="20" t="n">
        <v>0.833243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(2295.0/B70*100)</f>
        <v/>
      </c>
      <c r="D70" s="19" t="n">
        <v>634</v>
      </c>
      <c r="E70" s="18" t="n">
        <v>83.22678304999999</v>
      </c>
      <c r="F70" s="20" t="n">
        <v>1.63544681</v>
      </c>
      <c r="G70" s="18" t="n">
        <v>14.04204863</v>
      </c>
      <c r="H70" s="20" t="n">
        <v>1.64309631</v>
      </c>
      <c r="I70" s="18" t="s">
        <v>567</v>
      </c>
      <c r="J70" s="20" t="s">
        <v>567</v>
      </c>
      <c r="K70" s="18" t="n">
        <v>0.26481732</v>
      </c>
      <c r="L70" s="20" t="n">
        <v>0.1508464</v>
      </c>
      <c r="M70" s="18" t="n">
        <v>0.17770549</v>
      </c>
      <c r="N70" s="20" t="n">
        <v>0.1785716</v>
      </c>
      <c r="O70" s="18" t="n">
        <v>0</v>
      </c>
      <c r="P70" s="20" t="n">
        <v>0</v>
      </c>
      <c r="Q70" s="18" t="n">
        <v>2.2886455</v>
      </c>
      <c r="R70" s="20" t="n">
        <v>0.58079625</v>
      </c>
    </row>
    <row r="71" spans="1:18">
      <c r="A71" s="15" t="s">
        <v>631</v>
      </c>
      <c r="B71" s="17" t="n">
        <v>3142</v>
      </c>
      <c r="C71" s="18">
        <f>(2441.0/B71*100)</f>
        <v/>
      </c>
      <c r="D71" s="19" t="n">
        <v>701</v>
      </c>
      <c r="E71" s="18" t="n">
        <v>68.98131859</v>
      </c>
      <c r="F71" s="20" t="n">
        <v>1.92652489</v>
      </c>
      <c r="G71" s="18" t="n">
        <v>29.43364019</v>
      </c>
      <c r="H71" s="20" t="n">
        <v>1.9279266</v>
      </c>
      <c r="I71" s="18" t="s">
        <v>567</v>
      </c>
      <c r="J71" s="20" t="s">
        <v>567</v>
      </c>
      <c r="K71" s="18" t="n">
        <v>0.18925325</v>
      </c>
      <c r="L71" s="20" t="n">
        <v>0.13800869</v>
      </c>
      <c r="M71" s="18" t="n">
        <v>0</v>
      </c>
      <c r="N71" s="20" t="n">
        <v>0</v>
      </c>
      <c r="O71" s="18" t="n">
        <v>0</v>
      </c>
      <c r="P71" s="20" t="n">
        <v>0</v>
      </c>
      <c r="Q71" s="18" t="n">
        <v>1.39578797</v>
      </c>
      <c r="R71" s="20" t="n">
        <v>0.36126508</v>
      </c>
    </row>
    <row r="72" spans="1:18">
      <c r="A72" s="15" t="s">
        <v>632</v>
      </c>
      <c r="B72" s="17" t="n">
        <v>3889</v>
      </c>
      <c r="C72" s="18">
        <f>(3037.0/B72*100)</f>
        <v/>
      </c>
      <c r="D72" s="19" t="n">
        <v>852</v>
      </c>
      <c r="E72" s="18" t="n">
        <v>88.34609291</v>
      </c>
      <c r="F72" s="20" t="n">
        <v>1.23624536</v>
      </c>
      <c r="G72" s="18" t="n">
        <v>10.17758831</v>
      </c>
      <c r="H72" s="20" t="n">
        <v>1.2463037</v>
      </c>
      <c r="I72" s="18" t="s">
        <v>567</v>
      </c>
      <c r="J72" s="20" t="s">
        <v>567</v>
      </c>
      <c r="K72" s="18" t="n">
        <v>0.07721187</v>
      </c>
      <c r="L72" s="20" t="n">
        <v>0.07967167</v>
      </c>
      <c r="M72" s="18" t="n">
        <v>0</v>
      </c>
      <c r="N72" s="20" t="n">
        <v>0</v>
      </c>
      <c r="O72" s="18" t="n">
        <v>0</v>
      </c>
      <c r="P72" s="20" t="n">
        <v>0</v>
      </c>
      <c r="Q72" s="18" t="n">
        <v>1.39910691</v>
      </c>
      <c r="R72" s="20" t="n">
        <v>0.40290084</v>
      </c>
    </row>
    <row r="73" spans="1:18">
      <c r="A73" s="15" t="s">
        <v>633</v>
      </c>
      <c r="B73" s="17" t="n">
        <v>3597</v>
      </c>
      <c r="C73" s="18">
        <f>(2825.0/B73*100)</f>
        <v/>
      </c>
      <c r="D73" s="19" t="n">
        <v>772</v>
      </c>
      <c r="E73" s="18" t="n">
        <v>97.47242159</v>
      </c>
      <c r="F73" s="20" t="n">
        <v>0.55339128</v>
      </c>
      <c r="G73" s="18" t="n">
        <v>1.07815017</v>
      </c>
      <c r="H73" s="20" t="n">
        <v>0.37055241</v>
      </c>
      <c r="I73" s="18" t="s">
        <v>567</v>
      </c>
      <c r="J73" s="20" t="s">
        <v>567</v>
      </c>
      <c r="K73" s="18" t="n">
        <v>0</v>
      </c>
      <c r="L73" s="20" t="n">
        <v>0</v>
      </c>
      <c r="M73" s="18" t="n">
        <v>0.18646607</v>
      </c>
      <c r="N73" s="20" t="n">
        <v>0.1794014</v>
      </c>
      <c r="O73" s="18" t="n">
        <v>0</v>
      </c>
      <c r="P73" s="20" t="n">
        <v>0</v>
      </c>
      <c r="Q73" s="18" t="n">
        <v>1.26296217</v>
      </c>
      <c r="R73" s="20" t="n">
        <v>0.47088855</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(1904.0/B75*100)</f>
        <v/>
      </c>
      <c r="D75" s="19" t="n">
        <v>502</v>
      </c>
      <c r="E75" s="18" t="n">
        <v>86.89021182</v>
      </c>
      <c r="F75" s="20" t="n">
        <v>1.70718803</v>
      </c>
      <c r="G75" s="18" t="n">
        <v>1.40179233</v>
      </c>
      <c r="H75" s="20" t="n">
        <v>0.45258358</v>
      </c>
      <c r="I75" s="18" t="s">
        <v>567</v>
      </c>
      <c r="J75" s="20" t="s">
        <v>567</v>
      </c>
      <c r="K75" s="18" t="n">
        <v>2.83733329</v>
      </c>
      <c r="L75" s="20" t="n">
        <v>0.73230748</v>
      </c>
      <c r="M75" s="18" t="n">
        <v>0.58605068</v>
      </c>
      <c r="N75" s="20" t="n">
        <v>0.3413557</v>
      </c>
      <c r="O75" s="18" t="n">
        <v>0</v>
      </c>
      <c r="P75" s="20" t="n">
        <v>0</v>
      </c>
      <c r="Q75" s="18" t="n">
        <v>8.28461188</v>
      </c>
      <c r="R75" s="20" t="n">
        <v>1.42402038</v>
      </c>
    </row>
    <row r="76" spans="1:18">
      <c r="A76" s="15" t="s">
        <v>636</v>
      </c>
      <c r="B76" s="17" t="n">
        <v>7052</v>
      </c>
      <c r="C76" s="18">
        <f>(5499.0/B76*100)</f>
        <v/>
      </c>
      <c r="D76" s="19" t="n">
        <v>1553</v>
      </c>
      <c r="E76" s="18" t="n">
        <v>89.33452966</v>
      </c>
      <c r="F76" s="20" t="n">
        <v>0.96074758</v>
      </c>
      <c r="G76" s="18" t="n">
        <v>5.77118648</v>
      </c>
      <c r="H76" s="20" t="n">
        <v>0.68027321</v>
      </c>
      <c r="I76" s="18" t="s">
        <v>567</v>
      </c>
      <c r="J76" s="20" t="s">
        <v>567</v>
      </c>
      <c r="K76" s="18" t="n">
        <v>0.99166784</v>
      </c>
      <c r="L76" s="20" t="n">
        <v>0.31028021</v>
      </c>
      <c r="M76" s="18" t="n">
        <v>0.0327573</v>
      </c>
      <c r="N76" s="20" t="n">
        <v>0.03271439</v>
      </c>
      <c r="O76" s="18" t="n">
        <v>0</v>
      </c>
      <c r="P76" s="20" t="n">
        <v>0</v>
      </c>
      <c r="Q76" s="18" t="n">
        <v>3.86985872</v>
      </c>
      <c r="R76" s="20" t="n">
        <v>0.67833032</v>
      </c>
    </row>
    <row r="77" spans="1:18">
      <c r="A77" s="15" t="s">
        <v>637</v>
      </c>
      <c r="B77" s="17" t="n">
        <v>2908</v>
      </c>
      <c r="C77" s="18">
        <f>(2358.0/B77*100)</f>
        <v/>
      </c>
      <c r="D77" s="19" t="n">
        <v>550</v>
      </c>
      <c r="E77" s="18" t="n">
        <v>82.82297669</v>
      </c>
      <c r="F77" s="20" t="n">
        <v>1.71151252</v>
      </c>
      <c r="G77" s="18" t="n">
        <v>8.404416250000001</v>
      </c>
      <c r="H77" s="20" t="n">
        <v>1.15283672</v>
      </c>
      <c r="I77" s="18" t="s">
        <v>567</v>
      </c>
      <c r="J77" s="20" t="s">
        <v>567</v>
      </c>
      <c r="K77" s="18" t="n">
        <v>1.1466301</v>
      </c>
      <c r="L77" s="20" t="n">
        <v>0.49063386</v>
      </c>
      <c r="M77" s="18" t="n">
        <v>0</v>
      </c>
      <c r="N77" s="20" t="n">
        <v>0</v>
      </c>
      <c r="O77" s="18" t="n">
        <v>0</v>
      </c>
      <c r="P77" s="20" t="n">
        <v>0</v>
      </c>
      <c r="Q77" s="18" t="n">
        <v>7.62597696</v>
      </c>
      <c r="R77" s="20" t="n">
        <v>1.2000759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(3273.0/B81*100)</f>
        <v/>
      </c>
      <c r="D81" s="19" t="n">
        <v>890</v>
      </c>
      <c r="E81" s="18" t="n">
        <v>95.17659734</v>
      </c>
      <c r="F81" s="20" t="n">
        <v>0.84368923</v>
      </c>
      <c r="G81" s="18" t="n">
        <v>4.33736474</v>
      </c>
      <c r="H81" s="20" t="n">
        <v>0.80712669</v>
      </c>
      <c r="I81" s="18" t="s">
        <v>567</v>
      </c>
      <c r="J81" s="20" t="s">
        <v>567</v>
      </c>
      <c r="K81" s="18" t="n">
        <v>0</v>
      </c>
      <c r="L81" s="20" t="n">
        <v>0</v>
      </c>
      <c r="M81" s="18" t="n">
        <v>0</v>
      </c>
      <c r="N81" s="20" t="n">
        <v>0</v>
      </c>
      <c r="O81" s="18" t="n">
        <v>0</v>
      </c>
      <c r="P81" s="20" t="n">
        <v>0</v>
      </c>
      <c r="Q81" s="18" t="n">
        <v>0.48603792</v>
      </c>
      <c r="R81" s="20" t="n">
        <v>0.24996281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(5739.0/B7*100)</f>
        <v/>
      </c>
      <c r="D7" s="19" t="n">
        <v>1628</v>
      </c>
      <c r="E7" s="18" t="n">
        <v>47.19962943</v>
      </c>
      <c r="F7" s="20" t="n">
        <v>1.30807767</v>
      </c>
      <c r="G7" s="18" t="n">
        <v>48.55696971</v>
      </c>
      <c r="H7" s="20" t="n">
        <v>1.39613693</v>
      </c>
      <c r="I7" s="18" t="s">
        <v>567</v>
      </c>
      <c r="J7" s="20" t="s">
        <v>567</v>
      </c>
      <c r="K7" s="18" t="n">
        <v>0.30885179</v>
      </c>
      <c r="L7" s="20" t="n">
        <v>0.16378711</v>
      </c>
      <c r="M7" s="18" t="n">
        <v>0</v>
      </c>
      <c r="N7" s="20" t="n">
        <v>0</v>
      </c>
      <c r="O7" s="18" t="n">
        <v>0</v>
      </c>
      <c r="P7" s="20" t="n">
        <v>0</v>
      </c>
      <c r="Q7" s="18" t="n">
        <v>3.93454906</v>
      </c>
      <c r="R7" s="20" t="n">
        <v>0.51712188</v>
      </c>
    </row>
    <row r="8" spans="1:18">
      <c r="A8" s="15" t="s">
        <v>568</v>
      </c>
      <c r="B8" s="17" t="n">
        <v>3564</v>
      </c>
      <c r="C8" s="18">
        <f>(2775.0/B8*100)</f>
        <v/>
      </c>
      <c r="D8" s="19" t="n">
        <v>789</v>
      </c>
      <c r="E8" s="18" t="n">
        <v>40.00329392</v>
      </c>
      <c r="F8" s="20" t="n">
        <v>2.33937452</v>
      </c>
      <c r="G8" s="18" t="n">
        <v>58.17117353</v>
      </c>
      <c r="H8" s="20" t="n">
        <v>2.41244983</v>
      </c>
      <c r="I8" s="18" t="s">
        <v>567</v>
      </c>
      <c r="J8" s="20" t="s">
        <v>567</v>
      </c>
      <c r="K8" s="18" t="n">
        <v>0</v>
      </c>
      <c r="L8" s="20" t="n">
        <v>0</v>
      </c>
      <c r="M8" s="18" t="n">
        <v>0</v>
      </c>
      <c r="N8" s="20" t="n">
        <v>0</v>
      </c>
      <c r="O8" s="18" t="n">
        <v>0</v>
      </c>
      <c r="P8" s="20" t="n">
        <v>0</v>
      </c>
      <c r="Q8" s="18" t="n">
        <v>1.82553255</v>
      </c>
      <c r="R8" s="20" t="n">
        <v>0.46269077</v>
      </c>
    </row>
    <row r="9" spans="1:18">
      <c r="A9" s="15" t="s">
        <v>569</v>
      </c>
      <c r="B9" s="17" t="n">
        <v>4899</v>
      </c>
      <c r="C9" s="18">
        <f>(3870.0/B9*100)</f>
        <v/>
      </c>
      <c r="D9" s="19" t="n">
        <v>1029</v>
      </c>
      <c r="E9" s="18" t="n">
        <v>40.1144357</v>
      </c>
      <c r="F9" s="20" t="n">
        <v>1.72981265</v>
      </c>
      <c r="G9" s="18" t="n">
        <v>58.02605554</v>
      </c>
      <c r="H9" s="20" t="n">
        <v>1.7776593</v>
      </c>
      <c r="I9" s="18" t="s">
        <v>567</v>
      </c>
      <c r="J9" s="20" t="s">
        <v>567</v>
      </c>
      <c r="K9" s="18" t="n">
        <v>0.36677231</v>
      </c>
      <c r="L9" s="20" t="n">
        <v>0.15607831</v>
      </c>
      <c r="M9" s="18" t="n">
        <v>0</v>
      </c>
      <c r="N9" s="20" t="n">
        <v>0</v>
      </c>
      <c r="O9" s="18" t="n">
        <v>0</v>
      </c>
      <c r="P9" s="20" t="n">
        <v>0</v>
      </c>
      <c r="Q9" s="18" t="n">
        <v>1.49273645</v>
      </c>
      <c r="R9" s="20" t="n">
        <v>0.32108098</v>
      </c>
    </row>
    <row r="10" spans="1:18">
      <c r="A10" s="15" t="s">
        <v>570</v>
      </c>
      <c r="B10" s="17" t="n">
        <v>10036</v>
      </c>
      <c r="C10" s="18">
        <f>(7763.0/B10*100)</f>
        <v/>
      </c>
      <c r="D10" s="19" t="n">
        <v>2273</v>
      </c>
      <c r="E10" s="18" t="n">
        <v>44.51051916</v>
      </c>
      <c r="F10" s="20" t="n">
        <v>1.348087</v>
      </c>
      <c r="G10" s="18" t="n">
        <v>51.99363182</v>
      </c>
      <c r="H10" s="20" t="n">
        <v>1.32682694</v>
      </c>
      <c r="I10" s="18" t="s">
        <v>567</v>
      </c>
      <c r="J10" s="20" t="s">
        <v>567</v>
      </c>
      <c r="K10" s="18" t="n">
        <v>0.19171534</v>
      </c>
      <c r="L10" s="20" t="n">
        <v>0.11339475</v>
      </c>
      <c r="M10" s="18" t="n">
        <v>0</v>
      </c>
      <c r="N10" s="20" t="n">
        <v>0</v>
      </c>
      <c r="O10" s="18" t="n">
        <v>0</v>
      </c>
      <c r="P10" s="20" t="n">
        <v>0</v>
      </c>
      <c r="Q10" s="18" t="n">
        <v>3.30413369</v>
      </c>
      <c r="R10" s="20" t="n">
        <v>0.58185025</v>
      </c>
    </row>
    <row r="11" spans="1:18">
      <c r="A11" s="15" t="s">
        <v>571</v>
      </c>
      <c r="B11" s="17" t="n">
        <v>3553</v>
      </c>
      <c r="C11" s="18">
        <f>(2760.0/B11*100)</f>
        <v/>
      </c>
      <c r="D11" s="19" t="n">
        <v>793</v>
      </c>
      <c r="E11" s="18" t="n">
        <v>56.23734269</v>
      </c>
      <c r="F11" s="20" t="n">
        <v>2.40339725</v>
      </c>
      <c r="G11" s="18" t="n">
        <v>39.16116877</v>
      </c>
      <c r="H11" s="20" t="n">
        <v>2.22760478</v>
      </c>
      <c r="I11" s="18" t="s">
        <v>567</v>
      </c>
      <c r="J11" s="20" t="s">
        <v>567</v>
      </c>
      <c r="K11" s="18" t="n">
        <v>0.67332068</v>
      </c>
      <c r="L11" s="20" t="n">
        <v>0.3071903</v>
      </c>
      <c r="M11" s="18" t="n">
        <v>0</v>
      </c>
      <c r="N11" s="20" t="n">
        <v>0</v>
      </c>
      <c r="O11" s="18" t="n">
        <v>0</v>
      </c>
      <c r="P11" s="20" t="n">
        <v>0</v>
      </c>
      <c r="Q11" s="18" t="n">
        <v>3.92816785</v>
      </c>
      <c r="R11" s="20" t="n">
        <v>0.70580763</v>
      </c>
    </row>
    <row r="12" spans="1:18">
      <c r="A12" s="15" t="s">
        <v>572</v>
      </c>
      <c r="B12" s="17" t="n">
        <v>3472</v>
      </c>
      <c r="C12" s="18">
        <f>(2757.0/B12*100)</f>
        <v/>
      </c>
      <c r="D12" s="19" t="n">
        <v>715</v>
      </c>
      <c r="E12" s="18" t="n">
        <v>43.64977579</v>
      </c>
      <c r="F12" s="20" t="n">
        <v>2.03249439</v>
      </c>
      <c r="G12" s="18" t="n">
        <v>54.43496034</v>
      </c>
      <c r="H12" s="20" t="n">
        <v>2.12202913</v>
      </c>
      <c r="I12" s="18" t="s">
        <v>567</v>
      </c>
      <c r="J12" s="20" t="s">
        <v>567</v>
      </c>
      <c r="K12" s="18" t="n">
        <v>0.17942565</v>
      </c>
      <c r="L12" s="20" t="n">
        <v>0.12962998</v>
      </c>
      <c r="M12" s="18" t="n">
        <v>0</v>
      </c>
      <c r="N12" s="20" t="n">
        <v>0</v>
      </c>
      <c r="O12" s="18" t="n">
        <v>0</v>
      </c>
      <c r="P12" s="20" t="n">
        <v>0</v>
      </c>
      <c r="Q12" s="18" t="n">
        <v>1.73583822</v>
      </c>
      <c r="R12" s="20" t="n">
        <v>0.5382621399999999</v>
      </c>
    </row>
    <row r="13" spans="1:18">
      <c r="A13" s="15" t="s">
        <v>573</v>
      </c>
      <c r="B13" s="17" t="n">
        <v>3559</v>
      </c>
      <c r="C13" s="18">
        <f>(2803.0/B13*100)</f>
        <v/>
      </c>
      <c r="D13" s="19" t="n">
        <v>756</v>
      </c>
      <c r="E13" s="18" t="n">
        <v>47.46231843</v>
      </c>
      <c r="F13" s="20" t="n">
        <v>2.26978421</v>
      </c>
      <c r="G13" s="18" t="n">
        <v>50.70744352</v>
      </c>
      <c r="H13" s="20" t="n">
        <v>2.23699044</v>
      </c>
      <c r="I13" s="18" t="s">
        <v>567</v>
      </c>
      <c r="J13" s="20" t="s">
        <v>567</v>
      </c>
      <c r="K13" s="18" t="n">
        <v>0.08321496</v>
      </c>
      <c r="L13" s="20" t="n">
        <v>0.05762215</v>
      </c>
      <c r="M13" s="18" t="n">
        <v>0</v>
      </c>
      <c r="N13" s="20" t="n">
        <v>0</v>
      </c>
      <c r="O13" s="18" t="n">
        <v>0</v>
      </c>
      <c r="P13" s="20" t="n">
        <v>0</v>
      </c>
      <c r="Q13" s="18" t="n">
        <v>1.74702309</v>
      </c>
      <c r="R13" s="20" t="n">
        <v>0.62193865</v>
      </c>
    </row>
    <row r="14" spans="1:18">
      <c r="A14" s="15" t="s">
        <v>574</v>
      </c>
      <c r="B14" s="17" t="n">
        <v>2799</v>
      </c>
      <c r="C14" s="18">
        <f>(2160.0/B14*100)</f>
        <v/>
      </c>
      <c r="D14" s="19" t="n">
        <v>639</v>
      </c>
      <c r="E14" s="18" t="n">
        <v>37.83664941</v>
      </c>
      <c r="F14" s="20" t="n">
        <v>1.97174709</v>
      </c>
      <c r="G14" s="18" t="n">
        <v>60.58637184</v>
      </c>
      <c r="H14" s="20" t="n">
        <v>1.83357803</v>
      </c>
      <c r="I14" s="18" t="s">
        <v>567</v>
      </c>
      <c r="J14" s="20" t="s">
        <v>567</v>
      </c>
      <c r="K14" s="18" t="n">
        <v>1.05428769</v>
      </c>
      <c r="L14" s="20" t="n">
        <v>0.51437727</v>
      </c>
      <c r="M14" s="18" t="n">
        <v>0</v>
      </c>
      <c r="N14" s="20" t="n">
        <v>0</v>
      </c>
      <c r="O14" s="18" t="n">
        <v>0</v>
      </c>
      <c r="P14" s="20" t="n">
        <v>0</v>
      </c>
      <c r="Q14" s="18" t="n">
        <v>0.52269106</v>
      </c>
      <c r="R14" s="20" t="n">
        <v>0.26384498</v>
      </c>
    </row>
    <row r="15" spans="1:18">
      <c r="A15" s="15" t="s">
        <v>575</v>
      </c>
      <c r="B15" s="17" t="n">
        <v>3019</v>
      </c>
      <c r="C15" s="18">
        <f>(2351.0/B15*100)</f>
        <v/>
      </c>
      <c r="D15" s="19" t="n">
        <v>668</v>
      </c>
      <c r="E15" s="18" t="n">
        <v>36.53690562</v>
      </c>
      <c r="F15" s="20" t="n">
        <v>1.89293216</v>
      </c>
      <c r="G15" s="18" t="n">
        <v>61.90671182</v>
      </c>
      <c r="H15" s="20" t="n">
        <v>1.81465698</v>
      </c>
      <c r="I15" s="18" t="s">
        <v>567</v>
      </c>
      <c r="J15" s="20" t="s">
        <v>567</v>
      </c>
      <c r="K15" s="18" t="n">
        <v>0.15419846</v>
      </c>
      <c r="L15" s="20" t="n">
        <v>0.1546614</v>
      </c>
      <c r="M15" s="18" t="n">
        <v>0</v>
      </c>
      <c r="N15" s="20" t="n">
        <v>0</v>
      </c>
      <c r="O15" s="18" t="n">
        <v>0</v>
      </c>
      <c r="P15" s="20" t="n">
        <v>0</v>
      </c>
      <c r="Q15" s="18" t="n">
        <v>1.4021841</v>
      </c>
      <c r="R15" s="20" t="n">
        <v>0.47573463</v>
      </c>
    </row>
    <row r="16" spans="1:18">
      <c r="A16" s="15" t="s">
        <v>576</v>
      </c>
      <c r="B16" s="17" t="n">
        <v>2997</v>
      </c>
      <c r="C16" s="18">
        <f>(2326.0/B16*100)</f>
        <v/>
      </c>
      <c r="D16" s="19" t="n">
        <v>671</v>
      </c>
      <c r="E16" s="18" t="n">
        <v>45.19302195</v>
      </c>
      <c r="F16" s="20" t="n">
        <v>2.02151441</v>
      </c>
      <c r="G16" s="18" t="n">
        <v>50.95392932</v>
      </c>
      <c r="H16" s="20" t="n">
        <v>1.93778353</v>
      </c>
      <c r="I16" s="18" t="s">
        <v>567</v>
      </c>
      <c r="J16" s="20" t="s">
        <v>567</v>
      </c>
      <c r="K16" s="18" t="n">
        <v>1.12761517</v>
      </c>
      <c r="L16" s="20" t="n">
        <v>0.40542678</v>
      </c>
      <c r="M16" s="18" t="n">
        <v>0</v>
      </c>
      <c r="N16" s="20" t="n">
        <v>0</v>
      </c>
      <c r="O16" s="18" t="n">
        <v>0</v>
      </c>
      <c r="P16" s="20" t="n">
        <v>0</v>
      </c>
      <c r="Q16" s="18" t="n">
        <v>2.72543356</v>
      </c>
      <c r="R16" s="20" t="n">
        <v>0.61667881</v>
      </c>
    </row>
    <row r="17" spans="1:18">
      <c r="A17" s="15" t="s">
        <v>577</v>
      </c>
      <c r="B17" s="17" t="n">
        <v>3307</v>
      </c>
      <c r="C17" s="18">
        <f>(2560.0/B17*100)</f>
        <v/>
      </c>
      <c r="D17" s="19" t="n">
        <v>747</v>
      </c>
      <c r="E17" s="18" t="n">
        <v>35.89916679</v>
      </c>
      <c r="F17" s="20" t="n">
        <v>1.88956887</v>
      </c>
      <c r="G17" s="18" t="n">
        <v>62.42574061</v>
      </c>
      <c r="H17" s="20" t="n">
        <v>1.93254609</v>
      </c>
      <c r="I17" s="18" t="s">
        <v>567</v>
      </c>
      <c r="J17" s="20" t="s">
        <v>567</v>
      </c>
      <c r="K17" s="18" t="n">
        <v>0.25617681</v>
      </c>
      <c r="L17" s="20" t="n">
        <v>0.18020858</v>
      </c>
      <c r="M17" s="18" t="n">
        <v>0</v>
      </c>
      <c r="N17" s="20" t="n">
        <v>0</v>
      </c>
      <c r="O17" s="18" t="n">
        <v>0</v>
      </c>
      <c r="P17" s="20" t="n">
        <v>0</v>
      </c>
      <c r="Q17" s="18" t="n">
        <v>1.41891579</v>
      </c>
      <c r="R17" s="20" t="n">
        <v>0.44858362</v>
      </c>
    </row>
    <row r="18" spans="1:18">
      <c r="A18" s="15" t="s">
        <v>578</v>
      </c>
      <c r="B18" s="17" t="n">
        <v>2826</v>
      </c>
      <c r="C18" s="18">
        <f>(2219.0/B18*100)</f>
        <v/>
      </c>
      <c r="D18" s="19" t="n">
        <v>607</v>
      </c>
      <c r="E18" s="18" t="n">
        <v>63.96132134</v>
      </c>
      <c r="F18" s="20" t="n">
        <v>1.94759147</v>
      </c>
      <c r="G18" s="18" t="n">
        <v>34.0601851</v>
      </c>
      <c r="H18" s="20" t="n">
        <v>2.0091792</v>
      </c>
      <c r="I18" s="18" t="s">
        <v>567</v>
      </c>
      <c r="J18" s="20" t="s">
        <v>567</v>
      </c>
      <c r="K18" s="18" t="n">
        <v>0.32838986</v>
      </c>
      <c r="L18" s="20" t="n">
        <v>0.23169578</v>
      </c>
      <c r="M18" s="18" t="n">
        <v>0</v>
      </c>
      <c r="N18" s="20" t="n">
        <v>0</v>
      </c>
      <c r="O18" s="18" t="n">
        <v>0</v>
      </c>
      <c r="P18" s="20" t="n">
        <v>0</v>
      </c>
      <c r="Q18" s="18" t="n">
        <v>1.65010369</v>
      </c>
      <c r="R18" s="20" t="n">
        <v>0.47423407</v>
      </c>
    </row>
    <row r="19" spans="1:18">
      <c r="A19" s="15" t="s">
        <v>579</v>
      </c>
      <c r="B19" s="17" t="n">
        <v>2808</v>
      </c>
      <c r="C19" s="18">
        <f>(2214.0/B19*100)</f>
        <v/>
      </c>
      <c r="D19" s="19" t="n">
        <v>594</v>
      </c>
      <c r="E19" s="18" t="n">
        <v>48.90200605</v>
      </c>
      <c r="F19" s="20" t="n">
        <v>2.31873296</v>
      </c>
      <c r="G19" s="18" t="n">
        <v>48.22358992</v>
      </c>
      <c r="H19" s="20" t="n">
        <v>2.26099854</v>
      </c>
      <c r="I19" s="18" t="s">
        <v>567</v>
      </c>
      <c r="J19" s="20" t="s">
        <v>567</v>
      </c>
      <c r="K19" s="18" t="n">
        <v>0</v>
      </c>
      <c r="L19" s="20" t="n">
        <v>0</v>
      </c>
      <c r="M19" s="18" t="n">
        <v>0</v>
      </c>
      <c r="N19" s="20" t="n">
        <v>0</v>
      </c>
      <c r="O19" s="18" t="n">
        <v>0</v>
      </c>
      <c r="P19" s="20" t="n">
        <v>0</v>
      </c>
      <c r="Q19" s="18" t="n">
        <v>2.87440404</v>
      </c>
      <c r="R19" s="20" t="n">
        <v>0.67764315</v>
      </c>
    </row>
    <row r="20" spans="1:18">
      <c r="A20" s="15" t="s">
        <v>580</v>
      </c>
      <c r="B20" s="17" t="n">
        <v>1630</v>
      </c>
      <c r="C20" s="18">
        <f>(1259.0/B20*100)</f>
        <v/>
      </c>
      <c r="D20" s="19" t="n">
        <v>371</v>
      </c>
      <c r="E20" s="18" t="n">
        <v>49.71910188</v>
      </c>
      <c r="F20" s="20" t="n">
        <v>2.57463097</v>
      </c>
      <c r="G20" s="18" t="n">
        <v>47.25945703</v>
      </c>
      <c r="H20" s="20" t="n">
        <v>2.56502112</v>
      </c>
      <c r="I20" s="18" t="s">
        <v>567</v>
      </c>
      <c r="J20" s="20" t="s">
        <v>567</v>
      </c>
      <c r="K20" s="18" t="n">
        <v>1.57528577</v>
      </c>
      <c r="L20" s="20" t="n">
        <v>0.61677026</v>
      </c>
      <c r="M20" s="18" t="n">
        <v>0</v>
      </c>
      <c r="N20" s="20" t="n">
        <v>0</v>
      </c>
      <c r="O20" s="18" t="n">
        <v>0</v>
      </c>
      <c r="P20" s="20" t="n">
        <v>0</v>
      </c>
      <c r="Q20" s="18" t="n">
        <v>1.44615532</v>
      </c>
      <c r="R20" s="20" t="n">
        <v>0.6423014500000001</v>
      </c>
    </row>
    <row r="21" spans="1:18">
      <c r="A21" s="15" t="s">
        <v>581</v>
      </c>
      <c r="B21" s="17" t="n">
        <v>2908</v>
      </c>
      <c r="C21" s="18">
        <f>(2288.0/B21*100)</f>
        <v/>
      </c>
      <c r="D21" s="19" t="n">
        <v>620</v>
      </c>
      <c r="E21" s="18" t="n">
        <v>45.5052955</v>
      </c>
      <c r="F21" s="20" t="n">
        <v>2.42961881</v>
      </c>
      <c r="G21" s="18" t="n">
        <v>53.73770266</v>
      </c>
      <c r="H21" s="20" t="n">
        <v>2.40724244</v>
      </c>
      <c r="I21" s="18" t="s">
        <v>567</v>
      </c>
      <c r="J21" s="20" t="s">
        <v>567</v>
      </c>
      <c r="K21" s="18" t="n">
        <v>0</v>
      </c>
      <c r="L21" s="20" t="n">
        <v>0</v>
      </c>
      <c r="M21" s="18" t="n">
        <v>0</v>
      </c>
      <c r="N21" s="20" t="n">
        <v>0</v>
      </c>
      <c r="O21" s="18" t="n">
        <v>0</v>
      </c>
      <c r="P21" s="20" t="n">
        <v>0</v>
      </c>
      <c r="Q21" s="18" t="n">
        <v>0.75700183</v>
      </c>
      <c r="R21" s="20" t="n">
        <v>0.36645482</v>
      </c>
    </row>
    <row r="22" spans="1:18">
      <c r="A22" s="15" t="s">
        <v>582</v>
      </c>
      <c r="B22" s="17" t="n">
        <v>2931</v>
      </c>
      <c r="C22" s="18">
        <f>(2271.0/B22*100)</f>
        <v/>
      </c>
      <c r="D22" s="19" t="n">
        <v>660</v>
      </c>
      <c r="E22" s="18" t="n">
        <v>49.80299193</v>
      </c>
      <c r="F22" s="20" t="n">
        <v>2.31546649</v>
      </c>
      <c r="G22" s="18" t="n">
        <v>46.832677</v>
      </c>
      <c r="H22" s="20" t="n">
        <v>2.4081486</v>
      </c>
      <c r="I22" s="18" t="s">
        <v>567</v>
      </c>
      <c r="J22" s="20" t="s">
        <v>567</v>
      </c>
      <c r="K22" s="18" t="n">
        <v>0.61239838</v>
      </c>
      <c r="L22" s="20" t="n">
        <v>0.32575542</v>
      </c>
      <c r="M22" s="18" t="n">
        <v>0</v>
      </c>
      <c r="N22" s="20" t="n">
        <v>0</v>
      </c>
      <c r="O22" s="18" t="n">
        <v>0</v>
      </c>
      <c r="P22" s="20" t="n">
        <v>0</v>
      </c>
      <c r="Q22" s="18" t="n">
        <v>2.75193269</v>
      </c>
      <c r="R22" s="20" t="n">
        <v>0.66720052</v>
      </c>
    </row>
    <row r="23" spans="1:18">
      <c r="A23" s="15" t="s">
        <v>583</v>
      </c>
      <c r="B23" s="17" t="n">
        <v>5791</v>
      </c>
      <c r="C23" s="18">
        <f>(4511.0/B23*100)</f>
        <v/>
      </c>
      <c r="D23" s="19" t="n">
        <v>1280</v>
      </c>
      <c r="E23" s="18" t="n">
        <v>49.75117155</v>
      </c>
      <c r="F23" s="20" t="n">
        <v>1.97519418</v>
      </c>
      <c r="G23" s="18" t="n">
        <v>45.20027871</v>
      </c>
      <c r="H23" s="20" t="n">
        <v>2.15199985</v>
      </c>
      <c r="I23" s="18" t="s">
        <v>567</v>
      </c>
      <c r="J23" s="20" t="s">
        <v>567</v>
      </c>
      <c r="K23" s="18" t="n">
        <v>0.32526503</v>
      </c>
      <c r="L23" s="20" t="n">
        <v>0.19365704</v>
      </c>
      <c r="M23" s="18" t="n">
        <v>0</v>
      </c>
      <c r="N23" s="20" t="n">
        <v>0</v>
      </c>
      <c r="O23" s="18" t="n">
        <v>0</v>
      </c>
      <c r="P23" s="20" t="n">
        <v>0</v>
      </c>
      <c r="Q23" s="18" t="n">
        <v>4.72328471</v>
      </c>
      <c r="R23" s="20" t="n">
        <v>0.68190791</v>
      </c>
    </row>
    <row r="24" spans="1:18">
      <c r="A24" s="15" t="s">
        <v>584</v>
      </c>
      <c r="B24" s="17" t="n">
        <v>3338</v>
      </c>
      <c r="C24" s="18">
        <f>(2598.0/B24*100)</f>
        <v/>
      </c>
      <c r="D24" s="19" t="n">
        <v>740</v>
      </c>
      <c r="E24" s="18" t="n">
        <v>36.66945996</v>
      </c>
      <c r="F24" s="20" t="n">
        <v>2.02282347</v>
      </c>
      <c r="G24" s="18" t="n">
        <v>62.54627255</v>
      </c>
      <c r="H24" s="20" t="n">
        <v>2.0591896</v>
      </c>
      <c r="I24" s="18" t="s">
        <v>567</v>
      </c>
      <c r="J24" s="20" t="s">
        <v>567</v>
      </c>
      <c r="K24" s="18" t="n">
        <v>0.26843239</v>
      </c>
      <c r="L24" s="20" t="n">
        <v>0.18562144</v>
      </c>
      <c r="M24" s="18" t="n">
        <v>0</v>
      </c>
      <c r="N24" s="20" t="n">
        <v>0</v>
      </c>
      <c r="O24" s="18" t="n">
        <v>0</v>
      </c>
      <c r="P24" s="20" t="n">
        <v>0</v>
      </c>
      <c r="Q24" s="18" t="n">
        <v>0.5158351</v>
      </c>
      <c r="R24" s="20" t="n">
        <v>0.25998091</v>
      </c>
    </row>
    <row r="25" spans="1:18">
      <c r="A25" s="15" t="s">
        <v>585</v>
      </c>
      <c r="B25" s="17" t="n">
        <v>2912</v>
      </c>
      <c r="C25" s="18">
        <f>(2245.0/B25*100)</f>
        <v/>
      </c>
      <c r="D25" s="19" t="n">
        <v>667</v>
      </c>
      <c r="E25" s="18" t="n">
        <v>39.65433165</v>
      </c>
      <c r="F25" s="20" t="n">
        <v>1.99199502</v>
      </c>
      <c r="G25" s="18" t="n">
        <v>59.31063534</v>
      </c>
      <c r="H25" s="20" t="n">
        <v>2.05821412</v>
      </c>
      <c r="I25" s="18" t="s">
        <v>567</v>
      </c>
      <c r="J25" s="20" t="s">
        <v>567</v>
      </c>
      <c r="K25" s="18" t="n">
        <v>0.46709647</v>
      </c>
      <c r="L25" s="20" t="n">
        <v>0.35791141</v>
      </c>
      <c r="M25" s="18" t="n">
        <v>0</v>
      </c>
      <c r="N25" s="20" t="n">
        <v>0</v>
      </c>
      <c r="O25" s="18" t="n">
        <v>0</v>
      </c>
      <c r="P25" s="20" t="n">
        <v>0</v>
      </c>
      <c r="Q25" s="18" t="n">
        <v>0.56793654</v>
      </c>
      <c r="R25" s="20" t="n">
        <v>0.28371055</v>
      </c>
    </row>
    <row r="26" spans="1:18">
      <c r="A26" s="15" t="s">
        <v>586</v>
      </c>
      <c r="B26" s="17" t="n">
        <v>2450</v>
      </c>
      <c r="C26" s="18">
        <f>(1903.0/B26*100)</f>
        <v/>
      </c>
      <c r="D26" s="19" t="n">
        <v>547</v>
      </c>
      <c r="E26" s="18" t="n">
        <v>44.72194187</v>
      </c>
      <c r="F26" s="20" t="n">
        <v>2.39466418</v>
      </c>
      <c r="G26" s="18" t="n">
        <v>53.60539091</v>
      </c>
      <c r="H26" s="20" t="n">
        <v>2.43495616</v>
      </c>
      <c r="I26" s="18" t="s">
        <v>567</v>
      </c>
      <c r="J26" s="20" t="s">
        <v>567</v>
      </c>
      <c r="K26" s="18" t="n">
        <v>0</v>
      </c>
      <c r="L26" s="20" t="n">
        <v>0</v>
      </c>
      <c r="M26" s="18" t="n">
        <v>0</v>
      </c>
      <c r="N26" s="20" t="n">
        <v>0</v>
      </c>
      <c r="O26" s="18" t="n">
        <v>0</v>
      </c>
      <c r="P26" s="20" t="n">
        <v>0</v>
      </c>
      <c r="Q26" s="18" t="n">
        <v>1.67266722</v>
      </c>
      <c r="R26" s="20" t="n">
        <v>0.49431278</v>
      </c>
    </row>
    <row r="27" spans="1:18">
      <c r="A27" s="15" t="s">
        <v>587</v>
      </c>
      <c r="B27" s="17" t="n">
        <v>2616</v>
      </c>
      <c r="C27" s="18">
        <f>(2052.0/B27*100)</f>
        <v/>
      </c>
      <c r="D27" s="19" t="n">
        <v>564</v>
      </c>
      <c r="E27" s="18" t="n">
        <v>48.30893591</v>
      </c>
      <c r="F27" s="20" t="n">
        <v>2.08555898</v>
      </c>
      <c r="G27" s="18" t="n">
        <v>49.00825476</v>
      </c>
      <c r="H27" s="20" t="n">
        <v>2.16780862</v>
      </c>
      <c r="I27" s="18" t="s">
        <v>567</v>
      </c>
      <c r="J27" s="20" t="s">
        <v>567</v>
      </c>
      <c r="K27" s="18" t="n">
        <v>0.71388943</v>
      </c>
      <c r="L27" s="20" t="n">
        <v>0.35737575</v>
      </c>
      <c r="M27" s="18" t="n">
        <v>0</v>
      </c>
      <c r="N27" s="20" t="n">
        <v>0</v>
      </c>
      <c r="O27" s="18" t="n">
        <v>0</v>
      </c>
      <c r="P27" s="20" t="n">
        <v>0</v>
      </c>
      <c r="Q27" s="18" t="n">
        <v>1.9689199</v>
      </c>
      <c r="R27" s="20" t="n">
        <v>0.48530472</v>
      </c>
    </row>
    <row r="28" spans="1:18">
      <c r="A28" s="15" t="s">
        <v>588</v>
      </c>
      <c r="B28" s="17" t="n">
        <v>3765</v>
      </c>
      <c r="C28" s="18">
        <f>(2993.0/B28*100)</f>
        <v/>
      </c>
      <c r="D28" s="19" t="n">
        <v>772</v>
      </c>
      <c r="E28" s="18" t="n">
        <v>66.70981892</v>
      </c>
      <c r="F28" s="20" t="n">
        <v>1.8017187</v>
      </c>
      <c r="G28" s="18" t="n">
        <v>28.72964302</v>
      </c>
      <c r="H28" s="20" t="n">
        <v>1.79075587</v>
      </c>
      <c r="I28" s="18" t="s">
        <v>567</v>
      </c>
      <c r="J28" s="20" t="s">
        <v>567</v>
      </c>
      <c r="K28" s="18" t="n">
        <v>0.64921901</v>
      </c>
      <c r="L28" s="20" t="n">
        <v>0.3398855</v>
      </c>
      <c r="M28" s="18" t="n">
        <v>0</v>
      </c>
      <c r="N28" s="20" t="n">
        <v>0</v>
      </c>
      <c r="O28" s="18" t="n">
        <v>0</v>
      </c>
      <c r="P28" s="20" t="n">
        <v>0</v>
      </c>
      <c r="Q28" s="18" t="n">
        <v>3.91131905</v>
      </c>
      <c r="R28" s="20" t="n">
        <v>0.7923597999999999</v>
      </c>
    </row>
    <row r="29" spans="1:18">
      <c r="A29" s="15" t="s">
        <v>589</v>
      </c>
      <c r="B29" s="17" t="n">
        <v>2685</v>
      </c>
      <c r="C29" s="18">
        <f>(2097.0/B29*100)</f>
        <v/>
      </c>
      <c r="D29" s="19" t="n">
        <v>588</v>
      </c>
      <c r="E29" s="18" t="n">
        <v>43.33129601</v>
      </c>
      <c r="F29" s="20" t="n">
        <v>2.09529212</v>
      </c>
      <c r="G29" s="18" t="n">
        <v>54.47419347</v>
      </c>
      <c r="H29" s="20" t="n">
        <v>2.04167353</v>
      </c>
      <c r="I29" s="18" t="s">
        <v>567</v>
      </c>
      <c r="J29" s="20" t="s">
        <v>567</v>
      </c>
      <c r="K29" s="18" t="n">
        <v>0.44541849</v>
      </c>
      <c r="L29" s="20" t="n">
        <v>0.28506678</v>
      </c>
      <c r="M29" s="18" t="n">
        <v>0</v>
      </c>
      <c r="N29" s="20" t="n">
        <v>0</v>
      </c>
      <c r="O29" s="18" t="n">
        <v>0</v>
      </c>
      <c r="P29" s="20" t="n">
        <v>0</v>
      </c>
      <c r="Q29" s="18" t="n">
        <v>1.74909202</v>
      </c>
      <c r="R29" s="20" t="n">
        <v>0.44402469</v>
      </c>
    </row>
    <row r="30" spans="1:18">
      <c r="A30" s="15" t="s">
        <v>590</v>
      </c>
      <c r="B30" s="17" t="n">
        <v>2263</v>
      </c>
      <c r="C30" s="18">
        <f>(1777.0/B30*100)</f>
        <v/>
      </c>
      <c r="D30" s="19" t="n">
        <v>486</v>
      </c>
      <c r="E30" s="18" t="n">
        <v>43.08868367</v>
      </c>
      <c r="F30" s="20" t="n">
        <v>2.19360542</v>
      </c>
      <c r="G30" s="18" t="n">
        <v>51.03052801</v>
      </c>
      <c r="H30" s="20" t="n">
        <v>1.97965516</v>
      </c>
      <c r="I30" s="18" t="s">
        <v>567</v>
      </c>
      <c r="J30" s="20" t="s">
        <v>567</v>
      </c>
      <c r="K30" s="18" t="n">
        <v>0.7497986800000001</v>
      </c>
      <c r="L30" s="20" t="n">
        <v>0.37686043</v>
      </c>
      <c r="M30" s="18" t="n">
        <v>0</v>
      </c>
      <c r="N30" s="20" t="n">
        <v>0</v>
      </c>
      <c r="O30" s="18" t="n">
        <v>0</v>
      </c>
      <c r="P30" s="20" t="n">
        <v>0</v>
      </c>
      <c r="Q30" s="18" t="n">
        <v>5.13098964</v>
      </c>
      <c r="R30" s="20" t="n">
        <v>1.44069262</v>
      </c>
    </row>
    <row r="31" spans="1:18">
      <c r="A31" s="15" t="s">
        <v>591</v>
      </c>
      <c r="B31" s="17" t="n">
        <v>2750</v>
      </c>
      <c r="C31" s="18">
        <f>(2140.0/B31*100)</f>
        <v/>
      </c>
      <c r="D31" s="19" t="n">
        <v>610</v>
      </c>
      <c r="E31" s="18" t="n">
        <v>39.5184285</v>
      </c>
      <c r="F31" s="20" t="n">
        <v>1.94589166</v>
      </c>
      <c r="G31" s="18" t="n">
        <v>57.56485737</v>
      </c>
      <c r="H31" s="20" t="n">
        <v>1.87054876</v>
      </c>
      <c r="I31" s="18" t="s">
        <v>567</v>
      </c>
      <c r="J31" s="20" t="s">
        <v>567</v>
      </c>
      <c r="K31" s="18" t="n">
        <v>0.49558405</v>
      </c>
      <c r="L31" s="20" t="n">
        <v>0.29088323</v>
      </c>
      <c r="M31" s="18" t="n">
        <v>0</v>
      </c>
      <c r="N31" s="20" t="n">
        <v>0</v>
      </c>
      <c r="O31" s="18" t="n">
        <v>0</v>
      </c>
      <c r="P31" s="20" t="n">
        <v>0</v>
      </c>
      <c r="Q31" s="18" t="n">
        <v>2.42113007</v>
      </c>
      <c r="R31" s="20" t="n">
        <v>0.61870395</v>
      </c>
    </row>
    <row r="32" spans="1:18">
      <c r="A32" s="15" t="s">
        <v>592</v>
      </c>
      <c r="B32" s="17" t="n">
        <v>2269</v>
      </c>
      <c r="C32" s="18">
        <f>(1737.0/B32*100)</f>
        <v/>
      </c>
      <c r="D32" s="19" t="n">
        <v>532</v>
      </c>
      <c r="E32" s="18" t="n">
        <v>40.33714378</v>
      </c>
      <c r="F32" s="20" t="n">
        <v>2.4349287</v>
      </c>
      <c r="G32" s="18" t="n">
        <v>57.7865369</v>
      </c>
      <c r="H32" s="20" t="n">
        <v>2.43772861</v>
      </c>
      <c r="I32" s="18" t="s">
        <v>567</v>
      </c>
      <c r="J32" s="20" t="s">
        <v>567</v>
      </c>
      <c r="K32" s="18" t="n">
        <v>0.16297266</v>
      </c>
      <c r="L32" s="20" t="n">
        <v>0.16294823</v>
      </c>
      <c r="M32" s="18" t="n">
        <v>0</v>
      </c>
      <c r="N32" s="20" t="n">
        <v>0</v>
      </c>
      <c r="O32" s="18" t="n">
        <v>0</v>
      </c>
      <c r="P32" s="20" t="n">
        <v>0</v>
      </c>
      <c r="Q32" s="18" t="n">
        <v>1.71334666</v>
      </c>
      <c r="R32" s="20" t="n">
        <v>0.56385898</v>
      </c>
    </row>
    <row r="33" spans="1:18">
      <c r="A33" s="15" t="s">
        <v>593</v>
      </c>
      <c r="B33" s="17" t="n">
        <v>3674</v>
      </c>
      <c r="C33" s="18">
        <f>(2900.0/B33*100)</f>
        <v/>
      </c>
      <c r="D33" s="19" t="n">
        <v>774</v>
      </c>
      <c r="E33" s="18" t="n">
        <v>55.85744676</v>
      </c>
      <c r="F33" s="20" t="n">
        <v>1.77477609</v>
      </c>
      <c r="G33" s="18" t="n">
        <v>41.20541475</v>
      </c>
      <c r="H33" s="20" t="n">
        <v>1.77583923</v>
      </c>
      <c r="I33" s="18" t="s">
        <v>567</v>
      </c>
      <c r="J33" s="20" t="s">
        <v>567</v>
      </c>
      <c r="K33" s="18" t="n">
        <v>0.40794069</v>
      </c>
      <c r="L33" s="20" t="n">
        <v>0.34046526</v>
      </c>
      <c r="M33" s="18" t="n">
        <v>0</v>
      </c>
      <c r="N33" s="20" t="n">
        <v>0</v>
      </c>
      <c r="O33" s="18" t="n">
        <v>0</v>
      </c>
      <c r="P33" s="20" t="n">
        <v>0</v>
      </c>
      <c r="Q33" s="18" t="n">
        <v>2.52919781</v>
      </c>
      <c r="R33" s="20" t="n">
        <v>0.63474927</v>
      </c>
    </row>
    <row r="34" spans="1:18">
      <c r="A34" s="15" t="s">
        <v>594</v>
      </c>
      <c r="B34" s="17" t="n">
        <v>3315</v>
      </c>
      <c r="C34" s="18">
        <f>(2591.0/B34*100)</f>
        <v/>
      </c>
      <c r="D34" s="19" t="n">
        <v>724</v>
      </c>
      <c r="E34" s="18" t="n">
        <v>55.43999282</v>
      </c>
      <c r="F34" s="20" t="n">
        <v>1.88688832</v>
      </c>
      <c r="G34" s="18" t="n">
        <v>43.24820402</v>
      </c>
      <c r="H34" s="20" t="n">
        <v>1.82631092</v>
      </c>
      <c r="I34" s="18" t="s">
        <v>567</v>
      </c>
      <c r="J34" s="20" t="s">
        <v>567</v>
      </c>
      <c r="K34" s="18" t="n">
        <v>0.20401363</v>
      </c>
      <c r="L34" s="20" t="n">
        <v>0.20139473</v>
      </c>
      <c r="M34" s="18" t="n">
        <v>0</v>
      </c>
      <c r="N34" s="20" t="n">
        <v>0</v>
      </c>
      <c r="O34" s="18" t="n">
        <v>0</v>
      </c>
      <c r="P34" s="20" t="n">
        <v>0</v>
      </c>
      <c r="Q34" s="18" t="n">
        <v>1.10778953</v>
      </c>
      <c r="R34" s="20" t="n">
        <v>0.44877412</v>
      </c>
    </row>
    <row r="35" spans="1:18">
      <c r="A35" s="15" t="s">
        <v>595</v>
      </c>
      <c r="B35" s="17" t="n">
        <v>3505</v>
      </c>
      <c r="C35" s="18">
        <f>(2762.0/B35*100)</f>
        <v/>
      </c>
      <c r="D35" s="19" t="n">
        <v>743</v>
      </c>
      <c r="E35" s="18" t="n">
        <v>43.82116593</v>
      </c>
      <c r="F35" s="20" t="n">
        <v>2.20197794</v>
      </c>
      <c r="G35" s="18" t="n">
        <v>53.12830349</v>
      </c>
      <c r="H35" s="20" t="n">
        <v>2.0790514</v>
      </c>
      <c r="I35" s="18" t="s">
        <v>567</v>
      </c>
      <c r="J35" s="20" t="s">
        <v>567</v>
      </c>
      <c r="K35" s="18" t="n">
        <v>0.96372081</v>
      </c>
      <c r="L35" s="20" t="n">
        <v>0.7295767399999999</v>
      </c>
      <c r="M35" s="18" t="n">
        <v>0</v>
      </c>
      <c r="N35" s="20" t="n">
        <v>0</v>
      </c>
      <c r="O35" s="18" t="n">
        <v>0</v>
      </c>
      <c r="P35" s="20" t="n">
        <v>0</v>
      </c>
      <c r="Q35" s="18" t="n">
        <v>2.08680977</v>
      </c>
      <c r="R35" s="20" t="n">
        <v>0.8844198599999999</v>
      </c>
    </row>
    <row r="36" spans="1:18">
      <c r="A36" s="15" t="s">
        <v>596</v>
      </c>
      <c r="B36" s="17" t="n">
        <v>3332</v>
      </c>
      <c r="C36" s="18">
        <f>(2631.0/B36*100)</f>
        <v/>
      </c>
      <c r="D36" s="19" t="n">
        <v>701</v>
      </c>
      <c r="E36" s="18" t="n">
        <v>47.71459815</v>
      </c>
      <c r="F36" s="20" t="n">
        <v>2.08748575</v>
      </c>
      <c r="G36" s="18" t="n">
        <v>50.11239047</v>
      </c>
      <c r="H36" s="20" t="n">
        <v>2.10347992</v>
      </c>
      <c r="I36" s="18" t="s">
        <v>567</v>
      </c>
      <c r="J36" s="20" t="s">
        <v>567</v>
      </c>
      <c r="K36" s="18" t="n">
        <v>0.23986377</v>
      </c>
      <c r="L36" s="20" t="n">
        <v>0.21657725</v>
      </c>
      <c r="M36" s="18" t="n">
        <v>0</v>
      </c>
      <c r="N36" s="20" t="n">
        <v>0</v>
      </c>
      <c r="O36" s="18" t="n">
        <v>0</v>
      </c>
      <c r="P36" s="20" t="n">
        <v>0</v>
      </c>
      <c r="Q36" s="18" t="n">
        <v>1.9331476</v>
      </c>
      <c r="R36" s="20" t="n">
        <v>0.5240908399999999</v>
      </c>
    </row>
    <row r="37" spans="1:18">
      <c r="A37" s="15" t="s">
        <v>597</v>
      </c>
      <c r="B37" s="17" t="n">
        <v>2727</v>
      </c>
      <c r="C37" s="18">
        <f>(2137.0/B37*100)</f>
        <v/>
      </c>
      <c r="D37" s="19" t="n">
        <v>590</v>
      </c>
      <c r="E37" s="18" t="n">
        <v>46.93996386</v>
      </c>
      <c r="F37" s="20" t="n">
        <v>2.138009</v>
      </c>
      <c r="G37" s="18" t="n">
        <v>48.84916167</v>
      </c>
      <c r="H37" s="20" t="n">
        <v>2.29561279</v>
      </c>
      <c r="I37" s="18" t="s">
        <v>567</v>
      </c>
      <c r="J37" s="20" t="s">
        <v>567</v>
      </c>
      <c r="K37" s="18" t="n">
        <v>0.8069264</v>
      </c>
      <c r="L37" s="20" t="n">
        <v>0.36415253</v>
      </c>
      <c r="M37" s="18" t="n">
        <v>0</v>
      </c>
      <c r="N37" s="20" t="n">
        <v>0</v>
      </c>
      <c r="O37" s="18" t="n">
        <v>0</v>
      </c>
      <c r="P37" s="20" t="n">
        <v>0</v>
      </c>
      <c r="Q37" s="18" t="n">
        <v>3.40394807</v>
      </c>
      <c r="R37" s="20" t="n">
        <v>0.70367487</v>
      </c>
    </row>
    <row r="38" spans="1:18">
      <c r="A38" s="15" t="s">
        <v>598</v>
      </c>
      <c r="B38" s="17" t="n">
        <v>3053</v>
      </c>
      <c r="C38" s="18">
        <f>(2394.0/B38*100)</f>
        <v/>
      </c>
      <c r="D38" s="19" t="n">
        <v>659</v>
      </c>
      <c r="E38" s="18" t="n">
        <v>36.07733834</v>
      </c>
      <c r="F38" s="20" t="n">
        <v>2.23841987</v>
      </c>
      <c r="G38" s="18" t="n">
        <v>59.38085154</v>
      </c>
      <c r="H38" s="20" t="n">
        <v>2.31327806</v>
      </c>
      <c r="I38" s="18" t="s">
        <v>567</v>
      </c>
      <c r="J38" s="20" t="s">
        <v>567</v>
      </c>
      <c r="K38" s="18" t="n">
        <v>0.42918707</v>
      </c>
      <c r="L38" s="20" t="n">
        <v>0.29796545</v>
      </c>
      <c r="M38" s="18" t="n">
        <v>0</v>
      </c>
      <c r="N38" s="20" t="n">
        <v>0</v>
      </c>
      <c r="O38" s="18" t="n">
        <v>0</v>
      </c>
      <c r="P38" s="20" t="n">
        <v>0</v>
      </c>
      <c r="Q38" s="18" t="n">
        <v>4.11262305</v>
      </c>
      <c r="R38" s="20" t="n">
        <v>0.91912117</v>
      </c>
    </row>
    <row r="39" spans="1:18">
      <c r="A39" s="15" t="s">
        <v>599</v>
      </c>
      <c r="B39" s="17" t="n">
        <v>2957</v>
      </c>
      <c r="C39" s="18">
        <f>(2298.0/B39*100)</f>
        <v/>
      </c>
      <c r="D39" s="19" t="n">
        <v>659</v>
      </c>
      <c r="E39" s="18" t="n">
        <v>66.7282326</v>
      </c>
      <c r="F39" s="20" t="n">
        <v>2.3289721</v>
      </c>
      <c r="G39" s="18" t="n">
        <v>30.28320592</v>
      </c>
      <c r="H39" s="20" t="n">
        <v>2.16808626</v>
      </c>
      <c r="I39" s="18" t="s">
        <v>567</v>
      </c>
      <c r="J39" s="20" t="s">
        <v>567</v>
      </c>
      <c r="K39" s="18" t="n">
        <v>0</v>
      </c>
      <c r="L39" s="20" t="n">
        <v>0</v>
      </c>
      <c r="M39" s="18" t="n">
        <v>0</v>
      </c>
      <c r="N39" s="20" t="n">
        <v>0</v>
      </c>
      <c r="O39" s="18" t="n">
        <v>0</v>
      </c>
      <c r="P39" s="20" t="n">
        <v>0</v>
      </c>
      <c r="Q39" s="18" t="n">
        <v>2.98856148</v>
      </c>
      <c r="R39" s="20" t="n">
        <v>0.71795199</v>
      </c>
    </row>
    <row r="40" spans="1:18">
      <c r="A40" s="15" t="s">
        <v>600</v>
      </c>
      <c r="B40" s="17" t="n">
        <v>7235</v>
      </c>
      <c r="C40" s="18">
        <f>(5663.0/B40*100)</f>
        <v/>
      </c>
      <c r="D40" s="19" t="n">
        <v>1572</v>
      </c>
      <c r="E40" s="18" t="n">
        <v>45.93062357</v>
      </c>
      <c r="F40" s="20" t="n">
        <v>1.65302894</v>
      </c>
      <c r="G40" s="18" t="n">
        <v>50.84434337</v>
      </c>
      <c r="H40" s="20" t="n">
        <v>1.76182146</v>
      </c>
      <c r="I40" s="18" t="s">
        <v>567</v>
      </c>
      <c r="J40" s="20" t="s">
        <v>567</v>
      </c>
      <c r="K40" s="18" t="n">
        <v>0.49958658</v>
      </c>
      <c r="L40" s="20" t="n">
        <v>0.30287871</v>
      </c>
      <c r="M40" s="18" t="n">
        <v>0</v>
      </c>
      <c r="N40" s="20" t="n">
        <v>0</v>
      </c>
      <c r="O40" s="18" t="n">
        <v>0</v>
      </c>
      <c r="P40" s="20" t="n">
        <v>0</v>
      </c>
      <c r="Q40" s="18" t="n">
        <v>2.72544649</v>
      </c>
      <c r="R40" s="20" t="n">
        <v>0.62463455</v>
      </c>
    </row>
    <row r="41" spans="1:18">
      <c r="A41" s="15" t="s">
        <v>601</v>
      </c>
      <c r="B41" s="17" t="n">
        <v>2858</v>
      </c>
      <c r="C41" s="18">
        <f>(2269.0/B41*100)</f>
        <v/>
      </c>
      <c r="D41" s="19" t="n">
        <v>589</v>
      </c>
      <c r="E41" s="18" t="n">
        <v>46.67980992</v>
      </c>
      <c r="F41" s="20" t="n">
        <v>2.14432501</v>
      </c>
      <c r="G41" s="18" t="n">
        <v>50.68629334</v>
      </c>
      <c r="H41" s="20" t="n">
        <v>2.25112908</v>
      </c>
      <c r="I41" s="18" t="s">
        <v>567</v>
      </c>
      <c r="J41" s="20" t="s">
        <v>567</v>
      </c>
      <c r="K41" s="18" t="n">
        <v>0.2018977</v>
      </c>
      <c r="L41" s="20" t="n">
        <v>0.14140584</v>
      </c>
      <c r="M41" s="18" t="n">
        <v>0</v>
      </c>
      <c r="N41" s="20" t="n">
        <v>0</v>
      </c>
      <c r="O41" s="18" t="n">
        <v>0</v>
      </c>
      <c r="P41" s="20" t="n">
        <v>0</v>
      </c>
      <c r="Q41" s="18" t="n">
        <v>2.43199904</v>
      </c>
      <c r="R41" s="20" t="n">
        <v>0.58817738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(9191.0/B46*100)</f>
        <v/>
      </c>
      <c r="D46" s="19" t="n">
        <v>1877</v>
      </c>
      <c r="E46" s="18" t="n">
        <v>64.02615470000001</v>
      </c>
      <c r="F46" s="20" t="n">
        <v>1.56732003</v>
      </c>
      <c r="G46" s="18" t="n">
        <v>26.21465362</v>
      </c>
      <c r="H46" s="20" t="n">
        <v>1.4571497</v>
      </c>
      <c r="I46" s="18" t="s">
        <v>567</v>
      </c>
      <c r="J46" s="20" t="s">
        <v>567</v>
      </c>
      <c r="K46" s="18" t="n">
        <v>2.39283485</v>
      </c>
      <c r="L46" s="20" t="n">
        <v>0.5799339999999999</v>
      </c>
      <c r="M46" s="18" t="n">
        <v>0</v>
      </c>
      <c r="N46" s="20" t="n">
        <v>0</v>
      </c>
      <c r="O46" s="18" t="n">
        <v>0</v>
      </c>
      <c r="P46" s="20" t="n">
        <v>0</v>
      </c>
      <c r="Q46" s="18" t="n">
        <v>7.36635683</v>
      </c>
      <c r="R46" s="20" t="n">
        <v>0.89542957</v>
      </c>
    </row>
    <row r="47" spans="1:18">
      <c r="A47" s="15" t="s">
        <v>607</v>
      </c>
      <c r="B47" s="17" t="n">
        <v>3105</v>
      </c>
      <c r="C47" s="18">
        <f>(2412.0/B47*100)</f>
        <v/>
      </c>
      <c r="D47" s="19" t="n">
        <v>693</v>
      </c>
      <c r="E47" s="18" t="n">
        <v>64.12928144</v>
      </c>
      <c r="F47" s="20" t="n">
        <v>2.09458968</v>
      </c>
      <c r="G47" s="18" t="n">
        <v>32.36788551</v>
      </c>
      <c r="H47" s="20" t="n">
        <v>2.20272314</v>
      </c>
      <c r="I47" s="18" t="s">
        <v>567</v>
      </c>
      <c r="J47" s="20" t="s">
        <v>567</v>
      </c>
      <c r="K47" s="18" t="n">
        <v>0.24412062</v>
      </c>
      <c r="L47" s="20" t="n">
        <v>0.17030933</v>
      </c>
      <c r="M47" s="18" t="n">
        <v>0</v>
      </c>
      <c r="N47" s="20" t="n">
        <v>0</v>
      </c>
      <c r="O47" s="18" t="n">
        <v>0</v>
      </c>
      <c r="P47" s="20" t="n">
        <v>0</v>
      </c>
      <c r="Q47" s="18" t="n">
        <v>3.25871243</v>
      </c>
      <c r="R47" s="20" t="n">
        <v>0.69456805</v>
      </c>
    </row>
    <row r="48" spans="1:18">
      <c r="A48" s="15" t="s">
        <v>608</v>
      </c>
      <c r="B48" s="17" t="n">
        <v>5159</v>
      </c>
      <c r="C48" s="18">
        <f>(3977.0/B48*100)</f>
        <v/>
      </c>
      <c r="D48" s="19" t="n">
        <v>1182</v>
      </c>
      <c r="E48" s="18" t="n">
        <v>49.54040031</v>
      </c>
      <c r="F48" s="20" t="n">
        <v>2.63024199</v>
      </c>
      <c r="G48" s="18" t="n">
        <v>47.89872015</v>
      </c>
      <c r="H48" s="20" t="n">
        <v>2.44674374</v>
      </c>
      <c r="I48" s="18" t="s">
        <v>567</v>
      </c>
      <c r="J48" s="20" t="s">
        <v>567</v>
      </c>
      <c r="K48" s="18" t="n">
        <v>0.3409785</v>
      </c>
      <c r="L48" s="20" t="n">
        <v>0.21255982</v>
      </c>
      <c r="M48" s="18" t="n">
        <v>0</v>
      </c>
      <c r="N48" s="20" t="n">
        <v>0</v>
      </c>
      <c r="O48" s="18" t="n">
        <v>0</v>
      </c>
      <c r="P48" s="20" t="n">
        <v>0</v>
      </c>
      <c r="Q48" s="18" t="n">
        <v>2.21990105</v>
      </c>
      <c r="R48" s="20" t="n">
        <v>0.61616886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(4455.0/B50*100)</f>
        <v/>
      </c>
      <c r="D50" s="19" t="n">
        <v>1182</v>
      </c>
      <c r="E50" s="18" t="n">
        <v>69.65755161</v>
      </c>
      <c r="F50" s="20" t="n">
        <v>2.02445775</v>
      </c>
      <c r="G50" s="18" t="n">
        <v>27.36607816</v>
      </c>
      <c r="H50" s="20" t="n">
        <v>1.90359623</v>
      </c>
      <c r="I50" s="18" t="s">
        <v>567</v>
      </c>
      <c r="J50" s="20" t="s">
        <v>567</v>
      </c>
      <c r="K50" s="18" t="n">
        <v>0.63999896</v>
      </c>
      <c r="L50" s="20" t="n">
        <v>0.27169721</v>
      </c>
      <c r="M50" s="18" t="n">
        <v>0</v>
      </c>
      <c r="N50" s="20" t="n">
        <v>0</v>
      </c>
      <c r="O50" s="18" t="n">
        <v>0</v>
      </c>
      <c r="P50" s="20" t="n">
        <v>0</v>
      </c>
      <c r="Q50" s="18" t="n">
        <v>2.33637127</v>
      </c>
      <c r="R50" s="20" t="n">
        <v>0.57022015</v>
      </c>
    </row>
    <row r="51" spans="1:18">
      <c r="A51" s="15" t="s">
        <v>611</v>
      </c>
      <c r="B51" s="17" t="n">
        <v>3372</v>
      </c>
      <c r="C51" s="18">
        <f>(2748.0/B51*100)</f>
        <v/>
      </c>
      <c r="D51" s="19" t="n">
        <v>624</v>
      </c>
      <c r="E51" s="18" t="n">
        <v>64.00030092</v>
      </c>
      <c r="F51" s="20" t="n">
        <v>2.33047402</v>
      </c>
      <c r="G51" s="18" t="n">
        <v>32.52853335</v>
      </c>
      <c r="H51" s="20" t="n">
        <v>2.22415494</v>
      </c>
      <c r="I51" s="18" t="s">
        <v>567</v>
      </c>
      <c r="J51" s="20" t="s">
        <v>567</v>
      </c>
      <c r="K51" s="18" t="n">
        <v>0.08077413</v>
      </c>
      <c r="L51" s="20" t="n">
        <v>0.08255831</v>
      </c>
      <c r="M51" s="18" t="n">
        <v>0</v>
      </c>
      <c r="N51" s="20" t="n">
        <v>0</v>
      </c>
      <c r="O51" s="18" t="n">
        <v>0</v>
      </c>
      <c r="P51" s="20" t="n">
        <v>0</v>
      </c>
      <c r="Q51" s="18" t="n">
        <v>3.3903916</v>
      </c>
      <c r="R51" s="20" t="n">
        <v>0.74128496</v>
      </c>
    </row>
    <row r="52" spans="1:18">
      <c r="A52" s="15" t="s">
        <v>612</v>
      </c>
      <c r="B52" s="17" t="n">
        <v>2796</v>
      </c>
      <c r="C52" s="18">
        <f>(2211.0/B52*100)</f>
        <v/>
      </c>
      <c r="D52" s="19" t="n">
        <v>585</v>
      </c>
      <c r="E52" s="18" t="n">
        <v>47.53187933</v>
      </c>
      <c r="F52" s="20" t="n">
        <v>2.35871505</v>
      </c>
      <c r="G52" s="18" t="n">
        <v>50.71896775</v>
      </c>
      <c r="H52" s="20" t="n">
        <v>2.26826186</v>
      </c>
      <c r="I52" s="18" t="s">
        <v>567</v>
      </c>
      <c r="J52" s="20" t="s">
        <v>567</v>
      </c>
      <c r="K52" s="18" t="n">
        <v>0.11851602</v>
      </c>
      <c r="L52" s="20" t="n">
        <v>0.11511273</v>
      </c>
      <c r="M52" s="18" t="n">
        <v>0</v>
      </c>
      <c r="N52" s="20" t="n">
        <v>0</v>
      </c>
      <c r="O52" s="18" t="n">
        <v>0</v>
      </c>
      <c r="P52" s="20" t="n">
        <v>0</v>
      </c>
      <c r="Q52" s="18" t="n">
        <v>1.6306369</v>
      </c>
      <c r="R52" s="20" t="n">
        <v>0.5735983099999999</v>
      </c>
    </row>
    <row r="53" spans="1:18">
      <c r="A53" s="15" t="s">
        <v>613</v>
      </c>
      <c r="B53" s="17" t="n">
        <v>2811</v>
      </c>
      <c r="C53" s="18">
        <f>(2207.0/B53*100)</f>
        <v/>
      </c>
      <c r="D53" s="19" t="n">
        <v>604</v>
      </c>
      <c r="E53" s="18" t="n">
        <v>76.07372753999999</v>
      </c>
      <c r="F53" s="20" t="n">
        <v>1.81494398</v>
      </c>
      <c r="G53" s="18" t="n">
        <v>20.83999916</v>
      </c>
      <c r="H53" s="20" t="n">
        <v>1.68880378</v>
      </c>
      <c r="I53" s="18" t="s">
        <v>567</v>
      </c>
      <c r="J53" s="20" t="s">
        <v>567</v>
      </c>
      <c r="K53" s="18" t="n">
        <v>0.72000913</v>
      </c>
      <c r="L53" s="20" t="n">
        <v>0.33606416</v>
      </c>
      <c r="M53" s="18" t="n">
        <v>0</v>
      </c>
      <c r="N53" s="20" t="n">
        <v>0</v>
      </c>
      <c r="O53" s="18" t="n">
        <v>0</v>
      </c>
      <c r="P53" s="20" t="n">
        <v>0</v>
      </c>
      <c r="Q53" s="18" t="n">
        <v>2.36626417</v>
      </c>
      <c r="R53" s="20" t="n">
        <v>0.5601648</v>
      </c>
    </row>
    <row r="54" spans="1:18">
      <c r="A54" s="15" t="s">
        <v>614</v>
      </c>
      <c r="B54" s="17" t="n">
        <v>2266</v>
      </c>
      <c r="C54" s="18">
        <f>(1777.0/B54*100)</f>
        <v/>
      </c>
      <c r="D54" s="19" t="n">
        <v>489</v>
      </c>
      <c r="E54" s="18" t="n">
        <v>71.39422836999999</v>
      </c>
      <c r="F54" s="20" t="n">
        <v>2.62412682</v>
      </c>
      <c r="G54" s="18" t="n">
        <v>9.06810791</v>
      </c>
      <c r="H54" s="20" t="n">
        <v>1.76826228</v>
      </c>
      <c r="I54" s="18" t="s">
        <v>567</v>
      </c>
      <c r="J54" s="20" t="s">
        <v>567</v>
      </c>
      <c r="K54" s="18" t="n">
        <v>16.19526532</v>
      </c>
      <c r="L54" s="20" t="n">
        <v>1.84652293</v>
      </c>
      <c r="M54" s="18" t="n">
        <v>0</v>
      </c>
      <c r="N54" s="20" t="n">
        <v>0</v>
      </c>
      <c r="O54" s="18" t="n">
        <v>0</v>
      </c>
      <c r="P54" s="20" t="n">
        <v>0</v>
      </c>
      <c r="Q54" s="18" t="n">
        <v>3.3423984</v>
      </c>
      <c r="R54" s="20" t="n">
        <v>0.9251804</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(2102.0/B56*100)</f>
        <v/>
      </c>
      <c r="D56" s="19" t="n">
        <v>582</v>
      </c>
      <c r="E56" s="18" t="n">
        <v>47.09510492</v>
      </c>
      <c r="F56" s="20" t="n">
        <v>1.90612372</v>
      </c>
      <c r="G56" s="18" t="n">
        <v>50.09740277</v>
      </c>
      <c r="H56" s="20" t="n">
        <v>2.01078313</v>
      </c>
      <c r="I56" s="18" t="s">
        <v>567</v>
      </c>
      <c r="J56" s="20" t="s">
        <v>567</v>
      </c>
      <c r="K56" s="18" t="n">
        <v>0.37103096</v>
      </c>
      <c r="L56" s="20" t="n">
        <v>0.28902119</v>
      </c>
      <c r="M56" s="18" t="n">
        <v>0</v>
      </c>
      <c r="N56" s="20" t="n">
        <v>0</v>
      </c>
      <c r="O56" s="18" t="n">
        <v>0</v>
      </c>
      <c r="P56" s="20" t="n">
        <v>0</v>
      </c>
      <c r="Q56" s="18" t="n">
        <v>2.43646135</v>
      </c>
      <c r="R56" s="20" t="n">
        <v>0.70448757</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(2560.0/B61*100)</f>
        <v/>
      </c>
      <c r="D61" s="19" t="n">
        <v>764</v>
      </c>
      <c r="E61" s="18" t="n">
        <v>40.35245973</v>
      </c>
      <c r="F61" s="20" t="n">
        <v>2.07447247</v>
      </c>
      <c r="G61" s="18" t="n">
        <v>58.63105094</v>
      </c>
      <c r="H61" s="20" t="n">
        <v>2.07371807</v>
      </c>
      <c r="I61" s="18" t="s">
        <v>567</v>
      </c>
      <c r="J61" s="20" t="s">
        <v>567</v>
      </c>
      <c r="K61" s="18" t="n">
        <v>0.28357508</v>
      </c>
      <c r="L61" s="20" t="n">
        <v>0.17101271</v>
      </c>
      <c r="M61" s="18" t="n">
        <v>0</v>
      </c>
      <c r="N61" s="20" t="n">
        <v>0</v>
      </c>
      <c r="O61" s="18" t="n">
        <v>0</v>
      </c>
      <c r="P61" s="20" t="n">
        <v>0</v>
      </c>
      <c r="Q61" s="18" t="n">
        <v>0.73291425</v>
      </c>
      <c r="R61" s="20" t="n">
        <v>0.36537853</v>
      </c>
    </row>
    <row r="62" spans="1:18">
      <c r="A62" s="15" t="s">
        <v>622</v>
      </c>
      <c r="B62" s="17" t="n">
        <v>2246</v>
      </c>
      <c r="C62" s="18">
        <f>(1766.0/B62*100)</f>
        <v/>
      </c>
      <c r="D62" s="19" t="n">
        <v>480</v>
      </c>
      <c r="E62" s="18" t="n">
        <v>50.39216435</v>
      </c>
      <c r="F62" s="20" t="n">
        <v>2.44682474</v>
      </c>
      <c r="G62" s="18" t="n">
        <v>48.35474445</v>
      </c>
      <c r="H62" s="20" t="n">
        <v>2.45721449</v>
      </c>
      <c r="I62" s="18" t="s">
        <v>567</v>
      </c>
      <c r="J62" s="20" t="s">
        <v>567</v>
      </c>
      <c r="K62" s="18" t="n">
        <v>0.21402707</v>
      </c>
      <c r="L62" s="20" t="n">
        <v>0.21400676</v>
      </c>
      <c r="M62" s="18" t="n">
        <v>0</v>
      </c>
      <c r="N62" s="20" t="n">
        <v>0</v>
      </c>
      <c r="O62" s="18" t="n">
        <v>0</v>
      </c>
      <c r="P62" s="20" t="n">
        <v>0</v>
      </c>
      <c r="Q62" s="18" t="n">
        <v>1.03906412</v>
      </c>
      <c r="R62" s="20" t="n">
        <v>0.46343969</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(2254.0/B66*100)</f>
        <v/>
      </c>
      <c r="D66" s="19" t="n">
        <v>640</v>
      </c>
      <c r="E66" s="18" t="n">
        <v>67.4647714</v>
      </c>
      <c r="F66" s="20" t="n">
        <v>1.91893289</v>
      </c>
      <c r="G66" s="18" t="n">
        <v>25.13293509</v>
      </c>
      <c r="H66" s="20" t="n">
        <v>1.79753703</v>
      </c>
      <c r="I66" s="18" t="s">
        <v>567</v>
      </c>
      <c r="J66" s="20" t="s">
        <v>567</v>
      </c>
      <c r="K66" s="18" t="n">
        <v>0.62129337</v>
      </c>
      <c r="L66" s="20" t="n">
        <v>0.31249138</v>
      </c>
      <c r="M66" s="18" t="n">
        <v>0</v>
      </c>
      <c r="N66" s="20" t="n">
        <v>0</v>
      </c>
      <c r="O66" s="18" t="n">
        <v>0</v>
      </c>
      <c r="P66" s="20" t="n">
        <v>0</v>
      </c>
      <c r="Q66" s="18" t="n">
        <v>6.78100013</v>
      </c>
      <c r="R66" s="20" t="n">
        <v>0.80877503</v>
      </c>
    </row>
    <row r="67" spans="1:18">
      <c r="A67" s="15" t="s">
        <v>627</v>
      </c>
      <c r="B67" s="17" t="n">
        <v>3511</v>
      </c>
      <c r="C67" s="18">
        <f>(2799.0/B67*100)</f>
        <v/>
      </c>
      <c r="D67" s="19" t="n">
        <v>712</v>
      </c>
      <c r="E67" s="18" t="n">
        <v>72.21633866000001</v>
      </c>
      <c r="F67" s="20" t="n">
        <v>1.77011079</v>
      </c>
      <c r="G67" s="18" t="n">
        <v>24.94050609</v>
      </c>
      <c r="H67" s="20" t="n">
        <v>1.73991215</v>
      </c>
      <c r="I67" s="18" t="s">
        <v>567</v>
      </c>
      <c r="J67" s="20" t="s">
        <v>567</v>
      </c>
      <c r="K67" s="18" t="n">
        <v>0.12641089</v>
      </c>
      <c r="L67" s="20" t="n">
        <v>0.12677928</v>
      </c>
      <c r="M67" s="18" t="n">
        <v>0</v>
      </c>
      <c r="N67" s="20" t="n">
        <v>0</v>
      </c>
      <c r="O67" s="18" t="n">
        <v>0</v>
      </c>
      <c r="P67" s="20" t="n">
        <v>0</v>
      </c>
      <c r="Q67" s="18" t="n">
        <v>2.71674437</v>
      </c>
      <c r="R67" s="20" t="n">
        <v>0.63699194</v>
      </c>
    </row>
    <row r="68" spans="1:18">
      <c r="A68" s="15" t="s">
        <v>628</v>
      </c>
      <c r="B68" s="17" t="n">
        <v>6049</v>
      </c>
      <c r="C68" s="18">
        <f>(4693.0/B68*100)</f>
        <v/>
      </c>
      <c r="D68" s="19" t="n">
        <v>1356</v>
      </c>
      <c r="E68" s="18" t="n">
        <v>72.65365791000001</v>
      </c>
      <c r="F68" s="20" t="n">
        <v>1.22920922</v>
      </c>
      <c r="G68" s="18" t="n">
        <v>21.94739487</v>
      </c>
      <c r="H68" s="20" t="n">
        <v>1.12086042</v>
      </c>
      <c r="I68" s="18" t="s">
        <v>567</v>
      </c>
      <c r="J68" s="20" t="s">
        <v>567</v>
      </c>
      <c r="K68" s="18" t="n">
        <v>2.25791665</v>
      </c>
      <c r="L68" s="20" t="n">
        <v>0.37946679</v>
      </c>
      <c r="M68" s="18" t="n">
        <v>0</v>
      </c>
      <c r="N68" s="20" t="n">
        <v>0</v>
      </c>
      <c r="O68" s="18" t="n">
        <v>0</v>
      </c>
      <c r="P68" s="20" t="n">
        <v>0</v>
      </c>
      <c r="Q68" s="18" t="n">
        <v>3.14103057</v>
      </c>
      <c r="R68" s="20" t="n">
        <v>0.57246146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(2294.0/B70*100)</f>
        <v/>
      </c>
      <c r="D70" s="19" t="n">
        <v>635</v>
      </c>
      <c r="E70" s="18" t="n">
        <v>45.24274972</v>
      </c>
      <c r="F70" s="20" t="n">
        <v>2.24293114</v>
      </c>
      <c r="G70" s="18" t="n">
        <v>53.36991518</v>
      </c>
      <c r="H70" s="20" t="n">
        <v>2.25721251</v>
      </c>
      <c r="I70" s="18" t="s">
        <v>567</v>
      </c>
      <c r="J70" s="20" t="s">
        <v>567</v>
      </c>
      <c r="K70" s="18" t="n">
        <v>0.26439286</v>
      </c>
      <c r="L70" s="20" t="n">
        <v>0.15059243</v>
      </c>
      <c r="M70" s="18" t="n">
        <v>0</v>
      </c>
      <c r="N70" s="20" t="n">
        <v>0</v>
      </c>
      <c r="O70" s="18" t="n">
        <v>0</v>
      </c>
      <c r="P70" s="20" t="n">
        <v>0</v>
      </c>
      <c r="Q70" s="18" t="n">
        <v>1.12294223</v>
      </c>
      <c r="R70" s="20" t="n">
        <v>0.43732859</v>
      </c>
    </row>
    <row r="71" spans="1:18">
      <c r="A71" s="15" t="s">
        <v>631</v>
      </c>
      <c r="B71" s="17" t="n">
        <v>3142</v>
      </c>
      <c r="C71" s="18">
        <f>(2441.0/B71*100)</f>
        <v/>
      </c>
      <c r="D71" s="19" t="n">
        <v>701</v>
      </c>
      <c r="E71" s="18" t="n">
        <v>41.9206096</v>
      </c>
      <c r="F71" s="20" t="n">
        <v>2.10975098</v>
      </c>
      <c r="G71" s="18" t="n">
        <v>55.11267477</v>
      </c>
      <c r="H71" s="20" t="n">
        <v>2.12582425</v>
      </c>
      <c r="I71" s="18" t="s">
        <v>567</v>
      </c>
      <c r="J71" s="20" t="s">
        <v>567</v>
      </c>
      <c r="K71" s="18" t="n">
        <v>0.18925325</v>
      </c>
      <c r="L71" s="20" t="n">
        <v>0.13800869</v>
      </c>
      <c r="M71" s="18" t="n">
        <v>0</v>
      </c>
      <c r="N71" s="20" t="n">
        <v>0</v>
      </c>
      <c r="O71" s="18" t="n">
        <v>0</v>
      </c>
      <c r="P71" s="20" t="n">
        <v>0</v>
      </c>
      <c r="Q71" s="18" t="n">
        <v>2.77746239</v>
      </c>
      <c r="R71" s="20" t="n">
        <v>0.68021287</v>
      </c>
    </row>
    <row r="72" spans="1:18">
      <c r="A72" s="15" t="s">
        <v>632</v>
      </c>
      <c r="B72" s="17" t="n">
        <v>3889</v>
      </c>
      <c r="C72" s="18">
        <f>(3037.0/B72*100)</f>
        <v/>
      </c>
      <c r="D72" s="19" t="n">
        <v>852</v>
      </c>
      <c r="E72" s="18" t="n">
        <v>49.79807635</v>
      </c>
      <c r="F72" s="20" t="n">
        <v>1.99517724</v>
      </c>
      <c r="G72" s="18" t="n">
        <v>47.39040025</v>
      </c>
      <c r="H72" s="20" t="n">
        <v>2.03096979</v>
      </c>
      <c r="I72" s="18" t="s">
        <v>567</v>
      </c>
      <c r="J72" s="20" t="s">
        <v>567</v>
      </c>
      <c r="K72" s="18" t="n">
        <v>0.07721187</v>
      </c>
      <c r="L72" s="20" t="n">
        <v>0.07967167</v>
      </c>
      <c r="M72" s="18" t="n">
        <v>0</v>
      </c>
      <c r="N72" s="20" t="n">
        <v>0</v>
      </c>
      <c r="O72" s="18" t="n">
        <v>0</v>
      </c>
      <c r="P72" s="20" t="n">
        <v>0</v>
      </c>
      <c r="Q72" s="18" t="n">
        <v>2.73431154</v>
      </c>
      <c r="R72" s="20" t="n">
        <v>0.5628549900000001</v>
      </c>
    </row>
    <row r="73" spans="1:18">
      <c r="A73" s="15" t="s">
        <v>633</v>
      </c>
      <c r="B73" s="17" t="n">
        <v>3597</v>
      </c>
      <c r="C73" s="18">
        <f>(2827.0/B73*100)</f>
        <v/>
      </c>
      <c r="D73" s="19" t="n">
        <v>770</v>
      </c>
      <c r="E73" s="18" t="n">
        <v>68.95559244</v>
      </c>
      <c r="F73" s="20" t="n">
        <v>2.35580407</v>
      </c>
      <c r="G73" s="18" t="n">
        <v>27.81625702</v>
      </c>
      <c r="H73" s="20" t="n">
        <v>2.57334559</v>
      </c>
      <c r="I73" s="18" t="s">
        <v>567</v>
      </c>
      <c r="J73" s="20" t="s">
        <v>567</v>
      </c>
      <c r="K73" s="18" t="n">
        <v>0</v>
      </c>
      <c r="L73" s="20" t="n">
        <v>0</v>
      </c>
      <c r="M73" s="18" t="n">
        <v>0</v>
      </c>
      <c r="N73" s="20" t="n">
        <v>0</v>
      </c>
      <c r="O73" s="18" t="n">
        <v>0</v>
      </c>
      <c r="P73" s="20" t="n">
        <v>0</v>
      </c>
      <c r="Q73" s="18" t="n">
        <v>3.22815054</v>
      </c>
      <c r="R73" s="20" t="n">
        <v>0.69523542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(1904.0/B75*100)</f>
        <v/>
      </c>
      <c r="D75" s="19" t="n">
        <v>502</v>
      </c>
      <c r="E75" s="18" t="n">
        <v>78.51701993</v>
      </c>
      <c r="F75" s="20" t="n">
        <v>1.93896929</v>
      </c>
      <c r="G75" s="18" t="n">
        <v>15.68642103</v>
      </c>
      <c r="H75" s="20" t="n">
        <v>1.46441132</v>
      </c>
      <c r="I75" s="18" t="s">
        <v>567</v>
      </c>
      <c r="J75" s="20" t="s">
        <v>567</v>
      </c>
      <c r="K75" s="18" t="n">
        <v>3.44203908</v>
      </c>
      <c r="L75" s="20" t="n">
        <v>0.8173643900000001</v>
      </c>
      <c r="M75" s="18" t="n">
        <v>0</v>
      </c>
      <c r="N75" s="20" t="n">
        <v>0</v>
      </c>
      <c r="O75" s="18" t="n">
        <v>0</v>
      </c>
      <c r="P75" s="20" t="n">
        <v>0</v>
      </c>
      <c r="Q75" s="18" t="n">
        <v>2.35451996</v>
      </c>
      <c r="R75" s="20" t="n">
        <v>0.75973381</v>
      </c>
    </row>
    <row r="76" spans="1:18">
      <c r="A76" s="15" t="s">
        <v>636</v>
      </c>
      <c r="B76" s="17" t="n">
        <v>7052</v>
      </c>
      <c r="C76" s="18">
        <f>(5499.0/B76*100)</f>
        <v/>
      </c>
      <c r="D76" s="19" t="n">
        <v>1553</v>
      </c>
      <c r="E76" s="18" t="n">
        <v>64.98522156</v>
      </c>
      <c r="F76" s="20" t="n">
        <v>1.58894378</v>
      </c>
      <c r="G76" s="18" t="n">
        <v>31.39560073</v>
      </c>
      <c r="H76" s="20" t="n">
        <v>1.61715464</v>
      </c>
      <c r="I76" s="18" t="s">
        <v>567</v>
      </c>
      <c r="J76" s="20" t="s">
        <v>567</v>
      </c>
      <c r="K76" s="18" t="n">
        <v>0.99166784</v>
      </c>
      <c r="L76" s="20" t="n">
        <v>0.31028021</v>
      </c>
      <c r="M76" s="18" t="n">
        <v>0</v>
      </c>
      <c r="N76" s="20" t="n">
        <v>0</v>
      </c>
      <c r="O76" s="18" t="n">
        <v>0</v>
      </c>
      <c r="P76" s="20" t="n">
        <v>0</v>
      </c>
      <c r="Q76" s="18" t="n">
        <v>2.62750988</v>
      </c>
      <c r="R76" s="20" t="n">
        <v>0.47490035</v>
      </c>
    </row>
    <row r="77" spans="1:18">
      <c r="A77" s="15" t="s">
        <v>637</v>
      </c>
      <c r="B77" s="17" t="n">
        <v>2908</v>
      </c>
      <c r="C77" s="18">
        <f>(2357.0/B77*100)</f>
        <v/>
      </c>
      <c r="D77" s="19" t="n">
        <v>551</v>
      </c>
      <c r="E77" s="18" t="n">
        <v>66.86055534</v>
      </c>
      <c r="F77" s="20" t="n">
        <v>1.95734192</v>
      </c>
      <c r="G77" s="18" t="n">
        <v>28.32597503</v>
      </c>
      <c r="H77" s="20" t="n">
        <v>2.04922985</v>
      </c>
      <c r="I77" s="18" t="s">
        <v>567</v>
      </c>
      <c r="J77" s="20" t="s">
        <v>567</v>
      </c>
      <c r="K77" s="18" t="n">
        <v>1.38762603</v>
      </c>
      <c r="L77" s="20" t="n">
        <v>0.54528628</v>
      </c>
      <c r="M77" s="18" t="n">
        <v>0</v>
      </c>
      <c r="N77" s="20" t="n">
        <v>0</v>
      </c>
      <c r="O77" s="18" t="n">
        <v>0</v>
      </c>
      <c r="P77" s="20" t="n">
        <v>0</v>
      </c>
      <c r="Q77" s="18" t="n">
        <v>3.4258436</v>
      </c>
      <c r="R77" s="20" t="n">
        <v>0.8062054</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(3274.0/B81*100)</f>
        <v/>
      </c>
      <c r="D81" s="19" t="n">
        <v>889</v>
      </c>
      <c r="E81" s="18" t="n">
        <v>67.91762616</v>
      </c>
      <c r="F81" s="20" t="n">
        <v>1.97107419</v>
      </c>
      <c r="G81" s="18" t="n">
        <v>31.58043264</v>
      </c>
      <c r="H81" s="20" t="n">
        <v>1.97011434</v>
      </c>
      <c r="I81" s="18" t="s">
        <v>567</v>
      </c>
      <c r="J81" s="20" t="s">
        <v>567</v>
      </c>
      <c r="K81" s="18" t="n">
        <v>0</v>
      </c>
      <c r="L81" s="20" t="n">
        <v>0</v>
      </c>
      <c r="M81" s="18" t="n">
        <v>0</v>
      </c>
      <c r="N81" s="20" t="n">
        <v>0</v>
      </c>
      <c r="O81" s="18" t="n">
        <v>0</v>
      </c>
      <c r="P81" s="20" t="n">
        <v>0</v>
      </c>
      <c r="Q81" s="18" t="n">
        <v>0.5019412</v>
      </c>
      <c r="R81" s="20" t="n">
        <v>0.26972269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(5752.0/B7*100)</f>
        <v/>
      </c>
      <c r="D7" s="19" t="n">
        <v>1615</v>
      </c>
      <c r="E7" s="18" t="n">
        <v>17.93077661</v>
      </c>
      <c r="F7" s="20" t="n">
        <v>0.94923289</v>
      </c>
      <c r="G7" s="18" t="n">
        <v>80.5961708</v>
      </c>
      <c r="H7" s="20" t="n">
        <v>1.01889602</v>
      </c>
      <c r="I7" s="18" t="s">
        <v>567</v>
      </c>
      <c r="J7" s="20" t="s">
        <v>567</v>
      </c>
      <c r="K7" s="18" t="n">
        <v>0.45124645</v>
      </c>
      <c r="L7" s="20" t="n">
        <v>0.19091498</v>
      </c>
      <c r="M7" s="18" t="n">
        <v>0</v>
      </c>
      <c r="N7" s="20" t="n">
        <v>0</v>
      </c>
      <c r="O7" s="18" t="n">
        <v>0</v>
      </c>
      <c r="P7" s="20" t="n">
        <v>0</v>
      </c>
      <c r="Q7" s="18" t="n">
        <v>1.02180614</v>
      </c>
      <c r="R7" s="20" t="n">
        <v>0.30428099</v>
      </c>
    </row>
    <row r="8" spans="1:18">
      <c r="A8" s="15" t="s">
        <v>568</v>
      </c>
      <c r="B8" s="17" t="n">
        <v>3564</v>
      </c>
      <c r="C8" s="18">
        <f>(2777.0/B8*100)</f>
        <v/>
      </c>
      <c r="D8" s="19" t="n">
        <v>787</v>
      </c>
      <c r="E8" s="18" t="n">
        <v>18.43403941</v>
      </c>
      <c r="F8" s="20" t="n">
        <v>1.64468322</v>
      </c>
      <c r="G8" s="18" t="n">
        <v>81.30432030999999</v>
      </c>
      <c r="H8" s="20" t="n">
        <v>1.65088618</v>
      </c>
      <c r="I8" s="18" t="s">
        <v>567</v>
      </c>
      <c r="J8" s="20" t="s">
        <v>567</v>
      </c>
      <c r="K8" s="18" t="n">
        <v>0</v>
      </c>
      <c r="L8" s="20" t="n">
        <v>0</v>
      </c>
      <c r="M8" s="18" t="n">
        <v>0</v>
      </c>
      <c r="N8" s="20" t="n">
        <v>0</v>
      </c>
      <c r="O8" s="18" t="n">
        <v>0</v>
      </c>
      <c r="P8" s="20" t="n">
        <v>0</v>
      </c>
      <c r="Q8" s="18" t="n">
        <v>0.26164028</v>
      </c>
      <c r="R8" s="20" t="n">
        <v>0.14530405</v>
      </c>
    </row>
    <row r="9" spans="1:18">
      <c r="A9" s="15" t="s">
        <v>569</v>
      </c>
      <c r="B9" s="17" t="n">
        <v>4899</v>
      </c>
      <c r="C9" s="18">
        <f>(3876.0/B9*100)</f>
        <v/>
      </c>
      <c r="D9" s="19" t="n">
        <v>1023</v>
      </c>
      <c r="E9" s="18" t="n">
        <v>14.41917965</v>
      </c>
      <c r="F9" s="20" t="n">
        <v>1.29777083</v>
      </c>
      <c r="G9" s="18" t="n">
        <v>84.34976885</v>
      </c>
      <c r="H9" s="20" t="n">
        <v>1.41808535</v>
      </c>
      <c r="I9" s="18" t="s">
        <v>567</v>
      </c>
      <c r="J9" s="20" t="s">
        <v>567</v>
      </c>
      <c r="K9" s="18" t="n">
        <v>0.36895034</v>
      </c>
      <c r="L9" s="20" t="n">
        <v>0.15701812</v>
      </c>
      <c r="M9" s="18" t="n">
        <v>0</v>
      </c>
      <c r="N9" s="20" t="n">
        <v>0</v>
      </c>
      <c r="O9" s="18" t="n">
        <v>0</v>
      </c>
      <c r="P9" s="20" t="n">
        <v>0</v>
      </c>
      <c r="Q9" s="18" t="n">
        <v>0.86210116</v>
      </c>
      <c r="R9" s="20" t="n">
        <v>0.33057982</v>
      </c>
    </row>
    <row r="10" spans="1:18">
      <c r="A10" s="15" t="s">
        <v>570</v>
      </c>
      <c r="B10" s="17" t="n">
        <v>10036</v>
      </c>
      <c r="C10" s="18">
        <f>(7765.0/B10*100)</f>
        <v/>
      </c>
      <c r="D10" s="19" t="n">
        <v>2271</v>
      </c>
      <c r="E10" s="18" t="n">
        <v>11.34528043</v>
      </c>
      <c r="F10" s="20" t="n">
        <v>0.90163591</v>
      </c>
      <c r="G10" s="18" t="n">
        <v>88.05658181</v>
      </c>
      <c r="H10" s="20" t="n">
        <v>0.90270481</v>
      </c>
      <c r="I10" s="18" t="s">
        <v>567</v>
      </c>
      <c r="J10" s="20" t="s">
        <v>567</v>
      </c>
      <c r="K10" s="18" t="n">
        <v>0.2016565</v>
      </c>
      <c r="L10" s="20" t="n">
        <v>0.11401527</v>
      </c>
      <c r="M10" s="18" t="n">
        <v>0</v>
      </c>
      <c r="N10" s="20" t="n">
        <v>0</v>
      </c>
      <c r="O10" s="18" t="n">
        <v>0</v>
      </c>
      <c r="P10" s="20" t="n">
        <v>0</v>
      </c>
      <c r="Q10" s="18" t="n">
        <v>0.39648127</v>
      </c>
      <c r="R10" s="20" t="n">
        <v>0.18585877</v>
      </c>
    </row>
    <row r="11" spans="1:18">
      <c r="A11" s="15" t="s">
        <v>571</v>
      </c>
      <c r="B11" s="17" t="n">
        <v>3553</v>
      </c>
      <c r="C11" s="18">
        <f>(2764.0/B11*100)</f>
        <v/>
      </c>
      <c r="D11" s="19" t="n">
        <v>789</v>
      </c>
      <c r="E11" s="18" t="n">
        <v>18.20453353</v>
      </c>
      <c r="F11" s="20" t="n">
        <v>1.65913018</v>
      </c>
      <c r="G11" s="18" t="n">
        <v>79.97042673</v>
      </c>
      <c r="H11" s="20" t="n">
        <v>1.79615365</v>
      </c>
      <c r="I11" s="18" t="s">
        <v>567</v>
      </c>
      <c r="J11" s="20" t="s">
        <v>567</v>
      </c>
      <c r="K11" s="18" t="n">
        <v>0.89062264</v>
      </c>
      <c r="L11" s="20" t="n">
        <v>0.35314543</v>
      </c>
      <c r="M11" s="18" t="n">
        <v>0</v>
      </c>
      <c r="N11" s="20" t="n">
        <v>0</v>
      </c>
      <c r="O11" s="18" t="n">
        <v>0</v>
      </c>
      <c r="P11" s="20" t="n">
        <v>0</v>
      </c>
      <c r="Q11" s="18" t="n">
        <v>0.93441709</v>
      </c>
      <c r="R11" s="20" t="n">
        <v>0.35936759</v>
      </c>
    </row>
    <row r="12" spans="1:18">
      <c r="A12" s="15" t="s">
        <v>572</v>
      </c>
      <c r="B12" s="17" t="n">
        <v>3472</v>
      </c>
      <c r="C12" s="18">
        <f>(2757.0/B12*100)</f>
        <v/>
      </c>
      <c r="D12" s="19" t="n">
        <v>715</v>
      </c>
      <c r="E12" s="18" t="n">
        <v>14.76730541</v>
      </c>
      <c r="F12" s="20" t="n">
        <v>1.6543896</v>
      </c>
      <c r="G12" s="18" t="n">
        <v>84.25835241999999</v>
      </c>
      <c r="H12" s="20" t="n">
        <v>1.66808314</v>
      </c>
      <c r="I12" s="18" t="s">
        <v>567</v>
      </c>
      <c r="J12" s="20" t="s">
        <v>567</v>
      </c>
      <c r="K12" s="18" t="n">
        <v>0.17940897</v>
      </c>
      <c r="L12" s="20" t="n">
        <v>0.12962054</v>
      </c>
      <c r="M12" s="18" t="n">
        <v>0</v>
      </c>
      <c r="N12" s="20" t="n">
        <v>0</v>
      </c>
      <c r="O12" s="18" t="n">
        <v>0</v>
      </c>
      <c r="P12" s="20" t="n">
        <v>0</v>
      </c>
      <c r="Q12" s="18" t="n">
        <v>0.7949332</v>
      </c>
      <c r="R12" s="20" t="n">
        <v>0.35612551</v>
      </c>
    </row>
    <row r="13" spans="1:18">
      <c r="A13" s="15" t="s">
        <v>573</v>
      </c>
      <c r="B13" s="17" t="n">
        <v>3559</v>
      </c>
      <c r="C13" s="18">
        <f>(2805.0/B13*100)</f>
        <v/>
      </c>
      <c r="D13" s="19" t="n">
        <v>754</v>
      </c>
      <c r="E13" s="18" t="n">
        <v>14.45606109</v>
      </c>
      <c r="F13" s="20" t="n">
        <v>1.79831674</v>
      </c>
      <c r="G13" s="18" t="n">
        <v>84.79187975000001</v>
      </c>
      <c r="H13" s="20" t="n">
        <v>1.81696786</v>
      </c>
      <c r="I13" s="18" t="s">
        <v>567</v>
      </c>
      <c r="J13" s="20" t="s">
        <v>567</v>
      </c>
      <c r="K13" s="18" t="n">
        <v>0.08343208000000001</v>
      </c>
      <c r="L13" s="20" t="n">
        <v>0.05777262</v>
      </c>
      <c r="M13" s="18" t="n">
        <v>0</v>
      </c>
      <c r="N13" s="20" t="n">
        <v>0</v>
      </c>
      <c r="O13" s="18" t="n">
        <v>0</v>
      </c>
      <c r="P13" s="20" t="n">
        <v>0</v>
      </c>
      <c r="Q13" s="18" t="n">
        <v>0.66862707</v>
      </c>
      <c r="R13" s="20" t="n">
        <v>0.41224337</v>
      </c>
    </row>
    <row r="14" spans="1:18">
      <c r="A14" s="15" t="s">
        <v>574</v>
      </c>
      <c r="B14" s="17" t="n">
        <v>2799</v>
      </c>
      <c r="C14" s="18">
        <f>(2162.0/B14*100)</f>
        <v/>
      </c>
      <c r="D14" s="19" t="n">
        <v>637</v>
      </c>
      <c r="E14" s="18" t="n">
        <v>17.91195668</v>
      </c>
      <c r="F14" s="20" t="n">
        <v>1.61629496</v>
      </c>
      <c r="G14" s="18" t="n">
        <v>80.88746153</v>
      </c>
      <c r="H14" s="20" t="n">
        <v>1.71326625</v>
      </c>
      <c r="I14" s="18" t="s">
        <v>567</v>
      </c>
      <c r="J14" s="20" t="s">
        <v>567</v>
      </c>
      <c r="K14" s="18" t="n">
        <v>1.05729624</v>
      </c>
      <c r="L14" s="20" t="n">
        <v>0.51504144</v>
      </c>
      <c r="M14" s="18" t="n">
        <v>0</v>
      </c>
      <c r="N14" s="20" t="n">
        <v>0</v>
      </c>
      <c r="O14" s="18" t="n">
        <v>0</v>
      </c>
      <c r="P14" s="20" t="n">
        <v>0</v>
      </c>
      <c r="Q14" s="18" t="n">
        <v>0.14328555</v>
      </c>
      <c r="R14" s="20" t="n">
        <v>0.14249013</v>
      </c>
    </row>
    <row r="15" spans="1:18">
      <c r="A15" s="15" t="s">
        <v>575</v>
      </c>
      <c r="B15" s="17" t="n">
        <v>3019</v>
      </c>
      <c r="C15" s="18">
        <f>(2351.0/B15*100)</f>
        <v/>
      </c>
      <c r="D15" s="19" t="n">
        <v>668</v>
      </c>
      <c r="E15" s="18" t="n">
        <v>15.43758896</v>
      </c>
      <c r="F15" s="20" t="n">
        <v>1.36820165</v>
      </c>
      <c r="G15" s="18" t="n">
        <v>84.40821258</v>
      </c>
      <c r="H15" s="20" t="n">
        <v>1.3665603</v>
      </c>
      <c r="I15" s="18" t="s">
        <v>567</v>
      </c>
      <c r="J15" s="20" t="s">
        <v>567</v>
      </c>
      <c r="K15" s="18" t="n">
        <v>0.15419846</v>
      </c>
      <c r="L15" s="20" t="n">
        <v>0.1546614</v>
      </c>
      <c r="M15" s="18" t="n">
        <v>0</v>
      </c>
      <c r="N15" s="20" t="n">
        <v>0</v>
      </c>
      <c r="O15" s="18" t="n">
        <v>0</v>
      </c>
      <c r="P15" s="20" t="n">
        <v>0</v>
      </c>
      <c r="Q15" s="18" t="n">
        <v>0</v>
      </c>
      <c r="R15" s="20" t="n">
        <v>0</v>
      </c>
    </row>
    <row r="16" spans="1:18">
      <c r="A16" s="15" t="s">
        <v>576</v>
      </c>
      <c r="B16" s="17" t="n">
        <v>2997</v>
      </c>
      <c r="C16" s="18">
        <f>(2328.0/B16*100)</f>
        <v/>
      </c>
      <c r="D16" s="19" t="n">
        <v>669</v>
      </c>
      <c r="E16" s="18" t="n">
        <v>18.60669569</v>
      </c>
      <c r="F16" s="20" t="n">
        <v>1.51381678</v>
      </c>
      <c r="G16" s="18" t="n">
        <v>78.72305556000001</v>
      </c>
      <c r="H16" s="20" t="n">
        <v>1.66650025</v>
      </c>
      <c r="I16" s="18" t="s">
        <v>567</v>
      </c>
      <c r="J16" s="20" t="s">
        <v>567</v>
      </c>
      <c r="K16" s="18" t="n">
        <v>1.26780963</v>
      </c>
      <c r="L16" s="20" t="n">
        <v>0.38807531</v>
      </c>
      <c r="M16" s="18" t="n">
        <v>0</v>
      </c>
      <c r="N16" s="20" t="n">
        <v>0</v>
      </c>
      <c r="O16" s="18" t="n">
        <v>0</v>
      </c>
      <c r="P16" s="20" t="n">
        <v>0</v>
      </c>
      <c r="Q16" s="18" t="n">
        <v>1.40243912</v>
      </c>
      <c r="R16" s="20" t="n">
        <v>0.46944859</v>
      </c>
    </row>
    <row r="17" spans="1:18">
      <c r="A17" s="15" t="s">
        <v>577</v>
      </c>
      <c r="B17" s="17" t="n">
        <v>3307</v>
      </c>
      <c r="C17" s="18">
        <f>(2561.0/B17*100)</f>
        <v/>
      </c>
      <c r="D17" s="19" t="n">
        <v>746</v>
      </c>
      <c r="E17" s="18" t="n">
        <v>15.27407952</v>
      </c>
      <c r="F17" s="20" t="n">
        <v>1.42979486</v>
      </c>
      <c r="G17" s="18" t="n">
        <v>84.21132584</v>
      </c>
      <c r="H17" s="20" t="n">
        <v>1.43256768</v>
      </c>
      <c r="I17" s="18" t="s">
        <v>567</v>
      </c>
      <c r="J17" s="20" t="s">
        <v>567</v>
      </c>
      <c r="K17" s="18" t="n">
        <v>0.25645133</v>
      </c>
      <c r="L17" s="20" t="n">
        <v>0.18040503</v>
      </c>
      <c r="M17" s="18" t="n">
        <v>0</v>
      </c>
      <c r="N17" s="20" t="n">
        <v>0</v>
      </c>
      <c r="O17" s="18" t="n">
        <v>0</v>
      </c>
      <c r="P17" s="20" t="n">
        <v>0</v>
      </c>
      <c r="Q17" s="18" t="n">
        <v>0.25814331</v>
      </c>
      <c r="R17" s="20" t="n">
        <v>0.18815624</v>
      </c>
    </row>
    <row r="18" spans="1:18">
      <c r="A18" s="15" t="s">
        <v>578</v>
      </c>
      <c r="B18" s="17" t="n">
        <v>2826</v>
      </c>
      <c r="C18" s="18">
        <f>(2218.0/B18*100)</f>
        <v/>
      </c>
      <c r="D18" s="19" t="n">
        <v>608</v>
      </c>
      <c r="E18" s="18" t="n">
        <v>31.8686935</v>
      </c>
      <c r="F18" s="20" t="n">
        <v>1.81801098</v>
      </c>
      <c r="G18" s="18" t="n">
        <v>66.97370309999999</v>
      </c>
      <c r="H18" s="20" t="n">
        <v>1.77401514</v>
      </c>
      <c r="I18" s="18" t="s">
        <v>567</v>
      </c>
      <c r="J18" s="20" t="s">
        <v>567</v>
      </c>
      <c r="K18" s="18" t="n">
        <v>0.32766668</v>
      </c>
      <c r="L18" s="20" t="n">
        <v>0.23120341</v>
      </c>
      <c r="M18" s="18" t="n">
        <v>0</v>
      </c>
      <c r="N18" s="20" t="n">
        <v>0</v>
      </c>
      <c r="O18" s="18" t="n">
        <v>0</v>
      </c>
      <c r="P18" s="20" t="n">
        <v>0</v>
      </c>
      <c r="Q18" s="18" t="n">
        <v>0.82993672</v>
      </c>
      <c r="R18" s="20" t="n">
        <v>0.37489136</v>
      </c>
    </row>
    <row r="19" spans="1:18">
      <c r="A19" s="15" t="s">
        <v>579</v>
      </c>
      <c r="B19" s="17" t="n">
        <v>2808</v>
      </c>
      <c r="C19" s="18">
        <f>(2218.0/B19*100)</f>
        <v/>
      </c>
      <c r="D19" s="19" t="n">
        <v>590</v>
      </c>
      <c r="E19" s="18" t="n">
        <v>26.73145833</v>
      </c>
      <c r="F19" s="20" t="n">
        <v>1.94410147</v>
      </c>
      <c r="G19" s="18" t="n">
        <v>72.49394735</v>
      </c>
      <c r="H19" s="20" t="n">
        <v>2.00439081</v>
      </c>
      <c r="I19" s="18" t="s">
        <v>567</v>
      </c>
      <c r="J19" s="20" t="s">
        <v>567</v>
      </c>
      <c r="K19" s="18" t="n">
        <v>0</v>
      </c>
      <c r="L19" s="20" t="n">
        <v>0</v>
      </c>
      <c r="M19" s="18" t="n">
        <v>0</v>
      </c>
      <c r="N19" s="20" t="n">
        <v>0</v>
      </c>
      <c r="O19" s="18" t="n">
        <v>0</v>
      </c>
      <c r="P19" s="20" t="n">
        <v>0</v>
      </c>
      <c r="Q19" s="18" t="n">
        <v>0.7745943199999999</v>
      </c>
      <c r="R19" s="20" t="n">
        <v>0.38836241</v>
      </c>
    </row>
    <row r="20" spans="1:18">
      <c r="A20" s="15" t="s">
        <v>580</v>
      </c>
      <c r="B20" s="17" t="n">
        <v>1630</v>
      </c>
      <c r="C20" s="18">
        <f>(1259.0/B20*100)</f>
        <v/>
      </c>
      <c r="D20" s="19" t="n">
        <v>371</v>
      </c>
      <c r="E20" s="18" t="n">
        <v>21.29325859</v>
      </c>
      <c r="F20" s="20" t="n">
        <v>2.167201</v>
      </c>
      <c r="G20" s="18" t="n">
        <v>76.09489041</v>
      </c>
      <c r="H20" s="20" t="n">
        <v>2.34999599</v>
      </c>
      <c r="I20" s="18" t="s">
        <v>567</v>
      </c>
      <c r="J20" s="20" t="s">
        <v>567</v>
      </c>
      <c r="K20" s="18" t="n">
        <v>1.86967601</v>
      </c>
      <c r="L20" s="20" t="n">
        <v>0.68210245</v>
      </c>
      <c r="M20" s="18" t="n">
        <v>0</v>
      </c>
      <c r="N20" s="20" t="n">
        <v>0</v>
      </c>
      <c r="O20" s="18" t="n">
        <v>0</v>
      </c>
      <c r="P20" s="20" t="n">
        <v>0</v>
      </c>
      <c r="Q20" s="18" t="n">
        <v>0.74217498</v>
      </c>
      <c r="R20" s="20" t="n">
        <v>0.55869695</v>
      </c>
    </row>
    <row r="21" spans="1:18">
      <c r="A21" s="15" t="s">
        <v>581</v>
      </c>
      <c r="B21" s="17" t="n">
        <v>2908</v>
      </c>
      <c r="C21" s="18">
        <f>(2289.0/B21*100)</f>
        <v/>
      </c>
      <c r="D21" s="19" t="n">
        <v>619</v>
      </c>
      <c r="E21" s="18" t="n">
        <v>13.5817763</v>
      </c>
      <c r="F21" s="20" t="n">
        <v>1.38878448</v>
      </c>
      <c r="G21" s="18" t="n">
        <v>85.52516898</v>
      </c>
      <c r="H21" s="20" t="n">
        <v>1.36855859</v>
      </c>
      <c r="I21" s="18" t="s">
        <v>567</v>
      </c>
      <c r="J21" s="20" t="s">
        <v>567</v>
      </c>
      <c r="K21" s="18" t="n">
        <v>0</v>
      </c>
      <c r="L21" s="20" t="n">
        <v>0</v>
      </c>
      <c r="M21" s="18" t="n">
        <v>0</v>
      </c>
      <c r="N21" s="20" t="n">
        <v>0</v>
      </c>
      <c r="O21" s="18" t="n">
        <v>0</v>
      </c>
      <c r="P21" s="20" t="n">
        <v>0</v>
      </c>
      <c r="Q21" s="18" t="n">
        <v>0.89305472</v>
      </c>
      <c r="R21" s="20" t="n">
        <v>0.39113104</v>
      </c>
    </row>
    <row r="22" spans="1:18">
      <c r="A22" s="15" t="s">
        <v>582</v>
      </c>
      <c r="B22" s="17" t="n">
        <v>2931</v>
      </c>
      <c r="C22" s="18">
        <f>(2271.0/B22*100)</f>
        <v/>
      </c>
      <c r="D22" s="19" t="n">
        <v>660</v>
      </c>
      <c r="E22" s="18" t="n">
        <v>24.69171071</v>
      </c>
      <c r="F22" s="20" t="n">
        <v>1.57683603</v>
      </c>
      <c r="G22" s="18" t="n">
        <v>73.15887882</v>
      </c>
      <c r="H22" s="20" t="n">
        <v>1.82155075</v>
      </c>
      <c r="I22" s="18" t="s">
        <v>567</v>
      </c>
      <c r="J22" s="20" t="s">
        <v>567</v>
      </c>
      <c r="K22" s="18" t="n">
        <v>0.7779216799999999</v>
      </c>
      <c r="L22" s="20" t="n">
        <v>0.34703999</v>
      </c>
      <c r="M22" s="18" t="n">
        <v>0</v>
      </c>
      <c r="N22" s="20" t="n">
        <v>0</v>
      </c>
      <c r="O22" s="18" t="n">
        <v>0</v>
      </c>
      <c r="P22" s="20" t="n">
        <v>0</v>
      </c>
      <c r="Q22" s="18" t="n">
        <v>1.37148879</v>
      </c>
      <c r="R22" s="20" t="n">
        <v>0.52472722</v>
      </c>
    </row>
    <row r="23" spans="1:18">
      <c r="A23" s="15" t="s">
        <v>583</v>
      </c>
      <c r="B23" s="17" t="n">
        <v>5791</v>
      </c>
      <c r="C23" s="18">
        <f>(4518.0/B23*100)</f>
        <v/>
      </c>
      <c r="D23" s="19" t="n">
        <v>1273</v>
      </c>
      <c r="E23" s="18" t="n">
        <v>14.0367222</v>
      </c>
      <c r="F23" s="20" t="n">
        <v>1.32462013</v>
      </c>
      <c r="G23" s="18" t="n">
        <v>85.42515722</v>
      </c>
      <c r="H23" s="20" t="n">
        <v>1.32746511</v>
      </c>
      <c r="I23" s="18" t="s">
        <v>567</v>
      </c>
      <c r="J23" s="20" t="s">
        <v>567</v>
      </c>
      <c r="K23" s="18" t="n">
        <v>0.32614628</v>
      </c>
      <c r="L23" s="20" t="n">
        <v>0.19419618</v>
      </c>
      <c r="M23" s="18" t="n">
        <v>0</v>
      </c>
      <c r="N23" s="20" t="n">
        <v>0</v>
      </c>
      <c r="O23" s="18" t="n">
        <v>0</v>
      </c>
      <c r="P23" s="20" t="n">
        <v>0</v>
      </c>
      <c r="Q23" s="18" t="n">
        <v>0.2119743</v>
      </c>
      <c r="R23" s="20" t="n">
        <v>0.11768832</v>
      </c>
    </row>
    <row r="24" spans="1:18">
      <c r="A24" s="15" t="s">
        <v>584</v>
      </c>
      <c r="B24" s="17" t="n">
        <v>3338</v>
      </c>
      <c r="C24" s="18">
        <f>(2597.0/B24*100)</f>
        <v/>
      </c>
      <c r="D24" s="19" t="n">
        <v>741</v>
      </c>
      <c r="E24" s="18" t="n">
        <v>10.83254102</v>
      </c>
      <c r="F24" s="20" t="n">
        <v>1.15542191</v>
      </c>
      <c r="G24" s="18" t="n">
        <v>88.39496243000001</v>
      </c>
      <c r="H24" s="20" t="n">
        <v>1.16054554</v>
      </c>
      <c r="I24" s="18" t="s">
        <v>567</v>
      </c>
      <c r="J24" s="20" t="s">
        <v>567</v>
      </c>
      <c r="K24" s="18" t="n">
        <v>0.26808958</v>
      </c>
      <c r="L24" s="20" t="n">
        <v>0.18539951</v>
      </c>
      <c r="M24" s="18" t="n">
        <v>0</v>
      </c>
      <c r="N24" s="20" t="n">
        <v>0</v>
      </c>
      <c r="O24" s="18" t="n">
        <v>0</v>
      </c>
      <c r="P24" s="20" t="n">
        <v>0</v>
      </c>
      <c r="Q24" s="18" t="n">
        <v>0.50440697</v>
      </c>
      <c r="R24" s="20" t="n">
        <v>0.23401002</v>
      </c>
    </row>
    <row r="25" spans="1:18">
      <c r="A25" s="15" t="s">
        <v>585</v>
      </c>
      <c r="B25" s="17" t="n">
        <v>2912</v>
      </c>
      <c r="C25" s="18">
        <f>(2245.0/B25*100)</f>
        <v/>
      </c>
      <c r="D25" s="19" t="n">
        <v>667</v>
      </c>
      <c r="E25" s="18" t="n">
        <v>14.65788698</v>
      </c>
      <c r="F25" s="20" t="n">
        <v>1.32200754</v>
      </c>
      <c r="G25" s="18" t="n">
        <v>84.87501656000001</v>
      </c>
      <c r="H25" s="20" t="n">
        <v>1.31660183</v>
      </c>
      <c r="I25" s="18" t="s">
        <v>567</v>
      </c>
      <c r="J25" s="20" t="s">
        <v>567</v>
      </c>
      <c r="K25" s="18" t="n">
        <v>0.46709647</v>
      </c>
      <c r="L25" s="20" t="n">
        <v>0.35791141</v>
      </c>
      <c r="M25" s="18" t="n">
        <v>0</v>
      </c>
      <c r="N25" s="20" t="n">
        <v>0</v>
      </c>
      <c r="O25" s="18" t="n">
        <v>0</v>
      </c>
      <c r="P25" s="20" t="n">
        <v>0</v>
      </c>
      <c r="Q25" s="18" t="n">
        <v>0</v>
      </c>
      <c r="R25" s="20" t="n">
        <v>0</v>
      </c>
    </row>
    <row r="26" spans="1:18">
      <c r="A26" s="15" t="s">
        <v>586</v>
      </c>
      <c r="B26" s="17" t="n">
        <v>2450</v>
      </c>
      <c r="C26" s="18">
        <f>(1883.0/B26*100)</f>
        <v/>
      </c>
      <c r="D26" s="19" t="n">
        <v>567</v>
      </c>
      <c r="E26" s="18" t="n">
        <v>19.76331603</v>
      </c>
      <c r="F26" s="20" t="n">
        <v>1.86616757</v>
      </c>
      <c r="G26" s="18" t="n">
        <v>79.94927239</v>
      </c>
      <c r="H26" s="20" t="n">
        <v>1.87938855</v>
      </c>
      <c r="I26" s="18" t="s">
        <v>567</v>
      </c>
      <c r="J26" s="20" t="s">
        <v>567</v>
      </c>
      <c r="K26" s="18" t="n">
        <v>0</v>
      </c>
      <c r="L26" s="20" t="n">
        <v>0</v>
      </c>
      <c r="M26" s="18" t="n">
        <v>0</v>
      </c>
      <c r="N26" s="20" t="n">
        <v>0</v>
      </c>
      <c r="O26" s="18" t="n">
        <v>0</v>
      </c>
      <c r="P26" s="20" t="n">
        <v>0</v>
      </c>
      <c r="Q26" s="18" t="n">
        <v>0.28741158</v>
      </c>
      <c r="R26" s="20" t="n">
        <v>0.20459867</v>
      </c>
    </row>
    <row r="27" spans="1:18">
      <c r="A27" s="15" t="s">
        <v>587</v>
      </c>
      <c r="B27" s="17" t="n">
        <v>2616</v>
      </c>
      <c r="C27" s="18">
        <f>(2053.0/B27*100)</f>
        <v/>
      </c>
      <c r="D27" s="19" t="n">
        <v>563</v>
      </c>
      <c r="E27" s="18" t="n">
        <v>16.47873288</v>
      </c>
      <c r="F27" s="20" t="n">
        <v>1.57051994</v>
      </c>
      <c r="G27" s="18" t="n">
        <v>81.915209</v>
      </c>
      <c r="H27" s="20" t="n">
        <v>1.60551521</v>
      </c>
      <c r="I27" s="18" t="s">
        <v>567</v>
      </c>
      <c r="J27" s="20" t="s">
        <v>567</v>
      </c>
      <c r="K27" s="18" t="n">
        <v>0.71525344</v>
      </c>
      <c r="L27" s="20" t="n">
        <v>0.35816509</v>
      </c>
      <c r="M27" s="18" t="n">
        <v>0</v>
      </c>
      <c r="N27" s="20" t="n">
        <v>0</v>
      </c>
      <c r="O27" s="18" t="n">
        <v>0</v>
      </c>
      <c r="P27" s="20" t="n">
        <v>0</v>
      </c>
      <c r="Q27" s="18" t="n">
        <v>0.89080467</v>
      </c>
      <c r="R27" s="20" t="n">
        <v>0.39378664</v>
      </c>
    </row>
    <row r="28" spans="1:18">
      <c r="A28" s="15" t="s">
        <v>588</v>
      </c>
      <c r="B28" s="17" t="n">
        <v>3765</v>
      </c>
      <c r="C28" s="18">
        <f>(3002.0/B28*100)</f>
        <v/>
      </c>
      <c r="D28" s="19" t="n">
        <v>763</v>
      </c>
      <c r="E28" s="18" t="n">
        <v>26.52440275</v>
      </c>
      <c r="F28" s="20" t="n">
        <v>1.8165929</v>
      </c>
      <c r="G28" s="18" t="n">
        <v>71.41614978</v>
      </c>
      <c r="H28" s="20" t="n">
        <v>1.93616462</v>
      </c>
      <c r="I28" s="18" t="s">
        <v>567</v>
      </c>
      <c r="J28" s="20" t="s">
        <v>567</v>
      </c>
      <c r="K28" s="18" t="n">
        <v>0.74257737</v>
      </c>
      <c r="L28" s="20" t="n">
        <v>0.35157439</v>
      </c>
      <c r="M28" s="18" t="n">
        <v>0</v>
      </c>
      <c r="N28" s="20" t="n">
        <v>0</v>
      </c>
      <c r="O28" s="18" t="n">
        <v>0</v>
      </c>
      <c r="P28" s="20" t="n">
        <v>0</v>
      </c>
      <c r="Q28" s="18" t="n">
        <v>1.31687011</v>
      </c>
      <c r="R28" s="20" t="n">
        <v>0.40737417</v>
      </c>
    </row>
    <row r="29" spans="1:18">
      <c r="A29" s="15" t="s">
        <v>589</v>
      </c>
      <c r="B29" s="17" t="n">
        <v>2685</v>
      </c>
      <c r="C29" s="18">
        <f>(2098.0/B29*100)</f>
        <v/>
      </c>
      <c r="D29" s="19" t="n">
        <v>587</v>
      </c>
      <c r="E29" s="18" t="n">
        <v>14.58767839</v>
      </c>
      <c r="F29" s="20" t="n">
        <v>1.7336874</v>
      </c>
      <c r="G29" s="18" t="n">
        <v>84.66913639000001</v>
      </c>
      <c r="H29" s="20" t="n">
        <v>1.75329471</v>
      </c>
      <c r="I29" s="18" t="s">
        <v>567</v>
      </c>
      <c r="J29" s="20" t="s">
        <v>567</v>
      </c>
      <c r="K29" s="18" t="n">
        <v>0.44610579</v>
      </c>
      <c r="L29" s="20" t="n">
        <v>0.28548689</v>
      </c>
      <c r="M29" s="18" t="n">
        <v>0</v>
      </c>
      <c r="N29" s="20" t="n">
        <v>0</v>
      </c>
      <c r="O29" s="18" t="n">
        <v>0</v>
      </c>
      <c r="P29" s="20" t="n">
        <v>0</v>
      </c>
      <c r="Q29" s="18" t="n">
        <v>0.29707943</v>
      </c>
      <c r="R29" s="20" t="n">
        <v>0.20449601</v>
      </c>
    </row>
    <row r="30" spans="1:18">
      <c r="A30" s="15" t="s">
        <v>590</v>
      </c>
      <c r="B30" s="17" t="n">
        <v>2263</v>
      </c>
      <c r="C30" s="18">
        <f>(1787.0/B30*100)</f>
        <v/>
      </c>
      <c r="D30" s="19" t="n">
        <v>476</v>
      </c>
      <c r="E30" s="18" t="n">
        <v>14.6836966</v>
      </c>
      <c r="F30" s="20" t="n">
        <v>1.7729834</v>
      </c>
      <c r="G30" s="18" t="n">
        <v>83.68427205</v>
      </c>
      <c r="H30" s="20" t="n">
        <v>1.84408501</v>
      </c>
      <c r="I30" s="18" t="s">
        <v>567</v>
      </c>
      <c r="J30" s="20" t="s">
        <v>567</v>
      </c>
      <c r="K30" s="18" t="n">
        <v>0.7675751200000001</v>
      </c>
      <c r="L30" s="20" t="n">
        <v>0.3853268</v>
      </c>
      <c r="M30" s="18" t="n">
        <v>0</v>
      </c>
      <c r="N30" s="20" t="n">
        <v>0</v>
      </c>
      <c r="O30" s="18" t="n">
        <v>0</v>
      </c>
      <c r="P30" s="20" t="n">
        <v>0</v>
      </c>
      <c r="Q30" s="18" t="n">
        <v>0.86445623</v>
      </c>
      <c r="R30" s="20" t="n">
        <v>0.42513726</v>
      </c>
    </row>
    <row r="31" spans="1:18">
      <c r="A31" s="15" t="s">
        <v>591</v>
      </c>
      <c r="B31" s="17" t="n">
        <v>2750</v>
      </c>
      <c r="C31" s="18">
        <f>(2142.0/B31*100)</f>
        <v/>
      </c>
      <c r="D31" s="19" t="n">
        <v>608</v>
      </c>
      <c r="E31" s="18" t="n">
        <v>18.59866495</v>
      </c>
      <c r="F31" s="20" t="n">
        <v>1.34878925</v>
      </c>
      <c r="G31" s="18" t="n">
        <v>79.31783258999999</v>
      </c>
      <c r="H31" s="20" t="n">
        <v>1.43137012</v>
      </c>
      <c r="I31" s="18" t="s">
        <v>567</v>
      </c>
      <c r="J31" s="20" t="s">
        <v>567</v>
      </c>
      <c r="K31" s="18" t="n">
        <v>0.78799588</v>
      </c>
      <c r="L31" s="20" t="n">
        <v>0.35059518</v>
      </c>
      <c r="M31" s="18" t="n">
        <v>0</v>
      </c>
      <c r="N31" s="20" t="n">
        <v>0</v>
      </c>
      <c r="O31" s="18" t="n">
        <v>0</v>
      </c>
      <c r="P31" s="20" t="n">
        <v>0</v>
      </c>
      <c r="Q31" s="18" t="n">
        <v>1.29550659</v>
      </c>
      <c r="R31" s="20" t="n">
        <v>0.43816144</v>
      </c>
    </row>
    <row r="32" spans="1:18">
      <c r="A32" s="15" t="s">
        <v>592</v>
      </c>
      <c r="B32" s="17" t="n">
        <v>2269</v>
      </c>
      <c r="C32" s="18">
        <f>(1739.0/B32*100)</f>
        <v/>
      </c>
      <c r="D32" s="19" t="n">
        <v>530</v>
      </c>
      <c r="E32" s="18" t="n">
        <v>15.51906328</v>
      </c>
      <c r="F32" s="20" t="n">
        <v>1.77492201</v>
      </c>
      <c r="G32" s="18" t="n">
        <v>83.96912263</v>
      </c>
      <c r="H32" s="20" t="n">
        <v>1.82874012</v>
      </c>
      <c r="I32" s="18" t="s">
        <v>567</v>
      </c>
      <c r="J32" s="20" t="s">
        <v>567</v>
      </c>
      <c r="K32" s="18" t="n">
        <v>0.16351448</v>
      </c>
      <c r="L32" s="20" t="n">
        <v>0.16349017</v>
      </c>
      <c r="M32" s="18" t="n">
        <v>0</v>
      </c>
      <c r="N32" s="20" t="n">
        <v>0</v>
      </c>
      <c r="O32" s="18" t="n">
        <v>0</v>
      </c>
      <c r="P32" s="20" t="n">
        <v>0</v>
      </c>
      <c r="Q32" s="18" t="n">
        <v>0.34829961</v>
      </c>
      <c r="R32" s="20" t="n">
        <v>0.24778025</v>
      </c>
    </row>
    <row r="33" spans="1:18">
      <c r="A33" s="15" t="s">
        <v>593</v>
      </c>
      <c r="B33" s="17" t="n">
        <v>3674</v>
      </c>
      <c r="C33" s="18">
        <f>(2905.0/B33*100)</f>
        <v/>
      </c>
      <c r="D33" s="19" t="n">
        <v>769</v>
      </c>
      <c r="E33" s="18" t="n">
        <v>21.457653</v>
      </c>
      <c r="F33" s="20" t="n">
        <v>1.7358891</v>
      </c>
      <c r="G33" s="18" t="n">
        <v>76.90494468</v>
      </c>
      <c r="H33" s="20" t="n">
        <v>1.84183926</v>
      </c>
      <c r="I33" s="18" t="s">
        <v>567</v>
      </c>
      <c r="J33" s="20" t="s">
        <v>567</v>
      </c>
      <c r="K33" s="18" t="n">
        <v>0.5626846599999999</v>
      </c>
      <c r="L33" s="20" t="n">
        <v>0.35938907</v>
      </c>
      <c r="M33" s="18" t="n">
        <v>0</v>
      </c>
      <c r="N33" s="20" t="n">
        <v>0</v>
      </c>
      <c r="O33" s="18" t="n">
        <v>0</v>
      </c>
      <c r="P33" s="20" t="n">
        <v>0</v>
      </c>
      <c r="Q33" s="18" t="n">
        <v>1.07471766</v>
      </c>
      <c r="R33" s="20" t="n">
        <v>0.44715351</v>
      </c>
    </row>
    <row r="34" spans="1:18">
      <c r="A34" s="15" t="s">
        <v>594</v>
      </c>
      <c r="B34" s="17" t="n">
        <v>3315</v>
      </c>
      <c r="C34" s="18">
        <f>(2594.0/B34*100)</f>
        <v/>
      </c>
      <c r="D34" s="19" t="n">
        <v>721</v>
      </c>
      <c r="E34" s="18" t="n">
        <v>21.92690426</v>
      </c>
      <c r="F34" s="20" t="n">
        <v>1.61529874</v>
      </c>
      <c r="G34" s="18" t="n">
        <v>76.98745632000001</v>
      </c>
      <c r="H34" s="20" t="n">
        <v>1.73860395</v>
      </c>
      <c r="I34" s="18" t="s">
        <v>567</v>
      </c>
      <c r="J34" s="20" t="s">
        <v>567</v>
      </c>
      <c r="K34" s="18" t="n">
        <v>0.46724638</v>
      </c>
      <c r="L34" s="20" t="n">
        <v>0.33482416</v>
      </c>
      <c r="M34" s="18" t="n">
        <v>0</v>
      </c>
      <c r="N34" s="20" t="n">
        <v>0</v>
      </c>
      <c r="O34" s="18" t="n">
        <v>0</v>
      </c>
      <c r="P34" s="20" t="n">
        <v>0</v>
      </c>
      <c r="Q34" s="18" t="n">
        <v>0.6183930399999999</v>
      </c>
      <c r="R34" s="20" t="n">
        <v>0.28857081</v>
      </c>
    </row>
    <row r="35" spans="1:18">
      <c r="A35" s="15" t="s">
        <v>595</v>
      </c>
      <c r="B35" s="17" t="n">
        <v>3505</v>
      </c>
      <c r="C35" s="18">
        <f>(2763.0/B35*100)</f>
        <v/>
      </c>
      <c r="D35" s="19" t="n">
        <v>742</v>
      </c>
      <c r="E35" s="18" t="n">
        <v>15.20155809</v>
      </c>
      <c r="F35" s="20" t="n">
        <v>1.38967924</v>
      </c>
      <c r="G35" s="18" t="n">
        <v>82.69072251999999</v>
      </c>
      <c r="H35" s="20" t="n">
        <v>1.48151567</v>
      </c>
      <c r="I35" s="18" t="s">
        <v>567</v>
      </c>
      <c r="J35" s="20" t="s">
        <v>567</v>
      </c>
      <c r="K35" s="18" t="n">
        <v>1.37642241</v>
      </c>
      <c r="L35" s="20" t="n">
        <v>0.80808934</v>
      </c>
      <c r="M35" s="18" t="n">
        <v>0</v>
      </c>
      <c r="N35" s="20" t="n">
        <v>0</v>
      </c>
      <c r="O35" s="18" t="n">
        <v>0</v>
      </c>
      <c r="P35" s="20" t="n">
        <v>0</v>
      </c>
      <c r="Q35" s="18" t="n">
        <v>0.73129698</v>
      </c>
      <c r="R35" s="20" t="n">
        <v>0.30494558</v>
      </c>
    </row>
    <row r="36" spans="1:18">
      <c r="A36" s="15" t="s">
        <v>596</v>
      </c>
      <c r="B36" s="17" t="n">
        <v>3332</v>
      </c>
      <c r="C36" s="18">
        <f>(2632.0/B36*100)</f>
        <v/>
      </c>
      <c r="D36" s="19" t="n">
        <v>700</v>
      </c>
      <c r="E36" s="18" t="n">
        <v>15.54057561</v>
      </c>
      <c r="F36" s="20" t="n">
        <v>1.56679193</v>
      </c>
      <c r="G36" s="18" t="n">
        <v>83.56912086</v>
      </c>
      <c r="H36" s="20" t="n">
        <v>1.63394209</v>
      </c>
      <c r="I36" s="18" t="s">
        <v>567</v>
      </c>
      <c r="J36" s="20" t="s">
        <v>567</v>
      </c>
      <c r="K36" s="18" t="n">
        <v>0.37349586</v>
      </c>
      <c r="L36" s="20" t="n">
        <v>0.2556934</v>
      </c>
      <c r="M36" s="18" t="n">
        <v>0</v>
      </c>
      <c r="N36" s="20" t="n">
        <v>0</v>
      </c>
      <c r="O36" s="18" t="n">
        <v>0</v>
      </c>
      <c r="P36" s="20" t="n">
        <v>0</v>
      </c>
      <c r="Q36" s="18" t="n">
        <v>0.51680766</v>
      </c>
      <c r="R36" s="20" t="n">
        <v>0.23758951</v>
      </c>
    </row>
    <row r="37" spans="1:18">
      <c r="A37" s="15" t="s">
        <v>597</v>
      </c>
      <c r="B37" s="17" t="n">
        <v>2727</v>
      </c>
      <c r="C37" s="18">
        <f>(2140.0/B37*100)</f>
        <v/>
      </c>
      <c r="D37" s="19" t="n">
        <v>587</v>
      </c>
      <c r="E37" s="18" t="n">
        <v>22.01588152</v>
      </c>
      <c r="F37" s="20" t="n">
        <v>1.92353251</v>
      </c>
      <c r="G37" s="18" t="n">
        <v>76.19344744</v>
      </c>
      <c r="H37" s="20" t="n">
        <v>1.9176833</v>
      </c>
      <c r="I37" s="18" t="s">
        <v>567</v>
      </c>
      <c r="J37" s="20" t="s">
        <v>567</v>
      </c>
      <c r="K37" s="18" t="n">
        <v>0.8127709400000001</v>
      </c>
      <c r="L37" s="20" t="n">
        <v>0.36674507</v>
      </c>
      <c r="M37" s="18" t="n">
        <v>0</v>
      </c>
      <c r="N37" s="20" t="n">
        <v>0</v>
      </c>
      <c r="O37" s="18" t="n">
        <v>0</v>
      </c>
      <c r="P37" s="20" t="n">
        <v>0</v>
      </c>
      <c r="Q37" s="18" t="n">
        <v>0.9779001</v>
      </c>
      <c r="R37" s="20" t="n">
        <v>0.34388087</v>
      </c>
    </row>
    <row r="38" spans="1:18">
      <c r="A38" s="15" t="s">
        <v>598</v>
      </c>
      <c r="B38" s="17" t="n">
        <v>3053</v>
      </c>
      <c r="C38" s="18">
        <f>(2398.0/B38*100)</f>
        <v/>
      </c>
      <c r="D38" s="19" t="n">
        <v>655</v>
      </c>
      <c r="E38" s="18" t="n">
        <v>13.68610324</v>
      </c>
      <c r="F38" s="20" t="n">
        <v>1.38882431</v>
      </c>
      <c r="G38" s="18" t="n">
        <v>85.19604264</v>
      </c>
      <c r="H38" s="20" t="n">
        <v>1.43374674</v>
      </c>
      <c r="I38" s="18" t="s">
        <v>567</v>
      </c>
      <c r="J38" s="20" t="s">
        <v>567</v>
      </c>
      <c r="K38" s="18" t="n">
        <v>0.54374683</v>
      </c>
      <c r="L38" s="20" t="n">
        <v>0.32429765</v>
      </c>
      <c r="M38" s="18" t="n">
        <v>0</v>
      </c>
      <c r="N38" s="20" t="n">
        <v>0</v>
      </c>
      <c r="O38" s="18" t="n">
        <v>0</v>
      </c>
      <c r="P38" s="20" t="n">
        <v>0</v>
      </c>
      <c r="Q38" s="18" t="n">
        <v>0.5741073</v>
      </c>
      <c r="R38" s="20" t="n">
        <v>0.32951577</v>
      </c>
    </row>
    <row r="39" spans="1:18">
      <c r="A39" s="15" t="s">
        <v>599</v>
      </c>
      <c r="B39" s="17" t="n">
        <v>2957</v>
      </c>
      <c r="C39" s="18">
        <f>(2298.0/B39*100)</f>
        <v/>
      </c>
      <c r="D39" s="19" t="n">
        <v>659</v>
      </c>
      <c r="E39" s="18" t="n">
        <v>32.33954464</v>
      </c>
      <c r="F39" s="20" t="n">
        <v>2.63605553</v>
      </c>
      <c r="G39" s="18" t="n">
        <v>67.18980202</v>
      </c>
      <c r="H39" s="20" t="n">
        <v>2.64252915</v>
      </c>
      <c r="I39" s="18" t="s">
        <v>567</v>
      </c>
      <c r="J39" s="20" t="s">
        <v>567</v>
      </c>
      <c r="K39" s="18" t="n">
        <v>0</v>
      </c>
      <c r="L39" s="20" t="n">
        <v>0</v>
      </c>
      <c r="M39" s="18" t="n">
        <v>0</v>
      </c>
      <c r="N39" s="20" t="n">
        <v>0</v>
      </c>
      <c r="O39" s="18" t="n">
        <v>0</v>
      </c>
      <c r="P39" s="20" t="n">
        <v>0</v>
      </c>
      <c r="Q39" s="18" t="n">
        <v>0.47065335</v>
      </c>
      <c r="R39" s="20" t="n">
        <v>0.19401679</v>
      </c>
    </row>
    <row r="40" spans="1:18">
      <c r="A40" s="15" t="s">
        <v>600</v>
      </c>
      <c r="B40" s="17" t="n">
        <v>7235</v>
      </c>
      <c r="C40" s="18">
        <f>(5665.0/B40*100)</f>
        <v/>
      </c>
      <c r="D40" s="19" t="n">
        <v>1570</v>
      </c>
      <c r="E40" s="18" t="n">
        <v>16.40130484</v>
      </c>
      <c r="F40" s="20" t="n">
        <v>1.59505445</v>
      </c>
      <c r="G40" s="18" t="n">
        <v>82.54852688</v>
      </c>
      <c r="H40" s="20" t="n">
        <v>1.63610433</v>
      </c>
      <c r="I40" s="18" t="s">
        <v>567</v>
      </c>
      <c r="J40" s="20" t="s">
        <v>567</v>
      </c>
      <c r="K40" s="18" t="n">
        <v>0.51597011</v>
      </c>
      <c r="L40" s="20" t="n">
        <v>0.30598004</v>
      </c>
      <c r="M40" s="18" t="n">
        <v>0</v>
      </c>
      <c r="N40" s="20" t="n">
        <v>0</v>
      </c>
      <c r="O40" s="18" t="n">
        <v>0</v>
      </c>
      <c r="P40" s="20" t="n">
        <v>0</v>
      </c>
      <c r="Q40" s="18" t="n">
        <v>0.53419817</v>
      </c>
      <c r="R40" s="20" t="n">
        <v>0.29185292</v>
      </c>
    </row>
    <row r="41" spans="1:18">
      <c r="A41" s="15" t="s">
        <v>601</v>
      </c>
      <c r="B41" s="17" t="n">
        <v>2858</v>
      </c>
      <c r="C41" s="18">
        <f>(2270.0/B41*100)</f>
        <v/>
      </c>
      <c r="D41" s="19" t="n">
        <v>588</v>
      </c>
      <c r="E41" s="18" t="n">
        <v>12.78994551</v>
      </c>
      <c r="F41" s="20" t="n">
        <v>1.40303155</v>
      </c>
      <c r="G41" s="18" t="n">
        <v>86.83535998000001</v>
      </c>
      <c r="H41" s="20" t="n">
        <v>1.43144608</v>
      </c>
      <c r="I41" s="18" t="s">
        <v>567</v>
      </c>
      <c r="J41" s="20" t="s">
        <v>567</v>
      </c>
      <c r="K41" s="18" t="n">
        <v>0.2021967</v>
      </c>
      <c r="L41" s="20" t="n">
        <v>0.14161835</v>
      </c>
      <c r="M41" s="18" t="n">
        <v>0</v>
      </c>
      <c r="N41" s="20" t="n">
        <v>0</v>
      </c>
      <c r="O41" s="18" t="n">
        <v>0</v>
      </c>
      <c r="P41" s="20" t="n">
        <v>0</v>
      </c>
      <c r="Q41" s="18" t="n">
        <v>0.1724978</v>
      </c>
      <c r="R41" s="20" t="n">
        <v>0.17461726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(9242.0/B46*100)</f>
        <v/>
      </c>
      <c r="D46" s="19" t="n">
        <v>1826</v>
      </c>
      <c r="E46" s="18" t="n">
        <v>34.80111388</v>
      </c>
      <c r="F46" s="20" t="n">
        <v>1.73637392</v>
      </c>
      <c r="G46" s="18" t="n">
        <v>61.22024112</v>
      </c>
      <c r="H46" s="20" t="n">
        <v>1.81601922</v>
      </c>
      <c r="I46" s="18" t="s">
        <v>567</v>
      </c>
      <c r="J46" s="20" t="s">
        <v>567</v>
      </c>
      <c r="K46" s="18" t="n">
        <v>2.73223459</v>
      </c>
      <c r="L46" s="20" t="n">
        <v>0.63150155</v>
      </c>
      <c r="M46" s="18" t="n">
        <v>0</v>
      </c>
      <c r="N46" s="20" t="n">
        <v>0</v>
      </c>
      <c r="O46" s="18" t="n">
        <v>0</v>
      </c>
      <c r="P46" s="20" t="n">
        <v>0</v>
      </c>
      <c r="Q46" s="18" t="n">
        <v>1.24641041</v>
      </c>
      <c r="R46" s="20" t="n">
        <v>0.34510181</v>
      </c>
    </row>
    <row r="47" spans="1:18">
      <c r="A47" s="15" t="s">
        <v>607</v>
      </c>
      <c r="B47" s="17" t="n">
        <v>3105</v>
      </c>
      <c r="C47" s="18">
        <f>(2416.0/B47*100)</f>
        <v/>
      </c>
      <c r="D47" s="19" t="n">
        <v>689</v>
      </c>
      <c r="E47" s="18" t="n">
        <v>23.59829726</v>
      </c>
      <c r="F47" s="20" t="n">
        <v>2.27931268</v>
      </c>
      <c r="G47" s="18" t="n">
        <v>74.72520668</v>
      </c>
      <c r="H47" s="20" t="n">
        <v>2.44602113</v>
      </c>
      <c r="I47" s="18" t="s">
        <v>567</v>
      </c>
      <c r="J47" s="20" t="s">
        <v>567</v>
      </c>
      <c r="K47" s="18" t="n">
        <v>0.51342687</v>
      </c>
      <c r="L47" s="20" t="n">
        <v>0.31809288</v>
      </c>
      <c r="M47" s="18" t="n">
        <v>0</v>
      </c>
      <c r="N47" s="20" t="n">
        <v>0</v>
      </c>
      <c r="O47" s="18" t="n">
        <v>0</v>
      </c>
      <c r="P47" s="20" t="n">
        <v>0</v>
      </c>
      <c r="Q47" s="18" t="n">
        <v>1.16306919</v>
      </c>
      <c r="R47" s="20" t="n">
        <v>0.37463122</v>
      </c>
    </row>
    <row r="48" spans="1:18">
      <c r="A48" s="15" t="s">
        <v>608</v>
      </c>
      <c r="B48" s="17" t="n">
        <v>5159</v>
      </c>
      <c r="C48" s="18">
        <f>(3978.0/B48*100)</f>
        <v/>
      </c>
      <c r="D48" s="19" t="n">
        <v>1181</v>
      </c>
      <c r="E48" s="18" t="n">
        <v>16.03849258</v>
      </c>
      <c r="F48" s="20" t="n">
        <v>1.36885301</v>
      </c>
      <c r="G48" s="18" t="n">
        <v>83.31929924000001</v>
      </c>
      <c r="H48" s="20" t="n">
        <v>1.34915499</v>
      </c>
      <c r="I48" s="18" t="s">
        <v>567</v>
      </c>
      <c r="J48" s="20" t="s">
        <v>567</v>
      </c>
      <c r="K48" s="18" t="n">
        <v>0.34154431</v>
      </c>
      <c r="L48" s="20" t="n">
        <v>0.21295005</v>
      </c>
      <c r="M48" s="18" t="n">
        <v>0</v>
      </c>
      <c r="N48" s="20" t="n">
        <v>0</v>
      </c>
      <c r="O48" s="18" t="n">
        <v>0</v>
      </c>
      <c r="P48" s="20" t="n">
        <v>0</v>
      </c>
      <c r="Q48" s="18" t="n">
        <v>0.30066387</v>
      </c>
      <c r="R48" s="20" t="n">
        <v>0.21280017</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(4465.0/B50*100)</f>
        <v/>
      </c>
      <c r="D50" s="19" t="n">
        <v>1172</v>
      </c>
      <c r="E50" s="18" t="n">
        <v>27.07198332</v>
      </c>
      <c r="F50" s="20" t="n">
        <v>1.89642241</v>
      </c>
      <c r="G50" s="18" t="n">
        <v>71.55909076</v>
      </c>
      <c r="H50" s="20" t="n">
        <v>1.79070249</v>
      </c>
      <c r="I50" s="18" t="s">
        <v>567</v>
      </c>
      <c r="J50" s="20" t="s">
        <v>567</v>
      </c>
      <c r="K50" s="18" t="n">
        <v>0.6652671100000001</v>
      </c>
      <c r="L50" s="20" t="n">
        <v>0.2749605</v>
      </c>
      <c r="M50" s="18" t="n">
        <v>0</v>
      </c>
      <c r="N50" s="20" t="n">
        <v>0</v>
      </c>
      <c r="O50" s="18" t="n">
        <v>0</v>
      </c>
      <c r="P50" s="20" t="n">
        <v>0</v>
      </c>
      <c r="Q50" s="18" t="n">
        <v>0.70365881</v>
      </c>
      <c r="R50" s="20" t="n">
        <v>0.36280643</v>
      </c>
    </row>
    <row r="51" spans="1:18">
      <c r="A51" s="15" t="s">
        <v>611</v>
      </c>
      <c r="B51" s="17" t="n">
        <v>3372</v>
      </c>
      <c r="C51" s="18">
        <f>(2759.0/B51*100)</f>
        <v/>
      </c>
      <c r="D51" s="19" t="n">
        <v>613</v>
      </c>
      <c r="E51" s="18" t="n">
        <v>24.06466195</v>
      </c>
      <c r="F51" s="20" t="n">
        <v>1.73586512</v>
      </c>
      <c r="G51" s="18" t="n">
        <v>74.47167978</v>
      </c>
      <c r="H51" s="20" t="n">
        <v>1.8150635</v>
      </c>
      <c r="I51" s="18" t="s">
        <v>567</v>
      </c>
      <c r="J51" s="20" t="s">
        <v>567</v>
      </c>
      <c r="K51" s="18" t="n">
        <v>0.37246289</v>
      </c>
      <c r="L51" s="20" t="n">
        <v>0.27680381</v>
      </c>
      <c r="M51" s="18" t="n">
        <v>0</v>
      </c>
      <c r="N51" s="20" t="n">
        <v>0</v>
      </c>
      <c r="O51" s="18" t="n">
        <v>0</v>
      </c>
      <c r="P51" s="20" t="n">
        <v>0</v>
      </c>
      <c r="Q51" s="18" t="n">
        <v>1.09119538</v>
      </c>
      <c r="R51" s="20" t="n">
        <v>0.42465667</v>
      </c>
    </row>
    <row r="52" spans="1:18">
      <c r="A52" s="15" t="s">
        <v>612</v>
      </c>
      <c r="B52" s="17" t="n">
        <v>2796</v>
      </c>
      <c r="C52" s="18">
        <f>(2212.0/B52*100)</f>
        <v/>
      </c>
      <c r="D52" s="19" t="n">
        <v>584</v>
      </c>
      <c r="E52" s="18" t="n">
        <v>26.05189935</v>
      </c>
      <c r="F52" s="20" t="n">
        <v>2.15651601</v>
      </c>
      <c r="G52" s="18" t="n">
        <v>73.3306619</v>
      </c>
      <c r="H52" s="20" t="n">
        <v>2.1278538</v>
      </c>
      <c r="I52" s="18" t="s">
        <v>567</v>
      </c>
      <c r="J52" s="20" t="s">
        <v>567</v>
      </c>
      <c r="K52" s="18" t="n">
        <v>0.2756229</v>
      </c>
      <c r="L52" s="20" t="n">
        <v>0.19407545</v>
      </c>
      <c r="M52" s="18" t="n">
        <v>0</v>
      </c>
      <c r="N52" s="20" t="n">
        <v>0</v>
      </c>
      <c r="O52" s="18" t="n">
        <v>0</v>
      </c>
      <c r="P52" s="20" t="n">
        <v>0</v>
      </c>
      <c r="Q52" s="18" t="n">
        <v>0.34181584</v>
      </c>
      <c r="R52" s="20" t="n">
        <v>0.24730618</v>
      </c>
    </row>
    <row r="53" spans="1:18">
      <c r="A53" s="15" t="s">
        <v>613</v>
      </c>
      <c r="B53" s="17" t="n">
        <v>2811</v>
      </c>
      <c r="C53" s="18">
        <f>(2209.0/B53*100)</f>
        <v/>
      </c>
      <c r="D53" s="19" t="n">
        <v>602</v>
      </c>
      <c r="E53" s="18" t="n">
        <v>37.14387486</v>
      </c>
      <c r="F53" s="20" t="n">
        <v>1.94728054</v>
      </c>
      <c r="G53" s="18" t="n">
        <v>59.85586073</v>
      </c>
      <c r="H53" s="20" t="n">
        <v>1.89666746</v>
      </c>
      <c r="I53" s="18" t="s">
        <v>567</v>
      </c>
      <c r="J53" s="20" t="s">
        <v>567</v>
      </c>
      <c r="K53" s="18" t="n">
        <v>0.72257637</v>
      </c>
      <c r="L53" s="20" t="n">
        <v>0.33729071</v>
      </c>
      <c r="M53" s="18" t="n">
        <v>0</v>
      </c>
      <c r="N53" s="20" t="n">
        <v>0</v>
      </c>
      <c r="O53" s="18" t="n">
        <v>0</v>
      </c>
      <c r="P53" s="20" t="n">
        <v>0</v>
      </c>
      <c r="Q53" s="18" t="n">
        <v>2.27768804</v>
      </c>
      <c r="R53" s="20" t="n">
        <v>0.63055786</v>
      </c>
    </row>
    <row r="54" spans="1:18">
      <c r="A54" s="15" t="s">
        <v>614</v>
      </c>
      <c r="B54" s="17" t="n">
        <v>2266</v>
      </c>
      <c r="C54" s="18">
        <f>(1776.0/B54*100)</f>
        <v/>
      </c>
      <c r="D54" s="19" t="n">
        <v>490</v>
      </c>
      <c r="E54" s="18" t="n">
        <v>40.56145813</v>
      </c>
      <c r="F54" s="20" t="n">
        <v>2.52180605</v>
      </c>
      <c r="G54" s="18" t="n">
        <v>40.57254401</v>
      </c>
      <c r="H54" s="20" t="n">
        <v>2.45554187</v>
      </c>
      <c r="I54" s="18" t="s">
        <v>567</v>
      </c>
      <c r="J54" s="20" t="s">
        <v>567</v>
      </c>
      <c r="K54" s="18" t="n">
        <v>17.38703758</v>
      </c>
      <c r="L54" s="20" t="n">
        <v>1.97916963</v>
      </c>
      <c r="M54" s="18" t="n">
        <v>0</v>
      </c>
      <c r="N54" s="20" t="n">
        <v>0</v>
      </c>
      <c r="O54" s="18" t="n">
        <v>0</v>
      </c>
      <c r="P54" s="20" t="n">
        <v>0</v>
      </c>
      <c r="Q54" s="18" t="n">
        <v>1.47896028</v>
      </c>
      <c r="R54" s="20" t="n">
        <v>0.6496978</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(2106.0/B56*100)</f>
        <v/>
      </c>
      <c r="D56" s="19" t="n">
        <v>578</v>
      </c>
      <c r="E56" s="18" t="n">
        <v>24.65518373</v>
      </c>
      <c r="F56" s="20" t="n">
        <v>1.68614208</v>
      </c>
      <c r="G56" s="18" t="n">
        <v>74.84923752</v>
      </c>
      <c r="H56" s="20" t="n">
        <v>1.67558332</v>
      </c>
      <c r="I56" s="18" t="s">
        <v>567</v>
      </c>
      <c r="J56" s="20" t="s">
        <v>567</v>
      </c>
      <c r="K56" s="18" t="n">
        <v>0.37330744</v>
      </c>
      <c r="L56" s="20" t="n">
        <v>0.29077967</v>
      </c>
      <c r="M56" s="18" t="n">
        <v>0</v>
      </c>
      <c r="N56" s="20" t="n">
        <v>0</v>
      </c>
      <c r="O56" s="18" t="n">
        <v>0</v>
      </c>
      <c r="P56" s="20" t="n">
        <v>0</v>
      </c>
      <c r="Q56" s="18" t="n">
        <v>0.12227131</v>
      </c>
      <c r="R56" s="20" t="n">
        <v>0.12137504</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(2562.0/B61*100)</f>
        <v/>
      </c>
      <c r="D61" s="19" t="n">
        <v>762</v>
      </c>
      <c r="E61" s="18" t="n">
        <v>20.35308944</v>
      </c>
      <c r="F61" s="20" t="n">
        <v>1.49013564</v>
      </c>
      <c r="G61" s="18" t="n">
        <v>78.93395964</v>
      </c>
      <c r="H61" s="20" t="n">
        <v>1.51259228</v>
      </c>
      <c r="I61" s="18" t="s">
        <v>567</v>
      </c>
      <c r="J61" s="20" t="s">
        <v>567</v>
      </c>
      <c r="K61" s="18" t="n">
        <v>0.45994821</v>
      </c>
      <c r="L61" s="20" t="n">
        <v>0.24977277</v>
      </c>
      <c r="M61" s="18" t="n">
        <v>0</v>
      </c>
      <c r="N61" s="20" t="n">
        <v>0</v>
      </c>
      <c r="O61" s="18" t="n">
        <v>0</v>
      </c>
      <c r="P61" s="20" t="n">
        <v>0</v>
      </c>
      <c r="Q61" s="18" t="n">
        <v>0.25300272</v>
      </c>
      <c r="R61" s="20" t="n">
        <v>0.16875619</v>
      </c>
    </row>
    <row r="62" spans="1:18">
      <c r="A62" s="15" t="s">
        <v>622</v>
      </c>
      <c r="B62" s="17" t="n">
        <v>2246</v>
      </c>
      <c r="C62" s="18">
        <f>(1767.0/B62*100)</f>
        <v/>
      </c>
      <c r="D62" s="19" t="n">
        <v>479</v>
      </c>
      <c r="E62" s="18" t="n">
        <v>13.76794603</v>
      </c>
      <c r="F62" s="20" t="n">
        <v>1.58647128</v>
      </c>
      <c r="G62" s="18" t="n">
        <v>85.39561619</v>
      </c>
      <c r="H62" s="20" t="n">
        <v>1.60906049</v>
      </c>
      <c r="I62" s="18" t="s">
        <v>567</v>
      </c>
      <c r="J62" s="20" t="s">
        <v>567</v>
      </c>
      <c r="K62" s="18" t="n">
        <v>0.2144708</v>
      </c>
      <c r="L62" s="20" t="n">
        <v>0.21444765</v>
      </c>
      <c r="M62" s="18" t="n">
        <v>0</v>
      </c>
      <c r="N62" s="20" t="n">
        <v>0</v>
      </c>
      <c r="O62" s="18" t="n">
        <v>0</v>
      </c>
      <c r="P62" s="20" t="n">
        <v>0</v>
      </c>
      <c r="Q62" s="18" t="n">
        <v>0.6219669799999999</v>
      </c>
      <c r="R62" s="20" t="n">
        <v>0.35314508</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(2256.0/B66*100)</f>
        <v/>
      </c>
      <c r="D66" s="19" t="n">
        <v>638</v>
      </c>
      <c r="E66" s="18" t="n">
        <v>33.97852588</v>
      </c>
      <c r="F66" s="20" t="n">
        <v>2.07901681</v>
      </c>
      <c r="G66" s="18" t="n">
        <v>63.16413246</v>
      </c>
      <c r="H66" s="20" t="n">
        <v>1.96644484</v>
      </c>
      <c r="I66" s="18" t="s">
        <v>567</v>
      </c>
      <c r="J66" s="20" t="s">
        <v>567</v>
      </c>
      <c r="K66" s="18" t="n">
        <v>0.62336306</v>
      </c>
      <c r="L66" s="20" t="n">
        <v>0.31356787</v>
      </c>
      <c r="M66" s="18" t="n">
        <v>0</v>
      </c>
      <c r="N66" s="20" t="n">
        <v>0</v>
      </c>
      <c r="O66" s="18" t="n">
        <v>0</v>
      </c>
      <c r="P66" s="20" t="n">
        <v>0</v>
      </c>
      <c r="Q66" s="18" t="n">
        <v>2.2339786</v>
      </c>
      <c r="R66" s="20" t="n">
        <v>0.62395299</v>
      </c>
    </row>
    <row r="67" spans="1:18">
      <c r="A67" s="15" t="s">
        <v>627</v>
      </c>
      <c r="B67" s="17" t="n">
        <v>3511</v>
      </c>
      <c r="C67" s="18">
        <f>(2814.0/B67*100)</f>
        <v/>
      </c>
      <c r="D67" s="19" t="n">
        <v>697</v>
      </c>
      <c r="E67" s="18" t="n">
        <v>25.86261925</v>
      </c>
      <c r="F67" s="20" t="n">
        <v>1.69749716</v>
      </c>
      <c r="G67" s="18" t="n">
        <v>73.50353702</v>
      </c>
      <c r="H67" s="20" t="n">
        <v>1.77706162</v>
      </c>
      <c r="I67" s="18" t="s">
        <v>567</v>
      </c>
      <c r="J67" s="20" t="s">
        <v>567</v>
      </c>
      <c r="K67" s="18" t="n">
        <v>0.24108434</v>
      </c>
      <c r="L67" s="20" t="n">
        <v>0.17107805</v>
      </c>
      <c r="M67" s="18" t="n">
        <v>0</v>
      </c>
      <c r="N67" s="20" t="n">
        <v>0</v>
      </c>
      <c r="O67" s="18" t="n">
        <v>0</v>
      </c>
      <c r="P67" s="20" t="n">
        <v>0</v>
      </c>
      <c r="Q67" s="18" t="n">
        <v>0.39275939</v>
      </c>
      <c r="R67" s="20" t="n">
        <v>0.22964161</v>
      </c>
    </row>
    <row r="68" spans="1:18">
      <c r="A68" s="15" t="s">
        <v>628</v>
      </c>
      <c r="B68" s="17" t="n">
        <v>6049</v>
      </c>
      <c r="C68" s="18">
        <f>(4693.0/B68*100)</f>
        <v/>
      </c>
      <c r="D68" s="19" t="n">
        <v>1356</v>
      </c>
      <c r="E68" s="18" t="n">
        <v>36.4434488</v>
      </c>
      <c r="F68" s="20" t="n">
        <v>1.34254671</v>
      </c>
      <c r="G68" s="18" t="n">
        <v>59.13735627</v>
      </c>
      <c r="H68" s="20" t="n">
        <v>1.34083196</v>
      </c>
      <c r="I68" s="18" t="s">
        <v>567</v>
      </c>
      <c r="J68" s="20" t="s">
        <v>567</v>
      </c>
      <c r="K68" s="18" t="n">
        <v>2.83408006</v>
      </c>
      <c r="L68" s="20" t="n">
        <v>0.40062324</v>
      </c>
      <c r="M68" s="18" t="n">
        <v>0</v>
      </c>
      <c r="N68" s="20" t="n">
        <v>0</v>
      </c>
      <c r="O68" s="18" t="n">
        <v>0</v>
      </c>
      <c r="P68" s="20" t="n">
        <v>0</v>
      </c>
      <c r="Q68" s="18" t="n">
        <v>1.58511487</v>
      </c>
      <c r="R68" s="20" t="n">
        <v>0.35611609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(2304.0/B70*100)</f>
        <v/>
      </c>
      <c r="D70" s="19" t="n">
        <v>625</v>
      </c>
      <c r="E70" s="18" t="n">
        <v>25.33698694</v>
      </c>
      <c r="F70" s="20" t="n">
        <v>1.9854348</v>
      </c>
      <c r="G70" s="18" t="n">
        <v>73.53861414000001</v>
      </c>
      <c r="H70" s="20" t="n">
        <v>1.88925039</v>
      </c>
      <c r="I70" s="18" t="s">
        <v>567</v>
      </c>
      <c r="J70" s="20" t="s">
        <v>567</v>
      </c>
      <c r="K70" s="18" t="n">
        <v>0.52888371</v>
      </c>
      <c r="L70" s="20" t="n">
        <v>0.26049157</v>
      </c>
      <c r="M70" s="18" t="n">
        <v>0</v>
      </c>
      <c r="N70" s="20" t="n">
        <v>0</v>
      </c>
      <c r="O70" s="18" t="n">
        <v>0</v>
      </c>
      <c r="P70" s="20" t="n">
        <v>0</v>
      </c>
      <c r="Q70" s="18" t="n">
        <v>0.59551521</v>
      </c>
      <c r="R70" s="20" t="n">
        <v>0.24667565</v>
      </c>
    </row>
    <row r="71" spans="1:18">
      <c r="A71" s="15" t="s">
        <v>631</v>
      </c>
      <c r="B71" s="17" t="n">
        <v>3142</v>
      </c>
      <c r="C71" s="18">
        <f>(2442.0/B71*100)</f>
        <v/>
      </c>
      <c r="D71" s="19" t="n">
        <v>700</v>
      </c>
      <c r="E71" s="18" t="n">
        <v>13.90955048</v>
      </c>
      <c r="F71" s="20" t="n">
        <v>1.27812926</v>
      </c>
      <c r="G71" s="18" t="n">
        <v>85.67077057</v>
      </c>
      <c r="H71" s="20" t="n">
        <v>1.31290966</v>
      </c>
      <c r="I71" s="18" t="s">
        <v>567</v>
      </c>
      <c r="J71" s="20" t="s">
        <v>567</v>
      </c>
      <c r="K71" s="18" t="n">
        <v>0.1895588</v>
      </c>
      <c r="L71" s="20" t="n">
        <v>0.13825601</v>
      </c>
      <c r="M71" s="18" t="n">
        <v>0</v>
      </c>
      <c r="N71" s="20" t="n">
        <v>0</v>
      </c>
      <c r="O71" s="18" t="n">
        <v>0</v>
      </c>
      <c r="P71" s="20" t="n">
        <v>0</v>
      </c>
      <c r="Q71" s="18" t="n">
        <v>0.23012015</v>
      </c>
      <c r="R71" s="20" t="n">
        <v>0.17079031</v>
      </c>
    </row>
    <row r="72" spans="1:18">
      <c r="A72" s="15" t="s">
        <v>632</v>
      </c>
      <c r="B72" s="17" t="n">
        <v>3889</v>
      </c>
      <c r="C72" s="18">
        <f>(3037.0/B72*100)</f>
        <v/>
      </c>
      <c r="D72" s="19" t="n">
        <v>852</v>
      </c>
      <c r="E72" s="18" t="n">
        <v>22.50081247</v>
      </c>
      <c r="F72" s="20" t="n">
        <v>1.6090775</v>
      </c>
      <c r="G72" s="18" t="n">
        <v>77.14589515999999</v>
      </c>
      <c r="H72" s="20" t="n">
        <v>1.6201877</v>
      </c>
      <c r="I72" s="18" t="s">
        <v>567</v>
      </c>
      <c r="J72" s="20" t="s">
        <v>567</v>
      </c>
      <c r="K72" s="18" t="n">
        <v>0.07721187</v>
      </c>
      <c r="L72" s="20" t="n">
        <v>0.07967167</v>
      </c>
      <c r="M72" s="18" t="n">
        <v>0</v>
      </c>
      <c r="N72" s="20" t="n">
        <v>0</v>
      </c>
      <c r="O72" s="18" t="n">
        <v>0</v>
      </c>
      <c r="P72" s="20" t="n">
        <v>0</v>
      </c>
      <c r="Q72" s="18" t="n">
        <v>0.2760805</v>
      </c>
      <c r="R72" s="20" t="n">
        <v>0.19442969</v>
      </c>
    </row>
    <row r="73" spans="1:18">
      <c r="A73" s="15" t="s">
        <v>633</v>
      </c>
      <c r="B73" s="17" t="n">
        <v>3597</v>
      </c>
      <c r="C73" s="18">
        <f>(2828.0/B73*100)</f>
        <v/>
      </c>
      <c r="D73" s="19" t="n">
        <v>769</v>
      </c>
      <c r="E73" s="18" t="n">
        <v>33.02987172</v>
      </c>
      <c r="F73" s="20" t="n">
        <v>2.44663422</v>
      </c>
      <c r="G73" s="18" t="n">
        <v>65.9781438</v>
      </c>
      <c r="H73" s="20" t="n">
        <v>2.64516587</v>
      </c>
      <c r="I73" s="18" t="s">
        <v>567</v>
      </c>
      <c r="J73" s="20" t="s">
        <v>567</v>
      </c>
      <c r="K73" s="18" t="n">
        <v>0</v>
      </c>
      <c r="L73" s="20" t="n">
        <v>0</v>
      </c>
      <c r="M73" s="18" t="n">
        <v>0</v>
      </c>
      <c r="N73" s="20" t="n">
        <v>0</v>
      </c>
      <c r="O73" s="18" t="n">
        <v>0</v>
      </c>
      <c r="P73" s="20" t="n">
        <v>0</v>
      </c>
      <c r="Q73" s="18" t="n">
        <v>0.99198449</v>
      </c>
      <c r="R73" s="20" t="n">
        <v>0.54485123</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(1908.0/B75*100)</f>
        <v/>
      </c>
      <c r="D75" s="19" t="n">
        <v>498</v>
      </c>
      <c r="E75" s="18" t="n">
        <v>23.76268125</v>
      </c>
      <c r="F75" s="20" t="n">
        <v>2.02414305</v>
      </c>
      <c r="G75" s="18" t="n">
        <v>70.60168886</v>
      </c>
      <c r="H75" s="20" t="n">
        <v>2.05443462</v>
      </c>
      <c r="I75" s="18" t="s">
        <v>567</v>
      </c>
      <c r="J75" s="20" t="s">
        <v>567</v>
      </c>
      <c r="K75" s="18" t="n">
        <v>3.88522228</v>
      </c>
      <c r="L75" s="20" t="n">
        <v>0.82014728</v>
      </c>
      <c r="M75" s="18" t="n">
        <v>0</v>
      </c>
      <c r="N75" s="20" t="n">
        <v>0</v>
      </c>
      <c r="O75" s="18" t="n">
        <v>0</v>
      </c>
      <c r="P75" s="20" t="n">
        <v>0</v>
      </c>
      <c r="Q75" s="18" t="n">
        <v>1.75040761</v>
      </c>
      <c r="R75" s="20" t="n">
        <v>0.62792115</v>
      </c>
    </row>
    <row r="76" spans="1:18">
      <c r="A76" s="15" t="s">
        <v>636</v>
      </c>
      <c r="B76" s="17" t="n">
        <v>7052</v>
      </c>
      <c r="C76" s="18">
        <f>(5499.0/B76*100)</f>
        <v/>
      </c>
      <c r="D76" s="19" t="n">
        <v>1553</v>
      </c>
      <c r="E76" s="18" t="n">
        <v>33.80909614</v>
      </c>
      <c r="F76" s="20" t="n">
        <v>1.59540966</v>
      </c>
      <c r="G76" s="18" t="n">
        <v>63.66121797</v>
      </c>
      <c r="H76" s="20" t="n">
        <v>1.5438414</v>
      </c>
      <c r="I76" s="18" t="s">
        <v>567</v>
      </c>
      <c r="J76" s="20" t="s">
        <v>567</v>
      </c>
      <c r="K76" s="18" t="n">
        <v>1.2701137</v>
      </c>
      <c r="L76" s="20" t="n">
        <v>0.4158793</v>
      </c>
      <c r="M76" s="18" t="n">
        <v>0</v>
      </c>
      <c r="N76" s="20" t="n">
        <v>0</v>
      </c>
      <c r="O76" s="18" t="n">
        <v>0</v>
      </c>
      <c r="P76" s="20" t="n">
        <v>0</v>
      </c>
      <c r="Q76" s="18" t="n">
        <v>1.25957218</v>
      </c>
      <c r="R76" s="20" t="n">
        <v>0.36877991</v>
      </c>
    </row>
    <row r="77" spans="1:18">
      <c r="A77" s="15" t="s">
        <v>637</v>
      </c>
      <c r="B77" s="17" t="n">
        <v>2908</v>
      </c>
      <c r="C77" s="18">
        <f>(2364.0/B77*100)</f>
        <v/>
      </c>
      <c r="D77" s="19" t="n">
        <v>544</v>
      </c>
      <c r="E77" s="18" t="n">
        <v>26.45989879</v>
      </c>
      <c r="F77" s="20" t="n">
        <v>2.05787622</v>
      </c>
      <c r="G77" s="18" t="n">
        <v>70.92223753</v>
      </c>
      <c r="H77" s="20" t="n">
        <v>2.26254525</v>
      </c>
      <c r="I77" s="18" t="s">
        <v>567</v>
      </c>
      <c r="J77" s="20" t="s">
        <v>567</v>
      </c>
      <c r="K77" s="18" t="n">
        <v>1.89850532</v>
      </c>
      <c r="L77" s="20" t="n">
        <v>0.61618227</v>
      </c>
      <c r="M77" s="18" t="n">
        <v>0</v>
      </c>
      <c r="N77" s="20" t="n">
        <v>0</v>
      </c>
      <c r="O77" s="18" t="n">
        <v>0</v>
      </c>
      <c r="P77" s="20" t="n">
        <v>0</v>
      </c>
      <c r="Q77" s="18" t="n">
        <v>0.71935835</v>
      </c>
      <c r="R77" s="20" t="n">
        <v>0.32405086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(3276.0/B81*100)</f>
        <v/>
      </c>
      <c r="D81" s="19" t="n">
        <v>887</v>
      </c>
      <c r="E81" s="18" t="n">
        <v>25.26779656</v>
      </c>
      <c r="F81" s="20" t="n">
        <v>1.98530499</v>
      </c>
      <c r="G81" s="18" t="n">
        <v>74.32955079</v>
      </c>
      <c r="H81" s="20" t="n">
        <v>1.96493689</v>
      </c>
      <c r="I81" s="18" t="s">
        <v>567</v>
      </c>
      <c r="J81" s="20" t="s">
        <v>567</v>
      </c>
      <c r="K81" s="18" t="n">
        <v>0.19279912</v>
      </c>
      <c r="L81" s="20" t="n">
        <v>0.13506967</v>
      </c>
      <c r="M81" s="18" t="n">
        <v>0</v>
      </c>
      <c r="N81" s="20" t="n">
        <v>0</v>
      </c>
      <c r="O81" s="18" t="n">
        <v>0</v>
      </c>
      <c r="P81" s="20" t="n">
        <v>0</v>
      </c>
      <c r="Q81" s="18" t="n">
        <v>0.20985353</v>
      </c>
      <c r="R81" s="20" t="n">
        <v>0.19795337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(5752.0/B7*100)</f>
        <v/>
      </c>
      <c r="D7" s="19" t="n">
        <v>1615</v>
      </c>
      <c r="E7" s="18" t="n">
        <v>64.46436063</v>
      </c>
      <c r="F7" s="20" t="n">
        <v>1.48624577</v>
      </c>
      <c r="G7" s="18" t="n">
        <v>33.14576056</v>
      </c>
      <c r="H7" s="20" t="n">
        <v>1.46994211</v>
      </c>
      <c r="I7" s="18" t="s">
        <v>567</v>
      </c>
      <c r="J7" s="20" t="s">
        <v>567</v>
      </c>
      <c r="K7" s="18" t="n">
        <v>0.67577425</v>
      </c>
      <c r="L7" s="20" t="n">
        <v>0.22850895</v>
      </c>
      <c r="M7" s="18" t="n">
        <v>0</v>
      </c>
      <c r="N7" s="20" t="n">
        <v>0</v>
      </c>
      <c r="O7" s="18" t="n">
        <v>0</v>
      </c>
      <c r="P7" s="20" t="n">
        <v>0</v>
      </c>
      <c r="Q7" s="18" t="n">
        <v>1.71410456</v>
      </c>
      <c r="R7" s="20" t="n">
        <v>0.35153706</v>
      </c>
    </row>
    <row r="8" spans="1:18">
      <c r="A8" s="15" t="s">
        <v>568</v>
      </c>
      <c r="B8" s="17" t="n">
        <v>3564</v>
      </c>
      <c r="C8" s="18">
        <f>(2777.0/B8*100)</f>
        <v/>
      </c>
      <c r="D8" s="19" t="n">
        <v>787</v>
      </c>
      <c r="E8" s="18" t="n">
        <v>55.59339239</v>
      </c>
      <c r="F8" s="20" t="n">
        <v>1.92367125</v>
      </c>
      <c r="G8" s="18" t="n">
        <v>43.58170452</v>
      </c>
      <c r="H8" s="20" t="n">
        <v>2.01452921</v>
      </c>
      <c r="I8" s="18" t="s">
        <v>567</v>
      </c>
      <c r="J8" s="20" t="s">
        <v>567</v>
      </c>
      <c r="K8" s="18" t="n">
        <v>0</v>
      </c>
      <c r="L8" s="20" t="n">
        <v>0</v>
      </c>
      <c r="M8" s="18" t="n">
        <v>0</v>
      </c>
      <c r="N8" s="20" t="n">
        <v>0</v>
      </c>
      <c r="O8" s="18" t="n">
        <v>0</v>
      </c>
      <c r="P8" s="20" t="n">
        <v>0</v>
      </c>
      <c r="Q8" s="18" t="n">
        <v>0.8249030899999999</v>
      </c>
      <c r="R8" s="20" t="n">
        <v>0.37272812</v>
      </c>
    </row>
    <row r="9" spans="1:18">
      <c r="A9" s="15" t="s">
        <v>569</v>
      </c>
      <c r="B9" s="17" t="n">
        <v>4899</v>
      </c>
      <c r="C9" s="18">
        <f>(3882.0/B9*100)</f>
        <v/>
      </c>
      <c r="D9" s="19" t="n">
        <v>1017</v>
      </c>
      <c r="E9" s="18" t="n">
        <v>57.75714677</v>
      </c>
      <c r="F9" s="20" t="n">
        <v>1.71362932</v>
      </c>
      <c r="G9" s="18" t="n">
        <v>40.87424982</v>
      </c>
      <c r="H9" s="20" t="n">
        <v>1.71729179</v>
      </c>
      <c r="I9" s="18" t="s">
        <v>567</v>
      </c>
      <c r="J9" s="20" t="s">
        <v>567</v>
      </c>
      <c r="K9" s="18" t="n">
        <v>0.76570311</v>
      </c>
      <c r="L9" s="20" t="n">
        <v>0.24777635</v>
      </c>
      <c r="M9" s="18" t="n">
        <v>0</v>
      </c>
      <c r="N9" s="20" t="n">
        <v>0</v>
      </c>
      <c r="O9" s="18" t="n">
        <v>0</v>
      </c>
      <c r="P9" s="20" t="n">
        <v>0</v>
      </c>
      <c r="Q9" s="18" t="n">
        <v>0.6029002999999999</v>
      </c>
      <c r="R9" s="20" t="n">
        <v>0.21775464</v>
      </c>
    </row>
    <row r="10" spans="1:18">
      <c r="A10" s="15" t="s">
        <v>570</v>
      </c>
      <c r="B10" s="17" t="n">
        <v>10036</v>
      </c>
      <c r="C10" s="18">
        <f>(7765.0/B10*100)</f>
        <v/>
      </c>
      <c r="D10" s="19" t="n">
        <v>2271</v>
      </c>
      <c r="E10" s="18" t="n">
        <v>59.79296547</v>
      </c>
      <c r="F10" s="20" t="n">
        <v>1.58400034</v>
      </c>
      <c r="G10" s="18" t="n">
        <v>38.57926758</v>
      </c>
      <c r="H10" s="20" t="n">
        <v>1.5448455</v>
      </c>
      <c r="I10" s="18" t="s">
        <v>567</v>
      </c>
      <c r="J10" s="20" t="s">
        <v>567</v>
      </c>
      <c r="K10" s="18" t="n">
        <v>0.58488981</v>
      </c>
      <c r="L10" s="20" t="n">
        <v>0.23801386</v>
      </c>
      <c r="M10" s="18" t="n">
        <v>0</v>
      </c>
      <c r="N10" s="20" t="n">
        <v>0</v>
      </c>
      <c r="O10" s="18" t="n">
        <v>0</v>
      </c>
      <c r="P10" s="20" t="n">
        <v>0</v>
      </c>
      <c r="Q10" s="18" t="n">
        <v>1.04287714</v>
      </c>
      <c r="R10" s="20" t="n">
        <v>0.2930362</v>
      </c>
    </row>
    <row r="11" spans="1:18">
      <c r="A11" s="15" t="s">
        <v>571</v>
      </c>
      <c r="B11" s="17" t="n">
        <v>3553</v>
      </c>
      <c r="C11" s="18">
        <f>(2766.0/B11*100)</f>
        <v/>
      </c>
      <c r="D11" s="19" t="n">
        <v>787</v>
      </c>
      <c r="E11" s="18" t="n">
        <v>68.32876245999999</v>
      </c>
      <c r="F11" s="20" t="n">
        <v>1.78185904</v>
      </c>
      <c r="G11" s="18" t="n">
        <v>28.88090146</v>
      </c>
      <c r="H11" s="20" t="n">
        <v>1.76208773</v>
      </c>
      <c r="I11" s="18" t="s">
        <v>567</v>
      </c>
      <c r="J11" s="20" t="s">
        <v>567</v>
      </c>
      <c r="K11" s="18" t="n">
        <v>0.93036484</v>
      </c>
      <c r="L11" s="20" t="n">
        <v>0.35714212</v>
      </c>
      <c r="M11" s="18" t="n">
        <v>0</v>
      </c>
      <c r="N11" s="20" t="n">
        <v>0</v>
      </c>
      <c r="O11" s="18" t="n">
        <v>0</v>
      </c>
      <c r="P11" s="20" t="n">
        <v>0</v>
      </c>
      <c r="Q11" s="18" t="n">
        <v>1.85997124</v>
      </c>
      <c r="R11" s="20" t="n">
        <v>0.50701258</v>
      </c>
    </row>
    <row r="12" spans="1:18">
      <c r="A12" s="15" t="s">
        <v>572</v>
      </c>
      <c r="B12" s="17" t="n">
        <v>3472</v>
      </c>
      <c r="C12" s="18">
        <f>(2761.0/B12*100)</f>
        <v/>
      </c>
      <c r="D12" s="19" t="n">
        <v>711</v>
      </c>
      <c r="E12" s="18" t="n">
        <v>62.24187071</v>
      </c>
      <c r="F12" s="20" t="n">
        <v>2.16655797</v>
      </c>
      <c r="G12" s="18" t="n">
        <v>36.36116672</v>
      </c>
      <c r="H12" s="20" t="n">
        <v>2.04814857</v>
      </c>
      <c r="I12" s="18" t="s">
        <v>567</v>
      </c>
      <c r="J12" s="20" t="s">
        <v>567</v>
      </c>
      <c r="K12" s="18" t="n">
        <v>0.18048968</v>
      </c>
      <c r="L12" s="20" t="n">
        <v>0.13038847</v>
      </c>
      <c r="M12" s="18" t="n">
        <v>0</v>
      </c>
      <c r="N12" s="20" t="n">
        <v>0</v>
      </c>
      <c r="O12" s="18" t="n">
        <v>0</v>
      </c>
      <c r="P12" s="20" t="n">
        <v>0</v>
      </c>
      <c r="Q12" s="18" t="n">
        <v>1.21647288</v>
      </c>
      <c r="R12" s="20" t="n">
        <v>0.44495981</v>
      </c>
    </row>
    <row r="13" spans="1:18">
      <c r="A13" s="15" t="s">
        <v>573</v>
      </c>
      <c r="B13" s="17" t="n">
        <v>3559</v>
      </c>
      <c r="C13" s="18">
        <f>(2807.0/B13*100)</f>
        <v/>
      </c>
      <c r="D13" s="19" t="n">
        <v>752</v>
      </c>
      <c r="E13" s="18" t="n">
        <v>60.56189512</v>
      </c>
      <c r="F13" s="20" t="n">
        <v>1.94478858</v>
      </c>
      <c r="G13" s="18" t="n">
        <v>37.99698525</v>
      </c>
      <c r="H13" s="20" t="n">
        <v>1.94956067</v>
      </c>
      <c r="I13" s="18" t="s">
        <v>567</v>
      </c>
      <c r="J13" s="20" t="s">
        <v>567</v>
      </c>
      <c r="K13" s="18" t="n">
        <v>0.23897598</v>
      </c>
      <c r="L13" s="20" t="n">
        <v>0.14263593</v>
      </c>
      <c r="M13" s="18" t="n">
        <v>0</v>
      </c>
      <c r="N13" s="20" t="n">
        <v>0</v>
      </c>
      <c r="O13" s="18" t="n">
        <v>0</v>
      </c>
      <c r="P13" s="20" t="n">
        <v>0</v>
      </c>
      <c r="Q13" s="18" t="n">
        <v>1.20214365</v>
      </c>
      <c r="R13" s="20" t="n">
        <v>0.95919648</v>
      </c>
    </row>
    <row r="14" spans="1:18">
      <c r="A14" s="15" t="s">
        <v>574</v>
      </c>
      <c r="B14" s="17" t="n">
        <v>2799</v>
      </c>
      <c r="C14" s="18">
        <f>(2162.0/B14*100)</f>
        <v/>
      </c>
      <c r="D14" s="19" t="n">
        <v>637</v>
      </c>
      <c r="E14" s="18" t="n">
        <v>55.5047891</v>
      </c>
      <c r="F14" s="20" t="n">
        <v>2.52474771</v>
      </c>
      <c r="G14" s="18" t="n">
        <v>42.99834884</v>
      </c>
      <c r="H14" s="20" t="n">
        <v>2.3074155</v>
      </c>
      <c r="I14" s="18" t="s">
        <v>567</v>
      </c>
      <c r="J14" s="20" t="s">
        <v>567</v>
      </c>
      <c r="K14" s="18" t="n">
        <v>1.2049778</v>
      </c>
      <c r="L14" s="20" t="n">
        <v>0.53929291</v>
      </c>
      <c r="M14" s="18" t="n">
        <v>0</v>
      </c>
      <c r="N14" s="20" t="n">
        <v>0</v>
      </c>
      <c r="O14" s="18" t="n">
        <v>0</v>
      </c>
      <c r="P14" s="20" t="n">
        <v>0</v>
      </c>
      <c r="Q14" s="18" t="n">
        <v>0.29188427</v>
      </c>
      <c r="R14" s="20" t="n">
        <v>0.20870627</v>
      </c>
    </row>
    <row r="15" spans="1:18">
      <c r="A15" s="15" t="s">
        <v>575</v>
      </c>
      <c r="B15" s="17" t="n">
        <v>3019</v>
      </c>
      <c r="C15" s="18">
        <f>(2353.0/B15*100)</f>
        <v/>
      </c>
      <c r="D15" s="19" t="n">
        <v>666</v>
      </c>
      <c r="E15" s="18" t="n">
        <v>53.44473225</v>
      </c>
      <c r="F15" s="20" t="n">
        <v>1.84578104</v>
      </c>
      <c r="G15" s="18" t="n">
        <v>45.06163624</v>
      </c>
      <c r="H15" s="20" t="n">
        <v>1.79990497</v>
      </c>
      <c r="I15" s="18" t="s">
        <v>567</v>
      </c>
      <c r="J15" s="20" t="s">
        <v>567</v>
      </c>
      <c r="K15" s="18" t="n">
        <v>0.43741868</v>
      </c>
      <c r="L15" s="20" t="n">
        <v>0.25481807</v>
      </c>
      <c r="M15" s="18" t="n">
        <v>0</v>
      </c>
      <c r="N15" s="20" t="n">
        <v>0</v>
      </c>
      <c r="O15" s="18" t="n">
        <v>0</v>
      </c>
      <c r="P15" s="20" t="n">
        <v>0</v>
      </c>
      <c r="Q15" s="18" t="n">
        <v>1.05621283</v>
      </c>
      <c r="R15" s="20" t="n">
        <v>0.40532267</v>
      </c>
    </row>
    <row r="16" spans="1:18">
      <c r="A16" s="15" t="s">
        <v>576</v>
      </c>
      <c r="B16" s="17" t="n">
        <v>2997</v>
      </c>
      <c r="C16" s="18">
        <f>(2328.0/B16*100)</f>
        <v/>
      </c>
      <c r="D16" s="19" t="n">
        <v>669</v>
      </c>
      <c r="E16" s="18" t="n">
        <v>57.72021351</v>
      </c>
      <c r="F16" s="20" t="n">
        <v>2.10862826</v>
      </c>
      <c r="G16" s="18" t="n">
        <v>38.05435503</v>
      </c>
      <c r="H16" s="20" t="n">
        <v>2.03891387</v>
      </c>
      <c r="I16" s="18" t="s">
        <v>567</v>
      </c>
      <c r="J16" s="20" t="s">
        <v>567</v>
      </c>
      <c r="K16" s="18" t="n">
        <v>1.43057969</v>
      </c>
      <c r="L16" s="20" t="n">
        <v>0.41860204</v>
      </c>
      <c r="M16" s="18" t="n">
        <v>0</v>
      </c>
      <c r="N16" s="20" t="n">
        <v>0</v>
      </c>
      <c r="O16" s="18" t="n">
        <v>0</v>
      </c>
      <c r="P16" s="20" t="n">
        <v>0</v>
      </c>
      <c r="Q16" s="18" t="n">
        <v>2.79485176</v>
      </c>
      <c r="R16" s="20" t="n">
        <v>0.59423804</v>
      </c>
    </row>
    <row r="17" spans="1:18">
      <c r="A17" s="15" t="s">
        <v>577</v>
      </c>
      <c r="B17" s="17" t="n">
        <v>3307</v>
      </c>
      <c r="C17" s="18">
        <f>(2566.0/B17*100)</f>
        <v/>
      </c>
      <c r="D17" s="19" t="n">
        <v>741</v>
      </c>
      <c r="E17" s="18" t="n">
        <v>52.60460217</v>
      </c>
      <c r="F17" s="20" t="n">
        <v>1.97114418</v>
      </c>
      <c r="G17" s="18" t="n">
        <v>46.36809622</v>
      </c>
      <c r="H17" s="20" t="n">
        <v>1.9682688</v>
      </c>
      <c r="I17" s="18" t="s">
        <v>567</v>
      </c>
      <c r="J17" s="20" t="s">
        <v>567</v>
      </c>
      <c r="K17" s="18" t="n">
        <v>0.35049764</v>
      </c>
      <c r="L17" s="20" t="n">
        <v>0.20435325</v>
      </c>
      <c r="M17" s="18" t="n">
        <v>0</v>
      </c>
      <c r="N17" s="20" t="n">
        <v>0</v>
      </c>
      <c r="O17" s="18" t="n">
        <v>0</v>
      </c>
      <c r="P17" s="20" t="n">
        <v>0</v>
      </c>
      <c r="Q17" s="18" t="n">
        <v>0.67680396</v>
      </c>
      <c r="R17" s="20" t="n">
        <v>0.27807643</v>
      </c>
    </row>
    <row r="18" spans="1:18">
      <c r="A18" s="15" t="s">
        <v>578</v>
      </c>
      <c r="B18" s="17" t="n">
        <v>2826</v>
      </c>
      <c r="C18" s="18">
        <f>(2218.0/B18*100)</f>
        <v/>
      </c>
      <c r="D18" s="19" t="n">
        <v>608</v>
      </c>
      <c r="E18" s="18" t="n">
        <v>67.96713785</v>
      </c>
      <c r="F18" s="20" t="n">
        <v>1.95802102</v>
      </c>
      <c r="G18" s="18" t="n">
        <v>29.60575129</v>
      </c>
      <c r="H18" s="20" t="n">
        <v>1.78641275</v>
      </c>
      <c r="I18" s="18" t="s">
        <v>567</v>
      </c>
      <c r="J18" s="20" t="s">
        <v>567</v>
      </c>
      <c r="K18" s="18" t="n">
        <v>0.99984681</v>
      </c>
      <c r="L18" s="20" t="n">
        <v>0.38000253</v>
      </c>
      <c r="M18" s="18" t="n">
        <v>0</v>
      </c>
      <c r="N18" s="20" t="n">
        <v>0</v>
      </c>
      <c r="O18" s="18" t="n">
        <v>0</v>
      </c>
      <c r="P18" s="20" t="n">
        <v>0</v>
      </c>
      <c r="Q18" s="18" t="n">
        <v>1.42726404</v>
      </c>
      <c r="R18" s="20" t="n">
        <v>0.52779542</v>
      </c>
    </row>
    <row r="19" spans="1:18">
      <c r="A19" s="15" t="s">
        <v>579</v>
      </c>
      <c r="B19" s="17" t="n">
        <v>2808</v>
      </c>
      <c r="C19" s="18">
        <f>(2219.0/B19*100)</f>
        <v/>
      </c>
      <c r="D19" s="19" t="n">
        <v>589</v>
      </c>
      <c r="E19" s="18" t="n">
        <v>59.05694013</v>
      </c>
      <c r="F19" s="20" t="n">
        <v>2.19191151</v>
      </c>
      <c r="G19" s="18" t="n">
        <v>39.83806301</v>
      </c>
      <c r="H19" s="20" t="n">
        <v>2.14251524</v>
      </c>
      <c r="I19" s="18" t="s">
        <v>567</v>
      </c>
      <c r="J19" s="20" t="s">
        <v>567</v>
      </c>
      <c r="K19" s="18" t="n">
        <v>0</v>
      </c>
      <c r="L19" s="20" t="n">
        <v>0</v>
      </c>
      <c r="M19" s="18" t="n">
        <v>0</v>
      </c>
      <c r="N19" s="20" t="n">
        <v>0</v>
      </c>
      <c r="O19" s="18" t="n">
        <v>0</v>
      </c>
      <c r="P19" s="20" t="n">
        <v>0</v>
      </c>
      <c r="Q19" s="18" t="n">
        <v>1.10499686</v>
      </c>
      <c r="R19" s="20" t="n">
        <v>0.33604429</v>
      </c>
    </row>
    <row r="20" spans="1:18">
      <c r="A20" s="15" t="s">
        <v>580</v>
      </c>
      <c r="B20" s="17" t="n">
        <v>1630</v>
      </c>
      <c r="C20" s="18">
        <f>(1262.0/B20*100)</f>
        <v/>
      </c>
      <c r="D20" s="19" t="n">
        <v>368</v>
      </c>
      <c r="E20" s="18" t="n">
        <v>66.55509415</v>
      </c>
      <c r="F20" s="20" t="n">
        <v>2.35092855</v>
      </c>
      <c r="G20" s="18" t="n">
        <v>30.97501581</v>
      </c>
      <c r="H20" s="20" t="n">
        <v>2.25956086</v>
      </c>
      <c r="I20" s="18" t="s">
        <v>567</v>
      </c>
      <c r="J20" s="20" t="s">
        <v>567</v>
      </c>
      <c r="K20" s="18" t="n">
        <v>1.88520845</v>
      </c>
      <c r="L20" s="20" t="n">
        <v>0.68712973</v>
      </c>
      <c r="M20" s="18" t="n">
        <v>0</v>
      </c>
      <c r="N20" s="20" t="n">
        <v>0</v>
      </c>
      <c r="O20" s="18" t="n">
        <v>0</v>
      </c>
      <c r="P20" s="20" t="n">
        <v>0</v>
      </c>
      <c r="Q20" s="18" t="n">
        <v>0.5846816</v>
      </c>
      <c r="R20" s="20" t="n">
        <v>0.41003305</v>
      </c>
    </row>
    <row r="21" spans="1:18">
      <c r="A21" s="15" t="s">
        <v>581</v>
      </c>
      <c r="B21" s="17" t="n">
        <v>2908</v>
      </c>
      <c r="C21" s="18">
        <f>(2290.0/B21*100)</f>
        <v/>
      </c>
      <c r="D21" s="19" t="n">
        <v>618</v>
      </c>
      <c r="E21" s="18" t="n">
        <v>51.30237936</v>
      </c>
      <c r="F21" s="20" t="n">
        <v>2.41397505</v>
      </c>
      <c r="G21" s="18" t="n">
        <v>48.12909155</v>
      </c>
      <c r="H21" s="20" t="n">
        <v>2.38307375</v>
      </c>
      <c r="I21" s="18" t="s">
        <v>567</v>
      </c>
      <c r="J21" s="20" t="s">
        <v>567</v>
      </c>
      <c r="K21" s="18" t="n">
        <v>0.11996848</v>
      </c>
      <c r="L21" s="20" t="n">
        <v>0.12091275</v>
      </c>
      <c r="M21" s="18" t="n">
        <v>0</v>
      </c>
      <c r="N21" s="20" t="n">
        <v>0</v>
      </c>
      <c r="O21" s="18" t="n">
        <v>0</v>
      </c>
      <c r="P21" s="20" t="n">
        <v>0</v>
      </c>
      <c r="Q21" s="18" t="n">
        <v>0.44856062</v>
      </c>
      <c r="R21" s="20" t="n">
        <v>0.30707265</v>
      </c>
    </row>
    <row r="22" spans="1:18">
      <c r="A22" s="15" t="s">
        <v>582</v>
      </c>
      <c r="B22" s="17" t="n">
        <v>2931</v>
      </c>
      <c r="C22" s="18">
        <f>(2271.0/B22*100)</f>
        <v/>
      </c>
      <c r="D22" s="19" t="n">
        <v>660</v>
      </c>
      <c r="E22" s="18" t="n">
        <v>62.23885455</v>
      </c>
      <c r="F22" s="20" t="n">
        <v>2.52790867</v>
      </c>
      <c r="G22" s="18" t="n">
        <v>35.26873302</v>
      </c>
      <c r="H22" s="20" t="n">
        <v>2.54292509</v>
      </c>
      <c r="I22" s="18" t="s">
        <v>567</v>
      </c>
      <c r="J22" s="20" t="s">
        <v>567</v>
      </c>
      <c r="K22" s="18" t="n">
        <v>1.05345893</v>
      </c>
      <c r="L22" s="20" t="n">
        <v>0.41893914</v>
      </c>
      <c r="M22" s="18" t="n">
        <v>0</v>
      </c>
      <c r="N22" s="20" t="n">
        <v>0</v>
      </c>
      <c r="O22" s="18" t="n">
        <v>0</v>
      </c>
      <c r="P22" s="20" t="n">
        <v>0</v>
      </c>
      <c r="Q22" s="18" t="n">
        <v>1.4389535</v>
      </c>
      <c r="R22" s="20" t="n">
        <v>0.43621501</v>
      </c>
    </row>
    <row r="23" spans="1:18">
      <c r="A23" s="15" t="s">
        <v>583</v>
      </c>
      <c r="B23" s="17" t="n">
        <v>5791</v>
      </c>
      <c r="C23" s="18">
        <f>(4522.0/B23*100)</f>
        <v/>
      </c>
      <c r="D23" s="19" t="n">
        <v>1269</v>
      </c>
      <c r="E23" s="18" t="n">
        <v>61.74238652</v>
      </c>
      <c r="F23" s="20" t="n">
        <v>1.84504608</v>
      </c>
      <c r="G23" s="18" t="n">
        <v>36.07115862</v>
      </c>
      <c r="H23" s="20" t="n">
        <v>1.85888989</v>
      </c>
      <c r="I23" s="18" t="s">
        <v>567</v>
      </c>
      <c r="J23" s="20" t="s">
        <v>567</v>
      </c>
      <c r="K23" s="18" t="n">
        <v>0.32714871</v>
      </c>
      <c r="L23" s="20" t="n">
        <v>0.19476506</v>
      </c>
      <c r="M23" s="18" t="n">
        <v>0</v>
      </c>
      <c r="N23" s="20" t="n">
        <v>0</v>
      </c>
      <c r="O23" s="18" t="n">
        <v>0</v>
      </c>
      <c r="P23" s="20" t="n">
        <v>0</v>
      </c>
      <c r="Q23" s="18" t="n">
        <v>1.85930615</v>
      </c>
      <c r="R23" s="20" t="n">
        <v>0.57631383</v>
      </c>
    </row>
    <row r="24" spans="1:18">
      <c r="A24" s="15" t="s">
        <v>584</v>
      </c>
      <c r="B24" s="17" t="n">
        <v>3338</v>
      </c>
      <c r="C24" s="18">
        <f>(2600.0/B24*100)</f>
        <v/>
      </c>
      <c r="D24" s="19" t="n">
        <v>738</v>
      </c>
      <c r="E24" s="18" t="n">
        <v>44.73604285</v>
      </c>
      <c r="F24" s="20" t="n">
        <v>2.1891736</v>
      </c>
      <c r="G24" s="18" t="n">
        <v>53.98566015</v>
      </c>
      <c r="H24" s="20" t="n">
        <v>2.12603794</v>
      </c>
      <c r="I24" s="18" t="s">
        <v>567</v>
      </c>
      <c r="J24" s="20" t="s">
        <v>567</v>
      </c>
      <c r="K24" s="18" t="n">
        <v>0.4113728</v>
      </c>
      <c r="L24" s="20" t="n">
        <v>0.30149914</v>
      </c>
      <c r="M24" s="18" t="n">
        <v>0</v>
      </c>
      <c r="N24" s="20" t="n">
        <v>0</v>
      </c>
      <c r="O24" s="18" t="n">
        <v>0</v>
      </c>
      <c r="P24" s="20" t="n">
        <v>0</v>
      </c>
      <c r="Q24" s="18" t="n">
        <v>0.8669242</v>
      </c>
      <c r="R24" s="20" t="n">
        <v>0.32651364</v>
      </c>
    </row>
    <row r="25" spans="1:18">
      <c r="A25" s="15" t="s">
        <v>585</v>
      </c>
      <c r="B25" s="17" t="n">
        <v>2912</v>
      </c>
      <c r="C25" s="18">
        <f>(2245.0/B25*100)</f>
        <v/>
      </c>
      <c r="D25" s="19" t="n">
        <v>667</v>
      </c>
      <c r="E25" s="18" t="n">
        <v>60.49165269</v>
      </c>
      <c r="F25" s="20" t="n">
        <v>1.9210654</v>
      </c>
      <c r="G25" s="18" t="n">
        <v>37.82212376</v>
      </c>
      <c r="H25" s="20" t="n">
        <v>2.10570046</v>
      </c>
      <c r="I25" s="18" t="s">
        <v>567</v>
      </c>
      <c r="J25" s="20" t="s">
        <v>567</v>
      </c>
      <c r="K25" s="18" t="n">
        <v>0.46709647</v>
      </c>
      <c r="L25" s="20" t="n">
        <v>0.35791141</v>
      </c>
      <c r="M25" s="18" t="n">
        <v>0</v>
      </c>
      <c r="N25" s="20" t="n">
        <v>0</v>
      </c>
      <c r="O25" s="18" t="n">
        <v>0</v>
      </c>
      <c r="P25" s="20" t="n">
        <v>0</v>
      </c>
      <c r="Q25" s="18" t="n">
        <v>1.21912708</v>
      </c>
      <c r="R25" s="20" t="n">
        <v>0.42443388</v>
      </c>
    </row>
    <row r="26" spans="1:18">
      <c r="A26" s="15" t="s">
        <v>586</v>
      </c>
      <c r="B26" s="17" t="n">
        <v>2450</v>
      </c>
      <c r="C26" s="18">
        <f>(1884.0/B26*100)</f>
        <v/>
      </c>
      <c r="D26" s="19" t="n">
        <v>566</v>
      </c>
      <c r="E26" s="18" t="n">
        <v>66.63948784</v>
      </c>
      <c r="F26" s="20" t="n">
        <v>2.61406403</v>
      </c>
      <c r="G26" s="18" t="n">
        <v>32.26574863</v>
      </c>
      <c r="H26" s="20" t="n">
        <v>2.43530993</v>
      </c>
      <c r="I26" s="18" t="s">
        <v>567</v>
      </c>
      <c r="J26" s="20" t="s">
        <v>567</v>
      </c>
      <c r="K26" s="18" t="n">
        <v>0.1727749</v>
      </c>
      <c r="L26" s="20" t="n">
        <v>0.16360026</v>
      </c>
      <c r="M26" s="18" t="n">
        <v>0</v>
      </c>
      <c r="N26" s="20" t="n">
        <v>0</v>
      </c>
      <c r="O26" s="18" t="n">
        <v>0</v>
      </c>
      <c r="P26" s="20" t="n">
        <v>0</v>
      </c>
      <c r="Q26" s="18" t="n">
        <v>0.92198864</v>
      </c>
      <c r="R26" s="20" t="n">
        <v>0.43817055</v>
      </c>
    </row>
    <row r="27" spans="1:18">
      <c r="A27" s="15" t="s">
        <v>587</v>
      </c>
      <c r="B27" s="17" t="n">
        <v>2616</v>
      </c>
      <c r="C27" s="18">
        <f>(2055.0/B27*100)</f>
        <v/>
      </c>
      <c r="D27" s="19" t="n">
        <v>561</v>
      </c>
      <c r="E27" s="18" t="n">
        <v>62.40861029</v>
      </c>
      <c r="F27" s="20" t="n">
        <v>2.00221988</v>
      </c>
      <c r="G27" s="18" t="n">
        <v>35.2424809</v>
      </c>
      <c r="H27" s="20" t="n">
        <v>2.05823165</v>
      </c>
      <c r="I27" s="18" t="s">
        <v>567</v>
      </c>
      <c r="J27" s="20" t="s">
        <v>567</v>
      </c>
      <c r="K27" s="18" t="n">
        <v>0.89499121</v>
      </c>
      <c r="L27" s="20" t="n">
        <v>0.40285737</v>
      </c>
      <c r="M27" s="18" t="n">
        <v>0</v>
      </c>
      <c r="N27" s="20" t="n">
        <v>0</v>
      </c>
      <c r="O27" s="18" t="n">
        <v>0</v>
      </c>
      <c r="P27" s="20" t="n">
        <v>0</v>
      </c>
      <c r="Q27" s="18" t="n">
        <v>1.4539176</v>
      </c>
      <c r="R27" s="20" t="n">
        <v>0.45055518</v>
      </c>
    </row>
    <row r="28" spans="1:18">
      <c r="A28" s="15" t="s">
        <v>588</v>
      </c>
      <c r="B28" s="17" t="n">
        <v>3765</v>
      </c>
      <c r="C28" s="18">
        <f>(3012.0/B28*100)</f>
        <v/>
      </c>
      <c r="D28" s="19" t="n">
        <v>753</v>
      </c>
      <c r="E28" s="18" t="n">
        <v>81.69069018</v>
      </c>
      <c r="F28" s="20" t="n">
        <v>1.74131834</v>
      </c>
      <c r="G28" s="18" t="n">
        <v>16.03724798</v>
      </c>
      <c r="H28" s="20" t="n">
        <v>1.68494826</v>
      </c>
      <c r="I28" s="18" t="s">
        <v>567</v>
      </c>
      <c r="J28" s="20" t="s">
        <v>567</v>
      </c>
      <c r="K28" s="18" t="n">
        <v>0.98268237</v>
      </c>
      <c r="L28" s="20" t="n">
        <v>0.42460533</v>
      </c>
      <c r="M28" s="18" t="n">
        <v>0</v>
      </c>
      <c r="N28" s="20" t="n">
        <v>0</v>
      </c>
      <c r="O28" s="18" t="n">
        <v>0</v>
      </c>
      <c r="P28" s="20" t="n">
        <v>0</v>
      </c>
      <c r="Q28" s="18" t="n">
        <v>1.28937947</v>
      </c>
      <c r="R28" s="20" t="n">
        <v>0.45016314</v>
      </c>
    </row>
    <row r="29" spans="1:18">
      <c r="A29" s="15" t="s">
        <v>589</v>
      </c>
      <c r="B29" s="17" t="n">
        <v>2685</v>
      </c>
      <c r="C29" s="18">
        <f>(2097.0/B29*100)</f>
        <v/>
      </c>
      <c r="D29" s="19" t="n">
        <v>588</v>
      </c>
      <c r="E29" s="18" t="n">
        <v>51.07353978</v>
      </c>
      <c r="F29" s="20" t="n">
        <v>2.31949069</v>
      </c>
      <c r="G29" s="18" t="n">
        <v>47.68389271</v>
      </c>
      <c r="H29" s="20" t="n">
        <v>2.30317753</v>
      </c>
      <c r="I29" s="18" t="s">
        <v>567</v>
      </c>
      <c r="J29" s="20" t="s">
        <v>567</v>
      </c>
      <c r="K29" s="18" t="n">
        <v>0.44541849</v>
      </c>
      <c r="L29" s="20" t="n">
        <v>0.28506678</v>
      </c>
      <c r="M29" s="18" t="n">
        <v>0</v>
      </c>
      <c r="N29" s="20" t="n">
        <v>0</v>
      </c>
      <c r="O29" s="18" t="n">
        <v>0</v>
      </c>
      <c r="P29" s="20" t="n">
        <v>0</v>
      </c>
      <c r="Q29" s="18" t="n">
        <v>0.79714901</v>
      </c>
      <c r="R29" s="20" t="n">
        <v>0.35807177</v>
      </c>
    </row>
    <row r="30" spans="1:18">
      <c r="A30" s="15" t="s">
        <v>590</v>
      </c>
      <c r="B30" s="17" t="n">
        <v>2263</v>
      </c>
      <c r="C30" s="18">
        <f>(1789.0/B30*100)</f>
        <v/>
      </c>
      <c r="D30" s="19" t="n">
        <v>474</v>
      </c>
      <c r="E30" s="18" t="n">
        <v>61.37175058</v>
      </c>
      <c r="F30" s="20" t="n">
        <v>2.08908741</v>
      </c>
      <c r="G30" s="18" t="n">
        <v>35.91990209</v>
      </c>
      <c r="H30" s="20" t="n">
        <v>2.03261573</v>
      </c>
      <c r="I30" s="18" t="s">
        <v>567</v>
      </c>
      <c r="J30" s="20" t="s">
        <v>567</v>
      </c>
      <c r="K30" s="18" t="n">
        <v>1.31250087</v>
      </c>
      <c r="L30" s="20" t="n">
        <v>0.5308025</v>
      </c>
      <c r="M30" s="18" t="n">
        <v>0</v>
      </c>
      <c r="N30" s="20" t="n">
        <v>0</v>
      </c>
      <c r="O30" s="18" t="n">
        <v>0</v>
      </c>
      <c r="P30" s="20" t="n">
        <v>0</v>
      </c>
      <c r="Q30" s="18" t="n">
        <v>1.39584646</v>
      </c>
      <c r="R30" s="20" t="n">
        <v>0.58058115</v>
      </c>
    </row>
    <row r="31" spans="1:18">
      <c r="A31" s="15" t="s">
        <v>591</v>
      </c>
      <c r="B31" s="17" t="n">
        <v>2750</v>
      </c>
      <c r="C31" s="18">
        <f>(2143.0/B31*100)</f>
        <v/>
      </c>
      <c r="D31" s="19" t="n">
        <v>607</v>
      </c>
      <c r="E31" s="18" t="n">
        <v>57.76717744</v>
      </c>
      <c r="F31" s="20" t="n">
        <v>1.98386922</v>
      </c>
      <c r="G31" s="18" t="n">
        <v>38.37198778</v>
      </c>
      <c r="H31" s="20" t="n">
        <v>1.85125055</v>
      </c>
      <c r="I31" s="18" t="s">
        <v>567</v>
      </c>
      <c r="J31" s="20" t="s">
        <v>567</v>
      </c>
      <c r="K31" s="18" t="n">
        <v>1.29440079</v>
      </c>
      <c r="L31" s="20" t="n">
        <v>0.46359003</v>
      </c>
      <c r="M31" s="18" t="n">
        <v>0</v>
      </c>
      <c r="N31" s="20" t="n">
        <v>0</v>
      </c>
      <c r="O31" s="18" t="n">
        <v>0</v>
      </c>
      <c r="P31" s="20" t="n">
        <v>0</v>
      </c>
      <c r="Q31" s="18" t="n">
        <v>2.56643399</v>
      </c>
      <c r="R31" s="20" t="n">
        <v>0.65744039</v>
      </c>
    </row>
    <row r="32" spans="1:18">
      <c r="A32" s="15" t="s">
        <v>592</v>
      </c>
      <c r="B32" s="17" t="n">
        <v>2269</v>
      </c>
      <c r="C32" s="18">
        <f>(1740.0/B32*100)</f>
        <v/>
      </c>
      <c r="D32" s="19" t="n">
        <v>529</v>
      </c>
      <c r="E32" s="18" t="n">
        <v>64.78785802</v>
      </c>
      <c r="F32" s="20" t="n">
        <v>2.03189563</v>
      </c>
      <c r="G32" s="18" t="n">
        <v>34.47495473</v>
      </c>
      <c r="H32" s="20" t="n">
        <v>2.06451526</v>
      </c>
      <c r="I32" s="18" t="s">
        <v>567</v>
      </c>
      <c r="J32" s="20" t="s">
        <v>567</v>
      </c>
      <c r="K32" s="18" t="n">
        <v>0.16379881</v>
      </c>
      <c r="L32" s="20" t="n">
        <v>0.16377132</v>
      </c>
      <c r="M32" s="18" t="n">
        <v>0</v>
      </c>
      <c r="N32" s="20" t="n">
        <v>0</v>
      </c>
      <c r="O32" s="18" t="n">
        <v>0</v>
      </c>
      <c r="P32" s="20" t="n">
        <v>0</v>
      </c>
      <c r="Q32" s="18" t="n">
        <v>0.57338844</v>
      </c>
      <c r="R32" s="20" t="n">
        <v>0.31221443</v>
      </c>
    </row>
    <row r="33" spans="1:18">
      <c r="A33" s="15" t="s">
        <v>593</v>
      </c>
      <c r="B33" s="17" t="n">
        <v>3674</v>
      </c>
      <c r="C33" s="18">
        <f>(2911.0/B33*100)</f>
        <v/>
      </c>
      <c r="D33" s="19" t="n">
        <v>763</v>
      </c>
      <c r="E33" s="18" t="n">
        <v>62.15198121</v>
      </c>
      <c r="F33" s="20" t="n">
        <v>2.28204777</v>
      </c>
      <c r="G33" s="18" t="n">
        <v>36.13054843</v>
      </c>
      <c r="H33" s="20" t="n">
        <v>2.21284368</v>
      </c>
      <c r="I33" s="18" t="s">
        <v>567</v>
      </c>
      <c r="J33" s="20" t="s">
        <v>567</v>
      </c>
      <c r="K33" s="18" t="n">
        <v>0.94791832</v>
      </c>
      <c r="L33" s="20" t="n">
        <v>0.53562748</v>
      </c>
      <c r="M33" s="18" t="n">
        <v>0</v>
      </c>
      <c r="N33" s="20" t="n">
        <v>0</v>
      </c>
      <c r="O33" s="18" t="n">
        <v>0</v>
      </c>
      <c r="P33" s="20" t="n">
        <v>0</v>
      </c>
      <c r="Q33" s="18" t="n">
        <v>0.76955204</v>
      </c>
      <c r="R33" s="20" t="n">
        <v>0.34962449</v>
      </c>
    </row>
    <row r="34" spans="1:18">
      <c r="A34" s="15" t="s">
        <v>594</v>
      </c>
      <c r="B34" s="17" t="n">
        <v>3315</v>
      </c>
      <c r="C34" s="18">
        <f>(2596.0/B34*100)</f>
        <v/>
      </c>
      <c r="D34" s="19" t="n">
        <v>719</v>
      </c>
      <c r="E34" s="18" t="n">
        <v>64.02622653</v>
      </c>
      <c r="F34" s="20" t="n">
        <v>1.97313051</v>
      </c>
      <c r="G34" s="18" t="n">
        <v>34.28385476</v>
      </c>
      <c r="H34" s="20" t="n">
        <v>1.95647848</v>
      </c>
      <c r="I34" s="18" t="s">
        <v>567</v>
      </c>
      <c r="J34" s="20" t="s">
        <v>567</v>
      </c>
      <c r="K34" s="18" t="n">
        <v>0.5794356000000001</v>
      </c>
      <c r="L34" s="20" t="n">
        <v>0.35518444</v>
      </c>
      <c r="M34" s="18" t="n">
        <v>0</v>
      </c>
      <c r="N34" s="20" t="n">
        <v>0</v>
      </c>
      <c r="O34" s="18" t="n">
        <v>0</v>
      </c>
      <c r="P34" s="20" t="n">
        <v>0</v>
      </c>
      <c r="Q34" s="18" t="n">
        <v>1.11048312</v>
      </c>
      <c r="R34" s="20" t="n">
        <v>0.44550257</v>
      </c>
    </row>
    <row r="35" spans="1:18">
      <c r="A35" s="15" t="s">
        <v>595</v>
      </c>
      <c r="B35" s="17" t="n">
        <v>3505</v>
      </c>
      <c r="C35" s="18">
        <f>(2762.0/B35*100)</f>
        <v/>
      </c>
      <c r="D35" s="19" t="n">
        <v>743</v>
      </c>
      <c r="E35" s="18" t="n">
        <v>55.49649774</v>
      </c>
      <c r="F35" s="20" t="n">
        <v>2.2326871</v>
      </c>
      <c r="G35" s="18" t="n">
        <v>41.79220302</v>
      </c>
      <c r="H35" s="20" t="n">
        <v>2.1878237</v>
      </c>
      <c r="I35" s="18" t="s">
        <v>567</v>
      </c>
      <c r="J35" s="20" t="s">
        <v>567</v>
      </c>
      <c r="K35" s="18" t="n">
        <v>1.53847238</v>
      </c>
      <c r="L35" s="20" t="n">
        <v>0.82239978</v>
      </c>
      <c r="M35" s="18" t="n">
        <v>0</v>
      </c>
      <c r="N35" s="20" t="n">
        <v>0</v>
      </c>
      <c r="O35" s="18" t="n">
        <v>0</v>
      </c>
      <c r="P35" s="20" t="n">
        <v>0</v>
      </c>
      <c r="Q35" s="18" t="n">
        <v>1.17282686</v>
      </c>
      <c r="R35" s="20" t="n">
        <v>0.4121326</v>
      </c>
    </row>
    <row r="36" spans="1:18">
      <c r="A36" s="15" t="s">
        <v>596</v>
      </c>
      <c r="B36" s="17" t="n">
        <v>3332</v>
      </c>
      <c r="C36" s="18">
        <f>(2634.0/B36*100)</f>
        <v/>
      </c>
      <c r="D36" s="19" t="n">
        <v>698</v>
      </c>
      <c r="E36" s="18" t="n">
        <v>60.40901058</v>
      </c>
      <c r="F36" s="20" t="n">
        <v>2.13803379</v>
      </c>
      <c r="G36" s="18" t="n">
        <v>38.00199735</v>
      </c>
      <c r="H36" s="20" t="n">
        <v>2.16437885</v>
      </c>
      <c r="I36" s="18" t="s">
        <v>567</v>
      </c>
      <c r="J36" s="20" t="s">
        <v>567</v>
      </c>
      <c r="K36" s="18" t="n">
        <v>0.6774411</v>
      </c>
      <c r="L36" s="20" t="n">
        <v>0.32997499</v>
      </c>
      <c r="M36" s="18" t="n">
        <v>0</v>
      </c>
      <c r="N36" s="20" t="n">
        <v>0</v>
      </c>
      <c r="O36" s="18" t="n">
        <v>0</v>
      </c>
      <c r="P36" s="20" t="n">
        <v>0</v>
      </c>
      <c r="Q36" s="18" t="n">
        <v>0.91155097</v>
      </c>
      <c r="R36" s="20" t="n">
        <v>0.3723795</v>
      </c>
    </row>
    <row r="37" spans="1:18">
      <c r="A37" s="15" t="s">
        <v>597</v>
      </c>
      <c r="B37" s="17" t="n">
        <v>2727</v>
      </c>
      <c r="C37" s="18">
        <f>(2142.0/B37*100)</f>
        <v/>
      </c>
      <c r="D37" s="19" t="n">
        <v>585</v>
      </c>
      <c r="E37" s="18" t="n">
        <v>62.22771421</v>
      </c>
      <c r="F37" s="20" t="n">
        <v>1.87407226</v>
      </c>
      <c r="G37" s="18" t="n">
        <v>34.82518841</v>
      </c>
      <c r="H37" s="20" t="n">
        <v>1.93635083</v>
      </c>
      <c r="I37" s="18" t="s">
        <v>567</v>
      </c>
      <c r="J37" s="20" t="s">
        <v>567</v>
      </c>
      <c r="K37" s="18" t="n">
        <v>1.45918768</v>
      </c>
      <c r="L37" s="20" t="n">
        <v>0.52648727</v>
      </c>
      <c r="M37" s="18" t="n">
        <v>0</v>
      </c>
      <c r="N37" s="20" t="n">
        <v>0</v>
      </c>
      <c r="O37" s="18" t="n">
        <v>0</v>
      </c>
      <c r="P37" s="20" t="n">
        <v>0</v>
      </c>
      <c r="Q37" s="18" t="n">
        <v>1.4879097</v>
      </c>
      <c r="R37" s="20" t="n">
        <v>0.50949732</v>
      </c>
    </row>
    <row r="38" spans="1:18">
      <c r="A38" s="15" t="s">
        <v>598</v>
      </c>
      <c r="B38" s="17" t="n">
        <v>3053</v>
      </c>
      <c r="C38" s="18">
        <f>(2400.0/B38*100)</f>
        <v/>
      </c>
      <c r="D38" s="19" t="n">
        <v>653</v>
      </c>
      <c r="E38" s="18" t="n">
        <v>51.69563517</v>
      </c>
      <c r="F38" s="20" t="n">
        <v>2.54978796</v>
      </c>
      <c r="G38" s="18" t="n">
        <v>46.28233603</v>
      </c>
      <c r="H38" s="20" t="n">
        <v>2.59806749</v>
      </c>
      <c r="I38" s="18" t="s">
        <v>567</v>
      </c>
      <c r="J38" s="20" t="s">
        <v>567</v>
      </c>
      <c r="K38" s="18" t="n">
        <v>0.92320466</v>
      </c>
      <c r="L38" s="20" t="n">
        <v>0.39164677</v>
      </c>
      <c r="M38" s="18" t="n">
        <v>0</v>
      </c>
      <c r="N38" s="20" t="n">
        <v>0</v>
      </c>
      <c r="O38" s="18" t="n">
        <v>0</v>
      </c>
      <c r="P38" s="20" t="n">
        <v>0</v>
      </c>
      <c r="Q38" s="18" t="n">
        <v>1.09882414</v>
      </c>
      <c r="R38" s="20" t="n">
        <v>0.41811514</v>
      </c>
    </row>
    <row r="39" spans="1:18">
      <c r="A39" s="15" t="s">
        <v>599</v>
      </c>
      <c r="B39" s="17" t="n">
        <v>2957</v>
      </c>
      <c r="C39" s="18">
        <f>(2298.0/B39*100)</f>
        <v/>
      </c>
      <c r="D39" s="19" t="n">
        <v>659</v>
      </c>
      <c r="E39" s="18" t="n">
        <v>70.07869894</v>
      </c>
      <c r="F39" s="20" t="n">
        <v>1.92818819</v>
      </c>
      <c r="G39" s="18" t="n">
        <v>27.91898398</v>
      </c>
      <c r="H39" s="20" t="n">
        <v>1.82367961</v>
      </c>
      <c r="I39" s="18" t="s">
        <v>567</v>
      </c>
      <c r="J39" s="20" t="s">
        <v>567</v>
      </c>
      <c r="K39" s="18" t="n">
        <v>0.17348408</v>
      </c>
      <c r="L39" s="20" t="n">
        <v>0.14554779</v>
      </c>
      <c r="M39" s="18" t="n">
        <v>0</v>
      </c>
      <c r="N39" s="20" t="n">
        <v>0</v>
      </c>
      <c r="O39" s="18" t="n">
        <v>0</v>
      </c>
      <c r="P39" s="20" t="n">
        <v>0</v>
      </c>
      <c r="Q39" s="18" t="n">
        <v>1.828833</v>
      </c>
      <c r="R39" s="20" t="n">
        <v>0.6237007</v>
      </c>
    </row>
    <row r="40" spans="1:18">
      <c r="A40" s="15" t="s">
        <v>600</v>
      </c>
      <c r="B40" s="17" t="n">
        <v>7235</v>
      </c>
      <c r="C40" s="18">
        <f>(5666.0/B40*100)</f>
        <v/>
      </c>
      <c r="D40" s="19" t="n">
        <v>1569</v>
      </c>
      <c r="E40" s="18" t="n">
        <v>58.03451722</v>
      </c>
      <c r="F40" s="20" t="n">
        <v>2.1846969</v>
      </c>
      <c r="G40" s="18" t="n">
        <v>40.15854923</v>
      </c>
      <c r="H40" s="20" t="n">
        <v>2.25614354</v>
      </c>
      <c r="I40" s="18" t="s">
        <v>567</v>
      </c>
      <c r="J40" s="20" t="s">
        <v>567</v>
      </c>
      <c r="K40" s="18" t="n">
        <v>0.55756914</v>
      </c>
      <c r="L40" s="20" t="n">
        <v>0.30831432</v>
      </c>
      <c r="M40" s="18" t="n">
        <v>0</v>
      </c>
      <c r="N40" s="20" t="n">
        <v>0</v>
      </c>
      <c r="O40" s="18" t="n">
        <v>0</v>
      </c>
      <c r="P40" s="20" t="n">
        <v>0</v>
      </c>
      <c r="Q40" s="18" t="n">
        <v>1.24936441</v>
      </c>
      <c r="R40" s="20" t="n">
        <v>0.36474756</v>
      </c>
    </row>
    <row r="41" spans="1:18">
      <c r="A41" s="15" t="s">
        <v>601</v>
      </c>
      <c r="B41" s="17" t="n">
        <v>2858</v>
      </c>
      <c r="C41" s="18">
        <f>(2271.0/B41*100)</f>
        <v/>
      </c>
      <c r="D41" s="19" t="n">
        <v>587</v>
      </c>
      <c r="E41" s="18" t="n">
        <v>63.36278354</v>
      </c>
      <c r="F41" s="20" t="n">
        <v>2.01441197</v>
      </c>
      <c r="G41" s="18" t="n">
        <v>35.55309344</v>
      </c>
      <c r="H41" s="20" t="n">
        <v>2.08491492</v>
      </c>
      <c r="I41" s="18" t="s">
        <v>567</v>
      </c>
      <c r="J41" s="20" t="s">
        <v>567</v>
      </c>
      <c r="K41" s="18" t="n">
        <v>0.20250305</v>
      </c>
      <c r="L41" s="20" t="n">
        <v>0.14181781</v>
      </c>
      <c r="M41" s="18" t="n">
        <v>0</v>
      </c>
      <c r="N41" s="20" t="n">
        <v>0</v>
      </c>
      <c r="O41" s="18" t="n">
        <v>0</v>
      </c>
      <c r="P41" s="20" t="n">
        <v>0</v>
      </c>
      <c r="Q41" s="18" t="n">
        <v>0.88161997</v>
      </c>
      <c r="R41" s="20" t="n">
        <v>0.36108827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(9273.0/B46*100)</f>
        <v/>
      </c>
      <c r="D46" s="19" t="n">
        <v>1795</v>
      </c>
      <c r="E46" s="18" t="n">
        <v>75.95567414999999</v>
      </c>
      <c r="F46" s="20" t="n">
        <v>1.33567804</v>
      </c>
      <c r="G46" s="18" t="n">
        <v>17.66796541</v>
      </c>
      <c r="H46" s="20" t="n">
        <v>1.25959782</v>
      </c>
      <c r="I46" s="18" t="s">
        <v>567</v>
      </c>
      <c r="J46" s="20" t="s">
        <v>567</v>
      </c>
      <c r="K46" s="18" t="n">
        <v>3.36521018</v>
      </c>
      <c r="L46" s="20" t="n">
        <v>0.65085275</v>
      </c>
      <c r="M46" s="18" t="n">
        <v>0</v>
      </c>
      <c r="N46" s="20" t="n">
        <v>0</v>
      </c>
      <c r="O46" s="18" t="n">
        <v>0</v>
      </c>
      <c r="P46" s="20" t="n">
        <v>0</v>
      </c>
      <c r="Q46" s="18" t="n">
        <v>3.01115026</v>
      </c>
      <c r="R46" s="20" t="n">
        <v>0.50561442</v>
      </c>
    </row>
    <row r="47" spans="1:18">
      <c r="A47" s="15" t="s">
        <v>607</v>
      </c>
      <c r="B47" s="17" t="n">
        <v>3105</v>
      </c>
      <c r="C47" s="18">
        <f>(2420.0/B47*100)</f>
        <v/>
      </c>
      <c r="D47" s="19" t="n">
        <v>685</v>
      </c>
      <c r="E47" s="18" t="n">
        <v>75.87967476</v>
      </c>
      <c r="F47" s="20" t="n">
        <v>2.10410529</v>
      </c>
      <c r="G47" s="18" t="n">
        <v>21.5579789</v>
      </c>
      <c r="H47" s="20" t="n">
        <v>2.0038281</v>
      </c>
      <c r="I47" s="18" t="s">
        <v>567</v>
      </c>
      <c r="J47" s="20" t="s">
        <v>567</v>
      </c>
      <c r="K47" s="18" t="n">
        <v>0.65724285</v>
      </c>
      <c r="L47" s="20" t="n">
        <v>0.35180589</v>
      </c>
      <c r="M47" s="18" t="n">
        <v>0</v>
      </c>
      <c r="N47" s="20" t="n">
        <v>0</v>
      </c>
      <c r="O47" s="18" t="n">
        <v>0</v>
      </c>
      <c r="P47" s="20" t="n">
        <v>0</v>
      </c>
      <c r="Q47" s="18" t="n">
        <v>1.90510349</v>
      </c>
      <c r="R47" s="20" t="n">
        <v>0.61537805</v>
      </c>
    </row>
    <row r="48" spans="1:18">
      <c r="A48" s="15" t="s">
        <v>608</v>
      </c>
      <c r="B48" s="17" t="n">
        <v>5159</v>
      </c>
      <c r="C48" s="18">
        <f>(3979.0/B48*100)</f>
        <v/>
      </c>
      <c r="D48" s="19" t="n">
        <v>1180</v>
      </c>
      <c r="E48" s="18" t="n">
        <v>61.68761581</v>
      </c>
      <c r="F48" s="20" t="n">
        <v>2.12004495</v>
      </c>
      <c r="G48" s="18" t="n">
        <v>37.61809221</v>
      </c>
      <c r="H48" s="20" t="n">
        <v>2.11604745</v>
      </c>
      <c r="I48" s="18" t="s">
        <v>567</v>
      </c>
      <c r="J48" s="20" t="s">
        <v>567</v>
      </c>
      <c r="K48" s="18" t="n">
        <v>0.69354413</v>
      </c>
      <c r="L48" s="20" t="n">
        <v>0.30223245</v>
      </c>
      <c r="M48" s="18" t="n">
        <v>0</v>
      </c>
      <c r="N48" s="20" t="n">
        <v>0</v>
      </c>
      <c r="O48" s="18" t="n">
        <v>0</v>
      </c>
      <c r="P48" s="20" t="n">
        <v>0</v>
      </c>
      <c r="Q48" s="18" t="n">
        <v>0.00074785</v>
      </c>
      <c r="R48" s="20" t="n">
        <v>0.00075309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(4467.0/B50*100)</f>
        <v/>
      </c>
      <c r="D50" s="19" t="n">
        <v>1170</v>
      </c>
      <c r="E50" s="18" t="n">
        <v>78.83469391</v>
      </c>
      <c r="F50" s="20" t="n">
        <v>1.53739828</v>
      </c>
      <c r="G50" s="18" t="n">
        <v>18.82869682</v>
      </c>
      <c r="H50" s="20" t="n">
        <v>1.57501558</v>
      </c>
      <c r="I50" s="18" t="s">
        <v>567</v>
      </c>
      <c r="J50" s="20" t="s">
        <v>567</v>
      </c>
      <c r="K50" s="18" t="n">
        <v>1.35698769</v>
      </c>
      <c r="L50" s="20" t="n">
        <v>0.43764069</v>
      </c>
      <c r="M50" s="18" t="n">
        <v>0</v>
      </c>
      <c r="N50" s="20" t="n">
        <v>0</v>
      </c>
      <c r="O50" s="18" t="n">
        <v>0</v>
      </c>
      <c r="P50" s="20" t="n">
        <v>0</v>
      </c>
      <c r="Q50" s="18" t="n">
        <v>0.97962158</v>
      </c>
      <c r="R50" s="20" t="n">
        <v>0.32818358</v>
      </c>
    </row>
    <row r="51" spans="1:18">
      <c r="A51" s="15" t="s">
        <v>611</v>
      </c>
      <c r="B51" s="17" t="n">
        <v>3372</v>
      </c>
      <c r="C51" s="18">
        <f>(2761.0/B51*100)</f>
        <v/>
      </c>
      <c r="D51" s="19" t="n">
        <v>611</v>
      </c>
      <c r="E51" s="18" t="n">
        <v>79.65347851</v>
      </c>
      <c r="F51" s="20" t="n">
        <v>1.89397283</v>
      </c>
      <c r="G51" s="18" t="n">
        <v>17.34955378</v>
      </c>
      <c r="H51" s="20" t="n">
        <v>1.87243093</v>
      </c>
      <c r="I51" s="18" t="s">
        <v>567</v>
      </c>
      <c r="J51" s="20" t="s">
        <v>567</v>
      </c>
      <c r="K51" s="18" t="n">
        <v>0.48162804</v>
      </c>
      <c r="L51" s="20" t="n">
        <v>0.31386545</v>
      </c>
      <c r="M51" s="18" t="n">
        <v>0</v>
      </c>
      <c r="N51" s="20" t="n">
        <v>0</v>
      </c>
      <c r="O51" s="18" t="n">
        <v>0</v>
      </c>
      <c r="P51" s="20" t="n">
        <v>0</v>
      </c>
      <c r="Q51" s="18" t="n">
        <v>2.51533966</v>
      </c>
      <c r="R51" s="20" t="n">
        <v>0.6910619099999999</v>
      </c>
    </row>
    <row r="52" spans="1:18">
      <c r="A52" s="15" t="s">
        <v>612</v>
      </c>
      <c r="B52" s="17" t="n">
        <v>2796</v>
      </c>
      <c r="C52" s="18">
        <f>(2211.0/B52*100)</f>
        <v/>
      </c>
      <c r="D52" s="19" t="n">
        <v>585</v>
      </c>
      <c r="E52" s="18" t="n">
        <v>65.68687807000001</v>
      </c>
      <c r="F52" s="20" t="n">
        <v>2.22192787</v>
      </c>
      <c r="G52" s="18" t="n">
        <v>33.0802848</v>
      </c>
      <c r="H52" s="20" t="n">
        <v>2.27606963</v>
      </c>
      <c r="I52" s="18" t="s">
        <v>567</v>
      </c>
      <c r="J52" s="20" t="s">
        <v>567</v>
      </c>
      <c r="K52" s="18" t="n">
        <v>0.27513988</v>
      </c>
      <c r="L52" s="20" t="n">
        <v>0.19368825</v>
      </c>
      <c r="M52" s="18" t="n">
        <v>0</v>
      </c>
      <c r="N52" s="20" t="n">
        <v>0</v>
      </c>
      <c r="O52" s="18" t="n">
        <v>0</v>
      </c>
      <c r="P52" s="20" t="n">
        <v>0</v>
      </c>
      <c r="Q52" s="18" t="n">
        <v>0.95769724</v>
      </c>
      <c r="R52" s="20" t="n">
        <v>0.41695909</v>
      </c>
    </row>
    <row r="53" spans="1:18">
      <c r="A53" s="15" t="s">
        <v>613</v>
      </c>
      <c r="B53" s="17" t="n">
        <v>2811</v>
      </c>
      <c r="C53" s="18">
        <f>(2210.0/B53*100)</f>
        <v/>
      </c>
      <c r="D53" s="19" t="n">
        <v>601</v>
      </c>
      <c r="E53" s="18" t="n">
        <v>72.80350582</v>
      </c>
      <c r="F53" s="20" t="n">
        <v>2.04047338</v>
      </c>
      <c r="G53" s="18" t="n">
        <v>23.02396396</v>
      </c>
      <c r="H53" s="20" t="n">
        <v>1.93680151</v>
      </c>
      <c r="I53" s="18" t="s">
        <v>567</v>
      </c>
      <c r="J53" s="20" t="s">
        <v>567</v>
      </c>
      <c r="K53" s="18" t="n">
        <v>0.8450331599999999</v>
      </c>
      <c r="L53" s="20" t="n">
        <v>0.35932159</v>
      </c>
      <c r="M53" s="18" t="n">
        <v>0</v>
      </c>
      <c r="N53" s="20" t="n">
        <v>0</v>
      </c>
      <c r="O53" s="18" t="n">
        <v>0</v>
      </c>
      <c r="P53" s="20" t="n">
        <v>0</v>
      </c>
      <c r="Q53" s="18" t="n">
        <v>3.32749707</v>
      </c>
      <c r="R53" s="20" t="n">
        <v>0.67550953</v>
      </c>
    </row>
    <row r="54" spans="1:18">
      <c r="A54" s="15" t="s">
        <v>614</v>
      </c>
      <c r="B54" s="17" t="n">
        <v>2266</v>
      </c>
      <c r="C54" s="18">
        <f>(1776.0/B54*100)</f>
        <v/>
      </c>
      <c r="D54" s="19" t="n">
        <v>490</v>
      </c>
      <c r="E54" s="18" t="n">
        <v>73.46004284</v>
      </c>
      <c r="F54" s="20" t="n">
        <v>2.4416747</v>
      </c>
      <c r="G54" s="18" t="n">
        <v>7.0745585</v>
      </c>
      <c r="H54" s="20" t="n">
        <v>1.3989046</v>
      </c>
      <c r="I54" s="18" t="s">
        <v>567</v>
      </c>
      <c r="J54" s="20" t="s">
        <v>567</v>
      </c>
      <c r="K54" s="18" t="n">
        <v>18.30606527</v>
      </c>
      <c r="L54" s="20" t="n">
        <v>2.00790454</v>
      </c>
      <c r="M54" s="18" t="n">
        <v>0</v>
      </c>
      <c r="N54" s="20" t="n">
        <v>0</v>
      </c>
      <c r="O54" s="18" t="n">
        <v>0</v>
      </c>
      <c r="P54" s="20" t="n">
        <v>0</v>
      </c>
      <c r="Q54" s="18" t="n">
        <v>1.15933338</v>
      </c>
      <c r="R54" s="20" t="n">
        <v>0.46792973</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(2106.0/B56*100)</f>
        <v/>
      </c>
      <c r="D56" s="19" t="n">
        <v>578</v>
      </c>
      <c r="E56" s="18" t="n">
        <v>64.55298393</v>
      </c>
      <c r="F56" s="20" t="n">
        <v>2.43482438</v>
      </c>
      <c r="G56" s="18" t="n">
        <v>34.80845214</v>
      </c>
      <c r="H56" s="20" t="n">
        <v>2.36792531</v>
      </c>
      <c r="I56" s="18" t="s">
        <v>567</v>
      </c>
      <c r="J56" s="20" t="s">
        <v>567</v>
      </c>
      <c r="K56" s="18" t="n">
        <v>0.37323609</v>
      </c>
      <c r="L56" s="20" t="n">
        <v>0.29074904</v>
      </c>
      <c r="M56" s="18" t="n">
        <v>0</v>
      </c>
      <c r="N56" s="20" t="n">
        <v>0</v>
      </c>
      <c r="O56" s="18" t="n">
        <v>0</v>
      </c>
      <c r="P56" s="20" t="n">
        <v>0</v>
      </c>
      <c r="Q56" s="18" t="n">
        <v>0.26532784</v>
      </c>
      <c r="R56" s="20" t="n">
        <v>0.1820433</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(2563.0/B61*100)</f>
        <v/>
      </c>
      <c r="D61" s="19" t="n">
        <v>761</v>
      </c>
      <c r="E61" s="18" t="n">
        <v>62.36620302</v>
      </c>
      <c r="F61" s="20" t="n">
        <v>2.14256458</v>
      </c>
      <c r="G61" s="18" t="n">
        <v>36.07029369</v>
      </c>
      <c r="H61" s="20" t="n">
        <v>2.12778277</v>
      </c>
      <c r="I61" s="18" t="s">
        <v>567</v>
      </c>
      <c r="J61" s="20" t="s">
        <v>567</v>
      </c>
      <c r="K61" s="18" t="n">
        <v>0.46009651</v>
      </c>
      <c r="L61" s="20" t="n">
        <v>0.24986783</v>
      </c>
      <c r="M61" s="18" t="n">
        <v>0</v>
      </c>
      <c r="N61" s="20" t="n">
        <v>0</v>
      </c>
      <c r="O61" s="18" t="n">
        <v>0</v>
      </c>
      <c r="P61" s="20" t="n">
        <v>0</v>
      </c>
      <c r="Q61" s="18" t="n">
        <v>1.10340678</v>
      </c>
      <c r="R61" s="20" t="n">
        <v>0.41945512</v>
      </c>
    </row>
    <row r="62" spans="1:18">
      <c r="A62" s="15" t="s">
        <v>622</v>
      </c>
      <c r="B62" s="17" t="n">
        <v>2246</v>
      </c>
      <c r="C62" s="18">
        <f>(1769.0/B62*100)</f>
        <v/>
      </c>
      <c r="D62" s="19" t="n">
        <v>477</v>
      </c>
      <c r="E62" s="18" t="n">
        <v>54.70766667</v>
      </c>
      <c r="F62" s="20" t="n">
        <v>2.45857995</v>
      </c>
      <c r="G62" s="18" t="n">
        <v>44.66059842</v>
      </c>
      <c r="H62" s="20" t="n">
        <v>2.43196883</v>
      </c>
      <c r="I62" s="18" t="s">
        <v>567</v>
      </c>
      <c r="J62" s="20" t="s">
        <v>567</v>
      </c>
      <c r="K62" s="18" t="n">
        <v>0.21536379</v>
      </c>
      <c r="L62" s="20" t="n">
        <v>0.21534376</v>
      </c>
      <c r="M62" s="18" t="n">
        <v>0</v>
      </c>
      <c r="N62" s="20" t="n">
        <v>0</v>
      </c>
      <c r="O62" s="18" t="n">
        <v>0</v>
      </c>
      <c r="P62" s="20" t="n">
        <v>0</v>
      </c>
      <c r="Q62" s="18" t="n">
        <v>0.41637111</v>
      </c>
      <c r="R62" s="20" t="n">
        <v>0.29187325</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(2257.0/B66*100)</f>
        <v/>
      </c>
      <c r="D66" s="19" t="n">
        <v>637</v>
      </c>
      <c r="E66" s="18" t="n">
        <v>76.95420301999999</v>
      </c>
      <c r="F66" s="20" t="n">
        <v>1.67882989</v>
      </c>
      <c r="G66" s="18" t="n">
        <v>17.06381331</v>
      </c>
      <c r="H66" s="20" t="n">
        <v>1.48135571</v>
      </c>
      <c r="I66" s="18" t="s">
        <v>567</v>
      </c>
      <c r="J66" s="20" t="s">
        <v>567</v>
      </c>
      <c r="K66" s="18" t="n">
        <v>0.77819722</v>
      </c>
      <c r="L66" s="20" t="n">
        <v>0.35082523</v>
      </c>
      <c r="M66" s="18" t="n">
        <v>0</v>
      </c>
      <c r="N66" s="20" t="n">
        <v>0</v>
      </c>
      <c r="O66" s="18" t="n">
        <v>0</v>
      </c>
      <c r="P66" s="20" t="n">
        <v>0</v>
      </c>
      <c r="Q66" s="18" t="n">
        <v>5.20378645</v>
      </c>
      <c r="R66" s="20" t="n">
        <v>0.85522015</v>
      </c>
    </row>
    <row r="67" spans="1:18">
      <c r="A67" s="15" t="s">
        <v>627</v>
      </c>
      <c r="B67" s="17" t="n">
        <v>3511</v>
      </c>
      <c r="C67" s="18">
        <f>(2822.0/B67*100)</f>
        <v/>
      </c>
      <c r="D67" s="19" t="n">
        <v>689</v>
      </c>
      <c r="E67" s="18" t="n">
        <v>79.37140672</v>
      </c>
      <c r="F67" s="20" t="n">
        <v>1.74028796</v>
      </c>
      <c r="G67" s="18" t="n">
        <v>18.77443539</v>
      </c>
      <c r="H67" s="20" t="n">
        <v>1.75668399</v>
      </c>
      <c r="I67" s="18" t="s">
        <v>567</v>
      </c>
      <c r="J67" s="20" t="s">
        <v>567</v>
      </c>
      <c r="K67" s="18" t="n">
        <v>0.24434103</v>
      </c>
      <c r="L67" s="20" t="n">
        <v>0.1733542</v>
      </c>
      <c r="M67" s="18" t="n">
        <v>0</v>
      </c>
      <c r="N67" s="20" t="n">
        <v>0</v>
      </c>
      <c r="O67" s="18" t="n">
        <v>0</v>
      </c>
      <c r="P67" s="20" t="n">
        <v>0</v>
      </c>
      <c r="Q67" s="18" t="n">
        <v>1.60981686</v>
      </c>
      <c r="R67" s="20" t="n">
        <v>0.34848582</v>
      </c>
    </row>
    <row r="68" spans="1:18">
      <c r="A68" s="15" t="s">
        <v>628</v>
      </c>
      <c r="B68" s="17" t="n">
        <v>6049</v>
      </c>
      <c r="C68" s="18">
        <f>(4695.0/B68*100)</f>
        <v/>
      </c>
      <c r="D68" s="19" t="n">
        <v>1354</v>
      </c>
      <c r="E68" s="18" t="n">
        <v>75.93536204999999</v>
      </c>
      <c r="F68" s="20" t="n">
        <v>1.17443522</v>
      </c>
      <c r="G68" s="18" t="n">
        <v>17.61972268</v>
      </c>
      <c r="H68" s="20" t="n">
        <v>1.06572569</v>
      </c>
      <c r="I68" s="18" t="s">
        <v>567</v>
      </c>
      <c r="J68" s="20" t="s">
        <v>567</v>
      </c>
      <c r="K68" s="18" t="n">
        <v>3.99580495</v>
      </c>
      <c r="L68" s="20" t="n">
        <v>0.44269442</v>
      </c>
      <c r="M68" s="18" t="n">
        <v>0</v>
      </c>
      <c r="N68" s="20" t="n">
        <v>0</v>
      </c>
      <c r="O68" s="18" t="n">
        <v>0</v>
      </c>
      <c r="P68" s="20" t="n">
        <v>0</v>
      </c>
      <c r="Q68" s="18" t="n">
        <v>2.44911031</v>
      </c>
      <c r="R68" s="20" t="n">
        <v>0.47078397</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(2307.0/B70*100)</f>
        <v/>
      </c>
      <c r="D70" s="19" t="n">
        <v>622</v>
      </c>
      <c r="E70" s="18" t="n">
        <v>62.10286195</v>
      </c>
      <c r="F70" s="20" t="n">
        <v>2.36929339</v>
      </c>
      <c r="G70" s="18" t="n">
        <v>35.42414338</v>
      </c>
      <c r="H70" s="20" t="n">
        <v>2.2721449</v>
      </c>
      <c r="I70" s="18" t="s">
        <v>567</v>
      </c>
      <c r="J70" s="20" t="s">
        <v>567</v>
      </c>
      <c r="K70" s="18" t="n">
        <v>0.5325257</v>
      </c>
      <c r="L70" s="20" t="n">
        <v>0.26211819</v>
      </c>
      <c r="M70" s="18" t="n">
        <v>0</v>
      </c>
      <c r="N70" s="20" t="n">
        <v>0</v>
      </c>
      <c r="O70" s="18" t="n">
        <v>0</v>
      </c>
      <c r="P70" s="20" t="n">
        <v>0</v>
      </c>
      <c r="Q70" s="18" t="n">
        <v>1.94046897</v>
      </c>
      <c r="R70" s="20" t="n">
        <v>0.64005901</v>
      </c>
    </row>
    <row r="71" spans="1:18">
      <c r="A71" s="15" t="s">
        <v>631</v>
      </c>
      <c r="B71" s="17" t="n">
        <v>3142</v>
      </c>
      <c r="C71" s="18">
        <f>(2442.0/B71*100)</f>
        <v/>
      </c>
      <c r="D71" s="19" t="n">
        <v>700</v>
      </c>
      <c r="E71" s="18" t="n">
        <v>51.18817683</v>
      </c>
      <c r="F71" s="20" t="n">
        <v>2.04740718</v>
      </c>
      <c r="G71" s="18" t="n">
        <v>48.49502745</v>
      </c>
      <c r="H71" s="20" t="n">
        <v>2.05228556</v>
      </c>
      <c r="I71" s="18" t="s">
        <v>567</v>
      </c>
      <c r="J71" s="20" t="s">
        <v>567</v>
      </c>
      <c r="K71" s="18" t="n">
        <v>0.1895588</v>
      </c>
      <c r="L71" s="20" t="n">
        <v>0.13825601</v>
      </c>
      <c r="M71" s="18" t="n">
        <v>0</v>
      </c>
      <c r="N71" s="20" t="n">
        <v>0</v>
      </c>
      <c r="O71" s="18" t="n">
        <v>0</v>
      </c>
      <c r="P71" s="20" t="n">
        <v>0</v>
      </c>
      <c r="Q71" s="18" t="n">
        <v>0.12723692</v>
      </c>
      <c r="R71" s="20" t="n">
        <v>0.12750459</v>
      </c>
    </row>
    <row r="72" spans="1:18">
      <c r="A72" s="15" t="s">
        <v>632</v>
      </c>
      <c r="B72" s="17" t="n">
        <v>3889</v>
      </c>
      <c r="C72" s="18">
        <f>(3038.0/B72*100)</f>
        <v/>
      </c>
      <c r="D72" s="19" t="n">
        <v>851</v>
      </c>
      <c r="E72" s="18" t="n">
        <v>52.74323738</v>
      </c>
      <c r="F72" s="20" t="n">
        <v>1.94654128</v>
      </c>
      <c r="G72" s="18" t="n">
        <v>47.17946602</v>
      </c>
      <c r="H72" s="20" t="n">
        <v>1.93886119</v>
      </c>
      <c r="I72" s="18" t="s">
        <v>567</v>
      </c>
      <c r="J72" s="20" t="s">
        <v>567</v>
      </c>
      <c r="K72" s="18" t="n">
        <v>0.07729659999999999</v>
      </c>
      <c r="L72" s="20" t="n">
        <v>0.07976011</v>
      </c>
      <c r="M72" s="18" t="n">
        <v>0</v>
      </c>
      <c r="N72" s="20" t="n">
        <v>0</v>
      </c>
      <c r="O72" s="18" t="n">
        <v>0</v>
      </c>
      <c r="P72" s="20" t="n">
        <v>0</v>
      </c>
      <c r="Q72" s="18" t="n">
        <v>0</v>
      </c>
      <c r="R72" s="20" t="n">
        <v>0</v>
      </c>
    </row>
    <row r="73" spans="1:18">
      <c r="A73" s="15" t="s">
        <v>633</v>
      </c>
      <c r="B73" s="17" t="n">
        <v>3597</v>
      </c>
      <c r="C73" s="18">
        <f>(2829.0/B73*100)</f>
        <v/>
      </c>
      <c r="D73" s="19" t="n">
        <v>768</v>
      </c>
      <c r="E73" s="18" t="n">
        <v>83.47564766000001</v>
      </c>
      <c r="F73" s="20" t="n">
        <v>2.00451294</v>
      </c>
      <c r="G73" s="18" t="n">
        <v>15.94145821</v>
      </c>
      <c r="H73" s="20" t="n">
        <v>2.02324138</v>
      </c>
      <c r="I73" s="18" t="s">
        <v>567</v>
      </c>
      <c r="J73" s="20" t="s">
        <v>567</v>
      </c>
      <c r="K73" s="18" t="n">
        <v>0</v>
      </c>
      <c r="L73" s="20" t="n">
        <v>0</v>
      </c>
      <c r="M73" s="18" t="n">
        <v>0</v>
      </c>
      <c r="N73" s="20" t="n">
        <v>0</v>
      </c>
      <c r="O73" s="18" t="n">
        <v>0</v>
      </c>
      <c r="P73" s="20" t="n">
        <v>0</v>
      </c>
      <c r="Q73" s="18" t="n">
        <v>0.58289413</v>
      </c>
      <c r="R73" s="20" t="n">
        <v>0.33184827</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(1909.0/B75*100)</f>
        <v/>
      </c>
      <c r="D75" s="19" t="n">
        <v>497</v>
      </c>
      <c r="E75" s="18" t="n">
        <v>72.13608587</v>
      </c>
      <c r="F75" s="20" t="n">
        <v>2.2461637</v>
      </c>
      <c r="G75" s="18" t="n">
        <v>21.39602644</v>
      </c>
      <c r="H75" s="20" t="n">
        <v>1.73620086</v>
      </c>
      <c r="I75" s="18" t="s">
        <v>567</v>
      </c>
      <c r="J75" s="20" t="s">
        <v>567</v>
      </c>
      <c r="K75" s="18" t="n">
        <v>4.64215492</v>
      </c>
      <c r="L75" s="20" t="n">
        <v>0.95655959</v>
      </c>
      <c r="M75" s="18" t="n">
        <v>0</v>
      </c>
      <c r="N75" s="20" t="n">
        <v>0</v>
      </c>
      <c r="O75" s="18" t="n">
        <v>0</v>
      </c>
      <c r="P75" s="20" t="n">
        <v>0</v>
      </c>
      <c r="Q75" s="18" t="n">
        <v>1.82573277</v>
      </c>
      <c r="R75" s="20" t="n">
        <v>0.73224487</v>
      </c>
    </row>
    <row r="76" spans="1:18">
      <c r="A76" s="15" t="s">
        <v>636</v>
      </c>
      <c r="B76" s="17" t="n">
        <v>7052</v>
      </c>
      <c r="C76" s="18">
        <f>(5499.0/B76*100)</f>
        <v/>
      </c>
      <c r="D76" s="19" t="n">
        <v>1553</v>
      </c>
      <c r="E76" s="18" t="n">
        <v>72.75778707000001</v>
      </c>
      <c r="F76" s="20" t="n">
        <v>1.44670146</v>
      </c>
      <c r="G76" s="18" t="n">
        <v>23.63904985</v>
      </c>
      <c r="H76" s="20" t="n">
        <v>1.4521459</v>
      </c>
      <c r="I76" s="18" t="s">
        <v>567</v>
      </c>
      <c r="J76" s="20" t="s">
        <v>567</v>
      </c>
      <c r="K76" s="18" t="n">
        <v>1.40332663</v>
      </c>
      <c r="L76" s="20" t="n">
        <v>0.42436862</v>
      </c>
      <c r="M76" s="18" t="n">
        <v>0</v>
      </c>
      <c r="N76" s="20" t="n">
        <v>0</v>
      </c>
      <c r="O76" s="18" t="n">
        <v>0</v>
      </c>
      <c r="P76" s="20" t="n">
        <v>0</v>
      </c>
      <c r="Q76" s="18" t="n">
        <v>2.19983646</v>
      </c>
      <c r="R76" s="20" t="n">
        <v>0.40691891</v>
      </c>
    </row>
    <row r="77" spans="1:18">
      <c r="A77" s="15" t="s">
        <v>637</v>
      </c>
      <c r="B77" s="17" t="n">
        <v>2908</v>
      </c>
      <c r="C77" s="18">
        <f>(2367.0/B77*100)</f>
        <v/>
      </c>
      <c r="D77" s="19" t="n">
        <v>541</v>
      </c>
      <c r="E77" s="18" t="n">
        <v>75.31435329999999</v>
      </c>
      <c r="F77" s="20" t="n">
        <v>1.84417065</v>
      </c>
      <c r="G77" s="18" t="n">
        <v>19.41160273</v>
      </c>
      <c r="H77" s="20" t="n">
        <v>1.56398032</v>
      </c>
      <c r="I77" s="18" t="s">
        <v>567</v>
      </c>
      <c r="J77" s="20" t="s">
        <v>567</v>
      </c>
      <c r="K77" s="18" t="n">
        <v>2.56894368</v>
      </c>
      <c r="L77" s="20" t="n">
        <v>0.74986496</v>
      </c>
      <c r="M77" s="18" t="n">
        <v>0</v>
      </c>
      <c r="N77" s="20" t="n">
        <v>0</v>
      </c>
      <c r="O77" s="18" t="n">
        <v>0</v>
      </c>
      <c r="P77" s="20" t="n">
        <v>0</v>
      </c>
      <c r="Q77" s="18" t="n">
        <v>2.7051003</v>
      </c>
      <c r="R77" s="20" t="n">
        <v>0.72661368</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(3276.0/B81*100)</f>
        <v/>
      </c>
      <c r="D81" s="19" t="n">
        <v>887</v>
      </c>
      <c r="E81" s="18" t="n">
        <v>77.72279528</v>
      </c>
      <c r="F81" s="20" t="n">
        <v>2.39637382</v>
      </c>
      <c r="G81" s="18" t="n">
        <v>21.72708312</v>
      </c>
      <c r="H81" s="20" t="n">
        <v>2.32422504</v>
      </c>
      <c r="I81" s="18" t="s">
        <v>567</v>
      </c>
      <c r="J81" s="20" t="s">
        <v>567</v>
      </c>
      <c r="K81" s="18" t="n">
        <v>0.19223295</v>
      </c>
      <c r="L81" s="20" t="n">
        <v>0.13467192</v>
      </c>
      <c r="M81" s="18" t="n">
        <v>0</v>
      </c>
      <c r="N81" s="20" t="n">
        <v>0</v>
      </c>
      <c r="O81" s="18" t="n">
        <v>0</v>
      </c>
      <c r="P81" s="20" t="n">
        <v>0</v>
      </c>
      <c r="Q81" s="18" t="n">
        <v>0.35788866</v>
      </c>
      <c r="R81" s="20" t="n">
        <v>0.25047614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(5760.0/B7*100)</f>
        <v/>
      </c>
      <c r="D7" s="19" t="n">
        <v>1607</v>
      </c>
      <c r="E7" s="18" t="n">
        <v>46.88069564</v>
      </c>
      <c r="F7" s="20" t="n">
        <v>1.51986815</v>
      </c>
      <c r="G7" s="18" t="n">
        <v>37.46568733</v>
      </c>
      <c r="H7" s="20" t="n">
        <v>1.53493239</v>
      </c>
      <c r="I7" s="18" t="s">
        <v>567</v>
      </c>
      <c r="J7" s="20" t="s">
        <v>567</v>
      </c>
      <c r="K7" s="18" t="n">
        <v>0.7637946799999999</v>
      </c>
      <c r="L7" s="20" t="n">
        <v>0.23465369</v>
      </c>
      <c r="M7" s="18" t="n">
        <v>0.01587365</v>
      </c>
      <c r="N7" s="20" t="n">
        <v>0.01105317</v>
      </c>
      <c r="O7" s="18" t="n">
        <v>0</v>
      </c>
      <c r="P7" s="20" t="n">
        <v>0</v>
      </c>
      <c r="Q7" s="18" t="n">
        <v>14.87394871</v>
      </c>
      <c r="R7" s="20" t="n">
        <v>1.00588508</v>
      </c>
    </row>
    <row r="8" spans="1:18">
      <c r="A8" s="15" t="s">
        <v>568</v>
      </c>
      <c r="B8" s="17" t="n">
        <v>3564</v>
      </c>
      <c r="C8" s="18">
        <f>(2778.0/B8*100)</f>
        <v/>
      </c>
      <c r="D8" s="19" t="n">
        <v>786</v>
      </c>
      <c r="E8" s="18" t="n">
        <v>35.41420362</v>
      </c>
      <c r="F8" s="20" t="n">
        <v>2.18450083</v>
      </c>
      <c r="G8" s="18" t="n">
        <v>42.70431858</v>
      </c>
      <c r="H8" s="20" t="n">
        <v>2.17799531</v>
      </c>
      <c r="I8" s="18" t="s">
        <v>567</v>
      </c>
      <c r="J8" s="20" t="s">
        <v>567</v>
      </c>
      <c r="K8" s="18" t="n">
        <v>0.24992628</v>
      </c>
      <c r="L8" s="20" t="n">
        <v>0.15199809</v>
      </c>
      <c r="M8" s="18" t="n">
        <v>0</v>
      </c>
      <c r="N8" s="20" t="n">
        <v>0</v>
      </c>
      <c r="O8" s="18" t="n">
        <v>0</v>
      </c>
      <c r="P8" s="20" t="n">
        <v>0</v>
      </c>
      <c r="Q8" s="18" t="n">
        <v>21.63155152</v>
      </c>
      <c r="R8" s="20" t="n">
        <v>1.51183695</v>
      </c>
    </row>
    <row r="9" spans="1:18">
      <c r="A9" s="15" t="s">
        <v>569</v>
      </c>
      <c r="B9" s="17" t="n">
        <v>4899</v>
      </c>
      <c r="C9" s="18">
        <f>(3889.0/B9*100)</f>
        <v/>
      </c>
      <c r="D9" s="19" t="n">
        <v>1010</v>
      </c>
      <c r="E9" s="18" t="n">
        <v>38.96533242</v>
      </c>
      <c r="F9" s="20" t="n">
        <v>1.80364692</v>
      </c>
      <c r="G9" s="18" t="n">
        <v>42.47206235</v>
      </c>
      <c r="H9" s="20" t="n">
        <v>1.91114224</v>
      </c>
      <c r="I9" s="18" t="s">
        <v>567</v>
      </c>
      <c r="J9" s="20" t="s">
        <v>567</v>
      </c>
      <c r="K9" s="18" t="n">
        <v>1.4467266</v>
      </c>
      <c r="L9" s="20" t="n">
        <v>0.35839854</v>
      </c>
      <c r="M9" s="18" t="n">
        <v>0.25880102</v>
      </c>
      <c r="N9" s="20" t="n">
        <v>0.15230641</v>
      </c>
      <c r="O9" s="18" t="n">
        <v>0</v>
      </c>
      <c r="P9" s="20" t="n">
        <v>0</v>
      </c>
      <c r="Q9" s="18" t="n">
        <v>16.85707762</v>
      </c>
      <c r="R9" s="20" t="n">
        <v>1.3576252</v>
      </c>
    </row>
    <row r="10" spans="1:18">
      <c r="A10" s="15" t="s">
        <v>570</v>
      </c>
      <c r="B10" s="17" t="n">
        <v>10036</v>
      </c>
      <c r="C10" s="18">
        <f>(7775.0/B10*100)</f>
        <v/>
      </c>
      <c r="D10" s="19" t="n">
        <v>2261</v>
      </c>
      <c r="E10" s="18" t="n">
        <v>36.02097417</v>
      </c>
      <c r="F10" s="20" t="n">
        <v>1.36011278</v>
      </c>
      <c r="G10" s="18" t="n">
        <v>52.64089149</v>
      </c>
      <c r="H10" s="20" t="n">
        <v>1.53472479</v>
      </c>
      <c r="I10" s="18" t="s">
        <v>567</v>
      </c>
      <c r="J10" s="20" t="s">
        <v>567</v>
      </c>
      <c r="K10" s="18" t="n">
        <v>0.95272097</v>
      </c>
      <c r="L10" s="20" t="n">
        <v>0.3334916</v>
      </c>
      <c r="M10" s="18" t="n">
        <v>0.04025653</v>
      </c>
      <c r="N10" s="20" t="n">
        <v>0.02846522</v>
      </c>
      <c r="O10" s="18" t="n">
        <v>0</v>
      </c>
      <c r="P10" s="20" t="n">
        <v>0</v>
      </c>
      <c r="Q10" s="18" t="n">
        <v>10.34515684</v>
      </c>
      <c r="R10" s="20" t="n">
        <v>0.8895997</v>
      </c>
    </row>
    <row r="11" spans="1:18">
      <c r="A11" s="15" t="s">
        <v>571</v>
      </c>
      <c r="B11" s="17" t="n">
        <v>3553</v>
      </c>
      <c r="C11" s="18">
        <f>(2780.0/B11*100)</f>
        <v/>
      </c>
      <c r="D11" s="19" t="n">
        <v>773</v>
      </c>
      <c r="E11" s="18" t="n">
        <v>49.15030023</v>
      </c>
      <c r="F11" s="20" t="n">
        <v>2.56864327</v>
      </c>
      <c r="G11" s="18" t="n">
        <v>24.42589591</v>
      </c>
      <c r="H11" s="20" t="n">
        <v>1.81687005</v>
      </c>
      <c r="I11" s="18" t="s">
        <v>567</v>
      </c>
      <c r="J11" s="20" t="s">
        <v>567</v>
      </c>
      <c r="K11" s="18" t="n">
        <v>1.43763875</v>
      </c>
      <c r="L11" s="20" t="n">
        <v>0.46580081</v>
      </c>
      <c r="M11" s="18" t="n">
        <v>0</v>
      </c>
      <c r="N11" s="20" t="n">
        <v>0</v>
      </c>
      <c r="O11" s="18" t="n">
        <v>0</v>
      </c>
      <c r="P11" s="20" t="n">
        <v>0</v>
      </c>
      <c r="Q11" s="18" t="n">
        <v>24.9861651</v>
      </c>
      <c r="R11" s="20" t="n">
        <v>1.95334645</v>
      </c>
    </row>
    <row r="12" spans="1:18">
      <c r="A12" s="15" t="s">
        <v>572</v>
      </c>
      <c r="B12" s="17" t="n">
        <v>3472</v>
      </c>
      <c r="C12" s="18">
        <f>(2763.0/B12*100)</f>
        <v/>
      </c>
      <c r="D12" s="19" t="n">
        <v>709</v>
      </c>
      <c r="E12" s="18" t="n">
        <v>50.19399797</v>
      </c>
      <c r="F12" s="20" t="n">
        <v>2.0731521</v>
      </c>
      <c r="G12" s="18" t="n">
        <v>25.36489296</v>
      </c>
      <c r="H12" s="20" t="n">
        <v>1.52214413</v>
      </c>
      <c r="I12" s="18" t="s">
        <v>567</v>
      </c>
      <c r="J12" s="20" t="s">
        <v>567</v>
      </c>
      <c r="K12" s="18" t="n">
        <v>0.48324531</v>
      </c>
      <c r="L12" s="20" t="n">
        <v>0.2269434</v>
      </c>
      <c r="M12" s="18" t="n">
        <v>0.12557932</v>
      </c>
      <c r="N12" s="20" t="n">
        <v>0.12354617</v>
      </c>
      <c r="O12" s="18" t="n">
        <v>0</v>
      </c>
      <c r="P12" s="20" t="n">
        <v>0</v>
      </c>
      <c r="Q12" s="18" t="n">
        <v>23.83228444</v>
      </c>
      <c r="R12" s="20" t="n">
        <v>2.01004789</v>
      </c>
    </row>
    <row r="13" spans="1:18">
      <c r="A13" s="15" t="s">
        <v>573</v>
      </c>
      <c r="B13" s="17" t="n">
        <v>3559</v>
      </c>
      <c r="C13" s="18">
        <f>(2810.0/B13*100)</f>
        <v/>
      </c>
      <c r="D13" s="19" t="n">
        <v>749</v>
      </c>
      <c r="E13" s="18" t="n">
        <v>47.07972945</v>
      </c>
      <c r="F13" s="20" t="n">
        <v>2.37000983</v>
      </c>
      <c r="G13" s="18" t="n">
        <v>38.65322066</v>
      </c>
      <c r="H13" s="20" t="n">
        <v>2.29133348</v>
      </c>
      <c r="I13" s="18" t="s">
        <v>567</v>
      </c>
      <c r="J13" s="20" t="s">
        <v>567</v>
      </c>
      <c r="K13" s="18" t="n">
        <v>0.51087852</v>
      </c>
      <c r="L13" s="20" t="n">
        <v>0.25218141</v>
      </c>
      <c r="M13" s="18" t="n">
        <v>0.47555935</v>
      </c>
      <c r="N13" s="20" t="n">
        <v>0.47332102</v>
      </c>
      <c r="O13" s="18" t="n">
        <v>0</v>
      </c>
      <c r="P13" s="20" t="n">
        <v>0</v>
      </c>
      <c r="Q13" s="18" t="n">
        <v>13.28061201</v>
      </c>
      <c r="R13" s="20" t="n">
        <v>1.70562764</v>
      </c>
    </row>
    <row r="14" spans="1:18">
      <c r="A14" s="15" t="s">
        <v>574</v>
      </c>
      <c r="B14" s="17" t="n">
        <v>2799</v>
      </c>
      <c r="C14" s="18">
        <f>(2163.0/B14*100)</f>
        <v/>
      </c>
      <c r="D14" s="19" t="n">
        <v>636</v>
      </c>
      <c r="E14" s="18" t="n">
        <v>43.77549255</v>
      </c>
      <c r="F14" s="20" t="n">
        <v>2.13893199</v>
      </c>
      <c r="G14" s="18" t="n">
        <v>41.84274463</v>
      </c>
      <c r="H14" s="20" t="n">
        <v>2.24860056</v>
      </c>
      <c r="I14" s="18" t="s">
        <v>567</v>
      </c>
      <c r="J14" s="20" t="s">
        <v>567</v>
      </c>
      <c r="K14" s="18" t="n">
        <v>1.36274577</v>
      </c>
      <c r="L14" s="20" t="n">
        <v>0.5605668700000001</v>
      </c>
      <c r="M14" s="18" t="n">
        <v>0</v>
      </c>
      <c r="N14" s="20" t="n">
        <v>0</v>
      </c>
      <c r="O14" s="18" t="n">
        <v>0</v>
      </c>
      <c r="P14" s="20" t="n">
        <v>0</v>
      </c>
      <c r="Q14" s="18" t="n">
        <v>13.01901704</v>
      </c>
      <c r="R14" s="20" t="n">
        <v>1.48552417</v>
      </c>
    </row>
    <row r="15" spans="1:18">
      <c r="A15" s="15" t="s">
        <v>575</v>
      </c>
      <c r="B15" s="17" t="n">
        <v>3019</v>
      </c>
      <c r="C15" s="18">
        <f>(2354.0/B15*100)</f>
        <v/>
      </c>
      <c r="D15" s="19" t="n">
        <v>665</v>
      </c>
      <c r="E15" s="18" t="n">
        <v>55.66633604</v>
      </c>
      <c r="F15" s="20" t="n">
        <v>2.19378356</v>
      </c>
      <c r="G15" s="18" t="n">
        <v>31.86656154</v>
      </c>
      <c r="H15" s="20" t="n">
        <v>1.87855852</v>
      </c>
      <c r="I15" s="18" t="s">
        <v>567</v>
      </c>
      <c r="J15" s="20" t="s">
        <v>567</v>
      </c>
      <c r="K15" s="18" t="n">
        <v>0.43777425</v>
      </c>
      <c r="L15" s="20" t="n">
        <v>0.25499774</v>
      </c>
      <c r="M15" s="18" t="n">
        <v>0</v>
      </c>
      <c r="N15" s="20" t="n">
        <v>0</v>
      </c>
      <c r="O15" s="18" t="n">
        <v>0</v>
      </c>
      <c r="P15" s="20" t="n">
        <v>0</v>
      </c>
      <c r="Q15" s="18" t="n">
        <v>12.02932816</v>
      </c>
      <c r="R15" s="20" t="n">
        <v>1.34157304</v>
      </c>
    </row>
    <row r="16" spans="1:18">
      <c r="A16" s="15" t="s">
        <v>576</v>
      </c>
      <c r="B16" s="17" t="n">
        <v>2997</v>
      </c>
      <c r="C16" s="18">
        <f>(2331.0/B16*100)</f>
        <v/>
      </c>
      <c r="D16" s="19" t="n">
        <v>666</v>
      </c>
      <c r="E16" s="18" t="n">
        <v>32.65430886</v>
      </c>
      <c r="F16" s="20" t="n">
        <v>1.94093068</v>
      </c>
      <c r="G16" s="18" t="n">
        <v>38.58377429</v>
      </c>
      <c r="H16" s="20" t="n">
        <v>1.9290181</v>
      </c>
      <c r="I16" s="18" t="s">
        <v>567</v>
      </c>
      <c r="J16" s="20" t="s">
        <v>567</v>
      </c>
      <c r="K16" s="18" t="n">
        <v>2.09799208</v>
      </c>
      <c r="L16" s="20" t="n">
        <v>0.5568478</v>
      </c>
      <c r="M16" s="18" t="n">
        <v>0</v>
      </c>
      <c r="N16" s="20" t="n">
        <v>0</v>
      </c>
      <c r="O16" s="18" t="n">
        <v>0</v>
      </c>
      <c r="P16" s="20" t="n">
        <v>0</v>
      </c>
      <c r="Q16" s="18" t="n">
        <v>26.66392478</v>
      </c>
      <c r="R16" s="20" t="n">
        <v>1.86709674</v>
      </c>
    </row>
    <row r="17" spans="1:18">
      <c r="A17" s="15" t="s">
        <v>577</v>
      </c>
      <c r="B17" s="17" t="n">
        <v>3307</v>
      </c>
      <c r="C17" s="18">
        <f>(2571.0/B17*100)</f>
        <v/>
      </c>
      <c r="D17" s="19" t="n">
        <v>736</v>
      </c>
      <c r="E17" s="18" t="n">
        <v>48.21559216</v>
      </c>
      <c r="F17" s="20" t="n">
        <v>2.1879187</v>
      </c>
      <c r="G17" s="18" t="n">
        <v>31.02734372</v>
      </c>
      <c r="H17" s="20" t="n">
        <v>2.04999178</v>
      </c>
      <c r="I17" s="18" t="s">
        <v>567</v>
      </c>
      <c r="J17" s="20" t="s">
        <v>567</v>
      </c>
      <c r="K17" s="18" t="n">
        <v>0.72807444</v>
      </c>
      <c r="L17" s="20" t="n">
        <v>0.30081698</v>
      </c>
      <c r="M17" s="18" t="n">
        <v>0</v>
      </c>
      <c r="N17" s="20" t="n">
        <v>0</v>
      </c>
      <c r="O17" s="18" t="n">
        <v>0</v>
      </c>
      <c r="P17" s="20" t="n">
        <v>0</v>
      </c>
      <c r="Q17" s="18" t="n">
        <v>20.02898968</v>
      </c>
      <c r="R17" s="20" t="n">
        <v>1.65701486</v>
      </c>
    </row>
    <row r="18" spans="1:18">
      <c r="A18" s="15" t="s">
        <v>578</v>
      </c>
      <c r="B18" s="17" t="n">
        <v>2826</v>
      </c>
      <c r="C18" s="18">
        <f>(2219.0/B18*100)</f>
        <v/>
      </c>
      <c r="D18" s="19" t="n">
        <v>607</v>
      </c>
      <c r="E18" s="18" t="n">
        <v>51.95341268</v>
      </c>
      <c r="F18" s="20" t="n">
        <v>2.43888906</v>
      </c>
      <c r="G18" s="18" t="n">
        <v>21.88888452</v>
      </c>
      <c r="H18" s="20" t="n">
        <v>1.92455164</v>
      </c>
      <c r="I18" s="18" t="s">
        <v>567</v>
      </c>
      <c r="J18" s="20" t="s">
        <v>567</v>
      </c>
      <c r="K18" s="18" t="n">
        <v>1.5007079</v>
      </c>
      <c r="L18" s="20" t="n">
        <v>0.41109029</v>
      </c>
      <c r="M18" s="18" t="n">
        <v>0</v>
      </c>
      <c r="N18" s="20" t="n">
        <v>0</v>
      </c>
      <c r="O18" s="18" t="n">
        <v>0</v>
      </c>
      <c r="P18" s="20" t="n">
        <v>0</v>
      </c>
      <c r="Q18" s="18" t="n">
        <v>24.65699491</v>
      </c>
      <c r="R18" s="20" t="n">
        <v>2.5133878</v>
      </c>
    </row>
    <row r="19" spans="1:18">
      <c r="A19" s="15" t="s">
        <v>579</v>
      </c>
      <c r="B19" s="17" t="n">
        <v>2808</v>
      </c>
      <c r="C19" s="18">
        <f>(2223.0/B19*100)</f>
        <v/>
      </c>
      <c r="D19" s="19" t="n">
        <v>585</v>
      </c>
      <c r="E19" s="18" t="n">
        <v>42.60888078</v>
      </c>
      <c r="F19" s="20" t="n">
        <v>2.03044368</v>
      </c>
      <c r="G19" s="18" t="n">
        <v>29.68399753</v>
      </c>
      <c r="H19" s="20" t="n">
        <v>1.85209854</v>
      </c>
      <c r="I19" s="18" t="s">
        <v>567</v>
      </c>
      <c r="J19" s="20" t="s">
        <v>567</v>
      </c>
      <c r="K19" s="18" t="n">
        <v>0.37464354</v>
      </c>
      <c r="L19" s="20" t="n">
        <v>0.37846798</v>
      </c>
      <c r="M19" s="18" t="n">
        <v>0</v>
      </c>
      <c r="N19" s="20" t="n">
        <v>0</v>
      </c>
      <c r="O19" s="18" t="n">
        <v>0</v>
      </c>
      <c r="P19" s="20" t="n">
        <v>0</v>
      </c>
      <c r="Q19" s="18" t="n">
        <v>27.33247815</v>
      </c>
      <c r="R19" s="20" t="n">
        <v>1.89032467</v>
      </c>
    </row>
    <row r="20" spans="1:18">
      <c r="A20" s="15" t="s">
        <v>580</v>
      </c>
      <c r="B20" s="17" t="n">
        <v>1630</v>
      </c>
      <c r="C20" s="18">
        <f>(1265.0/B20*100)</f>
        <v/>
      </c>
      <c r="D20" s="19" t="n">
        <v>365</v>
      </c>
      <c r="E20" s="18" t="n">
        <v>58.85012837</v>
      </c>
      <c r="F20" s="20" t="n">
        <v>2.92313432</v>
      </c>
      <c r="G20" s="18" t="n">
        <v>26.06719666</v>
      </c>
      <c r="H20" s="20" t="n">
        <v>2.33814236</v>
      </c>
      <c r="I20" s="18" t="s">
        <v>567</v>
      </c>
      <c r="J20" s="20" t="s">
        <v>567</v>
      </c>
      <c r="K20" s="18" t="n">
        <v>2.42277836</v>
      </c>
      <c r="L20" s="20" t="n">
        <v>0.77905914</v>
      </c>
      <c r="M20" s="18" t="n">
        <v>0</v>
      </c>
      <c r="N20" s="20" t="n">
        <v>0</v>
      </c>
      <c r="O20" s="18" t="n">
        <v>0</v>
      </c>
      <c r="P20" s="20" t="n">
        <v>0</v>
      </c>
      <c r="Q20" s="18" t="n">
        <v>12.65989661</v>
      </c>
      <c r="R20" s="20" t="n">
        <v>1.7536131</v>
      </c>
    </row>
    <row r="21" spans="1:18">
      <c r="A21" s="15" t="s">
        <v>581</v>
      </c>
      <c r="B21" s="17" t="n">
        <v>2908</v>
      </c>
      <c r="C21" s="18">
        <f>(2290.0/B21*100)</f>
        <v/>
      </c>
      <c r="D21" s="19" t="n">
        <v>618</v>
      </c>
      <c r="E21" s="18" t="n">
        <v>44.49607857</v>
      </c>
      <c r="F21" s="20" t="n">
        <v>2.05755704</v>
      </c>
      <c r="G21" s="18" t="n">
        <v>36.82046595</v>
      </c>
      <c r="H21" s="20" t="n">
        <v>2.12182282</v>
      </c>
      <c r="I21" s="18" t="s">
        <v>567</v>
      </c>
      <c r="J21" s="20" t="s">
        <v>567</v>
      </c>
      <c r="K21" s="18" t="n">
        <v>0.72021053</v>
      </c>
      <c r="L21" s="20" t="n">
        <v>0.33762798</v>
      </c>
      <c r="M21" s="18" t="n">
        <v>0</v>
      </c>
      <c r="N21" s="20" t="n">
        <v>0</v>
      </c>
      <c r="O21" s="18" t="n">
        <v>0</v>
      </c>
      <c r="P21" s="20" t="n">
        <v>0</v>
      </c>
      <c r="Q21" s="18" t="n">
        <v>17.96324494</v>
      </c>
      <c r="R21" s="20" t="n">
        <v>1.64919982</v>
      </c>
    </row>
    <row r="22" spans="1:18">
      <c r="A22" s="15" t="s">
        <v>582</v>
      </c>
      <c r="B22" s="17" t="n">
        <v>2931</v>
      </c>
      <c r="C22" s="18">
        <f>(2272.0/B22*100)</f>
        <v/>
      </c>
      <c r="D22" s="19" t="n">
        <v>659</v>
      </c>
      <c r="E22" s="18" t="n">
        <v>44.43711586</v>
      </c>
      <c r="F22" s="20" t="n">
        <v>1.93269841</v>
      </c>
      <c r="G22" s="18" t="n">
        <v>26.57139455</v>
      </c>
      <c r="H22" s="20" t="n">
        <v>2.01509716</v>
      </c>
      <c r="I22" s="18" t="s">
        <v>567</v>
      </c>
      <c r="J22" s="20" t="s">
        <v>567</v>
      </c>
      <c r="K22" s="18" t="n">
        <v>1.94839779</v>
      </c>
      <c r="L22" s="20" t="n">
        <v>0.58152341</v>
      </c>
      <c r="M22" s="18" t="n">
        <v>0</v>
      </c>
      <c r="N22" s="20" t="n">
        <v>0</v>
      </c>
      <c r="O22" s="18" t="n">
        <v>0</v>
      </c>
      <c r="P22" s="20" t="n">
        <v>0</v>
      </c>
      <c r="Q22" s="18" t="n">
        <v>27.0430918</v>
      </c>
      <c r="R22" s="20" t="n">
        <v>1.96709132</v>
      </c>
    </row>
    <row r="23" spans="1:18">
      <c r="A23" s="15" t="s">
        <v>583</v>
      </c>
      <c r="B23" s="17" t="n">
        <v>5791</v>
      </c>
      <c r="C23" s="18">
        <f>(4528.0/B23*100)</f>
        <v/>
      </c>
      <c r="D23" s="19" t="n">
        <v>1263</v>
      </c>
      <c r="E23" s="18" t="n">
        <v>42.27147553</v>
      </c>
      <c r="F23" s="20" t="n">
        <v>1.81390633</v>
      </c>
      <c r="G23" s="18" t="n">
        <v>27.41290312</v>
      </c>
      <c r="H23" s="20" t="n">
        <v>1.57093419</v>
      </c>
      <c r="I23" s="18" t="s">
        <v>567</v>
      </c>
      <c r="J23" s="20" t="s">
        <v>567</v>
      </c>
      <c r="K23" s="18" t="n">
        <v>1.08483849</v>
      </c>
      <c r="L23" s="20" t="n">
        <v>0.38588175</v>
      </c>
      <c r="M23" s="18" t="n">
        <v>0.2538665</v>
      </c>
      <c r="N23" s="20" t="n">
        <v>0.29685864</v>
      </c>
      <c r="O23" s="18" t="n">
        <v>0</v>
      </c>
      <c r="P23" s="20" t="n">
        <v>0</v>
      </c>
      <c r="Q23" s="18" t="n">
        <v>28.97691637</v>
      </c>
      <c r="R23" s="20" t="n">
        <v>1.70161138</v>
      </c>
    </row>
    <row r="24" spans="1:18">
      <c r="A24" s="15" t="s">
        <v>584</v>
      </c>
      <c r="B24" s="17" t="n">
        <v>3338</v>
      </c>
      <c r="C24" s="18">
        <f>(2606.0/B24*100)</f>
        <v/>
      </c>
      <c r="D24" s="19" t="n">
        <v>732</v>
      </c>
      <c r="E24" s="18" t="n">
        <v>45.54374798</v>
      </c>
      <c r="F24" s="20" t="n">
        <v>2.05640103</v>
      </c>
      <c r="G24" s="18" t="n">
        <v>36.81929598</v>
      </c>
      <c r="H24" s="20" t="n">
        <v>1.9484529</v>
      </c>
      <c r="I24" s="18" t="s">
        <v>567</v>
      </c>
      <c r="J24" s="20" t="s">
        <v>567</v>
      </c>
      <c r="K24" s="18" t="n">
        <v>0.55536561</v>
      </c>
      <c r="L24" s="20" t="n">
        <v>0.33437766</v>
      </c>
      <c r="M24" s="18" t="n">
        <v>0</v>
      </c>
      <c r="N24" s="20" t="n">
        <v>0</v>
      </c>
      <c r="O24" s="18" t="n">
        <v>0</v>
      </c>
      <c r="P24" s="20" t="n">
        <v>0</v>
      </c>
      <c r="Q24" s="18" t="n">
        <v>17.08159042</v>
      </c>
      <c r="R24" s="20" t="n">
        <v>1.63060552</v>
      </c>
    </row>
    <row r="25" spans="1:18">
      <c r="A25" s="15" t="s">
        <v>585</v>
      </c>
      <c r="B25" s="17" t="n">
        <v>2912</v>
      </c>
      <c r="C25" s="18">
        <f>(2245.0/B25*100)</f>
        <v/>
      </c>
      <c r="D25" s="19" t="n">
        <v>667</v>
      </c>
      <c r="E25" s="18" t="n">
        <v>58.13312906</v>
      </c>
      <c r="F25" s="20" t="n">
        <v>1.75263691</v>
      </c>
      <c r="G25" s="18" t="n">
        <v>26.85948723</v>
      </c>
      <c r="H25" s="20" t="n">
        <v>1.80087433</v>
      </c>
      <c r="I25" s="18" t="s">
        <v>567</v>
      </c>
      <c r="J25" s="20" t="s">
        <v>567</v>
      </c>
      <c r="K25" s="18" t="n">
        <v>0.6438264</v>
      </c>
      <c r="L25" s="20" t="n">
        <v>0.39815392</v>
      </c>
      <c r="M25" s="18" t="n">
        <v>0</v>
      </c>
      <c r="N25" s="20" t="n">
        <v>0</v>
      </c>
      <c r="O25" s="18" t="n">
        <v>0</v>
      </c>
      <c r="P25" s="20" t="n">
        <v>0</v>
      </c>
      <c r="Q25" s="18" t="n">
        <v>14.36355731</v>
      </c>
      <c r="R25" s="20" t="n">
        <v>1.45209532</v>
      </c>
    </row>
    <row r="26" spans="1:18">
      <c r="A26" s="15" t="s">
        <v>586</v>
      </c>
      <c r="B26" s="17" t="n">
        <v>2450</v>
      </c>
      <c r="C26" s="18">
        <f>(1886.0/B26*100)</f>
        <v/>
      </c>
      <c r="D26" s="19" t="n">
        <v>564</v>
      </c>
      <c r="E26" s="18" t="n">
        <v>60.80392421</v>
      </c>
      <c r="F26" s="20" t="n">
        <v>2.39081444</v>
      </c>
      <c r="G26" s="18" t="n">
        <v>24.48314172</v>
      </c>
      <c r="H26" s="20" t="n">
        <v>1.92040239</v>
      </c>
      <c r="I26" s="18" t="s">
        <v>567</v>
      </c>
      <c r="J26" s="20" t="s">
        <v>567</v>
      </c>
      <c r="K26" s="18" t="n">
        <v>0.49232929</v>
      </c>
      <c r="L26" s="20" t="n">
        <v>0.25765026</v>
      </c>
      <c r="M26" s="18" t="n">
        <v>0</v>
      </c>
      <c r="N26" s="20" t="n">
        <v>0</v>
      </c>
      <c r="O26" s="18" t="n">
        <v>0</v>
      </c>
      <c r="P26" s="20" t="n">
        <v>0</v>
      </c>
      <c r="Q26" s="18" t="n">
        <v>14.22060478</v>
      </c>
      <c r="R26" s="20" t="n">
        <v>1.7923668</v>
      </c>
    </row>
    <row r="27" spans="1:18">
      <c r="A27" s="15" t="s">
        <v>587</v>
      </c>
      <c r="B27" s="17" t="n">
        <v>2616</v>
      </c>
      <c r="C27" s="18">
        <f>(2061.0/B27*100)</f>
        <v/>
      </c>
      <c r="D27" s="19" t="n">
        <v>555</v>
      </c>
      <c r="E27" s="18" t="n">
        <v>41.75891653</v>
      </c>
      <c r="F27" s="20" t="n">
        <v>1.81759268</v>
      </c>
      <c r="G27" s="18" t="n">
        <v>29.26091033</v>
      </c>
      <c r="H27" s="20" t="n">
        <v>1.85497134</v>
      </c>
      <c r="I27" s="18" t="s">
        <v>567</v>
      </c>
      <c r="J27" s="20" t="s">
        <v>567</v>
      </c>
      <c r="K27" s="18" t="n">
        <v>1.0758173</v>
      </c>
      <c r="L27" s="20" t="n">
        <v>0.44277486</v>
      </c>
      <c r="M27" s="18" t="n">
        <v>0</v>
      </c>
      <c r="N27" s="20" t="n">
        <v>0</v>
      </c>
      <c r="O27" s="18" t="n">
        <v>0</v>
      </c>
      <c r="P27" s="20" t="n">
        <v>0</v>
      </c>
      <c r="Q27" s="18" t="n">
        <v>27.90435584</v>
      </c>
      <c r="R27" s="20" t="n">
        <v>1.60836865</v>
      </c>
    </row>
    <row r="28" spans="1:18">
      <c r="A28" s="15" t="s">
        <v>588</v>
      </c>
      <c r="B28" s="17" t="n">
        <v>3765</v>
      </c>
      <c r="C28" s="18">
        <f>(3028.0/B28*100)</f>
        <v/>
      </c>
      <c r="D28" s="19" t="n">
        <v>737</v>
      </c>
      <c r="E28" s="18" t="n">
        <v>75.30870419999999</v>
      </c>
      <c r="F28" s="20" t="n">
        <v>1.76785223</v>
      </c>
      <c r="G28" s="18" t="n">
        <v>15.99143847</v>
      </c>
      <c r="H28" s="20" t="n">
        <v>1.49581657</v>
      </c>
      <c r="I28" s="18" t="s">
        <v>567</v>
      </c>
      <c r="J28" s="20" t="s">
        <v>567</v>
      </c>
      <c r="K28" s="18" t="n">
        <v>1.23334084</v>
      </c>
      <c r="L28" s="20" t="n">
        <v>0.4859926</v>
      </c>
      <c r="M28" s="18" t="n">
        <v>0.2125779</v>
      </c>
      <c r="N28" s="20" t="n">
        <v>0.21198862</v>
      </c>
      <c r="O28" s="18" t="n">
        <v>0</v>
      </c>
      <c r="P28" s="20" t="n">
        <v>0</v>
      </c>
      <c r="Q28" s="18" t="n">
        <v>7.25393859</v>
      </c>
      <c r="R28" s="20" t="n">
        <v>1.26762868</v>
      </c>
    </row>
    <row r="29" spans="1:18">
      <c r="A29" s="15" t="s">
        <v>589</v>
      </c>
      <c r="B29" s="17" t="n">
        <v>2685</v>
      </c>
      <c r="C29" s="18">
        <f>(2097.0/B29*100)</f>
        <v/>
      </c>
      <c r="D29" s="19" t="n">
        <v>588</v>
      </c>
      <c r="E29" s="18" t="n">
        <v>46.76986906</v>
      </c>
      <c r="F29" s="20" t="n">
        <v>2.20130269</v>
      </c>
      <c r="G29" s="18" t="n">
        <v>45.24128975</v>
      </c>
      <c r="H29" s="20" t="n">
        <v>2.14141998</v>
      </c>
      <c r="I29" s="18" t="s">
        <v>567</v>
      </c>
      <c r="J29" s="20" t="s">
        <v>567</v>
      </c>
      <c r="K29" s="18" t="n">
        <v>0.44541849</v>
      </c>
      <c r="L29" s="20" t="n">
        <v>0.28506678</v>
      </c>
      <c r="M29" s="18" t="n">
        <v>0</v>
      </c>
      <c r="N29" s="20" t="n">
        <v>0</v>
      </c>
      <c r="O29" s="18" t="n">
        <v>0</v>
      </c>
      <c r="P29" s="20" t="n">
        <v>0</v>
      </c>
      <c r="Q29" s="18" t="n">
        <v>7.5434227</v>
      </c>
      <c r="R29" s="20" t="n">
        <v>1.06211182</v>
      </c>
    </row>
    <row r="30" spans="1:18">
      <c r="A30" s="15" t="s">
        <v>590</v>
      </c>
      <c r="B30" s="17" t="n">
        <v>2263</v>
      </c>
      <c r="C30" s="18">
        <f>(1790.0/B30*100)</f>
        <v/>
      </c>
      <c r="D30" s="19" t="n">
        <v>473</v>
      </c>
      <c r="E30" s="18" t="n">
        <v>40.1595692</v>
      </c>
      <c r="F30" s="20" t="n">
        <v>2.56047465</v>
      </c>
      <c r="G30" s="18" t="n">
        <v>39.58584303</v>
      </c>
      <c r="H30" s="20" t="n">
        <v>2.3798274</v>
      </c>
      <c r="I30" s="18" t="s">
        <v>567</v>
      </c>
      <c r="J30" s="20" t="s">
        <v>567</v>
      </c>
      <c r="K30" s="18" t="n">
        <v>1.6746444</v>
      </c>
      <c r="L30" s="20" t="n">
        <v>0.6406441899999999</v>
      </c>
      <c r="M30" s="18" t="n">
        <v>0.15648183</v>
      </c>
      <c r="N30" s="20" t="n">
        <v>0.15855977</v>
      </c>
      <c r="O30" s="18" t="n">
        <v>0</v>
      </c>
      <c r="P30" s="20" t="n">
        <v>0</v>
      </c>
      <c r="Q30" s="18" t="n">
        <v>18.42346153</v>
      </c>
      <c r="R30" s="20" t="n">
        <v>2.21318707</v>
      </c>
    </row>
    <row r="31" spans="1:18">
      <c r="A31" s="15" t="s">
        <v>591</v>
      </c>
      <c r="B31" s="17" t="n">
        <v>2750</v>
      </c>
      <c r="C31" s="18">
        <f>(2144.0/B31*100)</f>
        <v/>
      </c>
      <c r="D31" s="19" t="n">
        <v>606</v>
      </c>
      <c r="E31" s="18" t="n">
        <v>38.21628637</v>
      </c>
      <c r="F31" s="20" t="n">
        <v>2.01369941</v>
      </c>
      <c r="G31" s="18" t="n">
        <v>41.74730027</v>
      </c>
      <c r="H31" s="20" t="n">
        <v>2.13702085</v>
      </c>
      <c r="I31" s="18" t="s">
        <v>567</v>
      </c>
      <c r="J31" s="20" t="s">
        <v>567</v>
      </c>
      <c r="K31" s="18" t="n">
        <v>1.95080408</v>
      </c>
      <c r="L31" s="20" t="n">
        <v>0.57282289</v>
      </c>
      <c r="M31" s="18" t="n">
        <v>0</v>
      </c>
      <c r="N31" s="20" t="n">
        <v>0</v>
      </c>
      <c r="O31" s="18" t="n">
        <v>0</v>
      </c>
      <c r="P31" s="20" t="n">
        <v>0</v>
      </c>
      <c r="Q31" s="18" t="n">
        <v>18.08560928</v>
      </c>
      <c r="R31" s="20" t="n">
        <v>1.65005488</v>
      </c>
    </row>
    <row r="32" spans="1:18">
      <c r="A32" s="15" t="s">
        <v>592</v>
      </c>
      <c r="B32" s="17" t="n">
        <v>2269</v>
      </c>
      <c r="C32" s="18">
        <f>(1742.0/B32*100)</f>
        <v/>
      </c>
      <c r="D32" s="19" t="n">
        <v>527</v>
      </c>
      <c r="E32" s="18" t="n">
        <v>42.57985444</v>
      </c>
      <c r="F32" s="20" t="n">
        <v>2.19331218</v>
      </c>
      <c r="G32" s="18" t="n">
        <v>35.88219753</v>
      </c>
      <c r="H32" s="20" t="n">
        <v>1.88538408</v>
      </c>
      <c r="I32" s="18" t="s">
        <v>567</v>
      </c>
      <c r="J32" s="20" t="s">
        <v>567</v>
      </c>
      <c r="K32" s="18" t="n">
        <v>0.49162628</v>
      </c>
      <c r="L32" s="20" t="n">
        <v>0.28613029</v>
      </c>
      <c r="M32" s="18" t="n">
        <v>0</v>
      </c>
      <c r="N32" s="20" t="n">
        <v>0</v>
      </c>
      <c r="O32" s="18" t="n">
        <v>0</v>
      </c>
      <c r="P32" s="20" t="n">
        <v>0</v>
      </c>
      <c r="Q32" s="18" t="n">
        <v>21.04632175</v>
      </c>
      <c r="R32" s="20" t="n">
        <v>1.83093695</v>
      </c>
    </row>
    <row r="33" spans="1:18">
      <c r="A33" s="15" t="s">
        <v>593</v>
      </c>
      <c r="B33" s="17" t="n">
        <v>3674</v>
      </c>
      <c r="C33" s="18">
        <f>(2920.0/B33*100)</f>
        <v/>
      </c>
      <c r="D33" s="19" t="n">
        <v>754</v>
      </c>
      <c r="E33" s="18" t="n">
        <v>42.08572305</v>
      </c>
      <c r="F33" s="20" t="n">
        <v>1.84361694</v>
      </c>
      <c r="G33" s="18" t="n">
        <v>35.22194827</v>
      </c>
      <c r="H33" s="20" t="n">
        <v>2.17092512</v>
      </c>
      <c r="I33" s="18" t="s">
        <v>567</v>
      </c>
      <c r="J33" s="20" t="s">
        <v>567</v>
      </c>
      <c r="K33" s="18" t="n">
        <v>0.96169595</v>
      </c>
      <c r="L33" s="20" t="n">
        <v>0.54346851</v>
      </c>
      <c r="M33" s="18" t="n">
        <v>0.1699797</v>
      </c>
      <c r="N33" s="20" t="n">
        <v>0.17015115</v>
      </c>
      <c r="O33" s="18" t="n">
        <v>0</v>
      </c>
      <c r="P33" s="20" t="n">
        <v>0</v>
      </c>
      <c r="Q33" s="18" t="n">
        <v>21.56065303</v>
      </c>
      <c r="R33" s="20" t="n">
        <v>1.71473255</v>
      </c>
    </row>
    <row r="34" spans="1:18">
      <c r="A34" s="15" t="s">
        <v>594</v>
      </c>
      <c r="B34" s="17" t="n">
        <v>3315</v>
      </c>
      <c r="C34" s="18">
        <f>(2600.0/B34*100)</f>
        <v/>
      </c>
      <c r="D34" s="19" t="n">
        <v>715</v>
      </c>
      <c r="E34" s="18" t="n">
        <v>53.83444595</v>
      </c>
      <c r="F34" s="20" t="n">
        <v>1.83159202</v>
      </c>
      <c r="G34" s="18" t="n">
        <v>17.13952529</v>
      </c>
      <c r="H34" s="20" t="n">
        <v>1.39774563</v>
      </c>
      <c r="I34" s="18" t="s">
        <v>567</v>
      </c>
      <c r="J34" s="20" t="s">
        <v>567</v>
      </c>
      <c r="K34" s="18" t="n">
        <v>0.58247396</v>
      </c>
      <c r="L34" s="20" t="n">
        <v>0.35738121</v>
      </c>
      <c r="M34" s="18" t="n">
        <v>0.65016749</v>
      </c>
      <c r="N34" s="20" t="n">
        <v>0.36615238</v>
      </c>
      <c r="O34" s="18" t="n">
        <v>0</v>
      </c>
      <c r="P34" s="20" t="n">
        <v>0</v>
      </c>
      <c r="Q34" s="18" t="n">
        <v>27.79338732</v>
      </c>
      <c r="R34" s="20" t="n">
        <v>1.66724537</v>
      </c>
    </row>
    <row r="35" spans="1:18">
      <c r="A35" s="15" t="s">
        <v>595</v>
      </c>
      <c r="B35" s="17" t="n">
        <v>3505</v>
      </c>
      <c r="C35" s="18">
        <f>(2763.0/B35*100)</f>
        <v/>
      </c>
      <c r="D35" s="19" t="n">
        <v>742</v>
      </c>
      <c r="E35" s="18" t="n">
        <v>45.03147368</v>
      </c>
      <c r="F35" s="20" t="n">
        <v>2.37119009</v>
      </c>
      <c r="G35" s="18" t="n">
        <v>35.40826993</v>
      </c>
      <c r="H35" s="20" t="n">
        <v>2.23207016</v>
      </c>
      <c r="I35" s="18" t="s">
        <v>567</v>
      </c>
      <c r="J35" s="20" t="s">
        <v>567</v>
      </c>
      <c r="K35" s="18" t="n">
        <v>1.66206743</v>
      </c>
      <c r="L35" s="20" t="n">
        <v>0.82845829</v>
      </c>
      <c r="M35" s="18" t="n">
        <v>0.47150511</v>
      </c>
      <c r="N35" s="20" t="n">
        <v>0.31914905</v>
      </c>
      <c r="O35" s="18" t="n">
        <v>0</v>
      </c>
      <c r="P35" s="20" t="n">
        <v>0</v>
      </c>
      <c r="Q35" s="18" t="n">
        <v>17.42668386</v>
      </c>
      <c r="R35" s="20" t="n">
        <v>1.93834371</v>
      </c>
    </row>
    <row r="36" spans="1:18">
      <c r="A36" s="15" t="s">
        <v>596</v>
      </c>
      <c r="B36" s="17" t="n">
        <v>3332</v>
      </c>
      <c r="C36" s="18">
        <f>(2637.0/B36*100)</f>
        <v/>
      </c>
      <c r="D36" s="19" t="n">
        <v>695</v>
      </c>
      <c r="E36" s="18" t="n">
        <v>46.25117426</v>
      </c>
      <c r="F36" s="20" t="n">
        <v>1.86287507</v>
      </c>
      <c r="G36" s="18" t="n">
        <v>33.23838541</v>
      </c>
      <c r="H36" s="20" t="n">
        <v>1.78472024</v>
      </c>
      <c r="I36" s="18" t="s">
        <v>567</v>
      </c>
      <c r="J36" s="20" t="s">
        <v>567</v>
      </c>
      <c r="K36" s="18" t="n">
        <v>1.15656799</v>
      </c>
      <c r="L36" s="20" t="n">
        <v>0.41448039</v>
      </c>
      <c r="M36" s="18" t="n">
        <v>0.30677331</v>
      </c>
      <c r="N36" s="20" t="n">
        <v>0.2326086</v>
      </c>
      <c r="O36" s="18" t="n">
        <v>0</v>
      </c>
      <c r="P36" s="20" t="n">
        <v>0</v>
      </c>
      <c r="Q36" s="18" t="n">
        <v>19.04709903</v>
      </c>
      <c r="R36" s="20" t="n">
        <v>1.6057873</v>
      </c>
    </row>
    <row r="37" spans="1:18">
      <c r="A37" s="15" t="s">
        <v>597</v>
      </c>
      <c r="B37" s="17" t="n">
        <v>2727</v>
      </c>
      <c r="C37" s="18">
        <f>(2147.0/B37*100)</f>
        <v/>
      </c>
      <c r="D37" s="19" t="n">
        <v>580</v>
      </c>
      <c r="E37" s="18" t="n">
        <v>42.02820358</v>
      </c>
      <c r="F37" s="20" t="n">
        <v>2.01757107</v>
      </c>
      <c r="G37" s="18" t="n">
        <v>28.65834476</v>
      </c>
      <c r="H37" s="20" t="n">
        <v>1.86981024</v>
      </c>
      <c r="I37" s="18" t="s">
        <v>567</v>
      </c>
      <c r="J37" s="20" t="s">
        <v>567</v>
      </c>
      <c r="K37" s="18" t="n">
        <v>2.02257013</v>
      </c>
      <c r="L37" s="20" t="n">
        <v>0.66578288</v>
      </c>
      <c r="M37" s="18" t="n">
        <v>0</v>
      </c>
      <c r="N37" s="20" t="n">
        <v>0</v>
      </c>
      <c r="O37" s="18" t="n">
        <v>0</v>
      </c>
      <c r="P37" s="20" t="n">
        <v>0</v>
      </c>
      <c r="Q37" s="18" t="n">
        <v>27.29088153</v>
      </c>
      <c r="R37" s="20" t="n">
        <v>2.11023385</v>
      </c>
    </row>
    <row r="38" spans="1:18">
      <c r="A38" s="15" t="s">
        <v>598</v>
      </c>
      <c r="B38" s="17" t="n">
        <v>3053</v>
      </c>
      <c r="C38" s="18">
        <f>(2401.0/B38*100)</f>
        <v/>
      </c>
      <c r="D38" s="19" t="n">
        <v>652</v>
      </c>
      <c r="E38" s="18" t="n">
        <v>41.55929058</v>
      </c>
      <c r="F38" s="20" t="n">
        <v>2.50880752</v>
      </c>
      <c r="G38" s="18" t="n">
        <v>36.86215665</v>
      </c>
      <c r="H38" s="20" t="n">
        <v>2.47144179</v>
      </c>
      <c r="I38" s="18" t="s">
        <v>567</v>
      </c>
      <c r="J38" s="20" t="s">
        <v>567</v>
      </c>
      <c r="K38" s="18" t="n">
        <v>1.1654316</v>
      </c>
      <c r="L38" s="20" t="n">
        <v>0.45740647</v>
      </c>
      <c r="M38" s="18" t="n">
        <v>2.38109669</v>
      </c>
      <c r="N38" s="20" t="n">
        <v>0.73687365</v>
      </c>
      <c r="O38" s="18" t="n">
        <v>0</v>
      </c>
      <c r="P38" s="20" t="n">
        <v>0</v>
      </c>
      <c r="Q38" s="18" t="n">
        <v>18.03202448</v>
      </c>
      <c r="R38" s="20" t="n">
        <v>1.82612971</v>
      </c>
    </row>
    <row r="39" spans="1:18">
      <c r="A39" s="15" t="s">
        <v>599</v>
      </c>
      <c r="B39" s="17" t="n">
        <v>2957</v>
      </c>
      <c r="C39" s="18">
        <f>(2297.0/B39*100)</f>
        <v/>
      </c>
      <c r="D39" s="19" t="n">
        <v>660</v>
      </c>
      <c r="E39" s="18" t="n">
        <v>63.35124729</v>
      </c>
      <c r="F39" s="20" t="n">
        <v>2.08373123</v>
      </c>
      <c r="G39" s="18" t="n">
        <v>11.1067705</v>
      </c>
      <c r="H39" s="20" t="n">
        <v>1.45405973</v>
      </c>
      <c r="I39" s="18" t="s">
        <v>567</v>
      </c>
      <c r="J39" s="20" t="s">
        <v>567</v>
      </c>
      <c r="K39" s="18" t="n">
        <v>0.29507107</v>
      </c>
      <c r="L39" s="20" t="n">
        <v>0.19127265</v>
      </c>
      <c r="M39" s="18" t="n">
        <v>0</v>
      </c>
      <c r="N39" s="20" t="n">
        <v>0</v>
      </c>
      <c r="O39" s="18" t="n">
        <v>0</v>
      </c>
      <c r="P39" s="20" t="n">
        <v>0</v>
      </c>
      <c r="Q39" s="18" t="n">
        <v>25.24691113</v>
      </c>
      <c r="R39" s="20" t="n">
        <v>1.97839999</v>
      </c>
    </row>
    <row r="40" spans="1:18">
      <c r="A40" s="15" t="s">
        <v>600</v>
      </c>
      <c r="B40" s="17" t="n">
        <v>7235</v>
      </c>
      <c r="C40" s="18">
        <f>(5665.0/B40*100)</f>
        <v/>
      </c>
      <c r="D40" s="19" t="n">
        <v>1570</v>
      </c>
      <c r="E40" s="18" t="n">
        <v>42.21426401</v>
      </c>
      <c r="F40" s="20" t="n">
        <v>1.91357339</v>
      </c>
      <c r="G40" s="18" t="n">
        <v>34.01361964</v>
      </c>
      <c r="H40" s="20" t="n">
        <v>1.91977029</v>
      </c>
      <c r="I40" s="18" t="s">
        <v>567</v>
      </c>
      <c r="J40" s="20" t="s">
        <v>567</v>
      </c>
      <c r="K40" s="18" t="n">
        <v>0.82291535</v>
      </c>
      <c r="L40" s="20" t="n">
        <v>0.35409369</v>
      </c>
      <c r="M40" s="18" t="n">
        <v>0</v>
      </c>
      <c r="N40" s="20" t="n">
        <v>0</v>
      </c>
      <c r="O40" s="18" t="n">
        <v>0</v>
      </c>
      <c r="P40" s="20" t="n">
        <v>0</v>
      </c>
      <c r="Q40" s="18" t="n">
        <v>22.949201</v>
      </c>
      <c r="R40" s="20" t="n">
        <v>1.89407569</v>
      </c>
    </row>
    <row r="41" spans="1:18">
      <c r="A41" s="15" t="s">
        <v>601</v>
      </c>
      <c r="B41" s="17" t="n">
        <v>2858</v>
      </c>
      <c r="C41" s="18">
        <f>(2273.0/B41*100)</f>
        <v/>
      </c>
      <c r="D41" s="19" t="n">
        <v>585</v>
      </c>
      <c r="E41" s="18" t="n">
        <v>59.8739326</v>
      </c>
      <c r="F41" s="20" t="n">
        <v>2.00112415</v>
      </c>
      <c r="G41" s="18" t="n">
        <v>30.68682227</v>
      </c>
      <c r="H41" s="20" t="n">
        <v>1.97959579</v>
      </c>
      <c r="I41" s="18" t="s">
        <v>567</v>
      </c>
      <c r="J41" s="20" t="s">
        <v>567</v>
      </c>
      <c r="K41" s="18" t="n">
        <v>0.52546536</v>
      </c>
      <c r="L41" s="20" t="n">
        <v>0.25701972</v>
      </c>
      <c r="M41" s="18" t="n">
        <v>0</v>
      </c>
      <c r="N41" s="20" t="n">
        <v>0</v>
      </c>
      <c r="O41" s="18" t="n">
        <v>0</v>
      </c>
      <c r="P41" s="20" t="n">
        <v>0</v>
      </c>
      <c r="Q41" s="18" t="n">
        <v>8.91377977</v>
      </c>
      <c r="R41" s="20" t="n">
        <v>1.1163998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(9321.0/B46*100)</f>
        <v/>
      </c>
      <c r="D46" s="19" t="n">
        <v>1747</v>
      </c>
      <c r="E46" s="18" t="n">
        <v>45.41835732</v>
      </c>
      <c r="F46" s="20" t="n">
        <v>1.62307742</v>
      </c>
      <c r="G46" s="18" t="n">
        <v>24.04681422</v>
      </c>
      <c r="H46" s="20" t="n">
        <v>1.24456785</v>
      </c>
      <c r="I46" s="18" t="s">
        <v>567</v>
      </c>
      <c r="J46" s="20" t="s">
        <v>567</v>
      </c>
      <c r="K46" s="18" t="n">
        <v>3.85164934</v>
      </c>
      <c r="L46" s="20" t="n">
        <v>0.7800869499999999</v>
      </c>
      <c r="M46" s="18" t="n">
        <v>0.71203646</v>
      </c>
      <c r="N46" s="20" t="n">
        <v>0.3185383</v>
      </c>
      <c r="O46" s="18" t="n">
        <v>0</v>
      </c>
      <c r="P46" s="20" t="n">
        <v>0</v>
      </c>
      <c r="Q46" s="18" t="n">
        <v>25.97114266</v>
      </c>
      <c r="R46" s="20" t="n">
        <v>1.59189608</v>
      </c>
    </row>
    <row r="47" spans="1:18">
      <c r="A47" s="15" t="s">
        <v>607</v>
      </c>
      <c r="B47" s="17" t="n">
        <v>3105</v>
      </c>
      <c r="C47" s="18">
        <f>(2423.0/B47*100)</f>
        <v/>
      </c>
      <c r="D47" s="19" t="n">
        <v>682</v>
      </c>
      <c r="E47" s="18" t="n">
        <v>38.64060472</v>
      </c>
      <c r="F47" s="20" t="n">
        <v>2.27298308</v>
      </c>
      <c r="G47" s="18" t="n">
        <v>21.28257325</v>
      </c>
      <c r="H47" s="20" t="n">
        <v>2.39045168</v>
      </c>
      <c r="I47" s="18" t="s">
        <v>567</v>
      </c>
      <c r="J47" s="20" t="s">
        <v>567</v>
      </c>
      <c r="K47" s="18" t="n">
        <v>1.23137659</v>
      </c>
      <c r="L47" s="20" t="n">
        <v>0.44910215</v>
      </c>
      <c r="M47" s="18" t="n">
        <v>0.14861616</v>
      </c>
      <c r="N47" s="20" t="n">
        <v>0.14093001</v>
      </c>
      <c r="O47" s="18" t="n">
        <v>0</v>
      </c>
      <c r="P47" s="20" t="n">
        <v>0</v>
      </c>
      <c r="Q47" s="18" t="n">
        <v>38.69682928</v>
      </c>
      <c r="R47" s="20" t="n">
        <v>2.38762273</v>
      </c>
    </row>
    <row r="48" spans="1:18">
      <c r="A48" s="15" t="s">
        <v>608</v>
      </c>
      <c r="B48" s="17" t="n">
        <v>5159</v>
      </c>
      <c r="C48" s="18">
        <f>(3983.0/B48*100)</f>
        <v/>
      </c>
      <c r="D48" s="19" t="n">
        <v>1176</v>
      </c>
      <c r="E48" s="18" t="n">
        <v>49.90132036</v>
      </c>
      <c r="F48" s="20" t="n">
        <v>2.11944632</v>
      </c>
      <c r="G48" s="18" t="n">
        <v>34.74592132</v>
      </c>
      <c r="H48" s="20" t="n">
        <v>2.06820349</v>
      </c>
      <c r="I48" s="18" t="s">
        <v>567</v>
      </c>
      <c r="J48" s="20" t="s">
        <v>567</v>
      </c>
      <c r="K48" s="18" t="n">
        <v>0.6964823</v>
      </c>
      <c r="L48" s="20" t="n">
        <v>0.30360391</v>
      </c>
      <c r="M48" s="18" t="n">
        <v>0</v>
      </c>
      <c r="N48" s="20" t="n">
        <v>0</v>
      </c>
      <c r="O48" s="18" t="n">
        <v>0</v>
      </c>
      <c r="P48" s="20" t="n">
        <v>0</v>
      </c>
      <c r="Q48" s="18" t="n">
        <v>14.65627603</v>
      </c>
      <c r="R48" s="20" t="n">
        <v>1.75597812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(4483.0/B50*100)</f>
        <v/>
      </c>
      <c r="D50" s="19" t="n">
        <v>1154</v>
      </c>
      <c r="E50" s="18" t="n">
        <v>63.67084632</v>
      </c>
      <c r="F50" s="20" t="n">
        <v>1.95146304</v>
      </c>
      <c r="G50" s="18" t="n">
        <v>19.09407201</v>
      </c>
      <c r="H50" s="20" t="n">
        <v>1.77557356</v>
      </c>
      <c r="I50" s="18" t="s">
        <v>567</v>
      </c>
      <c r="J50" s="20" t="s">
        <v>567</v>
      </c>
      <c r="K50" s="18" t="n">
        <v>1.80073489</v>
      </c>
      <c r="L50" s="20" t="n">
        <v>0.49126761</v>
      </c>
      <c r="M50" s="18" t="n">
        <v>0.20339106</v>
      </c>
      <c r="N50" s="20" t="n">
        <v>0.24791377</v>
      </c>
      <c r="O50" s="18" t="n">
        <v>0</v>
      </c>
      <c r="P50" s="20" t="n">
        <v>0</v>
      </c>
      <c r="Q50" s="18" t="n">
        <v>15.23095572</v>
      </c>
      <c r="R50" s="20" t="n">
        <v>1.65980198</v>
      </c>
    </row>
    <row r="51" spans="1:18">
      <c r="A51" s="15" t="s">
        <v>611</v>
      </c>
      <c r="B51" s="17" t="n">
        <v>3372</v>
      </c>
      <c r="C51" s="18">
        <f>(2769.0/B51*100)</f>
        <v/>
      </c>
      <c r="D51" s="19" t="n">
        <v>603</v>
      </c>
      <c r="E51" s="18" t="n">
        <v>65.31814479000001</v>
      </c>
      <c r="F51" s="20" t="n">
        <v>2.12018269</v>
      </c>
      <c r="G51" s="18" t="n">
        <v>17.78166745</v>
      </c>
      <c r="H51" s="20" t="n">
        <v>1.52231973</v>
      </c>
      <c r="I51" s="18" t="s">
        <v>567</v>
      </c>
      <c r="J51" s="20" t="s">
        <v>567</v>
      </c>
      <c r="K51" s="18" t="n">
        <v>0.72374399</v>
      </c>
      <c r="L51" s="20" t="n">
        <v>0.3570377</v>
      </c>
      <c r="M51" s="18" t="n">
        <v>0</v>
      </c>
      <c r="N51" s="20" t="n">
        <v>0</v>
      </c>
      <c r="O51" s="18" t="n">
        <v>0</v>
      </c>
      <c r="P51" s="20" t="n">
        <v>0</v>
      </c>
      <c r="Q51" s="18" t="n">
        <v>16.17644377</v>
      </c>
      <c r="R51" s="20" t="n">
        <v>1.84719735</v>
      </c>
    </row>
    <row r="52" spans="1:18">
      <c r="A52" s="15" t="s">
        <v>612</v>
      </c>
      <c r="B52" s="17" t="n">
        <v>2796</v>
      </c>
      <c r="C52" s="18">
        <f>(2212.0/B52*100)</f>
        <v/>
      </c>
      <c r="D52" s="19" t="n">
        <v>584</v>
      </c>
      <c r="E52" s="18" t="n">
        <v>43.82111345</v>
      </c>
      <c r="F52" s="20" t="n">
        <v>1.87409981</v>
      </c>
      <c r="G52" s="18" t="n">
        <v>27.91964826</v>
      </c>
      <c r="H52" s="20" t="n">
        <v>1.56096823</v>
      </c>
      <c r="I52" s="18" t="s">
        <v>567</v>
      </c>
      <c r="J52" s="20" t="s">
        <v>567</v>
      </c>
      <c r="K52" s="18" t="n">
        <v>0.55734373</v>
      </c>
      <c r="L52" s="20" t="n">
        <v>0.34169428</v>
      </c>
      <c r="M52" s="18" t="n">
        <v>0</v>
      </c>
      <c r="N52" s="20" t="n">
        <v>0</v>
      </c>
      <c r="O52" s="18" t="n">
        <v>0</v>
      </c>
      <c r="P52" s="20" t="n">
        <v>0</v>
      </c>
      <c r="Q52" s="18" t="n">
        <v>27.70189457</v>
      </c>
      <c r="R52" s="20" t="n">
        <v>2.24310084</v>
      </c>
    </row>
    <row r="53" spans="1:18">
      <c r="A53" s="15" t="s">
        <v>613</v>
      </c>
      <c r="B53" s="17" t="n">
        <v>2811</v>
      </c>
      <c r="C53" s="18">
        <f>(2212.0/B53*100)</f>
        <v/>
      </c>
      <c r="D53" s="19" t="n">
        <v>599</v>
      </c>
      <c r="E53" s="18" t="n">
        <v>45.13220297</v>
      </c>
      <c r="F53" s="20" t="n">
        <v>2.16820448</v>
      </c>
      <c r="G53" s="18" t="n">
        <v>19.07360564</v>
      </c>
      <c r="H53" s="20" t="n">
        <v>1.87608174</v>
      </c>
      <c r="I53" s="18" t="s">
        <v>567</v>
      </c>
      <c r="J53" s="20" t="s">
        <v>567</v>
      </c>
      <c r="K53" s="18" t="n">
        <v>1.00394976</v>
      </c>
      <c r="L53" s="20" t="n">
        <v>0.39058453</v>
      </c>
      <c r="M53" s="18" t="n">
        <v>0</v>
      </c>
      <c r="N53" s="20" t="n">
        <v>0</v>
      </c>
      <c r="O53" s="18" t="n">
        <v>0</v>
      </c>
      <c r="P53" s="20" t="n">
        <v>0</v>
      </c>
      <c r="Q53" s="18" t="n">
        <v>34.79024163</v>
      </c>
      <c r="R53" s="20" t="n">
        <v>1.95587898</v>
      </c>
    </row>
    <row r="54" spans="1:18">
      <c r="A54" s="15" t="s">
        <v>614</v>
      </c>
      <c r="B54" s="17" t="n">
        <v>2266</v>
      </c>
      <c r="C54" s="18">
        <f>(1776.0/B54*100)</f>
        <v/>
      </c>
      <c r="D54" s="19" t="n">
        <v>490</v>
      </c>
      <c r="E54" s="18" t="n">
        <v>48.86176459</v>
      </c>
      <c r="F54" s="20" t="n">
        <v>2.42717575</v>
      </c>
      <c r="G54" s="18" t="n">
        <v>1.92521322</v>
      </c>
      <c r="H54" s="20" t="n">
        <v>0.65960482</v>
      </c>
      <c r="I54" s="18" t="s">
        <v>567</v>
      </c>
      <c r="J54" s="20" t="s">
        <v>567</v>
      </c>
      <c r="K54" s="18" t="n">
        <v>21.8142986</v>
      </c>
      <c r="L54" s="20" t="n">
        <v>2.26112717</v>
      </c>
      <c r="M54" s="18" t="n">
        <v>0.61651188</v>
      </c>
      <c r="N54" s="20" t="n">
        <v>0.49422652</v>
      </c>
      <c r="O54" s="18" t="n">
        <v>0</v>
      </c>
      <c r="P54" s="20" t="n">
        <v>0</v>
      </c>
      <c r="Q54" s="18" t="n">
        <v>26.78221171</v>
      </c>
      <c r="R54" s="20" t="n">
        <v>3.02146739</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(2107.0/B56*100)</f>
        <v/>
      </c>
      <c r="D56" s="19" t="n">
        <v>577</v>
      </c>
      <c r="E56" s="18" t="n">
        <v>49.09728055</v>
      </c>
      <c r="F56" s="20" t="n">
        <v>2.39041711</v>
      </c>
      <c r="G56" s="18" t="n">
        <v>39.63111708</v>
      </c>
      <c r="H56" s="20" t="n">
        <v>2.41601568</v>
      </c>
      <c r="I56" s="18" t="s">
        <v>567</v>
      </c>
      <c r="J56" s="20" t="s">
        <v>567</v>
      </c>
      <c r="K56" s="18" t="n">
        <v>0.37401514</v>
      </c>
      <c r="L56" s="20" t="n">
        <v>0.29110556</v>
      </c>
      <c r="M56" s="18" t="n">
        <v>0</v>
      </c>
      <c r="N56" s="20" t="n">
        <v>0</v>
      </c>
      <c r="O56" s="18" t="n">
        <v>0</v>
      </c>
      <c r="P56" s="20" t="n">
        <v>0</v>
      </c>
      <c r="Q56" s="18" t="n">
        <v>10.89758724</v>
      </c>
      <c r="R56" s="20" t="n">
        <v>1.41069052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(2565.0/B61*100)</f>
        <v/>
      </c>
      <c r="D61" s="19" t="n">
        <v>759</v>
      </c>
      <c r="E61" s="18" t="n">
        <v>47.06462662</v>
      </c>
      <c r="F61" s="20" t="n">
        <v>2.11263965</v>
      </c>
      <c r="G61" s="18" t="n">
        <v>30.42825304</v>
      </c>
      <c r="H61" s="20" t="n">
        <v>1.94199713</v>
      </c>
      <c r="I61" s="18" t="s">
        <v>567</v>
      </c>
      <c r="J61" s="20" t="s">
        <v>567</v>
      </c>
      <c r="K61" s="18" t="n">
        <v>0.93637814</v>
      </c>
      <c r="L61" s="20" t="n">
        <v>0.48679746</v>
      </c>
      <c r="M61" s="18" t="n">
        <v>0</v>
      </c>
      <c r="N61" s="20" t="n">
        <v>0</v>
      </c>
      <c r="O61" s="18" t="n">
        <v>0</v>
      </c>
      <c r="P61" s="20" t="n">
        <v>0</v>
      </c>
      <c r="Q61" s="18" t="n">
        <v>21.5707422</v>
      </c>
      <c r="R61" s="20" t="n">
        <v>1.65725554</v>
      </c>
    </row>
    <row r="62" spans="1:18">
      <c r="A62" s="15" t="s">
        <v>622</v>
      </c>
      <c r="B62" s="17" t="n">
        <v>2246</v>
      </c>
      <c r="C62" s="18">
        <f>(1775.0/B62*100)</f>
        <v/>
      </c>
      <c r="D62" s="19" t="n">
        <v>471</v>
      </c>
      <c r="E62" s="18" t="n">
        <v>68.94883754</v>
      </c>
      <c r="F62" s="20" t="n">
        <v>2.18372757</v>
      </c>
      <c r="G62" s="18" t="n">
        <v>18.71698571</v>
      </c>
      <c r="H62" s="20" t="n">
        <v>2.00662443</v>
      </c>
      <c r="I62" s="18" t="s">
        <v>567</v>
      </c>
      <c r="J62" s="20" t="s">
        <v>567</v>
      </c>
      <c r="K62" s="18" t="n">
        <v>0.2181222</v>
      </c>
      <c r="L62" s="20" t="n">
        <v>0.21830102</v>
      </c>
      <c r="M62" s="18" t="n">
        <v>0.21085202</v>
      </c>
      <c r="N62" s="20" t="n">
        <v>0.20976003</v>
      </c>
      <c r="O62" s="18" t="n">
        <v>0</v>
      </c>
      <c r="P62" s="20" t="n">
        <v>0</v>
      </c>
      <c r="Q62" s="18" t="n">
        <v>11.90520254</v>
      </c>
      <c r="R62" s="20" t="n">
        <v>1.40955624</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(2261.0/B66*100)</f>
        <v/>
      </c>
      <c r="D66" s="19" t="n">
        <v>633</v>
      </c>
      <c r="E66" s="18" t="n">
        <v>20.82935675</v>
      </c>
      <c r="F66" s="20" t="n">
        <v>1.64605662</v>
      </c>
      <c r="G66" s="18" t="n">
        <v>11.83818999</v>
      </c>
      <c r="H66" s="20" t="n">
        <v>1.43414943</v>
      </c>
      <c r="I66" s="18" t="s">
        <v>567</v>
      </c>
      <c r="J66" s="20" t="s">
        <v>567</v>
      </c>
      <c r="K66" s="18" t="n">
        <v>1.31828657</v>
      </c>
      <c r="L66" s="20" t="n">
        <v>0.47409058</v>
      </c>
      <c r="M66" s="18" t="n">
        <v>30.97694957</v>
      </c>
      <c r="N66" s="20" t="n">
        <v>1.88615319</v>
      </c>
      <c r="O66" s="18" t="n">
        <v>0</v>
      </c>
      <c r="P66" s="20" t="n">
        <v>0</v>
      </c>
      <c r="Q66" s="18" t="n">
        <v>35.03721712</v>
      </c>
      <c r="R66" s="20" t="n">
        <v>2.14455801</v>
      </c>
    </row>
    <row r="67" spans="1:18">
      <c r="A67" s="15" t="s">
        <v>627</v>
      </c>
      <c r="B67" s="17" t="n">
        <v>3511</v>
      </c>
      <c r="C67" s="18">
        <f>(2841.0/B67*100)</f>
        <v/>
      </c>
      <c r="D67" s="19" t="n">
        <v>670</v>
      </c>
      <c r="E67" s="18" t="n">
        <v>71.52983266</v>
      </c>
      <c r="F67" s="20" t="n">
        <v>1.86652231</v>
      </c>
      <c r="G67" s="18" t="n">
        <v>7.85517943</v>
      </c>
      <c r="H67" s="20" t="n">
        <v>1.0117041</v>
      </c>
      <c r="I67" s="18" t="s">
        <v>567</v>
      </c>
      <c r="J67" s="20" t="s">
        <v>567</v>
      </c>
      <c r="K67" s="18" t="n">
        <v>0.4180579</v>
      </c>
      <c r="L67" s="20" t="n">
        <v>0.2445289</v>
      </c>
      <c r="M67" s="18" t="n">
        <v>0</v>
      </c>
      <c r="N67" s="20" t="n">
        <v>0</v>
      </c>
      <c r="O67" s="18" t="n">
        <v>0</v>
      </c>
      <c r="P67" s="20" t="n">
        <v>0</v>
      </c>
      <c r="Q67" s="18" t="n">
        <v>20.19693002</v>
      </c>
      <c r="R67" s="20" t="n">
        <v>1.79477974</v>
      </c>
    </row>
    <row r="68" spans="1:18">
      <c r="A68" s="15" t="s">
        <v>628</v>
      </c>
      <c r="B68" s="17" t="n">
        <v>6049</v>
      </c>
      <c r="C68" s="18">
        <f>(4695.0/B68*100)</f>
        <v/>
      </c>
      <c r="D68" s="19" t="n">
        <v>1354</v>
      </c>
      <c r="E68" s="18" t="n">
        <v>52.82606883</v>
      </c>
      <c r="F68" s="20" t="n">
        <v>1.54577964</v>
      </c>
      <c r="G68" s="18" t="n">
        <v>18.70236719</v>
      </c>
      <c r="H68" s="20" t="n">
        <v>1.10604243</v>
      </c>
      <c r="I68" s="18" t="s">
        <v>567</v>
      </c>
      <c r="J68" s="20" t="s">
        <v>567</v>
      </c>
      <c r="K68" s="18" t="n">
        <v>5.78119061</v>
      </c>
      <c r="L68" s="20" t="n">
        <v>0.58875935</v>
      </c>
      <c r="M68" s="18" t="n">
        <v>0</v>
      </c>
      <c r="N68" s="20" t="n">
        <v>0</v>
      </c>
      <c r="O68" s="18" t="n">
        <v>0</v>
      </c>
      <c r="P68" s="20" t="n">
        <v>0</v>
      </c>
      <c r="Q68" s="18" t="n">
        <v>22.69037337</v>
      </c>
      <c r="R68" s="20" t="n">
        <v>1.33425154</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(2311.0/B70*100)</f>
        <v/>
      </c>
      <c r="D70" s="19" t="n">
        <v>618</v>
      </c>
      <c r="E70" s="18" t="n">
        <v>62.63964909</v>
      </c>
      <c r="F70" s="20" t="n">
        <v>1.82408166</v>
      </c>
      <c r="G70" s="18" t="n">
        <v>18.41556889</v>
      </c>
      <c r="H70" s="20" t="n">
        <v>1.48362737</v>
      </c>
      <c r="I70" s="18" t="s">
        <v>567</v>
      </c>
      <c r="J70" s="20" t="s">
        <v>567</v>
      </c>
      <c r="K70" s="18" t="n">
        <v>0.64314498</v>
      </c>
      <c r="L70" s="20" t="n">
        <v>0.32119549</v>
      </c>
      <c r="M70" s="18" t="n">
        <v>0</v>
      </c>
      <c r="N70" s="20" t="n">
        <v>0</v>
      </c>
      <c r="O70" s="18" t="n">
        <v>0</v>
      </c>
      <c r="P70" s="20" t="n">
        <v>0</v>
      </c>
      <c r="Q70" s="18" t="n">
        <v>18.30163704</v>
      </c>
      <c r="R70" s="20" t="n">
        <v>1.92835632</v>
      </c>
    </row>
    <row r="71" spans="1:18">
      <c r="A71" s="15" t="s">
        <v>631</v>
      </c>
      <c r="B71" s="17" t="n">
        <v>3142</v>
      </c>
      <c r="C71" s="18">
        <f>(2443.0/B71*100)</f>
        <v/>
      </c>
      <c r="D71" s="19" t="n">
        <v>699</v>
      </c>
      <c r="E71" s="18" t="n">
        <v>37.84115673</v>
      </c>
      <c r="F71" s="20" t="n">
        <v>1.68017787</v>
      </c>
      <c r="G71" s="18" t="n">
        <v>53.18976175</v>
      </c>
      <c r="H71" s="20" t="n">
        <v>1.85870109</v>
      </c>
      <c r="I71" s="18" t="s">
        <v>567</v>
      </c>
      <c r="J71" s="20" t="s">
        <v>567</v>
      </c>
      <c r="K71" s="18" t="n">
        <v>0.27038373</v>
      </c>
      <c r="L71" s="20" t="n">
        <v>0.16014185</v>
      </c>
      <c r="M71" s="18" t="n">
        <v>0</v>
      </c>
      <c r="N71" s="20" t="n">
        <v>0</v>
      </c>
      <c r="O71" s="18" t="n">
        <v>0</v>
      </c>
      <c r="P71" s="20" t="n">
        <v>0</v>
      </c>
      <c r="Q71" s="18" t="n">
        <v>8.698697790000001</v>
      </c>
      <c r="R71" s="20" t="n">
        <v>1.14041761</v>
      </c>
    </row>
    <row r="72" spans="1:18">
      <c r="A72" s="15" t="s">
        <v>632</v>
      </c>
      <c r="B72" s="17" t="n">
        <v>3889</v>
      </c>
      <c r="C72" s="18">
        <f>(3039.0/B72*100)</f>
        <v/>
      </c>
      <c r="D72" s="19" t="n">
        <v>850</v>
      </c>
      <c r="E72" s="18" t="n">
        <v>46.40152007</v>
      </c>
      <c r="F72" s="20" t="n">
        <v>1.77062577</v>
      </c>
      <c r="G72" s="18" t="n">
        <v>40.79291488</v>
      </c>
      <c r="H72" s="20" t="n">
        <v>1.97723784</v>
      </c>
      <c r="I72" s="18" t="s">
        <v>567</v>
      </c>
      <c r="J72" s="20" t="s">
        <v>567</v>
      </c>
      <c r="K72" s="18" t="n">
        <v>0.29371887</v>
      </c>
      <c r="L72" s="20" t="n">
        <v>0.18782838</v>
      </c>
      <c r="M72" s="18" t="n">
        <v>0</v>
      </c>
      <c r="N72" s="20" t="n">
        <v>0</v>
      </c>
      <c r="O72" s="18" t="n">
        <v>0</v>
      </c>
      <c r="P72" s="20" t="n">
        <v>0</v>
      </c>
      <c r="Q72" s="18" t="n">
        <v>12.51184618</v>
      </c>
      <c r="R72" s="20" t="n">
        <v>1.1828836</v>
      </c>
    </row>
    <row r="73" spans="1:18">
      <c r="A73" s="15" t="s">
        <v>633</v>
      </c>
      <c r="B73" s="17" t="n">
        <v>3597</v>
      </c>
      <c r="C73" s="18">
        <f>(2833.0/B73*100)</f>
        <v/>
      </c>
      <c r="D73" s="19" t="n">
        <v>764</v>
      </c>
      <c r="E73" s="18" t="n">
        <v>87.62085193</v>
      </c>
      <c r="F73" s="20" t="n">
        <v>1.66534999</v>
      </c>
      <c r="G73" s="18" t="n">
        <v>6.33392013</v>
      </c>
      <c r="H73" s="20" t="n">
        <v>1.12267269</v>
      </c>
      <c r="I73" s="18" t="s">
        <v>567</v>
      </c>
      <c r="J73" s="20" t="s">
        <v>567</v>
      </c>
      <c r="K73" s="18" t="n">
        <v>0</v>
      </c>
      <c r="L73" s="20" t="n">
        <v>0</v>
      </c>
      <c r="M73" s="18" t="n">
        <v>0.36432326</v>
      </c>
      <c r="N73" s="20" t="n">
        <v>0.25208233</v>
      </c>
      <c r="O73" s="18" t="n">
        <v>0</v>
      </c>
      <c r="P73" s="20" t="n">
        <v>0</v>
      </c>
      <c r="Q73" s="18" t="n">
        <v>5.68090467</v>
      </c>
      <c r="R73" s="20" t="n">
        <v>1.20454628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(1914.0/B75*100)</f>
        <v/>
      </c>
      <c r="D75" s="19" t="n">
        <v>492</v>
      </c>
      <c r="E75" s="18" t="n">
        <v>41.82299787</v>
      </c>
      <c r="F75" s="20" t="n">
        <v>2.02968699</v>
      </c>
      <c r="G75" s="18" t="n">
        <v>9.11015392</v>
      </c>
      <c r="H75" s="20" t="n">
        <v>1.58032531</v>
      </c>
      <c r="I75" s="18" t="s">
        <v>567</v>
      </c>
      <c r="J75" s="20" t="s">
        <v>567</v>
      </c>
      <c r="K75" s="18" t="n">
        <v>5.42424814</v>
      </c>
      <c r="L75" s="20" t="n">
        <v>1.19154863</v>
      </c>
      <c r="M75" s="18" t="n">
        <v>0.15975486</v>
      </c>
      <c r="N75" s="20" t="n">
        <v>0.15971495</v>
      </c>
      <c r="O75" s="18" t="n">
        <v>0</v>
      </c>
      <c r="P75" s="20" t="n">
        <v>0</v>
      </c>
      <c r="Q75" s="18" t="n">
        <v>43.48284521</v>
      </c>
      <c r="R75" s="20" t="n">
        <v>2.1639766</v>
      </c>
    </row>
    <row r="76" spans="1:18">
      <c r="A76" s="15" t="s">
        <v>636</v>
      </c>
      <c r="B76" s="17" t="n">
        <v>7052</v>
      </c>
      <c r="C76" s="18">
        <f>(5499.0/B76*100)</f>
        <v/>
      </c>
      <c r="D76" s="19" t="n">
        <v>1553</v>
      </c>
      <c r="E76" s="18" t="n">
        <v>69.54742227</v>
      </c>
      <c r="F76" s="20" t="n">
        <v>1.56475055</v>
      </c>
      <c r="G76" s="18" t="n">
        <v>15.23092168</v>
      </c>
      <c r="H76" s="20" t="n">
        <v>1.2876944</v>
      </c>
      <c r="I76" s="18" t="s">
        <v>567</v>
      </c>
      <c r="J76" s="20" t="s">
        <v>567</v>
      </c>
      <c r="K76" s="18" t="n">
        <v>1.79888978</v>
      </c>
      <c r="L76" s="20" t="n">
        <v>0.46530908</v>
      </c>
      <c r="M76" s="18" t="n">
        <v>0.03276355</v>
      </c>
      <c r="N76" s="20" t="n">
        <v>0.03273379</v>
      </c>
      <c r="O76" s="18" t="n">
        <v>0</v>
      </c>
      <c r="P76" s="20" t="n">
        <v>0</v>
      </c>
      <c r="Q76" s="18" t="n">
        <v>13.39000272</v>
      </c>
      <c r="R76" s="20" t="n">
        <v>1.02035957</v>
      </c>
    </row>
    <row r="77" spans="1:18">
      <c r="A77" s="15" t="s">
        <v>637</v>
      </c>
      <c r="B77" s="17" t="n">
        <v>2908</v>
      </c>
      <c r="C77" s="18">
        <f>(2380.0/B77*100)</f>
        <v/>
      </c>
      <c r="D77" s="19" t="n">
        <v>528</v>
      </c>
      <c r="E77" s="18" t="n">
        <v>42.49426093</v>
      </c>
      <c r="F77" s="20" t="n">
        <v>2.25887636</v>
      </c>
      <c r="G77" s="18" t="n">
        <v>24.65422928</v>
      </c>
      <c r="H77" s="20" t="n">
        <v>2.39675163</v>
      </c>
      <c r="I77" s="18" t="s">
        <v>567</v>
      </c>
      <c r="J77" s="20" t="s">
        <v>567</v>
      </c>
      <c r="K77" s="18" t="n">
        <v>3.076673</v>
      </c>
      <c r="L77" s="20" t="n">
        <v>0.7939464899999999</v>
      </c>
      <c r="M77" s="18" t="n">
        <v>0</v>
      </c>
      <c r="N77" s="20" t="n">
        <v>0</v>
      </c>
      <c r="O77" s="18" t="n">
        <v>0</v>
      </c>
      <c r="P77" s="20" t="n">
        <v>0</v>
      </c>
      <c r="Q77" s="18" t="n">
        <v>29.77483679</v>
      </c>
      <c r="R77" s="20" t="n">
        <v>2.25479858</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(3279.0/B81*100)</f>
        <v/>
      </c>
      <c r="D81" s="19" t="n">
        <v>884</v>
      </c>
      <c r="E81" s="18" t="n">
        <v>74.60268768</v>
      </c>
      <c r="F81" s="20" t="n">
        <v>1.50445967</v>
      </c>
      <c r="G81" s="18" t="n">
        <v>16.06874617</v>
      </c>
      <c r="H81" s="20" t="n">
        <v>1.28880506</v>
      </c>
      <c r="I81" s="18" t="s">
        <v>567</v>
      </c>
      <c r="J81" s="20" t="s">
        <v>567</v>
      </c>
      <c r="K81" s="18" t="n">
        <v>0.19324517</v>
      </c>
      <c r="L81" s="20" t="n">
        <v>0.1353749</v>
      </c>
      <c r="M81" s="18" t="n">
        <v>0</v>
      </c>
      <c r="N81" s="20" t="n">
        <v>0</v>
      </c>
      <c r="O81" s="18" t="n">
        <v>0</v>
      </c>
      <c r="P81" s="20" t="n">
        <v>0</v>
      </c>
      <c r="Q81" s="18" t="n">
        <v>9.135320979999999</v>
      </c>
      <c r="R81" s="20" t="n">
        <v>1.14554382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(5783.0/B7*100)</f>
        <v/>
      </c>
      <c r="D7" s="19" t="n">
        <v>1584</v>
      </c>
      <c r="E7" s="18" t="n">
        <v>40.80099515</v>
      </c>
      <c r="F7" s="20" t="n">
        <v>1.51651375</v>
      </c>
      <c r="G7" s="18" t="n">
        <v>55.61821381</v>
      </c>
      <c r="H7" s="20" t="n">
        <v>1.56653643</v>
      </c>
      <c r="I7" s="18" t="s">
        <v>567</v>
      </c>
      <c r="J7" s="20" t="s">
        <v>567</v>
      </c>
      <c r="K7" s="18" t="n">
        <v>1.01680936</v>
      </c>
      <c r="L7" s="20" t="n">
        <v>0.28416934</v>
      </c>
      <c r="M7" s="18" t="n">
        <v>0</v>
      </c>
      <c r="N7" s="20" t="n">
        <v>0</v>
      </c>
      <c r="O7" s="18" t="n">
        <v>0</v>
      </c>
      <c r="P7" s="20" t="n">
        <v>0</v>
      </c>
      <c r="Q7" s="18" t="n">
        <v>2.56398168</v>
      </c>
      <c r="R7" s="20" t="n">
        <v>0.42149245</v>
      </c>
    </row>
    <row r="8" spans="1:18">
      <c r="A8" s="15" t="s">
        <v>568</v>
      </c>
      <c r="B8" s="17" t="n">
        <v>3564</v>
      </c>
      <c r="C8" s="18">
        <f>(2782.0/B8*100)</f>
        <v/>
      </c>
      <c r="D8" s="19" t="n">
        <v>782</v>
      </c>
      <c r="E8" s="18" t="n">
        <v>33.87957478</v>
      </c>
      <c r="F8" s="20" t="n">
        <v>1.95903481</v>
      </c>
      <c r="G8" s="18" t="n">
        <v>64.94438508</v>
      </c>
      <c r="H8" s="20" t="n">
        <v>1.96107383</v>
      </c>
      <c r="I8" s="18" t="s">
        <v>567</v>
      </c>
      <c r="J8" s="20" t="s">
        <v>567</v>
      </c>
      <c r="K8" s="18" t="n">
        <v>0.25155952</v>
      </c>
      <c r="L8" s="20" t="n">
        <v>0.15302435</v>
      </c>
      <c r="M8" s="18" t="n">
        <v>0</v>
      </c>
      <c r="N8" s="20" t="n">
        <v>0</v>
      </c>
      <c r="O8" s="18" t="n">
        <v>0</v>
      </c>
      <c r="P8" s="20" t="n">
        <v>0</v>
      </c>
      <c r="Q8" s="18" t="n">
        <v>0.92448062</v>
      </c>
      <c r="R8" s="20" t="n">
        <v>0.38318689</v>
      </c>
    </row>
    <row r="9" spans="1:18">
      <c r="A9" s="15" t="s">
        <v>569</v>
      </c>
      <c r="B9" s="17" t="n">
        <v>4899</v>
      </c>
      <c r="C9" s="18">
        <f>(3902.0/B9*100)</f>
        <v/>
      </c>
      <c r="D9" s="19" t="n">
        <v>997</v>
      </c>
      <c r="E9" s="18" t="n">
        <v>39.71274992</v>
      </c>
      <c r="F9" s="20" t="n">
        <v>1.94248123</v>
      </c>
      <c r="G9" s="18" t="n">
        <v>57.19961009</v>
      </c>
      <c r="H9" s="20" t="n">
        <v>1.96129349</v>
      </c>
      <c r="I9" s="18" t="s">
        <v>567</v>
      </c>
      <c r="J9" s="20" t="s">
        <v>567</v>
      </c>
      <c r="K9" s="18" t="n">
        <v>1.89173693</v>
      </c>
      <c r="L9" s="20" t="n">
        <v>0.45002119</v>
      </c>
      <c r="M9" s="18" t="n">
        <v>0</v>
      </c>
      <c r="N9" s="20" t="n">
        <v>0</v>
      </c>
      <c r="O9" s="18" t="n">
        <v>0</v>
      </c>
      <c r="P9" s="20" t="n">
        <v>0</v>
      </c>
      <c r="Q9" s="18" t="n">
        <v>1.19590306</v>
      </c>
      <c r="R9" s="20" t="n">
        <v>0.31757084</v>
      </c>
    </row>
    <row r="10" spans="1:18">
      <c r="A10" s="15" t="s">
        <v>570</v>
      </c>
      <c r="B10" s="17" t="n">
        <v>10036</v>
      </c>
      <c r="C10" s="18">
        <f>(7781.0/B10*100)</f>
        <v/>
      </c>
      <c r="D10" s="19" t="n">
        <v>2255</v>
      </c>
      <c r="E10" s="18" t="n">
        <v>36.01743174</v>
      </c>
      <c r="F10" s="20" t="n">
        <v>1.39534358</v>
      </c>
      <c r="G10" s="18" t="n">
        <v>61.01200021</v>
      </c>
      <c r="H10" s="20" t="n">
        <v>1.50240413</v>
      </c>
      <c r="I10" s="18" t="s">
        <v>567</v>
      </c>
      <c r="J10" s="20" t="s">
        <v>567</v>
      </c>
      <c r="K10" s="18" t="n">
        <v>1.32328496</v>
      </c>
      <c r="L10" s="20" t="n">
        <v>0.3730876</v>
      </c>
      <c r="M10" s="18" t="n">
        <v>0</v>
      </c>
      <c r="N10" s="20" t="n">
        <v>0</v>
      </c>
      <c r="O10" s="18" t="n">
        <v>0</v>
      </c>
      <c r="P10" s="20" t="n">
        <v>0</v>
      </c>
      <c r="Q10" s="18" t="n">
        <v>1.64728308</v>
      </c>
      <c r="R10" s="20" t="n">
        <v>0.41434632</v>
      </c>
    </row>
    <row r="11" spans="1:18">
      <c r="A11" s="15" t="s">
        <v>571</v>
      </c>
      <c r="B11" s="17" t="n">
        <v>3553</v>
      </c>
      <c r="C11" s="18">
        <f>(2785.0/B11*100)</f>
        <v/>
      </c>
      <c r="D11" s="19" t="n">
        <v>768</v>
      </c>
      <c r="E11" s="18" t="n">
        <v>54.2892817</v>
      </c>
      <c r="F11" s="20" t="n">
        <v>2.10659576</v>
      </c>
      <c r="G11" s="18" t="n">
        <v>38.93371536</v>
      </c>
      <c r="H11" s="20" t="n">
        <v>2.06623548</v>
      </c>
      <c r="I11" s="18" t="s">
        <v>567</v>
      </c>
      <c r="J11" s="20" t="s">
        <v>567</v>
      </c>
      <c r="K11" s="18" t="n">
        <v>2.40449106</v>
      </c>
      <c r="L11" s="20" t="n">
        <v>0.65055259</v>
      </c>
      <c r="M11" s="18" t="n">
        <v>0</v>
      </c>
      <c r="N11" s="20" t="n">
        <v>0</v>
      </c>
      <c r="O11" s="18" t="n">
        <v>0</v>
      </c>
      <c r="P11" s="20" t="n">
        <v>0</v>
      </c>
      <c r="Q11" s="18" t="n">
        <v>4.37251188</v>
      </c>
      <c r="R11" s="20" t="n">
        <v>0.86923271</v>
      </c>
    </row>
    <row r="12" spans="1:18">
      <c r="A12" s="15" t="s">
        <v>572</v>
      </c>
      <c r="B12" s="17" t="n">
        <v>3472</v>
      </c>
      <c r="C12" s="18">
        <f>(2771.0/B12*100)</f>
        <v/>
      </c>
      <c r="D12" s="19" t="n">
        <v>701</v>
      </c>
      <c r="E12" s="18" t="n">
        <v>41.83286984</v>
      </c>
      <c r="F12" s="20" t="n">
        <v>2.18605994</v>
      </c>
      <c r="G12" s="18" t="n">
        <v>55.46999681</v>
      </c>
      <c r="H12" s="20" t="n">
        <v>2.16190581</v>
      </c>
      <c r="I12" s="18" t="s">
        <v>567</v>
      </c>
      <c r="J12" s="20" t="s">
        <v>567</v>
      </c>
      <c r="K12" s="18" t="n">
        <v>0.86413863</v>
      </c>
      <c r="L12" s="20" t="n">
        <v>0.31697202</v>
      </c>
      <c r="M12" s="18" t="n">
        <v>0</v>
      </c>
      <c r="N12" s="20" t="n">
        <v>0</v>
      </c>
      <c r="O12" s="18" t="n">
        <v>0</v>
      </c>
      <c r="P12" s="20" t="n">
        <v>0</v>
      </c>
      <c r="Q12" s="18" t="n">
        <v>1.83299472</v>
      </c>
      <c r="R12" s="20" t="n">
        <v>0.6305374</v>
      </c>
    </row>
    <row r="13" spans="1:18">
      <c r="A13" s="15" t="s">
        <v>573</v>
      </c>
      <c r="B13" s="17" t="n">
        <v>3559</v>
      </c>
      <c r="C13" s="18">
        <f>(2812.0/B13*100)</f>
        <v/>
      </c>
      <c r="D13" s="19" t="n">
        <v>747</v>
      </c>
      <c r="E13" s="18" t="n">
        <v>37.32581173</v>
      </c>
      <c r="F13" s="20" t="n">
        <v>2.31585794</v>
      </c>
      <c r="G13" s="18" t="n">
        <v>60.69076839</v>
      </c>
      <c r="H13" s="20" t="n">
        <v>2.34241451</v>
      </c>
      <c r="I13" s="18" t="s">
        <v>567</v>
      </c>
      <c r="J13" s="20" t="s">
        <v>567</v>
      </c>
      <c r="K13" s="18" t="n">
        <v>0.65972904</v>
      </c>
      <c r="L13" s="20" t="n">
        <v>0.29454216</v>
      </c>
      <c r="M13" s="18" t="n">
        <v>0</v>
      </c>
      <c r="N13" s="20" t="n">
        <v>0</v>
      </c>
      <c r="O13" s="18" t="n">
        <v>0</v>
      </c>
      <c r="P13" s="20" t="n">
        <v>0</v>
      </c>
      <c r="Q13" s="18" t="n">
        <v>1.32369084</v>
      </c>
      <c r="R13" s="20" t="n">
        <v>0.92383127</v>
      </c>
    </row>
    <row r="14" spans="1:18">
      <c r="A14" s="15" t="s">
        <v>574</v>
      </c>
      <c r="B14" s="17" t="n">
        <v>2799</v>
      </c>
      <c r="C14" s="18">
        <f>(2167.0/B14*100)</f>
        <v/>
      </c>
      <c r="D14" s="19" t="n">
        <v>632</v>
      </c>
      <c r="E14" s="18" t="n">
        <v>32.33000842</v>
      </c>
      <c r="F14" s="20" t="n">
        <v>2.04447584</v>
      </c>
      <c r="G14" s="18" t="n">
        <v>65.54238770000001</v>
      </c>
      <c r="H14" s="20" t="n">
        <v>2.00398081</v>
      </c>
      <c r="I14" s="18" t="s">
        <v>567</v>
      </c>
      <c r="J14" s="20" t="s">
        <v>567</v>
      </c>
      <c r="K14" s="18" t="n">
        <v>2.00722128</v>
      </c>
      <c r="L14" s="20" t="n">
        <v>0.80763116</v>
      </c>
      <c r="M14" s="18" t="n">
        <v>0</v>
      </c>
      <c r="N14" s="20" t="n">
        <v>0</v>
      </c>
      <c r="O14" s="18" t="n">
        <v>0</v>
      </c>
      <c r="P14" s="20" t="n">
        <v>0</v>
      </c>
      <c r="Q14" s="18" t="n">
        <v>0.1203826</v>
      </c>
      <c r="R14" s="20" t="n">
        <v>0.11558661</v>
      </c>
    </row>
    <row r="15" spans="1:18">
      <c r="A15" s="15" t="s">
        <v>575</v>
      </c>
      <c r="B15" s="17" t="n">
        <v>3019</v>
      </c>
      <c r="C15" s="18">
        <f>(2357.0/B15*100)</f>
        <v/>
      </c>
      <c r="D15" s="19" t="n">
        <v>662</v>
      </c>
      <c r="E15" s="18" t="n">
        <v>29.33160617</v>
      </c>
      <c r="F15" s="20" t="n">
        <v>1.76682666</v>
      </c>
      <c r="G15" s="18" t="n">
        <v>69.06347549</v>
      </c>
      <c r="H15" s="20" t="n">
        <v>1.7665661</v>
      </c>
      <c r="I15" s="18" t="s">
        <v>567</v>
      </c>
      <c r="J15" s="20" t="s">
        <v>567</v>
      </c>
      <c r="K15" s="18" t="n">
        <v>0.43969483</v>
      </c>
      <c r="L15" s="20" t="n">
        <v>0.25604915</v>
      </c>
      <c r="M15" s="18" t="n">
        <v>0</v>
      </c>
      <c r="N15" s="20" t="n">
        <v>0</v>
      </c>
      <c r="O15" s="18" t="n">
        <v>0</v>
      </c>
      <c r="P15" s="20" t="n">
        <v>0</v>
      </c>
      <c r="Q15" s="18" t="n">
        <v>1.16522351</v>
      </c>
      <c r="R15" s="20" t="n">
        <v>0.41052725</v>
      </c>
    </row>
    <row r="16" spans="1:18">
      <c r="A16" s="15" t="s">
        <v>576</v>
      </c>
      <c r="B16" s="17" t="n">
        <v>2997</v>
      </c>
      <c r="C16" s="18">
        <f>(2336.0/B16*100)</f>
        <v/>
      </c>
      <c r="D16" s="19" t="n">
        <v>661</v>
      </c>
      <c r="E16" s="18" t="n">
        <v>41.6469414</v>
      </c>
      <c r="F16" s="20" t="n">
        <v>2.13404034</v>
      </c>
      <c r="G16" s="18" t="n">
        <v>52.45088023</v>
      </c>
      <c r="H16" s="20" t="n">
        <v>2.15008714</v>
      </c>
      <c r="I16" s="18" t="s">
        <v>567</v>
      </c>
      <c r="J16" s="20" t="s">
        <v>567</v>
      </c>
      <c r="K16" s="18" t="n">
        <v>3.02189826</v>
      </c>
      <c r="L16" s="20" t="n">
        <v>0.70372859</v>
      </c>
      <c r="M16" s="18" t="n">
        <v>0</v>
      </c>
      <c r="N16" s="20" t="n">
        <v>0</v>
      </c>
      <c r="O16" s="18" t="n">
        <v>0</v>
      </c>
      <c r="P16" s="20" t="n">
        <v>0</v>
      </c>
      <c r="Q16" s="18" t="n">
        <v>2.88028011</v>
      </c>
      <c r="R16" s="20" t="n">
        <v>0.72067195</v>
      </c>
    </row>
    <row r="17" spans="1:18">
      <c r="A17" s="15" t="s">
        <v>577</v>
      </c>
      <c r="B17" s="17" t="n">
        <v>3307</v>
      </c>
      <c r="C17" s="18">
        <f>(2580.0/B17*100)</f>
        <v/>
      </c>
      <c r="D17" s="19" t="n">
        <v>727</v>
      </c>
      <c r="E17" s="18" t="n">
        <v>33.22306836</v>
      </c>
      <c r="F17" s="20" t="n">
        <v>1.93201448</v>
      </c>
      <c r="G17" s="18" t="n">
        <v>64.7632445</v>
      </c>
      <c r="H17" s="20" t="n">
        <v>1.94133078</v>
      </c>
      <c r="I17" s="18" t="s">
        <v>567</v>
      </c>
      <c r="J17" s="20" t="s">
        <v>567</v>
      </c>
      <c r="K17" s="18" t="n">
        <v>0.9973048799999999</v>
      </c>
      <c r="L17" s="20" t="n">
        <v>0.34562362</v>
      </c>
      <c r="M17" s="18" t="n">
        <v>0</v>
      </c>
      <c r="N17" s="20" t="n">
        <v>0</v>
      </c>
      <c r="O17" s="18" t="n">
        <v>0</v>
      </c>
      <c r="P17" s="20" t="n">
        <v>0</v>
      </c>
      <c r="Q17" s="18" t="n">
        <v>1.01638225</v>
      </c>
      <c r="R17" s="20" t="n">
        <v>0.43642586</v>
      </c>
    </row>
    <row r="18" spans="1:18">
      <c r="A18" s="15" t="s">
        <v>578</v>
      </c>
      <c r="B18" s="17" t="n">
        <v>2826</v>
      </c>
      <c r="C18" s="18">
        <f>(2221.0/B18*100)</f>
        <v/>
      </c>
      <c r="D18" s="19" t="n">
        <v>605</v>
      </c>
      <c r="E18" s="18" t="n">
        <v>57.26232256</v>
      </c>
      <c r="F18" s="20" t="n">
        <v>2.00044489</v>
      </c>
      <c r="G18" s="18" t="n">
        <v>38.91430007</v>
      </c>
      <c r="H18" s="20" t="n">
        <v>1.87815183</v>
      </c>
      <c r="I18" s="18" t="s">
        <v>567</v>
      </c>
      <c r="J18" s="20" t="s">
        <v>567</v>
      </c>
      <c r="K18" s="18" t="n">
        <v>1.77287951</v>
      </c>
      <c r="L18" s="20" t="n">
        <v>0.45398901</v>
      </c>
      <c r="M18" s="18" t="n">
        <v>0</v>
      </c>
      <c r="N18" s="20" t="n">
        <v>0</v>
      </c>
      <c r="O18" s="18" t="n">
        <v>0</v>
      </c>
      <c r="P18" s="20" t="n">
        <v>0</v>
      </c>
      <c r="Q18" s="18" t="n">
        <v>2.05049786</v>
      </c>
      <c r="R18" s="20" t="n">
        <v>0.6000179</v>
      </c>
    </row>
    <row r="19" spans="1:18">
      <c r="A19" s="15" t="s">
        <v>579</v>
      </c>
      <c r="B19" s="17" t="n">
        <v>2808</v>
      </c>
      <c r="C19" s="18">
        <f>(2234.0/B19*100)</f>
        <v/>
      </c>
      <c r="D19" s="19" t="n">
        <v>574</v>
      </c>
      <c r="E19" s="18" t="n">
        <v>43.43935864</v>
      </c>
      <c r="F19" s="20" t="n">
        <v>2.28786583</v>
      </c>
      <c r="G19" s="18" t="n">
        <v>54.94946867</v>
      </c>
      <c r="H19" s="20" t="n">
        <v>2.2150691</v>
      </c>
      <c r="I19" s="18" t="s">
        <v>567</v>
      </c>
      <c r="J19" s="20" t="s">
        <v>567</v>
      </c>
      <c r="K19" s="18" t="n">
        <v>0.38295472</v>
      </c>
      <c r="L19" s="20" t="n">
        <v>0.38688918</v>
      </c>
      <c r="M19" s="18" t="n">
        <v>0</v>
      </c>
      <c r="N19" s="20" t="n">
        <v>0</v>
      </c>
      <c r="O19" s="18" t="n">
        <v>0</v>
      </c>
      <c r="P19" s="20" t="n">
        <v>0</v>
      </c>
      <c r="Q19" s="18" t="n">
        <v>1.22821797</v>
      </c>
      <c r="R19" s="20" t="n">
        <v>0.56427028</v>
      </c>
    </row>
    <row r="20" spans="1:18">
      <c r="A20" s="15" t="s">
        <v>580</v>
      </c>
      <c r="B20" s="17" t="n">
        <v>1630</v>
      </c>
      <c r="C20" s="18">
        <f>(1266.0/B20*100)</f>
        <v/>
      </c>
      <c r="D20" s="19" t="n">
        <v>364</v>
      </c>
      <c r="E20" s="18" t="n">
        <v>55.94504164</v>
      </c>
      <c r="F20" s="20" t="n">
        <v>2.58396647</v>
      </c>
      <c r="G20" s="18" t="n">
        <v>38.94945356</v>
      </c>
      <c r="H20" s="20" t="n">
        <v>2.60212548</v>
      </c>
      <c r="I20" s="18" t="s">
        <v>567</v>
      </c>
      <c r="J20" s="20" t="s">
        <v>567</v>
      </c>
      <c r="K20" s="18" t="n">
        <v>2.42947367</v>
      </c>
      <c r="L20" s="20" t="n">
        <v>0.78090635</v>
      </c>
      <c r="M20" s="18" t="n">
        <v>0</v>
      </c>
      <c r="N20" s="20" t="n">
        <v>0</v>
      </c>
      <c r="O20" s="18" t="n">
        <v>0</v>
      </c>
      <c r="P20" s="20" t="n">
        <v>0</v>
      </c>
      <c r="Q20" s="18" t="n">
        <v>2.67603113</v>
      </c>
      <c r="R20" s="20" t="n">
        <v>0.88218745</v>
      </c>
    </row>
    <row r="21" spans="1:18">
      <c r="A21" s="15" t="s">
        <v>581</v>
      </c>
      <c r="B21" s="17" t="n">
        <v>2908</v>
      </c>
      <c r="C21" s="18">
        <f>(2292.0/B21*100)</f>
        <v/>
      </c>
      <c r="D21" s="19" t="n">
        <v>616</v>
      </c>
      <c r="E21" s="18" t="n">
        <v>39.766853</v>
      </c>
      <c r="F21" s="20" t="n">
        <v>2.14564495</v>
      </c>
      <c r="G21" s="18" t="n">
        <v>58.68618865</v>
      </c>
      <c r="H21" s="20" t="n">
        <v>2.17475267</v>
      </c>
      <c r="I21" s="18" t="s">
        <v>567</v>
      </c>
      <c r="J21" s="20" t="s">
        <v>567</v>
      </c>
      <c r="K21" s="18" t="n">
        <v>1.06881237</v>
      </c>
      <c r="L21" s="20" t="n">
        <v>0.40667251</v>
      </c>
      <c r="M21" s="18" t="n">
        <v>0</v>
      </c>
      <c r="N21" s="20" t="n">
        <v>0</v>
      </c>
      <c r="O21" s="18" t="n">
        <v>0</v>
      </c>
      <c r="P21" s="20" t="n">
        <v>0</v>
      </c>
      <c r="Q21" s="18" t="n">
        <v>0.47814598</v>
      </c>
      <c r="R21" s="20" t="n">
        <v>0.36900444</v>
      </c>
    </row>
    <row r="22" spans="1:18">
      <c r="A22" s="15" t="s">
        <v>582</v>
      </c>
      <c r="B22" s="17" t="n">
        <v>2931</v>
      </c>
      <c r="C22" s="18">
        <f>(2276.0/B22*100)</f>
        <v/>
      </c>
      <c r="D22" s="19" t="n">
        <v>655</v>
      </c>
      <c r="E22" s="18" t="n">
        <v>50.14848584</v>
      </c>
      <c r="F22" s="20" t="n">
        <v>2.07675423</v>
      </c>
      <c r="G22" s="18" t="n">
        <v>43.93916491</v>
      </c>
      <c r="H22" s="20" t="n">
        <v>2.17627734</v>
      </c>
      <c r="I22" s="18" t="s">
        <v>567</v>
      </c>
      <c r="J22" s="20" t="s">
        <v>567</v>
      </c>
      <c r="K22" s="18" t="n">
        <v>2.11229891</v>
      </c>
      <c r="L22" s="20" t="n">
        <v>0.68393359</v>
      </c>
      <c r="M22" s="18" t="n">
        <v>0</v>
      </c>
      <c r="N22" s="20" t="n">
        <v>0</v>
      </c>
      <c r="O22" s="18" t="n">
        <v>0</v>
      </c>
      <c r="P22" s="20" t="n">
        <v>0</v>
      </c>
      <c r="Q22" s="18" t="n">
        <v>3.80005035</v>
      </c>
      <c r="R22" s="20" t="n">
        <v>0.89839672</v>
      </c>
    </row>
    <row r="23" spans="1:18">
      <c r="A23" s="15" t="s">
        <v>583</v>
      </c>
      <c r="B23" s="17" t="n">
        <v>5791</v>
      </c>
      <c r="C23" s="18">
        <f>(4537.0/B23*100)</f>
        <v/>
      </c>
      <c r="D23" s="19" t="n">
        <v>1254</v>
      </c>
      <c r="E23" s="18" t="n">
        <v>40.62339357</v>
      </c>
      <c r="F23" s="20" t="n">
        <v>1.82214126</v>
      </c>
      <c r="G23" s="18" t="n">
        <v>55.15836798</v>
      </c>
      <c r="H23" s="20" t="n">
        <v>1.97304495</v>
      </c>
      <c r="I23" s="18" t="s">
        <v>567</v>
      </c>
      <c r="J23" s="20" t="s">
        <v>567</v>
      </c>
      <c r="K23" s="18" t="n">
        <v>1.34414321</v>
      </c>
      <c r="L23" s="20" t="n">
        <v>0.44799269</v>
      </c>
      <c r="M23" s="18" t="n">
        <v>0</v>
      </c>
      <c r="N23" s="20" t="n">
        <v>0</v>
      </c>
      <c r="O23" s="18" t="n">
        <v>0</v>
      </c>
      <c r="P23" s="20" t="n">
        <v>0</v>
      </c>
      <c r="Q23" s="18" t="n">
        <v>2.87409523</v>
      </c>
      <c r="R23" s="20" t="n">
        <v>0.65629764</v>
      </c>
    </row>
    <row r="24" spans="1:18">
      <c r="A24" s="15" t="s">
        <v>584</v>
      </c>
      <c r="B24" s="17" t="n">
        <v>3338</v>
      </c>
      <c r="C24" s="18">
        <f>(2611.0/B24*100)</f>
        <v/>
      </c>
      <c r="D24" s="19" t="n">
        <v>727</v>
      </c>
      <c r="E24" s="18" t="n">
        <v>30.01987545</v>
      </c>
      <c r="F24" s="20" t="n">
        <v>1.94145405</v>
      </c>
      <c r="G24" s="18" t="n">
        <v>66.51048335</v>
      </c>
      <c r="H24" s="20" t="n">
        <v>2.12099084</v>
      </c>
      <c r="I24" s="18" t="s">
        <v>567</v>
      </c>
      <c r="J24" s="20" t="s">
        <v>567</v>
      </c>
      <c r="K24" s="18" t="n">
        <v>0.85919069</v>
      </c>
      <c r="L24" s="20" t="n">
        <v>0.40203772</v>
      </c>
      <c r="M24" s="18" t="n">
        <v>0</v>
      </c>
      <c r="N24" s="20" t="n">
        <v>0</v>
      </c>
      <c r="O24" s="18" t="n">
        <v>0</v>
      </c>
      <c r="P24" s="20" t="n">
        <v>0</v>
      </c>
      <c r="Q24" s="18" t="n">
        <v>2.61045051</v>
      </c>
      <c r="R24" s="20" t="n">
        <v>0.6581582499999999</v>
      </c>
    </row>
    <row r="25" spans="1:18">
      <c r="A25" s="15" t="s">
        <v>585</v>
      </c>
      <c r="B25" s="17" t="n">
        <v>2912</v>
      </c>
      <c r="C25" s="18">
        <f>(2247.0/B25*100)</f>
        <v/>
      </c>
      <c r="D25" s="19" t="n">
        <v>665</v>
      </c>
      <c r="E25" s="18" t="n">
        <v>28.17169849</v>
      </c>
      <c r="F25" s="20" t="n">
        <v>1.84209118</v>
      </c>
      <c r="G25" s="18" t="n">
        <v>69.06179129</v>
      </c>
      <c r="H25" s="20" t="n">
        <v>1.94683841</v>
      </c>
      <c r="I25" s="18" t="s">
        <v>567</v>
      </c>
      <c r="J25" s="20" t="s">
        <v>567</v>
      </c>
      <c r="K25" s="18" t="n">
        <v>0.80154467</v>
      </c>
      <c r="L25" s="20" t="n">
        <v>0.42936723</v>
      </c>
      <c r="M25" s="18" t="n">
        <v>0</v>
      </c>
      <c r="N25" s="20" t="n">
        <v>0</v>
      </c>
      <c r="O25" s="18" t="n">
        <v>0</v>
      </c>
      <c r="P25" s="20" t="n">
        <v>0</v>
      </c>
      <c r="Q25" s="18" t="n">
        <v>1.96496555</v>
      </c>
      <c r="R25" s="20" t="n">
        <v>0.58648298</v>
      </c>
    </row>
    <row r="26" spans="1:18">
      <c r="A26" s="15" t="s">
        <v>586</v>
      </c>
      <c r="B26" s="17" t="n">
        <v>2450</v>
      </c>
      <c r="C26" s="18">
        <f>(1888.0/B26*100)</f>
        <v/>
      </c>
      <c r="D26" s="19" t="n">
        <v>562</v>
      </c>
      <c r="E26" s="18" t="n">
        <v>42.75465976</v>
      </c>
      <c r="F26" s="20" t="n">
        <v>2.32754219</v>
      </c>
      <c r="G26" s="18" t="n">
        <v>55.58100818</v>
      </c>
      <c r="H26" s="20" t="n">
        <v>2.25623583</v>
      </c>
      <c r="I26" s="18" t="s">
        <v>567</v>
      </c>
      <c r="J26" s="20" t="s">
        <v>567</v>
      </c>
      <c r="K26" s="18" t="n">
        <v>0.63968615</v>
      </c>
      <c r="L26" s="20" t="n">
        <v>0.3000805</v>
      </c>
      <c r="M26" s="18" t="n">
        <v>0</v>
      </c>
      <c r="N26" s="20" t="n">
        <v>0</v>
      </c>
      <c r="O26" s="18" t="n">
        <v>0</v>
      </c>
      <c r="P26" s="20" t="n">
        <v>0</v>
      </c>
      <c r="Q26" s="18" t="n">
        <v>1.0246459</v>
      </c>
      <c r="R26" s="20" t="n">
        <v>0.6684889899999999</v>
      </c>
    </row>
    <row r="27" spans="1:18">
      <c r="A27" s="15" t="s">
        <v>587</v>
      </c>
      <c r="B27" s="17" t="n">
        <v>2616</v>
      </c>
      <c r="C27" s="18">
        <f>(2067.0/B27*100)</f>
        <v/>
      </c>
      <c r="D27" s="19" t="n">
        <v>549</v>
      </c>
      <c r="E27" s="18" t="n">
        <v>43.72559847</v>
      </c>
      <c r="F27" s="20" t="n">
        <v>2.25756845</v>
      </c>
      <c r="G27" s="18" t="n">
        <v>53.21546796</v>
      </c>
      <c r="H27" s="20" t="n">
        <v>2.29839757</v>
      </c>
      <c r="I27" s="18" t="s">
        <v>567</v>
      </c>
      <c r="J27" s="20" t="s">
        <v>567</v>
      </c>
      <c r="K27" s="18" t="n">
        <v>1.62703261</v>
      </c>
      <c r="L27" s="20" t="n">
        <v>0.53909239</v>
      </c>
      <c r="M27" s="18" t="n">
        <v>0</v>
      </c>
      <c r="N27" s="20" t="n">
        <v>0</v>
      </c>
      <c r="O27" s="18" t="n">
        <v>0</v>
      </c>
      <c r="P27" s="20" t="n">
        <v>0</v>
      </c>
      <c r="Q27" s="18" t="n">
        <v>1.43190096</v>
      </c>
      <c r="R27" s="20" t="n">
        <v>0.44671156</v>
      </c>
    </row>
    <row r="28" spans="1:18">
      <c r="A28" s="15" t="s">
        <v>588</v>
      </c>
      <c r="B28" s="17" t="n">
        <v>3765</v>
      </c>
      <c r="C28" s="18">
        <f>(3048.0/B28*100)</f>
        <v/>
      </c>
      <c r="D28" s="19" t="n">
        <v>717</v>
      </c>
      <c r="E28" s="18" t="n">
        <v>63.45291141</v>
      </c>
      <c r="F28" s="20" t="n">
        <v>1.97634663</v>
      </c>
      <c r="G28" s="18" t="n">
        <v>32.03841661</v>
      </c>
      <c r="H28" s="20" t="n">
        <v>2.16982681</v>
      </c>
      <c r="I28" s="18" t="s">
        <v>567</v>
      </c>
      <c r="J28" s="20" t="s">
        <v>567</v>
      </c>
      <c r="K28" s="18" t="n">
        <v>1.56496478</v>
      </c>
      <c r="L28" s="20" t="n">
        <v>0.5427231300000001</v>
      </c>
      <c r="M28" s="18" t="n">
        <v>0</v>
      </c>
      <c r="N28" s="20" t="n">
        <v>0</v>
      </c>
      <c r="O28" s="18" t="n">
        <v>0</v>
      </c>
      <c r="P28" s="20" t="n">
        <v>0</v>
      </c>
      <c r="Q28" s="18" t="n">
        <v>2.9437072</v>
      </c>
      <c r="R28" s="20" t="n">
        <v>0.90918523</v>
      </c>
    </row>
    <row r="29" spans="1:18">
      <c r="A29" s="15" t="s">
        <v>589</v>
      </c>
      <c r="B29" s="17" t="n">
        <v>2685</v>
      </c>
      <c r="C29" s="18">
        <f>(2098.0/B29*100)</f>
        <v/>
      </c>
      <c r="D29" s="19" t="n">
        <v>587</v>
      </c>
      <c r="E29" s="18" t="n">
        <v>33.80823642</v>
      </c>
      <c r="F29" s="20" t="n">
        <v>2.03033382</v>
      </c>
      <c r="G29" s="18" t="n">
        <v>65.23578919000001</v>
      </c>
      <c r="H29" s="20" t="n">
        <v>2.03610584</v>
      </c>
      <c r="I29" s="18" t="s">
        <v>567</v>
      </c>
      <c r="J29" s="20" t="s">
        <v>567</v>
      </c>
      <c r="K29" s="18" t="n">
        <v>0.44636477</v>
      </c>
      <c r="L29" s="20" t="n">
        <v>0.28565199</v>
      </c>
      <c r="M29" s="18" t="n">
        <v>0</v>
      </c>
      <c r="N29" s="20" t="n">
        <v>0</v>
      </c>
      <c r="O29" s="18" t="n">
        <v>0</v>
      </c>
      <c r="P29" s="20" t="n">
        <v>0</v>
      </c>
      <c r="Q29" s="18" t="n">
        <v>0.50960962</v>
      </c>
      <c r="R29" s="20" t="n">
        <v>0.32462689</v>
      </c>
    </row>
    <row r="30" spans="1:18">
      <c r="A30" s="15" t="s">
        <v>590</v>
      </c>
      <c r="B30" s="17" t="n">
        <v>2263</v>
      </c>
      <c r="C30" s="18">
        <f>(1799.0/B30*100)</f>
        <v/>
      </c>
      <c r="D30" s="19" t="n">
        <v>464</v>
      </c>
      <c r="E30" s="18" t="n">
        <v>37.66292662</v>
      </c>
      <c r="F30" s="20" t="n">
        <v>2.22868246</v>
      </c>
      <c r="G30" s="18" t="n">
        <v>58.33382656</v>
      </c>
      <c r="H30" s="20" t="n">
        <v>2.22107599</v>
      </c>
      <c r="I30" s="18" t="s">
        <v>567</v>
      </c>
      <c r="J30" s="20" t="s">
        <v>567</v>
      </c>
      <c r="K30" s="18" t="n">
        <v>1.91308904</v>
      </c>
      <c r="L30" s="20" t="n">
        <v>0.69077975</v>
      </c>
      <c r="M30" s="18" t="n">
        <v>0</v>
      </c>
      <c r="N30" s="20" t="n">
        <v>0</v>
      </c>
      <c r="O30" s="18" t="n">
        <v>0</v>
      </c>
      <c r="P30" s="20" t="n">
        <v>0</v>
      </c>
      <c r="Q30" s="18" t="n">
        <v>2.09015778</v>
      </c>
      <c r="R30" s="20" t="n">
        <v>0.67437925</v>
      </c>
    </row>
    <row r="31" spans="1:18">
      <c r="A31" s="15" t="s">
        <v>591</v>
      </c>
      <c r="B31" s="17" t="n">
        <v>2750</v>
      </c>
      <c r="C31" s="18">
        <f>(2151.0/B31*100)</f>
        <v/>
      </c>
      <c r="D31" s="19" t="n">
        <v>599</v>
      </c>
      <c r="E31" s="18" t="n">
        <v>41.12641901</v>
      </c>
      <c r="F31" s="20" t="n">
        <v>2.21497839</v>
      </c>
      <c r="G31" s="18" t="n">
        <v>53.83264372</v>
      </c>
      <c r="H31" s="20" t="n">
        <v>2.22882721</v>
      </c>
      <c r="I31" s="18" t="s">
        <v>567</v>
      </c>
      <c r="J31" s="20" t="s">
        <v>567</v>
      </c>
      <c r="K31" s="18" t="n">
        <v>2.54357407</v>
      </c>
      <c r="L31" s="20" t="n">
        <v>0.61016941</v>
      </c>
      <c r="M31" s="18" t="n">
        <v>0</v>
      </c>
      <c r="N31" s="20" t="n">
        <v>0</v>
      </c>
      <c r="O31" s="18" t="n">
        <v>0</v>
      </c>
      <c r="P31" s="20" t="n">
        <v>0</v>
      </c>
      <c r="Q31" s="18" t="n">
        <v>2.49736319</v>
      </c>
      <c r="R31" s="20" t="n">
        <v>0.5961144</v>
      </c>
    </row>
    <row r="32" spans="1:18">
      <c r="A32" s="15" t="s">
        <v>592</v>
      </c>
      <c r="B32" s="17" t="n">
        <v>2269</v>
      </c>
      <c r="C32" s="18">
        <f>(1743.0/B32*100)</f>
        <v/>
      </c>
      <c r="D32" s="19" t="n">
        <v>526</v>
      </c>
      <c r="E32" s="18" t="n">
        <v>49.0026656</v>
      </c>
      <c r="F32" s="20" t="n">
        <v>2.26964863</v>
      </c>
      <c r="G32" s="18" t="n">
        <v>49.19255386</v>
      </c>
      <c r="H32" s="20" t="n">
        <v>2.26498769</v>
      </c>
      <c r="I32" s="18" t="s">
        <v>567</v>
      </c>
      <c r="J32" s="20" t="s">
        <v>567</v>
      </c>
      <c r="K32" s="18" t="n">
        <v>0.6789994499999999</v>
      </c>
      <c r="L32" s="20" t="n">
        <v>0.34537161</v>
      </c>
      <c r="M32" s="18" t="n">
        <v>0</v>
      </c>
      <c r="N32" s="20" t="n">
        <v>0</v>
      </c>
      <c r="O32" s="18" t="n">
        <v>0</v>
      </c>
      <c r="P32" s="20" t="n">
        <v>0</v>
      </c>
      <c r="Q32" s="18" t="n">
        <v>1.12578109</v>
      </c>
      <c r="R32" s="20" t="n">
        <v>0.53234762</v>
      </c>
    </row>
    <row r="33" spans="1:18">
      <c r="A33" s="15" t="s">
        <v>593</v>
      </c>
      <c r="B33" s="17" t="n">
        <v>3674</v>
      </c>
      <c r="C33" s="18">
        <f>(2937.0/B33*100)</f>
        <v/>
      </c>
      <c r="D33" s="19" t="n">
        <v>737</v>
      </c>
      <c r="E33" s="18" t="n">
        <v>40.45228113</v>
      </c>
      <c r="F33" s="20" t="n">
        <v>2.40039704</v>
      </c>
      <c r="G33" s="18" t="n">
        <v>56.38938797</v>
      </c>
      <c r="H33" s="20" t="n">
        <v>2.22153788</v>
      </c>
      <c r="I33" s="18" t="s">
        <v>567</v>
      </c>
      <c r="J33" s="20" t="s">
        <v>567</v>
      </c>
      <c r="K33" s="18" t="n">
        <v>0.98916073</v>
      </c>
      <c r="L33" s="20" t="n">
        <v>0.55907147</v>
      </c>
      <c r="M33" s="18" t="n">
        <v>0</v>
      </c>
      <c r="N33" s="20" t="n">
        <v>0</v>
      </c>
      <c r="O33" s="18" t="n">
        <v>0</v>
      </c>
      <c r="P33" s="20" t="n">
        <v>0</v>
      </c>
      <c r="Q33" s="18" t="n">
        <v>2.16917017</v>
      </c>
      <c r="R33" s="20" t="n">
        <v>0.63952675</v>
      </c>
    </row>
    <row r="34" spans="1:18">
      <c r="A34" s="15" t="s">
        <v>594</v>
      </c>
      <c r="B34" s="17" t="n">
        <v>3315</v>
      </c>
      <c r="C34" s="18">
        <f>(2603.0/B34*100)</f>
        <v/>
      </c>
      <c r="D34" s="19" t="n">
        <v>712</v>
      </c>
      <c r="E34" s="18" t="n">
        <v>50.33816086</v>
      </c>
      <c r="F34" s="20" t="n">
        <v>2.1800991</v>
      </c>
      <c r="G34" s="18" t="n">
        <v>44.4086242</v>
      </c>
      <c r="H34" s="20" t="n">
        <v>2.01952053</v>
      </c>
      <c r="I34" s="18" t="s">
        <v>567</v>
      </c>
      <c r="J34" s="20" t="s">
        <v>567</v>
      </c>
      <c r="K34" s="18" t="n">
        <v>0.68348877</v>
      </c>
      <c r="L34" s="20" t="n">
        <v>0.37135003</v>
      </c>
      <c r="M34" s="18" t="n">
        <v>0</v>
      </c>
      <c r="N34" s="20" t="n">
        <v>0</v>
      </c>
      <c r="O34" s="18" t="n">
        <v>0</v>
      </c>
      <c r="P34" s="20" t="n">
        <v>0</v>
      </c>
      <c r="Q34" s="18" t="n">
        <v>4.56972617</v>
      </c>
      <c r="R34" s="20" t="n">
        <v>0.89213486</v>
      </c>
    </row>
    <row r="35" spans="1:18">
      <c r="A35" s="15" t="s">
        <v>595</v>
      </c>
      <c r="B35" s="17" t="n">
        <v>3505</v>
      </c>
      <c r="C35" s="18">
        <f>(2766.0/B35*100)</f>
        <v/>
      </c>
      <c r="D35" s="19" t="n">
        <v>739</v>
      </c>
      <c r="E35" s="18" t="n">
        <v>34.43062742</v>
      </c>
      <c r="F35" s="20" t="n">
        <v>2.17427459</v>
      </c>
      <c r="G35" s="18" t="n">
        <v>63.09323711</v>
      </c>
      <c r="H35" s="20" t="n">
        <v>2.0813361</v>
      </c>
      <c r="I35" s="18" t="s">
        <v>567</v>
      </c>
      <c r="J35" s="20" t="s">
        <v>567</v>
      </c>
      <c r="K35" s="18" t="n">
        <v>1.67726651</v>
      </c>
      <c r="L35" s="20" t="n">
        <v>0.83586274</v>
      </c>
      <c r="M35" s="18" t="n">
        <v>0</v>
      </c>
      <c r="N35" s="20" t="n">
        <v>0</v>
      </c>
      <c r="O35" s="18" t="n">
        <v>0</v>
      </c>
      <c r="P35" s="20" t="n">
        <v>0</v>
      </c>
      <c r="Q35" s="18" t="n">
        <v>0.79886896</v>
      </c>
      <c r="R35" s="20" t="n">
        <v>0.31560858</v>
      </c>
    </row>
    <row r="36" spans="1:18">
      <c r="A36" s="15" t="s">
        <v>596</v>
      </c>
      <c r="B36" s="17" t="n">
        <v>3332</v>
      </c>
      <c r="C36" s="18">
        <f>(2645.0/B36*100)</f>
        <v/>
      </c>
      <c r="D36" s="19" t="n">
        <v>687</v>
      </c>
      <c r="E36" s="18" t="n">
        <v>45.94882356</v>
      </c>
      <c r="F36" s="20" t="n">
        <v>1.96472237</v>
      </c>
      <c r="G36" s="18" t="n">
        <v>50.61476999</v>
      </c>
      <c r="H36" s="20" t="n">
        <v>1.99784833</v>
      </c>
      <c r="I36" s="18" t="s">
        <v>567</v>
      </c>
      <c r="J36" s="20" t="s">
        <v>567</v>
      </c>
      <c r="K36" s="18" t="n">
        <v>1.4997758</v>
      </c>
      <c r="L36" s="20" t="n">
        <v>0.4634866</v>
      </c>
      <c r="M36" s="18" t="n">
        <v>0</v>
      </c>
      <c r="N36" s="20" t="n">
        <v>0</v>
      </c>
      <c r="O36" s="18" t="n">
        <v>0</v>
      </c>
      <c r="P36" s="20" t="n">
        <v>0</v>
      </c>
      <c r="Q36" s="18" t="n">
        <v>1.93663065</v>
      </c>
      <c r="R36" s="20" t="n">
        <v>0.49054432</v>
      </c>
    </row>
    <row r="37" spans="1:18">
      <c r="A37" s="15" t="s">
        <v>597</v>
      </c>
      <c r="B37" s="17" t="n">
        <v>2727</v>
      </c>
      <c r="C37" s="18">
        <f>(2154.0/B37*100)</f>
        <v/>
      </c>
      <c r="D37" s="19" t="n">
        <v>573</v>
      </c>
      <c r="E37" s="18" t="n">
        <v>40.59254439</v>
      </c>
      <c r="F37" s="20" t="n">
        <v>2.04819092</v>
      </c>
      <c r="G37" s="18" t="n">
        <v>53.38794053</v>
      </c>
      <c r="H37" s="20" t="n">
        <v>2.44284275</v>
      </c>
      <c r="I37" s="18" t="s">
        <v>567</v>
      </c>
      <c r="J37" s="20" t="s">
        <v>567</v>
      </c>
      <c r="K37" s="18" t="n">
        <v>2.46586614</v>
      </c>
      <c r="L37" s="20" t="n">
        <v>0.73388338</v>
      </c>
      <c r="M37" s="18" t="n">
        <v>0</v>
      </c>
      <c r="N37" s="20" t="n">
        <v>0</v>
      </c>
      <c r="O37" s="18" t="n">
        <v>0</v>
      </c>
      <c r="P37" s="20" t="n">
        <v>0</v>
      </c>
      <c r="Q37" s="18" t="n">
        <v>3.55364895</v>
      </c>
      <c r="R37" s="20" t="n">
        <v>0.6543245</v>
      </c>
    </row>
    <row r="38" spans="1:18">
      <c r="A38" s="15" t="s">
        <v>598</v>
      </c>
      <c r="B38" s="17" t="n">
        <v>3053</v>
      </c>
      <c r="C38" s="18">
        <f>(2410.0/B38*100)</f>
        <v/>
      </c>
      <c r="D38" s="19" t="n">
        <v>643</v>
      </c>
      <c r="E38" s="18" t="n">
        <v>35.06929709</v>
      </c>
      <c r="F38" s="20" t="n">
        <v>2.58375084</v>
      </c>
      <c r="G38" s="18" t="n">
        <v>62.53569171</v>
      </c>
      <c r="H38" s="20" t="n">
        <v>2.59895709</v>
      </c>
      <c r="I38" s="18" t="s">
        <v>567</v>
      </c>
      <c r="J38" s="20" t="s">
        <v>567</v>
      </c>
      <c r="K38" s="18" t="n">
        <v>1.18673395</v>
      </c>
      <c r="L38" s="20" t="n">
        <v>0.46536913</v>
      </c>
      <c r="M38" s="18" t="n">
        <v>0</v>
      </c>
      <c r="N38" s="20" t="n">
        <v>0</v>
      </c>
      <c r="O38" s="18" t="n">
        <v>0</v>
      </c>
      <c r="P38" s="20" t="n">
        <v>0</v>
      </c>
      <c r="Q38" s="18" t="n">
        <v>1.20827726</v>
      </c>
      <c r="R38" s="20" t="n">
        <v>0.4751464</v>
      </c>
    </row>
    <row r="39" spans="1:18">
      <c r="A39" s="15" t="s">
        <v>599</v>
      </c>
      <c r="B39" s="17" t="n">
        <v>2957</v>
      </c>
      <c r="C39" s="18">
        <f>(2298.0/B39*100)</f>
        <v/>
      </c>
      <c r="D39" s="19" t="n">
        <v>659</v>
      </c>
      <c r="E39" s="18" t="n">
        <v>70.61803956999999</v>
      </c>
      <c r="F39" s="20" t="n">
        <v>2.13452157</v>
      </c>
      <c r="G39" s="18" t="n">
        <v>25.80300331</v>
      </c>
      <c r="H39" s="20" t="n">
        <v>2.15643265</v>
      </c>
      <c r="I39" s="18" t="s">
        <v>567</v>
      </c>
      <c r="J39" s="20" t="s">
        <v>567</v>
      </c>
      <c r="K39" s="18" t="n">
        <v>0.29553683</v>
      </c>
      <c r="L39" s="20" t="n">
        <v>0.19158419</v>
      </c>
      <c r="M39" s="18" t="n">
        <v>0</v>
      </c>
      <c r="N39" s="20" t="n">
        <v>0</v>
      </c>
      <c r="O39" s="18" t="n">
        <v>0</v>
      </c>
      <c r="P39" s="20" t="n">
        <v>0</v>
      </c>
      <c r="Q39" s="18" t="n">
        <v>3.28342029</v>
      </c>
      <c r="R39" s="20" t="n">
        <v>0.76995027</v>
      </c>
    </row>
    <row r="40" spans="1:18">
      <c r="A40" s="15" t="s">
        <v>600</v>
      </c>
      <c r="B40" s="17" t="n">
        <v>7235</v>
      </c>
      <c r="C40" s="18">
        <f>(5673.0/B40*100)</f>
        <v/>
      </c>
      <c r="D40" s="19" t="n">
        <v>1562</v>
      </c>
      <c r="E40" s="18" t="n">
        <v>42.48219978</v>
      </c>
      <c r="F40" s="20" t="n">
        <v>2.14026637</v>
      </c>
      <c r="G40" s="18" t="n">
        <v>55.83220752</v>
      </c>
      <c r="H40" s="20" t="n">
        <v>2.16705627</v>
      </c>
      <c r="I40" s="18" t="s">
        <v>567</v>
      </c>
      <c r="J40" s="20" t="s">
        <v>567</v>
      </c>
      <c r="K40" s="18" t="n">
        <v>0.85649224</v>
      </c>
      <c r="L40" s="20" t="n">
        <v>0.35838678</v>
      </c>
      <c r="M40" s="18" t="n">
        <v>0</v>
      </c>
      <c r="N40" s="20" t="n">
        <v>0</v>
      </c>
      <c r="O40" s="18" t="n">
        <v>0</v>
      </c>
      <c r="P40" s="20" t="n">
        <v>0</v>
      </c>
      <c r="Q40" s="18" t="n">
        <v>0.82910045</v>
      </c>
      <c r="R40" s="20" t="n">
        <v>0.28703362</v>
      </c>
    </row>
    <row r="41" spans="1:18">
      <c r="A41" s="15" t="s">
        <v>601</v>
      </c>
      <c r="B41" s="17" t="n">
        <v>2858</v>
      </c>
      <c r="C41" s="18">
        <f>(2278.0/B41*100)</f>
        <v/>
      </c>
      <c r="D41" s="19" t="n">
        <v>580</v>
      </c>
      <c r="E41" s="18" t="n">
        <v>48.14629723</v>
      </c>
      <c r="F41" s="20" t="n">
        <v>2.08791288</v>
      </c>
      <c r="G41" s="18" t="n">
        <v>49.96268346</v>
      </c>
      <c r="H41" s="20" t="n">
        <v>2.15050821</v>
      </c>
      <c r="I41" s="18" t="s">
        <v>567</v>
      </c>
      <c r="J41" s="20" t="s">
        <v>567</v>
      </c>
      <c r="K41" s="18" t="n">
        <v>0.6830483000000001</v>
      </c>
      <c r="L41" s="20" t="n">
        <v>0.29292134</v>
      </c>
      <c r="M41" s="18" t="n">
        <v>0</v>
      </c>
      <c r="N41" s="20" t="n">
        <v>0</v>
      </c>
      <c r="O41" s="18" t="n">
        <v>0</v>
      </c>
      <c r="P41" s="20" t="n">
        <v>0</v>
      </c>
      <c r="Q41" s="18" t="n">
        <v>1.20797101</v>
      </c>
      <c r="R41" s="20" t="n">
        <v>0.40953954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(9396.0/B46*100)</f>
        <v/>
      </c>
      <c r="D46" s="19" t="n">
        <v>1672</v>
      </c>
      <c r="E46" s="18" t="n">
        <v>57.41018943</v>
      </c>
      <c r="F46" s="20" t="n">
        <v>1.55293541</v>
      </c>
      <c r="G46" s="18" t="n">
        <v>28.77143902</v>
      </c>
      <c r="H46" s="20" t="n">
        <v>1.43682973</v>
      </c>
      <c r="I46" s="18" t="s">
        <v>567</v>
      </c>
      <c r="J46" s="20" t="s">
        <v>567</v>
      </c>
      <c r="K46" s="18" t="n">
        <v>4.62741814</v>
      </c>
      <c r="L46" s="20" t="n">
        <v>0.88506242</v>
      </c>
      <c r="M46" s="18" t="n">
        <v>0</v>
      </c>
      <c r="N46" s="20" t="n">
        <v>0</v>
      </c>
      <c r="O46" s="18" t="n">
        <v>0</v>
      </c>
      <c r="P46" s="20" t="n">
        <v>0</v>
      </c>
      <c r="Q46" s="18" t="n">
        <v>9.1909534</v>
      </c>
      <c r="R46" s="20" t="n">
        <v>0.75357262</v>
      </c>
    </row>
    <row r="47" spans="1:18">
      <c r="A47" s="15" t="s">
        <v>607</v>
      </c>
      <c r="B47" s="17" t="n">
        <v>3105</v>
      </c>
      <c r="C47" s="18">
        <f>(2434.0/B47*100)</f>
        <v/>
      </c>
      <c r="D47" s="19" t="n">
        <v>671</v>
      </c>
      <c r="E47" s="18" t="n">
        <v>55.01490588</v>
      </c>
      <c r="F47" s="20" t="n">
        <v>2.26816054</v>
      </c>
      <c r="G47" s="18" t="n">
        <v>36.95661197</v>
      </c>
      <c r="H47" s="20" t="n">
        <v>2.39789907</v>
      </c>
      <c r="I47" s="18" t="s">
        <v>567</v>
      </c>
      <c r="J47" s="20" t="s">
        <v>567</v>
      </c>
      <c r="K47" s="18" t="n">
        <v>1.52358455</v>
      </c>
      <c r="L47" s="20" t="n">
        <v>0.45158826</v>
      </c>
      <c r="M47" s="18" t="n">
        <v>0</v>
      </c>
      <c r="N47" s="20" t="n">
        <v>0</v>
      </c>
      <c r="O47" s="18" t="n">
        <v>0</v>
      </c>
      <c r="P47" s="20" t="n">
        <v>0</v>
      </c>
      <c r="Q47" s="18" t="n">
        <v>6.5048976</v>
      </c>
      <c r="R47" s="20" t="n">
        <v>1.03692047</v>
      </c>
    </row>
    <row r="48" spans="1:18">
      <c r="A48" s="15" t="s">
        <v>608</v>
      </c>
      <c r="B48" s="17" t="n">
        <v>5159</v>
      </c>
      <c r="C48" s="18">
        <f>(3985.0/B48*100)</f>
        <v/>
      </c>
      <c r="D48" s="19" t="n">
        <v>1174</v>
      </c>
      <c r="E48" s="18" t="n">
        <v>31.43527645</v>
      </c>
      <c r="F48" s="20" t="n">
        <v>1.71482544</v>
      </c>
      <c r="G48" s="18" t="n">
        <v>66.4278162</v>
      </c>
      <c r="H48" s="20" t="n">
        <v>1.77131207</v>
      </c>
      <c r="I48" s="18" t="s">
        <v>567</v>
      </c>
      <c r="J48" s="20" t="s">
        <v>567</v>
      </c>
      <c r="K48" s="18" t="n">
        <v>0.8585788</v>
      </c>
      <c r="L48" s="20" t="n">
        <v>0.33079274</v>
      </c>
      <c r="M48" s="18" t="n">
        <v>0</v>
      </c>
      <c r="N48" s="20" t="n">
        <v>0</v>
      </c>
      <c r="O48" s="18" t="n">
        <v>0</v>
      </c>
      <c r="P48" s="20" t="n">
        <v>0</v>
      </c>
      <c r="Q48" s="18" t="n">
        <v>1.27832856</v>
      </c>
      <c r="R48" s="20" t="n">
        <v>0.3594596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(4495.0/B50*100)</f>
        <v/>
      </c>
      <c r="D50" s="19" t="n">
        <v>1142</v>
      </c>
      <c r="E50" s="18" t="n">
        <v>65.46091643</v>
      </c>
      <c r="F50" s="20" t="n">
        <v>1.86040204</v>
      </c>
      <c r="G50" s="18" t="n">
        <v>25.0812094</v>
      </c>
      <c r="H50" s="20" t="n">
        <v>2.05330921</v>
      </c>
      <c r="I50" s="18" t="s">
        <v>567</v>
      </c>
      <c r="J50" s="20" t="s">
        <v>567</v>
      </c>
      <c r="K50" s="18" t="n">
        <v>2.75583502</v>
      </c>
      <c r="L50" s="20" t="n">
        <v>0.64731184</v>
      </c>
      <c r="M50" s="18" t="n">
        <v>0</v>
      </c>
      <c r="N50" s="20" t="n">
        <v>0</v>
      </c>
      <c r="O50" s="18" t="n">
        <v>0</v>
      </c>
      <c r="P50" s="20" t="n">
        <v>0</v>
      </c>
      <c r="Q50" s="18" t="n">
        <v>6.70203914</v>
      </c>
      <c r="R50" s="20" t="n">
        <v>1.03547462</v>
      </c>
    </row>
    <row r="51" spans="1:18">
      <c r="A51" s="15" t="s">
        <v>611</v>
      </c>
      <c r="B51" s="17" t="n">
        <v>3372</v>
      </c>
      <c r="C51" s="18">
        <f>(2783.0/B51*100)</f>
        <v/>
      </c>
      <c r="D51" s="19" t="n">
        <v>589</v>
      </c>
      <c r="E51" s="18" t="n">
        <v>61.90725389</v>
      </c>
      <c r="F51" s="20" t="n">
        <v>2.37850508</v>
      </c>
      <c r="G51" s="18" t="n">
        <v>33.51215193</v>
      </c>
      <c r="H51" s="20" t="n">
        <v>2.22624703</v>
      </c>
      <c r="I51" s="18" t="s">
        <v>567</v>
      </c>
      <c r="J51" s="20" t="s">
        <v>567</v>
      </c>
      <c r="K51" s="18" t="n">
        <v>1.01843425</v>
      </c>
      <c r="L51" s="20" t="n">
        <v>0.47848685</v>
      </c>
      <c r="M51" s="18" t="n">
        <v>0</v>
      </c>
      <c r="N51" s="20" t="n">
        <v>0</v>
      </c>
      <c r="O51" s="18" t="n">
        <v>0</v>
      </c>
      <c r="P51" s="20" t="n">
        <v>0</v>
      </c>
      <c r="Q51" s="18" t="n">
        <v>3.56215994</v>
      </c>
      <c r="R51" s="20" t="n">
        <v>0.95527342</v>
      </c>
    </row>
    <row r="52" spans="1:18">
      <c r="A52" s="15" t="s">
        <v>612</v>
      </c>
      <c r="B52" s="17" t="n">
        <v>2796</v>
      </c>
      <c r="C52" s="18">
        <f>(2215.0/B52*100)</f>
        <v/>
      </c>
      <c r="D52" s="19" t="n">
        <v>581</v>
      </c>
      <c r="E52" s="18" t="n">
        <v>48.61508503</v>
      </c>
      <c r="F52" s="20" t="n">
        <v>2.50206676</v>
      </c>
      <c r="G52" s="18" t="n">
        <v>48.63605604</v>
      </c>
      <c r="H52" s="20" t="n">
        <v>2.45883922</v>
      </c>
      <c r="I52" s="18" t="s">
        <v>567</v>
      </c>
      <c r="J52" s="20" t="s">
        <v>567</v>
      </c>
      <c r="K52" s="18" t="n">
        <v>0.56001625</v>
      </c>
      <c r="L52" s="20" t="n">
        <v>0.34299354</v>
      </c>
      <c r="M52" s="18" t="n">
        <v>0</v>
      </c>
      <c r="N52" s="20" t="n">
        <v>0</v>
      </c>
      <c r="O52" s="18" t="n">
        <v>0</v>
      </c>
      <c r="P52" s="20" t="n">
        <v>0</v>
      </c>
      <c r="Q52" s="18" t="n">
        <v>2.18884269</v>
      </c>
      <c r="R52" s="20" t="n">
        <v>0.53111495</v>
      </c>
    </row>
    <row r="53" spans="1:18">
      <c r="A53" s="15" t="s">
        <v>613</v>
      </c>
      <c r="B53" s="17" t="n">
        <v>2811</v>
      </c>
      <c r="C53" s="18">
        <f>(2215.0/B53*100)</f>
        <v/>
      </c>
      <c r="D53" s="19" t="n">
        <v>596</v>
      </c>
      <c r="E53" s="18" t="n">
        <v>65.67552307</v>
      </c>
      <c r="F53" s="20" t="n">
        <v>1.92610526</v>
      </c>
      <c r="G53" s="18" t="n">
        <v>29.71765505</v>
      </c>
      <c r="H53" s="20" t="n">
        <v>1.8673087</v>
      </c>
      <c r="I53" s="18" t="s">
        <v>567</v>
      </c>
      <c r="J53" s="20" t="s">
        <v>567</v>
      </c>
      <c r="K53" s="18" t="n">
        <v>1.38503464</v>
      </c>
      <c r="L53" s="20" t="n">
        <v>0.44827665</v>
      </c>
      <c r="M53" s="18" t="n">
        <v>0</v>
      </c>
      <c r="N53" s="20" t="n">
        <v>0</v>
      </c>
      <c r="O53" s="18" t="n">
        <v>0</v>
      </c>
      <c r="P53" s="20" t="n">
        <v>0</v>
      </c>
      <c r="Q53" s="18" t="n">
        <v>3.22178724</v>
      </c>
      <c r="R53" s="20" t="n">
        <v>0.72376536</v>
      </c>
    </row>
    <row r="54" spans="1:18">
      <c r="A54" s="15" t="s">
        <v>614</v>
      </c>
      <c r="B54" s="17" t="n">
        <v>2266</v>
      </c>
      <c r="C54" s="18">
        <f>(1776.0/B54*100)</f>
        <v/>
      </c>
      <c r="D54" s="19" t="n">
        <v>490</v>
      </c>
      <c r="E54" s="18" t="n">
        <v>52.80948211</v>
      </c>
      <c r="F54" s="20" t="n">
        <v>2.71841919</v>
      </c>
      <c r="G54" s="18" t="n">
        <v>7.84206564</v>
      </c>
      <c r="H54" s="20" t="n">
        <v>1.42030188</v>
      </c>
      <c r="I54" s="18" t="s">
        <v>567</v>
      </c>
      <c r="J54" s="20" t="s">
        <v>567</v>
      </c>
      <c r="K54" s="18" t="n">
        <v>24.38071704</v>
      </c>
      <c r="L54" s="20" t="n">
        <v>2.4388695</v>
      </c>
      <c r="M54" s="18" t="n">
        <v>0</v>
      </c>
      <c r="N54" s="20" t="n">
        <v>0</v>
      </c>
      <c r="O54" s="18" t="n">
        <v>0</v>
      </c>
      <c r="P54" s="20" t="n">
        <v>0</v>
      </c>
      <c r="Q54" s="18" t="n">
        <v>14.96773521</v>
      </c>
      <c r="R54" s="20" t="n">
        <v>1.64599754</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(2109.0/B56*100)</f>
        <v/>
      </c>
      <c r="D56" s="19" t="n">
        <v>575</v>
      </c>
      <c r="E56" s="18" t="n">
        <v>28.42482051</v>
      </c>
      <c r="F56" s="20" t="n">
        <v>2.15234023</v>
      </c>
      <c r="G56" s="18" t="n">
        <v>69.93091081</v>
      </c>
      <c r="H56" s="20" t="n">
        <v>2.25354591</v>
      </c>
      <c r="I56" s="18" t="s">
        <v>567</v>
      </c>
      <c r="J56" s="20" t="s">
        <v>567</v>
      </c>
      <c r="K56" s="18" t="n">
        <v>0.51769022</v>
      </c>
      <c r="L56" s="20" t="n">
        <v>0.31925973</v>
      </c>
      <c r="M56" s="18" t="n">
        <v>0</v>
      </c>
      <c r="N56" s="20" t="n">
        <v>0</v>
      </c>
      <c r="O56" s="18" t="n">
        <v>0</v>
      </c>
      <c r="P56" s="20" t="n">
        <v>0</v>
      </c>
      <c r="Q56" s="18" t="n">
        <v>1.12657846</v>
      </c>
      <c r="R56" s="20" t="n">
        <v>0.38166662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(2569.0/B61*100)</f>
        <v/>
      </c>
      <c r="D61" s="19" t="n">
        <v>755</v>
      </c>
      <c r="E61" s="18" t="n">
        <v>43.99887851</v>
      </c>
      <c r="F61" s="20" t="n">
        <v>1.81467582</v>
      </c>
      <c r="G61" s="18" t="n">
        <v>53.15853448</v>
      </c>
      <c r="H61" s="20" t="n">
        <v>1.78912649</v>
      </c>
      <c r="I61" s="18" t="s">
        <v>567</v>
      </c>
      <c r="J61" s="20" t="s">
        <v>567</v>
      </c>
      <c r="K61" s="18" t="n">
        <v>0.94093424</v>
      </c>
      <c r="L61" s="20" t="n">
        <v>0.48954282</v>
      </c>
      <c r="M61" s="18" t="n">
        <v>0</v>
      </c>
      <c r="N61" s="20" t="n">
        <v>0</v>
      </c>
      <c r="O61" s="18" t="n">
        <v>0</v>
      </c>
      <c r="P61" s="20" t="n">
        <v>0</v>
      </c>
      <c r="Q61" s="18" t="n">
        <v>1.90165276</v>
      </c>
      <c r="R61" s="20" t="n">
        <v>0.62717037</v>
      </c>
    </row>
    <row r="62" spans="1:18">
      <c r="A62" s="15" t="s">
        <v>622</v>
      </c>
      <c r="B62" s="17" t="n">
        <v>2246</v>
      </c>
      <c r="C62" s="18">
        <f>(1780.0/B62*100)</f>
        <v/>
      </c>
      <c r="D62" s="19" t="n">
        <v>466</v>
      </c>
      <c r="E62" s="18" t="n">
        <v>34.94849236</v>
      </c>
      <c r="F62" s="20" t="n">
        <v>2.19388915</v>
      </c>
      <c r="G62" s="18" t="n">
        <v>64.40468349</v>
      </c>
      <c r="H62" s="20" t="n">
        <v>2.12869757</v>
      </c>
      <c r="I62" s="18" t="s">
        <v>567</v>
      </c>
      <c r="J62" s="20" t="s">
        <v>567</v>
      </c>
      <c r="K62" s="18" t="n">
        <v>0.22050785</v>
      </c>
      <c r="L62" s="20" t="n">
        <v>0.22067997</v>
      </c>
      <c r="M62" s="18" t="n">
        <v>0</v>
      </c>
      <c r="N62" s="20" t="n">
        <v>0</v>
      </c>
      <c r="O62" s="18" t="n">
        <v>0</v>
      </c>
      <c r="P62" s="20" t="n">
        <v>0</v>
      </c>
      <c r="Q62" s="18" t="n">
        <v>0.42631631</v>
      </c>
      <c r="R62" s="20" t="n">
        <v>0.30085776</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(2268.0/B66*100)</f>
        <v/>
      </c>
      <c r="D66" s="19" t="n">
        <v>626</v>
      </c>
      <c r="E66" s="18" t="n">
        <v>53.6360657</v>
      </c>
      <c r="F66" s="20" t="n">
        <v>2.05975583</v>
      </c>
      <c r="G66" s="18" t="n">
        <v>29.86566121</v>
      </c>
      <c r="H66" s="20" t="n">
        <v>1.92573892</v>
      </c>
      <c r="I66" s="18" t="s">
        <v>567</v>
      </c>
      <c r="J66" s="20" t="s">
        <v>567</v>
      </c>
      <c r="K66" s="18" t="n">
        <v>2.29489906</v>
      </c>
      <c r="L66" s="20" t="n">
        <v>0.58896942</v>
      </c>
      <c r="M66" s="18" t="n">
        <v>0</v>
      </c>
      <c r="N66" s="20" t="n">
        <v>0</v>
      </c>
      <c r="O66" s="18" t="n">
        <v>0</v>
      </c>
      <c r="P66" s="20" t="n">
        <v>0</v>
      </c>
      <c r="Q66" s="18" t="n">
        <v>14.20337403</v>
      </c>
      <c r="R66" s="20" t="n">
        <v>1.35455346</v>
      </c>
    </row>
    <row r="67" spans="1:18">
      <c r="A67" s="15" t="s">
        <v>627</v>
      </c>
      <c r="B67" s="17" t="n">
        <v>3511</v>
      </c>
      <c r="C67" s="18">
        <f>(2860.0/B67*100)</f>
        <v/>
      </c>
      <c r="D67" s="19" t="n">
        <v>651</v>
      </c>
      <c r="E67" s="18" t="n">
        <v>70.68088689</v>
      </c>
      <c r="F67" s="20" t="n">
        <v>2.2617112</v>
      </c>
      <c r="G67" s="18" t="n">
        <v>24.8450001</v>
      </c>
      <c r="H67" s="20" t="n">
        <v>2.16600152</v>
      </c>
      <c r="I67" s="18" t="s">
        <v>567</v>
      </c>
      <c r="J67" s="20" t="s">
        <v>567</v>
      </c>
      <c r="K67" s="18" t="n">
        <v>0.43214649</v>
      </c>
      <c r="L67" s="20" t="n">
        <v>0.25276706</v>
      </c>
      <c r="M67" s="18" t="n">
        <v>0</v>
      </c>
      <c r="N67" s="20" t="n">
        <v>0</v>
      </c>
      <c r="O67" s="18" t="n">
        <v>0</v>
      </c>
      <c r="P67" s="20" t="n">
        <v>0</v>
      </c>
      <c r="Q67" s="18" t="n">
        <v>4.04196652</v>
      </c>
      <c r="R67" s="20" t="n">
        <v>0.87328596</v>
      </c>
    </row>
    <row r="68" spans="1:18">
      <c r="A68" s="15" t="s">
        <v>628</v>
      </c>
      <c r="B68" s="17" t="n">
        <v>6049</v>
      </c>
      <c r="C68" s="18">
        <f>(4698.0/B68*100)</f>
        <v/>
      </c>
      <c r="D68" s="19" t="n">
        <v>1351</v>
      </c>
      <c r="E68" s="18" t="n">
        <v>61.35227412</v>
      </c>
      <c r="F68" s="20" t="n">
        <v>1.2529198</v>
      </c>
      <c r="G68" s="18" t="n">
        <v>24.67533728</v>
      </c>
      <c r="H68" s="20" t="n">
        <v>1.15476518</v>
      </c>
      <c r="I68" s="18" t="s">
        <v>567</v>
      </c>
      <c r="J68" s="20" t="s">
        <v>567</v>
      </c>
      <c r="K68" s="18" t="n">
        <v>7.13778493</v>
      </c>
      <c r="L68" s="20" t="n">
        <v>0.59700424</v>
      </c>
      <c r="M68" s="18" t="n">
        <v>0</v>
      </c>
      <c r="N68" s="20" t="n">
        <v>0</v>
      </c>
      <c r="O68" s="18" t="n">
        <v>0</v>
      </c>
      <c r="P68" s="20" t="n">
        <v>0</v>
      </c>
      <c r="Q68" s="18" t="n">
        <v>6.83460366</v>
      </c>
      <c r="R68" s="20" t="n">
        <v>0.73509772</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(2325.0/B70*100)</f>
        <v/>
      </c>
      <c r="D70" s="19" t="n">
        <v>604</v>
      </c>
      <c r="E70" s="18" t="n">
        <v>34.76246427</v>
      </c>
      <c r="F70" s="20" t="n">
        <v>2.03029478</v>
      </c>
      <c r="G70" s="18" t="n">
        <v>62.78152926</v>
      </c>
      <c r="H70" s="20" t="n">
        <v>2.04705421</v>
      </c>
      <c r="I70" s="18" t="s">
        <v>567</v>
      </c>
      <c r="J70" s="20" t="s">
        <v>567</v>
      </c>
      <c r="K70" s="18" t="n">
        <v>0.94425736</v>
      </c>
      <c r="L70" s="20" t="n">
        <v>0.48330492</v>
      </c>
      <c r="M70" s="18" t="n">
        <v>0</v>
      </c>
      <c r="N70" s="20" t="n">
        <v>0</v>
      </c>
      <c r="O70" s="18" t="n">
        <v>0</v>
      </c>
      <c r="P70" s="20" t="n">
        <v>0</v>
      </c>
      <c r="Q70" s="18" t="n">
        <v>1.51174911</v>
      </c>
      <c r="R70" s="20" t="n">
        <v>0.49299989</v>
      </c>
    </row>
    <row r="71" spans="1:18">
      <c r="A71" s="15" t="s">
        <v>631</v>
      </c>
      <c r="B71" s="17" t="n">
        <v>3142</v>
      </c>
      <c r="C71" s="18">
        <f>(2445.0/B71*100)</f>
        <v/>
      </c>
      <c r="D71" s="19" t="n">
        <v>697</v>
      </c>
      <c r="E71" s="18" t="n">
        <v>28.32531399</v>
      </c>
      <c r="F71" s="20" t="n">
        <v>1.80614342</v>
      </c>
      <c r="G71" s="18" t="n">
        <v>70.67827079</v>
      </c>
      <c r="H71" s="20" t="n">
        <v>1.87547654</v>
      </c>
      <c r="I71" s="18" t="s">
        <v>567</v>
      </c>
      <c r="J71" s="20" t="s">
        <v>567</v>
      </c>
      <c r="K71" s="18" t="n">
        <v>0.42590189</v>
      </c>
      <c r="L71" s="20" t="n">
        <v>0.22331339</v>
      </c>
      <c r="M71" s="18" t="n">
        <v>0</v>
      </c>
      <c r="N71" s="20" t="n">
        <v>0</v>
      </c>
      <c r="O71" s="18" t="n">
        <v>0</v>
      </c>
      <c r="P71" s="20" t="n">
        <v>0</v>
      </c>
      <c r="Q71" s="18" t="n">
        <v>0.57051334</v>
      </c>
      <c r="R71" s="20" t="n">
        <v>0.26633116</v>
      </c>
    </row>
    <row r="72" spans="1:18">
      <c r="A72" s="15" t="s">
        <v>632</v>
      </c>
      <c r="B72" s="17" t="n">
        <v>3889</v>
      </c>
      <c r="C72" s="18">
        <f>(3041.0/B72*100)</f>
        <v/>
      </c>
      <c r="D72" s="19" t="n">
        <v>848</v>
      </c>
      <c r="E72" s="18" t="n">
        <v>31.32155439</v>
      </c>
      <c r="F72" s="20" t="n">
        <v>2.1126603</v>
      </c>
      <c r="G72" s="18" t="n">
        <v>67.60216526000001</v>
      </c>
      <c r="H72" s="20" t="n">
        <v>2.12001593</v>
      </c>
      <c r="I72" s="18" t="s">
        <v>567</v>
      </c>
      <c r="J72" s="20" t="s">
        <v>567</v>
      </c>
      <c r="K72" s="18" t="n">
        <v>0.29437835</v>
      </c>
      <c r="L72" s="20" t="n">
        <v>0.18824389</v>
      </c>
      <c r="M72" s="18" t="n">
        <v>0</v>
      </c>
      <c r="N72" s="20" t="n">
        <v>0</v>
      </c>
      <c r="O72" s="18" t="n">
        <v>0</v>
      </c>
      <c r="P72" s="20" t="n">
        <v>0</v>
      </c>
      <c r="Q72" s="18" t="n">
        <v>0.781902</v>
      </c>
      <c r="R72" s="20" t="n">
        <v>0.28699503</v>
      </c>
    </row>
    <row r="73" spans="1:18">
      <c r="A73" s="15" t="s">
        <v>633</v>
      </c>
      <c r="B73" s="17" t="n">
        <v>3597</v>
      </c>
      <c r="C73" s="18">
        <f>(2843.0/B73*100)</f>
        <v/>
      </c>
      <c r="D73" s="19" t="n">
        <v>754</v>
      </c>
      <c r="E73" s="18" t="n">
        <v>69.79029211</v>
      </c>
      <c r="F73" s="20" t="n">
        <v>1.88610561</v>
      </c>
      <c r="G73" s="18" t="n">
        <v>23.99315756</v>
      </c>
      <c r="H73" s="20" t="n">
        <v>1.60621523</v>
      </c>
      <c r="I73" s="18" t="s">
        <v>567</v>
      </c>
      <c r="J73" s="20" t="s">
        <v>567</v>
      </c>
      <c r="K73" s="18" t="n">
        <v>0.17540262</v>
      </c>
      <c r="L73" s="20" t="n">
        <v>0.17426411</v>
      </c>
      <c r="M73" s="18" t="n">
        <v>0</v>
      </c>
      <c r="N73" s="20" t="n">
        <v>0</v>
      </c>
      <c r="O73" s="18" t="n">
        <v>0</v>
      </c>
      <c r="P73" s="20" t="n">
        <v>0</v>
      </c>
      <c r="Q73" s="18" t="n">
        <v>6.04114771</v>
      </c>
      <c r="R73" s="20" t="n">
        <v>1.20368738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(1919.0/B75*100)</f>
        <v/>
      </c>
      <c r="D75" s="19" t="n">
        <v>487</v>
      </c>
      <c r="E75" s="18" t="n">
        <v>66.26394234</v>
      </c>
      <c r="F75" s="20" t="n">
        <v>2.63911568</v>
      </c>
      <c r="G75" s="18" t="n">
        <v>21.11396335</v>
      </c>
      <c r="H75" s="20" t="n">
        <v>2.04118425</v>
      </c>
      <c r="I75" s="18" t="s">
        <v>567</v>
      </c>
      <c r="J75" s="20" t="s">
        <v>567</v>
      </c>
      <c r="K75" s="18" t="n">
        <v>5.88845928</v>
      </c>
      <c r="L75" s="20" t="n">
        <v>1.28017287</v>
      </c>
      <c r="M75" s="18" t="n">
        <v>0</v>
      </c>
      <c r="N75" s="20" t="n">
        <v>0</v>
      </c>
      <c r="O75" s="18" t="n">
        <v>0</v>
      </c>
      <c r="P75" s="20" t="n">
        <v>0</v>
      </c>
      <c r="Q75" s="18" t="n">
        <v>6.73363502</v>
      </c>
      <c r="R75" s="20" t="n">
        <v>1.40103531</v>
      </c>
    </row>
    <row r="76" spans="1:18">
      <c r="A76" s="15" t="s">
        <v>636</v>
      </c>
      <c r="B76" s="17" t="n">
        <v>7052</v>
      </c>
      <c r="C76" s="18">
        <f>(5501.0/B76*100)</f>
        <v/>
      </c>
      <c r="D76" s="19" t="n">
        <v>1551</v>
      </c>
      <c r="E76" s="18" t="n">
        <v>61.63693793</v>
      </c>
      <c r="F76" s="20" t="n">
        <v>1.7286418</v>
      </c>
      <c r="G76" s="18" t="n">
        <v>32.57658599</v>
      </c>
      <c r="H76" s="20" t="n">
        <v>1.76842028</v>
      </c>
      <c r="I76" s="18" t="s">
        <v>567</v>
      </c>
      <c r="J76" s="20" t="s">
        <v>567</v>
      </c>
      <c r="K76" s="18" t="n">
        <v>2.00898416</v>
      </c>
      <c r="L76" s="20" t="n">
        <v>0.47159617</v>
      </c>
      <c r="M76" s="18" t="n">
        <v>0</v>
      </c>
      <c r="N76" s="20" t="n">
        <v>0</v>
      </c>
      <c r="O76" s="18" t="n">
        <v>0</v>
      </c>
      <c r="P76" s="20" t="n">
        <v>0</v>
      </c>
      <c r="Q76" s="18" t="n">
        <v>3.77749191</v>
      </c>
      <c r="R76" s="20" t="n">
        <v>0.48908186</v>
      </c>
    </row>
    <row r="77" spans="1:18">
      <c r="A77" s="15" t="s">
        <v>637</v>
      </c>
      <c r="B77" s="17" t="n">
        <v>2908</v>
      </c>
      <c r="C77" s="18">
        <f>(2389.0/B77*100)</f>
        <v/>
      </c>
      <c r="D77" s="19" t="n">
        <v>519</v>
      </c>
      <c r="E77" s="18" t="n">
        <v>60.61777983</v>
      </c>
      <c r="F77" s="20" t="n">
        <v>2.66865605</v>
      </c>
      <c r="G77" s="18" t="n">
        <v>31.68226526</v>
      </c>
      <c r="H77" s="20" t="n">
        <v>2.55996651</v>
      </c>
      <c r="I77" s="18" t="s">
        <v>567</v>
      </c>
      <c r="J77" s="20" t="s">
        <v>567</v>
      </c>
      <c r="K77" s="18" t="n">
        <v>3.45762829</v>
      </c>
      <c r="L77" s="20" t="n">
        <v>0.83935263</v>
      </c>
      <c r="M77" s="18" t="n">
        <v>0</v>
      </c>
      <c r="N77" s="20" t="n">
        <v>0</v>
      </c>
      <c r="O77" s="18" t="n">
        <v>0</v>
      </c>
      <c r="P77" s="20" t="n">
        <v>0</v>
      </c>
      <c r="Q77" s="18" t="n">
        <v>4.24232661</v>
      </c>
      <c r="R77" s="20" t="n">
        <v>0.86713315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(3282.0/B81*100)</f>
        <v/>
      </c>
      <c r="D81" s="19" t="n">
        <v>881</v>
      </c>
      <c r="E81" s="18" t="n">
        <v>59.79786941</v>
      </c>
      <c r="F81" s="20" t="n">
        <v>2.33825996</v>
      </c>
      <c r="G81" s="18" t="n">
        <v>39.53990565</v>
      </c>
      <c r="H81" s="20" t="n">
        <v>2.29560722</v>
      </c>
      <c r="I81" s="18" t="s">
        <v>567</v>
      </c>
      <c r="J81" s="20" t="s">
        <v>567</v>
      </c>
      <c r="K81" s="18" t="n">
        <v>0.19328771</v>
      </c>
      <c r="L81" s="20" t="n">
        <v>0.1354151</v>
      </c>
      <c r="M81" s="18" t="n">
        <v>0</v>
      </c>
      <c r="N81" s="20" t="n">
        <v>0</v>
      </c>
      <c r="O81" s="18" t="n">
        <v>0</v>
      </c>
      <c r="P81" s="20" t="n">
        <v>0</v>
      </c>
      <c r="Q81" s="18" t="n">
        <v>0.46893723</v>
      </c>
      <c r="R81" s="20" t="n">
        <v>0.25035266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(5789.0/B7*100)</f>
        <v/>
      </c>
      <c r="D7" s="19" t="n">
        <v>1578</v>
      </c>
      <c r="E7" s="18" t="n">
        <v>17.19266513</v>
      </c>
      <c r="F7" s="20" t="n">
        <v>1.07965938</v>
      </c>
      <c r="G7" s="18" t="n">
        <v>80.71565846</v>
      </c>
      <c r="H7" s="20" t="n">
        <v>1.07822304</v>
      </c>
      <c r="I7" s="18" t="s">
        <v>567</v>
      </c>
      <c r="J7" s="20" t="s">
        <v>567</v>
      </c>
      <c r="K7" s="18" t="n">
        <v>1.0440441</v>
      </c>
      <c r="L7" s="20" t="n">
        <v>0.28594991</v>
      </c>
      <c r="M7" s="18" t="n">
        <v>0</v>
      </c>
      <c r="N7" s="20" t="n">
        <v>0</v>
      </c>
      <c r="O7" s="18" t="n">
        <v>0</v>
      </c>
      <c r="P7" s="20" t="n">
        <v>0</v>
      </c>
      <c r="Q7" s="18" t="n">
        <v>1.04763231</v>
      </c>
      <c r="R7" s="20" t="n">
        <v>0.30830193</v>
      </c>
    </row>
    <row r="8" spans="1:18">
      <c r="A8" s="15" t="s">
        <v>568</v>
      </c>
      <c r="B8" s="17" t="n">
        <v>3564</v>
      </c>
      <c r="C8" s="18">
        <f>(2783.0/B8*100)</f>
        <v/>
      </c>
      <c r="D8" s="19" t="n">
        <v>781</v>
      </c>
      <c r="E8" s="18" t="n">
        <v>15.52628099</v>
      </c>
      <c r="F8" s="20" t="n">
        <v>1.46173899</v>
      </c>
      <c r="G8" s="18" t="n">
        <v>83.91329639999999</v>
      </c>
      <c r="H8" s="20" t="n">
        <v>1.50326796</v>
      </c>
      <c r="I8" s="18" t="s">
        <v>567</v>
      </c>
      <c r="J8" s="20" t="s">
        <v>567</v>
      </c>
      <c r="K8" s="18" t="n">
        <v>0.25173024</v>
      </c>
      <c r="L8" s="20" t="n">
        <v>0.15312106</v>
      </c>
      <c r="M8" s="18" t="n">
        <v>0</v>
      </c>
      <c r="N8" s="20" t="n">
        <v>0</v>
      </c>
      <c r="O8" s="18" t="n">
        <v>0</v>
      </c>
      <c r="P8" s="20" t="n">
        <v>0</v>
      </c>
      <c r="Q8" s="18" t="n">
        <v>0.30869237</v>
      </c>
      <c r="R8" s="20" t="n">
        <v>0.17701417</v>
      </c>
    </row>
    <row r="9" spans="1:18">
      <c r="A9" s="15" t="s">
        <v>569</v>
      </c>
      <c r="B9" s="17" t="n">
        <v>4899</v>
      </c>
      <c r="C9" s="18">
        <f>(3906.0/B9*100)</f>
        <v/>
      </c>
      <c r="D9" s="19" t="n">
        <v>993</v>
      </c>
      <c r="E9" s="18" t="n">
        <v>19.85123417</v>
      </c>
      <c r="F9" s="20" t="n">
        <v>1.54618584</v>
      </c>
      <c r="G9" s="18" t="n">
        <v>77.57806275999999</v>
      </c>
      <c r="H9" s="20" t="n">
        <v>1.65135272</v>
      </c>
      <c r="I9" s="18" t="s">
        <v>567</v>
      </c>
      <c r="J9" s="20" t="s">
        <v>567</v>
      </c>
      <c r="K9" s="18" t="n">
        <v>2.11960265</v>
      </c>
      <c r="L9" s="20" t="n">
        <v>0.46961506</v>
      </c>
      <c r="M9" s="18" t="n">
        <v>0</v>
      </c>
      <c r="N9" s="20" t="n">
        <v>0</v>
      </c>
      <c r="O9" s="18" t="n">
        <v>0</v>
      </c>
      <c r="P9" s="20" t="n">
        <v>0</v>
      </c>
      <c r="Q9" s="18" t="n">
        <v>0.45110042</v>
      </c>
      <c r="R9" s="20" t="n">
        <v>0.20435761</v>
      </c>
    </row>
    <row r="10" spans="1:18">
      <c r="A10" s="15" t="s">
        <v>570</v>
      </c>
      <c r="B10" s="17" t="n">
        <v>10036</v>
      </c>
      <c r="C10" s="18">
        <f>(7784.0/B10*100)</f>
        <v/>
      </c>
      <c r="D10" s="19" t="n">
        <v>2252</v>
      </c>
      <c r="E10" s="18" t="n">
        <v>13.35488146</v>
      </c>
      <c r="F10" s="20" t="n">
        <v>1.01850321</v>
      </c>
      <c r="G10" s="18" t="n">
        <v>84.75881732000001</v>
      </c>
      <c r="H10" s="20" t="n">
        <v>1.0543364</v>
      </c>
      <c r="I10" s="18" t="s">
        <v>567</v>
      </c>
      <c r="J10" s="20" t="s">
        <v>567</v>
      </c>
      <c r="K10" s="18" t="n">
        <v>1.39768141</v>
      </c>
      <c r="L10" s="20" t="n">
        <v>0.3964108</v>
      </c>
      <c r="M10" s="18" t="n">
        <v>0</v>
      </c>
      <c r="N10" s="20" t="n">
        <v>0</v>
      </c>
      <c r="O10" s="18" t="n">
        <v>0</v>
      </c>
      <c r="P10" s="20" t="n">
        <v>0</v>
      </c>
      <c r="Q10" s="18" t="n">
        <v>0.4886198</v>
      </c>
      <c r="R10" s="20" t="n">
        <v>0.1834447</v>
      </c>
    </row>
    <row r="11" spans="1:18">
      <c r="A11" s="15" t="s">
        <v>571</v>
      </c>
      <c r="B11" s="17" t="n">
        <v>3553</v>
      </c>
      <c r="C11" s="18">
        <f>(2788.0/B11*100)</f>
        <v/>
      </c>
      <c r="D11" s="19" t="n">
        <v>765</v>
      </c>
      <c r="E11" s="18" t="n">
        <v>24.44039983</v>
      </c>
      <c r="F11" s="20" t="n">
        <v>2.31321957</v>
      </c>
      <c r="G11" s="18" t="n">
        <v>69.9223465</v>
      </c>
      <c r="H11" s="20" t="n">
        <v>2.24241571</v>
      </c>
      <c r="I11" s="18" t="s">
        <v>567</v>
      </c>
      <c r="J11" s="20" t="s">
        <v>567</v>
      </c>
      <c r="K11" s="18" t="n">
        <v>3.06410319</v>
      </c>
      <c r="L11" s="20" t="n">
        <v>0.74541407</v>
      </c>
      <c r="M11" s="18" t="n">
        <v>0</v>
      </c>
      <c r="N11" s="20" t="n">
        <v>0</v>
      </c>
      <c r="O11" s="18" t="n">
        <v>0</v>
      </c>
      <c r="P11" s="20" t="n">
        <v>0</v>
      </c>
      <c r="Q11" s="18" t="n">
        <v>2.57315048</v>
      </c>
      <c r="R11" s="20" t="n">
        <v>0.7413672100000001</v>
      </c>
    </row>
    <row r="12" spans="1:18">
      <c r="A12" s="15" t="s">
        <v>572</v>
      </c>
      <c r="B12" s="17" t="n">
        <v>3472</v>
      </c>
      <c r="C12" s="18">
        <f>(2774.0/B12*100)</f>
        <v/>
      </c>
      <c r="D12" s="19" t="n">
        <v>698</v>
      </c>
      <c r="E12" s="18" t="n">
        <v>17.14676149</v>
      </c>
      <c r="F12" s="20" t="n">
        <v>1.44229457</v>
      </c>
      <c r="G12" s="18" t="n">
        <v>80.80193099</v>
      </c>
      <c r="H12" s="20" t="n">
        <v>1.53215332</v>
      </c>
      <c r="I12" s="18" t="s">
        <v>567</v>
      </c>
      <c r="J12" s="20" t="s">
        <v>567</v>
      </c>
      <c r="K12" s="18" t="n">
        <v>0.92669568</v>
      </c>
      <c r="L12" s="20" t="n">
        <v>0.31206986</v>
      </c>
      <c r="M12" s="18" t="n">
        <v>0</v>
      </c>
      <c r="N12" s="20" t="n">
        <v>0</v>
      </c>
      <c r="O12" s="18" t="n">
        <v>0</v>
      </c>
      <c r="P12" s="20" t="n">
        <v>0</v>
      </c>
      <c r="Q12" s="18" t="n">
        <v>1.12461184</v>
      </c>
      <c r="R12" s="20" t="n">
        <v>0.6290246900000001</v>
      </c>
    </row>
    <row r="13" spans="1:18">
      <c r="A13" s="15" t="s">
        <v>573</v>
      </c>
      <c r="B13" s="17" t="n">
        <v>3559</v>
      </c>
      <c r="C13" s="18">
        <f>(2812.0/B13*100)</f>
        <v/>
      </c>
      <c r="D13" s="19" t="n">
        <v>747</v>
      </c>
      <c r="E13" s="18" t="n">
        <v>16.52996091</v>
      </c>
      <c r="F13" s="20" t="n">
        <v>1.40580816</v>
      </c>
      <c r="G13" s="18" t="n">
        <v>81.79516181</v>
      </c>
      <c r="H13" s="20" t="n">
        <v>1.64719441</v>
      </c>
      <c r="I13" s="18" t="s">
        <v>567</v>
      </c>
      <c r="J13" s="20" t="s">
        <v>567</v>
      </c>
      <c r="K13" s="18" t="n">
        <v>0.71714106</v>
      </c>
      <c r="L13" s="20" t="n">
        <v>0.29752703</v>
      </c>
      <c r="M13" s="18" t="n">
        <v>0</v>
      </c>
      <c r="N13" s="20" t="n">
        <v>0</v>
      </c>
      <c r="O13" s="18" t="n">
        <v>0</v>
      </c>
      <c r="P13" s="20" t="n">
        <v>0</v>
      </c>
      <c r="Q13" s="18" t="n">
        <v>0.95773622</v>
      </c>
      <c r="R13" s="20" t="n">
        <v>0.92827832</v>
      </c>
    </row>
    <row r="14" spans="1:18">
      <c r="A14" s="15" t="s">
        <v>574</v>
      </c>
      <c r="B14" s="17" t="n">
        <v>2799</v>
      </c>
      <c r="C14" s="18">
        <f>(2167.0/B14*100)</f>
        <v/>
      </c>
      <c r="D14" s="19" t="n">
        <v>632</v>
      </c>
      <c r="E14" s="18" t="n">
        <v>23.33334838</v>
      </c>
      <c r="F14" s="20" t="n">
        <v>2.09070979</v>
      </c>
      <c r="G14" s="18" t="n">
        <v>74.50246669000001</v>
      </c>
      <c r="H14" s="20" t="n">
        <v>1.92425094</v>
      </c>
      <c r="I14" s="18" t="s">
        <v>567</v>
      </c>
      <c r="J14" s="20" t="s">
        <v>567</v>
      </c>
      <c r="K14" s="18" t="n">
        <v>2.16418492</v>
      </c>
      <c r="L14" s="20" t="n">
        <v>0.81073447</v>
      </c>
      <c r="M14" s="18" t="n">
        <v>0</v>
      </c>
      <c r="N14" s="20" t="n">
        <v>0</v>
      </c>
      <c r="O14" s="18" t="n">
        <v>0</v>
      </c>
      <c r="P14" s="20" t="n">
        <v>0</v>
      </c>
      <c r="Q14" s="18" t="n">
        <v>0</v>
      </c>
      <c r="R14" s="20" t="n">
        <v>0</v>
      </c>
    </row>
    <row r="15" spans="1:18">
      <c r="A15" s="15" t="s">
        <v>575</v>
      </c>
      <c r="B15" s="17" t="n">
        <v>3019</v>
      </c>
      <c r="C15" s="18">
        <f>(2357.0/B15*100)</f>
        <v/>
      </c>
      <c r="D15" s="19" t="n">
        <v>662</v>
      </c>
      <c r="E15" s="18" t="n">
        <v>16.66581395</v>
      </c>
      <c r="F15" s="20" t="n">
        <v>1.58451068</v>
      </c>
      <c r="G15" s="18" t="n">
        <v>82.7439706</v>
      </c>
      <c r="H15" s="20" t="n">
        <v>1.64947212</v>
      </c>
      <c r="I15" s="18" t="s">
        <v>567</v>
      </c>
      <c r="J15" s="20" t="s">
        <v>567</v>
      </c>
      <c r="K15" s="18" t="n">
        <v>0.43969483</v>
      </c>
      <c r="L15" s="20" t="n">
        <v>0.25604915</v>
      </c>
      <c r="M15" s="18" t="n">
        <v>0</v>
      </c>
      <c r="N15" s="20" t="n">
        <v>0</v>
      </c>
      <c r="O15" s="18" t="n">
        <v>0</v>
      </c>
      <c r="P15" s="20" t="n">
        <v>0</v>
      </c>
      <c r="Q15" s="18" t="n">
        <v>0.15052062</v>
      </c>
      <c r="R15" s="20" t="n">
        <v>0.15819091</v>
      </c>
    </row>
    <row r="16" spans="1:18">
      <c r="A16" s="15" t="s">
        <v>576</v>
      </c>
      <c r="B16" s="17" t="n">
        <v>2997</v>
      </c>
      <c r="C16" s="18">
        <f>(2336.0/B16*100)</f>
        <v/>
      </c>
      <c r="D16" s="19" t="n">
        <v>661</v>
      </c>
      <c r="E16" s="18" t="n">
        <v>26.93412984</v>
      </c>
      <c r="F16" s="20" t="n">
        <v>1.74579136</v>
      </c>
      <c r="G16" s="18" t="n">
        <v>68.12137502</v>
      </c>
      <c r="H16" s="20" t="n">
        <v>1.97866985</v>
      </c>
      <c r="I16" s="18" t="s">
        <v>567</v>
      </c>
      <c r="J16" s="20" t="s">
        <v>567</v>
      </c>
      <c r="K16" s="18" t="n">
        <v>3.30334616</v>
      </c>
      <c r="L16" s="20" t="n">
        <v>0.72467105</v>
      </c>
      <c r="M16" s="18" t="n">
        <v>0</v>
      </c>
      <c r="N16" s="20" t="n">
        <v>0</v>
      </c>
      <c r="O16" s="18" t="n">
        <v>0</v>
      </c>
      <c r="P16" s="20" t="n">
        <v>0</v>
      </c>
      <c r="Q16" s="18" t="n">
        <v>1.64114898</v>
      </c>
      <c r="R16" s="20" t="n">
        <v>0.5135978</v>
      </c>
    </row>
    <row r="17" spans="1:18">
      <c r="A17" s="15" t="s">
        <v>577</v>
      </c>
      <c r="B17" s="17" t="n">
        <v>3307</v>
      </c>
      <c r="C17" s="18">
        <f>(2582.0/B17*100)</f>
        <v/>
      </c>
      <c r="D17" s="19" t="n">
        <v>725</v>
      </c>
      <c r="E17" s="18" t="n">
        <v>15.05989968</v>
      </c>
      <c r="F17" s="20" t="n">
        <v>1.55606637</v>
      </c>
      <c r="G17" s="18" t="n">
        <v>82.95916364999999</v>
      </c>
      <c r="H17" s="20" t="n">
        <v>1.57217599</v>
      </c>
      <c r="I17" s="18" t="s">
        <v>567</v>
      </c>
      <c r="J17" s="20" t="s">
        <v>567</v>
      </c>
      <c r="K17" s="18" t="n">
        <v>1.30175344</v>
      </c>
      <c r="L17" s="20" t="n">
        <v>0.37704682</v>
      </c>
      <c r="M17" s="18" t="n">
        <v>0</v>
      </c>
      <c r="N17" s="20" t="n">
        <v>0</v>
      </c>
      <c r="O17" s="18" t="n">
        <v>0</v>
      </c>
      <c r="P17" s="20" t="n">
        <v>0</v>
      </c>
      <c r="Q17" s="18" t="n">
        <v>0.67918323</v>
      </c>
      <c r="R17" s="20" t="n">
        <v>0.32963747</v>
      </c>
    </row>
    <row r="18" spans="1:18">
      <c r="A18" s="15" t="s">
        <v>578</v>
      </c>
      <c r="B18" s="17" t="n">
        <v>2826</v>
      </c>
      <c r="C18" s="18">
        <f>(2220.0/B18*100)</f>
        <v/>
      </c>
      <c r="D18" s="19" t="n">
        <v>606</v>
      </c>
      <c r="E18" s="18" t="n">
        <v>34.76112526</v>
      </c>
      <c r="F18" s="20" t="n">
        <v>2.05228049</v>
      </c>
      <c r="G18" s="18" t="n">
        <v>62.84126085</v>
      </c>
      <c r="H18" s="20" t="n">
        <v>2.0860249</v>
      </c>
      <c r="I18" s="18" t="s">
        <v>567</v>
      </c>
      <c r="J18" s="20" t="s">
        <v>567</v>
      </c>
      <c r="K18" s="18" t="n">
        <v>1.76992386</v>
      </c>
      <c r="L18" s="20" t="n">
        <v>0.45318316</v>
      </c>
      <c r="M18" s="18" t="n">
        <v>0</v>
      </c>
      <c r="N18" s="20" t="n">
        <v>0</v>
      </c>
      <c r="O18" s="18" t="n">
        <v>0</v>
      </c>
      <c r="P18" s="20" t="n">
        <v>0</v>
      </c>
      <c r="Q18" s="18" t="n">
        <v>0.62769003</v>
      </c>
      <c r="R18" s="20" t="n">
        <v>0.3096243</v>
      </c>
    </row>
    <row r="19" spans="1:18">
      <c r="A19" s="15" t="s">
        <v>579</v>
      </c>
      <c r="B19" s="17" t="n">
        <v>2808</v>
      </c>
      <c r="C19" s="18">
        <f>(2237.0/B19*100)</f>
        <v/>
      </c>
      <c r="D19" s="19" t="n">
        <v>571</v>
      </c>
      <c r="E19" s="18" t="n">
        <v>31.8167009</v>
      </c>
      <c r="F19" s="20" t="n">
        <v>2.25442492</v>
      </c>
      <c r="G19" s="18" t="n">
        <v>67.60151806</v>
      </c>
      <c r="H19" s="20" t="n">
        <v>2.21632273</v>
      </c>
      <c r="I19" s="18" t="s">
        <v>567</v>
      </c>
      <c r="J19" s="20" t="s">
        <v>567</v>
      </c>
      <c r="K19" s="18" t="n">
        <v>0.38506157</v>
      </c>
      <c r="L19" s="20" t="n">
        <v>0.38899661</v>
      </c>
      <c r="M19" s="18" t="n">
        <v>0</v>
      </c>
      <c r="N19" s="20" t="n">
        <v>0</v>
      </c>
      <c r="O19" s="18" t="n">
        <v>0</v>
      </c>
      <c r="P19" s="20" t="n">
        <v>0</v>
      </c>
      <c r="Q19" s="18" t="n">
        <v>0.19671948</v>
      </c>
      <c r="R19" s="20" t="n">
        <v>0.19559313</v>
      </c>
    </row>
    <row r="20" spans="1:18">
      <c r="A20" s="15" t="s">
        <v>580</v>
      </c>
      <c r="B20" s="17" t="n">
        <v>1630</v>
      </c>
      <c r="C20" s="18">
        <f>(1266.0/B20*100)</f>
        <v/>
      </c>
      <c r="D20" s="19" t="n">
        <v>364</v>
      </c>
      <c r="E20" s="18" t="n">
        <v>20.27914469</v>
      </c>
      <c r="F20" s="20" t="n">
        <v>2.06496264</v>
      </c>
      <c r="G20" s="18" t="n">
        <v>76.76932035</v>
      </c>
      <c r="H20" s="20" t="n">
        <v>2.1649076</v>
      </c>
      <c r="I20" s="18" t="s">
        <v>567</v>
      </c>
      <c r="J20" s="20" t="s">
        <v>567</v>
      </c>
      <c r="K20" s="18" t="n">
        <v>2.43302304</v>
      </c>
      <c r="L20" s="20" t="n">
        <v>0.7815846400000001</v>
      </c>
      <c r="M20" s="18" t="n">
        <v>0</v>
      </c>
      <c r="N20" s="20" t="n">
        <v>0</v>
      </c>
      <c r="O20" s="18" t="n">
        <v>0</v>
      </c>
      <c r="P20" s="20" t="n">
        <v>0</v>
      </c>
      <c r="Q20" s="18" t="n">
        <v>0.51851192</v>
      </c>
      <c r="R20" s="20" t="n">
        <v>0.36526734</v>
      </c>
    </row>
    <row r="21" spans="1:18">
      <c r="A21" s="15" t="s">
        <v>581</v>
      </c>
      <c r="B21" s="17" t="n">
        <v>2908</v>
      </c>
      <c r="C21" s="18">
        <f>(2292.0/B21*100)</f>
        <v/>
      </c>
      <c r="D21" s="19" t="n">
        <v>616</v>
      </c>
      <c r="E21" s="18" t="n">
        <v>10.88499629</v>
      </c>
      <c r="F21" s="20" t="n">
        <v>1.48600244</v>
      </c>
      <c r="G21" s="18" t="n">
        <v>87.5572197</v>
      </c>
      <c r="H21" s="20" t="n">
        <v>1.53452668</v>
      </c>
      <c r="I21" s="18" t="s">
        <v>567</v>
      </c>
      <c r="J21" s="20" t="s">
        <v>567</v>
      </c>
      <c r="K21" s="18" t="n">
        <v>1.22829552</v>
      </c>
      <c r="L21" s="20" t="n">
        <v>0.44150909</v>
      </c>
      <c r="M21" s="18" t="n">
        <v>0</v>
      </c>
      <c r="N21" s="20" t="n">
        <v>0</v>
      </c>
      <c r="O21" s="18" t="n">
        <v>0</v>
      </c>
      <c r="P21" s="20" t="n">
        <v>0</v>
      </c>
      <c r="Q21" s="18" t="n">
        <v>0.32948849</v>
      </c>
      <c r="R21" s="20" t="n">
        <v>0.30418169</v>
      </c>
    </row>
    <row r="22" spans="1:18">
      <c r="A22" s="15" t="s">
        <v>582</v>
      </c>
      <c r="B22" s="17" t="n">
        <v>2931</v>
      </c>
      <c r="C22" s="18">
        <f>(2280.0/B22*100)</f>
        <v/>
      </c>
      <c r="D22" s="19" t="n">
        <v>651</v>
      </c>
      <c r="E22" s="18" t="n">
        <v>24.68561732</v>
      </c>
      <c r="F22" s="20" t="n">
        <v>1.95966381</v>
      </c>
      <c r="G22" s="18" t="n">
        <v>70.54308844000001</v>
      </c>
      <c r="H22" s="20" t="n">
        <v>2.25127916</v>
      </c>
      <c r="I22" s="18" t="s">
        <v>567</v>
      </c>
      <c r="J22" s="20" t="s">
        <v>567</v>
      </c>
      <c r="K22" s="18" t="n">
        <v>2.273282</v>
      </c>
      <c r="L22" s="20" t="n">
        <v>0.7052310000000001</v>
      </c>
      <c r="M22" s="18" t="n">
        <v>0</v>
      </c>
      <c r="N22" s="20" t="n">
        <v>0</v>
      </c>
      <c r="O22" s="18" t="n">
        <v>0</v>
      </c>
      <c r="P22" s="20" t="n">
        <v>0</v>
      </c>
      <c r="Q22" s="18" t="n">
        <v>2.49801224</v>
      </c>
      <c r="R22" s="20" t="n">
        <v>0.68331243</v>
      </c>
    </row>
    <row r="23" spans="1:18">
      <c r="A23" s="15" t="s">
        <v>583</v>
      </c>
      <c r="B23" s="17" t="n">
        <v>5791</v>
      </c>
      <c r="C23" s="18">
        <f>(4542.0/B23*100)</f>
        <v/>
      </c>
      <c r="D23" s="19" t="n">
        <v>1249</v>
      </c>
      <c r="E23" s="18" t="n">
        <v>29.57965123</v>
      </c>
      <c r="F23" s="20" t="n">
        <v>2.13456277</v>
      </c>
      <c r="G23" s="18" t="n">
        <v>66.78783067000001</v>
      </c>
      <c r="H23" s="20" t="n">
        <v>2.20933275</v>
      </c>
      <c r="I23" s="18" t="s">
        <v>567</v>
      </c>
      <c r="J23" s="20" t="s">
        <v>567</v>
      </c>
      <c r="K23" s="18" t="n">
        <v>1.63379749</v>
      </c>
      <c r="L23" s="20" t="n">
        <v>0.51168684</v>
      </c>
      <c r="M23" s="18" t="n">
        <v>0</v>
      </c>
      <c r="N23" s="20" t="n">
        <v>0</v>
      </c>
      <c r="O23" s="18" t="n">
        <v>0</v>
      </c>
      <c r="P23" s="20" t="n">
        <v>0</v>
      </c>
      <c r="Q23" s="18" t="n">
        <v>1.99872061</v>
      </c>
      <c r="R23" s="20" t="n">
        <v>0.58441815</v>
      </c>
    </row>
    <row r="24" spans="1:18">
      <c r="A24" s="15" t="s">
        <v>584</v>
      </c>
      <c r="B24" s="17" t="n">
        <v>3338</v>
      </c>
      <c r="C24" s="18">
        <f>(2614.0/B24*100)</f>
        <v/>
      </c>
      <c r="D24" s="19" t="n">
        <v>724</v>
      </c>
      <c r="E24" s="18" t="n">
        <v>13.30980456</v>
      </c>
      <c r="F24" s="20" t="n">
        <v>1.36338366</v>
      </c>
      <c r="G24" s="18" t="n">
        <v>84.66827017</v>
      </c>
      <c r="H24" s="20" t="n">
        <v>1.38686451</v>
      </c>
      <c r="I24" s="18" t="s">
        <v>567</v>
      </c>
      <c r="J24" s="20" t="s">
        <v>567</v>
      </c>
      <c r="K24" s="18" t="n">
        <v>0.96726468</v>
      </c>
      <c r="L24" s="20" t="n">
        <v>0.44725569</v>
      </c>
      <c r="M24" s="18" t="n">
        <v>0</v>
      </c>
      <c r="N24" s="20" t="n">
        <v>0</v>
      </c>
      <c r="O24" s="18" t="n">
        <v>0</v>
      </c>
      <c r="P24" s="20" t="n">
        <v>0</v>
      </c>
      <c r="Q24" s="18" t="n">
        <v>1.05466059</v>
      </c>
      <c r="R24" s="20" t="n">
        <v>0.43282115</v>
      </c>
    </row>
    <row r="25" spans="1:18">
      <c r="A25" s="15" t="s">
        <v>585</v>
      </c>
      <c r="B25" s="17" t="n">
        <v>2912</v>
      </c>
      <c r="C25" s="18">
        <f>(2247.0/B25*100)</f>
        <v/>
      </c>
      <c r="D25" s="19" t="n">
        <v>665</v>
      </c>
      <c r="E25" s="18" t="n">
        <v>13.48889547</v>
      </c>
      <c r="F25" s="20" t="n">
        <v>1.33648612</v>
      </c>
      <c r="G25" s="18" t="n">
        <v>84.33903657</v>
      </c>
      <c r="H25" s="20" t="n">
        <v>1.54555978</v>
      </c>
      <c r="I25" s="18" t="s">
        <v>567</v>
      </c>
      <c r="J25" s="20" t="s">
        <v>567</v>
      </c>
      <c r="K25" s="18" t="n">
        <v>0.80154467</v>
      </c>
      <c r="L25" s="20" t="n">
        <v>0.42936723</v>
      </c>
      <c r="M25" s="18" t="n">
        <v>0</v>
      </c>
      <c r="N25" s="20" t="n">
        <v>0</v>
      </c>
      <c r="O25" s="18" t="n">
        <v>0</v>
      </c>
      <c r="P25" s="20" t="n">
        <v>0</v>
      </c>
      <c r="Q25" s="18" t="n">
        <v>1.37052329</v>
      </c>
      <c r="R25" s="20" t="n">
        <v>0.50451662</v>
      </c>
    </row>
    <row r="26" spans="1:18">
      <c r="A26" s="15" t="s">
        <v>586</v>
      </c>
      <c r="B26" s="17" t="n">
        <v>2450</v>
      </c>
      <c r="C26" s="18">
        <f>(1888.0/B26*100)</f>
        <v/>
      </c>
      <c r="D26" s="19" t="n">
        <v>562</v>
      </c>
      <c r="E26" s="18" t="n">
        <v>30.9571966</v>
      </c>
      <c r="F26" s="20" t="n">
        <v>2.32484637</v>
      </c>
      <c r="G26" s="18" t="n">
        <v>67.88318911</v>
      </c>
      <c r="H26" s="20" t="n">
        <v>2.18544964</v>
      </c>
      <c r="I26" s="18" t="s">
        <v>567</v>
      </c>
      <c r="J26" s="20" t="s">
        <v>567</v>
      </c>
      <c r="K26" s="18" t="n">
        <v>0.80817826</v>
      </c>
      <c r="L26" s="20" t="n">
        <v>0.34027348</v>
      </c>
      <c r="M26" s="18" t="n">
        <v>0</v>
      </c>
      <c r="N26" s="20" t="n">
        <v>0</v>
      </c>
      <c r="O26" s="18" t="n">
        <v>0</v>
      </c>
      <c r="P26" s="20" t="n">
        <v>0</v>
      </c>
      <c r="Q26" s="18" t="n">
        <v>0.35143603</v>
      </c>
      <c r="R26" s="20" t="n">
        <v>0.36385478</v>
      </c>
    </row>
    <row r="27" spans="1:18">
      <c r="A27" s="15" t="s">
        <v>587</v>
      </c>
      <c r="B27" s="17" t="n">
        <v>2616</v>
      </c>
      <c r="C27" s="18">
        <f>(2073.0/B27*100)</f>
        <v/>
      </c>
      <c r="D27" s="19" t="n">
        <v>543</v>
      </c>
      <c r="E27" s="18" t="n">
        <v>32.84531014</v>
      </c>
      <c r="F27" s="20" t="n">
        <v>1.95088464</v>
      </c>
      <c r="G27" s="18" t="n">
        <v>64.78737</v>
      </c>
      <c r="H27" s="20" t="n">
        <v>1.89188616</v>
      </c>
      <c r="I27" s="18" t="s">
        <v>567</v>
      </c>
      <c r="J27" s="20" t="s">
        <v>567</v>
      </c>
      <c r="K27" s="18" t="n">
        <v>1.64514456</v>
      </c>
      <c r="L27" s="20" t="n">
        <v>0.54406862</v>
      </c>
      <c r="M27" s="18" t="n">
        <v>0</v>
      </c>
      <c r="N27" s="20" t="n">
        <v>0</v>
      </c>
      <c r="O27" s="18" t="n">
        <v>0</v>
      </c>
      <c r="P27" s="20" t="n">
        <v>0</v>
      </c>
      <c r="Q27" s="18" t="n">
        <v>0.7221753</v>
      </c>
      <c r="R27" s="20" t="n">
        <v>0.36624881</v>
      </c>
    </row>
    <row r="28" spans="1:18">
      <c r="A28" s="15" t="s">
        <v>588</v>
      </c>
      <c r="B28" s="17" t="n">
        <v>3765</v>
      </c>
      <c r="C28" s="18">
        <f>(3057.0/B28*100)</f>
        <v/>
      </c>
      <c r="D28" s="19" t="n">
        <v>708</v>
      </c>
      <c r="E28" s="18" t="n">
        <v>29.95168378</v>
      </c>
      <c r="F28" s="20" t="n">
        <v>1.77129359</v>
      </c>
      <c r="G28" s="18" t="n">
        <v>66.76935039</v>
      </c>
      <c r="H28" s="20" t="n">
        <v>1.84453257</v>
      </c>
      <c r="I28" s="18" t="s">
        <v>567</v>
      </c>
      <c r="J28" s="20" t="s">
        <v>567</v>
      </c>
      <c r="K28" s="18" t="n">
        <v>1.69832806</v>
      </c>
      <c r="L28" s="20" t="n">
        <v>0.55485187</v>
      </c>
      <c r="M28" s="18" t="n">
        <v>0</v>
      </c>
      <c r="N28" s="20" t="n">
        <v>0</v>
      </c>
      <c r="O28" s="18" t="n">
        <v>0</v>
      </c>
      <c r="P28" s="20" t="n">
        <v>0</v>
      </c>
      <c r="Q28" s="18" t="n">
        <v>1.58063776</v>
      </c>
      <c r="R28" s="20" t="n">
        <v>0.55426436</v>
      </c>
    </row>
    <row r="29" spans="1:18">
      <c r="A29" s="15" t="s">
        <v>589</v>
      </c>
      <c r="B29" s="17" t="n">
        <v>2685</v>
      </c>
      <c r="C29" s="18">
        <f>(2097.0/B29*100)</f>
        <v/>
      </c>
      <c r="D29" s="19" t="n">
        <v>588</v>
      </c>
      <c r="E29" s="18" t="n">
        <v>15.11379323</v>
      </c>
      <c r="F29" s="20" t="n">
        <v>1.52955002</v>
      </c>
      <c r="G29" s="18" t="n">
        <v>83.83855925</v>
      </c>
      <c r="H29" s="20" t="n">
        <v>1.54088455</v>
      </c>
      <c r="I29" s="18" t="s">
        <v>567</v>
      </c>
      <c r="J29" s="20" t="s">
        <v>567</v>
      </c>
      <c r="K29" s="18" t="n">
        <v>0.67414715</v>
      </c>
      <c r="L29" s="20" t="n">
        <v>0.39465306</v>
      </c>
      <c r="M29" s="18" t="n">
        <v>0</v>
      </c>
      <c r="N29" s="20" t="n">
        <v>0</v>
      </c>
      <c r="O29" s="18" t="n">
        <v>0</v>
      </c>
      <c r="P29" s="20" t="n">
        <v>0</v>
      </c>
      <c r="Q29" s="18" t="n">
        <v>0.37350037</v>
      </c>
      <c r="R29" s="20" t="n">
        <v>0.04057452</v>
      </c>
    </row>
    <row r="30" spans="1:18">
      <c r="A30" s="15" t="s">
        <v>590</v>
      </c>
      <c r="B30" s="17" t="n">
        <v>2263</v>
      </c>
      <c r="C30" s="18">
        <f>(1799.0/B30*100)</f>
        <v/>
      </c>
      <c r="D30" s="19" t="n">
        <v>464</v>
      </c>
      <c r="E30" s="18" t="n">
        <v>14.17621923</v>
      </c>
      <c r="F30" s="20" t="n">
        <v>1.59032714</v>
      </c>
      <c r="G30" s="18" t="n">
        <v>83.07837164999999</v>
      </c>
      <c r="H30" s="20" t="n">
        <v>1.7839038</v>
      </c>
      <c r="I30" s="18" t="s">
        <v>567</v>
      </c>
      <c r="J30" s="20" t="s">
        <v>567</v>
      </c>
      <c r="K30" s="18" t="n">
        <v>1.91308904</v>
      </c>
      <c r="L30" s="20" t="n">
        <v>0.69077975</v>
      </c>
      <c r="M30" s="18" t="n">
        <v>0</v>
      </c>
      <c r="N30" s="20" t="n">
        <v>0</v>
      </c>
      <c r="O30" s="18" t="n">
        <v>0</v>
      </c>
      <c r="P30" s="20" t="n">
        <v>0</v>
      </c>
      <c r="Q30" s="18" t="n">
        <v>0.83232009</v>
      </c>
      <c r="R30" s="20" t="n">
        <v>0.41917941</v>
      </c>
    </row>
    <row r="31" spans="1:18">
      <c r="A31" s="15" t="s">
        <v>591</v>
      </c>
      <c r="B31" s="17" t="n">
        <v>2750</v>
      </c>
      <c r="C31" s="18">
        <f>(2152.0/B31*100)</f>
        <v/>
      </c>
      <c r="D31" s="19" t="n">
        <v>598</v>
      </c>
      <c r="E31" s="18" t="n">
        <v>18.86519186</v>
      </c>
      <c r="F31" s="20" t="n">
        <v>1.51646992</v>
      </c>
      <c r="G31" s="18" t="n">
        <v>76.64778406000001</v>
      </c>
      <c r="H31" s="20" t="n">
        <v>1.61120214</v>
      </c>
      <c r="I31" s="18" t="s">
        <v>567</v>
      </c>
      <c r="J31" s="20" t="s">
        <v>567</v>
      </c>
      <c r="K31" s="18" t="n">
        <v>2.87851618</v>
      </c>
      <c r="L31" s="20" t="n">
        <v>0.61444513</v>
      </c>
      <c r="M31" s="18" t="n">
        <v>0</v>
      </c>
      <c r="N31" s="20" t="n">
        <v>0</v>
      </c>
      <c r="O31" s="18" t="n">
        <v>0</v>
      </c>
      <c r="P31" s="20" t="n">
        <v>0</v>
      </c>
      <c r="Q31" s="18" t="n">
        <v>1.60850789</v>
      </c>
      <c r="R31" s="20" t="n">
        <v>0.45459029</v>
      </c>
    </row>
    <row r="32" spans="1:18">
      <c r="A32" s="15" t="s">
        <v>592</v>
      </c>
      <c r="B32" s="17" t="n">
        <v>2269</v>
      </c>
      <c r="C32" s="18">
        <f>(1744.0/B32*100)</f>
        <v/>
      </c>
      <c r="D32" s="19" t="n">
        <v>525</v>
      </c>
      <c r="E32" s="18" t="n">
        <v>22.69332553</v>
      </c>
      <c r="F32" s="20" t="n">
        <v>1.59044021</v>
      </c>
      <c r="G32" s="18" t="n">
        <v>76.62656301</v>
      </c>
      <c r="H32" s="20" t="n">
        <v>1.57630893</v>
      </c>
      <c r="I32" s="18" t="s">
        <v>567</v>
      </c>
      <c r="J32" s="20" t="s">
        <v>567</v>
      </c>
      <c r="K32" s="18" t="n">
        <v>0.6801114700000001</v>
      </c>
      <c r="L32" s="20" t="n">
        <v>0.34593584</v>
      </c>
      <c r="M32" s="18" t="n">
        <v>0</v>
      </c>
      <c r="N32" s="20" t="n">
        <v>0</v>
      </c>
      <c r="O32" s="18" t="n">
        <v>0</v>
      </c>
      <c r="P32" s="20" t="n">
        <v>0</v>
      </c>
      <c r="Q32" s="18" t="n">
        <v>0</v>
      </c>
      <c r="R32" s="20" t="n">
        <v>0</v>
      </c>
    </row>
    <row r="33" spans="1:18">
      <c r="A33" s="15" t="s">
        <v>593</v>
      </c>
      <c r="B33" s="17" t="n">
        <v>3674</v>
      </c>
      <c r="C33" s="18">
        <f>(2942.0/B33*100)</f>
        <v/>
      </c>
      <c r="D33" s="19" t="n">
        <v>732</v>
      </c>
      <c r="E33" s="18" t="n">
        <v>25.53065209</v>
      </c>
      <c r="F33" s="20" t="n">
        <v>2.06319851</v>
      </c>
      <c r="G33" s="18" t="n">
        <v>72.08443296</v>
      </c>
      <c r="H33" s="20" t="n">
        <v>1.91965559</v>
      </c>
      <c r="I33" s="18" t="s">
        <v>567</v>
      </c>
      <c r="J33" s="20" t="s">
        <v>567</v>
      </c>
      <c r="K33" s="18" t="n">
        <v>1.43752308</v>
      </c>
      <c r="L33" s="20" t="n">
        <v>0.65004308</v>
      </c>
      <c r="M33" s="18" t="n">
        <v>0</v>
      </c>
      <c r="N33" s="20" t="n">
        <v>0</v>
      </c>
      <c r="O33" s="18" t="n">
        <v>0</v>
      </c>
      <c r="P33" s="20" t="n">
        <v>0</v>
      </c>
      <c r="Q33" s="18" t="n">
        <v>0.94739187</v>
      </c>
      <c r="R33" s="20" t="n">
        <v>0.40668363</v>
      </c>
    </row>
    <row r="34" spans="1:18">
      <c r="A34" s="15" t="s">
        <v>594</v>
      </c>
      <c r="B34" s="17" t="n">
        <v>3315</v>
      </c>
      <c r="C34" s="18">
        <f>(2605.0/B34*100)</f>
        <v/>
      </c>
      <c r="D34" s="19" t="n">
        <v>710</v>
      </c>
      <c r="E34" s="18" t="n">
        <v>30.12974902</v>
      </c>
      <c r="F34" s="20" t="n">
        <v>2.18899755</v>
      </c>
      <c r="G34" s="18" t="n">
        <v>66.41653141</v>
      </c>
      <c r="H34" s="20" t="n">
        <v>2.11559383</v>
      </c>
      <c r="I34" s="18" t="s">
        <v>567</v>
      </c>
      <c r="J34" s="20" t="s">
        <v>567</v>
      </c>
      <c r="K34" s="18" t="n">
        <v>0.90448189</v>
      </c>
      <c r="L34" s="20" t="n">
        <v>0.38803885</v>
      </c>
      <c r="M34" s="18" t="n">
        <v>0</v>
      </c>
      <c r="N34" s="20" t="n">
        <v>0</v>
      </c>
      <c r="O34" s="18" t="n">
        <v>0</v>
      </c>
      <c r="P34" s="20" t="n">
        <v>0</v>
      </c>
      <c r="Q34" s="18" t="n">
        <v>2.54923768</v>
      </c>
      <c r="R34" s="20" t="n">
        <v>0.63966484</v>
      </c>
    </row>
    <row r="35" spans="1:18">
      <c r="A35" s="15" t="s">
        <v>595</v>
      </c>
      <c r="B35" s="17" t="n">
        <v>3505</v>
      </c>
      <c r="C35" s="18">
        <f>(2766.0/B35*100)</f>
        <v/>
      </c>
      <c r="D35" s="19" t="n">
        <v>739</v>
      </c>
      <c r="E35" s="18" t="n">
        <v>26.54502145</v>
      </c>
      <c r="F35" s="20" t="n">
        <v>2.11534014</v>
      </c>
      <c r="G35" s="18" t="n">
        <v>70.74381987</v>
      </c>
      <c r="H35" s="20" t="n">
        <v>2.17062771</v>
      </c>
      <c r="I35" s="18" t="s">
        <v>567</v>
      </c>
      <c r="J35" s="20" t="s">
        <v>567</v>
      </c>
      <c r="K35" s="18" t="n">
        <v>2.14294812</v>
      </c>
      <c r="L35" s="20" t="n">
        <v>0.8912145</v>
      </c>
      <c r="M35" s="18" t="n">
        <v>0</v>
      </c>
      <c r="N35" s="20" t="n">
        <v>0</v>
      </c>
      <c r="O35" s="18" t="n">
        <v>0</v>
      </c>
      <c r="P35" s="20" t="n">
        <v>0</v>
      </c>
      <c r="Q35" s="18" t="n">
        <v>0.56821056</v>
      </c>
      <c r="R35" s="20" t="n">
        <v>0.27222052</v>
      </c>
    </row>
    <row r="36" spans="1:18">
      <c r="A36" s="15" t="s">
        <v>596</v>
      </c>
      <c r="B36" s="17" t="n">
        <v>3332</v>
      </c>
      <c r="C36" s="18">
        <f>(2649.0/B36*100)</f>
        <v/>
      </c>
      <c r="D36" s="19" t="n">
        <v>683</v>
      </c>
      <c r="E36" s="18" t="n">
        <v>25.81602073</v>
      </c>
      <c r="F36" s="20" t="n">
        <v>1.61103445</v>
      </c>
      <c r="G36" s="18" t="n">
        <v>71.71967407</v>
      </c>
      <c r="H36" s="20" t="n">
        <v>1.77063967</v>
      </c>
      <c r="I36" s="18" t="s">
        <v>567</v>
      </c>
      <c r="J36" s="20" t="s">
        <v>567</v>
      </c>
      <c r="K36" s="18" t="n">
        <v>1.79826331</v>
      </c>
      <c r="L36" s="20" t="n">
        <v>0.49833391</v>
      </c>
      <c r="M36" s="18" t="n">
        <v>0</v>
      </c>
      <c r="N36" s="20" t="n">
        <v>0</v>
      </c>
      <c r="O36" s="18" t="n">
        <v>0</v>
      </c>
      <c r="P36" s="20" t="n">
        <v>0</v>
      </c>
      <c r="Q36" s="18" t="n">
        <v>0.6660419</v>
      </c>
      <c r="R36" s="20" t="n">
        <v>0.34645633</v>
      </c>
    </row>
    <row r="37" spans="1:18">
      <c r="A37" s="15" t="s">
        <v>597</v>
      </c>
      <c r="B37" s="17" t="n">
        <v>2727</v>
      </c>
      <c r="C37" s="18">
        <f>(2155.0/B37*100)</f>
        <v/>
      </c>
      <c r="D37" s="19" t="n">
        <v>572</v>
      </c>
      <c r="E37" s="18" t="n">
        <v>21.69507821</v>
      </c>
      <c r="F37" s="20" t="n">
        <v>1.76884682</v>
      </c>
      <c r="G37" s="18" t="n">
        <v>73.49937401</v>
      </c>
      <c r="H37" s="20" t="n">
        <v>2.17270015</v>
      </c>
      <c r="I37" s="18" t="s">
        <v>567</v>
      </c>
      <c r="J37" s="20" t="s">
        <v>567</v>
      </c>
      <c r="K37" s="18" t="n">
        <v>3.18318942</v>
      </c>
      <c r="L37" s="20" t="n">
        <v>0.83352995</v>
      </c>
      <c r="M37" s="18" t="n">
        <v>0</v>
      </c>
      <c r="N37" s="20" t="n">
        <v>0</v>
      </c>
      <c r="O37" s="18" t="n">
        <v>0</v>
      </c>
      <c r="P37" s="20" t="n">
        <v>0</v>
      </c>
      <c r="Q37" s="18" t="n">
        <v>1.62235835</v>
      </c>
      <c r="R37" s="20" t="n">
        <v>0.41305144</v>
      </c>
    </row>
    <row r="38" spans="1:18">
      <c r="A38" s="15" t="s">
        <v>598</v>
      </c>
      <c r="B38" s="17" t="n">
        <v>3053</v>
      </c>
      <c r="C38" s="18">
        <f>(2416.0/B38*100)</f>
        <v/>
      </c>
      <c r="D38" s="19" t="n">
        <v>637</v>
      </c>
      <c r="E38" s="18" t="n">
        <v>20.34157583</v>
      </c>
      <c r="F38" s="20" t="n">
        <v>1.83531149</v>
      </c>
      <c r="G38" s="18" t="n">
        <v>77.62191024000001</v>
      </c>
      <c r="H38" s="20" t="n">
        <v>1.72852059</v>
      </c>
      <c r="I38" s="18" t="s">
        <v>567</v>
      </c>
      <c r="J38" s="20" t="s">
        <v>567</v>
      </c>
      <c r="K38" s="18" t="n">
        <v>1.57392618</v>
      </c>
      <c r="L38" s="20" t="n">
        <v>0.56519977</v>
      </c>
      <c r="M38" s="18" t="n">
        <v>0</v>
      </c>
      <c r="N38" s="20" t="n">
        <v>0</v>
      </c>
      <c r="O38" s="18" t="n">
        <v>0</v>
      </c>
      <c r="P38" s="20" t="n">
        <v>0</v>
      </c>
      <c r="Q38" s="18" t="n">
        <v>0.46258774</v>
      </c>
      <c r="R38" s="20" t="n">
        <v>0.22635131</v>
      </c>
    </row>
    <row r="39" spans="1:18">
      <c r="A39" s="15" t="s">
        <v>599</v>
      </c>
      <c r="B39" s="17" t="n">
        <v>2957</v>
      </c>
      <c r="C39" s="18">
        <f>(2298.0/B39*100)</f>
        <v/>
      </c>
      <c r="D39" s="19" t="n">
        <v>659</v>
      </c>
      <c r="E39" s="18" t="n">
        <v>44.30207848</v>
      </c>
      <c r="F39" s="20" t="n">
        <v>2.37537114</v>
      </c>
      <c r="G39" s="18" t="n">
        <v>53.91500183</v>
      </c>
      <c r="H39" s="20" t="n">
        <v>2.40757749</v>
      </c>
      <c r="I39" s="18" t="s">
        <v>567</v>
      </c>
      <c r="J39" s="20" t="s">
        <v>567</v>
      </c>
      <c r="K39" s="18" t="n">
        <v>0.5017825299999999</v>
      </c>
      <c r="L39" s="20" t="n">
        <v>0.21796605</v>
      </c>
      <c r="M39" s="18" t="n">
        <v>0</v>
      </c>
      <c r="N39" s="20" t="n">
        <v>0</v>
      </c>
      <c r="O39" s="18" t="n">
        <v>0</v>
      </c>
      <c r="P39" s="20" t="n">
        <v>0</v>
      </c>
      <c r="Q39" s="18" t="n">
        <v>1.28113716</v>
      </c>
      <c r="R39" s="20" t="n">
        <v>0.50942641</v>
      </c>
    </row>
    <row r="40" spans="1:18">
      <c r="A40" s="15" t="s">
        <v>600</v>
      </c>
      <c r="B40" s="17" t="n">
        <v>7235</v>
      </c>
      <c r="C40" s="18">
        <f>(5674.0/B40*100)</f>
        <v/>
      </c>
      <c r="D40" s="19" t="n">
        <v>1561</v>
      </c>
      <c r="E40" s="18" t="n">
        <v>17.93740536</v>
      </c>
      <c r="F40" s="20" t="n">
        <v>1.48417041</v>
      </c>
      <c r="G40" s="18" t="n">
        <v>80.84241747999999</v>
      </c>
      <c r="H40" s="20" t="n">
        <v>1.5273453</v>
      </c>
      <c r="I40" s="18" t="s">
        <v>567</v>
      </c>
      <c r="J40" s="20" t="s">
        <v>567</v>
      </c>
      <c r="K40" s="18" t="n">
        <v>1.06963157</v>
      </c>
      <c r="L40" s="20" t="n">
        <v>0.4103782</v>
      </c>
      <c r="M40" s="18" t="n">
        <v>0</v>
      </c>
      <c r="N40" s="20" t="n">
        <v>0</v>
      </c>
      <c r="O40" s="18" t="n">
        <v>0</v>
      </c>
      <c r="P40" s="20" t="n">
        <v>0</v>
      </c>
      <c r="Q40" s="18" t="n">
        <v>0.15054559</v>
      </c>
      <c r="R40" s="20" t="n">
        <v>0.0500678</v>
      </c>
    </row>
    <row r="41" spans="1:18">
      <c r="A41" s="15" t="s">
        <v>601</v>
      </c>
      <c r="B41" s="17" t="n">
        <v>2858</v>
      </c>
      <c r="C41" s="18">
        <f>(2282.0/B41*100)</f>
        <v/>
      </c>
      <c r="D41" s="19" t="n">
        <v>576</v>
      </c>
      <c r="E41" s="18" t="n">
        <v>20.81293198</v>
      </c>
      <c r="F41" s="20" t="n">
        <v>1.57847042</v>
      </c>
      <c r="G41" s="18" t="n">
        <v>77.89910689</v>
      </c>
      <c r="H41" s="20" t="n">
        <v>1.71416644</v>
      </c>
      <c r="I41" s="18" t="s">
        <v>567</v>
      </c>
      <c r="J41" s="20" t="s">
        <v>567</v>
      </c>
      <c r="K41" s="18" t="n">
        <v>0.6879752099999999</v>
      </c>
      <c r="L41" s="20" t="n">
        <v>0.2952129</v>
      </c>
      <c r="M41" s="18" t="n">
        <v>0</v>
      </c>
      <c r="N41" s="20" t="n">
        <v>0</v>
      </c>
      <c r="O41" s="18" t="n">
        <v>0</v>
      </c>
      <c r="P41" s="20" t="n">
        <v>0</v>
      </c>
      <c r="Q41" s="18" t="n">
        <v>0.59998591</v>
      </c>
      <c r="R41" s="20" t="n">
        <v>0.34089488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(9431.0/B46*100)</f>
        <v/>
      </c>
      <c r="D46" s="19" t="n">
        <v>1637</v>
      </c>
      <c r="E46" s="18" t="n">
        <v>37.58319443</v>
      </c>
      <c r="F46" s="20" t="n">
        <v>1.73435703</v>
      </c>
      <c r="G46" s="18" t="n">
        <v>51.0911523</v>
      </c>
      <c r="H46" s="20" t="n">
        <v>1.91755228</v>
      </c>
      <c r="I46" s="18" t="s">
        <v>567</v>
      </c>
      <c r="J46" s="20" t="s">
        <v>567</v>
      </c>
      <c r="K46" s="18" t="n">
        <v>5.51689613</v>
      </c>
      <c r="L46" s="20" t="n">
        <v>0.92984582</v>
      </c>
      <c r="M46" s="18" t="n">
        <v>0</v>
      </c>
      <c r="N46" s="20" t="n">
        <v>0</v>
      </c>
      <c r="O46" s="18" t="n">
        <v>0</v>
      </c>
      <c r="P46" s="20" t="n">
        <v>0</v>
      </c>
      <c r="Q46" s="18" t="n">
        <v>5.80875715</v>
      </c>
      <c r="R46" s="20" t="n">
        <v>0.61670742</v>
      </c>
    </row>
    <row r="47" spans="1:18">
      <c r="A47" s="15" t="s">
        <v>607</v>
      </c>
      <c r="B47" s="17" t="n">
        <v>3105</v>
      </c>
      <c r="C47" s="18">
        <f>(2437.0/B47*100)</f>
        <v/>
      </c>
      <c r="D47" s="19" t="n">
        <v>668</v>
      </c>
      <c r="E47" s="18" t="n">
        <v>36.03830515</v>
      </c>
      <c r="F47" s="20" t="n">
        <v>2.16062178</v>
      </c>
      <c r="G47" s="18" t="n">
        <v>57.62203534</v>
      </c>
      <c r="H47" s="20" t="n">
        <v>2.54974301</v>
      </c>
      <c r="I47" s="18" t="s">
        <v>567</v>
      </c>
      <c r="J47" s="20" t="s">
        <v>567</v>
      </c>
      <c r="K47" s="18" t="n">
        <v>1.53009348</v>
      </c>
      <c r="L47" s="20" t="n">
        <v>0.45351392</v>
      </c>
      <c r="M47" s="18" t="n">
        <v>0</v>
      </c>
      <c r="N47" s="20" t="n">
        <v>0</v>
      </c>
      <c r="O47" s="18" t="n">
        <v>0</v>
      </c>
      <c r="P47" s="20" t="n">
        <v>0</v>
      </c>
      <c r="Q47" s="18" t="n">
        <v>4.80956603</v>
      </c>
      <c r="R47" s="20" t="n">
        <v>0.85565832</v>
      </c>
    </row>
    <row r="48" spans="1:18">
      <c r="A48" s="15" t="s">
        <v>608</v>
      </c>
      <c r="B48" s="17" t="n">
        <v>5159</v>
      </c>
      <c r="C48" s="18">
        <f>(3986.0/B48*100)</f>
        <v/>
      </c>
      <c r="D48" s="19" t="n">
        <v>1173</v>
      </c>
      <c r="E48" s="18" t="n">
        <v>16.64116869</v>
      </c>
      <c r="F48" s="20" t="n">
        <v>1.55669512</v>
      </c>
      <c r="G48" s="18" t="n">
        <v>81.56830243</v>
      </c>
      <c r="H48" s="20" t="n">
        <v>1.64863779</v>
      </c>
      <c r="I48" s="18" t="s">
        <v>567</v>
      </c>
      <c r="J48" s="20" t="s">
        <v>567</v>
      </c>
      <c r="K48" s="18" t="n">
        <v>0.96744222</v>
      </c>
      <c r="L48" s="20" t="n">
        <v>0.34782146</v>
      </c>
      <c r="M48" s="18" t="n">
        <v>0</v>
      </c>
      <c r="N48" s="20" t="n">
        <v>0</v>
      </c>
      <c r="O48" s="18" t="n">
        <v>0</v>
      </c>
      <c r="P48" s="20" t="n">
        <v>0</v>
      </c>
      <c r="Q48" s="18" t="n">
        <v>0.82308665</v>
      </c>
      <c r="R48" s="20" t="n">
        <v>0.29541056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(4501.0/B50*100)</f>
        <v/>
      </c>
      <c r="D50" s="19" t="n">
        <v>1136</v>
      </c>
      <c r="E50" s="18" t="n">
        <v>29.81128643</v>
      </c>
      <c r="F50" s="20" t="n">
        <v>1.99844715</v>
      </c>
      <c r="G50" s="18" t="n">
        <v>60.79746472</v>
      </c>
      <c r="H50" s="20" t="n">
        <v>2.38301272</v>
      </c>
      <c r="I50" s="18" t="s">
        <v>567</v>
      </c>
      <c r="J50" s="20" t="s">
        <v>567</v>
      </c>
      <c r="K50" s="18" t="n">
        <v>3.13570683</v>
      </c>
      <c r="L50" s="20" t="n">
        <v>0.68441729</v>
      </c>
      <c r="M50" s="18" t="n">
        <v>0</v>
      </c>
      <c r="N50" s="20" t="n">
        <v>0</v>
      </c>
      <c r="O50" s="18" t="n">
        <v>0</v>
      </c>
      <c r="P50" s="20" t="n">
        <v>0</v>
      </c>
      <c r="Q50" s="18" t="n">
        <v>6.25554203</v>
      </c>
      <c r="R50" s="20" t="n">
        <v>1.10280634</v>
      </c>
    </row>
    <row r="51" spans="1:18">
      <c r="A51" s="15" t="s">
        <v>611</v>
      </c>
      <c r="B51" s="17" t="n">
        <v>3372</v>
      </c>
      <c r="C51" s="18">
        <f>(2790.0/B51*100)</f>
        <v/>
      </c>
      <c r="D51" s="19" t="n">
        <v>582</v>
      </c>
      <c r="E51" s="18" t="n">
        <v>20.57195346</v>
      </c>
      <c r="F51" s="20" t="n">
        <v>1.62036952</v>
      </c>
      <c r="G51" s="18" t="n">
        <v>75.74540367</v>
      </c>
      <c r="H51" s="20" t="n">
        <v>1.78537799</v>
      </c>
      <c r="I51" s="18" t="s">
        <v>567</v>
      </c>
      <c r="J51" s="20" t="s">
        <v>567</v>
      </c>
      <c r="K51" s="18" t="n">
        <v>1.93051737</v>
      </c>
      <c r="L51" s="20" t="n">
        <v>0.71728141</v>
      </c>
      <c r="M51" s="18" t="n">
        <v>0</v>
      </c>
      <c r="N51" s="20" t="n">
        <v>0</v>
      </c>
      <c r="O51" s="18" t="n">
        <v>0</v>
      </c>
      <c r="P51" s="20" t="n">
        <v>0</v>
      </c>
      <c r="Q51" s="18" t="n">
        <v>1.75212549</v>
      </c>
      <c r="R51" s="20" t="n">
        <v>0.54202065</v>
      </c>
    </row>
    <row r="52" spans="1:18">
      <c r="A52" s="15" t="s">
        <v>612</v>
      </c>
      <c r="B52" s="17" t="n">
        <v>2796</v>
      </c>
      <c r="C52" s="18">
        <f>(2216.0/B52*100)</f>
        <v/>
      </c>
      <c r="D52" s="19" t="n">
        <v>580</v>
      </c>
      <c r="E52" s="18" t="n">
        <v>15.33633071</v>
      </c>
      <c r="F52" s="20" t="n">
        <v>1.44650928</v>
      </c>
      <c r="G52" s="18" t="n">
        <v>82.37778056000001</v>
      </c>
      <c r="H52" s="20" t="n">
        <v>1.39630268</v>
      </c>
      <c r="I52" s="18" t="s">
        <v>567</v>
      </c>
      <c r="J52" s="20" t="s">
        <v>567</v>
      </c>
      <c r="K52" s="18" t="n">
        <v>0.5607899</v>
      </c>
      <c r="L52" s="20" t="n">
        <v>0.3434853</v>
      </c>
      <c r="M52" s="18" t="n">
        <v>0</v>
      </c>
      <c r="N52" s="20" t="n">
        <v>0</v>
      </c>
      <c r="O52" s="18" t="n">
        <v>0</v>
      </c>
      <c r="P52" s="20" t="n">
        <v>0</v>
      </c>
      <c r="Q52" s="18" t="n">
        <v>1.72509883</v>
      </c>
      <c r="R52" s="20" t="n">
        <v>0.5560392</v>
      </c>
    </row>
    <row r="53" spans="1:18">
      <c r="A53" s="15" t="s">
        <v>613</v>
      </c>
      <c r="B53" s="17" t="n">
        <v>2811</v>
      </c>
      <c r="C53" s="18">
        <f>(2215.0/B53*100)</f>
        <v/>
      </c>
      <c r="D53" s="19" t="n">
        <v>596</v>
      </c>
      <c r="E53" s="18" t="n">
        <v>44.28652998</v>
      </c>
      <c r="F53" s="20" t="n">
        <v>2.33809037</v>
      </c>
      <c r="G53" s="18" t="n">
        <v>51.66555041</v>
      </c>
      <c r="H53" s="20" t="n">
        <v>2.33015249</v>
      </c>
      <c r="I53" s="18" t="s">
        <v>567</v>
      </c>
      <c r="J53" s="20" t="s">
        <v>567</v>
      </c>
      <c r="K53" s="18" t="n">
        <v>1.76493462</v>
      </c>
      <c r="L53" s="20" t="n">
        <v>0.52065807</v>
      </c>
      <c r="M53" s="18" t="n">
        <v>0</v>
      </c>
      <c r="N53" s="20" t="n">
        <v>0</v>
      </c>
      <c r="O53" s="18" t="n">
        <v>0</v>
      </c>
      <c r="P53" s="20" t="n">
        <v>0</v>
      </c>
      <c r="Q53" s="18" t="n">
        <v>2.282985</v>
      </c>
      <c r="R53" s="20" t="n">
        <v>0.5943662199999999</v>
      </c>
    </row>
    <row r="54" spans="1:18">
      <c r="A54" s="15" t="s">
        <v>614</v>
      </c>
      <c r="B54" s="17" t="n">
        <v>2266</v>
      </c>
      <c r="C54" s="18">
        <f>(1776.0/B54*100)</f>
        <v/>
      </c>
      <c r="D54" s="19" t="n">
        <v>490</v>
      </c>
      <c r="E54" s="18" t="n">
        <v>31.37683173</v>
      </c>
      <c r="F54" s="20" t="n">
        <v>2.25627549</v>
      </c>
      <c r="G54" s="18" t="n">
        <v>31.3837751</v>
      </c>
      <c r="H54" s="20" t="n">
        <v>2.2033753</v>
      </c>
      <c r="I54" s="18" t="s">
        <v>567</v>
      </c>
      <c r="J54" s="20" t="s">
        <v>567</v>
      </c>
      <c r="K54" s="18" t="n">
        <v>25.60620261</v>
      </c>
      <c r="L54" s="20" t="n">
        <v>2.43755828</v>
      </c>
      <c r="M54" s="18" t="n">
        <v>0</v>
      </c>
      <c r="N54" s="20" t="n">
        <v>0</v>
      </c>
      <c r="O54" s="18" t="n">
        <v>0</v>
      </c>
      <c r="P54" s="20" t="n">
        <v>0</v>
      </c>
      <c r="Q54" s="18" t="n">
        <v>11.63319055</v>
      </c>
      <c r="R54" s="20" t="n">
        <v>1.57332117</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(2110.0/B56*100)</f>
        <v/>
      </c>
      <c r="D56" s="19" t="n">
        <v>574</v>
      </c>
      <c r="E56" s="18" t="n">
        <v>10.58085996</v>
      </c>
      <c r="F56" s="20" t="n">
        <v>1.42337128</v>
      </c>
      <c r="G56" s="18" t="n">
        <v>88.61787095</v>
      </c>
      <c r="H56" s="20" t="n">
        <v>1.5041439</v>
      </c>
      <c r="I56" s="18" t="s">
        <v>567</v>
      </c>
      <c r="J56" s="20" t="s">
        <v>567</v>
      </c>
      <c r="K56" s="18" t="n">
        <v>0.51853036</v>
      </c>
      <c r="L56" s="20" t="n">
        <v>0.3198061</v>
      </c>
      <c r="M56" s="18" t="n">
        <v>0</v>
      </c>
      <c r="N56" s="20" t="n">
        <v>0</v>
      </c>
      <c r="O56" s="18" t="n">
        <v>0</v>
      </c>
      <c r="P56" s="20" t="n">
        <v>0</v>
      </c>
      <c r="Q56" s="18" t="n">
        <v>0.28273872</v>
      </c>
      <c r="R56" s="20" t="n">
        <v>0.19585941</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(2571.0/B61*100)</f>
        <v/>
      </c>
      <c r="D61" s="19" t="n">
        <v>753</v>
      </c>
      <c r="E61" s="18" t="n">
        <v>29.6858179</v>
      </c>
      <c r="F61" s="20" t="n">
        <v>1.97788022</v>
      </c>
      <c r="G61" s="18" t="n">
        <v>68.42399494</v>
      </c>
      <c r="H61" s="20" t="n">
        <v>1.92238187</v>
      </c>
      <c r="I61" s="18" t="s">
        <v>567</v>
      </c>
      <c r="J61" s="20" t="s">
        <v>567</v>
      </c>
      <c r="K61" s="18" t="n">
        <v>0.94183625</v>
      </c>
      <c r="L61" s="20" t="n">
        <v>0.49000773</v>
      </c>
      <c r="M61" s="18" t="n">
        <v>0</v>
      </c>
      <c r="N61" s="20" t="n">
        <v>0</v>
      </c>
      <c r="O61" s="18" t="n">
        <v>0</v>
      </c>
      <c r="P61" s="20" t="n">
        <v>0</v>
      </c>
      <c r="Q61" s="18" t="n">
        <v>0.94835091</v>
      </c>
      <c r="R61" s="20" t="n">
        <v>0.32848685</v>
      </c>
    </row>
    <row r="62" spans="1:18">
      <c r="A62" s="15" t="s">
        <v>622</v>
      </c>
      <c r="B62" s="17" t="n">
        <v>2246</v>
      </c>
      <c r="C62" s="18">
        <f>(1783.0/B62*100)</f>
        <v/>
      </c>
      <c r="D62" s="19" t="n">
        <v>463</v>
      </c>
      <c r="E62" s="18" t="n">
        <v>14.88193458</v>
      </c>
      <c r="F62" s="20" t="n">
        <v>1.95695478</v>
      </c>
      <c r="G62" s="18" t="n">
        <v>84.8961384</v>
      </c>
      <c r="H62" s="20" t="n">
        <v>1.9461254</v>
      </c>
      <c r="I62" s="18" t="s">
        <v>567</v>
      </c>
      <c r="J62" s="20" t="s">
        <v>567</v>
      </c>
      <c r="K62" s="18" t="n">
        <v>0.22192701</v>
      </c>
      <c r="L62" s="20" t="n">
        <v>0.22210584</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(2269.0/B66*100)</f>
        <v/>
      </c>
      <c r="D66" s="19" t="n">
        <v>625</v>
      </c>
      <c r="E66" s="18" t="n">
        <v>29.68025764</v>
      </c>
      <c r="F66" s="20" t="n">
        <v>1.84445173</v>
      </c>
      <c r="G66" s="18" t="n">
        <v>58.25607252</v>
      </c>
      <c r="H66" s="20" t="n">
        <v>1.8885384</v>
      </c>
      <c r="I66" s="18" t="s">
        <v>567</v>
      </c>
      <c r="J66" s="20" t="s">
        <v>567</v>
      </c>
      <c r="K66" s="18" t="n">
        <v>2.91890462</v>
      </c>
      <c r="L66" s="20" t="n">
        <v>0.6940817</v>
      </c>
      <c r="M66" s="18" t="n">
        <v>0</v>
      </c>
      <c r="N66" s="20" t="n">
        <v>0</v>
      </c>
      <c r="O66" s="18" t="n">
        <v>0</v>
      </c>
      <c r="P66" s="20" t="n">
        <v>0</v>
      </c>
      <c r="Q66" s="18" t="n">
        <v>9.14476522</v>
      </c>
      <c r="R66" s="20" t="n">
        <v>1.2062068</v>
      </c>
    </row>
    <row r="67" spans="1:18">
      <c r="A67" s="15" t="s">
        <v>627</v>
      </c>
      <c r="B67" s="17" t="n">
        <v>3511</v>
      </c>
      <c r="C67" s="18">
        <f>(2873.0/B67*100)</f>
        <v/>
      </c>
      <c r="D67" s="19" t="n">
        <v>638</v>
      </c>
      <c r="E67" s="18" t="n">
        <v>30.61858024</v>
      </c>
      <c r="F67" s="20" t="n">
        <v>2.09319445</v>
      </c>
      <c r="G67" s="18" t="n">
        <v>66.46895954</v>
      </c>
      <c r="H67" s="20" t="n">
        <v>2.00478929</v>
      </c>
      <c r="I67" s="18" t="s">
        <v>567</v>
      </c>
      <c r="J67" s="20" t="s">
        <v>567</v>
      </c>
      <c r="K67" s="18" t="n">
        <v>0.60333455</v>
      </c>
      <c r="L67" s="20" t="n">
        <v>0.30119028</v>
      </c>
      <c r="M67" s="18" t="n">
        <v>0</v>
      </c>
      <c r="N67" s="20" t="n">
        <v>0</v>
      </c>
      <c r="O67" s="18" t="n">
        <v>0</v>
      </c>
      <c r="P67" s="20" t="n">
        <v>0</v>
      </c>
      <c r="Q67" s="18" t="n">
        <v>2.30912568</v>
      </c>
      <c r="R67" s="20" t="n">
        <v>0.62630714</v>
      </c>
    </row>
    <row r="68" spans="1:18">
      <c r="A68" s="15" t="s">
        <v>628</v>
      </c>
      <c r="B68" s="17" t="n">
        <v>6049</v>
      </c>
      <c r="C68" s="18">
        <f>(4697.0/B68*100)</f>
        <v/>
      </c>
      <c r="D68" s="19" t="n">
        <v>1352</v>
      </c>
      <c r="E68" s="18" t="n">
        <v>39.54001733</v>
      </c>
      <c r="F68" s="20" t="n">
        <v>1.4126056</v>
      </c>
      <c r="G68" s="18" t="n">
        <v>48.60405177</v>
      </c>
      <c r="H68" s="20" t="n">
        <v>1.49733615</v>
      </c>
      <c r="I68" s="18" t="s">
        <v>567</v>
      </c>
      <c r="J68" s="20" t="s">
        <v>567</v>
      </c>
      <c r="K68" s="18" t="n">
        <v>7.41940629</v>
      </c>
      <c r="L68" s="20" t="n">
        <v>0.61294057</v>
      </c>
      <c r="M68" s="18" t="n">
        <v>0</v>
      </c>
      <c r="N68" s="20" t="n">
        <v>0</v>
      </c>
      <c r="O68" s="18" t="n">
        <v>0</v>
      </c>
      <c r="P68" s="20" t="n">
        <v>0</v>
      </c>
      <c r="Q68" s="18" t="n">
        <v>4.43652461</v>
      </c>
      <c r="R68" s="20" t="n">
        <v>0.5637820099999999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(2331.0/B70*100)</f>
        <v/>
      </c>
      <c r="D70" s="19" t="n">
        <v>598</v>
      </c>
      <c r="E70" s="18" t="n">
        <v>25.78372047</v>
      </c>
      <c r="F70" s="20" t="n">
        <v>2.31955938</v>
      </c>
      <c r="G70" s="18" t="n">
        <v>72.03962224999999</v>
      </c>
      <c r="H70" s="20" t="n">
        <v>2.38528091</v>
      </c>
      <c r="I70" s="18" t="s">
        <v>567</v>
      </c>
      <c r="J70" s="20" t="s">
        <v>567</v>
      </c>
      <c r="K70" s="18" t="n">
        <v>0.95116839</v>
      </c>
      <c r="L70" s="20" t="n">
        <v>0.48728071</v>
      </c>
      <c r="M70" s="18" t="n">
        <v>0</v>
      </c>
      <c r="N70" s="20" t="n">
        <v>0</v>
      </c>
      <c r="O70" s="18" t="n">
        <v>0</v>
      </c>
      <c r="P70" s="20" t="n">
        <v>0</v>
      </c>
      <c r="Q70" s="18" t="n">
        <v>1.22548889</v>
      </c>
      <c r="R70" s="20" t="n">
        <v>0.46678344</v>
      </c>
    </row>
    <row r="71" spans="1:18">
      <c r="A71" s="15" t="s">
        <v>631</v>
      </c>
      <c r="B71" s="17" t="n">
        <v>3142</v>
      </c>
      <c r="C71" s="18">
        <f>(2448.0/B71*100)</f>
        <v/>
      </c>
      <c r="D71" s="19" t="n">
        <v>694</v>
      </c>
      <c r="E71" s="18" t="n">
        <v>13.51869175</v>
      </c>
      <c r="F71" s="20" t="n">
        <v>1.3893386</v>
      </c>
      <c r="G71" s="18" t="n">
        <v>85.90351857</v>
      </c>
      <c r="H71" s="20" t="n">
        <v>1.4048731</v>
      </c>
      <c r="I71" s="18" t="s">
        <v>567</v>
      </c>
      <c r="J71" s="20" t="s">
        <v>567</v>
      </c>
      <c r="K71" s="18" t="n">
        <v>0.42798619</v>
      </c>
      <c r="L71" s="20" t="n">
        <v>0.22441271</v>
      </c>
      <c r="M71" s="18" t="n">
        <v>0</v>
      </c>
      <c r="N71" s="20" t="n">
        <v>0</v>
      </c>
      <c r="O71" s="18" t="n">
        <v>0</v>
      </c>
      <c r="P71" s="20" t="n">
        <v>0</v>
      </c>
      <c r="Q71" s="18" t="n">
        <v>0.14980349</v>
      </c>
      <c r="R71" s="20" t="n">
        <v>0.11172356</v>
      </c>
    </row>
    <row r="72" spans="1:18">
      <c r="A72" s="15" t="s">
        <v>632</v>
      </c>
      <c r="B72" s="17" t="n">
        <v>3889</v>
      </c>
      <c r="C72" s="18">
        <f>(3041.0/B72*100)</f>
        <v/>
      </c>
      <c r="D72" s="19" t="n">
        <v>848</v>
      </c>
      <c r="E72" s="18" t="n">
        <v>11.77711262</v>
      </c>
      <c r="F72" s="20" t="n">
        <v>1.20310011</v>
      </c>
      <c r="G72" s="18" t="n">
        <v>87.0306732</v>
      </c>
      <c r="H72" s="20" t="n">
        <v>1.27557893</v>
      </c>
      <c r="I72" s="18" t="s">
        <v>567</v>
      </c>
      <c r="J72" s="20" t="s">
        <v>567</v>
      </c>
      <c r="K72" s="18" t="n">
        <v>0.3954532</v>
      </c>
      <c r="L72" s="20" t="n">
        <v>0.21499262</v>
      </c>
      <c r="M72" s="18" t="n">
        <v>0</v>
      </c>
      <c r="N72" s="20" t="n">
        <v>0</v>
      </c>
      <c r="O72" s="18" t="n">
        <v>0</v>
      </c>
      <c r="P72" s="20" t="n">
        <v>0</v>
      </c>
      <c r="Q72" s="18" t="n">
        <v>0.79676098</v>
      </c>
      <c r="R72" s="20" t="n">
        <v>0.28990711</v>
      </c>
    </row>
    <row r="73" spans="1:18">
      <c r="A73" s="15" t="s">
        <v>633</v>
      </c>
      <c r="B73" s="17" t="n">
        <v>3597</v>
      </c>
      <c r="C73" s="18">
        <f>(2846.0/B73*100)</f>
        <v/>
      </c>
      <c r="D73" s="19" t="n">
        <v>751</v>
      </c>
      <c r="E73" s="18" t="n">
        <v>43.8004649</v>
      </c>
      <c r="F73" s="20" t="n">
        <v>2.24173184</v>
      </c>
      <c r="G73" s="18" t="n">
        <v>53.41301152</v>
      </c>
      <c r="H73" s="20" t="n">
        <v>2.13136413</v>
      </c>
      <c r="I73" s="18" t="s">
        <v>567</v>
      </c>
      <c r="J73" s="20" t="s">
        <v>567</v>
      </c>
      <c r="K73" s="18" t="n">
        <v>0.3587461</v>
      </c>
      <c r="L73" s="20" t="n">
        <v>0.217732</v>
      </c>
      <c r="M73" s="18" t="n">
        <v>0</v>
      </c>
      <c r="N73" s="20" t="n">
        <v>0</v>
      </c>
      <c r="O73" s="18" t="n">
        <v>0</v>
      </c>
      <c r="P73" s="20" t="n">
        <v>0</v>
      </c>
      <c r="Q73" s="18" t="n">
        <v>2.42777748</v>
      </c>
      <c r="R73" s="20" t="n">
        <v>0.75569289</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(1923.0/B75*100)</f>
        <v/>
      </c>
      <c r="D75" s="19" t="n">
        <v>483</v>
      </c>
      <c r="E75" s="18" t="n">
        <v>43.55420767</v>
      </c>
      <c r="F75" s="20" t="n">
        <v>2.62830883</v>
      </c>
      <c r="G75" s="18" t="n">
        <v>47.50248133</v>
      </c>
      <c r="H75" s="20" t="n">
        <v>2.40293257</v>
      </c>
      <c r="I75" s="18" t="s">
        <v>567</v>
      </c>
      <c r="J75" s="20" t="s">
        <v>567</v>
      </c>
      <c r="K75" s="18" t="n">
        <v>6.74195007</v>
      </c>
      <c r="L75" s="20" t="n">
        <v>1.33879595</v>
      </c>
      <c r="M75" s="18" t="n">
        <v>0</v>
      </c>
      <c r="N75" s="20" t="n">
        <v>0</v>
      </c>
      <c r="O75" s="18" t="n">
        <v>0</v>
      </c>
      <c r="P75" s="20" t="n">
        <v>0</v>
      </c>
      <c r="Q75" s="18" t="n">
        <v>2.20136093</v>
      </c>
      <c r="R75" s="20" t="n">
        <v>0.75992118</v>
      </c>
    </row>
    <row r="76" spans="1:18">
      <c r="A76" s="15" t="s">
        <v>636</v>
      </c>
      <c r="B76" s="17" t="n">
        <v>7052</v>
      </c>
      <c r="C76" s="18">
        <f>(5503.0/B76*100)</f>
        <v/>
      </c>
      <c r="D76" s="19" t="n">
        <v>1549</v>
      </c>
      <c r="E76" s="18" t="n">
        <v>36.5652469</v>
      </c>
      <c r="F76" s="20" t="n">
        <v>1.55797665</v>
      </c>
      <c r="G76" s="18" t="n">
        <v>58.62528705</v>
      </c>
      <c r="H76" s="20" t="n">
        <v>1.55508744</v>
      </c>
      <c r="I76" s="18" t="s">
        <v>567</v>
      </c>
      <c r="J76" s="20" t="s">
        <v>567</v>
      </c>
      <c r="K76" s="18" t="n">
        <v>2.16519025</v>
      </c>
      <c r="L76" s="20" t="n">
        <v>0.57417036</v>
      </c>
      <c r="M76" s="18" t="n">
        <v>0</v>
      </c>
      <c r="N76" s="20" t="n">
        <v>0</v>
      </c>
      <c r="O76" s="18" t="n">
        <v>0</v>
      </c>
      <c r="P76" s="20" t="n">
        <v>0</v>
      </c>
      <c r="Q76" s="18" t="n">
        <v>2.6442758</v>
      </c>
      <c r="R76" s="20" t="n">
        <v>0.38466637</v>
      </c>
    </row>
    <row r="77" spans="1:18">
      <c r="A77" s="15" t="s">
        <v>637</v>
      </c>
      <c r="B77" s="17" t="n">
        <v>2908</v>
      </c>
      <c r="C77" s="18">
        <f>(2393.0/B77*100)</f>
        <v/>
      </c>
      <c r="D77" s="19" t="n">
        <v>515</v>
      </c>
      <c r="E77" s="18" t="n">
        <v>28.99834528</v>
      </c>
      <c r="F77" s="20" t="n">
        <v>2.05578858</v>
      </c>
      <c r="G77" s="18" t="n">
        <v>63.46381565</v>
      </c>
      <c r="H77" s="20" t="n">
        <v>2.40087353</v>
      </c>
      <c r="I77" s="18" t="s">
        <v>567</v>
      </c>
      <c r="J77" s="20" t="s">
        <v>567</v>
      </c>
      <c r="K77" s="18" t="n">
        <v>4.07573687</v>
      </c>
      <c r="L77" s="20" t="n">
        <v>0.89505573</v>
      </c>
      <c r="M77" s="18" t="n">
        <v>0</v>
      </c>
      <c r="N77" s="20" t="n">
        <v>0</v>
      </c>
      <c r="O77" s="18" t="n">
        <v>0</v>
      </c>
      <c r="P77" s="20" t="n">
        <v>0</v>
      </c>
      <c r="Q77" s="18" t="n">
        <v>3.46210219</v>
      </c>
      <c r="R77" s="20" t="n">
        <v>0.87221635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(3284.0/B81*100)</f>
        <v/>
      </c>
      <c r="D81" s="19" t="n">
        <v>879</v>
      </c>
      <c r="E81" s="18" t="n">
        <v>32.02890497</v>
      </c>
      <c r="F81" s="20" t="n">
        <v>2.35901056</v>
      </c>
      <c r="G81" s="18" t="n">
        <v>67.65367795</v>
      </c>
      <c r="H81" s="20" t="n">
        <v>2.34322503</v>
      </c>
      <c r="I81" s="18" t="s">
        <v>567</v>
      </c>
      <c r="J81" s="20" t="s">
        <v>567</v>
      </c>
      <c r="K81" s="18" t="n">
        <v>0.19336701</v>
      </c>
      <c r="L81" s="20" t="n">
        <v>0.1354701</v>
      </c>
      <c r="M81" s="18" t="n">
        <v>0</v>
      </c>
      <c r="N81" s="20" t="n">
        <v>0</v>
      </c>
      <c r="O81" s="18" t="n">
        <v>0</v>
      </c>
      <c r="P81" s="20" t="n">
        <v>0</v>
      </c>
      <c r="Q81" s="18" t="n">
        <v>0.12405007</v>
      </c>
      <c r="R81" s="20" t="n">
        <v>0.11273134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(5796.0/B7*100)</f>
        <v/>
      </c>
      <c r="D7" s="19" t="n">
        <v>1571</v>
      </c>
      <c r="E7" s="18" t="n">
        <v>63.61834622</v>
      </c>
      <c r="F7" s="20" t="n">
        <v>1.59284547</v>
      </c>
      <c r="G7" s="18" t="n">
        <v>34.8818089</v>
      </c>
      <c r="H7" s="20" t="n">
        <v>1.59358045</v>
      </c>
      <c r="I7" s="18" t="s">
        <v>567</v>
      </c>
      <c r="J7" s="20" t="s">
        <v>567</v>
      </c>
      <c r="K7" s="18" t="n">
        <v>1.38777143</v>
      </c>
      <c r="L7" s="20" t="n">
        <v>0.32804442</v>
      </c>
      <c r="M7" s="18" t="n">
        <v>0</v>
      </c>
      <c r="N7" s="20" t="n">
        <v>0</v>
      </c>
      <c r="O7" s="18" t="n">
        <v>0</v>
      </c>
      <c r="P7" s="20" t="n">
        <v>0</v>
      </c>
      <c r="Q7" s="18" t="n">
        <v>0.11207344</v>
      </c>
      <c r="R7" s="20" t="n">
        <v>0.11758585</v>
      </c>
    </row>
    <row r="8" spans="1:18">
      <c r="A8" s="15" t="s">
        <v>568</v>
      </c>
      <c r="B8" s="17" t="n">
        <v>3564</v>
      </c>
      <c r="C8" s="18">
        <f>(2785.0/B8*100)</f>
        <v/>
      </c>
      <c r="D8" s="19" t="n">
        <v>779</v>
      </c>
      <c r="E8" s="18" t="n">
        <v>64.32128854</v>
      </c>
      <c r="F8" s="20" t="n">
        <v>1.94655285</v>
      </c>
      <c r="G8" s="18" t="n">
        <v>35.37043443</v>
      </c>
      <c r="H8" s="20" t="n">
        <v>1.9665238</v>
      </c>
      <c r="I8" s="18" t="s">
        <v>567</v>
      </c>
      <c r="J8" s="20" t="s">
        <v>567</v>
      </c>
      <c r="K8" s="18" t="n">
        <v>0.30827703</v>
      </c>
      <c r="L8" s="20" t="n">
        <v>0.16069403</v>
      </c>
      <c r="M8" s="18" t="n">
        <v>0</v>
      </c>
      <c r="N8" s="20" t="n">
        <v>0</v>
      </c>
      <c r="O8" s="18" t="n">
        <v>0</v>
      </c>
      <c r="P8" s="20" t="n">
        <v>0</v>
      </c>
      <c r="Q8" s="18" t="n">
        <v>0</v>
      </c>
      <c r="R8" s="20" t="n">
        <v>0</v>
      </c>
    </row>
    <row r="9" spans="1:18">
      <c r="A9" s="15" t="s">
        <v>569</v>
      </c>
      <c r="B9" s="17" t="n">
        <v>4899</v>
      </c>
      <c r="C9" s="18">
        <f>(3918.0/B9*100)</f>
        <v/>
      </c>
      <c r="D9" s="19" t="n">
        <v>981</v>
      </c>
      <c r="E9" s="18" t="n">
        <v>66.59836547</v>
      </c>
      <c r="F9" s="20" t="n">
        <v>1.41866816</v>
      </c>
      <c r="G9" s="18" t="n">
        <v>30.80446781</v>
      </c>
      <c r="H9" s="20" t="n">
        <v>1.41733004</v>
      </c>
      <c r="I9" s="18" t="s">
        <v>567</v>
      </c>
      <c r="J9" s="20" t="s">
        <v>567</v>
      </c>
      <c r="K9" s="18" t="n">
        <v>2.37960818</v>
      </c>
      <c r="L9" s="20" t="n">
        <v>0.49639686</v>
      </c>
      <c r="M9" s="18" t="n">
        <v>0</v>
      </c>
      <c r="N9" s="20" t="n">
        <v>0</v>
      </c>
      <c r="O9" s="18" t="n">
        <v>0</v>
      </c>
      <c r="P9" s="20" t="n">
        <v>0</v>
      </c>
      <c r="Q9" s="18" t="n">
        <v>0.21755855</v>
      </c>
      <c r="R9" s="20" t="n">
        <v>0.15528224</v>
      </c>
    </row>
    <row r="10" spans="1:18">
      <c r="A10" s="15" t="s">
        <v>570</v>
      </c>
      <c r="B10" s="17" t="n">
        <v>10036</v>
      </c>
      <c r="C10" s="18">
        <f>(7787.0/B10*100)</f>
        <v/>
      </c>
      <c r="D10" s="19" t="n">
        <v>2249</v>
      </c>
      <c r="E10" s="18" t="n">
        <v>68.2989188</v>
      </c>
      <c r="F10" s="20" t="n">
        <v>1.45801263</v>
      </c>
      <c r="G10" s="18" t="n">
        <v>30.21952369</v>
      </c>
      <c r="H10" s="20" t="n">
        <v>1.44855331</v>
      </c>
      <c r="I10" s="18" t="s">
        <v>567</v>
      </c>
      <c r="J10" s="20" t="s">
        <v>567</v>
      </c>
      <c r="K10" s="18" t="n">
        <v>1.48155752</v>
      </c>
      <c r="L10" s="20" t="n">
        <v>0.40515884</v>
      </c>
      <c r="M10" s="18" t="n">
        <v>0</v>
      </c>
      <c r="N10" s="20" t="n">
        <v>0</v>
      </c>
      <c r="O10" s="18" t="n">
        <v>0</v>
      </c>
      <c r="P10" s="20" t="n">
        <v>0</v>
      </c>
      <c r="Q10" s="18" t="n">
        <v>0</v>
      </c>
      <c r="R10" s="20" t="n">
        <v>0</v>
      </c>
    </row>
    <row r="11" spans="1:18">
      <c r="A11" s="15" t="s">
        <v>571</v>
      </c>
      <c r="B11" s="17" t="n">
        <v>3553</v>
      </c>
      <c r="C11" s="18">
        <f>(2794.0/B11*100)</f>
        <v/>
      </c>
      <c r="D11" s="19" t="n">
        <v>759</v>
      </c>
      <c r="E11" s="18" t="n">
        <v>84.91147368999999</v>
      </c>
      <c r="F11" s="20" t="n">
        <v>1.40672273</v>
      </c>
      <c r="G11" s="18" t="n">
        <v>11.1366042</v>
      </c>
      <c r="H11" s="20" t="n">
        <v>1.24483937</v>
      </c>
      <c r="I11" s="18" t="s">
        <v>567</v>
      </c>
      <c r="J11" s="20" t="s">
        <v>567</v>
      </c>
      <c r="K11" s="18" t="n">
        <v>3.48765455</v>
      </c>
      <c r="L11" s="20" t="n">
        <v>0.74429036</v>
      </c>
      <c r="M11" s="18" t="n">
        <v>0</v>
      </c>
      <c r="N11" s="20" t="n">
        <v>0</v>
      </c>
      <c r="O11" s="18" t="n">
        <v>0</v>
      </c>
      <c r="P11" s="20" t="n">
        <v>0</v>
      </c>
      <c r="Q11" s="18" t="n">
        <v>0.46426756</v>
      </c>
      <c r="R11" s="20" t="n">
        <v>0.25232186</v>
      </c>
    </row>
    <row r="12" spans="1:18">
      <c r="A12" s="15" t="s">
        <v>572</v>
      </c>
      <c r="B12" s="17" t="n">
        <v>3472</v>
      </c>
      <c r="C12" s="18">
        <f>(2781.0/B12*100)</f>
        <v/>
      </c>
      <c r="D12" s="19" t="n">
        <v>691</v>
      </c>
      <c r="E12" s="18" t="n">
        <v>86.19164404999999</v>
      </c>
      <c r="F12" s="20" t="n">
        <v>1.42611487</v>
      </c>
      <c r="G12" s="18" t="n">
        <v>12.27766833</v>
      </c>
      <c r="H12" s="20" t="n">
        <v>1.3252574</v>
      </c>
      <c r="I12" s="18" t="s">
        <v>567</v>
      </c>
      <c r="J12" s="20" t="s">
        <v>567</v>
      </c>
      <c r="K12" s="18" t="n">
        <v>1.1386476</v>
      </c>
      <c r="L12" s="20" t="n">
        <v>0.34538354</v>
      </c>
      <c r="M12" s="18" t="n">
        <v>0</v>
      </c>
      <c r="N12" s="20" t="n">
        <v>0</v>
      </c>
      <c r="O12" s="18" t="n">
        <v>0</v>
      </c>
      <c r="P12" s="20" t="n">
        <v>0</v>
      </c>
      <c r="Q12" s="18" t="n">
        <v>0.39204002</v>
      </c>
      <c r="R12" s="20" t="n">
        <v>0.30838415</v>
      </c>
    </row>
    <row r="13" spans="1:18">
      <c r="A13" s="15" t="s">
        <v>573</v>
      </c>
      <c r="B13" s="17" t="n">
        <v>3559</v>
      </c>
      <c r="C13" s="18">
        <f>(2814.0/B13*100)</f>
        <v/>
      </c>
      <c r="D13" s="19" t="n">
        <v>745</v>
      </c>
      <c r="E13" s="18" t="n">
        <v>64.36621827</v>
      </c>
      <c r="F13" s="20" t="n">
        <v>2.29861388</v>
      </c>
      <c r="G13" s="18" t="n">
        <v>34.73084136</v>
      </c>
      <c r="H13" s="20" t="n">
        <v>2.32578138</v>
      </c>
      <c r="I13" s="18" t="s">
        <v>567</v>
      </c>
      <c r="J13" s="20" t="s">
        <v>567</v>
      </c>
      <c r="K13" s="18" t="n">
        <v>0.76154022</v>
      </c>
      <c r="L13" s="20" t="n">
        <v>0.29876924</v>
      </c>
      <c r="M13" s="18" t="n">
        <v>0</v>
      </c>
      <c r="N13" s="20" t="n">
        <v>0</v>
      </c>
      <c r="O13" s="18" t="n">
        <v>0</v>
      </c>
      <c r="P13" s="20" t="n">
        <v>0</v>
      </c>
      <c r="Q13" s="18" t="n">
        <v>0.14140014</v>
      </c>
      <c r="R13" s="20" t="n">
        <v>0.13908191</v>
      </c>
    </row>
    <row r="14" spans="1:18">
      <c r="A14" s="15" t="s">
        <v>574</v>
      </c>
      <c r="B14" s="17" t="n">
        <v>2799</v>
      </c>
      <c r="C14" s="18">
        <f>(2171.0/B14*100)</f>
        <v/>
      </c>
      <c r="D14" s="19" t="n">
        <v>628</v>
      </c>
      <c r="E14" s="18" t="n">
        <v>63.0854319</v>
      </c>
      <c r="F14" s="20" t="n">
        <v>2.09364721</v>
      </c>
      <c r="G14" s="18" t="n">
        <v>34.58568743</v>
      </c>
      <c r="H14" s="20" t="n">
        <v>1.83495395</v>
      </c>
      <c r="I14" s="18" t="s">
        <v>567</v>
      </c>
      <c r="J14" s="20" t="s">
        <v>567</v>
      </c>
      <c r="K14" s="18" t="n">
        <v>2.32888067</v>
      </c>
      <c r="L14" s="20" t="n">
        <v>0.8280467</v>
      </c>
      <c r="M14" s="18" t="n">
        <v>0</v>
      </c>
      <c r="N14" s="20" t="n">
        <v>0</v>
      </c>
      <c r="O14" s="18" t="n">
        <v>0</v>
      </c>
      <c r="P14" s="20" t="n">
        <v>0</v>
      </c>
      <c r="Q14" s="18" t="n">
        <v>0</v>
      </c>
      <c r="R14" s="20" t="n">
        <v>0</v>
      </c>
    </row>
    <row r="15" spans="1:18">
      <c r="A15" s="15" t="s">
        <v>575</v>
      </c>
      <c r="B15" s="17" t="n">
        <v>3019</v>
      </c>
      <c r="C15" s="18">
        <f>(2360.0/B15*100)</f>
        <v/>
      </c>
      <c r="D15" s="19" t="n">
        <v>659</v>
      </c>
      <c r="E15" s="18" t="n">
        <v>69.1306834</v>
      </c>
      <c r="F15" s="20" t="n">
        <v>1.84964481</v>
      </c>
      <c r="G15" s="18" t="n">
        <v>30.42782724</v>
      </c>
      <c r="H15" s="20" t="n">
        <v>1.8232942</v>
      </c>
      <c r="I15" s="18" t="s">
        <v>567</v>
      </c>
      <c r="J15" s="20" t="s">
        <v>567</v>
      </c>
      <c r="K15" s="18" t="n">
        <v>0.44148936</v>
      </c>
      <c r="L15" s="20" t="n">
        <v>0.25708172</v>
      </c>
      <c r="M15" s="18" t="n">
        <v>0</v>
      </c>
      <c r="N15" s="20" t="n">
        <v>0</v>
      </c>
      <c r="O15" s="18" t="n">
        <v>0</v>
      </c>
      <c r="P15" s="20" t="n">
        <v>0</v>
      </c>
      <c r="Q15" s="18" t="n">
        <v>0</v>
      </c>
      <c r="R15" s="20" t="n">
        <v>0</v>
      </c>
    </row>
    <row r="16" spans="1:18">
      <c r="A16" s="15" t="s">
        <v>576</v>
      </c>
      <c r="B16" s="17" t="n">
        <v>2997</v>
      </c>
      <c r="C16" s="18">
        <f>(2337.0/B16*100)</f>
        <v/>
      </c>
      <c r="D16" s="19" t="n">
        <v>660</v>
      </c>
      <c r="E16" s="18" t="n">
        <v>75.42826327</v>
      </c>
      <c r="F16" s="20" t="n">
        <v>1.81889112</v>
      </c>
      <c r="G16" s="18" t="n">
        <v>20.77118438</v>
      </c>
      <c r="H16" s="20" t="n">
        <v>1.74759072</v>
      </c>
      <c r="I16" s="18" t="s">
        <v>567</v>
      </c>
      <c r="J16" s="20" t="s">
        <v>567</v>
      </c>
      <c r="K16" s="18" t="n">
        <v>3.56923099</v>
      </c>
      <c r="L16" s="20" t="n">
        <v>0.77940219</v>
      </c>
      <c r="M16" s="18" t="n">
        <v>0</v>
      </c>
      <c r="N16" s="20" t="n">
        <v>0</v>
      </c>
      <c r="O16" s="18" t="n">
        <v>0</v>
      </c>
      <c r="P16" s="20" t="n">
        <v>0</v>
      </c>
      <c r="Q16" s="18" t="n">
        <v>0.23132136</v>
      </c>
      <c r="R16" s="20" t="n">
        <v>0.22949013</v>
      </c>
    </row>
    <row r="17" spans="1:18">
      <c r="A17" s="15" t="s">
        <v>577</v>
      </c>
      <c r="B17" s="17" t="n">
        <v>3307</v>
      </c>
      <c r="C17" s="18">
        <f>(2583.0/B17*100)</f>
        <v/>
      </c>
      <c r="D17" s="19" t="n">
        <v>724</v>
      </c>
      <c r="E17" s="18" t="n">
        <v>56.01755518</v>
      </c>
      <c r="F17" s="20" t="n">
        <v>1.95259855</v>
      </c>
      <c r="G17" s="18" t="n">
        <v>42.46805906</v>
      </c>
      <c r="H17" s="20" t="n">
        <v>1.98235355</v>
      </c>
      <c r="I17" s="18" t="s">
        <v>567</v>
      </c>
      <c r="J17" s="20" t="s">
        <v>567</v>
      </c>
      <c r="K17" s="18" t="n">
        <v>1.3999553</v>
      </c>
      <c r="L17" s="20" t="n">
        <v>0.38826694</v>
      </c>
      <c r="M17" s="18" t="n">
        <v>0</v>
      </c>
      <c r="N17" s="20" t="n">
        <v>0</v>
      </c>
      <c r="O17" s="18" t="n">
        <v>0</v>
      </c>
      <c r="P17" s="20" t="n">
        <v>0</v>
      </c>
      <c r="Q17" s="18" t="n">
        <v>0.11443045</v>
      </c>
      <c r="R17" s="20" t="n">
        <v>0.11451505</v>
      </c>
    </row>
    <row r="18" spans="1:18">
      <c r="A18" s="15" t="s">
        <v>578</v>
      </c>
      <c r="B18" s="17" t="n">
        <v>2826</v>
      </c>
      <c r="C18" s="18">
        <f>(2221.0/B18*100)</f>
        <v/>
      </c>
      <c r="D18" s="19" t="n">
        <v>605</v>
      </c>
      <c r="E18" s="18" t="n">
        <v>77.14682463</v>
      </c>
      <c r="F18" s="20" t="n">
        <v>2.02721579</v>
      </c>
      <c r="G18" s="18" t="n">
        <v>21.08052692</v>
      </c>
      <c r="H18" s="20" t="n">
        <v>1.90217979</v>
      </c>
      <c r="I18" s="18" t="s">
        <v>567</v>
      </c>
      <c r="J18" s="20" t="s">
        <v>567</v>
      </c>
      <c r="K18" s="18" t="n">
        <v>1.77264846</v>
      </c>
      <c r="L18" s="20" t="n">
        <v>0.4539942</v>
      </c>
      <c r="M18" s="18" t="n">
        <v>0</v>
      </c>
      <c r="N18" s="20" t="n">
        <v>0</v>
      </c>
      <c r="O18" s="18" t="n">
        <v>0</v>
      </c>
      <c r="P18" s="20" t="n">
        <v>0</v>
      </c>
      <c r="Q18" s="18" t="n">
        <v>0</v>
      </c>
      <c r="R18" s="20" t="n">
        <v>0</v>
      </c>
    </row>
    <row r="19" spans="1:18">
      <c r="A19" s="15" t="s">
        <v>579</v>
      </c>
      <c r="B19" s="17" t="n">
        <v>2808</v>
      </c>
      <c r="C19" s="18">
        <f>(2241.0/B19*100)</f>
        <v/>
      </c>
      <c r="D19" s="19" t="n">
        <v>567</v>
      </c>
      <c r="E19" s="18" t="n">
        <v>78.1725866</v>
      </c>
      <c r="F19" s="20" t="n">
        <v>1.85514836</v>
      </c>
      <c r="G19" s="18" t="n">
        <v>21.24202267</v>
      </c>
      <c r="H19" s="20" t="n">
        <v>1.83768724</v>
      </c>
      <c r="I19" s="18" t="s">
        <v>567</v>
      </c>
      <c r="J19" s="20" t="s">
        <v>567</v>
      </c>
      <c r="K19" s="18" t="n">
        <v>0.3874507</v>
      </c>
      <c r="L19" s="20" t="n">
        <v>0.39144533</v>
      </c>
      <c r="M19" s="18" t="n">
        <v>0</v>
      </c>
      <c r="N19" s="20" t="n">
        <v>0</v>
      </c>
      <c r="O19" s="18" t="n">
        <v>0</v>
      </c>
      <c r="P19" s="20" t="n">
        <v>0</v>
      </c>
      <c r="Q19" s="18" t="n">
        <v>0.19794003</v>
      </c>
      <c r="R19" s="20" t="n">
        <v>0.19680107</v>
      </c>
    </row>
    <row r="20" spans="1:18">
      <c r="A20" s="15" t="s">
        <v>580</v>
      </c>
      <c r="B20" s="17" t="n">
        <v>1630</v>
      </c>
      <c r="C20" s="18">
        <f>(1268.0/B20*100)</f>
        <v/>
      </c>
      <c r="D20" s="19" t="n">
        <v>362</v>
      </c>
      <c r="E20" s="18" t="n">
        <v>80.45456366000001</v>
      </c>
      <c r="F20" s="20" t="n">
        <v>1.94308308</v>
      </c>
      <c r="G20" s="18" t="n">
        <v>16.85772975</v>
      </c>
      <c r="H20" s="20" t="n">
        <v>1.80436951</v>
      </c>
      <c r="I20" s="18" t="s">
        <v>567</v>
      </c>
      <c r="J20" s="20" t="s">
        <v>567</v>
      </c>
      <c r="K20" s="18" t="n">
        <v>2.6877066</v>
      </c>
      <c r="L20" s="20" t="n">
        <v>0.82074453</v>
      </c>
      <c r="M20" s="18" t="n">
        <v>0</v>
      </c>
      <c r="N20" s="20" t="n">
        <v>0</v>
      </c>
      <c r="O20" s="18" t="n">
        <v>0</v>
      </c>
      <c r="P20" s="20" t="n">
        <v>0</v>
      </c>
      <c r="Q20" s="18" t="n">
        <v>0</v>
      </c>
      <c r="R20" s="20" t="n">
        <v>0</v>
      </c>
    </row>
    <row r="21" spans="1:18">
      <c r="A21" s="15" t="s">
        <v>581</v>
      </c>
      <c r="B21" s="17" t="n">
        <v>2908</v>
      </c>
      <c r="C21" s="18">
        <f>(2293.0/B21*100)</f>
        <v/>
      </c>
      <c r="D21" s="19" t="n">
        <v>615</v>
      </c>
      <c r="E21" s="18" t="n">
        <v>56.27908864</v>
      </c>
      <c r="F21" s="20" t="n">
        <v>2.00069331</v>
      </c>
      <c r="G21" s="18" t="n">
        <v>42.27774185</v>
      </c>
      <c r="H21" s="20" t="n">
        <v>1.97654545</v>
      </c>
      <c r="I21" s="18" t="s">
        <v>567</v>
      </c>
      <c r="J21" s="20" t="s">
        <v>567</v>
      </c>
      <c r="K21" s="18" t="n">
        <v>1.44316952</v>
      </c>
      <c r="L21" s="20" t="n">
        <v>0.48602822</v>
      </c>
      <c r="M21" s="18" t="n">
        <v>0</v>
      </c>
      <c r="N21" s="20" t="n">
        <v>0</v>
      </c>
      <c r="O21" s="18" t="n">
        <v>0</v>
      </c>
      <c r="P21" s="20" t="n">
        <v>0</v>
      </c>
      <c r="Q21" s="18" t="n">
        <v>0</v>
      </c>
      <c r="R21" s="20" t="n">
        <v>0</v>
      </c>
    </row>
    <row r="22" spans="1:18">
      <c r="A22" s="15" t="s">
        <v>582</v>
      </c>
      <c r="B22" s="17" t="n">
        <v>2931</v>
      </c>
      <c r="C22" s="18">
        <f>(2281.0/B22*100)</f>
        <v/>
      </c>
      <c r="D22" s="19" t="n">
        <v>650</v>
      </c>
      <c r="E22" s="18" t="n">
        <v>59.59804284</v>
      </c>
      <c r="F22" s="20" t="n">
        <v>2.11684503</v>
      </c>
      <c r="G22" s="18" t="n">
        <v>37.85665629</v>
      </c>
      <c r="H22" s="20" t="n">
        <v>2.22002519</v>
      </c>
      <c r="I22" s="18" t="s">
        <v>567</v>
      </c>
      <c r="J22" s="20" t="s">
        <v>567</v>
      </c>
      <c r="K22" s="18" t="n">
        <v>2.54530087</v>
      </c>
      <c r="L22" s="20" t="n">
        <v>0.7396406</v>
      </c>
      <c r="M22" s="18" t="n">
        <v>0</v>
      </c>
      <c r="N22" s="20" t="n">
        <v>0</v>
      </c>
      <c r="O22" s="18" t="n">
        <v>0</v>
      </c>
      <c r="P22" s="20" t="n">
        <v>0</v>
      </c>
      <c r="Q22" s="18" t="n">
        <v>0</v>
      </c>
      <c r="R22" s="20" t="n">
        <v>0</v>
      </c>
    </row>
    <row r="23" spans="1:18">
      <c r="A23" s="15" t="s">
        <v>583</v>
      </c>
      <c r="B23" s="17" t="n">
        <v>5791</v>
      </c>
      <c r="C23" s="18">
        <f>(4547.0/B23*100)</f>
        <v/>
      </c>
      <c r="D23" s="19" t="n">
        <v>1244</v>
      </c>
      <c r="E23" s="18" t="n">
        <v>70.15213099</v>
      </c>
      <c r="F23" s="20" t="n">
        <v>1.82575771</v>
      </c>
      <c r="G23" s="18" t="n">
        <v>27.78497763</v>
      </c>
      <c r="H23" s="20" t="n">
        <v>1.83043443</v>
      </c>
      <c r="I23" s="18" t="s">
        <v>567</v>
      </c>
      <c r="J23" s="20" t="s">
        <v>567</v>
      </c>
      <c r="K23" s="18" t="n">
        <v>1.83685088</v>
      </c>
      <c r="L23" s="20" t="n">
        <v>0.54292881</v>
      </c>
      <c r="M23" s="18" t="n">
        <v>0</v>
      </c>
      <c r="N23" s="20" t="n">
        <v>0</v>
      </c>
      <c r="O23" s="18" t="n">
        <v>0</v>
      </c>
      <c r="P23" s="20" t="n">
        <v>0</v>
      </c>
      <c r="Q23" s="18" t="n">
        <v>0.22604049</v>
      </c>
      <c r="R23" s="20" t="n">
        <v>0.18103365</v>
      </c>
    </row>
    <row r="24" spans="1:18">
      <c r="A24" s="15" t="s">
        <v>584</v>
      </c>
      <c r="B24" s="17" t="n">
        <v>3338</v>
      </c>
      <c r="C24" s="18">
        <f>(2616.0/B24*100)</f>
        <v/>
      </c>
      <c r="D24" s="19" t="n">
        <v>722</v>
      </c>
      <c r="E24" s="18" t="n">
        <v>61.75850916</v>
      </c>
      <c r="F24" s="20" t="n">
        <v>1.76448329</v>
      </c>
      <c r="G24" s="18" t="n">
        <v>36.85256026</v>
      </c>
      <c r="H24" s="20" t="n">
        <v>1.77852568</v>
      </c>
      <c r="I24" s="18" t="s">
        <v>567</v>
      </c>
      <c r="J24" s="20" t="s">
        <v>567</v>
      </c>
      <c r="K24" s="18" t="n">
        <v>1.10548429</v>
      </c>
      <c r="L24" s="20" t="n">
        <v>0.47145577</v>
      </c>
      <c r="M24" s="18" t="n">
        <v>0</v>
      </c>
      <c r="N24" s="20" t="n">
        <v>0</v>
      </c>
      <c r="O24" s="18" t="n">
        <v>0</v>
      </c>
      <c r="P24" s="20" t="n">
        <v>0</v>
      </c>
      <c r="Q24" s="18" t="n">
        <v>0.28344629</v>
      </c>
      <c r="R24" s="20" t="n">
        <v>0.20318438</v>
      </c>
    </row>
    <row r="25" spans="1:18">
      <c r="A25" s="15" t="s">
        <v>585</v>
      </c>
      <c r="B25" s="17" t="n">
        <v>2912</v>
      </c>
      <c r="C25" s="18">
        <f>(2247.0/B25*100)</f>
        <v/>
      </c>
      <c r="D25" s="19" t="n">
        <v>665</v>
      </c>
      <c r="E25" s="18" t="n">
        <v>69.92564908999999</v>
      </c>
      <c r="F25" s="20" t="n">
        <v>1.94883539</v>
      </c>
      <c r="G25" s="18" t="n">
        <v>29.10541722</v>
      </c>
      <c r="H25" s="20" t="n">
        <v>2.02317204</v>
      </c>
      <c r="I25" s="18" t="s">
        <v>567</v>
      </c>
      <c r="J25" s="20" t="s">
        <v>567</v>
      </c>
      <c r="K25" s="18" t="n">
        <v>0.80154467</v>
      </c>
      <c r="L25" s="20" t="n">
        <v>0.42936723</v>
      </c>
      <c r="M25" s="18" t="n">
        <v>0</v>
      </c>
      <c r="N25" s="20" t="n">
        <v>0</v>
      </c>
      <c r="O25" s="18" t="n">
        <v>0</v>
      </c>
      <c r="P25" s="20" t="n">
        <v>0</v>
      </c>
      <c r="Q25" s="18" t="n">
        <v>0.16738902</v>
      </c>
      <c r="R25" s="20" t="n">
        <v>0.16717243</v>
      </c>
    </row>
    <row r="26" spans="1:18">
      <c r="A26" s="15" t="s">
        <v>586</v>
      </c>
      <c r="B26" s="17" t="n">
        <v>2450</v>
      </c>
      <c r="C26" s="18">
        <f>(1892.0/B26*100)</f>
        <v/>
      </c>
      <c r="D26" s="19" t="n">
        <v>558</v>
      </c>
      <c r="E26" s="18" t="n">
        <v>83.31480380000001</v>
      </c>
      <c r="F26" s="20" t="n">
        <v>1.93989554</v>
      </c>
      <c r="G26" s="18" t="n">
        <v>15.70764683</v>
      </c>
      <c r="H26" s="20" t="n">
        <v>1.92147407</v>
      </c>
      <c r="I26" s="18" t="s">
        <v>567</v>
      </c>
      <c r="J26" s="20" t="s">
        <v>567</v>
      </c>
      <c r="K26" s="18" t="n">
        <v>0.97754937</v>
      </c>
      <c r="L26" s="20" t="n">
        <v>0.30480468</v>
      </c>
      <c r="M26" s="18" t="n">
        <v>0</v>
      </c>
      <c r="N26" s="20" t="n">
        <v>0</v>
      </c>
      <c r="O26" s="18" t="n">
        <v>0</v>
      </c>
      <c r="P26" s="20" t="n">
        <v>0</v>
      </c>
      <c r="Q26" s="18" t="n">
        <v>0</v>
      </c>
      <c r="R26" s="20" t="n">
        <v>0</v>
      </c>
    </row>
    <row r="27" spans="1:18">
      <c r="A27" s="15" t="s">
        <v>587</v>
      </c>
      <c r="B27" s="17" t="n">
        <v>2616</v>
      </c>
      <c r="C27" s="18">
        <f>(2076.0/B27*100)</f>
        <v/>
      </c>
      <c r="D27" s="19" t="n">
        <v>540</v>
      </c>
      <c r="E27" s="18" t="n">
        <v>67.69217055</v>
      </c>
      <c r="F27" s="20" t="n">
        <v>2.06272178</v>
      </c>
      <c r="G27" s="18" t="n">
        <v>30.4697425</v>
      </c>
      <c r="H27" s="20" t="n">
        <v>1.9924768</v>
      </c>
      <c r="I27" s="18" t="s">
        <v>567</v>
      </c>
      <c r="J27" s="20" t="s">
        <v>567</v>
      </c>
      <c r="K27" s="18" t="n">
        <v>1.83808695</v>
      </c>
      <c r="L27" s="20" t="n">
        <v>0.57311638</v>
      </c>
      <c r="M27" s="18" t="n">
        <v>0</v>
      </c>
      <c r="N27" s="20" t="n">
        <v>0</v>
      </c>
      <c r="O27" s="18" t="n">
        <v>0</v>
      </c>
      <c r="P27" s="20" t="n">
        <v>0</v>
      </c>
      <c r="Q27" s="18" t="n">
        <v>0</v>
      </c>
      <c r="R27" s="20" t="n">
        <v>0</v>
      </c>
    </row>
    <row r="28" spans="1:18">
      <c r="A28" s="15" t="s">
        <v>588</v>
      </c>
      <c r="B28" s="17" t="n">
        <v>3765</v>
      </c>
      <c r="C28" s="18">
        <f>(3060.0/B28*100)</f>
        <v/>
      </c>
      <c r="D28" s="19" t="n">
        <v>705</v>
      </c>
      <c r="E28" s="18" t="n">
        <v>86.49779135999999</v>
      </c>
      <c r="F28" s="20" t="n">
        <v>1.33302277</v>
      </c>
      <c r="G28" s="18" t="n">
        <v>11.51439415</v>
      </c>
      <c r="H28" s="20" t="n">
        <v>1.18193378</v>
      </c>
      <c r="I28" s="18" t="s">
        <v>567</v>
      </c>
      <c r="J28" s="20" t="s">
        <v>567</v>
      </c>
      <c r="K28" s="18" t="n">
        <v>1.98781449</v>
      </c>
      <c r="L28" s="20" t="n">
        <v>0.61638721</v>
      </c>
      <c r="M28" s="18" t="n">
        <v>0</v>
      </c>
      <c r="N28" s="20" t="n">
        <v>0</v>
      </c>
      <c r="O28" s="18" t="n">
        <v>0</v>
      </c>
      <c r="P28" s="20" t="n">
        <v>0</v>
      </c>
      <c r="Q28" s="18" t="n">
        <v>0</v>
      </c>
      <c r="R28" s="20" t="n">
        <v>0</v>
      </c>
    </row>
    <row r="29" spans="1:18">
      <c r="A29" s="15" t="s">
        <v>589</v>
      </c>
      <c r="B29" s="17" t="n">
        <v>2685</v>
      </c>
      <c r="C29" s="18">
        <f>(2097.0/B29*100)</f>
        <v/>
      </c>
      <c r="D29" s="19" t="n">
        <v>588</v>
      </c>
      <c r="E29" s="18" t="n">
        <v>62.1136405</v>
      </c>
      <c r="F29" s="20" t="n">
        <v>1.8543977</v>
      </c>
      <c r="G29" s="18" t="n">
        <v>37.0828233</v>
      </c>
      <c r="H29" s="20" t="n">
        <v>1.95772115</v>
      </c>
      <c r="I29" s="18" t="s">
        <v>567</v>
      </c>
      <c r="J29" s="20" t="s">
        <v>567</v>
      </c>
      <c r="K29" s="18" t="n">
        <v>0.8035362</v>
      </c>
      <c r="L29" s="20" t="n">
        <v>0.41273232</v>
      </c>
      <c r="M29" s="18" t="n">
        <v>0</v>
      </c>
      <c r="N29" s="20" t="n">
        <v>0</v>
      </c>
      <c r="O29" s="18" t="n">
        <v>0</v>
      </c>
      <c r="P29" s="20" t="n">
        <v>0</v>
      </c>
      <c r="Q29" s="18" t="n">
        <v>0</v>
      </c>
      <c r="R29" s="20" t="n">
        <v>0</v>
      </c>
    </row>
    <row r="30" spans="1:18">
      <c r="A30" s="15" t="s">
        <v>590</v>
      </c>
      <c r="B30" s="17" t="n">
        <v>2263</v>
      </c>
      <c r="C30" s="18">
        <f>(1801.0/B30*100)</f>
        <v/>
      </c>
      <c r="D30" s="19" t="n">
        <v>462</v>
      </c>
      <c r="E30" s="18" t="n">
        <v>61.00243295</v>
      </c>
      <c r="F30" s="20" t="n">
        <v>2.12579497</v>
      </c>
      <c r="G30" s="18" t="n">
        <v>36.65080156</v>
      </c>
      <c r="H30" s="20" t="n">
        <v>2.03405663</v>
      </c>
      <c r="I30" s="18" t="s">
        <v>567</v>
      </c>
      <c r="J30" s="20" t="s">
        <v>567</v>
      </c>
      <c r="K30" s="18" t="n">
        <v>2.34676549</v>
      </c>
      <c r="L30" s="20" t="n">
        <v>0.86781766</v>
      </c>
      <c r="M30" s="18" t="n">
        <v>0</v>
      </c>
      <c r="N30" s="20" t="n">
        <v>0</v>
      </c>
      <c r="O30" s="18" t="n">
        <v>0</v>
      </c>
      <c r="P30" s="20" t="n">
        <v>0</v>
      </c>
      <c r="Q30" s="18" t="n">
        <v>0</v>
      </c>
      <c r="R30" s="20" t="n">
        <v>0</v>
      </c>
    </row>
    <row r="31" spans="1:18">
      <c r="A31" s="15" t="s">
        <v>591</v>
      </c>
      <c r="B31" s="17" t="n">
        <v>2750</v>
      </c>
      <c r="C31" s="18">
        <f>(2153.0/B31*100)</f>
        <v/>
      </c>
      <c r="D31" s="19" t="n">
        <v>597</v>
      </c>
      <c r="E31" s="18" t="n">
        <v>73.63889768</v>
      </c>
      <c r="F31" s="20" t="n">
        <v>1.81805793</v>
      </c>
      <c r="G31" s="18" t="n">
        <v>23.47818301</v>
      </c>
      <c r="H31" s="20" t="n">
        <v>1.81018324</v>
      </c>
      <c r="I31" s="18" t="s">
        <v>567</v>
      </c>
      <c r="J31" s="20" t="s">
        <v>567</v>
      </c>
      <c r="K31" s="18" t="n">
        <v>2.88291931</v>
      </c>
      <c r="L31" s="20" t="n">
        <v>0.61555662</v>
      </c>
      <c r="M31" s="18" t="n">
        <v>0</v>
      </c>
      <c r="N31" s="20" t="n">
        <v>0</v>
      </c>
      <c r="O31" s="18" t="n">
        <v>0</v>
      </c>
      <c r="P31" s="20" t="n">
        <v>0</v>
      </c>
      <c r="Q31" s="18" t="n">
        <v>0</v>
      </c>
      <c r="R31" s="20" t="n">
        <v>0</v>
      </c>
    </row>
    <row r="32" spans="1:18">
      <c r="A32" s="15" t="s">
        <v>592</v>
      </c>
      <c r="B32" s="17" t="n">
        <v>2269</v>
      </c>
      <c r="C32" s="18">
        <f>(1746.0/B32*100)</f>
        <v/>
      </c>
      <c r="D32" s="19" t="n">
        <v>523</v>
      </c>
      <c r="E32" s="18" t="n">
        <v>72.68360912999999</v>
      </c>
      <c r="F32" s="20" t="n">
        <v>2.124987</v>
      </c>
      <c r="G32" s="18" t="n">
        <v>26.13231491</v>
      </c>
      <c r="H32" s="20" t="n">
        <v>2.05688182</v>
      </c>
      <c r="I32" s="18" t="s">
        <v>567</v>
      </c>
      <c r="J32" s="20" t="s">
        <v>567</v>
      </c>
      <c r="K32" s="18" t="n">
        <v>1.18407596</v>
      </c>
      <c r="L32" s="20" t="n">
        <v>0.44491871</v>
      </c>
      <c r="M32" s="18" t="n">
        <v>0</v>
      </c>
      <c r="N32" s="20" t="n">
        <v>0</v>
      </c>
      <c r="O32" s="18" t="n">
        <v>0</v>
      </c>
      <c r="P32" s="20" t="n">
        <v>0</v>
      </c>
      <c r="Q32" s="18" t="n">
        <v>0</v>
      </c>
      <c r="R32" s="20" t="n">
        <v>0</v>
      </c>
    </row>
    <row r="33" spans="1:18">
      <c r="A33" s="15" t="s">
        <v>593</v>
      </c>
      <c r="B33" s="17" t="n">
        <v>3674</v>
      </c>
      <c r="C33" s="18">
        <f>(2944.0/B33*100)</f>
        <v/>
      </c>
      <c r="D33" s="19" t="n">
        <v>730</v>
      </c>
      <c r="E33" s="18" t="n">
        <v>77.24108099999999</v>
      </c>
      <c r="F33" s="20" t="n">
        <v>1.6292084</v>
      </c>
      <c r="G33" s="18" t="n">
        <v>20.14408901</v>
      </c>
      <c r="H33" s="20" t="n">
        <v>1.5236343</v>
      </c>
      <c r="I33" s="18" t="s">
        <v>567</v>
      </c>
      <c r="J33" s="20" t="s">
        <v>567</v>
      </c>
      <c r="K33" s="18" t="n">
        <v>2.39716066</v>
      </c>
      <c r="L33" s="20" t="n">
        <v>0.86672066</v>
      </c>
      <c r="M33" s="18" t="n">
        <v>0</v>
      </c>
      <c r="N33" s="20" t="n">
        <v>0</v>
      </c>
      <c r="O33" s="18" t="n">
        <v>0</v>
      </c>
      <c r="P33" s="20" t="n">
        <v>0</v>
      </c>
      <c r="Q33" s="18" t="n">
        <v>0.21766934</v>
      </c>
      <c r="R33" s="20" t="n">
        <v>0.23585291</v>
      </c>
    </row>
    <row r="34" spans="1:18">
      <c r="A34" s="15" t="s">
        <v>594</v>
      </c>
      <c r="B34" s="17" t="n">
        <v>3315</v>
      </c>
      <c r="C34" s="18">
        <f>(2606.0/B34*100)</f>
        <v/>
      </c>
      <c r="D34" s="19" t="n">
        <v>709</v>
      </c>
      <c r="E34" s="18" t="n">
        <v>83.96974191</v>
      </c>
      <c r="F34" s="20" t="n">
        <v>1.22546588</v>
      </c>
      <c r="G34" s="18" t="n">
        <v>14.75047676</v>
      </c>
      <c r="H34" s="20" t="n">
        <v>1.19014057</v>
      </c>
      <c r="I34" s="18" t="s">
        <v>567</v>
      </c>
      <c r="J34" s="20" t="s">
        <v>567</v>
      </c>
      <c r="K34" s="18" t="n">
        <v>1.00637868</v>
      </c>
      <c r="L34" s="20" t="n">
        <v>0.44627514</v>
      </c>
      <c r="M34" s="18" t="n">
        <v>0</v>
      </c>
      <c r="N34" s="20" t="n">
        <v>0</v>
      </c>
      <c r="O34" s="18" t="n">
        <v>0</v>
      </c>
      <c r="P34" s="20" t="n">
        <v>0</v>
      </c>
      <c r="Q34" s="18" t="n">
        <v>0.27340265</v>
      </c>
      <c r="R34" s="20" t="n">
        <v>0.19061058</v>
      </c>
    </row>
    <row r="35" spans="1:18">
      <c r="A35" s="15" t="s">
        <v>595</v>
      </c>
      <c r="B35" s="17" t="n">
        <v>3505</v>
      </c>
      <c r="C35" s="18">
        <f>(2767.0/B35*100)</f>
        <v/>
      </c>
      <c r="D35" s="19" t="n">
        <v>738</v>
      </c>
      <c r="E35" s="18" t="n">
        <v>70.79585025999999</v>
      </c>
      <c r="F35" s="20" t="n">
        <v>2.1917797</v>
      </c>
      <c r="G35" s="18" t="n">
        <v>26.83409663</v>
      </c>
      <c r="H35" s="20" t="n">
        <v>2.11433719</v>
      </c>
      <c r="I35" s="18" t="s">
        <v>567</v>
      </c>
      <c r="J35" s="20" t="s">
        <v>567</v>
      </c>
      <c r="K35" s="18" t="n">
        <v>2.21257426</v>
      </c>
      <c r="L35" s="20" t="n">
        <v>0.89494484</v>
      </c>
      <c r="M35" s="18" t="n">
        <v>0</v>
      </c>
      <c r="N35" s="20" t="n">
        <v>0</v>
      </c>
      <c r="O35" s="18" t="n">
        <v>0</v>
      </c>
      <c r="P35" s="20" t="n">
        <v>0</v>
      </c>
      <c r="Q35" s="18" t="n">
        <v>0.15747886</v>
      </c>
      <c r="R35" s="20" t="n">
        <v>0.15860482</v>
      </c>
    </row>
    <row r="36" spans="1:18">
      <c r="A36" s="15" t="s">
        <v>596</v>
      </c>
      <c r="B36" s="17" t="n">
        <v>3332</v>
      </c>
      <c r="C36" s="18">
        <f>(2652.0/B36*100)</f>
        <v/>
      </c>
      <c r="D36" s="19" t="n">
        <v>680</v>
      </c>
      <c r="E36" s="18" t="n">
        <v>73.43981406</v>
      </c>
      <c r="F36" s="20" t="n">
        <v>1.81888893</v>
      </c>
      <c r="G36" s="18" t="n">
        <v>24.32249712</v>
      </c>
      <c r="H36" s="20" t="n">
        <v>1.74400686</v>
      </c>
      <c r="I36" s="18" t="s">
        <v>567</v>
      </c>
      <c r="J36" s="20" t="s">
        <v>567</v>
      </c>
      <c r="K36" s="18" t="n">
        <v>2.23768881</v>
      </c>
      <c r="L36" s="20" t="n">
        <v>0.59020214</v>
      </c>
      <c r="M36" s="18" t="n">
        <v>0</v>
      </c>
      <c r="N36" s="20" t="n">
        <v>0</v>
      </c>
      <c r="O36" s="18" t="n">
        <v>0</v>
      </c>
      <c r="P36" s="20" t="n">
        <v>0</v>
      </c>
      <c r="Q36" s="18" t="n">
        <v>0</v>
      </c>
      <c r="R36" s="20" t="n">
        <v>0</v>
      </c>
    </row>
    <row r="37" spans="1:18">
      <c r="A37" s="15" t="s">
        <v>597</v>
      </c>
      <c r="B37" s="17" t="n">
        <v>2727</v>
      </c>
      <c r="C37" s="18">
        <f>(2159.0/B37*100)</f>
        <v/>
      </c>
      <c r="D37" s="19" t="n">
        <v>568</v>
      </c>
      <c r="E37" s="18" t="n">
        <v>73.73024421</v>
      </c>
      <c r="F37" s="20" t="n">
        <v>1.80306044</v>
      </c>
      <c r="G37" s="18" t="n">
        <v>22.38552149</v>
      </c>
      <c r="H37" s="20" t="n">
        <v>1.59934248</v>
      </c>
      <c r="I37" s="18" t="s">
        <v>567</v>
      </c>
      <c r="J37" s="20" t="s">
        <v>567</v>
      </c>
      <c r="K37" s="18" t="n">
        <v>3.52665996</v>
      </c>
      <c r="L37" s="20" t="n">
        <v>0.83682136</v>
      </c>
      <c r="M37" s="18" t="n">
        <v>0</v>
      </c>
      <c r="N37" s="20" t="n">
        <v>0</v>
      </c>
      <c r="O37" s="18" t="n">
        <v>0</v>
      </c>
      <c r="P37" s="20" t="n">
        <v>0</v>
      </c>
      <c r="Q37" s="18" t="n">
        <v>0.35757435</v>
      </c>
      <c r="R37" s="20" t="n">
        <v>0.26074434</v>
      </c>
    </row>
    <row r="38" spans="1:18">
      <c r="A38" s="15" t="s">
        <v>598</v>
      </c>
      <c r="B38" s="17" t="n">
        <v>3053</v>
      </c>
      <c r="C38" s="18">
        <f>(2416.0/B38*100)</f>
        <v/>
      </c>
      <c r="D38" s="19" t="n">
        <v>637</v>
      </c>
      <c r="E38" s="18" t="n">
        <v>62.04719803</v>
      </c>
      <c r="F38" s="20" t="n">
        <v>2.40311078</v>
      </c>
      <c r="G38" s="18" t="n">
        <v>36.18015412</v>
      </c>
      <c r="H38" s="20" t="n">
        <v>2.34795323</v>
      </c>
      <c r="I38" s="18" t="s">
        <v>567</v>
      </c>
      <c r="J38" s="20" t="s">
        <v>567</v>
      </c>
      <c r="K38" s="18" t="n">
        <v>1.77264786</v>
      </c>
      <c r="L38" s="20" t="n">
        <v>0.5897217300000001</v>
      </c>
      <c r="M38" s="18" t="n">
        <v>0</v>
      </c>
      <c r="N38" s="20" t="n">
        <v>0</v>
      </c>
      <c r="O38" s="18" t="n">
        <v>0</v>
      </c>
      <c r="P38" s="20" t="n">
        <v>0</v>
      </c>
      <c r="Q38" s="18" t="n">
        <v>0</v>
      </c>
      <c r="R38" s="20" t="n">
        <v>0</v>
      </c>
    </row>
    <row r="39" spans="1:18">
      <c r="A39" s="15" t="s">
        <v>599</v>
      </c>
      <c r="B39" s="17" t="n">
        <v>2957</v>
      </c>
      <c r="C39" s="18">
        <f>(2298.0/B39*100)</f>
        <v/>
      </c>
      <c r="D39" s="19" t="n">
        <v>659</v>
      </c>
      <c r="E39" s="18" t="n">
        <v>86.01486686</v>
      </c>
      <c r="F39" s="20" t="n">
        <v>1.37682129</v>
      </c>
      <c r="G39" s="18" t="n">
        <v>13.23499369</v>
      </c>
      <c r="H39" s="20" t="n">
        <v>1.33528002</v>
      </c>
      <c r="I39" s="18" t="s">
        <v>567</v>
      </c>
      <c r="J39" s="20" t="s">
        <v>567</v>
      </c>
      <c r="K39" s="18" t="n">
        <v>0.59868598</v>
      </c>
      <c r="L39" s="20" t="n">
        <v>0.24513661</v>
      </c>
      <c r="M39" s="18" t="n">
        <v>0</v>
      </c>
      <c r="N39" s="20" t="n">
        <v>0</v>
      </c>
      <c r="O39" s="18" t="n">
        <v>0</v>
      </c>
      <c r="P39" s="20" t="n">
        <v>0</v>
      </c>
      <c r="Q39" s="18" t="n">
        <v>0.15145348</v>
      </c>
      <c r="R39" s="20" t="n">
        <v>0.14659505</v>
      </c>
    </row>
    <row r="40" spans="1:18">
      <c r="A40" s="15" t="s">
        <v>600</v>
      </c>
      <c r="B40" s="17" t="n">
        <v>7235</v>
      </c>
      <c r="C40" s="18">
        <f>(5675.0/B40*100)</f>
        <v/>
      </c>
      <c r="D40" s="19" t="n">
        <v>1560</v>
      </c>
      <c r="E40" s="18" t="n">
        <v>52.98730704</v>
      </c>
      <c r="F40" s="20" t="n">
        <v>1.82112958</v>
      </c>
      <c r="G40" s="18" t="n">
        <v>45.88016836</v>
      </c>
      <c r="H40" s="20" t="n">
        <v>1.73831684</v>
      </c>
      <c r="I40" s="18" t="s">
        <v>567</v>
      </c>
      <c r="J40" s="20" t="s">
        <v>567</v>
      </c>
      <c r="K40" s="18" t="n">
        <v>1.08339503</v>
      </c>
      <c r="L40" s="20" t="n">
        <v>0.41068963</v>
      </c>
      <c r="M40" s="18" t="n">
        <v>0</v>
      </c>
      <c r="N40" s="20" t="n">
        <v>0</v>
      </c>
      <c r="O40" s="18" t="n">
        <v>0</v>
      </c>
      <c r="P40" s="20" t="n">
        <v>0</v>
      </c>
      <c r="Q40" s="18" t="n">
        <v>0.04912957</v>
      </c>
      <c r="R40" s="20" t="n">
        <v>0.03741243</v>
      </c>
    </row>
    <row r="41" spans="1:18">
      <c r="A41" s="15" t="s">
        <v>601</v>
      </c>
      <c r="B41" s="17" t="n">
        <v>2858</v>
      </c>
      <c r="C41" s="18">
        <f>(2282.0/B41*100)</f>
        <v/>
      </c>
      <c r="D41" s="19" t="n">
        <v>576</v>
      </c>
      <c r="E41" s="18" t="n">
        <v>67.67626521</v>
      </c>
      <c r="F41" s="20" t="n">
        <v>1.92680241</v>
      </c>
      <c r="G41" s="18" t="n">
        <v>31.33320806</v>
      </c>
      <c r="H41" s="20" t="n">
        <v>1.87487357</v>
      </c>
      <c r="I41" s="18" t="s">
        <v>567</v>
      </c>
      <c r="J41" s="20" t="s">
        <v>567</v>
      </c>
      <c r="K41" s="18" t="n">
        <v>0.83233378</v>
      </c>
      <c r="L41" s="20" t="n">
        <v>0.33473975</v>
      </c>
      <c r="M41" s="18" t="n">
        <v>0</v>
      </c>
      <c r="N41" s="20" t="n">
        <v>0</v>
      </c>
      <c r="O41" s="18" t="n">
        <v>0</v>
      </c>
      <c r="P41" s="20" t="n">
        <v>0</v>
      </c>
      <c r="Q41" s="18" t="n">
        <v>0.15819295</v>
      </c>
      <c r="R41" s="20" t="n">
        <v>0.14168293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(9459.0/B46*100)</f>
        <v/>
      </c>
      <c r="D46" s="19" t="n">
        <v>1609</v>
      </c>
      <c r="E46" s="18" t="n">
        <v>79.17964938999999</v>
      </c>
      <c r="F46" s="20" t="n">
        <v>1.45931066</v>
      </c>
      <c r="G46" s="18" t="n">
        <v>14.18779444</v>
      </c>
      <c r="H46" s="20" t="n">
        <v>1.28512809</v>
      </c>
      <c r="I46" s="18" t="s">
        <v>567</v>
      </c>
      <c r="J46" s="20" t="s">
        <v>567</v>
      </c>
      <c r="K46" s="18" t="n">
        <v>6.19966711</v>
      </c>
      <c r="L46" s="20" t="n">
        <v>0.97923982</v>
      </c>
      <c r="M46" s="18" t="n">
        <v>0</v>
      </c>
      <c r="N46" s="20" t="n">
        <v>0</v>
      </c>
      <c r="O46" s="18" t="n">
        <v>0</v>
      </c>
      <c r="P46" s="20" t="n">
        <v>0</v>
      </c>
      <c r="Q46" s="18" t="n">
        <v>0.43288906</v>
      </c>
      <c r="R46" s="20" t="n">
        <v>0.22981597</v>
      </c>
    </row>
    <row r="47" spans="1:18">
      <c r="A47" s="15" t="s">
        <v>607</v>
      </c>
      <c r="B47" s="17" t="n">
        <v>3105</v>
      </c>
      <c r="C47" s="18">
        <f>(2441.0/B47*100)</f>
        <v/>
      </c>
      <c r="D47" s="19" t="n">
        <v>664</v>
      </c>
      <c r="E47" s="18" t="n">
        <v>82.77491876000001</v>
      </c>
      <c r="F47" s="20" t="n">
        <v>1.6766847</v>
      </c>
      <c r="G47" s="18" t="n">
        <v>14.90016301</v>
      </c>
      <c r="H47" s="20" t="n">
        <v>1.71005883</v>
      </c>
      <c r="I47" s="18" t="s">
        <v>567</v>
      </c>
      <c r="J47" s="20" t="s">
        <v>567</v>
      </c>
      <c r="K47" s="18" t="n">
        <v>1.84353372</v>
      </c>
      <c r="L47" s="20" t="n">
        <v>0.531995</v>
      </c>
      <c r="M47" s="18" t="n">
        <v>0</v>
      </c>
      <c r="N47" s="20" t="n">
        <v>0</v>
      </c>
      <c r="O47" s="18" t="n">
        <v>0</v>
      </c>
      <c r="P47" s="20" t="n">
        <v>0</v>
      </c>
      <c r="Q47" s="18" t="n">
        <v>0.48138452</v>
      </c>
      <c r="R47" s="20" t="n">
        <v>0.32465966</v>
      </c>
    </row>
    <row r="48" spans="1:18">
      <c r="A48" s="15" t="s">
        <v>608</v>
      </c>
      <c r="B48" s="17" t="n">
        <v>5159</v>
      </c>
      <c r="C48" s="18">
        <f>(3991.0/B48*100)</f>
        <v/>
      </c>
      <c r="D48" s="19" t="n">
        <v>1168</v>
      </c>
      <c r="E48" s="18" t="n">
        <v>83.32049902</v>
      </c>
      <c r="F48" s="20" t="n">
        <v>1.1697974</v>
      </c>
      <c r="G48" s="18" t="n">
        <v>15.59734785</v>
      </c>
      <c r="H48" s="20" t="n">
        <v>1.15132264</v>
      </c>
      <c r="I48" s="18" t="s">
        <v>567</v>
      </c>
      <c r="J48" s="20" t="s">
        <v>567</v>
      </c>
      <c r="K48" s="18" t="n">
        <v>1.08215313</v>
      </c>
      <c r="L48" s="20" t="n">
        <v>0.39668274</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(4506.0/B50*100)</f>
        <v/>
      </c>
      <c r="D50" s="19" t="n">
        <v>1131</v>
      </c>
      <c r="E50" s="18" t="n">
        <v>82.33423501</v>
      </c>
      <c r="F50" s="20" t="n">
        <v>1.39378697</v>
      </c>
      <c r="G50" s="18" t="n">
        <v>13.57934997</v>
      </c>
      <c r="H50" s="20" t="n">
        <v>1.35520432</v>
      </c>
      <c r="I50" s="18" t="s">
        <v>567</v>
      </c>
      <c r="J50" s="20" t="s">
        <v>567</v>
      </c>
      <c r="K50" s="18" t="n">
        <v>3.92775107</v>
      </c>
      <c r="L50" s="20" t="n">
        <v>0.73821151</v>
      </c>
      <c r="M50" s="18" t="n">
        <v>0</v>
      </c>
      <c r="N50" s="20" t="n">
        <v>0</v>
      </c>
      <c r="O50" s="18" t="n">
        <v>0</v>
      </c>
      <c r="P50" s="20" t="n">
        <v>0</v>
      </c>
      <c r="Q50" s="18" t="n">
        <v>0.15866395</v>
      </c>
      <c r="R50" s="20" t="n">
        <v>0.15953606</v>
      </c>
    </row>
    <row r="51" spans="1:18">
      <c r="A51" s="15" t="s">
        <v>611</v>
      </c>
      <c r="B51" s="17" t="n">
        <v>3372</v>
      </c>
      <c r="C51" s="18">
        <f>(2794.0/B51*100)</f>
        <v/>
      </c>
      <c r="D51" s="19" t="n">
        <v>578</v>
      </c>
      <c r="E51" s="18" t="n">
        <v>91.53001894000001</v>
      </c>
      <c r="F51" s="20" t="n">
        <v>1.10516325</v>
      </c>
      <c r="G51" s="18" t="n">
        <v>6.5315373</v>
      </c>
      <c r="H51" s="20" t="n">
        <v>0.93306279</v>
      </c>
      <c r="I51" s="18" t="s">
        <v>567</v>
      </c>
      <c r="J51" s="20" t="s">
        <v>567</v>
      </c>
      <c r="K51" s="18" t="n">
        <v>1.93844377</v>
      </c>
      <c r="L51" s="20" t="n">
        <v>0.7200958200000001</v>
      </c>
      <c r="M51" s="18" t="n">
        <v>0</v>
      </c>
      <c r="N51" s="20" t="n">
        <v>0</v>
      </c>
      <c r="O51" s="18" t="n">
        <v>0</v>
      </c>
      <c r="P51" s="20" t="n">
        <v>0</v>
      </c>
      <c r="Q51" s="18" t="n">
        <v>0</v>
      </c>
      <c r="R51" s="20" t="n">
        <v>0</v>
      </c>
    </row>
    <row r="52" spans="1:18">
      <c r="A52" s="15" t="s">
        <v>612</v>
      </c>
      <c r="B52" s="17" t="n">
        <v>2796</v>
      </c>
      <c r="C52" s="18">
        <f>(2223.0/B52*100)</f>
        <v/>
      </c>
      <c r="D52" s="19" t="n">
        <v>573</v>
      </c>
      <c r="E52" s="18" t="n">
        <v>78.7118411</v>
      </c>
      <c r="F52" s="20" t="n">
        <v>1.69926282</v>
      </c>
      <c r="G52" s="18" t="n">
        <v>20.53290762</v>
      </c>
      <c r="H52" s="20" t="n">
        <v>1.70416815</v>
      </c>
      <c r="I52" s="18" t="s">
        <v>567</v>
      </c>
      <c r="J52" s="20" t="s">
        <v>567</v>
      </c>
      <c r="K52" s="18" t="n">
        <v>0.75525128</v>
      </c>
      <c r="L52" s="20" t="n">
        <v>0.39296088</v>
      </c>
      <c r="M52" s="18" t="n">
        <v>0</v>
      </c>
      <c r="N52" s="20" t="n">
        <v>0</v>
      </c>
      <c r="O52" s="18" t="n">
        <v>0</v>
      </c>
      <c r="P52" s="20" t="n">
        <v>0</v>
      </c>
      <c r="Q52" s="18" t="n">
        <v>0</v>
      </c>
      <c r="R52" s="20" t="n">
        <v>0</v>
      </c>
    </row>
    <row r="53" spans="1:18">
      <c r="A53" s="15" t="s">
        <v>613</v>
      </c>
      <c r="B53" s="17" t="n">
        <v>2811</v>
      </c>
      <c r="C53" s="18">
        <f>(2216.0/B53*100)</f>
        <v/>
      </c>
      <c r="D53" s="19" t="n">
        <v>595</v>
      </c>
      <c r="E53" s="18" t="n">
        <v>78.6183705</v>
      </c>
      <c r="F53" s="20" t="n">
        <v>1.54331811</v>
      </c>
      <c r="G53" s="18" t="n">
        <v>19.46158519</v>
      </c>
      <c r="H53" s="20" t="n">
        <v>1.52687044</v>
      </c>
      <c r="I53" s="18" t="s">
        <v>567</v>
      </c>
      <c r="J53" s="20" t="s">
        <v>567</v>
      </c>
      <c r="K53" s="18" t="n">
        <v>1.92004431</v>
      </c>
      <c r="L53" s="20" t="n">
        <v>0.54302671</v>
      </c>
      <c r="M53" s="18" t="n">
        <v>0</v>
      </c>
      <c r="N53" s="20" t="n">
        <v>0</v>
      </c>
      <c r="O53" s="18" t="n">
        <v>0</v>
      </c>
      <c r="P53" s="20" t="n">
        <v>0</v>
      </c>
      <c r="Q53" s="18" t="n">
        <v>0</v>
      </c>
      <c r="R53" s="20" t="n">
        <v>0</v>
      </c>
    </row>
    <row r="54" spans="1:18">
      <c r="A54" s="15" t="s">
        <v>614</v>
      </c>
      <c r="B54" s="17" t="n">
        <v>2266</v>
      </c>
      <c r="C54" s="18">
        <f>(1778.0/B54*100)</f>
        <v/>
      </c>
      <c r="D54" s="19" t="n">
        <v>488</v>
      </c>
      <c r="E54" s="18" t="n">
        <v>69.36810772</v>
      </c>
      <c r="F54" s="20" t="n">
        <v>2.68843072</v>
      </c>
      <c r="G54" s="18" t="n">
        <v>3.40117625</v>
      </c>
      <c r="H54" s="20" t="n">
        <v>1.03185709</v>
      </c>
      <c r="I54" s="18" t="s">
        <v>567</v>
      </c>
      <c r="J54" s="20" t="s">
        <v>567</v>
      </c>
      <c r="K54" s="18" t="n">
        <v>27.00754307</v>
      </c>
      <c r="L54" s="20" t="n">
        <v>2.69506993</v>
      </c>
      <c r="M54" s="18" t="n">
        <v>0</v>
      </c>
      <c r="N54" s="20" t="n">
        <v>0</v>
      </c>
      <c r="O54" s="18" t="n">
        <v>0</v>
      </c>
      <c r="P54" s="20" t="n">
        <v>0</v>
      </c>
      <c r="Q54" s="18" t="n">
        <v>0.22317296</v>
      </c>
      <c r="R54" s="20" t="n">
        <v>0.25605227</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(2113.0/B56*100)</f>
        <v/>
      </c>
      <c r="D56" s="19" t="n">
        <v>571</v>
      </c>
      <c r="E56" s="18" t="n">
        <v>43.43034056</v>
      </c>
      <c r="F56" s="20" t="n">
        <v>2.4639444</v>
      </c>
      <c r="G56" s="18" t="n">
        <v>55.84526855</v>
      </c>
      <c r="H56" s="20" t="n">
        <v>2.48133744</v>
      </c>
      <c r="I56" s="18" t="s">
        <v>567</v>
      </c>
      <c r="J56" s="20" t="s">
        <v>567</v>
      </c>
      <c r="K56" s="18" t="n">
        <v>0.72439089</v>
      </c>
      <c r="L56" s="20" t="n">
        <v>0.39056273</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(2574.0/B61*100)</f>
        <v/>
      </c>
      <c r="D61" s="19" t="n">
        <v>750</v>
      </c>
      <c r="E61" s="18" t="n">
        <v>83.09658379</v>
      </c>
      <c r="F61" s="20" t="n">
        <v>1.58294813</v>
      </c>
      <c r="G61" s="18" t="n">
        <v>15.95757463</v>
      </c>
      <c r="H61" s="20" t="n">
        <v>1.51271447</v>
      </c>
      <c r="I61" s="18" t="s">
        <v>567</v>
      </c>
      <c r="J61" s="20" t="s">
        <v>567</v>
      </c>
      <c r="K61" s="18" t="n">
        <v>0.94584158</v>
      </c>
      <c r="L61" s="20" t="n">
        <v>0.49202313</v>
      </c>
      <c r="M61" s="18" t="n">
        <v>0</v>
      </c>
      <c r="N61" s="20" t="n">
        <v>0</v>
      </c>
      <c r="O61" s="18" t="n">
        <v>0</v>
      </c>
      <c r="P61" s="20" t="n">
        <v>0</v>
      </c>
      <c r="Q61" s="18" t="n">
        <v>0</v>
      </c>
      <c r="R61" s="20" t="n">
        <v>0</v>
      </c>
    </row>
    <row r="62" spans="1:18">
      <c r="A62" s="15" t="s">
        <v>622</v>
      </c>
      <c r="B62" s="17" t="n">
        <v>2246</v>
      </c>
      <c r="C62" s="18">
        <f>(1784.0/B62*100)</f>
        <v/>
      </c>
      <c r="D62" s="19" t="n">
        <v>462</v>
      </c>
      <c r="E62" s="18" t="n">
        <v>70.12675647</v>
      </c>
      <c r="F62" s="20" t="n">
        <v>2.34854156</v>
      </c>
      <c r="G62" s="18" t="n">
        <v>29.65083939</v>
      </c>
      <c r="H62" s="20" t="n">
        <v>2.34016844</v>
      </c>
      <c r="I62" s="18" t="s">
        <v>567</v>
      </c>
      <c r="J62" s="20" t="s">
        <v>567</v>
      </c>
      <c r="K62" s="18" t="n">
        <v>0.22240414</v>
      </c>
      <c r="L62" s="20" t="n">
        <v>0.2225867</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(2273.0/B66*100)</f>
        <v/>
      </c>
      <c r="D66" s="19" t="n">
        <v>621</v>
      </c>
      <c r="E66" s="18" t="n">
        <v>80.56336622000001</v>
      </c>
      <c r="F66" s="20" t="n">
        <v>1.66053871</v>
      </c>
      <c r="G66" s="18" t="n">
        <v>15.40207436</v>
      </c>
      <c r="H66" s="20" t="n">
        <v>1.4049973</v>
      </c>
      <c r="I66" s="18" t="s">
        <v>567</v>
      </c>
      <c r="J66" s="20" t="s">
        <v>567</v>
      </c>
      <c r="K66" s="18" t="n">
        <v>2.93893466</v>
      </c>
      <c r="L66" s="20" t="n">
        <v>0.69774053</v>
      </c>
      <c r="M66" s="18" t="n">
        <v>0</v>
      </c>
      <c r="N66" s="20" t="n">
        <v>0</v>
      </c>
      <c r="O66" s="18" t="n">
        <v>0</v>
      </c>
      <c r="P66" s="20" t="n">
        <v>0</v>
      </c>
      <c r="Q66" s="18" t="n">
        <v>1.09562476</v>
      </c>
      <c r="R66" s="20" t="n">
        <v>0.44564439</v>
      </c>
    </row>
    <row r="67" spans="1:18">
      <c r="A67" s="15" t="s">
        <v>627</v>
      </c>
      <c r="B67" s="17" t="n">
        <v>3511</v>
      </c>
      <c r="C67" s="18">
        <f>(2878.0/B67*100)</f>
        <v/>
      </c>
      <c r="D67" s="19" t="n">
        <v>633</v>
      </c>
      <c r="E67" s="18" t="n">
        <v>89.99063412</v>
      </c>
      <c r="F67" s="20" t="n">
        <v>1.36992602</v>
      </c>
      <c r="G67" s="18" t="n">
        <v>9.40112444</v>
      </c>
      <c r="H67" s="20" t="n">
        <v>1.38631617</v>
      </c>
      <c r="I67" s="18" t="s">
        <v>567</v>
      </c>
      <c r="J67" s="20" t="s">
        <v>567</v>
      </c>
      <c r="K67" s="18" t="n">
        <v>0.60824144</v>
      </c>
      <c r="L67" s="20" t="n">
        <v>0.30366429</v>
      </c>
      <c r="M67" s="18" t="n">
        <v>0</v>
      </c>
      <c r="N67" s="20" t="n">
        <v>0</v>
      </c>
      <c r="O67" s="18" t="n">
        <v>0</v>
      </c>
      <c r="P67" s="20" t="n">
        <v>0</v>
      </c>
      <c r="Q67" s="18" t="n">
        <v>0</v>
      </c>
      <c r="R67" s="20" t="n">
        <v>0</v>
      </c>
    </row>
    <row r="68" spans="1:18">
      <c r="A68" s="15" t="s">
        <v>628</v>
      </c>
      <c r="B68" s="17" t="n">
        <v>6049</v>
      </c>
      <c r="C68" s="18">
        <f>(4697.0/B68*100)</f>
        <v/>
      </c>
      <c r="D68" s="19" t="n">
        <v>1352</v>
      </c>
      <c r="E68" s="18" t="n">
        <v>75.60328019000001</v>
      </c>
      <c r="F68" s="20" t="n">
        <v>1.11647017</v>
      </c>
      <c r="G68" s="18" t="n">
        <v>16.62260624</v>
      </c>
      <c r="H68" s="20" t="n">
        <v>0.93960846</v>
      </c>
      <c r="I68" s="18" t="s">
        <v>567</v>
      </c>
      <c r="J68" s="20" t="s">
        <v>567</v>
      </c>
      <c r="K68" s="18" t="n">
        <v>7.63658661</v>
      </c>
      <c r="L68" s="20" t="n">
        <v>0.61350434</v>
      </c>
      <c r="M68" s="18" t="n">
        <v>0</v>
      </c>
      <c r="N68" s="20" t="n">
        <v>0</v>
      </c>
      <c r="O68" s="18" t="n">
        <v>0</v>
      </c>
      <c r="P68" s="20" t="n">
        <v>0</v>
      </c>
      <c r="Q68" s="18" t="n">
        <v>0.13752696</v>
      </c>
      <c r="R68" s="20" t="n">
        <v>0.00537247</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(2334.0/B70*100)</f>
        <v/>
      </c>
      <c r="D70" s="19" t="n">
        <v>595</v>
      </c>
      <c r="E70" s="18" t="n">
        <v>82.11284305</v>
      </c>
      <c r="F70" s="20" t="n">
        <v>2.14157977</v>
      </c>
      <c r="G70" s="18" t="n">
        <v>16.75060895</v>
      </c>
      <c r="H70" s="20" t="n">
        <v>1.99254857</v>
      </c>
      <c r="I70" s="18" t="s">
        <v>567</v>
      </c>
      <c r="J70" s="20" t="s">
        <v>567</v>
      </c>
      <c r="K70" s="18" t="n">
        <v>1.05077731</v>
      </c>
      <c r="L70" s="20" t="n">
        <v>0.49952959</v>
      </c>
      <c r="M70" s="18" t="n">
        <v>0</v>
      </c>
      <c r="N70" s="20" t="n">
        <v>0</v>
      </c>
      <c r="O70" s="18" t="n">
        <v>0</v>
      </c>
      <c r="P70" s="20" t="n">
        <v>0</v>
      </c>
      <c r="Q70" s="18" t="n">
        <v>0.08577070000000001</v>
      </c>
      <c r="R70" s="20" t="n">
        <v>0.06102014</v>
      </c>
    </row>
    <row r="71" spans="1:18">
      <c r="A71" s="15" t="s">
        <v>631</v>
      </c>
      <c r="B71" s="17" t="n">
        <v>3142</v>
      </c>
      <c r="C71" s="18">
        <f>(2450.0/B71*100)</f>
        <v/>
      </c>
      <c r="D71" s="19" t="n">
        <v>692</v>
      </c>
      <c r="E71" s="18" t="n">
        <v>58.42408946</v>
      </c>
      <c r="F71" s="20" t="n">
        <v>2.23965061</v>
      </c>
      <c r="G71" s="18" t="n">
        <v>41.05011431</v>
      </c>
      <c r="H71" s="20" t="n">
        <v>2.29141237</v>
      </c>
      <c r="I71" s="18" t="s">
        <v>567</v>
      </c>
      <c r="J71" s="20" t="s">
        <v>567</v>
      </c>
      <c r="K71" s="18" t="n">
        <v>0.42880778</v>
      </c>
      <c r="L71" s="20" t="n">
        <v>0.22482186</v>
      </c>
      <c r="M71" s="18" t="n">
        <v>0</v>
      </c>
      <c r="N71" s="20" t="n">
        <v>0</v>
      </c>
      <c r="O71" s="18" t="n">
        <v>0</v>
      </c>
      <c r="P71" s="20" t="n">
        <v>0</v>
      </c>
      <c r="Q71" s="18" t="n">
        <v>0.09698846</v>
      </c>
      <c r="R71" s="20" t="n">
        <v>0.09732417</v>
      </c>
    </row>
    <row r="72" spans="1:18">
      <c r="A72" s="15" t="s">
        <v>632</v>
      </c>
      <c r="B72" s="17" t="n">
        <v>3889</v>
      </c>
      <c r="C72" s="18">
        <f>(3041.0/B72*100)</f>
        <v/>
      </c>
      <c r="D72" s="19" t="n">
        <v>848</v>
      </c>
      <c r="E72" s="18" t="n">
        <v>70.03098424</v>
      </c>
      <c r="F72" s="20" t="n">
        <v>1.9964997</v>
      </c>
      <c r="G72" s="18" t="n">
        <v>29.57356256</v>
      </c>
      <c r="H72" s="20" t="n">
        <v>1.97088882</v>
      </c>
      <c r="I72" s="18" t="s">
        <v>567</v>
      </c>
      <c r="J72" s="20" t="s">
        <v>567</v>
      </c>
      <c r="K72" s="18" t="n">
        <v>0.3954532</v>
      </c>
      <c r="L72" s="20" t="n">
        <v>0.21499262</v>
      </c>
      <c r="M72" s="18" t="n">
        <v>0</v>
      </c>
      <c r="N72" s="20" t="n">
        <v>0</v>
      </c>
      <c r="O72" s="18" t="n">
        <v>0</v>
      </c>
      <c r="P72" s="20" t="n">
        <v>0</v>
      </c>
      <c r="Q72" s="18" t="n">
        <v>0</v>
      </c>
      <c r="R72" s="20" t="n">
        <v>0</v>
      </c>
    </row>
    <row r="73" spans="1:18">
      <c r="A73" s="15" t="s">
        <v>633</v>
      </c>
      <c r="B73" s="17" t="n">
        <v>3597</v>
      </c>
      <c r="C73" s="18">
        <f>(2849.0/B73*100)</f>
        <v/>
      </c>
      <c r="D73" s="19" t="n">
        <v>748</v>
      </c>
      <c r="E73" s="18" t="n">
        <v>77.97391331</v>
      </c>
      <c r="F73" s="20" t="n">
        <v>1.8830787</v>
      </c>
      <c r="G73" s="18" t="n">
        <v>21.48336306</v>
      </c>
      <c r="H73" s="20" t="n">
        <v>1.91254547</v>
      </c>
      <c r="I73" s="18" t="s">
        <v>567</v>
      </c>
      <c r="J73" s="20" t="s">
        <v>567</v>
      </c>
      <c r="K73" s="18" t="n">
        <v>0.36010387</v>
      </c>
      <c r="L73" s="20" t="n">
        <v>0.21858</v>
      </c>
      <c r="M73" s="18" t="n">
        <v>0</v>
      </c>
      <c r="N73" s="20" t="n">
        <v>0</v>
      </c>
      <c r="O73" s="18" t="n">
        <v>0</v>
      </c>
      <c r="P73" s="20" t="n">
        <v>0</v>
      </c>
      <c r="Q73" s="18" t="n">
        <v>0.18261976</v>
      </c>
      <c r="R73" s="20" t="n">
        <v>0.18211747</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(1926.0/B75*100)</f>
        <v/>
      </c>
      <c r="D75" s="19" t="n">
        <v>480</v>
      </c>
      <c r="E75" s="18" t="n">
        <v>86.38636394</v>
      </c>
      <c r="F75" s="20" t="n">
        <v>1.81888398</v>
      </c>
      <c r="G75" s="18" t="n">
        <v>5.81777758</v>
      </c>
      <c r="H75" s="20" t="n">
        <v>1.03250537</v>
      </c>
      <c r="I75" s="18" t="s">
        <v>567</v>
      </c>
      <c r="J75" s="20" t="s">
        <v>567</v>
      </c>
      <c r="K75" s="18" t="n">
        <v>7.79585848</v>
      </c>
      <c r="L75" s="20" t="n">
        <v>1.50082343</v>
      </c>
      <c r="M75" s="18" t="n">
        <v>0</v>
      </c>
      <c r="N75" s="20" t="n">
        <v>0</v>
      </c>
      <c r="O75" s="18" t="n">
        <v>0</v>
      </c>
      <c r="P75" s="20" t="n">
        <v>0</v>
      </c>
      <c r="Q75" s="18" t="n">
        <v>0</v>
      </c>
      <c r="R75" s="20" t="n">
        <v>0</v>
      </c>
    </row>
    <row r="76" spans="1:18">
      <c r="A76" s="15" t="s">
        <v>636</v>
      </c>
      <c r="B76" s="17" t="n">
        <v>7052</v>
      </c>
      <c r="C76" s="18">
        <f>(5506.0/B76*100)</f>
        <v/>
      </c>
      <c r="D76" s="19" t="n">
        <v>1546</v>
      </c>
      <c r="E76" s="18" t="n">
        <v>75.79942299</v>
      </c>
      <c r="F76" s="20" t="n">
        <v>1.44240455</v>
      </c>
      <c r="G76" s="18" t="n">
        <v>21.51207597</v>
      </c>
      <c r="H76" s="20" t="n">
        <v>1.2325066</v>
      </c>
      <c r="I76" s="18" t="s">
        <v>567</v>
      </c>
      <c r="J76" s="20" t="s">
        <v>567</v>
      </c>
      <c r="K76" s="18" t="n">
        <v>2.27232693</v>
      </c>
      <c r="L76" s="20" t="n">
        <v>0.57621982</v>
      </c>
      <c r="M76" s="18" t="n">
        <v>0</v>
      </c>
      <c r="N76" s="20" t="n">
        <v>0</v>
      </c>
      <c r="O76" s="18" t="n">
        <v>0</v>
      </c>
      <c r="P76" s="20" t="n">
        <v>0</v>
      </c>
      <c r="Q76" s="18" t="n">
        <v>0.41617411</v>
      </c>
      <c r="R76" s="20" t="n">
        <v>0.27517331</v>
      </c>
    </row>
    <row r="77" spans="1:18">
      <c r="A77" s="15" t="s">
        <v>637</v>
      </c>
      <c r="B77" s="17" t="n">
        <v>2908</v>
      </c>
      <c r="C77" s="18">
        <f>(2396.0/B77*100)</f>
        <v/>
      </c>
      <c r="D77" s="19" t="n">
        <v>512</v>
      </c>
      <c r="E77" s="18" t="n">
        <v>78.85100326</v>
      </c>
      <c r="F77" s="20" t="n">
        <v>1.85529042</v>
      </c>
      <c r="G77" s="18" t="n">
        <v>16.29546853</v>
      </c>
      <c r="H77" s="20" t="n">
        <v>1.64233908</v>
      </c>
      <c r="I77" s="18" t="s">
        <v>567</v>
      </c>
      <c r="J77" s="20" t="s">
        <v>567</v>
      </c>
      <c r="K77" s="18" t="n">
        <v>4.6233854</v>
      </c>
      <c r="L77" s="20" t="n">
        <v>0.92720315</v>
      </c>
      <c r="M77" s="18" t="n">
        <v>0</v>
      </c>
      <c r="N77" s="20" t="n">
        <v>0</v>
      </c>
      <c r="O77" s="18" t="n">
        <v>0</v>
      </c>
      <c r="P77" s="20" t="n">
        <v>0</v>
      </c>
      <c r="Q77" s="18" t="n">
        <v>0.23014281</v>
      </c>
      <c r="R77" s="20" t="n">
        <v>0.23229473</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(3284.0/B81*100)</f>
        <v/>
      </c>
      <c r="D81" s="19" t="n">
        <v>879</v>
      </c>
      <c r="E81" s="18" t="n">
        <v>74.08433174</v>
      </c>
      <c r="F81" s="20" t="n">
        <v>2.1700943</v>
      </c>
      <c r="G81" s="18" t="n">
        <v>25.71581969</v>
      </c>
      <c r="H81" s="20" t="n">
        <v>2.15595211</v>
      </c>
      <c r="I81" s="18" t="s">
        <v>567</v>
      </c>
      <c r="J81" s="20" t="s">
        <v>567</v>
      </c>
      <c r="K81" s="18" t="n">
        <v>0.19336701</v>
      </c>
      <c r="L81" s="20" t="n">
        <v>0.1354701</v>
      </c>
      <c r="M81" s="18" t="n">
        <v>0</v>
      </c>
      <c r="N81" s="20" t="n">
        <v>0</v>
      </c>
      <c r="O81" s="18" t="n">
        <v>0</v>
      </c>
      <c r="P81" s="20" t="n">
        <v>0</v>
      </c>
      <c r="Q81" s="18" t="n">
        <v>0.00648157</v>
      </c>
      <c r="R81" s="20" t="n">
        <v>0.00641868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(5804.0/B7*100)</f>
        <v/>
      </c>
      <c r="D7" s="19" t="n">
        <v>1563</v>
      </c>
      <c r="E7" s="18" t="n">
        <v>42.35229048</v>
      </c>
      <c r="F7" s="20" t="n">
        <v>1.55212133</v>
      </c>
      <c r="G7" s="18" t="n">
        <v>27.73595128</v>
      </c>
      <c r="H7" s="20" t="n">
        <v>1.35055248</v>
      </c>
      <c r="I7" s="18" t="s">
        <v>567</v>
      </c>
      <c r="J7" s="20" t="s">
        <v>567</v>
      </c>
      <c r="K7" s="18" t="n">
        <v>29.89542182</v>
      </c>
      <c r="L7" s="20" t="n">
        <v>1.51336348</v>
      </c>
      <c r="M7" s="18" t="n">
        <v>0.01633642</v>
      </c>
      <c r="N7" s="20" t="n">
        <v>0.01137618</v>
      </c>
      <c r="O7" s="18" t="n">
        <v>0</v>
      </c>
      <c r="P7" s="20" t="n">
        <v>0</v>
      </c>
      <c r="Q7" s="18" t="n">
        <v>0</v>
      </c>
      <c r="R7" s="20" t="n">
        <v>0</v>
      </c>
    </row>
    <row r="8" spans="1:18">
      <c r="A8" s="15" t="s">
        <v>568</v>
      </c>
      <c r="B8" s="17" t="n">
        <v>3564</v>
      </c>
      <c r="C8" s="18">
        <f>(2787.0/B8*100)</f>
        <v/>
      </c>
      <c r="D8" s="19" t="n">
        <v>777</v>
      </c>
      <c r="E8" s="18" t="n">
        <v>24.10850618</v>
      </c>
      <c r="F8" s="20" t="n">
        <v>2.22578228</v>
      </c>
      <c r="G8" s="18" t="n">
        <v>37.21269795</v>
      </c>
      <c r="H8" s="20" t="n">
        <v>2.22812324</v>
      </c>
      <c r="I8" s="18" t="s">
        <v>567</v>
      </c>
      <c r="J8" s="20" t="s">
        <v>567</v>
      </c>
      <c r="K8" s="18" t="n">
        <v>38.67879587</v>
      </c>
      <c r="L8" s="20" t="n">
        <v>2.00478401</v>
      </c>
      <c r="M8" s="18" t="n">
        <v>0</v>
      </c>
      <c r="N8" s="20" t="n">
        <v>0</v>
      </c>
      <c r="O8" s="18" t="n">
        <v>0</v>
      </c>
      <c r="P8" s="20" t="n">
        <v>0</v>
      </c>
      <c r="Q8" s="18" t="n">
        <v>0</v>
      </c>
      <c r="R8" s="20" t="n">
        <v>0</v>
      </c>
    </row>
    <row r="9" spans="1:18">
      <c r="A9" s="15" t="s">
        <v>569</v>
      </c>
      <c r="B9" s="17" t="n">
        <v>4899</v>
      </c>
      <c r="C9" s="18">
        <f>(3919.0/B9*100)</f>
        <v/>
      </c>
      <c r="D9" s="19" t="n">
        <v>980</v>
      </c>
      <c r="E9" s="18" t="n">
        <v>30.7825116</v>
      </c>
      <c r="F9" s="20" t="n">
        <v>1.59744881</v>
      </c>
      <c r="G9" s="18" t="n">
        <v>36.28683812</v>
      </c>
      <c r="H9" s="20" t="n">
        <v>1.72338591</v>
      </c>
      <c r="I9" s="18" t="s">
        <v>567</v>
      </c>
      <c r="J9" s="20" t="s">
        <v>567</v>
      </c>
      <c r="K9" s="18" t="n">
        <v>32.83844215</v>
      </c>
      <c r="L9" s="20" t="n">
        <v>1.83922488</v>
      </c>
      <c r="M9" s="18" t="n">
        <v>0.09220813</v>
      </c>
      <c r="N9" s="20" t="n">
        <v>0.09209489</v>
      </c>
      <c r="O9" s="18" t="n">
        <v>0</v>
      </c>
      <c r="P9" s="20" t="n">
        <v>0</v>
      </c>
      <c r="Q9" s="18" t="n">
        <v>0</v>
      </c>
      <c r="R9" s="20" t="n">
        <v>0</v>
      </c>
    </row>
    <row r="10" spans="1:18">
      <c r="A10" s="15" t="s">
        <v>570</v>
      </c>
      <c r="B10" s="17" t="n">
        <v>10036</v>
      </c>
      <c r="C10" s="18">
        <f>(7793.0/B10*100)</f>
        <v/>
      </c>
      <c r="D10" s="19" t="n">
        <v>2243</v>
      </c>
      <c r="E10" s="18" t="n">
        <v>38.40618383</v>
      </c>
      <c r="F10" s="20" t="n">
        <v>1.64799711</v>
      </c>
      <c r="G10" s="18" t="n">
        <v>38.61362992</v>
      </c>
      <c r="H10" s="20" t="n">
        <v>1.54844699</v>
      </c>
      <c r="I10" s="18" t="s">
        <v>567</v>
      </c>
      <c r="J10" s="20" t="s">
        <v>567</v>
      </c>
      <c r="K10" s="18" t="n">
        <v>22.92412744</v>
      </c>
      <c r="L10" s="20" t="n">
        <v>1.44160882</v>
      </c>
      <c r="M10" s="18" t="n">
        <v>0.05605882</v>
      </c>
      <c r="N10" s="20" t="n">
        <v>0.03068709</v>
      </c>
      <c r="O10" s="18" t="n">
        <v>0</v>
      </c>
      <c r="P10" s="20" t="n">
        <v>0</v>
      </c>
      <c r="Q10" s="18" t="n">
        <v>0</v>
      </c>
      <c r="R10" s="20" t="n">
        <v>0</v>
      </c>
    </row>
    <row r="11" spans="1:18">
      <c r="A11" s="15" t="s">
        <v>571</v>
      </c>
      <c r="B11" s="17" t="n">
        <v>3553</v>
      </c>
      <c r="C11" s="18">
        <f>(2801.0/B11*100)</f>
        <v/>
      </c>
      <c r="D11" s="19" t="n">
        <v>752</v>
      </c>
      <c r="E11" s="18" t="n">
        <v>23.98109094</v>
      </c>
      <c r="F11" s="20" t="n">
        <v>1.71593574</v>
      </c>
      <c r="G11" s="18" t="n">
        <v>27.74413994</v>
      </c>
      <c r="H11" s="20" t="n">
        <v>2.16289554</v>
      </c>
      <c r="I11" s="18" t="s">
        <v>567</v>
      </c>
      <c r="J11" s="20" t="s">
        <v>567</v>
      </c>
      <c r="K11" s="18" t="n">
        <v>48.27476911</v>
      </c>
      <c r="L11" s="20" t="n">
        <v>2.06982329</v>
      </c>
      <c r="M11" s="18" t="n">
        <v>0</v>
      </c>
      <c r="N11" s="20" t="n">
        <v>0</v>
      </c>
      <c r="O11" s="18" t="n">
        <v>0</v>
      </c>
      <c r="P11" s="20" t="n">
        <v>0</v>
      </c>
      <c r="Q11" s="18" t="n">
        <v>0</v>
      </c>
      <c r="R11" s="20" t="n">
        <v>0</v>
      </c>
    </row>
    <row r="12" spans="1:18">
      <c r="A12" s="15" t="s">
        <v>572</v>
      </c>
      <c r="B12" s="17" t="n">
        <v>3472</v>
      </c>
      <c r="C12" s="18">
        <f>(2784.0/B12*100)</f>
        <v/>
      </c>
      <c r="D12" s="19" t="n">
        <v>688</v>
      </c>
      <c r="E12" s="18" t="n">
        <v>25.75924712</v>
      </c>
      <c r="F12" s="20" t="n">
        <v>1.793684</v>
      </c>
      <c r="G12" s="18" t="n">
        <v>36.47172927</v>
      </c>
      <c r="H12" s="20" t="n">
        <v>2.09682556</v>
      </c>
      <c r="I12" s="18" t="s">
        <v>567</v>
      </c>
      <c r="J12" s="20" t="s">
        <v>567</v>
      </c>
      <c r="K12" s="18" t="n">
        <v>37.76902361</v>
      </c>
      <c r="L12" s="20" t="n">
        <v>2.23429113</v>
      </c>
      <c r="M12" s="18" t="n">
        <v>0</v>
      </c>
      <c r="N12" s="20" t="n">
        <v>0</v>
      </c>
      <c r="O12" s="18" t="n">
        <v>0</v>
      </c>
      <c r="P12" s="20" t="n">
        <v>0</v>
      </c>
      <c r="Q12" s="18" t="n">
        <v>0</v>
      </c>
      <c r="R12" s="20" t="n">
        <v>0</v>
      </c>
    </row>
    <row r="13" spans="1:18">
      <c r="A13" s="15" t="s">
        <v>573</v>
      </c>
      <c r="B13" s="17" t="n">
        <v>3559</v>
      </c>
      <c r="C13" s="18">
        <f>(2816.0/B13*100)</f>
        <v/>
      </c>
      <c r="D13" s="19" t="n">
        <v>743</v>
      </c>
      <c r="E13" s="18" t="n">
        <v>35.35502411</v>
      </c>
      <c r="F13" s="20" t="n">
        <v>2.58042957</v>
      </c>
      <c r="G13" s="18" t="n">
        <v>33.37051757</v>
      </c>
      <c r="H13" s="20" t="n">
        <v>2.38036608</v>
      </c>
      <c r="I13" s="18" t="s">
        <v>567</v>
      </c>
      <c r="J13" s="20" t="s">
        <v>567</v>
      </c>
      <c r="K13" s="18" t="n">
        <v>30.79603626</v>
      </c>
      <c r="L13" s="20" t="n">
        <v>2.32560256</v>
      </c>
      <c r="M13" s="18" t="n">
        <v>0.47842205</v>
      </c>
      <c r="N13" s="20" t="n">
        <v>0.47613455</v>
      </c>
      <c r="O13" s="18" t="n">
        <v>0</v>
      </c>
      <c r="P13" s="20" t="n">
        <v>0</v>
      </c>
      <c r="Q13" s="18" t="n">
        <v>0</v>
      </c>
      <c r="R13" s="20" t="n">
        <v>0</v>
      </c>
    </row>
    <row r="14" spans="1:18">
      <c r="A14" s="15" t="s">
        <v>574</v>
      </c>
      <c r="B14" s="17" t="n">
        <v>2799</v>
      </c>
      <c r="C14" s="18">
        <f>(2173.0/B14*100)</f>
        <v/>
      </c>
      <c r="D14" s="19" t="n">
        <v>626</v>
      </c>
      <c r="E14" s="18" t="n">
        <v>32.3566954</v>
      </c>
      <c r="F14" s="20" t="n">
        <v>2.23451807</v>
      </c>
      <c r="G14" s="18" t="n">
        <v>45.11287135</v>
      </c>
      <c r="H14" s="20" t="n">
        <v>2.09167764</v>
      </c>
      <c r="I14" s="18" t="s">
        <v>567</v>
      </c>
      <c r="J14" s="20" t="s">
        <v>567</v>
      </c>
      <c r="K14" s="18" t="n">
        <v>22.53043326</v>
      </c>
      <c r="L14" s="20" t="n">
        <v>1.78292795</v>
      </c>
      <c r="M14" s="18" t="n">
        <v>0</v>
      </c>
      <c r="N14" s="20" t="n">
        <v>0</v>
      </c>
      <c r="O14" s="18" t="n">
        <v>0</v>
      </c>
      <c r="P14" s="20" t="n">
        <v>0</v>
      </c>
      <c r="Q14" s="18" t="n">
        <v>0</v>
      </c>
      <c r="R14" s="20" t="n">
        <v>0</v>
      </c>
    </row>
    <row r="15" spans="1:18">
      <c r="A15" s="15" t="s">
        <v>575</v>
      </c>
      <c r="B15" s="17" t="n">
        <v>3019</v>
      </c>
      <c r="C15" s="18">
        <f>(2362.0/B15*100)</f>
        <v/>
      </c>
      <c r="D15" s="19" t="n">
        <v>657</v>
      </c>
      <c r="E15" s="18" t="n">
        <v>30.64072922</v>
      </c>
      <c r="F15" s="20" t="n">
        <v>1.90066612</v>
      </c>
      <c r="G15" s="18" t="n">
        <v>46.43766554</v>
      </c>
      <c r="H15" s="20" t="n">
        <v>2.00662523</v>
      </c>
      <c r="I15" s="18" t="s">
        <v>567</v>
      </c>
      <c r="J15" s="20" t="s">
        <v>567</v>
      </c>
      <c r="K15" s="18" t="n">
        <v>22.92160523</v>
      </c>
      <c r="L15" s="20" t="n">
        <v>1.75813736</v>
      </c>
      <c r="M15" s="18" t="n">
        <v>0</v>
      </c>
      <c r="N15" s="20" t="n">
        <v>0</v>
      </c>
      <c r="O15" s="18" t="n">
        <v>0</v>
      </c>
      <c r="P15" s="20" t="n">
        <v>0</v>
      </c>
      <c r="Q15" s="18" t="n">
        <v>0</v>
      </c>
      <c r="R15" s="20" t="n">
        <v>0</v>
      </c>
    </row>
    <row r="16" spans="1:18">
      <c r="A16" s="15" t="s">
        <v>576</v>
      </c>
      <c r="B16" s="17" t="n">
        <v>2997</v>
      </c>
      <c r="C16" s="18">
        <f>(2339.0/B16*100)</f>
        <v/>
      </c>
      <c r="D16" s="19" t="n">
        <v>658</v>
      </c>
      <c r="E16" s="18" t="n">
        <v>21.30710752</v>
      </c>
      <c r="F16" s="20" t="n">
        <v>1.64827115</v>
      </c>
      <c r="G16" s="18" t="n">
        <v>39.99352861</v>
      </c>
      <c r="H16" s="20" t="n">
        <v>2.27524039</v>
      </c>
      <c r="I16" s="18" t="s">
        <v>567</v>
      </c>
      <c r="J16" s="20" t="s">
        <v>567</v>
      </c>
      <c r="K16" s="18" t="n">
        <v>38.69936387</v>
      </c>
      <c r="L16" s="20" t="n">
        <v>1.9033533</v>
      </c>
      <c r="M16" s="18" t="n">
        <v>0</v>
      </c>
      <c r="N16" s="20" t="n">
        <v>0</v>
      </c>
      <c r="O16" s="18" t="n">
        <v>0</v>
      </c>
      <c r="P16" s="20" t="n">
        <v>0</v>
      </c>
      <c r="Q16" s="18" t="n">
        <v>0</v>
      </c>
      <c r="R16" s="20" t="n">
        <v>0</v>
      </c>
    </row>
    <row r="17" spans="1:18">
      <c r="A17" s="15" t="s">
        <v>577</v>
      </c>
      <c r="B17" s="17" t="n">
        <v>3307</v>
      </c>
      <c r="C17" s="18">
        <f>(2585.0/B17*100)</f>
        <v/>
      </c>
      <c r="D17" s="19" t="n">
        <v>722</v>
      </c>
      <c r="E17" s="18" t="n">
        <v>21.43073417</v>
      </c>
      <c r="F17" s="20" t="n">
        <v>1.47220282</v>
      </c>
      <c r="G17" s="18" t="n">
        <v>42.19609009</v>
      </c>
      <c r="H17" s="20" t="n">
        <v>2.04845073</v>
      </c>
      <c r="I17" s="18" t="s">
        <v>567</v>
      </c>
      <c r="J17" s="20" t="s">
        <v>567</v>
      </c>
      <c r="K17" s="18" t="n">
        <v>36.37317575</v>
      </c>
      <c r="L17" s="20" t="n">
        <v>1.80054452</v>
      </c>
      <c r="M17" s="18" t="n">
        <v>0</v>
      </c>
      <c r="N17" s="20" t="n">
        <v>0</v>
      </c>
      <c r="O17" s="18" t="n">
        <v>0</v>
      </c>
      <c r="P17" s="20" t="n">
        <v>0</v>
      </c>
      <c r="Q17" s="18" t="n">
        <v>0</v>
      </c>
      <c r="R17" s="20" t="n">
        <v>0</v>
      </c>
    </row>
    <row r="18" spans="1:18">
      <c r="A18" s="15" t="s">
        <v>578</v>
      </c>
      <c r="B18" s="17" t="n">
        <v>2826</v>
      </c>
      <c r="C18" s="18">
        <f>(2222.0/B18*100)</f>
        <v/>
      </c>
      <c r="D18" s="19" t="n">
        <v>604</v>
      </c>
      <c r="E18" s="18" t="n">
        <v>35.74170893</v>
      </c>
      <c r="F18" s="20" t="n">
        <v>2.35392752</v>
      </c>
      <c r="G18" s="18" t="n">
        <v>27.88719276</v>
      </c>
      <c r="H18" s="20" t="n">
        <v>2.02380733</v>
      </c>
      <c r="I18" s="18" t="s">
        <v>567</v>
      </c>
      <c r="J18" s="20" t="s">
        <v>567</v>
      </c>
      <c r="K18" s="18" t="n">
        <v>36.0752287</v>
      </c>
      <c r="L18" s="20" t="n">
        <v>2.25256839</v>
      </c>
      <c r="M18" s="18" t="n">
        <v>0.29586961</v>
      </c>
      <c r="N18" s="20" t="n">
        <v>0.29699556</v>
      </c>
      <c r="O18" s="18" t="n">
        <v>0</v>
      </c>
      <c r="P18" s="20" t="n">
        <v>0</v>
      </c>
      <c r="Q18" s="18" t="n">
        <v>0</v>
      </c>
      <c r="R18" s="20" t="n">
        <v>0</v>
      </c>
    </row>
    <row r="19" spans="1:18">
      <c r="A19" s="15" t="s">
        <v>579</v>
      </c>
      <c r="B19" s="17" t="n">
        <v>2808</v>
      </c>
      <c r="C19" s="18">
        <f>(2244.0/B19*100)</f>
        <v/>
      </c>
      <c r="D19" s="19" t="n">
        <v>564</v>
      </c>
      <c r="E19" s="18" t="n">
        <v>29.63400995</v>
      </c>
      <c r="F19" s="20" t="n">
        <v>2.11018819</v>
      </c>
      <c r="G19" s="18" t="n">
        <v>21.65422726</v>
      </c>
      <c r="H19" s="20" t="n">
        <v>1.93233698</v>
      </c>
      <c r="I19" s="18" t="s">
        <v>567</v>
      </c>
      <c r="J19" s="20" t="s">
        <v>567</v>
      </c>
      <c r="K19" s="18" t="n">
        <v>48.71176279</v>
      </c>
      <c r="L19" s="20" t="n">
        <v>2.43709394</v>
      </c>
      <c r="M19" s="18" t="n">
        <v>0</v>
      </c>
      <c r="N19" s="20" t="n">
        <v>0</v>
      </c>
      <c r="O19" s="18" t="n">
        <v>0</v>
      </c>
      <c r="P19" s="20" t="n">
        <v>0</v>
      </c>
      <c r="Q19" s="18" t="n">
        <v>0</v>
      </c>
      <c r="R19" s="20" t="n">
        <v>0</v>
      </c>
    </row>
    <row r="20" spans="1:18">
      <c r="A20" s="15" t="s">
        <v>580</v>
      </c>
      <c r="B20" s="17" t="n">
        <v>1630</v>
      </c>
      <c r="C20" s="18">
        <f>(1268.0/B20*100)</f>
        <v/>
      </c>
      <c r="D20" s="19" t="n">
        <v>362</v>
      </c>
      <c r="E20" s="18" t="n">
        <v>47.26710433</v>
      </c>
      <c r="F20" s="20" t="n">
        <v>2.66202419</v>
      </c>
      <c r="G20" s="18" t="n">
        <v>23.73458197</v>
      </c>
      <c r="H20" s="20" t="n">
        <v>2.15263245</v>
      </c>
      <c r="I20" s="18" t="s">
        <v>567</v>
      </c>
      <c r="J20" s="20" t="s">
        <v>567</v>
      </c>
      <c r="K20" s="18" t="n">
        <v>28.9983137</v>
      </c>
      <c r="L20" s="20" t="n">
        <v>2.17502112</v>
      </c>
      <c r="M20" s="18" t="n">
        <v>0</v>
      </c>
      <c r="N20" s="20" t="n">
        <v>0</v>
      </c>
      <c r="O20" s="18" t="n">
        <v>0</v>
      </c>
      <c r="P20" s="20" t="n">
        <v>0</v>
      </c>
      <c r="Q20" s="18" t="n">
        <v>0</v>
      </c>
      <c r="R20" s="20" t="n">
        <v>0</v>
      </c>
    </row>
    <row r="21" spans="1:18">
      <c r="A21" s="15" t="s">
        <v>581</v>
      </c>
      <c r="B21" s="17" t="n">
        <v>2908</v>
      </c>
      <c r="C21" s="18">
        <f>(2294.0/B21*100)</f>
        <v/>
      </c>
      <c r="D21" s="19" t="n">
        <v>614</v>
      </c>
      <c r="E21" s="18" t="n">
        <v>30.14802797</v>
      </c>
      <c r="F21" s="20" t="n">
        <v>2.12209957</v>
      </c>
      <c r="G21" s="18" t="n">
        <v>33.20882339</v>
      </c>
      <c r="H21" s="20" t="n">
        <v>1.91420528</v>
      </c>
      <c r="I21" s="18" t="s">
        <v>567</v>
      </c>
      <c r="J21" s="20" t="s">
        <v>567</v>
      </c>
      <c r="K21" s="18" t="n">
        <v>36.64314864</v>
      </c>
      <c r="L21" s="20" t="n">
        <v>2.01877968</v>
      </c>
      <c r="M21" s="18" t="n">
        <v>0</v>
      </c>
      <c r="N21" s="20" t="n">
        <v>0</v>
      </c>
      <c r="O21" s="18" t="n">
        <v>0</v>
      </c>
      <c r="P21" s="20" t="n">
        <v>0</v>
      </c>
      <c r="Q21" s="18" t="n">
        <v>0</v>
      </c>
      <c r="R21" s="20" t="n">
        <v>0</v>
      </c>
    </row>
    <row r="22" spans="1:18">
      <c r="A22" s="15" t="s">
        <v>582</v>
      </c>
      <c r="B22" s="17" t="n">
        <v>2931</v>
      </c>
      <c r="C22" s="18">
        <f>(2284.0/B22*100)</f>
        <v/>
      </c>
      <c r="D22" s="19" t="n">
        <v>647</v>
      </c>
      <c r="E22" s="18" t="n">
        <v>33.88025816</v>
      </c>
      <c r="F22" s="20" t="n">
        <v>1.74640304</v>
      </c>
      <c r="G22" s="18" t="n">
        <v>28.57713674</v>
      </c>
      <c r="H22" s="20" t="n">
        <v>2.17156434</v>
      </c>
      <c r="I22" s="18" t="s">
        <v>567</v>
      </c>
      <c r="J22" s="20" t="s">
        <v>567</v>
      </c>
      <c r="K22" s="18" t="n">
        <v>37.5426051</v>
      </c>
      <c r="L22" s="20" t="n">
        <v>2.44271258</v>
      </c>
      <c r="M22" s="18" t="n">
        <v>0</v>
      </c>
      <c r="N22" s="20" t="n">
        <v>0</v>
      </c>
      <c r="O22" s="18" t="n">
        <v>0</v>
      </c>
      <c r="P22" s="20" t="n">
        <v>0</v>
      </c>
      <c r="Q22" s="18" t="n">
        <v>0</v>
      </c>
      <c r="R22" s="20" t="n">
        <v>0</v>
      </c>
    </row>
    <row r="23" spans="1:18">
      <c r="A23" s="15" t="s">
        <v>583</v>
      </c>
      <c r="B23" s="17" t="n">
        <v>5791</v>
      </c>
      <c r="C23" s="18">
        <f>(4554.0/B23*100)</f>
        <v/>
      </c>
      <c r="D23" s="19" t="n">
        <v>1237</v>
      </c>
      <c r="E23" s="18" t="n">
        <v>21.7523344</v>
      </c>
      <c r="F23" s="20" t="n">
        <v>1.89433599</v>
      </c>
      <c r="G23" s="18" t="n">
        <v>42.87202534</v>
      </c>
      <c r="H23" s="20" t="n">
        <v>2.22378608</v>
      </c>
      <c r="I23" s="18" t="s">
        <v>567</v>
      </c>
      <c r="J23" s="20" t="s">
        <v>567</v>
      </c>
      <c r="K23" s="18" t="n">
        <v>35.11756143</v>
      </c>
      <c r="L23" s="20" t="n">
        <v>2.20964084</v>
      </c>
      <c r="M23" s="18" t="n">
        <v>0.25807883</v>
      </c>
      <c r="N23" s="20" t="n">
        <v>0.3016174</v>
      </c>
      <c r="O23" s="18" t="n">
        <v>0</v>
      </c>
      <c r="P23" s="20" t="n">
        <v>0</v>
      </c>
      <c r="Q23" s="18" t="n">
        <v>0</v>
      </c>
      <c r="R23" s="20" t="n">
        <v>0</v>
      </c>
    </row>
    <row r="24" spans="1:18">
      <c r="A24" s="15" t="s">
        <v>584</v>
      </c>
      <c r="B24" s="17" t="n">
        <v>3338</v>
      </c>
      <c r="C24" s="18">
        <f>(2625.0/B24*100)</f>
        <v/>
      </c>
      <c r="D24" s="19" t="n">
        <v>713</v>
      </c>
      <c r="E24" s="18" t="n">
        <v>42.41973386</v>
      </c>
      <c r="F24" s="20" t="n">
        <v>2.01225211</v>
      </c>
      <c r="G24" s="18" t="n">
        <v>32.62553958</v>
      </c>
      <c r="H24" s="20" t="n">
        <v>2.01607833</v>
      </c>
      <c r="I24" s="18" t="s">
        <v>567</v>
      </c>
      <c r="J24" s="20" t="s">
        <v>567</v>
      </c>
      <c r="K24" s="18" t="n">
        <v>24.95472656</v>
      </c>
      <c r="L24" s="20" t="n">
        <v>1.76983496</v>
      </c>
      <c r="M24" s="18" t="n">
        <v>0</v>
      </c>
      <c r="N24" s="20" t="n">
        <v>0</v>
      </c>
      <c r="O24" s="18" t="n">
        <v>0</v>
      </c>
      <c r="P24" s="20" t="n">
        <v>0</v>
      </c>
      <c r="Q24" s="18" t="n">
        <v>0</v>
      </c>
      <c r="R24" s="20" t="n">
        <v>0</v>
      </c>
    </row>
    <row r="25" spans="1:18">
      <c r="A25" s="15" t="s">
        <v>585</v>
      </c>
      <c r="B25" s="17" t="n">
        <v>2912</v>
      </c>
      <c r="C25" s="18">
        <f>(2247.0/B25*100)</f>
        <v/>
      </c>
      <c r="D25" s="19" t="n">
        <v>665</v>
      </c>
      <c r="E25" s="18" t="n">
        <v>48.15098799</v>
      </c>
      <c r="F25" s="20" t="n">
        <v>2.23586314</v>
      </c>
      <c r="G25" s="18" t="n">
        <v>19.94715473</v>
      </c>
      <c r="H25" s="20" t="n">
        <v>1.77142113</v>
      </c>
      <c r="I25" s="18" t="s">
        <v>567</v>
      </c>
      <c r="J25" s="20" t="s">
        <v>567</v>
      </c>
      <c r="K25" s="18" t="n">
        <v>31.90185728</v>
      </c>
      <c r="L25" s="20" t="n">
        <v>2.10086017</v>
      </c>
      <c r="M25" s="18" t="n">
        <v>0</v>
      </c>
      <c r="N25" s="20" t="n">
        <v>0</v>
      </c>
      <c r="O25" s="18" t="n">
        <v>0</v>
      </c>
      <c r="P25" s="20" t="n">
        <v>0</v>
      </c>
      <c r="Q25" s="18" t="n">
        <v>0</v>
      </c>
      <c r="R25" s="20" t="n">
        <v>0</v>
      </c>
    </row>
    <row r="26" spans="1:18">
      <c r="A26" s="15" t="s">
        <v>586</v>
      </c>
      <c r="B26" s="17" t="n">
        <v>2450</v>
      </c>
      <c r="C26" s="18">
        <f>(1893.0/B26*100)</f>
        <v/>
      </c>
      <c r="D26" s="19" t="n">
        <v>557</v>
      </c>
      <c r="E26" s="18" t="n">
        <v>45.72279926</v>
      </c>
      <c r="F26" s="20" t="n">
        <v>2.3440238</v>
      </c>
      <c r="G26" s="18" t="n">
        <v>21.94072686</v>
      </c>
      <c r="H26" s="20" t="n">
        <v>1.99945246</v>
      </c>
      <c r="I26" s="18" t="s">
        <v>567</v>
      </c>
      <c r="J26" s="20" t="s">
        <v>567</v>
      </c>
      <c r="K26" s="18" t="n">
        <v>32.33647389</v>
      </c>
      <c r="L26" s="20" t="n">
        <v>2.23165513</v>
      </c>
      <c r="M26" s="18" t="n">
        <v>0</v>
      </c>
      <c r="N26" s="20" t="n">
        <v>0</v>
      </c>
      <c r="O26" s="18" t="n">
        <v>0</v>
      </c>
      <c r="P26" s="20" t="n">
        <v>0</v>
      </c>
      <c r="Q26" s="18" t="n">
        <v>0</v>
      </c>
      <c r="R26" s="20" t="n">
        <v>0</v>
      </c>
    </row>
    <row r="27" spans="1:18">
      <c r="A27" s="15" t="s">
        <v>587</v>
      </c>
      <c r="B27" s="17" t="n">
        <v>2616</v>
      </c>
      <c r="C27" s="18">
        <f>(2077.0/B27*100)</f>
        <v/>
      </c>
      <c r="D27" s="19" t="n">
        <v>539</v>
      </c>
      <c r="E27" s="18" t="n">
        <v>27.07885965</v>
      </c>
      <c r="F27" s="20" t="n">
        <v>1.91164485</v>
      </c>
      <c r="G27" s="18" t="n">
        <v>33.27990941</v>
      </c>
      <c r="H27" s="20" t="n">
        <v>1.81266751</v>
      </c>
      <c r="I27" s="18" t="s">
        <v>567</v>
      </c>
      <c r="J27" s="20" t="s">
        <v>567</v>
      </c>
      <c r="K27" s="18" t="n">
        <v>39.64123094</v>
      </c>
      <c r="L27" s="20" t="n">
        <v>2.14911904</v>
      </c>
      <c r="M27" s="18" t="n">
        <v>0</v>
      </c>
      <c r="N27" s="20" t="n">
        <v>0</v>
      </c>
      <c r="O27" s="18" t="n">
        <v>0</v>
      </c>
      <c r="P27" s="20" t="n">
        <v>0</v>
      </c>
      <c r="Q27" s="18" t="n">
        <v>0</v>
      </c>
      <c r="R27" s="20" t="n">
        <v>0</v>
      </c>
    </row>
    <row r="28" spans="1:18">
      <c r="A28" s="15" t="s">
        <v>588</v>
      </c>
      <c r="B28" s="17" t="n">
        <v>3765</v>
      </c>
      <c r="C28" s="18">
        <f>(3070.0/B28*100)</f>
        <v/>
      </c>
      <c r="D28" s="19" t="n">
        <v>695</v>
      </c>
      <c r="E28" s="18" t="n">
        <v>67.502118</v>
      </c>
      <c r="F28" s="20" t="n">
        <v>1.87453907</v>
      </c>
      <c r="G28" s="18" t="n">
        <v>11.23210313</v>
      </c>
      <c r="H28" s="20" t="n">
        <v>1.23162564</v>
      </c>
      <c r="I28" s="18" t="s">
        <v>567</v>
      </c>
      <c r="J28" s="20" t="s">
        <v>567</v>
      </c>
      <c r="K28" s="18" t="n">
        <v>21.26577887</v>
      </c>
      <c r="L28" s="20" t="n">
        <v>1.83790609</v>
      </c>
      <c r="M28" s="18" t="n">
        <v>0</v>
      </c>
      <c r="N28" s="20" t="n">
        <v>0</v>
      </c>
      <c r="O28" s="18" t="n">
        <v>0</v>
      </c>
      <c r="P28" s="20" t="n">
        <v>0</v>
      </c>
      <c r="Q28" s="18" t="n">
        <v>0</v>
      </c>
      <c r="R28" s="20" t="n">
        <v>0</v>
      </c>
    </row>
    <row r="29" spans="1:18">
      <c r="A29" s="15" t="s">
        <v>589</v>
      </c>
      <c r="B29" s="17" t="n">
        <v>2685</v>
      </c>
      <c r="C29" s="18">
        <f>(2097.0/B29*100)</f>
        <v/>
      </c>
      <c r="D29" s="19" t="n">
        <v>588</v>
      </c>
      <c r="E29" s="18" t="n">
        <v>36.34631526</v>
      </c>
      <c r="F29" s="20" t="n">
        <v>2.28424976</v>
      </c>
      <c r="G29" s="18" t="n">
        <v>46.96739245</v>
      </c>
      <c r="H29" s="20" t="n">
        <v>2.07053868</v>
      </c>
      <c r="I29" s="18" t="s">
        <v>567</v>
      </c>
      <c r="J29" s="20" t="s">
        <v>567</v>
      </c>
      <c r="K29" s="18" t="n">
        <v>16.68629229</v>
      </c>
      <c r="L29" s="20" t="n">
        <v>1.50108354</v>
      </c>
      <c r="M29" s="18" t="n">
        <v>0</v>
      </c>
      <c r="N29" s="20" t="n">
        <v>0</v>
      </c>
      <c r="O29" s="18" t="n">
        <v>0</v>
      </c>
      <c r="P29" s="20" t="n">
        <v>0</v>
      </c>
      <c r="Q29" s="18" t="n">
        <v>0</v>
      </c>
      <c r="R29" s="20" t="n">
        <v>0</v>
      </c>
    </row>
    <row r="30" spans="1:18">
      <c r="A30" s="15" t="s">
        <v>590</v>
      </c>
      <c r="B30" s="17" t="n">
        <v>2263</v>
      </c>
      <c r="C30" s="18">
        <f>(1802.0/B30*100)</f>
        <v/>
      </c>
      <c r="D30" s="19" t="n">
        <v>461</v>
      </c>
      <c r="E30" s="18" t="n">
        <v>27.11536828</v>
      </c>
      <c r="F30" s="20" t="n">
        <v>2.26965164</v>
      </c>
      <c r="G30" s="18" t="n">
        <v>35.94134179</v>
      </c>
      <c r="H30" s="20" t="n">
        <v>2.79408787</v>
      </c>
      <c r="I30" s="18" t="s">
        <v>567</v>
      </c>
      <c r="J30" s="20" t="s">
        <v>567</v>
      </c>
      <c r="K30" s="18" t="n">
        <v>36.94328993</v>
      </c>
      <c r="L30" s="20" t="n">
        <v>2.69382228</v>
      </c>
      <c r="M30" s="18" t="n">
        <v>0</v>
      </c>
      <c r="N30" s="20" t="n">
        <v>0</v>
      </c>
      <c r="O30" s="18" t="n">
        <v>0</v>
      </c>
      <c r="P30" s="20" t="n">
        <v>0</v>
      </c>
      <c r="Q30" s="18" t="n">
        <v>0</v>
      </c>
      <c r="R30" s="20" t="n">
        <v>0</v>
      </c>
    </row>
    <row r="31" spans="1:18">
      <c r="A31" s="15" t="s">
        <v>591</v>
      </c>
      <c r="B31" s="17" t="n">
        <v>2750</v>
      </c>
      <c r="C31" s="18">
        <f>(2153.0/B31*100)</f>
        <v/>
      </c>
      <c r="D31" s="19" t="n">
        <v>597</v>
      </c>
      <c r="E31" s="18" t="n">
        <v>35.5658361</v>
      </c>
      <c r="F31" s="20" t="n">
        <v>1.92897374</v>
      </c>
      <c r="G31" s="18" t="n">
        <v>32.79762633</v>
      </c>
      <c r="H31" s="20" t="n">
        <v>2.1046714</v>
      </c>
      <c r="I31" s="18" t="s">
        <v>567</v>
      </c>
      <c r="J31" s="20" t="s">
        <v>567</v>
      </c>
      <c r="K31" s="18" t="n">
        <v>31.63653757</v>
      </c>
      <c r="L31" s="20" t="n">
        <v>2.09598014</v>
      </c>
      <c r="M31" s="18" t="n">
        <v>0</v>
      </c>
      <c r="N31" s="20" t="n">
        <v>0</v>
      </c>
      <c r="O31" s="18" t="n">
        <v>0</v>
      </c>
      <c r="P31" s="20" t="n">
        <v>0</v>
      </c>
      <c r="Q31" s="18" t="n">
        <v>0</v>
      </c>
      <c r="R31" s="20" t="n">
        <v>0</v>
      </c>
    </row>
    <row r="32" spans="1:18">
      <c r="A32" s="15" t="s">
        <v>592</v>
      </c>
      <c r="B32" s="17" t="n">
        <v>2269</v>
      </c>
      <c r="C32" s="18">
        <f>(1748.0/B32*100)</f>
        <v/>
      </c>
      <c r="D32" s="19" t="n">
        <v>521</v>
      </c>
      <c r="E32" s="18" t="n">
        <v>24.39422787</v>
      </c>
      <c r="F32" s="20" t="n">
        <v>2.03252317</v>
      </c>
      <c r="G32" s="18" t="n">
        <v>33.43492275</v>
      </c>
      <c r="H32" s="20" t="n">
        <v>2.23346657</v>
      </c>
      <c r="I32" s="18" t="s">
        <v>567</v>
      </c>
      <c r="J32" s="20" t="s">
        <v>567</v>
      </c>
      <c r="K32" s="18" t="n">
        <v>42.17084937</v>
      </c>
      <c r="L32" s="20" t="n">
        <v>2.06588896</v>
      </c>
      <c r="M32" s="18" t="n">
        <v>0</v>
      </c>
      <c r="N32" s="20" t="n">
        <v>0</v>
      </c>
      <c r="O32" s="18" t="n">
        <v>0</v>
      </c>
      <c r="P32" s="20" t="n">
        <v>0</v>
      </c>
      <c r="Q32" s="18" t="n">
        <v>0</v>
      </c>
      <c r="R32" s="20" t="n">
        <v>0</v>
      </c>
    </row>
    <row r="33" spans="1:18">
      <c r="A33" s="15" t="s">
        <v>593</v>
      </c>
      <c r="B33" s="17" t="n">
        <v>3674</v>
      </c>
      <c r="C33" s="18">
        <f>(2955.0/B33*100)</f>
        <v/>
      </c>
      <c r="D33" s="19" t="n">
        <v>719</v>
      </c>
      <c r="E33" s="18" t="n">
        <v>22.62674289</v>
      </c>
      <c r="F33" s="20" t="n">
        <v>1.89806847</v>
      </c>
      <c r="G33" s="18" t="n">
        <v>29.46647049</v>
      </c>
      <c r="H33" s="20" t="n">
        <v>2.25226204</v>
      </c>
      <c r="I33" s="18" t="s">
        <v>567</v>
      </c>
      <c r="J33" s="20" t="s">
        <v>567</v>
      </c>
      <c r="K33" s="18" t="n">
        <v>47.90678662</v>
      </c>
      <c r="L33" s="20" t="n">
        <v>2.20504426</v>
      </c>
      <c r="M33" s="18" t="n">
        <v>0</v>
      </c>
      <c r="N33" s="20" t="n">
        <v>0</v>
      </c>
      <c r="O33" s="18" t="n">
        <v>0</v>
      </c>
      <c r="P33" s="20" t="n">
        <v>0</v>
      </c>
      <c r="Q33" s="18" t="n">
        <v>0</v>
      </c>
      <c r="R33" s="20" t="n">
        <v>0</v>
      </c>
    </row>
    <row r="34" spans="1:18">
      <c r="A34" s="15" t="s">
        <v>594</v>
      </c>
      <c r="B34" s="17" t="n">
        <v>3315</v>
      </c>
      <c r="C34" s="18">
        <f>(2609.0/B34*100)</f>
        <v/>
      </c>
      <c r="D34" s="19" t="n">
        <v>706</v>
      </c>
      <c r="E34" s="18" t="n">
        <v>35.50472813</v>
      </c>
      <c r="F34" s="20" t="n">
        <v>2.0729683</v>
      </c>
      <c r="G34" s="18" t="n">
        <v>28.0883647</v>
      </c>
      <c r="H34" s="20" t="n">
        <v>2.02617104</v>
      </c>
      <c r="I34" s="18" t="s">
        <v>567</v>
      </c>
      <c r="J34" s="20" t="s">
        <v>567</v>
      </c>
      <c r="K34" s="18" t="n">
        <v>35.74740218</v>
      </c>
      <c r="L34" s="20" t="n">
        <v>1.92769686</v>
      </c>
      <c r="M34" s="18" t="n">
        <v>0.65950499</v>
      </c>
      <c r="N34" s="20" t="n">
        <v>0.37206094</v>
      </c>
      <c r="O34" s="18" t="n">
        <v>0</v>
      </c>
      <c r="P34" s="20" t="n">
        <v>0</v>
      </c>
      <c r="Q34" s="18" t="n">
        <v>0</v>
      </c>
      <c r="R34" s="20" t="n">
        <v>0</v>
      </c>
    </row>
    <row r="35" spans="1:18">
      <c r="A35" s="15" t="s">
        <v>595</v>
      </c>
      <c r="B35" s="17" t="n">
        <v>3505</v>
      </c>
      <c r="C35" s="18">
        <f>(2767.0/B35*100)</f>
        <v/>
      </c>
      <c r="D35" s="19" t="n">
        <v>738</v>
      </c>
      <c r="E35" s="18" t="n">
        <v>21.60495732</v>
      </c>
      <c r="F35" s="20" t="n">
        <v>1.8440584</v>
      </c>
      <c r="G35" s="18" t="n">
        <v>48.89018759</v>
      </c>
      <c r="H35" s="20" t="n">
        <v>2.48625354</v>
      </c>
      <c r="I35" s="18" t="s">
        <v>567</v>
      </c>
      <c r="J35" s="20" t="s">
        <v>567</v>
      </c>
      <c r="K35" s="18" t="n">
        <v>29.02857674</v>
      </c>
      <c r="L35" s="20" t="n">
        <v>2.23671793</v>
      </c>
      <c r="M35" s="18" t="n">
        <v>0.47627835</v>
      </c>
      <c r="N35" s="20" t="n">
        <v>0.32232199</v>
      </c>
      <c r="O35" s="18" t="n">
        <v>0</v>
      </c>
      <c r="P35" s="20" t="n">
        <v>0</v>
      </c>
      <c r="Q35" s="18" t="n">
        <v>0</v>
      </c>
      <c r="R35" s="20" t="n">
        <v>0</v>
      </c>
    </row>
    <row r="36" spans="1:18">
      <c r="A36" s="15" t="s">
        <v>596</v>
      </c>
      <c r="B36" s="17" t="n">
        <v>3332</v>
      </c>
      <c r="C36" s="18">
        <f>(2661.0/B36*100)</f>
        <v/>
      </c>
      <c r="D36" s="19" t="n">
        <v>671</v>
      </c>
      <c r="E36" s="18" t="n">
        <v>20.00101897</v>
      </c>
      <c r="F36" s="20" t="n">
        <v>1.64609666</v>
      </c>
      <c r="G36" s="18" t="n">
        <v>46.51555092</v>
      </c>
      <c r="H36" s="20" t="n">
        <v>2.1279878</v>
      </c>
      <c r="I36" s="18" t="s">
        <v>567</v>
      </c>
      <c r="J36" s="20" t="s">
        <v>567</v>
      </c>
      <c r="K36" s="18" t="n">
        <v>33.48343011</v>
      </c>
      <c r="L36" s="20" t="n">
        <v>1.81681544</v>
      </c>
      <c r="M36" s="18" t="n">
        <v>0</v>
      </c>
      <c r="N36" s="20" t="n">
        <v>0</v>
      </c>
      <c r="O36" s="18" t="n">
        <v>0</v>
      </c>
      <c r="P36" s="20" t="n">
        <v>0</v>
      </c>
      <c r="Q36" s="18" t="n">
        <v>0</v>
      </c>
      <c r="R36" s="20" t="n">
        <v>0</v>
      </c>
    </row>
    <row r="37" spans="1:18">
      <c r="A37" s="15" t="s">
        <v>597</v>
      </c>
      <c r="B37" s="17" t="n">
        <v>2727</v>
      </c>
      <c r="C37" s="18">
        <f>(2159.0/B37*100)</f>
        <v/>
      </c>
      <c r="D37" s="19" t="n">
        <v>568</v>
      </c>
      <c r="E37" s="18" t="n">
        <v>31.99908684</v>
      </c>
      <c r="F37" s="20" t="n">
        <v>2.16878442</v>
      </c>
      <c r="G37" s="18" t="n">
        <v>22.7822323</v>
      </c>
      <c r="H37" s="20" t="n">
        <v>1.86677019</v>
      </c>
      <c r="I37" s="18" t="s">
        <v>567</v>
      </c>
      <c r="J37" s="20" t="s">
        <v>567</v>
      </c>
      <c r="K37" s="18" t="n">
        <v>45.03593049</v>
      </c>
      <c r="L37" s="20" t="n">
        <v>2.62832728</v>
      </c>
      <c r="M37" s="18" t="n">
        <v>0.18275037</v>
      </c>
      <c r="N37" s="20" t="n">
        <v>0.18189547</v>
      </c>
      <c r="O37" s="18" t="n">
        <v>0</v>
      </c>
      <c r="P37" s="20" t="n">
        <v>0</v>
      </c>
      <c r="Q37" s="18" t="n">
        <v>0</v>
      </c>
      <c r="R37" s="20" t="n">
        <v>0</v>
      </c>
    </row>
    <row r="38" spans="1:18">
      <c r="A38" s="15" t="s">
        <v>598</v>
      </c>
      <c r="B38" s="17" t="n">
        <v>3053</v>
      </c>
      <c r="C38" s="18">
        <f>(2418.0/B38*100)</f>
        <v/>
      </c>
      <c r="D38" s="19" t="n">
        <v>635</v>
      </c>
      <c r="E38" s="18" t="n">
        <v>29.49606323</v>
      </c>
      <c r="F38" s="20" t="n">
        <v>1.82857959</v>
      </c>
      <c r="G38" s="18" t="n">
        <v>35.82144342</v>
      </c>
      <c r="H38" s="20" t="n">
        <v>2.29194981</v>
      </c>
      <c r="I38" s="18" t="s">
        <v>567</v>
      </c>
      <c r="J38" s="20" t="s">
        <v>567</v>
      </c>
      <c r="K38" s="18" t="n">
        <v>32.64276114</v>
      </c>
      <c r="L38" s="20" t="n">
        <v>1.79503697</v>
      </c>
      <c r="M38" s="18" t="n">
        <v>2.03973221</v>
      </c>
      <c r="N38" s="20" t="n">
        <v>0.60910053</v>
      </c>
      <c r="O38" s="18" t="n">
        <v>0</v>
      </c>
      <c r="P38" s="20" t="n">
        <v>0</v>
      </c>
      <c r="Q38" s="18" t="n">
        <v>0</v>
      </c>
      <c r="R38" s="20" t="n">
        <v>0</v>
      </c>
    </row>
    <row r="39" spans="1:18">
      <c r="A39" s="15" t="s">
        <v>599</v>
      </c>
      <c r="B39" s="17" t="n">
        <v>2957</v>
      </c>
      <c r="C39" s="18">
        <f>(2298.0/B39*100)</f>
        <v/>
      </c>
      <c r="D39" s="19" t="n">
        <v>659</v>
      </c>
      <c r="E39" s="18" t="n">
        <v>50.84097282</v>
      </c>
      <c r="F39" s="20" t="n">
        <v>2.00062256</v>
      </c>
      <c r="G39" s="18" t="n">
        <v>16.45781544</v>
      </c>
      <c r="H39" s="20" t="n">
        <v>1.41313965</v>
      </c>
      <c r="I39" s="18" t="s">
        <v>567</v>
      </c>
      <c r="J39" s="20" t="s">
        <v>567</v>
      </c>
      <c r="K39" s="18" t="n">
        <v>32.70121174</v>
      </c>
      <c r="L39" s="20" t="n">
        <v>2.00840122</v>
      </c>
      <c r="M39" s="18" t="n">
        <v>0</v>
      </c>
      <c r="N39" s="20" t="n">
        <v>0</v>
      </c>
      <c r="O39" s="18" t="n">
        <v>0</v>
      </c>
      <c r="P39" s="20" t="n">
        <v>0</v>
      </c>
      <c r="Q39" s="18" t="n">
        <v>0</v>
      </c>
      <c r="R39" s="20" t="n">
        <v>0</v>
      </c>
    </row>
    <row r="40" spans="1:18">
      <c r="A40" s="15" t="s">
        <v>600</v>
      </c>
      <c r="B40" s="17" t="n">
        <v>7235</v>
      </c>
      <c r="C40" s="18">
        <f>(5676.0/B40*100)</f>
        <v/>
      </c>
      <c r="D40" s="19" t="n">
        <v>1559</v>
      </c>
      <c r="E40" s="18" t="n">
        <v>20.73350048</v>
      </c>
      <c r="F40" s="20" t="n">
        <v>1.53828163</v>
      </c>
      <c r="G40" s="18" t="n">
        <v>49.05386194</v>
      </c>
      <c r="H40" s="20" t="n">
        <v>2.32259332</v>
      </c>
      <c r="I40" s="18" t="s">
        <v>567</v>
      </c>
      <c r="J40" s="20" t="s">
        <v>567</v>
      </c>
      <c r="K40" s="18" t="n">
        <v>30.20166795</v>
      </c>
      <c r="L40" s="20" t="n">
        <v>1.81070046</v>
      </c>
      <c r="M40" s="18" t="n">
        <v>0.01096964</v>
      </c>
      <c r="N40" s="20" t="n">
        <v>0.0110288</v>
      </c>
      <c r="O40" s="18" t="n">
        <v>0</v>
      </c>
      <c r="P40" s="20" t="n">
        <v>0</v>
      </c>
      <c r="Q40" s="18" t="n">
        <v>0</v>
      </c>
      <c r="R40" s="20" t="n">
        <v>0</v>
      </c>
    </row>
    <row r="41" spans="1:18">
      <c r="A41" s="15" t="s">
        <v>601</v>
      </c>
      <c r="B41" s="17" t="n">
        <v>2858</v>
      </c>
      <c r="C41" s="18">
        <f>(2286.0/B41*100)</f>
        <v/>
      </c>
      <c r="D41" s="19" t="n">
        <v>572</v>
      </c>
      <c r="E41" s="18" t="n">
        <v>46.34935157</v>
      </c>
      <c r="F41" s="20" t="n">
        <v>2.33787414</v>
      </c>
      <c r="G41" s="18" t="n">
        <v>36.85515136</v>
      </c>
      <c r="H41" s="20" t="n">
        <v>2.25290315</v>
      </c>
      <c r="I41" s="18" t="s">
        <v>567</v>
      </c>
      <c r="J41" s="20" t="s">
        <v>567</v>
      </c>
      <c r="K41" s="18" t="n">
        <v>16.79549707</v>
      </c>
      <c r="L41" s="20" t="n">
        <v>1.49546448</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(9498.0/B46*100)</f>
        <v/>
      </c>
      <c r="D46" s="19" t="n">
        <v>1570</v>
      </c>
      <c r="E46" s="18" t="n">
        <v>34.50007121</v>
      </c>
      <c r="F46" s="20" t="n">
        <v>1.56185003</v>
      </c>
      <c r="G46" s="18" t="n">
        <v>23.60542233</v>
      </c>
      <c r="H46" s="20" t="n">
        <v>1.66938909</v>
      </c>
      <c r="I46" s="18" t="s">
        <v>567</v>
      </c>
      <c r="J46" s="20" t="s">
        <v>567</v>
      </c>
      <c r="K46" s="18" t="n">
        <v>41.24438959</v>
      </c>
      <c r="L46" s="20" t="n">
        <v>1.70968653</v>
      </c>
      <c r="M46" s="18" t="n">
        <v>0.65011686</v>
      </c>
      <c r="N46" s="20" t="n">
        <v>0.32456157</v>
      </c>
      <c r="O46" s="18" t="n">
        <v>0</v>
      </c>
      <c r="P46" s="20" t="n">
        <v>0</v>
      </c>
      <c r="Q46" s="18" t="n">
        <v>0</v>
      </c>
      <c r="R46" s="20" t="n">
        <v>0</v>
      </c>
    </row>
    <row r="47" spans="1:18">
      <c r="A47" s="15" t="s">
        <v>607</v>
      </c>
      <c r="B47" s="17" t="n">
        <v>3105</v>
      </c>
      <c r="C47" s="18">
        <f>(2443.0/B47*100)</f>
        <v/>
      </c>
      <c r="D47" s="19" t="n">
        <v>662</v>
      </c>
      <c r="E47" s="18" t="n">
        <v>24.33647737</v>
      </c>
      <c r="F47" s="20" t="n">
        <v>2.04847443</v>
      </c>
      <c r="G47" s="18" t="n">
        <v>27.99578085</v>
      </c>
      <c r="H47" s="20" t="n">
        <v>2.36243484</v>
      </c>
      <c r="I47" s="18" t="s">
        <v>567</v>
      </c>
      <c r="J47" s="20" t="s">
        <v>567</v>
      </c>
      <c r="K47" s="18" t="n">
        <v>47.51468254</v>
      </c>
      <c r="L47" s="20" t="n">
        <v>2.81301778</v>
      </c>
      <c r="M47" s="18" t="n">
        <v>0.15305924</v>
      </c>
      <c r="N47" s="20" t="n">
        <v>0.14512952</v>
      </c>
      <c r="O47" s="18" t="n">
        <v>0</v>
      </c>
      <c r="P47" s="20" t="n">
        <v>0</v>
      </c>
      <c r="Q47" s="18" t="n">
        <v>0</v>
      </c>
      <c r="R47" s="20" t="n">
        <v>0</v>
      </c>
    </row>
    <row r="48" spans="1:18">
      <c r="A48" s="15" t="s">
        <v>608</v>
      </c>
      <c r="B48" s="17" t="n">
        <v>5159</v>
      </c>
      <c r="C48" s="18">
        <f>(3990.0/B48*100)</f>
        <v/>
      </c>
      <c r="D48" s="19" t="n">
        <v>1169</v>
      </c>
      <c r="E48" s="18" t="n">
        <v>22.09549195</v>
      </c>
      <c r="F48" s="20" t="n">
        <v>1.9430607</v>
      </c>
      <c r="G48" s="18" t="n">
        <v>65.37445649</v>
      </c>
      <c r="H48" s="20" t="n">
        <v>2.46054659</v>
      </c>
      <c r="I48" s="18" t="s">
        <v>567</v>
      </c>
      <c r="J48" s="20" t="s">
        <v>567</v>
      </c>
      <c r="K48" s="18" t="n">
        <v>12.53005156</v>
      </c>
      <c r="L48" s="20" t="n">
        <v>1.34574876</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(4516.0/B50*100)</f>
        <v/>
      </c>
      <c r="D50" s="19" t="n">
        <v>1121</v>
      </c>
      <c r="E50" s="18" t="n">
        <v>52.70054224</v>
      </c>
      <c r="F50" s="20" t="n">
        <v>2.450901</v>
      </c>
      <c r="G50" s="18" t="n">
        <v>19.80307513</v>
      </c>
      <c r="H50" s="20" t="n">
        <v>1.87854068</v>
      </c>
      <c r="I50" s="18" t="s">
        <v>567</v>
      </c>
      <c r="J50" s="20" t="s">
        <v>567</v>
      </c>
      <c r="K50" s="18" t="n">
        <v>27.31319074</v>
      </c>
      <c r="L50" s="20" t="n">
        <v>2.09105176</v>
      </c>
      <c r="M50" s="18" t="n">
        <v>0.18319189</v>
      </c>
      <c r="N50" s="20" t="n">
        <v>0.25431767</v>
      </c>
      <c r="O50" s="18" t="n">
        <v>0</v>
      </c>
      <c r="P50" s="20" t="n">
        <v>0</v>
      </c>
      <c r="Q50" s="18" t="n">
        <v>0</v>
      </c>
      <c r="R50" s="20" t="n">
        <v>0</v>
      </c>
    </row>
    <row r="51" spans="1:18">
      <c r="A51" s="15" t="s">
        <v>611</v>
      </c>
      <c r="B51" s="17" t="n">
        <v>3372</v>
      </c>
      <c r="C51" s="18">
        <f>(2798.0/B51*100)</f>
        <v/>
      </c>
      <c r="D51" s="19" t="n">
        <v>574</v>
      </c>
      <c r="E51" s="18" t="n">
        <v>43.9136077</v>
      </c>
      <c r="F51" s="20" t="n">
        <v>2.09283104</v>
      </c>
      <c r="G51" s="18" t="n">
        <v>25.88679403</v>
      </c>
      <c r="H51" s="20" t="n">
        <v>2.08083034</v>
      </c>
      <c r="I51" s="18" t="s">
        <v>567</v>
      </c>
      <c r="J51" s="20" t="s">
        <v>567</v>
      </c>
      <c r="K51" s="18" t="n">
        <v>30.19959827</v>
      </c>
      <c r="L51" s="20" t="n">
        <v>2.1817753</v>
      </c>
      <c r="M51" s="18" t="n">
        <v>0</v>
      </c>
      <c r="N51" s="20" t="n">
        <v>0</v>
      </c>
      <c r="O51" s="18" t="n">
        <v>0</v>
      </c>
      <c r="P51" s="20" t="n">
        <v>0</v>
      </c>
      <c r="Q51" s="18" t="n">
        <v>0</v>
      </c>
      <c r="R51" s="20" t="n">
        <v>0</v>
      </c>
    </row>
    <row r="52" spans="1:18">
      <c r="A52" s="15" t="s">
        <v>612</v>
      </c>
      <c r="B52" s="17" t="n">
        <v>2796</v>
      </c>
      <c r="C52" s="18">
        <f>(2228.0/B52*100)</f>
        <v/>
      </c>
      <c r="D52" s="19" t="n">
        <v>568</v>
      </c>
      <c r="E52" s="18" t="n">
        <v>18.95124983</v>
      </c>
      <c r="F52" s="20" t="n">
        <v>1.85456133</v>
      </c>
      <c r="G52" s="18" t="n">
        <v>42.51191227</v>
      </c>
      <c r="H52" s="20" t="n">
        <v>1.91537303</v>
      </c>
      <c r="I52" s="18" t="s">
        <v>567</v>
      </c>
      <c r="J52" s="20" t="s">
        <v>567</v>
      </c>
      <c r="K52" s="18" t="n">
        <v>38.5368379</v>
      </c>
      <c r="L52" s="20" t="n">
        <v>2.20873706</v>
      </c>
      <c r="M52" s="18" t="n">
        <v>0</v>
      </c>
      <c r="N52" s="20" t="n">
        <v>0</v>
      </c>
      <c r="O52" s="18" t="n">
        <v>0</v>
      </c>
      <c r="P52" s="20" t="n">
        <v>0</v>
      </c>
      <c r="Q52" s="18" t="n">
        <v>0</v>
      </c>
      <c r="R52" s="20" t="n">
        <v>0</v>
      </c>
    </row>
    <row r="53" spans="1:18">
      <c r="A53" s="15" t="s">
        <v>613</v>
      </c>
      <c r="B53" s="17" t="n">
        <v>2811</v>
      </c>
      <c r="C53" s="18">
        <f>(2215.0/B53*100)</f>
        <v/>
      </c>
      <c r="D53" s="19" t="n">
        <v>596</v>
      </c>
      <c r="E53" s="18" t="n">
        <v>33.19810428</v>
      </c>
      <c r="F53" s="20" t="n">
        <v>2.17311938</v>
      </c>
      <c r="G53" s="18" t="n">
        <v>24.56424394</v>
      </c>
      <c r="H53" s="20" t="n">
        <v>1.84340077</v>
      </c>
      <c r="I53" s="18" t="s">
        <v>567</v>
      </c>
      <c r="J53" s="20" t="s">
        <v>567</v>
      </c>
      <c r="K53" s="18" t="n">
        <v>42.23765178</v>
      </c>
      <c r="L53" s="20" t="n">
        <v>2.11979502</v>
      </c>
      <c r="M53" s="18" t="n">
        <v>0</v>
      </c>
      <c r="N53" s="20" t="n">
        <v>0</v>
      </c>
      <c r="O53" s="18" t="n">
        <v>0</v>
      </c>
      <c r="P53" s="20" t="n">
        <v>0</v>
      </c>
      <c r="Q53" s="18" t="n">
        <v>0</v>
      </c>
      <c r="R53" s="20" t="n">
        <v>0</v>
      </c>
    </row>
    <row r="54" spans="1:18">
      <c r="A54" s="15" t="s">
        <v>614</v>
      </c>
      <c r="B54" s="17" t="n">
        <v>2266</v>
      </c>
      <c r="C54" s="18">
        <f>(1779.0/B54*100)</f>
        <v/>
      </c>
      <c r="D54" s="19" t="n">
        <v>487</v>
      </c>
      <c r="E54" s="18" t="n">
        <v>35.02667838</v>
      </c>
      <c r="F54" s="20" t="n">
        <v>2.64808523</v>
      </c>
      <c r="G54" s="18" t="n">
        <v>2.30282656</v>
      </c>
      <c r="H54" s="20" t="n">
        <v>0.73611717</v>
      </c>
      <c r="I54" s="18" t="s">
        <v>567</v>
      </c>
      <c r="J54" s="20" t="s">
        <v>567</v>
      </c>
      <c r="K54" s="18" t="n">
        <v>62.05044032</v>
      </c>
      <c r="L54" s="20" t="n">
        <v>2.65945806</v>
      </c>
      <c r="M54" s="18" t="n">
        <v>0.62005473</v>
      </c>
      <c r="N54" s="20" t="n">
        <v>0.49721682</v>
      </c>
      <c r="O54" s="18" t="n">
        <v>0</v>
      </c>
      <c r="P54" s="20" t="n">
        <v>0</v>
      </c>
      <c r="Q54" s="18" t="n">
        <v>0</v>
      </c>
      <c r="R54" s="20" t="n">
        <v>0</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(2113.0/B56*100)</f>
        <v/>
      </c>
      <c r="D56" s="19" t="n">
        <v>571</v>
      </c>
      <c r="E56" s="18" t="n">
        <v>28.02394868</v>
      </c>
      <c r="F56" s="20" t="n">
        <v>1.94609264</v>
      </c>
      <c r="G56" s="18" t="n">
        <v>58.40699626</v>
      </c>
      <c r="H56" s="20" t="n">
        <v>1.97351775</v>
      </c>
      <c r="I56" s="18" t="s">
        <v>567</v>
      </c>
      <c r="J56" s="20" t="s">
        <v>567</v>
      </c>
      <c r="K56" s="18" t="n">
        <v>13.56905506</v>
      </c>
      <c r="L56" s="20" t="n">
        <v>1.59211435</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(2576.0/B61*100)</f>
        <v/>
      </c>
      <c r="D61" s="19" t="n">
        <v>748</v>
      </c>
      <c r="E61" s="18" t="n">
        <v>26.39146983</v>
      </c>
      <c r="F61" s="20" t="n">
        <v>1.59398038</v>
      </c>
      <c r="G61" s="18" t="n">
        <v>32.5582371</v>
      </c>
      <c r="H61" s="20" t="n">
        <v>2.11821207</v>
      </c>
      <c r="I61" s="18" t="s">
        <v>567</v>
      </c>
      <c r="J61" s="20" t="s">
        <v>567</v>
      </c>
      <c r="K61" s="18" t="n">
        <v>41.05029307</v>
      </c>
      <c r="L61" s="20" t="n">
        <v>2.29782383</v>
      </c>
      <c r="M61" s="18" t="n">
        <v>0</v>
      </c>
      <c r="N61" s="20" t="n">
        <v>0</v>
      </c>
      <c r="O61" s="18" t="n">
        <v>0</v>
      </c>
      <c r="P61" s="20" t="n">
        <v>0</v>
      </c>
      <c r="Q61" s="18" t="n">
        <v>0</v>
      </c>
      <c r="R61" s="20" t="n">
        <v>0</v>
      </c>
    </row>
    <row r="62" spans="1:18">
      <c r="A62" s="15" t="s">
        <v>622</v>
      </c>
      <c r="B62" s="17" t="n">
        <v>2246</v>
      </c>
      <c r="C62" s="18">
        <f>(1793.0/B62*100)</f>
        <v/>
      </c>
      <c r="D62" s="19" t="n">
        <v>453</v>
      </c>
      <c r="E62" s="18" t="n">
        <v>36.17609673</v>
      </c>
      <c r="F62" s="20" t="n">
        <v>2.37990569</v>
      </c>
      <c r="G62" s="18" t="n">
        <v>51.66715746</v>
      </c>
      <c r="H62" s="20" t="n">
        <v>2.25115476</v>
      </c>
      <c r="I62" s="18" t="s">
        <v>567</v>
      </c>
      <c r="J62" s="20" t="s">
        <v>567</v>
      </c>
      <c r="K62" s="18" t="n">
        <v>12.1567458</v>
      </c>
      <c r="L62" s="20" t="n">
        <v>1.40311379</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(2274.0/B66*100)</f>
        <v/>
      </c>
      <c r="D66" s="19" t="n">
        <v>620</v>
      </c>
      <c r="E66" s="18" t="n">
        <v>13.19329033</v>
      </c>
      <c r="F66" s="20" t="n">
        <v>1.38047132</v>
      </c>
      <c r="G66" s="18" t="n">
        <v>13.15263299</v>
      </c>
      <c r="H66" s="20" t="n">
        <v>1.37004388</v>
      </c>
      <c r="I66" s="18" t="s">
        <v>567</v>
      </c>
      <c r="J66" s="20" t="s">
        <v>567</v>
      </c>
      <c r="K66" s="18" t="n">
        <v>42.0333023</v>
      </c>
      <c r="L66" s="20" t="n">
        <v>2.17387794</v>
      </c>
      <c r="M66" s="18" t="n">
        <v>31.62077438</v>
      </c>
      <c r="N66" s="20" t="n">
        <v>1.96516578</v>
      </c>
      <c r="O66" s="18" t="n">
        <v>0</v>
      </c>
      <c r="P66" s="20" t="n">
        <v>0</v>
      </c>
      <c r="Q66" s="18" t="n">
        <v>0</v>
      </c>
      <c r="R66" s="20" t="n">
        <v>0</v>
      </c>
    </row>
    <row r="67" spans="1:18">
      <c r="A67" s="15" t="s">
        <v>627</v>
      </c>
      <c r="B67" s="17" t="n">
        <v>3511</v>
      </c>
      <c r="C67" s="18">
        <f>(2896.0/B67*100)</f>
        <v/>
      </c>
      <c r="D67" s="19" t="n">
        <v>615</v>
      </c>
      <c r="E67" s="18" t="n">
        <v>46.99961537</v>
      </c>
      <c r="F67" s="20" t="n">
        <v>2.11369847</v>
      </c>
      <c r="G67" s="18" t="n">
        <v>19.02913176</v>
      </c>
      <c r="H67" s="20" t="n">
        <v>1.85762462</v>
      </c>
      <c r="I67" s="18" t="s">
        <v>567</v>
      </c>
      <c r="J67" s="20" t="s">
        <v>567</v>
      </c>
      <c r="K67" s="18" t="n">
        <v>33.97125288</v>
      </c>
      <c r="L67" s="20" t="n">
        <v>2.00022998</v>
      </c>
      <c r="M67" s="18" t="n">
        <v>0</v>
      </c>
      <c r="N67" s="20" t="n">
        <v>0</v>
      </c>
      <c r="O67" s="18" t="n">
        <v>0</v>
      </c>
      <c r="P67" s="20" t="n">
        <v>0</v>
      </c>
      <c r="Q67" s="18" t="n">
        <v>0</v>
      </c>
      <c r="R67" s="20" t="n">
        <v>0</v>
      </c>
    </row>
    <row r="68" spans="1:18">
      <c r="A68" s="15" t="s">
        <v>628</v>
      </c>
      <c r="B68" s="17" t="n">
        <v>6049</v>
      </c>
      <c r="C68" s="18">
        <f>(4696.0/B68*100)</f>
        <v/>
      </c>
      <c r="D68" s="19" t="n">
        <v>1353</v>
      </c>
      <c r="E68" s="18" t="n">
        <v>41.77908549</v>
      </c>
      <c r="F68" s="20" t="n">
        <v>1.30979906</v>
      </c>
      <c r="G68" s="18" t="n">
        <v>17.45622138</v>
      </c>
      <c r="H68" s="20" t="n">
        <v>0.87991407</v>
      </c>
      <c r="I68" s="18" t="s">
        <v>567</v>
      </c>
      <c r="J68" s="20" t="s">
        <v>567</v>
      </c>
      <c r="K68" s="18" t="n">
        <v>40.76469313</v>
      </c>
      <c r="L68" s="20" t="n">
        <v>1.33568502</v>
      </c>
      <c r="M68" s="18" t="n">
        <v>0</v>
      </c>
      <c r="N68" s="20" t="n">
        <v>0</v>
      </c>
      <c r="O68" s="18" t="n">
        <v>0</v>
      </c>
      <c r="P68" s="20" t="n">
        <v>0</v>
      </c>
      <c r="Q68" s="18" t="n">
        <v>0</v>
      </c>
      <c r="R68" s="20" t="n">
        <v>0</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(2338.0/B70*100)</f>
        <v/>
      </c>
      <c r="D70" s="19" t="n">
        <v>591</v>
      </c>
      <c r="E70" s="18" t="n">
        <v>24.56538882</v>
      </c>
      <c r="F70" s="20" t="n">
        <v>2.14566851</v>
      </c>
      <c r="G70" s="18" t="n">
        <v>42.50556664</v>
      </c>
      <c r="H70" s="20" t="n">
        <v>2.85912401</v>
      </c>
      <c r="I70" s="18" t="s">
        <v>567</v>
      </c>
      <c r="J70" s="20" t="s">
        <v>567</v>
      </c>
      <c r="K70" s="18" t="n">
        <v>32.92904454</v>
      </c>
      <c r="L70" s="20" t="n">
        <v>2.14872911</v>
      </c>
      <c r="M70" s="18" t="n">
        <v>0</v>
      </c>
      <c r="N70" s="20" t="n">
        <v>0</v>
      </c>
      <c r="O70" s="18" t="n">
        <v>0</v>
      </c>
      <c r="P70" s="20" t="n">
        <v>0</v>
      </c>
      <c r="Q70" s="18" t="n">
        <v>0</v>
      </c>
      <c r="R70" s="20" t="n">
        <v>0</v>
      </c>
    </row>
    <row r="71" spans="1:18">
      <c r="A71" s="15" t="s">
        <v>631</v>
      </c>
      <c r="B71" s="17" t="n">
        <v>3142</v>
      </c>
      <c r="C71" s="18">
        <f>(2453.0/B71*100)</f>
        <v/>
      </c>
      <c r="D71" s="19" t="n">
        <v>689</v>
      </c>
      <c r="E71" s="18" t="n">
        <v>32.18698358</v>
      </c>
      <c r="F71" s="20" t="n">
        <v>1.61531752</v>
      </c>
      <c r="G71" s="18" t="n">
        <v>53.53022755</v>
      </c>
      <c r="H71" s="20" t="n">
        <v>2.07821159</v>
      </c>
      <c r="I71" s="18" t="s">
        <v>567</v>
      </c>
      <c r="J71" s="20" t="s">
        <v>567</v>
      </c>
      <c r="K71" s="18" t="n">
        <v>14.28278888</v>
      </c>
      <c r="L71" s="20" t="n">
        <v>1.4212609</v>
      </c>
      <c r="M71" s="18" t="n">
        <v>0</v>
      </c>
      <c r="N71" s="20" t="n">
        <v>0</v>
      </c>
      <c r="O71" s="18" t="n">
        <v>0</v>
      </c>
      <c r="P71" s="20" t="n">
        <v>0</v>
      </c>
      <c r="Q71" s="18" t="n">
        <v>0</v>
      </c>
      <c r="R71" s="20" t="n">
        <v>0</v>
      </c>
    </row>
    <row r="72" spans="1:18">
      <c r="A72" s="15" t="s">
        <v>632</v>
      </c>
      <c r="B72" s="17" t="n">
        <v>3889</v>
      </c>
      <c r="C72" s="18">
        <f>(3041.0/B72*100)</f>
        <v/>
      </c>
      <c r="D72" s="19" t="n">
        <v>848</v>
      </c>
      <c r="E72" s="18" t="n">
        <v>22.72573711</v>
      </c>
      <c r="F72" s="20" t="n">
        <v>1.53477412</v>
      </c>
      <c r="G72" s="18" t="n">
        <v>64.36737157</v>
      </c>
      <c r="H72" s="20" t="n">
        <v>2.05632539</v>
      </c>
      <c r="I72" s="18" t="s">
        <v>567</v>
      </c>
      <c r="J72" s="20" t="s">
        <v>567</v>
      </c>
      <c r="K72" s="18" t="n">
        <v>12.90689132</v>
      </c>
      <c r="L72" s="20" t="n">
        <v>1.20861801</v>
      </c>
      <c r="M72" s="18" t="n">
        <v>0</v>
      </c>
      <c r="N72" s="20" t="n">
        <v>0</v>
      </c>
      <c r="O72" s="18" t="n">
        <v>0</v>
      </c>
      <c r="P72" s="20" t="n">
        <v>0</v>
      </c>
      <c r="Q72" s="18" t="n">
        <v>0</v>
      </c>
      <c r="R72" s="20" t="n">
        <v>0</v>
      </c>
    </row>
    <row r="73" spans="1:18">
      <c r="A73" s="15" t="s">
        <v>633</v>
      </c>
      <c r="B73" s="17" t="n">
        <v>3597</v>
      </c>
      <c r="C73" s="18">
        <f>(2855.0/B73*100)</f>
        <v/>
      </c>
      <c r="D73" s="19" t="n">
        <v>742</v>
      </c>
      <c r="E73" s="18" t="n">
        <v>69.41833588</v>
      </c>
      <c r="F73" s="20" t="n">
        <v>2.25148236</v>
      </c>
      <c r="G73" s="18" t="n">
        <v>22.03781846</v>
      </c>
      <c r="H73" s="20" t="n">
        <v>2.03213409</v>
      </c>
      <c r="I73" s="18" t="s">
        <v>567</v>
      </c>
      <c r="J73" s="20" t="s">
        <v>567</v>
      </c>
      <c r="K73" s="18" t="n">
        <v>8.35001862</v>
      </c>
      <c r="L73" s="20" t="n">
        <v>1.39460505</v>
      </c>
      <c r="M73" s="18" t="n">
        <v>0.19382703</v>
      </c>
      <c r="N73" s="20" t="n">
        <v>0.18623981</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(1929.0/B75*100)</f>
        <v/>
      </c>
      <c r="D75" s="19" t="n">
        <v>477</v>
      </c>
      <c r="E75" s="18" t="n">
        <v>29.22510978</v>
      </c>
      <c r="F75" s="20" t="n">
        <v>2.24574137</v>
      </c>
      <c r="G75" s="18" t="n">
        <v>8.638048270000001</v>
      </c>
      <c r="H75" s="20" t="n">
        <v>1.20998659</v>
      </c>
      <c r="I75" s="18" t="s">
        <v>567</v>
      </c>
      <c r="J75" s="20" t="s">
        <v>567</v>
      </c>
      <c r="K75" s="18" t="n">
        <v>61.97230018</v>
      </c>
      <c r="L75" s="20" t="n">
        <v>2.29241103</v>
      </c>
      <c r="M75" s="18" t="n">
        <v>0.16454177</v>
      </c>
      <c r="N75" s="20" t="n">
        <v>0.16408952</v>
      </c>
      <c r="O75" s="18" t="n">
        <v>0</v>
      </c>
      <c r="P75" s="20" t="n">
        <v>0</v>
      </c>
      <c r="Q75" s="18" t="n">
        <v>0</v>
      </c>
      <c r="R75" s="20" t="n">
        <v>0</v>
      </c>
    </row>
    <row r="76" spans="1:18">
      <c r="A76" s="15" t="s">
        <v>636</v>
      </c>
      <c r="B76" s="17" t="n">
        <v>7052</v>
      </c>
      <c r="C76" s="18">
        <f>(5507.0/B76*100)</f>
        <v/>
      </c>
      <c r="D76" s="19" t="n">
        <v>1545</v>
      </c>
      <c r="E76" s="18" t="n">
        <v>50.16194708</v>
      </c>
      <c r="F76" s="20" t="n">
        <v>1.75894739</v>
      </c>
      <c r="G76" s="18" t="n">
        <v>27.7817677</v>
      </c>
      <c r="H76" s="20" t="n">
        <v>1.73409274</v>
      </c>
      <c r="I76" s="18" t="s">
        <v>567</v>
      </c>
      <c r="J76" s="20" t="s">
        <v>567</v>
      </c>
      <c r="K76" s="18" t="n">
        <v>22.02337104</v>
      </c>
      <c r="L76" s="20" t="n">
        <v>1.63130241</v>
      </c>
      <c r="M76" s="18" t="n">
        <v>0.03291417</v>
      </c>
      <c r="N76" s="20" t="n">
        <v>0.03288817</v>
      </c>
      <c r="O76" s="18" t="n">
        <v>0</v>
      </c>
      <c r="P76" s="20" t="n">
        <v>0</v>
      </c>
      <c r="Q76" s="18" t="n">
        <v>0</v>
      </c>
      <c r="R76" s="20" t="n">
        <v>0</v>
      </c>
    </row>
    <row r="77" spans="1:18">
      <c r="A77" s="15" t="s">
        <v>637</v>
      </c>
      <c r="B77" s="17" t="n">
        <v>2908</v>
      </c>
      <c r="C77" s="18">
        <f>(2400.0/B77*100)</f>
        <v/>
      </c>
      <c r="D77" s="19" t="n">
        <v>508</v>
      </c>
      <c r="E77" s="18" t="n">
        <v>31.36560781</v>
      </c>
      <c r="F77" s="20" t="n">
        <v>1.98696853</v>
      </c>
      <c r="G77" s="18" t="n">
        <v>23.91262892</v>
      </c>
      <c r="H77" s="20" t="n">
        <v>1.68666441</v>
      </c>
      <c r="I77" s="18" t="s">
        <v>567</v>
      </c>
      <c r="J77" s="20" t="s">
        <v>567</v>
      </c>
      <c r="K77" s="18" t="n">
        <v>44.72176327</v>
      </c>
      <c r="L77" s="20" t="n">
        <v>1.99118903</v>
      </c>
      <c r="M77" s="18" t="n">
        <v>0</v>
      </c>
      <c r="N77" s="20" t="n">
        <v>0</v>
      </c>
      <c r="O77" s="18" t="n">
        <v>0</v>
      </c>
      <c r="P77" s="20" t="n">
        <v>0</v>
      </c>
      <c r="Q77" s="18" t="n">
        <v>0</v>
      </c>
      <c r="R77" s="20" t="n">
        <v>0</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(3287.0/B81*100)</f>
        <v/>
      </c>
      <c r="D81" s="19" t="n">
        <v>876</v>
      </c>
      <c r="E81" s="18" t="n">
        <v>57.54194934</v>
      </c>
      <c r="F81" s="20" t="n">
        <v>2.43701382</v>
      </c>
      <c r="G81" s="18" t="n">
        <v>31.52473276</v>
      </c>
      <c r="H81" s="20" t="n">
        <v>2.25472744</v>
      </c>
      <c r="I81" s="18" t="s">
        <v>567</v>
      </c>
      <c r="J81" s="20" t="s">
        <v>567</v>
      </c>
      <c r="K81" s="18" t="n">
        <v>10.9333179</v>
      </c>
      <c r="L81" s="20" t="n">
        <v>1.4728628</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(5704.0/B7*100)</f>
        <v/>
      </c>
      <c r="D7" s="19" t="n">
        <v>1663</v>
      </c>
      <c r="E7" s="18" t="n">
        <v>43.24316222</v>
      </c>
      <c r="F7" s="20" t="n">
        <v>1.51049082</v>
      </c>
      <c r="G7" s="18" t="n">
        <v>51.40593759</v>
      </c>
      <c r="H7" s="20" t="n">
        <v>1.43378151</v>
      </c>
      <c r="I7" s="18" t="s">
        <v>567</v>
      </c>
      <c r="J7" s="20" t="s">
        <v>567</v>
      </c>
      <c r="K7" s="18" t="n">
        <v>0.03462693</v>
      </c>
      <c r="L7" s="20" t="n">
        <v>0.03064882</v>
      </c>
      <c r="M7" s="18" t="n">
        <v>0.03286002</v>
      </c>
      <c r="N7" s="20" t="n">
        <v>0.02069702</v>
      </c>
      <c r="O7" s="18" t="n">
        <v>0</v>
      </c>
      <c r="P7" s="20" t="n">
        <v>0</v>
      </c>
      <c r="Q7" s="18" t="n">
        <v>5.28341324</v>
      </c>
      <c r="R7" s="20" t="n">
        <v>0.71168169</v>
      </c>
    </row>
    <row r="8" spans="1:18">
      <c r="A8" s="15" t="s">
        <v>568</v>
      </c>
      <c r="B8" s="17" t="n">
        <v>3564</v>
      </c>
      <c r="C8" s="18">
        <f>(2770.0/B8*100)</f>
        <v/>
      </c>
      <c r="D8" s="19" t="n">
        <v>794</v>
      </c>
      <c r="E8" s="18" t="n">
        <v>39.93042906</v>
      </c>
      <c r="F8" s="20" t="n">
        <v>1.90764604</v>
      </c>
      <c r="G8" s="18" t="n">
        <v>44.82101647</v>
      </c>
      <c r="H8" s="20" t="n">
        <v>2.07280382</v>
      </c>
      <c r="I8" s="18" t="s">
        <v>567</v>
      </c>
      <c r="J8" s="20" t="s">
        <v>567</v>
      </c>
      <c r="K8" s="18" t="n">
        <v>0</v>
      </c>
      <c r="L8" s="20" t="n">
        <v>0</v>
      </c>
      <c r="M8" s="18" t="n">
        <v>0</v>
      </c>
      <c r="N8" s="20" t="n">
        <v>0</v>
      </c>
      <c r="O8" s="18" t="n">
        <v>0</v>
      </c>
      <c r="P8" s="20" t="n">
        <v>0</v>
      </c>
      <c r="Q8" s="18" t="n">
        <v>15.24855447</v>
      </c>
      <c r="R8" s="20" t="n">
        <v>1.6706694</v>
      </c>
    </row>
    <row r="9" spans="1:18">
      <c r="A9" s="15" t="s">
        <v>569</v>
      </c>
      <c r="B9" s="17" t="n">
        <v>4899</v>
      </c>
      <c r="C9" s="18">
        <f>(3850.0/B9*100)</f>
        <v/>
      </c>
      <c r="D9" s="19" t="n">
        <v>1049</v>
      </c>
      <c r="E9" s="18" t="n">
        <v>40.53050367</v>
      </c>
      <c r="F9" s="20" t="n">
        <v>1.90164328</v>
      </c>
      <c r="G9" s="18" t="n">
        <v>50.20839018</v>
      </c>
      <c r="H9" s="20" t="n">
        <v>1.9065316</v>
      </c>
      <c r="I9" s="18" t="s">
        <v>567</v>
      </c>
      <c r="J9" s="20" t="s">
        <v>567</v>
      </c>
      <c r="K9" s="18" t="n">
        <v>0</v>
      </c>
      <c r="L9" s="20" t="n">
        <v>0</v>
      </c>
      <c r="M9" s="18" t="n">
        <v>0.41705873</v>
      </c>
      <c r="N9" s="20" t="n">
        <v>0.21242649</v>
      </c>
      <c r="O9" s="18" t="n">
        <v>0</v>
      </c>
      <c r="P9" s="20" t="n">
        <v>0</v>
      </c>
      <c r="Q9" s="18" t="n">
        <v>8.844047420000001</v>
      </c>
      <c r="R9" s="20" t="n">
        <v>0.88862885</v>
      </c>
    </row>
    <row r="10" spans="1:18">
      <c r="A10" s="15" t="s">
        <v>570</v>
      </c>
      <c r="B10" s="17" t="n">
        <v>10036</v>
      </c>
      <c r="C10" s="18">
        <f>(7780.0/B10*100)</f>
        <v/>
      </c>
      <c r="D10" s="19" t="n">
        <v>2256</v>
      </c>
      <c r="E10" s="18" t="n">
        <v>39.47641554</v>
      </c>
      <c r="F10" s="20" t="n">
        <v>1.33042078</v>
      </c>
      <c r="G10" s="18" t="n">
        <v>55.80760013</v>
      </c>
      <c r="H10" s="20" t="n">
        <v>1.3556676</v>
      </c>
      <c r="I10" s="18" t="s">
        <v>567</v>
      </c>
      <c r="J10" s="20" t="s">
        <v>567</v>
      </c>
      <c r="K10" s="18" t="n">
        <v>0.20273946</v>
      </c>
      <c r="L10" s="20" t="n">
        <v>0.12863567</v>
      </c>
      <c r="M10" s="18" t="n">
        <v>0.03741847</v>
      </c>
      <c r="N10" s="20" t="n">
        <v>0.03738818</v>
      </c>
      <c r="O10" s="18" t="n">
        <v>0</v>
      </c>
      <c r="P10" s="20" t="n">
        <v>0</v>
      </c>
      <c r="Q10" s="18" t="n">
        <v>4.4758264</v>
      </c>
      <c r="R10" s="20" t="n">
        <v>0.65183201</v>
      </c>
    </row>
    <row r="11" spans="1:18">
      <c r="A11" s="15" t="s">
        <v>571</v>
      </c>
      <c r="B11" s="17" t="n">
        <v>3553</v>
      </c>
      <c r="C11" s="18">
        <f>(2779.0/B11*100)</f>
        <v/>
      </c>
      <c r="D11" s="19" t="n">
        <v>774</v>
      </c>
      <c r="E11" s="18" t="n">
        <v>41.7441406</v>
      </c>
      <c r="F11" s="20" t="n">
        <v>2.49207392</v>
      </c>
      <c r="G11" s="18" t="n">
        <v>40.74745575</v>
      </c>
      <c r="H11" s="20" t="n">
        <v>2.26291679</v>
      </c>
      <c r="I11" s="18" t="s">
        <v>567</v>
      </c>
      <c r="J11" s="20" t="s">
        <v>567</v>
      </c>
      <c r="K11" s="18" t="n">
        <v>0.5510751</v>
      </c>
      <c r="L11" s="20" t="n">
        <v>0.40526958</v>
      </c>
      <c r="M11" s="18" t="n">
        <v>0</v>
      </c>
      <c r="N11" s="20" t="n">
        <v>0</v>
      </c>
      <c r="O11" s="18" t="n">
        <v>0</v>
      </c>
      <c r="P11" s="20" t="n">
        <v>0</v>
      </c>
      <c r="Q11" s="18" t="n">
        <v>16.95732855</v>
      </c>
      <c r="R11" s="20" t="n">
        <v>2.29479291</v>
      </c>
    </row>
    <row r="12" spans="1:18">
      <c r="A12" s="15" t="s">
        <v>572</v>
      </c>
      <c r="B12" s="17" t="n">
        <v>3472</v>
      </c>
      <c r="C12" s="18">
        <f>(2713.0/B12*100)</f>
        <v/>
      </c>
      <c r="D12" s="19" t="n">
        <v>759</v>
      </c>
      <c r="E12" s="18" t="n">
        <v>45.25731417</v>
      </c>
      <c r="F12" s="20" t="n">
        <v>2.09804003</v>
      </c>
      <c r="G12" s="18" t="n">
        <v>41.47497361</v>
      </c>
      <c r="H12" s="20" t="n">
        <v>2.31924662</v>
      </c>
      <c r="I12" s="18" t="s">
        <v>567</v>
      </c>
      <c r="J12" s="20" t="s">
        <v>567</v>
      </c>
      <c r="K12" s="18" t="n">
        <v>0.12297556</v>
      </c>
      <c r="L12" s="20" t="n">
        <v>0.12604584</v>
      </c>
      <c r="M12" s="18" t="n">
        <v>0.0773537</v>
      </c>
      <c r="N12" s="20" t="n">
        <v>0.10351138</v>
      </c>
      <c r="O12" s="18" t="n">
        <v>0</v>
      </c>
      <c r="P12" s="20" t="n">
        <v>0</v>
      </c>
      <c r="Q12" s="18" t="n">
        <v>13.06738295</v>
      </c>
      <c r="R12" s="20" t="n">
        <v>1.5746808</v>
      </c>
    </row>
    <row r="13" spans="1:18">
      <c r="A13" s="15" t="s">
        <v>573</v>
      </c>
      <c r="B13" s="17" t="n">
        <v>3559</v>
      </c>
      <c r="C13" s="18">
        <f>(2780.0/B13*100)</f>
        <v/>
      </c>
      <c r="D13" s="19" t="n">
        <v>779</v>
      </c>
      <c r="E13" s="18" t="n">
        <v>49.53993608</v>
      </c>
      <c r="F13" s="20" t="n">
        <v>2.01459203</v>
      </c>
      <c r="G13" s="18" t="n">
        <v>43.14700624</v>
      </c>
      <c r="H13" s="20" t="n">
        <v>2.13182557</v>
      </c>
      <c r="I13" s="18" t="s">
        <v>567</v>
      </c>
      <c r="J13" s="20" t="s">
        <v>567</v>
      </c>
      <c r="K13" s="18" t="n">
        <v>0.07577599</v>
      </c>
      <c r="L13" s="20" t="n">
        <v>0.07642258</v>
      </c>
      <c r="M13" s="18" t="n">
        <v>0.06113407</v>
      </c>
      <c r="N13" s="20" t="n">
        <v>0.06391373</v>
      </c>
      <c r="O13" s="18" t="n">
        <v>0</v>
      </c>
      <c r="P13" s="20" t="n">
        <v>0</v>
      </c>
      <c r="Q13" s="18" t="n">
        <v>7.17614761</v>
      </c>
      <c r="R13" s="20" t="n">
        <v>0.87719666</v>
      </c>
    </row>
    <row r="14" spans="1:18">
      <c r="A14" s="15" t="s">
        <v>574</v>
      </c>
      <c r="B14" s="17" t="n">
        <v>2799</v>
      </c>
      <c r="C14" s="18">
        <f>(2215.0/B14*100)</f>
        <v/>
      </c>
      <c r="D14" s="19" t="n">
        <v>584</v>
      </c>
      <c r="E14" s="18" t="n">
        <v>38.58420157</v>
      </c>
      <c r="F14" s="20" t="n">
        <v>2.96326823</v>
      </c>
      <c r="G14" s="18" t="n">
        <v>53.34658311</v>
      </c>
      <c r="H14" s="20" t="n">
        <v>2.83284532</v>
      </c>
      <c r="I14" s="18" t="s">
        <v>567</v>
      </c>
      <c r="J14" s="20" t="s">
        <v>567</v>
      </c>
      <c r="K14" s="18" t="n">
        <v>0.14236436</v>
      </c>
      <c r="L14" s="20" t="n">
        <v>0.14229489</v>
      </c>
      <c r="M14" s="18" t="n">
        <v>0</v>
      </c>
      <c r="N14" s="20" t="n">
        <v>0</v>
      </c>
      <c r="O14" s="18" t="n">
        <v>0</v>
      </c>
      <c r="P14" s="20" t="n">
        <v>0</v>
      </c>
      <c r="Q14" s="18" t="n">
        <v>7.92685096</v>
      </c>
      <c r="R14" s="20" t="n">
        <v>1.47509164</v>
      </c>
    </row>
    <row r="15" spans="1:18">
      <c r="A15" s="15" t="s">
        <v>575</v>
      </c>
      <c r="B15" s="17" t="n">
        <v>3019</v>
      </c>
      <c r="C15" s="18">
        <f>(2375.0/B15*100)</f>
        <v/>
      </c>
      <c r="D15" s="19" t="n">
        <v>644</v>
      </c>
      <c r="E15" s="18" t="n">
        <v>38.60681613</v>
      </c>
      <c r="F15" s="20" t="n">
        <v>1.78722513</v>
      </c>
      <c r="G15" s="18" t="n">
        <v>52.53846739</v>
      </c>
      <c r="H15" s="20" t="n">
        <v>2.13026653</v>
      </c>
      <c r="I15" s="18" t="s">
        <v>567</v>
      </c>
      <c r="J15" s="20" t="s">
        <v>567</v>
      </c>
      <c r="K15" s="18" t="n">
        <v>0</v>
      </c>
      <c r="L15" s="20" t="n">
        <v>0</v>
      </c>
      <c r="M15" s="18" t="n">
        <v>0</v>
      </c>
      <c r="N15" s="20" t="n">
        <v>0</v>
      </c>
      <c r="O15" s="18" t="n">
        <v>0</v>
      </c>
      <c r="P15" s="20" t="n">
        <v>0</v>
      </c>
      <c r="Q15" s="18" t="n">
        <v>8.85471648</v>
      </c>
      <c r="R15" s="20" t="n">
        <v>1.2819013</v>
      </c>
    </row>
    <row r="16" spans="1:18">
      <c r="A16" s="15" t="s">
        <v>576</v>
      </c>
      <c r="B16" s="17" t="n">
        <v>2997</v>
      </c>
      <c r="C16" s="18">
        <f>(2360.0/B16*100)</f>
        <v/>
      </c>
      <c r="D16" s="19" t="n">
        <v>637</v>
      </c>
      <c r="E16" s="18" t="n">
        <v>33.70254162</v>
      </c>
      <c r="F16" s="20" t="n">
        <v>1.89000706</v>
      </c>
      <c r="G16" s="18" t="n">
        <v>50.95480676</v>
      </c>
      <c r="H16" s="20" t="n">
        <v>1.63344754</v>
      </c>
      <c r="I16" s="18" t="s">
        <v>567</v>
      </c>
      <c r="J16" s="20" t="s">
        <v>567</v>
      </c>
      <c r="K16" s="18" t="n">
        <v>0.19349236</v>
      </c>
      <c r="L16" s="20" t="n">
        <v>0.15476974</v>
      </c>
      <c r="M16" s="18" t="n">
        <v>0.13055852</v>
      </c>
      <c r="N16" s="20" t="n">
        <v>0.13002423</v>
      </c>
      <c r="O16" s="18" t="n">
        <v>0</v>
      </c>
      <c r="P16" s="20" t="n">
        <v>0</v>
      </c>
      <c r="Q16" s="18" t="n">
        <v>15.01860073</v>
      </c>
      <c r="R16" s="20" t="n">
        <v>1.72224529</v>
      </c>
    </row>
    <row r="17" spans="1:18">
      <c r="A17" s="15" t="s">
        <v>577</v>
      </c>
      <c r="B17" s="17" t="n">
        <v>3307</v>
      </c>
      <c r="C17" s="18">
        <f>(2583.0/B17*100)</f>
        <v/>
      </c>
      <c r="D17" s="19" t="n">
        <v>724</v>
      </c>
      <c r="E17" s="18" t="n">
        <v>42.91845668</v>
      </c>
      <c r="F17" s="20" t="n">
        <v>1.95041095</v>
      </c>
      <c r="G17" s="18" t="n">
        <v>43.89713636</v>
      </c>
      <c r="H17" s="20" t="n">
        <v>2.04247152</v>
      </c>
      <c r="I17" s="18" t="s">
        <v>567</v>
      </c>
      <c r="J17" s="20" t="s">
        <v>567</v>
      </c>
      <c r="K17" s="18" t="n">
        <v>0.42654985</v>
      </c>
      <c r="L17" s="20" t="n">
        <v>0.20713151</v>
      </c>
      <c r="M17" s="18" t="n">
        <v>0</v>
      </c>
      <c r="N17" s="20" t="n">
        <v>0</v>
      </c>
      <c r="O17" s="18" t="n">
        <v>0</v>
      </c>
      <c r="P17" s="20" t="n">
        <v>0</v>
      </c>
      <c r="Q17" s="18" t="n">
        <v>12.75785711</v>
      </c>
      <c r="R17" s="20" t="n">
        <v>1.45533856</v>
      </c>
    </row>
    <row r="18" spans="1:18">
      <c r="A18" s="15" t="s">
        <v>578</v>
      </c>
      <c r="B18" s="17" t="n">
        <v>2826</v>
      </c>
      <c r="C18" s="18">
        <f>(2224.0/B18*100)</f>
        <v/>
      </c>
      <c r="D18" s="19" t="n">
        <v>602</v>
      </c>
      <c r="E18" s="18" t="n">
        <v>54.19955565</v>
      </c>
      <c r="F18" s="20" t="n">
        <v>2.07549195</v>
      </c>
      <c r="G18" s="18" t="n">
        <v>27.61593262</v>
      </c>
      <c r="H18" s="20" t="n">
        <v>2.11165477</v>
      </c>
      <c r="I18" s="18" t="s">
        <v>567</v>
      </c>
      <c r="J18" s="20" t="s">
        <v>567</v>
      </c>
      <c r="K18" s="18" t="n">
        <v>0</v>
      </c>
      <c r="L18" s="20" t="n">
        <v>0</v>
      </c>
      <c r="M18" s="18" t="n">
        <v>0.12297451</v>
      </c>
      <c r="N18" s="20" t="n">
        <v>0.1228311</v>
      </c>
      <c r="O18" s="18" t="n">
        <v>0</v>
      </c>
      <c r="P18" s="20" t="n">
        <v>0</v>
      </c>
      <c r="Q18" s="18" t="n">
        <v>18.06153722</v>
      </c>
      <c r="R18" s="20" t="n">
        <v>1.6592467</v>
      </c>
    </row>
    <row r="19" spans="1:18">
      <c r="A19" s="15" t="s">
        <v>579</v>
      </c>
      <c r="B19" s="17" t="n">
        <v>2808</v>
      </c>
      <c r="C19" s="18">
        <f>(2137.0/B19*100)</f>
        <v/>
      </c>
      <c r="D19" s="19" t="n">
        <v>671</v>
      </c>
      <c r="E19" s="18" t="n">
        <v>39.9408364</v>
      </c>
      <c r="F19" s="20" t="n">
        <v>2.12047083</v>
      </c>
      <c r="G19" s="18" t="n">
        <v>43.16617059</v>
      </c>
      <c r="H19" s="20" t="n">
        <v>2.6058024</v>
      </c>
      <c r="I19" s="18" t="s">
        <v>567</v>
      </c>
      <c r="J19" s="20" t="s">
        <v>567</v>
      </c>
      <c r="K19" s="18" t="n">
        <v>0.11689581</v>
      </c>
      <c r="L19" s="20" t="n">
        <v>0.11623253</v>
      </c>
      <c r="M19" s="18" t="n">
        <v>0.24781038</v>
      </c>
      <c r="N19" s="20" t="n">
        <v>0.17548407</v>
      </c>
      <c r="O19" s="18" t="n">
        <v>0</v>
      </c>
      <c r="P19" s="20" t="n">
        <v>0</v>
      </c>
      <c r="Q19" s="18" t="n">
        <v>16.52828682</v>
      </c>
      <c r="R19" s="20" t="n">
        <v>1.90618442</v>
      </c>
    </row>
    <row r="20" spans="1:18">
      <c r="A20" s="15" t="s">
        <v>580</v>
      </c>
      <c r="B20" s="17" t="n">
        <v>1630</v>
      </c>
      <c r="C20" s="18">
        <f>(1244.0/B20*100)</f>
        <v/>
      </c>
      <c r="D20" s="19" t="n">
        <v>386</v>
      </c>
      <c r="E20" s="18" t="n">
        <v>51.05102699</v>
      </c>
      <c r="F20" s="20" t="n">
        <v>2.32913997</v>
      </c>
      <c r="G20" s="18" t="n">
        <v>32.9754806</v>
      </c>
      <c r="H20" s="20" t="n">
        <v>2.16922597</v>
      </c>
      <c r="I20" s="18" t="s">
        <v>567</v>
      </c>
      <c r="J20" s="20" t="s">
        <v>567</v>
      </c>
      <c r="K20" s="18" t="n">
        <v>0</v>
      </c>
      <c r="L20" s="20" t="n">
        <v>0</v>
      </c>
      <c r="M20" s="18" t="n">
        <v>0.27661953</v>
      </c>
      <c r="N20" s="20" t="n">
        <v>0.27875462</v>
      </c>
      <c r="O20" s="18" t="n">
        <v>0</v>
      </c>
      <c r="P20" s="20" t="n">
        <v>0</v>
      </c>
      <c r="Q20" s="18" t="n">
        <v>15.69687288</v>
      </c>
      <c r="R20" s="20" t="n">
        <v>1.6617296</v>
      </c>
    </row>
    <row r="21" spans="1:18">
      <c r="A21" s="15" t="s">
        <v>581</v>
      </c>
      <c r="B21" s="17" t="n">
        <v>2908</v>
      </c>
      <c r="C21" s="18">
        <f>(2272.0/B21*100)</f>
        <v/>
      </c>
      <c r="D21" s="19" t="n">
        <v>636</v>
      </c>
      <c r="E21" s="18" t="n">
        <v>42.1561588</v>
      </c>
      <c r="F21" s="20" t="n">
        <v>1.91223055</v>
      </c>
      <c r="G21" s="18" t="n">
        <v>51.85298179</v>
      </c>
      <c r="H21" s="20" t="n">
        <v>1.9248515</v>
      </c>
      <c r="I21" s="18" t="s">
        <v>567</v>
      </c>
      <c r="J21" s="20" t="s">
        <v>567</v>
      </c>
      <c r="K21" s="18" t="n">
        <v>0</v>
      </c>
      <c r="L21" s="20" t="n">
        <v>0</v>
      </c>
      <c r="M21" s="18" t="n">
        <v>0.13214807</v>
      </c>
      <c r="N21" s="20" t="n">
        <v>0.13287989</v>
      </c>
      <c r="O21" s="18" t="n">
        <v>0</v>
      </c>
      <c r="P21" s="20" t="n">
        <v>0</v>
      </c>
      <c r="Q21" s="18" t="n">
        <v>5.85871134</v>
      </c>
      <c r="R21" s="20" t="n">
        <v>0.9257059399999999</v>
      </c>
    </row>
    <row r="22" spans="1:18">
      <c r="A22" s="15" t="s">
        <v>582</v>
      </c>
      <c r="B22" s="17" t="n">
        <v>2931</v>
      </c>
      <c r="C22" s="18">
        <f>(2293.0/B22*100)</f>
        <v/>
      </c>
      <c r="D22" s="19" t="n">
        <v>638</v>
      </c>
      <c r="E22" s="18" t="n">
        <v>42.36454265</v>
      </c>
      <c r="F22" s="20" t="n">
        <v>1.847695</v>
      </c>
      <c r="G22" s="18" t="n">
        <v>42.4869781</v>
      </c>
      <c r="H22" s="20" t="n">
        <v>2.19403701</v>
      </c>
      <c r="I22" s="18" t="s">
        <v>567</v>
      </c>
      <c r="J22" s="20" t="s">
        <v>567</v>
      </c>
      <c r="K22" s="18" t="n">
        <v>0.71235189</v>
      </c>
      <c r="L22" s="20" t="n">
        <v>0.37262086</v>
      </c>
      <c r="M22" s="18" t="n">
        <v>0</v>
      </c>
      <c r="N22" s="20" t="n">
        <v>0</v>
      </c>
      <c r="O22" s="18" t="n">
        <v>0</v>
      </c>
      <c r="P22" s="20" t="n">
        <v>0</v>
      </c>
      <c r="Q22" s="18" t="n">
        <v>14.43612735</v>
      </c>
      <c r="R22" s="20" t="n">
        <v>1.90092975</v>
      </c>
    </row>
    <row r="23" spans="1:18">
      <c r="A23" s="15" t="s">
        <v>583</v>
      </c>
      <c r="B23" s="17" t="n">
        <v>5791</v>
      </c>
      <c r="C23" s="18">
        <f>(4466.0/B23*100)</f>
        <v/>
      </c>
      <c r="D23" s="19" t="n">
        <v>1325</v>
      </c>
      <c r="E23" s="18" t="n">
        <v>43.83828586</v>
      </c>
      <c r="F23" s="20" t="n">
        <v>1.84105094</v>
      </c>
      <c r="G23" s="18" t="n">
        <v>42.8988647</v>
      </c>
      <c r="H23" s="20" t="n">
        <v>2.06569016</v>
      </c>
      <c r="I23" s="18" t="s">
        <v>567</v>
      </c>
      <c r="J23" s="20" t="s">
        <v>567</v>
      </c>
      <c r="K23" s="18" t="n">
        <v>0</v>
      </c>
      <c r="L23" s="20" t="n">
        <v>0</v>
      </c>
      <c r="M23" s="18" t="n">
        <v>0.09527674999999999</v>
      </c>
      <c r="N23" s="20" t="n">
        <v>0.10120355</v>
      </c>
      <c r="O23" s="18" t="n">
        <v>0</v>
      </c>
      <c r="P23" s="20" t="n">
        <v>0</v>
      </c>
      <c r="Q23" s="18" t="n">
        <v>13.16757269</v>
      </c>
      <c r="R23" s="20" t="n">
        <v>1.62039778</v>
      </c>
    </row>
    <row r="24" spans="1:18">
      <c r="A24" s="15" t="s">
        <v>584</v>
      </c>
      <c r="B24" s="17" t="n">
        <v>3338</v>
      </c>
      <c r="C24" s="18">
        <f>(2611.0/B24*100)</f>
        <v/>
      </c>
      <c r="D24" s="19" t="n">
        <v>727</v>
      </c>
      <c r="E24" s="18" t="n">
        <v>45.10744441</v>
      </c>
      <c r="F24" s="20" t="n">
        <v>1.85099751</v>
      </c>
      <c r="G24" s="18" t="n">
        <v>44.76836581</v>
      </c>
      <c r="H24" s="20" t="n">
        <v>2.16061924</v>
      </c>
      <c r="I24" s="18" t="s">
        <v>567</v>
      </c>
      <c r="J24" s="20" t="s">
        <v>567</v>
      </c>
      <c r="K24" s="18" t="n">
        <v>0</v>
      </c>
      <c r="L24" s="20" t="n">
        <v>0</v>
      </c>
      <c r="M24" s="18" t="n">
        <v>0</v>
      </c>
      <c r="N24" s="20" t="n">
        <v>0</v>
      </c>
      <c r="O24" s="18" t="n">
        <v>0</v>
      </c>
      <c r="P24" s="20" t="n">
        <v>0</v>
      </c>
      <c r="Q24" s="18" t="n">
        <v>10.12418978</v>
      </c>
      <c r="R24" s="20" t="n">
        <v>1.28873428</v>
      </c>
    </row>
    <row r="25" spans="1:18">
      <c r="A25" s="15" t="s">
        <v>585</v>
      </c>
      <c r="B25" s="17" t="n">
        <v>2912</v>
      </c>
      <c r="C25" s="18">
        <f>(2243.0/B25*100)</f>
        <v/>
      </c>
      <c r="D25" s="19" t="n">
        <v>669</v>
      </c>
      <c r="E25" s="18" t="n">
        <v>46.18862113</v>
      </c>
      <c r="F25" s="20" t="n">
        <v>2.19062364</v>
      </c>
      <c r="G25" s="18" t="n">
        <v>39.85986547</v>
      </c>
      <c r="H25" s="20" t="n">
        <v>2.33738829</v>
      </c>
      <c r="I25" s="18" t="s">
        <v>567</v>
      </c>
      <c r="J25" s="20" t="s">
        <v>567</v>
      </c>
      <c r="K25" s="18" t="n">
        <v>0.1442241</v>
      </c>
      <c r="L25" s="20" t="n">
        <v>0.14223883</v>
      </c>
      <c r="M25" s="18" t="n">
        <v>0</v>
      </c>
      <c r="N25" s="20" t="n">
        <v>0</v>
      </c>
      <c r="O25" s="18" t="n">
        <v>0</v>
      </c>
      <c r="P25" s="20" t="n">
        <v>0</v>
      </c>
      <c r="Q25" s="18" t="n">
        <v>13.8072893</v>
      </c>
      <c r="R25" s="20" t="n">
        <v>1.26171168</v>
      </c>
    </row>
    <row r="26" spans="1:18">
      <c r="A26" s="15" t="s">
        <v>586</v>
      </c>
      <c r="B26" s="17" t="n">
        <v>2450</v>
      </c>
      <c r="C26" s="18">
        <f>(1908.0/B26*100)</f>
        <v/>
      </c>
      <c r="D26" s="19" t="n">
        <v>542</v>
      </c>
      <c r="E26" s="18" t="n">
        <v>55.81536186</v>
      </c>
      <c r="F26" s="20" t="n">
        <v>2.08464706</v>
      </c>
      <c r="G26" s="18" t="n">
        <v>36.20043127</v>
      </c>
      <c r="H26" s="20" t="n">
        <v>2.1367199</v>
      </c>
      <c r="I26" s="18" t="s">
        <v>567</v>
      </c>
      <c r="J26" s="20" t="s">
        <v>567</v>
      </c>
      <c r="K26" s="18" t="n">
        <v>0</v>
      </c>
      <c r="L26" s="20" t="n">
        <v>0</v>
      </c>
      <c r="M26" s="18" t="n">
        <v>0.14707116</v>
      </c>
      <c r="N26" s="20" t="n">
        <v>0.147441</v>
      </c>
      <c r="O26" s="18" t="n">
        <v>0</v>
      </c>
      <c r="P26" s="20" t="n">
        <v>0</v>
      </c>
      <c r="Q26" s="18" t="n">
        <v>7.83713571</v>
      </c>
      <c r="R26" s="20" t="n">
        <v>1.193089</v>
      </c>
    </row>
    <row r="27" spans="1:18">
      <c r="A27" s="15" t="s">
        <v>587</v>
      </c>
      <c r="B27" s="17" t="n">
        <v>2616</v>
      </c>
      <c r="C27" s="18">
        <f>(2030.0/B27*100)</f>
        <v/>
      </c>
      <c r="D27" s="19" t="n">
        <v>586</v>
      </c>
      <c r="E27" s="18" t="n">
        <v>45.88455939</v>
      </c>
      <c r="F27" s="20" t="n">
        <v>1.832352</v>
      </c>
      <c r="G27" s="18" t="n">
        <v>39.35677152</v>
      </c>
      <c r="H27" s="20" t="n">
        <v>1.74489532</v>
      </c>
      <c r="I27" s="18" t="s">
        <v>567</v>
      </c>
      <c r="J27" s="20" t="s">
        <v>567</v>
      </c>
      <c r="K27" s="18" t="n">
        <v>0</v>
      </c>
      <c r="L27" s="20" t="n">
        <v>0</v>
      </c>
      <c r="M27" s="18" t="n">
        <v>0</v>
      </c>
      <c r="N27" s="20" t="n">
        <v>0</v>
      </c>
      <c r="O27" s="18" t="n">
        <v>0</v>
      </c>
      <c r="P27" s="20" t="n">
        <v>0</v>
      </c>
      <c r="Q27" s="18" t="n">
        <v>14.75866908</v>
      </c>
      <c r="R27" s="20" t="n">
        <v>1.45650839</v>
      </c>
    </row>
    <row r="28" spans="1:18">
      <c r="A28" s="15" t="s">
        <v>588</v>
      </c>
      <c r="B28" s="17" t="n">
        <v>3765</v>
      </c>
      <c r="C28" s="18">
        <f>(2936.0/B28*100)</f>
        <v/>
      </c>
      <c r="D28" s="19" t="n">
        <v>829</v>
      </c>
      <c r="E28" s="18" t="n">
        <v>66.95017003</v>
      </c>
      <c r="F28" s="20" t="n">
        <v>1.81542034</v>
      </c>
      <c r="G28" s="18" t="n">
        <v>27.77473839</v>
      </c>
      <c r="H28" s="20" t="n">
        <v>1.67755507</v>
      </c>
      <c r="I28" s="18" t="s">
        <v>567</v>
      </c>
      <c r="J28" s="20" t="s">
        <v>567</v>
      </c>
      <c r="K28" s="18" t="n">
        <v>0.30218453</v>
      </c>
      <c r="L28" s="20" t="n">
        <v>0.2187851</v>
      </c>
      <c r="M28" s="18" t="n">
        <v>0.49404228</v>
      </c>
      <c r="N28" s="20" t="n">
        <v>0.29795894</v>
      </c>
      <c r="O28" s="18" t="n">
        <v>0</v>
      </c>
      <c r="P28" s="20" t="n">
        <v>0</v>
      </c>
      <c r="Q28" s="18" t="n">
        <v>4.47886477</v>
      </c>
      <c r="R28" s="20" t="n">
        <v>0.81816298</v>
      </c>
    </row>
    <row r="29" spans="1:18">
      <c r="A29" s="15" t="s">
        <v>589</v>
      </c>
      <c r="B29" s="17" t="n">
        <v>2685</v>
      </c>
      <c r="C29" s="18">
        <f>(2106.0/B29*100)</f>
        <v/>
      </c>
      <c r="D29" s="19" t="n">
        <v>579</v>
      </c>
      <c r="E29" s="18" t="n">
        <v>33.55820626</v>
      </c>
      <c r="F29" s="20" t="n">
        <v>2.25729428</v>
      </c>
      <c r="G29" s="18" t="n">
        <v>62.66418495</v>
      </c>
      <c r="H29" s="20" t="n">
        <v>2.10686062</v>
      </c>
      <c r="I29" s="18" t="s">
        <v>567</v>
      </c>
      <c r="J29" s="20" t="s">
        <v>567</v>
      </c>
      <c r="K29" s="18" t="n">
        <v>0.27334233</v>
      </c>
      <c r="L29" s="20" t="n">
        <v>0.18607574</v>
      </c>
      <c r="M29" s="18" t="n">
        <v>0</v>
      </c>
      <c r="N29" s="20" t="n">
        <v>0</v>
      </c>
      <c r="O29" s="18" t="n">
        <v>0</v>
      </c>
      <c r="P29" s="20" t="n">
        <v>0</v>
      </c>
      <c r="Q29" s="18" t="n">
        <v>3.50426646</v>
      </c>
      <c r="R29" s="20" t="n">
        <v>0.85914547</v>
      </c>
    </row>
    <row r="30" spans="1:18">
      <c r="A30" s="15" t="s">
        <v>590</v>
      </c>
      <c r="B30" s="17" t="n">
        <v>2263</v>
      </c>
      <c r="C30" s="18">
        <f>(1769.0/B30*100)</f>
        <v/>
      </c>
      <c r="D30" s="19" t="n">
        <v>494</v>
      </c>
      <c r="E30" s="18" t="n">
        <v>43.60694178</v>
      </c>
      <c r="F30" s="20" t="n">
        <v>2.3050321</v>
      </c>
      <c r="G30" s="18" t="n">
        <v>45.93578092</v>
      </c>
      <c r="H30" s="20" t="n">
        <v>2.22034374</v>
      </c>
      <c r="I30" s="18" t="s">
        <v>567</v>
      </c>
      <c r="J30" s="20" t="s">
        <v>567</v>
      </c>
      <c r="K30" s="18" t="n">
        <v>0</v>
      </c>
      <c r="L30" s="20" t="n">
        <v>0</v>
      </c>
      <c r="M30" s="18" t="n">
        <v>0.32457091</v>
      </c>
      <c r="N30" s="20" t="n">
        <v>0.23541322</v>
      </c>
      <c r="O30" s="18" t="n">
        <v>0</v>
      </c>
      <c r="P30" s="20" t="n">
        <v>0</v>
      </c>
      <c r="Q30" s="18" t="n">
        <v>10.13270639</v>
      </c>
      <c r="R30" s="20" t="n">
        <v>1.51542729</v>
      </c>
    </row>
    <row r="31" spans="1:18">
      <c r="A31" s="15" t="s">
        <v>591</v>
      </c>
      <c r="B31" s="17" t="n">
        <v>2750</v>
      </c>
      <c r="C31" s="18">
        <f>(2160.0/B31*100)</f>
        <v/>
      </c>
      <c r="D31" s="19" t="n">
        <v>590</v>
      </c>
      <c r="E31" s="18" t="n">
        <v>43.34849433</v>
      </c>
      <c r="F31" s="20" t="n">
        <v>1.83630224</v>
      </c>
      <c r="G31" s="18" t="n">
        <v>46.17849231</v>
      </c>
      <c r="H31" s="20" t="n">
        <v>2.03934835</v>
      </c>
      <c r="I31" s="18" t="s">
        <v>567</v>
      </c>
      <c r="J31" s="20" t="s">
        <v>567</v>
      </c>
      <c r="K31" s="18" t="n">
        <v>0</v>
      </c>
      <c r="L31" s="20" t="n">
        <v>0</v>
      </c>
      <c r="M31" s="18" t="n">
        <v>0.14161411</v>
      </c>
      <c r="N31" s="20" t="n">
        <v>0.16694417</v>
      </c>
      <c r="O31" s="18" t="n">
        <v>0</v>
      </c>
      <c r="P31" s="20" t="n">
        <v>0</v>
      </c>
      <c r="Q31" s="18" t="n">
        <v>10.33139925</v>
      </c>
      <c r="R31" s="20" t="n">
        <v>1.29128972</v>
      </c>
    </row>
    <row r="32" spans="1:18">
      <c r="A32" s="15" t="s">
        <v>592</v>
      </c>
      <c r="B32" s="17" t="n">
        <v>2269</v>
      </c>
      <c r="C32" s="18">
        <f>(1758.0/B32*100)</f>
        <v/>
      </c>
      <c r="D32" s="19" t="n">
        <v>511</v>
      </c>
      <c r="E32" s="18" t="n">
        <v>41.37621448</v>
      </c>
      <c r="F32" s="20" t="n">
        <v>2.49578983</v>
      </c>
      <c r="G32" s="18" t="n">
        <v>46.97331961</v>
      </c>
      <c r="H32" s="20" t="n">
        <v>2.49774758</v>
      </c>
      <c r="I32" s="18" t="s">
        <v>567</v>
      </c>
      <c r="J32" s="20" t="s">
        <v>567</v>
      </c>
      <c r="K32" s="18" t="n">
        <v>0.17373248</v>
      </c>
      <c r="L32" s="20" t="n">
        <v>0.17317787</v>
      </c>
      <c r="M32" s="18" t="n">
        <v>0</v>
      </c>
      <c r="N32" s="20" t="n">
        <v>0</v>
      </c>
      <c r="O32" s="18" t="n">
        <v>0</v>
      </c>
      <c r="P32" s="20" t="n">
        <v>0</v>
      </c>
      <c r="Q32" s="18" t="n">
        <v>11.47673344</v>
      </c>
      <c r="R32" s="20" t="n">
        <v>1.3776999</v>
      </c>
    </row>
    <row r="33" spans="1:18">
      <c r="A33" s="15" t="s">
        <v>593</v>
      </c>
      <c r="B33" s="17" t="n">
        <v>3674</v>
      </c>
      <c r="C33" s="18">
        <f>(2874.0/B33*100)</f>
        <v/>
      </c>
      <c r="D33" s="19" t="n">
        <v>800</v>
      </c>
      <c r="E33" s="18" t="n">
        <v>42.49372231</v>
      </c>
      <c r="F33" s="20" t="n">
        <v>2.19928869</v>
      </c>
      <c r="G33" s="18" t="n">
        <v>45.25209704</v>
      </c>
      <c r="H33" s="20" t="n">
        <v>2.21322305</v>
      </c>
      <c r="I33" s="18" t="s">
        <v>567</v>
      </c>
      <c r="J33" s="20" t="s">
        <v>567</v>
      </c>
      <c r="K33" s="18" t="n">
        <v>0.27642346</v>
      </c>
      <c r="L33" s="20" t="n">
        <v>0.26335428</v>
      </c>
      <c r="M33" s="18" t="n">
        <v>0.55513542</v>
      </c>
      <c r="N33" s="20" t="n">
        <v>0.33051082</v>
      </c>
      <c r="O33" s="18" t="n">
        <v>0</v>
      </c>
      <c r="P33" s="20" t="n">
        <v>0</v>
      </c>
      <c r="Q33" s="18" t="n">
        <v>11.42262177</v>
      </c>
      <c r="R33" s="20" t="n">
        <v>1.44868792</v>
      </c>
    </row>
    <row r="34" spans="1:18">
      <c r="A34" s="15" t="s">
        <v>594</v>
      </c>
      <c r="B34" s="17" t="n">
        <v>3315</v>
      </c>
      <c r="C34" s="18">
        <f>(2608.0/B34*100)</f>
        <v/>
      </c>
      <c r="D34" s="19" t="n">
        <v>707</v>
      </c>
      <c r="E34" s="18" t="n">
        <v>37.486008</v>
      </c>
      <c r="F34" s="20" t="n">
        <v>2.30557796</v>
      </c>
      <c r="G34" s="18" t="n">
        <v>46.92620247</v>
      </c>
      <c r="H34" s="20" t="n">
        <v>2.45944277</v>
      </c>
      <c r="I34" s="18" t="s">
        <v>567</v>
      </c>
      <c r="J34" s="20" t="s">
        <v>567</v>
      </c>
      <c r="K34" s="18" t="n">
        <v>0</v>
      </c>
      <c r="L34" s="20" t="n">
        <v>0</v>
      </c>
      <c r="M34" s="18" t="n">
        <v>0.28758972</v>
      </c>
      <c r="N34" s="20" t="n">
        <v>0.19231511</v>
      </c>
      <c r="O34" s="18" t="n">
        <v>0</v>
      </c>
      <c r="P34" s="20" t="n">
        <v>0</v>
      </c>
      <c r="Q34" s="18" t="n">
        <v>15.30019981</v>
      </c>
      <c r="R34" s="20" t="n">
        <v>1.65580161</v>
      </c>
    </row>
    <row r="35" spans="1:18">
      <c r="A35" s="15" t="s">
        <v>595</v>
      </c>
      <c r="B35" s="17" t="n">
        <v>3505</v>
      </c>
      <c r="C35" s="18">
        <f>(2743.0/B35*100)</f>
        <v/>
      </c>
      <c r="D35" s="19" t="n">
        <v>762</v>
      </c>
      <c r="E35" s="18" t="n">
        <v>43.56929962</v>
      </c>
      <c r="F35" s="20" t="n">
        <v>2.22301813</v>
      </c>
      <c r="G35" s="18" t="n">
        <v>46.08809911</v>
      </c>
      <c r="H35" s="20" t="n">
        <v>2.32098774</v>
      </c>
      <c r="I35" s="18" t="s">
        <v>567</v>
      </c>
      <c r="J35" s="20" t="s">
        <v>567</v>
      </c>
      <c r="K35" s="18" t="n">
        <v>0.12874728</v>
      </c>
      <c r="L35" s="20" t="n">
        <v>0.09380781000000001</v>
      </c>
      <c r="M35" s="18" t="n">
        <v>0.23360478</v>
      </c>
      <c r="N35" s="20" t="n">
        <v>0.23296379</v>
      </c>
      <c r="O35" s="18" t="n">
        <v>0</v>
      </c>
      <c r="P35" s="20" t="n">
        <v>0</v>
      </c>
      <c r="Q35" s="18" t="n">
        <v>9.980249219999999</v>
      </c>
      <c r="R35" s="20" t="n">
        <v>1.00272371</v>
      </c>
    </row>
    <row r="36" spans="1:18">
      <c r="A36" s="15" t="s">
        <v>596</v>
      </c>
      <c r="B36" s="17" t="n">
        <v>3332</v>
      </c>
      <c r="C36" s="18">
        <f>(2549.0/B36*100)</f>
        <v/>
      </c>
      <c r="D36" s="19" t="n">
        <v>783</v>
      </c>
      <c r="E36" s="18" t="n">
        <v>44.34206288</v>
      </c>
      <c r="F36" s="20" t="n">
        <v>1.77206054</v>
      </c>
      <c r="G36" s="18" t="n">
        <v>45.8360164</v>
      </c>
      <c r="H36" s="20" t="n">
        <v>1.5859873</v>
      </c>
      <c r="I36" s="18" t="s">
        <v>567</v>
      </c>
      <c r="J36" s="20" t="s">
        <v>567</v>
      </c>
      <c r="K36" s="18" t="n">
        <v>0.22035395</v>
      </c>
      <c r="L36" s="20" t="n">
        <v>0.24953677</v>
      </c>
      <c r="M36" s="18" t="n">
        <v>0.14895482</v>
      </c>
      <c r="N36" s="20" t="n">
        <v>0.1619445</v>
      </c>
      <c r="O36" s="18" t="n">
        <v>0</v>
      </c>
      <c r="P36" s="20" t="n">
        <v>0</v>
      </c>
      <c r="Q36" s="18" t="n">
        <v>9.45261195</v>
      </c>
      <c r="R36" s="20" t="n">
        <v>1.09673772</v>
      </c>
    </row>
    <row r="37" spans="1:18">
      <c r="A37" s="15" t="s">
        <v>597</v>
      </c>
      <c r="B37" s="17" t="n">
        <v>2727</v>
      </c>
      <c r="C37" s="18">
        <f>(2120.0/B37*100)</f>
        <v/>
      </c>
      <c r="D37" s="19" t="n">
        <v>607</v>
      </c>
      <c r="E37" s="18" t="n">
        <v>36.1517562</v>
      </c>
      <c r="F37" s="20" t="n">
        <v>1.94153508</v>
      </c>
      <c r="G37" s="18" t="n">
        <v>46.66726635</v>
      </c>
      <c r="H37" s="20" t="n">
        <v>2.54971393</v>
      </c>
      <c r="I37" s="18" t="s">
        <v>567</v>
      </c>
      <c r="J37" s="20" t="s">
        <v>567</v>
      </c>
      <c r="K37" s="18" t="n">
        <v>0.79948451</v>
      </c>
      <c r="L37" s="20" t="n">
        <v>0.34772169</v>
      </c>
      <c r="M37" s="18" t="n">
        <v>0</v>
      </c>
      <c r="N37" s="20" t="n">
        <v>0</v>
      </c>
      <c r="O37" s="18" t="n">
        <v>0</v>
      </c>
      <c r="P37" s="20" t="n">
        <v>0</v>
      </c>
      <c r="Q37" s="18" t="n">
        <v>16.38149295</v>
      </c>
      <c r="R37" s="20" t="n">
        <v>1.81294528</v>
      </c>
    </row>
    <row r="38" spans="1:18">
      <c r="A38" s="15" t="s">
        <v>598</v>
      </c>
      <c r="B38" s="17" t="n">
        <v>3053</v>
      </c>
      <c r="C38" s="18">
        <f>(2381.0/B38*100)</f>
        <v/>
      </c>
      <c r="D38" s="19" t="n">
        <v>672</v>
      </c>
      <c r="E38" s="18" t="n">
        <v>38.86645782</v>
      </c>
      <c r="F38" s="20" t="n">
        <v>1.9187482</v>
      </c>
      <c r="G38" s="18" t="n">
        <v>47.72048599</v>
      </c>
      <c r="H38" s="20" t="n">
        <v>2.21025256</v>
      </c>
      <c r="I38" s="18" t="s">
        <v>567</v>
      </c>
      <c r="J38" s="20" t="s">
        <v>567</v>
      </c>
      <c r="K38" s="18" t="n">
        <v>0</v>
      </c>
      <c r="L38" s="20" t="n">
        <v>0</v>
      </c>
      <c r="M38" s="18" t="n">
        <v>1.19879425</v>
      </c>
      <c r="N38" s="20" t="n">
        <v>0.48016063</v>
      </c>
      <c r="O38" s="18" t="n">
        <v>0</v>
      </c>
      <c r="P38" s="20" t="n">
        <v>0</v>
      </c>
      <c r="Q38" s="18" t="n">
        <v>12.21426194</v>
      </c>
      <c r="R38" s="20" t="n">
        <v>1.66864452</v>
      </c>
    </row>
    <row r="39" spans="1:18">
      <c r="A39" s="15" t="s">
        <v>599</v>
      </c>
      <c r="B39" s="17" t="n">
        <v>2957</v>
      </c>
      <c r="C39" s="18">
        <f>(2305.0/B39*100)</f>
        <v/>
      </c>
      <c r="D39" s="19" t="n">
        <v>652</v>
      </c>
      <c r="E39" s="18" t="n">
        <v>60.56550536</v>
      </c>
      <c r="F39" s="20" t="n">
        <v>2.19762091</v>
      </c>
      <c r="G39" s="18" t="n">
        <v>27.78096834</v>
      </c>
      <c r="H39" s="20" t="n">
        <v>2.13279877</v>
      </c>
      <c r="I39" s="18" t="s">
        <v>567</v>
      </c>
      <c r="J39" s="20" t="s">
        <v>567</v>
      </c>
      <c r="K39" s="18" t="n">
        <v>0</v>
      </c>
      <c r="L39" s="20" t="n">
        <v>0</v>
      </c>
      <c r="M39" s="18" t="n">
        <v>0</v>
      </c>
      <c r="N39" s="20" t="n">
        <v>0</v>
      </c>
      <c r="O39" s="18" t="n">
        <v>0</v>
      </c>
      <c r="P39" s="20" t="n">
        <v>0</v>
      </c>
      <c r="Q39" s="18" t="n">
        <v>11.6535263</v>
      </c>
      <c r="R39" s="20" t="n">
        <v>1.6558028</v>
      </c>
    </row>
    <row r="40" spans="1:18">
      <c r="A40" s="15" t="s">
        <v>600</v>
      </c>
      <c r="B40" s="17" t="n">
        <v>7235</v>
      </c>
      <c r="C40" s="18">
        <f>(5671.0/B40*100)</f>
        <v/>
      </c>
      <c r="D40" s="19" t="n">
        <v>1564</v>
      </c>
      <c r="E40" s="18" t="n">
        <v>47.14586961</v>
      </c>
      <c r="F40" s="20" t="n">
        <v>1.76162736</v>
      </c>
      <c r="G40" s="18" t="n">
        <v>46.54832007</v>
      </c>
      <c r="H40" s="20" t="n">
        <v>1.91927932</v>
      </c>
      <c r="I40" s="18" t="s">
        <v>567</v>
      </c>
      <c r="J40" s="20" t="s">
        <v>567</v>
      </c>
      <c r="K40" s="18" t="n">
        <v>0.04332693</v>
      </c>
      <c r="L40" s="20" t="n">
        <v>0.03255202</v>
      </c>
      <c r="M40" s="18" t="n">
        <v>0</v>
      </c>
      <c r="N40" s="20" t="n">
        <v>0</v>
      </c>
      <c r="O40" s="18" t="n">
        <v>0</v>
      </c>
      <c r="P40" s="20" t="n">
        <v>0</v>
      </c>
      <c r="Q40" s="18" t="n">
        <v>6.26248339</v>
      </c>
      <c r="R40" s="20" t="n">
        <v>1.01081356</v>
      </c>
    </row>
    <row r="41" spans="1:18">
      <c r="A41" s="15" t="s">
        <v>601</v>
      </c>
      <c r="B41" s="17" t="n">
        <v>2858</v>
      </c>
      <c r="C41" s="18">
        <f>(2207.0/B41*100)</f>
        <v/>
      </c>
      <c r="D41" s="19" t="n">
        <v>651</v>
      </c>
      <c r="E41" s="18" t="n">
        <v>43.97633054</v>
      </c>
      <c r="F41" s="20" t="n">
        <v>2.31245186</v>
      </c>
      <c r="G41" s="18" t="n">
        <v>52.37561741</v>
      </c>
      <c r="H41" s="20" t="n">
        <v>2.38567665</v>
      </c>
      <c r="I41" s="18" t="s">
        <v>567</v>
      </c>
      <c r="J41" s="20" t="s">
        <v>567</v>
      </c>
      <c r="K41" s="18" t="n">
        <v>0.19078015</v>
      </c>
      <c r="L41" s="20" t="n">
        <v>0.16327346</v>
      </c>
      <c r="M41" s="18" t="n">
        <v>0</v>
      </c>
      <c r="N41" s="20" t="n">
        <v>0</v>
      </c>
      <c r="O41" s="18" t="n">
        <v>0</v>
      </c>
      <c r="P41" s="20" t="n">
        <v>0</v>
      </c>
      <c r="Q41" s="18" t="n">
        <v>3.45727191</v>
      </c>
      <c r="R41" s="20" t="n">
        <v>0.72325199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(8823.0/B46*100)</f>
        <v/>
      </c>
      <c r="D46" s="19" t="n">
        <v>2245</v>
      </c>
      <c r="E46" s="18" t="n">
        <v>58.33691017</v>
      </c>
      <c r="F46" s="20" t="n">
        <v>1.43596913</v>
      </c>
      <c r="G46" s="18" t="n">
        <v>22.17049502</v>
      </c>
      <c r="H46" s="20" t="n">
        <v>1.32049931</v>
      </c>
      <c r="I46" s="18" t="s">
        <v>567</v>
      </c>
      <c r="J46" s="20" t="s">
        <v>567</v>
      </c>
      <c r="K46" s="18" t="n">
        <v>0.23034024</v>
      </c>
      <c r="L46" s="20" t="n">
        <v>0.13436536</v>
      </c>
      <c r="M46" s="18" t="n">
        <v>0.51261401</v>
      </c>
      <c r="N46" s="20" t="n">
        <v>0.22431286</v>
      </c>
      <c r="O46" s="18" t="n">
        <v>0</v>
      </c>
      <c r="P46" s="20" t="n">
        <v>0</v>
      </c>
      <c r="Q46" s="18" t="n">
        <v>18.74964056</v>
      </c>
      <c r="R46" s="20" t="n">
        <v>1.30413434</v>
      </c>
    </row>
    <row r="47" spans="1:18">
      <c r="A47" s="15" t="s">
        <v>607</v>
      </c>
      <c r="B47" s="17" t="n">
        <v>3105</v>
      </c>
      <c r="C47" s="18">
        <f>(2440.0/B47*100)</f>
        <v/>
      </c>
      <c r="D47" s="19" t="n">
        <v>665</v>
      </c>
      <c r="E47" s="18" t="n">
        <v>47.88002491</v>
      </c>
      <c r="F47" s="20" t="n">
        <v>1.83901004</v>
      </c>
      <c r="G47" s="18" t="n">
        <v>29.08202198</v>
      </c>
      <c r="H47" s="20" t="n">
        <v>2.12104044</v>
      </c>
      <c r="I47" s="18" t="s">
        <v>567</v>
      </c>
      <c r="J47" s="20" t="s">
        <v>567</v>
      </c>
      <c r="K47" s="18" t="n">
        <v>0</v>
      </c>
      <c r="L47" s="20" t="n">
        <v>0</v>
      </c>
      <c r="M47" s="18" t="n">
        <v>0.14619983</v>
      </c>
      <c r="N47" s="20" t="n">
        <v>0.14393616</v>
      </c>
      <c r="O47" s="18" t="n">
        <v>0</v>
      </c>
      <c r="P47" s="20" t="n">
        <v>0</v>
      </c>
      <c r="Q47" s="18" t="n">
        <v>22.89175328</v>
      </c>
      <c r="R47" s="20" t="n">
        <v>1.49926683</v>
      </c>
    </row>
    <row r="48" spans="1:18">
      <c r="A48" s="15" t="s">
        <v>608</v>
      </c>
      <c r="B48" s="17" t="n">
        <v>5159</v>
      </c>
      <c r="C48" s="18">
        <f>(4041.0/B48*100)</f>
        <v/>
      </c>
      <c r="D48" s="19" t="n">
        <v>1118</v>
      </c>
      <c r="E48" s="18" t="n">
        <v>39.10813279</v>
      </c>
      <c r="F48" s="20" t="n">
        <v>1.94158297</v>
      </c>
      <c r="G48" s="18" t="n">
        <v>53.50713924</v>
      </c>
      <c r="H48" s="20" t="n">
        <v>1.9922619</v>
      </c>
      <c r="I48" s="18" t="s">
        <v>567</v>
      </c>
      <c r="J48" s="20" t="s">
        <v>567</v>
      </c>
      <c r="K48" s="18" t="n">
        <v>0</v>
      </c>
      <c r="L48" s="20" t="n">
        <v>0</v>
      </c>
      <c r="M48" s="18" t="n">
        <v>0</v>
      </c>
      <c r="N48" s="20" t="n">
        <v>0</v>
      </c>
      <c r="O48" s="18" t="n">
        <v>0</v>
      </c>
      <c r="P48" s="20" t="n">
        <v>0</v>
      </c>
      <c r="Q48" s="18" t="n">
        <v>7.38472797</v>
      </c>
      <c r="R48" s="20" t="n">
        <v>1.07691808</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(4427.0/B50*100)</f>
        <v/>
      </c>
      <c r="D50" s="19" t="n">
        <v>1210</v>
      </c>
      <c r="E50" s="18" t="n">
        <v>61.82103094</v>
      </c>
      <c r="F50" s="20" t="n">
        <v>1.76559629</v>
      </c>
      <c r="G50" s="18" t="n">
        <v>31.6142131</v>
      </c>
      <c r="H50" s="20" t="n">
        <v>2.03070593</v>
      </c>
      <c r="I50" s="18" t="s">
        <v>567</v>
      </c>
      <c r="J50" s="20" t="s">
        <v>567</v>
      </c>
      <c r="K50" s="18" t="n">
        <v>0.74460491</v>
      </c>
      <c r="L50" s="20" t="n">
        <v>0.4197355</v>
      </c>
      <c r="M50" s="18" t="n">
        <v>0.07593211</v>
      </c>
      <c r="N50" s="20" t="n">
        <v>0.05698566</v>
      </c>
      <c r="O50" s="18" t="n">
        <v>0</v>
      </c>
      <c r="P50" s="20" t="n">
        <v>0</v>
      </c>
      <c r="Q50" s="18" t="n">
        <v>5.74421894</v>
      </c>
      <c r="R50" s="20" t="n">
        <v>1.18547032</v>
      </c>
    </row>
    <row r="51" spans="1:18">
      <c r="A51" s="15" t="s">
        <v>611</v>
      </c>
      <c r="B51" s="17" t="n">
        <v>3372</v>
      </c>
      <c r="C51" s="18">
        <f>(2706.0/B51*100)</f>
        <v/>
      </c>
      <c r="D51" s="19" t="n">
        <v>666</v>
      </c>
      <c r="E51" s="18" t="n">
        <v>56.04544357</v>
      </c>
      <c r="F51" s="20" t="n">
        <v>2.00162418</v>
      </c>
      <c r="G51" s="18" t="n">
        <v>33.472158</v>
      </c>
      <c r="H51" s="20" t="n">
        <v>1.92880852</v>
      </c>
      <c r="I51" s="18" t="s">
        <v>567</v>
      </c>
      <c r="J51" s="20" t="s">
        <v>567</v>
      </c>
      <c r="K51" s="18" t="n">
        <v>0.36423564</v>
      </c>
      <c r="L51" s="20" t="n">
        <v>0.24664025</v>
      </c>
      <c r="M51" s="18" t="n">
        <v>0.14403865</v>
      </c>
      <c r="N51" s="20" t="n">
        <v>0.14308162</v>
      </c>
      <c r="O51" s="18" t="n">
        <v>0</v>
      </c>
      <c r="P51" s="20" t="n">
        <v>0</v>
      </c>
      <c r="Q51" s="18" t="n">
        <v>9.974124140000001</v>
      </c>
      <c r="R51" s="20" t="n">
        <v>1.41587017</v>
      </c>
    </row>
    <row r="52" spans="1:18">
      <c r="A52" s="15" t="s">
        <v>612</v>
      </c>
      <c r="B52" s="17" t="n">
        <v>2796</v>
      </c>
      <c r="C52" s="18">
        <f>(2176.0/B52*100)</f>
        <v/>
      </c>
      <c r="D52" s="19" t="n">
        <v>620</v>
      </c>
      <c r="E52" s="18" t="n">
        <v>56.64303217</v>
      </c>
      <c r="F52" s="20" t="n">
        <v>2.12074994</v>
      </c>
      <c r="G52" s="18" t="n">
        <v>34.66157275</v>
      </c>
      <c r="H52" s="20" t="n">
        <v>2.2364711</v>
      </c>
      <c r="I52" s="18" t="s">
        <v>567</v>
      </c>
      <c r="J52" s="20" t="s">
        <v>567</v>
      </c>
      <c r="K52" s="18" t="n">
        <v>0</v>
      </c>
      <c r="L52" s="20" t="n">
        <v>0</v>
      </c>
      <c r="M52" s="18" t="n">
        <v>0</v>
      </c>
      <c r="N52" s="20" t="n">
        <v>0</v>
      </c>
      <c r="O52" s="18" t="n">
        <v>0</v>
      </c>
      <c r="P52" s="20" t="n">
        <v>0</v>
      </c>
      <c r="Q52" s="18" t="n">
        <v>8.69539507</v>
      </c>
      <c r="R52" s="20" t="n">
        <v>1.2067004</v>
      </c>
    </row>
    <row r="53" spans="1:18">
      <c r="A53" s="15" t="s">
        <v>613</v>
      </c>
      <c r="B53" s="17" t="n">
        <v>2811</v>
      </c>
      <c r="C53" s="18">
        <f>(2183.0/B53*100)</f>
        <v/>
      </c>
      <c r="D53" s="19" t="n">
        <v>628</v>
      </c>
      <c r="E53" s="18" t="n">
        <v>49.83843615</v>
      </c>
      <c r="F53" s="20" t="n">
        <v>1.9156383</v>
      </c>
      <c r="G53" s="18" t="n">
        <v>29.70999882</v>
      </c>
      <c r="H53" s="20" t="n">
        <v>1.77922432</v>
      </c>
      <c r="I53" s="18" t="s">
        <v>567</v>
      </c>
      <c r="J53" s="20" t="s">
        <v>567</v>
      </c>
      <c r="K53" s="18" t="n">
        <v>0.35253127</v>
      </c>
      <c r="L53" s="20" t="n">
        <v>0.20352545</v>
      </c>
      <c r="M53" s="18" t="n">
        <v>0</v>
      </c>
      <c r="N53" s="20" t="n">
        <v>0</v>
      </c>
      <c r="O53" s="18" t="n">
        <v>0</v>
      </c>
      <c r="P53" s="20" t="n">
        <v>0</v>
      </c>
      <c r="Q53" s="18" t="n">
        <v>20.09903376</v>
      </c>
      <c r="R53" s="20" t="n">
        <v>1.60349794</v>
      </c>
    </row>
    <row r="54" spans="1:18">
      <c r="A54" s="15" t="s">
        <v>614</v>
      </c>
      <c r="B54" s="17" t="n">
        <v>2266</v>
      </c>
      <c r="C54" s="18">
        <f>(1762.0/B54*100)</f>
        <v/>
      </c>
      <c r="D54" s="19" t="n">
        <v>504</v>
      </c>
      <c r="E54" s="18" t="n">
        <v>64.95604489</v>
      </c>
      <c r="F54" s="20" t="n">
        <v>2.44028548</v>
      </c>
      <c r="G54" s="18" t="n">
        <v>9.370407699999999</v>
      </c>
      <c r="H54" s="20" t="n">
        <v>1.62873192</v>
      </c>
      <c r="I54" s="18" t="s">
        <v>567</v>
      </c>
      <c r="J54" s="20" t="s">
        <v>567</v>
      </c>
      <c r="K54" s="18" t="n">
        <v>3.88118184</v>
      </c>
      <c r="L54" s="20" t="n">
        <v>0.80140902</v>
      </c>
      <c r="M54" s="18" t="n">
        <v>0.77562635</v>
      </c>
      <c r="N54" s="20" t="n">
        <v>0.63798753</v>
      </c>
      <c r="O54" s="18" t="n">
        <v>0</v>
      </c>
      <c r="P54" s="20" t="n">
        <v>0</v>
      </c>
      <c r="Q54" s="18" t="n">
        <v>21.01673921</v>
      </c>
      <c r="R54" s="20" t="n">
        <v>2.20311703</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(2073.0/B56*100)</f>
        <v/>
      </c>
      <c r="D56" s="19" t="n">
        <v>611</v>
      </c>
      <c r="E56" s="18" t="n">
        <v>29.14643036</v>
      </c>
      <c r="F56" s="20" t="n">
        <v>2.27969352</v>
      </c>
      <c r="G56" s="18" t="n">
        <v>66.52366043000001</v>
      </c>
      <c r="H56" s="20" t="n">
        <v>2.51314567</v>
      </c>
      <c r="I56" s="18" t="s">
        <v>567</v>
      </c>
      <c r="J56" s="20" t="s">
        <v>567</v>
      </c>
      <c r="K56" s="18" t="n">
        <v>0.3222329</v>
      </c>
      <c r="L56" s="20" t="n">
        <v>0.22745379</v>
      </c>
      <c r="M56" s="18" t="n">
        <v>0</v>
      </c>
      <c r="N56" s="20" t="n">
        <v>0</v>
      </c>
      <c r="O56" s="18" t="n">
        <v>0</v>
      </c>
      <c r="P56" s="20" t="n">
        <v>0</v>
      </c>
      <c r="Q56" s="18" t="n">
        <v>4.00767631</v>
      </c>
      <c r="R56" s="20" t="n">
        <v>0.75572331</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(2580.0/B61*100)</f>
        <v/>
      </c>
      <c r="D61" s="19" t="n">
        <v>744</v>
      </c>
      <c r="E61" s="18" t="n">
        <v>46.82609354</v>
      </c>
      <c r="F61" s="20" t="n">
        <v>2.18506529</v>
      </c>
      <c r="G61" s="18" t="n">
        <v>38.10927343</v>
      </c>
      <c r="H61" s="20" t="n">
        <v>2.21204735</v>
      </c>
      <c r="I61" s="18" t="s">
        <v>567</v>
      </c>
      <c r="J61" s="20" t="s">
        <v>567</v>
      </c>
      <c r="K61" s="18" t="n">
        <v>0.16744388</v>
      </c>
      <c r="L61" s="20" t="n">
        <v>0.1635812</v>
      </c>
      <c r="M61" s="18" t="n">
        <v>0.03383989</v>
      </c>
      <c r="N61" s="20" t="n">
        <v>0.03392477</v>
      </c>
      <c r="O61" s="18" t="n">
        <v>0</v>
      </c>
      <c r="P61" s="20" t="n">
        <v>0</v>
      </c>
      <c r="Q61" s="18" t="n">
        <v>14.86334926</v>
      </c>
      <c r="R61" s="20" t="n">
        <v>1.59885488</v>
      </c>
    </row>
    <row r="62" spans="1:18">
      <c r="A62" s="15" t="s">
        <v>622</v>
      </c>
      <c r="B62" s="17" t="n">
        <v>2246</v>
      </c>
      <c r="C62" s="18">
        <f>(1740.0/B62*100)</f>
        <v/>
      </c>
      <c r="D62" s="19" t="n">
        <v>506</v>
      </c>
      <c r="E62" s="18" t="n">
        <v>43.61942845</v>
      </c>
      <c r="F62" s="20" t="n">
        <v>2.36103171</v>
      </c>
      <c r="G62" s="18" t="n">
        <v>51.62191189</v>
      </c>
      <c r="H62" s="20" t="n">
        <v>2.43203282</v>
      </c>
      <c r="I62" s="18" t="s">
        <v>567</v>
      </c>
      <c r="J62" s="20" t="s">
        <v>567</v>
      </c>
      <c r="K62" s="18" t="n">
        <v>0</v>
      </c>
      <c r="L62" s="20" t="n">
        <v>0</v>
      </c>
      <c r="M62" s="18" t="n">
        <v>0</v>
      </c>
      <c r="N62" s="20" t="n">
        <v>0</v>
      </c>
      <c r="O62" s="18" t="n">
        <v>0</v>
      </c>
      <c r="P62" s="20" t="n">
        <v>0</v>
      </c>
      <c r="Q62" s="18" t="n">
        <v>4.75865967</v>
      </c>
      <c r="R62" s="20" t="n">
        <v>0.81456335</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(2248.0/B66*100)</f>
        <v/>
      </c>
      <c r="D66" s="19" t="n">
        <v>646</v>
      </c>
      <c r="E66" s="18" t="n">
        <v>48.74704873</v>
      </c>
      <c r="F66" s="20" t="n">
        <v>2.25707762</v>
      </c>
      <c r="G66" s="18" t="n">
        <v>15.11302935</v>
      </c>
      <c r="H66" s="20" t="n">
        <v>1.45920368</v>
      </c>
      <c r="I66" s="18" t="s">
        <v>567</v>
      </c>
      <c r="J66" s="20" t="s">
        <v>567</v>
      </c>
      <c r="K66" s="18" t="n">
        <v>0</v>
      </c>
      <c r="L66" s="20" t="n">
        <v>0</v>
      </c>
      <c r="M66" s="18" t="n">
        <v>0.41578732</v>
      </c>
      <c r="N66" s="20" t="n">
        <v>0.21584424</v>
      </c>
      <c r="O66" s="18" t="n">
        <v>0</v>
      </c>
      <c r="P66" s="20" t="n">
        <v>0</v>
      </c>
      <c r="Q66" s="18" t="n">
        <v>35.7241346</v>
      </c>
      <c r="R66" s="20" t="n">
        <v>1.95396888</v>
      </c>
    </row>
    <row r="67" spans="1:18">
      <c r="A67" s="15" t="s">
        <v>627</v>
      </c>
      <c r="B67" s="17" t="n">
        <v>3511</v>
      </c>
      <c r="C67" s="18">
        <f>(2752.0/B67*100)</f>
        <v/>
      </c>
      <c r="D67" s="19" t="n">
        <v>759</v>
      </c>
      <c r="E67" s="18" t="n">
        <v>69.50406009</v>
      </c>
      <c r="F67" s="20" t="n">
        <v>2.00207798</v>
      </c>
      <c r="G67" s="18" t="n">
        <v>18.07644417</v>
      </c>
      <c r="H67" s="20" t="n">
        <v>1.58057368</v>
      </c>
      <c r="I67" s="18" t="s">
        <v>567</v>
      </c>
      <c r="J67" s="20" t="s">
        <v>567</v>
      </c>
      <c r="K67" s="18" t="n">
        <v>0</v>
      </c>
      <c r="L67" s="20" t="n">
        <v>0</v>
      </c>
      <c r="M67" s="18" t="n">
        <v>0.14223951</v>
      </c>
      <c r="N67" s="20" t="n">
        <v>0.14632288</v>
      </c>
      <c r="O67" s="18" t="n">
        <v>0</v>
      </c>
      <c r="P67" s="20" t="n">
        <v>0</v>
      </c>
      <c r="Q67" s="18" t="n">
        <v>12.27725623</v>
      </c>
      <c r="R67" s="20" t="n">
        <v>1.34310077</v>
      </c>
    </row>
    <row r="68" spans="1:18">
      <c r="A68" s="15" t="s">
        <v>628</v>
      </c>
      <c r="B68" s="17" t="n">
        <v>6049</v>
      </c>
      <c r="C68" s="18">
        <f>(4720.0/B68*100)</f>
        <v/>
      </c>
      <c r="D68" s="19" t="n">
        <v>1329</v>
      </c>
      <c r="E68" s="18" t="n">
        <v>61.48803706</v>
      </c>
      <c r="F68" s="20" t="n">
        <v>1.29868366</v>
      </c>
      <c r="G68" s="18" t="n">
        <v>23.13647391</v>
      </c>
      <c r="H68" s="20" t="n">
        <v>1.08990132</v>
      </c>
      <c r="I68" s="18" t="s">
        <v>567</v>
      </c>
      <c r="J68" s="20" t="s">
        <v>567</v>
      </c>
      <c r="K68" s="18" t="n">
        <v>0.75434701</v>
      </c>
      <c r="L68" s="20" t="n">
        <v>0.258919</v>
      </c>
      <c r="M68" s="18" t="n">
        <v>0</v>
      </c>
      <c r="N68" s="20" t="n">
        <v>0</v>
      </c>
      <c r="O68" s="18" t="n">
        <v>0</v>
      </c>
      <c r="P68" s="20" t="n">
        <v>0</v>
      </c>
      <c r="Q68" s="18" t="n">
        <v>14.62114202</v>
      </c>
      <c r="R68" s="20" t="n">
        <v>0.89584407</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(2283.0/B70*100)</f>
        <v/>
      </c>
      <c r="D70" s="19" t="n">
        <v>646</v>
      </c>
      <c r="E70" s="18" t="n">
        <v>51.3968353</v>
      </c>
      <c r="F70" s="20" t="n">
        <v>2.54015471</v>
      </c>
      <c r="G70" s="18" t="n">
        <v>37.81833748</v>
      </c>
      <c r="H70" s="20" t="n">
        <v>2.72100111</v>
      </c>
      <c r="I70" s="18" t="s">
        <v>567</v>
      </c>
      <c r="J70" s="20" t="s">
        <v>567</v>
      </c>
      <c r="K70" s="18" t="n">
        <v>0</v>
      </c>
      <c r="L70" s="20" t="n">
        <v>0</v>
      </c>
      <c r="M70" s="18" t="n">
        <v>0.10680311</v>
      </c>
      <c r="N70" s="20" t="n">
        <v>0.07599692</v>
      </c>
      <c r="O70" s="18" t="n">
        <v>0</v>
      </c>
      <c r="P70" s="20" t="n">
        <v>0</v>
      </c>
      <c r="Q70" s="18" t="n">
        <v>10.67802412</v>
      </c>
      <c r="R70" s="20" t="n">
        <v>1.50014783</v>
      </c>
    </row>
    <row r="71" spans="1:18">
      <c r="A71" s="15" t="s">
        <v>631</v>
      </c>
      <c r="B71" s="17" t="n">
        <v>3142</v>
      </c>
      <c r="C71" s="18">
        <f>(2447.0/B71*100)</f>
        <v/>
      </c>
      <c r="D71" s="19" t="n">
        <v>695</v>
      </c>
      <c r="E71" s="18" t="n">
        <v>39.23513212</v>
      </c>
      <c r="F71" s="20" t="n">
        <v>2.15099957</v>
      </c>
      <c r="G71" s="18" t="n">
        <v>57.47149148</v>
      </c>
      <c r="H71" s="20" t="n">
        <v>2.11472861</v>
      </c>
      <c r="I71" s="18" t="s">
        <v>567</v>
      </c>
      <c r="J71" s="20" t="s">
        <v>567</v>
      </c>
      <c r="K71" s="18" t="n">
        <v>0</v>
      </c>
      <c r="L71" s="20" t="n">
        <v>0</v>
      </c>
      <c r="M71" s="18" t="n">
        <v>0</v>
      </c>
      <c r="N71" s="20" t="n">
        <v>0</v>
      </c>
      <c r="O71" s="18" t="n">
        <v>0</v>
      </c>
      <c r="P71" s="20" t="n">
        <v>0</v>
      </c>
      <c r="Q71" s="18" t="n">
        <v>3.2933764</v>
      </c>
      <c r="R71" s="20" t="n">
        <v>0.70048649</v>
      </c>
    </row>
    <row r="72" spans="1:18">
      <c r="A72" s="15" t="s">
        <v>632</v>
      </c>
      <c r="B72" s="17" t="n">
        <v>3889</v>
      </c>
      <c r="C72" s="18">
        <f>(2989.0/B72*100)</f>
        <v/>
      </c>
      <c r="D72" s="19" t="n">
        <v>900</v>
      </c>
      <c r="E72" s="18" t="n">
        <v>45.99389267</v>
      </c>
      <c r="F72" s="20" t="n">
        <v>1.82836767</v>
      </c>
      <c r="G72" s="18" t="n">
        <v>46.27153402</v>
      </c>
      <c r="H72" s="20" t="n">
        <v>2.01963707</v>
      </c>
      <c r="I72" s="18" t="s">
        <v>567</v>
      </c>
      <c r="J72" s="20" t="s">
        <v>567</v>
      </c>
      <c r="K72" s="18" t="n">
        <v>0</v>
      </c>
      <c r="L72" s="20" t="n">
        <v>0</v>
      </c>
      <c r="M72" s="18" t="n">
        <v>0</v>
      </c>
      <c r="N72" s="20" t="n">
        <v>0</v>
      </c>
      <c r="O72" s="18" t="n">
        <v>0</v>
      </c>
      <c r="P72" s="20" t="n">
        <v>0</v>
      </c>
      <c r="Q72" s="18" t="n">
        <v>7.73457332</v>
      </c>
      <c r="R72" s="20" t="n">
        <v>1.06643533</v>
      </c>
    </row>
    <row r="73" spans="1:18">
      <c r="A73" s="15" t="s">
        <v>633</v>
      </c>
      <c r="B73" s="17" t="n">
        <v>3597</v>
      </c>
      <c r="C73" s="18">
        <f>(2828.0/B73*100)</f>
        <v/>
      </c>
      <c r="D73" s="19" t="n">
        <v>769</v>
      </c>
      <c r="E73" s="18" t="n">
        <v>73.81078311</v>
      </c>
      <c r="F73" s="20" t="n">
        <v>1.84317422</v>
      </c>
      <c r="G73" s="18" t="n">
        <v>21.23823076</v>
      </c>
      <c r="H73" s="20" t="n">
        <v>1.65083045</v>
      </c>
      <c r="I73" s="18" t="s">
        <v>567</v>
      </c>
      <c r="J73" s="20" t="s">
        <v>567</v>
      </c>
      <c r="K73" s="18" t="n">
        <v>0</v>
      </c>
      <c r="L73" s="20" t="n">
        <v>0</v>
      </c>
      <c r="M73" s="18" t="n">
        <v>0.40298073</v>
      </c>
      <c r="N73" s="20" t="n">
        <v>0.28576961</v>
      </c>
      <c r="O73" s="18" t="n">
        <v>0</v>
      </c>
      <c r="P73" s="20" t="n">
        <v>0</v>
      </c>
      <c r="Q73" s="18" t="n">
        <v>4.54800539</v>
      </c>
      <c r="R73" s="20" t="n">
        <v>0.95687446</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(1920.0/B75*100)</f>
        <v/>
      </c>
      <c r="D75" s="19" t="n">
        <v>486</v>
      </c>
      <c r="E75" s="18" t="n">
        <v>72.26607524000001</v>
      </c>
      <c r="F75" s="20" t="n">
        <v>2.55105676</v>
      </c>
      <c r="G75" s="18" t="n">
        <v>8.71744537</v>
      </c>
      <c r="H75" s="20" t="n">
        <v>1.45429824</v>
      </c>
      <c r="I75" s="18" t="s">
        <v>567</v>
      </c>
      <c r="J75" s="20" t="s">
        <v>567</v>
      </c>
      <c r="K75" s="18" t="n">
        <v>0.76715518</v>
      </c>
      <c r="L75" s="20" t="n">
        <v>0.36402962</v>
      </c>
      <c r="M75" s="18" t="n">
        <v>0.91978726</v>
      </c>
      <c r="N75" s="20" t="n">
        <v>0.42027799</v>
      </c>
      <c r="O75" s="18" t="n">
        <v>0</v>
      </c>
      <c r="P75" s="20" t="n">
        <v>0</v>
      </c>
      <c r="Q75" s="18" t="n">
        <v>17.32953693</v>
      </c>
      <c r="R75" s="20" t="n">
        <v>2.11006372</v>
      </c>
    </row>
    <row r="76" spans="1:18">
      <c r="A76" s="15" t="s">
        <v>636</v>
      </c>
      <c r="B76" s="17" t="n">
        <v>7052</v>
      </c>
      <c r="C76" s="18">
        <f>(5537.0/B76*100)</f>
        <v/>
      </c>
      <c r="D76" s="19" t="n">
        <v>1515</v>
      </c>
      <c r="E76" s="18" t="n">
        <v>64.21867133000001</v>
      </c>
      <c r="F76" s="20" t="n">
        <v>1.65996417</v>
      </c>
      <c r="G76" s="18" t="n">
        <v>24.18126095</v>
      </c>
      <c r="H76" s="20" t="n">
        <v>1.57362513</v>
      </c>
      <c r="I76" s="18" t="s">
        <v>567</v>
      </c>
      <c r="J76" s="20" t="s">
        <v>567</v>
      </c>
      <c r="K76" s="18" t="n">
        <v>0.92972501</v>
      </c>
      <c r="L76" s="20" t="n">
        <v>0.31584069</v>
      </c>
      <c r="M76" s="18" t="n">
        <v>0.08472789999999999</v>
      </c>
      <c r="N76" s="20" t="n">
        <v>0.08472076000000001</v>
      </c>
      <c r="O76" s="18" t="n">
        <v>0</v>
      </c>
      <c r="P76" s="20" t="n">
        <v>0</v>
      </c>
      <c r="Q76" s="18" t="n">
        <v>10.5856148</v>
      </c>
      <c r="R76" s="20" t="n">
        <v>1.32823316</v>
      </c>
    </row>
    <row r="77" spans="1:18">
      <c r="A77" s="15" t="s">
        <v>637</v>
      </c>
      <c r="B77" s="17" t="n">
        <v>2908</v>
      </c>
      <c r="C77" s="18">
        <f>(2277.0/B77*100)</f>
        <v/>
      </c>
      <c r="D77" s="19" t="n">
        <v>631</v>
      </c>
      <c r="E77" s="18" t="n">
        <v>39.74904984</v>
      </c>
      <c r="F77" s="20" t="n">
        <v>2.26220663</v>
      </c>
      <c r="G77" s="18" t="n">
        <v>37.50437214</v>
      </c>
      <c r="H77" s="20" t="n">
        <v>2.20544836</v>
      </c>
      <c r="I77" s="18" t="s">
        <v>567</v>
      </c>
      <c r="J77" s="20" t="s">
        <v>567</v>
      </c>
      <c r="K77" s="18" t="n">
        <v>0.67633038</v>
      </c>
      <c r="L77" s="20" t="n">
        <v>0.36335282</v>
      </c>
      <c r="M77" s="18" t="n">
        <v>0.31837274</v>
      </c>
      <c r="N77" s="20" t="n">
        <v>0.25520828</v>
      </c>
      <c r="O77" s="18" t="n">
        <v>0</v>
      </c>
      <c r="P77" s="20" t="n">
        <v>0</v>
      </c>
      <c r="Q77" s="18" t="n">
        <v>21.75187491</v>
      </c>
      <c r="R77" s="20" t="n">
        <v>1.83303131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(3253.0/B81*100)</f>
        <v/>
      </c>
      <c r="D81" s="19" t="n">
        <v>910</v>
      </c>
      <c r="E81" s="18" t="n">
        <v>78.75384296</v>
      </c>
      <c r="F81" s="20" t="n">
        <v>1.72064722</v>
      </c>
      <c r="G81" s="18" t="n">
        <v>17.34406162</v>
      </c>
      <c r="H81" s="20" t="n">
        <v>1.53914511</v>
      </c>
      <c r="I81" s="18" t="s">
        <v>567</v>
      </c>
      <c r="J81" s="20" t="s">
        <v>567</v>
      </c>
      <c r="K81" s="18" t="n">
        <v>0</v>
      </c>
      <c r="L81" s="20" t="n">
        <v>0</v>
      </c>
      <c r="M81" s="18" t="n">
        <v>0.16529046</v>
      </c>
      <c r="N81" s="20" t="n">
        <v>0.16132595</v>
      </c>
      <c r="O81" s="18" t="n">
        <v>0</v>
      </c>
      <c r="P81" s="20" t="n">
        <v>0</v>
      </c>
      <c r="Q81" s="18" t="n">
        <v>3.73680497</v>
      </c>
      <c r="R81" s="20" t="n">
        <v>0.89384757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(5702.0/B7*100)</f>
        <v/>
      </c>
      <c r="D7" s="19" t="n">
        <v>1665</v>
      </c>
      <c r="E7" s="18" t="n">
        <v>27.05190412</v>
      </c>
      <c r="F7" s="20" t="n">
        <v>1.35425357</v>
      </c>
      <c r="G7" s="18" t="n">
        <v>71.96272727</v>
      </c>
      <c r="H7" s="20" t="n">
        <v>1.36909053</v>
      </c>
      <c r="I7" s="18" t="s">
        <v>567</v>
      </c>
      <c r="J7" s="20" t="s">
        <v>567</v>
      </c>
      <c r="K7" s="18" t="n">
        <v>0.03454994</v>
      </c>
      <c r="L7" s="20" t="n">
        <v>0.0305798</v>
      </c>
      <c r="M7" s="18" t="n">
        <v>0</v>
      </c>
      <c r="N7" s="20" t="n">
        <v>0</v>
      </c>
      <c r="O7" s="18" t="n">
        <v>0</v>
      </c>
      <c r="P7" s="20" t="n">
        <v>0</v>
      </c>
      <c r="Q7" s="18" t="n">
        <v>0.95081867</v>
      </c>
      <c r="R7" s="20" t="n">
        <v>0.27316482</v>
      </c>
    </row>
    <row r="8" spans="1:18">
      <c r="A8" s="15" t="s">
        <v>568</v>
      </c>
      <c r="B8" s="17" t="n">
        <v>3564</v>
      </c>
      <c r="C8" s="18">
        <f>(2770.0/B8*100)</f>
        <v/>
      </c>
      <c r="D8" s="19" t="n">
        <v>794</v>
      </c>
      <c r="E8" s="18" t="n">
        <v>21.68096862</v>
      </c>
      <c r="F8" s="20" t="n">
        <v>1.8096353</v>
      </c>
      <c r="G8" s="18" t="n">
        <v>77.00828375</v>
      </c>
      <c r="H8" s="20" t="n">
        <v>1.84124039</v>
      </c>
      <c r="I8" s="18" t="s">
        <v>567</v>
      </c>
      <c r="J8" s="20" t="s">
        <v>567</v>
      </c>
      <c r="K8" s="18" t="n">
        <v>0</v>
      </c>
      <c r="L8" s="20" t="n">
        <v>0</v>
      </c>
      <c r="M8" s="18" t="n">
        <v>0</v>
      </c>
      <c r="N8" s="20" t="n">
        <v>0</v>
      </c>
      <c r="O8" s="18" t="n">
        <v>0</v>
      </c>
      <c r="P8" s="20" t="n">
        <v>0</v>
      </c>
      <c r="Q8" s="18" t="n">
        <v>1.31074762</v>
      </c>
      <c r="R8" s="20" t="n">
        <v>0.46579342</v>
      </c>
    </row>
    <row r="9" spans="1:18">
      <c r="A9" s="15" t="s">
        <v>569</v>
      </c>
      <c r="B9" s="17" t="n">
        <v>4899</v>
      </c>
      <c r="C9" s="18">
        <f>(3850.0/B9*100)</f>
        <v/>
      </c>
      <c r="D9" s="19" t="n">
        <v>1049</v>
      </c>
      <c r="E9" s="18" t="n">
        <v>29.65025553</v>
      </c>
      <c r="F9" s="20" t="n">
        <v>1.49570642</v>
      </c>
      <c r="G9" s="18" t="n">
        <v>68.98469778</v>
      </c>
      <c r="H9" s="20" t="n">
        <v>1.51683697</v>
      </c>
      <c r="I9" s="18" t="s">
        <v>567</v>
      </c>
      <c r="J9" s="20" t="s">
        <v>567</v>
      </c>
      <c r="K9" s="18" t="n">
        <v>0</v>
      </c>
      <c r="L9" s="20" t="n">
        <v>0</v>
      </c>
      <c r="M9" s="18" t="n">
        <v>0</v>
      </c>
      <c r="N9" s="20" t="n">
        <v>0</v>
      </c>
      <c r="O9" s="18" t="n">
        <v>0</v>
      </c>
      <c r="P9" s="20" t="n">
        <v>0</v>
      </c>
      <c r="Q9" s="18" t="n">
        <v>1.36504669</v>
      </c>
      <c r="R9" s="20" t="n">
        <v>0.4597819</v>
      </c>
    </row>
    <row r="10" spans="1:18">
      <c r="A10" s="15" t="s">
        <v>570</v>
      </c>
      <c r="B10" s="17" t="n">
        <v>10036</v>
      </c>
      <c r="C10" s="18">
        <f>(7780.0/B10*100)</f>
        <v/>
      </c>
      <c r="D10" s="19" t="n">
        <v>2256</v>
      </c>
      <c r="E10" s="18" t="n">
        <v>23.28857003</v>
      </c>
      <c r="F10" s="20" t="n">
        <v>1.50144766</v>
      </c>
      <c r="G10" s="18" t="n">
        <v>75.83348133</v>
      </c>
      <c r="H10" s="20" t="n">
        <v>1.49165884</v>
      </c>
      <c r="I10" s="18" t="s">
        <v>567</v>
      </c>
      <c r="J10" s="20" t="s">
        <v>567</v>
      </c>
      <c r="K10" s="18" t="n">
        <v>0.20248629</v>
      </c>
      <c r="L10" s="20" t="n">
        <v>0.12846872</v>
      </c>
      <c r="M10" s="18" t="n">
        <v>0</v>
      </c>
      <c r="N10" s="20" t="n">
        <v>0</v>
      </c>
      <c r="O10" s="18" t="n">
        <v>0</v>
      </c>
      <c r="P10" s="20" t="n">
        <v>0</v>
      </c>
      <c r="Q10" s="18" t="n">
        <v>0.67546235</v>
      </c>
      <c r="R10" s="20" t="n">
        <v>0.25298493</v>
      </c>
    </row>
    <row r="11" spans="1:18">
      <c r="A11" s="15" t="s">
        <v>571</v>
      </c>
      <c r="B11" s="17" t="n">
        <v>3553</v>
      </c>
      <c r="C11" s="18">
        <f>(2778.0/B11*100)</f>
        <v/>
      </c>
      <c r="D11" s="19" t="n">
        <v>775</v>
      </c>
      <c r="E11" s="18" t="n">
        <v>50.8635336</v>
      </c>
      <c r="F11" s="20" t="n">
        <v>2.05348321</v>
      </c>
      <c r="G11" s="18" t="n">
        <v>45.4794828</v>
      </c>
      <c r="H11" s="20" t="n">
        <v>1.95650056</v>
      </c>
      <c r="I11" s="18" t="s">
        <v>567</v>
      </c>
      <c r="J11" s="20" t="s">
        <v>567</v>
      </c>
      <c r="K11" s="18" t="n">
        <v>0.5510379399999999</v>
      </c>
      <c r="L11" s="20" t="n">
        <v>0.40524217</v>
      </c>
      <c r="M11" s="18" t="n">
        <v>0</v>
      </c>
      <c r="N11" s="20" t="n">
        <v>0</v>
      </c>
      <c r="O11" s="18" t="n">
        <v>0</v>
      </c>
      <c r="P11" s="20" t="n">
        <v>0</v>
      </c>
      <c r="Q11" s="18" t="n">
        <v>3.10594566</v>
      </c>
      <c r="R11" s="20" t="n">
        <v>0.90616313</v>
      </c>
    </row>
    <row r="12" spans="1:18">
      <c r="A12" s="15" t="s">
        <v>572</v>
      </c>
      <c r="B12" s="17" t="n">
        <v>3472</v>
      </c>
      <c r="C12" s="18">
        <f>(2713.0/B12*100)</f>
        <v/>
      </c>
      <c r="D12" s="19" t="n">
        <v>759</v>
      </c>
      <c r="E12" s="18" t="n">
        <v>28.22396559</v>
      </c>
      <c r="F12" s="20" t="n">
        <v>1.89728363</v>
      </c>
      <c r="G12" s="18" t="n">
        <v>71.08420033</v>
      </c>
      <c r="H12" s="20" t="n">
        <v>1.93516136</v>
      </c>
      <c r="I12" s="18" t="s">
        <v>567</v>
      </c>
      <c r="J12" s="20" t="s">
        <v>567</v>
      </c>
      <c r="K12" s="18" t="n">
        <v>0.12297556</v>
      </c>
      <c r="L12" s="20" t="n">
        <v>0.12604584</v>
      </c>
      <c r="M12" s="18" t="n">
        <v>0</v>
      </c>
      <c r="N12" s="20" t="n">
        <v>0</v>
      </c>
      <c r="O12" s="18" t="n">
        <v>0</v>
      </c>
      <c r="P12" s="20" t="n">
        <v>0</v>
      </c>
      <c r="Q12" s="18" t="n">
        <v>0.56885851</v>
      </c>
      <c r="R12" s="20" t="n">
        <v>0.25574954</v>
      </c>
    </row>
    <row r="13" spans="1:18">
      <c r="A13" s="15" t="s">
        <v>573</v>
      </c>
      <c r="B13" s="17" t="n">
        <v>3559</v>
      </c>
      <c r="C13" s="18">
        <f>(2780.0/B13*100)</f>
        <v/>
      </c>
      <c r="D13" s="19" t="n">
        <v>779</v>
      </c>
      <c r="E13" s="18" t="n">
        <v>24.0017569</v>
      </c>
      <c r="F13" s="20" t="n">
        <v>1.74092969</v>
      </c>
      <c r="G13" s="18" t="n">
        <v>74.69998903</v>
      </c>
      <c r="H13" s="20" t="n">
        <v>1.76965575</v>
      </c>
      <c r="I13" s="18" t="s">
        <v>567</v>
      </c>
      <c r="J13" s="20" t="s">
        <v>567</v>
      </c>
      <c r="K13" s="18" t="n">
        <v>0.07577599</v>
      </c>
      <c r="L13" s="20" t="n">
        <v>0.07642258</v>
      </c>
      <c r="M13" s="18" t="n">
        <v>0</v>
      </c>
      <c r="N13" s="20" t="n">
        <v>0</v>
      </c>
      <c r="O13" s="18" t="n">
        <v>0</v>
      </c>
      <c r="P13" s="20" t="n">
        <v>0</v>
      </c>
      <c r="Q13" s="18" t="n">
        <v>1.22247809</v>
      </c>
      <c r="R13" s="20" t="n">
        <v>0.5429397</v>
      </c>
    </row>
    <row r="14" spans="1:18">
      <c r="A14" s="15" t="s">
        <v>574</v>
      </c>
      <c r="B14" s="17" t="n">
        <v>2799</v>
      </c>
      <c r="C14" s="18">
        <f>(2215.0/B14*100)</f>
        <v/>
      </c>
      <c r="D14" s="19" t="n">
        <v>584</v>
      </c>
      <c r="E14" s="18" t="n">
        <v>30.27405663</v>
      </c>
      <c r="F14" s="20" t="n">
        <v>1.99837419</v>
      </c>
      <c r="G14" s="18" t="n">
        <v>68.84763536</v>
      </c>
      <c r="H14" s="20" t="n">
        <v>2.02727148</v>
      </c>
      <c r="I14" s="18" t="s">
        <v>567</v>
      </c>
      <c r="J14" s="20" t="s">
        <v>567</v>
      </c>
      <c r="K14" s="18" t="n">
        <v>0.14236436</v>
      </c>
      <c r="L14" s="20" t="n">
        <v>0.14229489</v>
      </c>
      <c r="M14" s="18" t="n">
        <v>0</v>
      </c>
      <c r="N14" s="20" t="n">
        <v>0</v>
      </c>
      <c r="O14" s="18" t="n">
        <v>0</v>
      </c>
      <c r="P14" s="20" t="n">
        <v>0</v>
      </c>
      <c r="Q14" s="18" t="n">
        <v>0.7359436499999999</v>
      </c>
      <c r="R14" s="20" t="n">
        <v>0.51327037</v>
      </c>
    </row>
    <row r="15" spans="1:18">
      <c r="A15" s="15" t="s">
        <v>575</v>
      </c>
      <c r="B15" s="17" t="n">
        <v>3019</v>
      </c>
      <c r="C15" s="18">
        <f>(2375.0/B15*100)</f>
        <v/>
      </c>
      <c r="D15" s="19" t="n">
        <v>644</v>
      </c>
      <c r="E15" s="18" t="n">
        <v>21.14927111</v>
      </c>
      <c r="F15" s="20" t="n">
        <v>1.76816348</v>
      </c>
      <c r="G15" s="18" t="n">
        <v>78.67684462</v>
      </c>
      <c r="H15" s="20" t="n">
        <v>1.80812435</v>
      </c>
      <c r="I15" s="18" t="s">
        <v>567</v>
      </c>
      <c r="J15" s="20" t="s">
        <v>567</v>
      </c>
      <c r="K15" s="18" t="n">
        <v>0</v>
      </c>
      <c r="L15" s="20" t="n">
        <v>0</v>
      </c>
      <c r="M15" s="18" t="n">
        <v>0</v>
      </c>
      <c r="N15" s="20" t="n">
        <v>0</v>
      </c>
      <c r="O15" s="18" t="n">
        <v>0</v>
      </c>
      <c r="P15" s="20" t="n">
        <v>0</v>
      </c>
      <c r="Q15" s="18" t="n">
        <v>0.17388427</v>
      </c>
      <c r="R15" s="20" t="n">
        <v>0.18866157</v>
      </c>
    </row>
    <row r="16" spans="1:18">
      <c r="A16" s="15" t="s">
        <v>576</v>
      </c>
      <c r="B16" s="17" t="n">
        <v>2997</v>
      </c>
      <c r="C16" s="18">
        <f>(2360.0/B16*100)</f>
        <v/>
      </c>
      <c r="D16" s="19" t="n">
        <v>637</v>
      </c>
      <c r="E16" s="18" t="n">
        <v>34.76603614</v>
      </c>
      <c r="F16" s="20" t="n">
        <v>1.92965281</v>
      </c>
      <c r="G16" s="18" t="n">
        <v>63.29589505</v>
      </c>
      <c r="H16" s="20" t="n">
        <v>2.0549061</v>
      </c>
      <c r="I16" s="18" t="s">
        <v>567</v>
      </c>
      <c r="J16" s="20" t="s">
        <v>567</v>
      </c>
      <c r="K16" s="18" t="n">
        <v>0.19349236</v>
      </c>
      <c r="L16" s="20" t="n">
        <v>0.15476974</v>
      </c>
      <c r="M16" s="18" t="n">
        <v>0</v>
      </c>
      <c r="N16" s="20" t="n">
        <v>0</v>
      </c>
      <c r="O16" s="18" t="n">
        <v>0</v>
      </c>
      <c r="P16" s="20" t="n">
        <v>0</v>
      </c>
      <c r="Q16" s="18" t="n">
        <v>1.74457645</v>
      </c>
      <c r="R16" s="20" t="n">
        <v>0.48272592</v>
      </c>
    </row>
    <row r="17" spans="1:18">
      <c r="A17" s="15" t="s">
        <v>577</v>
      </c>
      <c r="B17" s="17" t="n">
        <v>3307</v>
      </c>
      <c r="C17" s="18">
        <f>(2582.0/B17*100)</f>
        <v/>
      </c>
      <c r="D17" s="19" t="n">
        <v>725</v>
      </c>
      <c r="E17" s="18" t="n">
        <v>27.20088181</v>
      </c>
      <c r="F17" s="20" t="n">
        <v>1.49564925</v>
      </c>
      <c r="G17" s="18" t="n">
        <v>72.10220837999999</v>
      </c>
      <c r="H17" s="20" t="n">
        <v>1.51610484</v>
      </c>
      <c r="I17" s="18" t="s">
        <v>567</v>
      </c>
      <c r="J17" s="20" t="s">
        <v>567</v>
      </c>
      <c r="K17" s="18" t="n">
        <v>0.42609145</v>
      </c>
      <c r="L17" s="20" t="n">
        <v>0.20691742</v>
      </c>
      <c r="M17" s="18" t="n">
        <v>0</v>
      </c>
      <c r="N17" s="20" t="n">
        <v>0</v>
      </c>
      <c r="O17" s="18" t="n">
        <v>0</v>
      </c>
      <c r="P17" s="20" t="n">
        <v>0</v>
      </c>
      <c r="Q17" s="18" t="n">
        <v>0.27081836</v>
      </c>
      <c r="R17" s="20" t="n">
        <v>0.18829567</v>
      </c>
    </row>
    <row r="18" spans="1:18">
      <c r="A18" s="15" t="s">
        <v>578</v>
      </c>
      <c r="B18" s="17" t="n">
        <v>2826</v>
      </c>
      <c r="C18" s="18">
        <f>(2223.0/B18*100)</f>
        <v/>
      </c>
      <c r="D18" s="19" t="n">
        <v>603</v>
      </c>
      <c r="E18" s="18" t="n">
        <v>54.01895546</v>
      </c>
      <c r="F18" s="20" t="n">
        <v>2.55738081</v>
      </c>
      <c r="G18" s="18" t="n">
        <v>43.66068844</v>
      </c>
      <c r="H18" s="20" t="n">
        <v>2.50909499</v>
      </c>
      <c r="I18" s="18" t="s">
        <v>567</v>
      </c>
      <c r="J18" s="20" t="s">
        <v>567</v>
      </c>
      <c r="K18" s="18" t="n">
        <v>0.15501464</v>
      </c>
      <c r="L18" s="20" t="n">
        <v>0.1544973</v>
      </c>
      <c r="M18" s="18" t="n">
        <v>0</v>
      </c>
      <c r="N18" s="20" t="n">
        <v>0</v>
      </c>
      <c r="O18" s="18" t="n">
        <v>0</v>
      </c>
      <c r="P18" s="20" t="n">
        <v>0</v>
      </c>
      <c r="Q18" s="18" t="n">
        <v>2.16534146</v>
      </c>
      <c r="R18" s="20" t="n">
        <v>0.67850603</v>
      </c>
    </row>
    <row r="19" spans="1:18">
      <c r="A19" s="15" t="s">
        <v>579</v>
      </c>
      <c r="B19" s="17" t="n">
        <v>2808</v>
      </c>
      <c r="C19" s="18">
        <f>(2137.0/B19*100)</f>
        <v/>
      </c>
      <c r="D19" s="19" t="n">
        <v>671</v>
      </c>
      <c r="E19" s="18" t="n">
        <v>40.1006439</v>
      </c>
      <c r="F19" s="20" t="n">
        <v>1.75895981</v>
      </c>
      <c r="G19" s="18" t="n">
        <v>58.67655471</v>
      </c>
      <c r="H19" s="20" t="n">
        <v>1.89107644</v>
      </c>
      <c r="I19" s="18" t="s">
        <v>567</v>
      </c>
      <c r="J19" s="20" t="s">
        <v>567</v>
      </c>
      <c r="K19" s="18" t="n">
        <v>0.11689581</v>
      </c>
      <c r="L19" s="20" t="n">
        <v>0.11623253</v>
      </c>
      <c r="M19" s="18" t="n">
        <v>0</v>
      </c>
      <c r="N19" s="20" t="n">
        <v>0</v>
      </c>
      <c r="O19" s="18" t="n">
        <v>0</v>
      </c>
      <c r="P19" s="20" t="n">
        <v>0</v>
      </c>
      <c r="Q19" s="18" t="n">
        <v>1.10590558</v>
      </c>
      <c r="R19" s="20" t="n">
        <v>0.41288984</v>
      </c>
    </row>
    <row r="20" spans="1:18">
      <c r="A20" s="15" t="s">
        <v>580</v>
      </c>
      <c r="B20" s="17" t="n">
        <v>1630</v>
      </c>
      <c r="C20" s="18">
        <f>(1244.0/B20*100)</f>
        <v/>
      </c>
      <c r="D20" s="19" t="n">
        <v>386</v>
      </c>
      <c r="E20" s="18" t="n">
        <v>26.40098002</v>
      </c>
      <c r="F20" s="20" t="n">
        <v>2.29241443</v>
      </c>
      <c r="G20" s="18" t="n">
        <v>71.70694457</v>
      </c>
      <c r="H20" s="20" t="n">
        <v>2.34111077</v>
      </c>
      <c r="I20" s="18" t="s">
        <v>567</v>
      </c>
      <c r="J20" s="20" t="s">
        <v>567</v>
      </c>
      <c r="K20" s="18" t="n">
        <v>0</v>
      </c>
      <c r="L20" s="20" t="n">
        <v>0</v>
      </c>
      <c r="M20" s="18" t="n">
        <v>0</v>
      </c>
      <c r="N20" s="20" t="n">
        <v>0</v>
      </c>
      <c r="O20" s="18" t="n">
        <v>0</v>
      </c>
      <c r="P20" s="20" t="n">
        <v>0</v>
      </c>
      <c r="Q20" s="18" t="n">
        <v>1.89207541</v>
      </c>
      <c r="R20" s="20" t="n">
        <v>0.54824068</v>
      </c>
    </row>
    <row r="21" spans="1:18">
      <c r="A21" s="15" t="s">
        <v>581</v>
      </c>
      <c r="B21" s="17" t="n">
        <v>2908</v>
      </c>
      <c r="C21" s="18">
        <f>(2272.0/B21*100)</f>
        <v/>
      </c>
      <c r="D21" s="19" t="n">
        <v>636</v>
      </c>
      <c r="E21" s="18" t="n">
        <v>25.24949442</v>
      </c>
      <c r="F21" s="20" t="n">
        <v>1.86207393</v>
      </c>
      <c r="G21" s="18" t="n">
        <v>74.46453045</v>
      </c>
      <c r="H21" s="20" t="n">
        <v>1.87199116</v>
      </c>
      <c r="I21" s="18" t="s">
        <v>567</v>
      </c>
      <c r="J21" s="20" t="s">
        <v>567</v>
      </c>
      <c r="K21" s="18" t="n">
        <v>0</v>
      </c>
      <c r="L21" s="20" t="n">
        <v>0</v>
      </c>
      <c r="M21" s="18" t="n">
        <v>0</v>
      </c>
      <c r="N21" s="20" t="n">
        <v>0</v>
      </c>
      <c r="O21" s="18" t="n">
        <v>0</v>
      </c>
      <c r="P21" s="20" t="n">
        <v>0</v>
      </c>
      <c r="Q21" s="18" t="n">
        <v>0.28597513</v>
      </c>
      <c r="R21" s="20" t="n">
        <v>0.24101309</v>
      </c>
    </row>
    <row r="22" spans="1:18">
      <c r="A22" s="15" t="s">
        <v>582</v>
      </c>
      <c r="B22" s="17" t="n">
        <v>2931</v>
      </c>
      <c r="C22" s="18">
        <f>(2293.0/B22*100)</f>
        <v/>
      </c>
      <c r="D22" s="19" t="n">
        <v>638</v>
      </c>
      <c r="E22" s="18" t="n">
        <v>43.44758942</v>
      </c>
      <c r="F22" s="20" t="n">
        <v>2.25827784</v>
      </c>
      <c r="G22" s="18" t="n">
        <v>52.01514112</v>
      </c>
      <c r="H22" s="20" t="n">
        <v>2.42756937</v>
      </c>
      <c r="I22" s="18" t="s">
        <v>567</v>
      </c>
      <c r="J22" s="20" t="s">
        <v>567</v>
      </c>
      <c r="K22" s="18" t="n">
        <v>0.71235189</v>
      </c>
      <c r="L22" s="20" t="n">
        <v>0.37262086</v>
      </c>
      <c r="M22" s="18" t="n">
        <v>0</v>
      </c>
      <c r="N22" s="20" t="n">
        <v>0</v>
      </c>
      <c r="O22" s="18" t="n">
        <v>0</v>
      </c>
      <c r="P22" s="20" t="n">
        <v>0</v>
      </c>
      <c r="Q22" s="18" t="n">
        <v>3.82491757</v>
      </c>
      <c r="R22" s="20" t="n">
        <v>0.94148797</v>
      </c>
    </row>
    <row r="23" spans="1:18">
      <c r="A23" s="15" t="s">
        <v>583</v>
      </c>
      <c r="B23" s="17" t="n">
        <v>5791</v>
      </c>
      <c r="C23" s="18">
        <f>(4466.0/B23*100)</f>
        <v/>
      </c>
      <c r="D23" s="19" t="n">
        <v>1325</v>
      </c>
      <c r="E23" s="18" t="n">
        <v>35.33051277</v>
      </c>
      <c r="F23" s="20" t="n">
        <v>1.9292472</v>
      </c>
      <c r="G23" s="18" t="n">
        <v>63.70515598</v>
      </c>
      <c r="H23" s="20" t="n">
        <v>2.00240644</v>
      </c>
      <c r="I23" s="18" t="s">
        <v>567</v>
      </c>
      <c r="J23" s="20" t="s">
        <v>567</v>
      </c>
      <c r="K23" s="18" t="n">
        <v>0</v>
      </c>
      <c r="L23" s="20" t="n">
        <v>0</v>
      </c>
      <c r="M23" s="18" t="n">
        <v>0</v>
      </c>
      <c r="N23" s="20" t="n">
        <v>0</v>
      </c>
      <c r="O23" s="18" t="n">
        <v>0</v>
      </c>
      <c r="P23" s="20" t="n">
        <v>0</v>
      </c>
      <c r="Q23" s="18" t="n">
        <v>0.96433126</v>
      </c>
      <c r="R23" s="20" t="n">
        <v>0.48488323</v>
      </c>
    </row>
    <row r="24" spans="1:18">
      <c r="A24" s="15" t="s">
        <v>584</v>
      </c>
      <c r="B24" s="17" t="n">
        <v>3338</v>
      </c>
      <c r="C24" s="18">
        <f>(2611.0/B24*100)</f>
        <v/>
      </c>
      <c r="D24" s="19" t="n">
        <v>727</v>
      </c>
      <c r="E24" s="18" t="n">
        <v>17.87747355</v>
      </c>
      <c r="F24" s="20" t="n">
        <v>1.5362323</v>
      </c>
      <c r="G24" s="18" t="n">
        <v>81.23062950000001</v>
      </c>
      <c r="H24" s="20" t="n">
        <v>1.56414227</v>
      </c>
      <c r="I24" s="18" t="s">
        <v>567</v>
      </c>
      <c r="J24" s="20" t="s">
        <v>567</v>
      </c>
      <c r="K24" s="18" t="n">
        <v>0</v>
      </c>
      <c r="L24" s="20" t="n">
        <v>0</v>
      </c>
      <c r="M24" s="18" t="n">
        <v>0</v>
      </c>
      <c r="N24" s="20" t="n">
        <v>0</v>
      </c>
      <c r="O24" s="18" t="n">
        <v>0</v>
      </c>
      <c r="P24" s="20" t="n">
        <v>0</v>
      </c>
      <c r="Q24" s="18" t="n">
        <v>0.89189695</v>
      </c>
      <c r="R24" s="20" t="n">
        <v>0.34330968</v>
      </c>
    </row>
    <row r="25" spans="1:18">
      <c r="A25" s="15" t="s">
        <v>585</v>
      </c>
      <c r="B25" s="17" t="n">
        <v>2912</v>
      </c>
      <c r="C25" s="18">
        <f>(2243.0/B25*100)</f>
        <v/>
      </c>
      <c r="D25" s="19" t="n">
        <v>669</v>
      </c>
      <c r="E25" s="18" t="n">
        <v>26.64840239</v>
      </c>
      <c r="F25" s="20" t="n">
        <v>1.67807157</v>
      </c>
      <c r="G25" s="18" t="n">
        <v>72.31889409999999</v>
      </c>
      <c r="H25" s="20" t="n">
        <v>1.71136668</v>
      </c>
      <c r="I25" s="18" t="s">
        <v>567</v>
      </c>
      <c r="J25" s="20" t="s">
        <v>567</v>
      </c>
      <c r="K25" s="18" t="n">
        <v>0.1442241</v>
      </c>
      <c r="L25" s="20" t="n">
        <v>0.14223883</v>
      </c>
      <c r="M25" s="18" t="n">
        <v>0</v>
      </c>
      <c r="N25" s="20" t="n">
        <v>0</v>
      </c>
      <c r="O25" s="18" t="n">
        <v>0</v>
      </c>
      <c r="P25" s="20" t="n">
        <v>0</v>
      </c>
      <c r="Q25" s="18" t="n">
        <v>0.88847941</v>
      </c>
      <c r="R25" s="20" t="n">
        <v>0.41972518</v>
      </c>
    </row>
    <row r="26" spans="1:18">
      <c r="A26" s="15" t="s">
        <v>586</v>
      </c>
      <c r="B26" s="17" t="n">
        <v>2450</v>
      </c>
      <c r="C26" s="18">
        <f>(1908.0/B26*100)</f>
        <v/>
      </c>
      <c r="D26" s="19" t="n">
        <v>542</v>
      </c>
      <c r="E26" s="18" t="n">
        <v>27.29220498</v>
      </c>
      <c r="F26" s="20" t="n">
        <v>1.92701055</v>
      </c>
      <c r="G26" s="18" t="n">
        <v>72.53887365</v>
      </c>
      <c r="H26" s="20" t="n">
        <v>1.90604733</v>
      </c>
      <c r="I26" s="18" t="s">
        <v>567</v>
      </c>
      <c r="J26" s="20" t="s">
        <v>567</v>
      </c>
      <c r="K26" s="18" t="n">
        <v>0</v>
      </c>
      <c r="L26" s="20" t="n">
        <v>0</v>
      </c>
      <c r="M26" s="18" t="n">
        <v>0</v>
      </c>
      <c r="N26" s="20" t="n">
        <v>0</v>
      </c>
      <c r="O26" s="18" t="n">
        <v>0</v>
      </c>
      <c r="P26" s="20" t="n">
        <v>0</v>
      </c>
      <c r="Q26" s="18" t="n">
        <v>0.16892137</v>
      </c>
      <c r="R26" s="20" t="n">
        <v>0.17493731</v>
      </c>
    </row>
    <row r="27" spans="1:18">
      <c r="A27" s="15" t="s">
        <v>587</v>
      </c>
      <c r="B27" s="17" t="n">
        <v>2616</v>
      </c>
      <c r="C27" s="18">
        <f>(2030.0/B27*100)</f>
        <v/>
      </c>
      <c r="D27" s="19" t="n">
        <v>586</v>
      </c>
      <c r="E27" s="18" t="n">
        <v>34.28122094</v>
      </c>
      <c r="F27" s="20" t="n">
        <v>1.86657491</v>
      </c>
      <c r="G27" s="18" t="n">
        <v>64.13676494000001</v>
      </c>
      <c r="H27" s="20" t="n">
        <v>1.87773944</v>
      </c>
      <c r="I27" s="18" t="s">
        <v>567</v>
      </c>
      <c r="J27" s="20" t="s">
        <v>567</v>
      </c>
      <c r="K27" s="18" t="n">
        <v>0</v>
      </c>
      <c r="L27" s="20" t="n">
        <v>0</v>
      </c>
      <c r="M27" s="18" t="n">
        <v>0</v>
      </c>
      <c r="N27" s="20" t="n">
        <v>0</v>
      </c>
      <c r="O27" s="18" t="n">
        <v>0</v>
      </c>
      <c r="P27" s="20" t="n">
        <v>0</v>
      </c>
      <c r="Q27" s="18" t="n">
        <v>1.58201412</v>
      </c>
      <c r="R27" s="20" t="n">
        <v>0.58007517</v>
      </c>
    </row>
    <row r="28" spans="1:18">
      <c r="A28" s="15" t="s">
        <v>588</v>
      </c>
      <c r="B28" s="17" t="n">
        <v>3765</v>
      </c>
      <c r="C28" s="18">
        <f>(2936.0/B28*100)</f>
        <v/>
      </c>
      <c r="D28" s="19" t="n">
        <v>829</v>
      </c>
      <c r="E28" s="18" t="n">
        <v>53.1744759</v>
      </c>
      <c r="F28" s="20" t="n">
        <v>1.84537129</v>
      </c>
      <c r="G28" s="18" t="n">
        <v>45.92560681</v>
      </c>
      <c r="H28" s="20" t="n">
        <v>1.81894894</v>
      </c>
      <c r="I28" s="18" t="s">
        <v>567</v>
      </c>
      <c r="J28" s="20" t="s">
        <v>567</v>
      </c>
      <c r="K28" s="18" t="n">
        <v>0.63103874</v>
      </c>
      <c r="L28" s="20" t="n">
        <v>0.32320885</v>
      </c>
      <c r="M28" s="18" t="n">
        <v>0</v>
      </c>
      <c r="N28" s="20" t="n">
        <v>0</v>
      </c>
      <c r="O28" s="18" t="n">
        <v>0</v>
      </c>
      <c r="P28" s="20" t="n">
        <v>0</v>
      </c>
      <c r="Q28" s="18" t="n">
        <v>0.26887855</v>
      </c>
      <c r="R28" s="20" t="n">
        <v>0.16816401</v>
      </c>
    </row>
    <row r="29" spans="1:18">
      <c r="A29" s="15" t="s">
        <v>589</v>
      </c>
      <c r="B29" s="17" t="n">
        <v>2685</v>
      </c>
      <c r="C29" s="18">
        <f>(2106.0/B29*100)</f>
        <v/>
      </c>
      <c r="D29" s="19" t="n">
        <v>579</v>
      </c>
      <c r="E29" s="18" t="n">
        <v>21.80193905</v>
      </c>
      <c r="F29" s="20" t="n">
        <v>1.81092003</v>
      </c>
      <c r="G29" s="18" t="n">
        <v>77.433043</v>
      </c>
      <c r="H29" s="20" t="n">
        <v>1.78879457</v>
      </c>
      <c r="I29" s="18" t="s">
        <v>567</v>
      </c>
      <c r="J29" s="20" t="s">
        <v>567</v>
      </c>
      <c r="K29" s="18" t="n">
        <v>0.27334233</v>
      </c>
      <c r="L29" s="20" t="n">
        <v>0.18607574</v>
      </c>
      <c r="M29" s="18" t="n">
        <v>0</v>
      </c>
      <c r="N29" s="20" t="n">
        <v>0</v>
      </c>
      <c r="O29" s="18" t="n">
        <v>0</v>
      </c>
      <c r="P29" s="20" t="n">
        <v>0</v>
      </c>
      <c r="Q29" s="18" t="n">
        <v>0.49167562</v>
      </c>
      <c r="R29" s="20" t="n">
        <v>0.28749843</v>
      </c>
    </row>
    <row r="30" spans="1:18">
      <c r="A30" s="15" t="s">
        <v>590</v>
      </c>
      <c r="B30" s="17" t="n">
        <v>2263</v>
      </c>
      <c r="C30" s="18">
        <f>(1769.0/B30*100)</f>
        <v/>
      </c>
      <c r="D30" s="19" t="n">
        <v>494</v>
      </c>
      <c r="E30" s="18" t="n">
        <v>26.08776594</v>
      </c>
      <c r="F30" s="20" t="n">
        <v>2.09922288</v>
      </c>
      <c r="G30" s="18" t="n">
        <v>71.7926265</v>
      </c>
      <c r="H30" s="20" t="n">
        <v>2.1564253</v>
      </c>
      <c r="I30" s="18" t="s">
        <v>567</v>
      </c>
      <c r="J30" s="20" t="s">
        <v>567</v>
      </c>
      <c r="K30" s="18" t="n">
        <v>0</v>
      </c>
      <c r="L30" s="20" t="n">
        <v>0</v>
      </c>
      <c r="M30" s="18" t="n">
        <v>0</v>
      </c>
      <c r="N30" s="20" t="n">
        <v>0</v>
      </c>
      <c r="O30" s="18" t="n">
        <v>0</v>
      </c>
      <c r="P30" s="20" t="n">
        <v>0</v>
      </c>
      <c r="Q30" s="18" t="n">
        <v>2.11960756</v>
      </c>
      <c r="R30" s="20" t="n">
        <v>0.69411895</v>
      </c>
    </row>
    <row r="31" spans="1:18">
      <c r="A31" s="15" t="s">
        <v>591</v>
      </c>
      <c r="B31" s="17" t="n">
        <v>2750</v>
      </c>
      <c r="C31" s="18">
        <f>(2159.0/B31*100)</f>
        <v/>
      </c>
      <c r="D31" s="19" t="n">
        <v>591</v>
      </c>
      <c r="E31" s="18" t="n">
        <v>27.57737006</v>
      </c>
      <c r="F31" s="20" t="n">
        <v>1.81397863</v>
      </c>
      <c r="G31" s="18" t="n">
        <v>70.96149588999999</v>
      </c>
      <c r="H31" s="20" t="n">
        <v>1.86488774</v>
      </c>
      <c r="I31" s="18" t="s">
        <v>567</v>
      </c>
      <c r="J31" s="20" t="s">
        <v>567</v>
      </c>
      <c r="K31" s="18" t="n">
        <v>0</v>
      </c>
      <c r="L31" s="20" t="n">
        <v>0</v>
      </c>
      <c r="M31" s="18" t="n">
        <v>0</v>
      </c>
      <c r="N31" s="20" t="n">
        <v>0</v>
      </c>
      <c r="O31" s="18" t="n">
        <v>0</v>
      </c>
      <c r="P31" s="20" t="n">
        <v>0</v>
      </c>
      <c r="Q31" s="18" t="n">
        <v>1.46113405</v>
      </c>
      <c r="R31" s="20" t="n">
        <v>0.54195609</v>
      </c>
    </row>
    <row r="32" spans="1:18">
      <c r="A32" s="15" t="s">
        <v>592</v>
      </c>
      <c r="B32" s="17" t="n">
        <v>2269</v>
      </c>
      <c r="C32" s="18">
        <f>(1758.0/B32*100)</f>
        <v/>
      </c>
      <c r="D32" s="19" t="n">
        <v>511</v>
      </c>
      <c r="E32" s="18" t="n">
        <v>29.77525174</v>
      </c>
      <c r="F32" s="20" t="n">
        <v>2.49164971</v>
      </c>
      <c r="G32" s="18" t="n">
        <v>69.46070503999999</v>
      </c>
      <c r="H32" s="20" t="n">
        <v>2.45223645</v>
      </c>
      <c r="I32" s="18" t="s">
        <v>567</v>
      </c>
      <c r="J32" s="20" t="s">
        <v>567</v>
      </c>
      <c r="K32" s="18" t="n">
        <v>0.17373248</v>
      </c>
      <c r="L32" s="20" t="n">
        <v>0.17317787</v>
      </c>
      <c r="M32" s="18" t="n">
        <v>0</v>
      </c>
      <c r="N32" s="20" t="n">
        <v>0</v>
      </c>
      <c r="O32" s="18" t="n">
        <v>0</v>
      </c>
      <c r="P32" s="20" t="n">
        <v>0</v>
      </c>
      <c r="Q32" s="18" t="n">
        <v>0.5903107399999999</v>
      </c>
      <c r="R32" s="20" t="n">
        <v>0.3468199</v>
      </c>
    </row>
    <row r="33" spans="1:18">
      <c r="A33" s="15" t="s">
        <v>593</v>
      </c>
      <c r="B33" s="17" t="n">
        <v>3674</v>
      </c>
      <c r="C33" s="18">
        <f>(2874.0/B33*100)</f>
        <v/>
      </c>
      <c r="D33" s="19" t="n">
        <v>800</v>
      </c>
      <c r="E33" s="18" t="n">
        <v>40.8283837</v>
      </c>
      <c r="F33" s="20" t="n">
        <v>2.10062018</v>
      </c>
      <c r="G33" s="18" t="n">
        <v>58.24978093</v>
      </c>
      <c r="H33" s="20" t="n">
        <v>1.96565297</v>
      </c>
      <c r="I33" s="18" t="s">
        <v>567</v>
      </c>
      <c r="J33" s="20" t="s">
        <v>567</v>
      </c>
      <c r="K33" s="18" t="n">
        <v>0.27642346</v>
      </c>
      <c r="L33" s="20" t="n">
        <v>0.26335428</v>
      </c>
      <c r="M33" s="18" t="n">
        <v>0</v>
      </c>
      <c r="N33" s="20" t="n">
        <v>0</v>
      </c>
      <c r="O33" s="18" t="n">
        <v>0</v>
      </c>
      <c r="P33" s="20" t="n">
        <v>0</v>
      </c>
      <c r="Q33" s="18" t="n">
        <v>0.64541191</v>
      </c>
      <c r="R33" s="20" t="n">
        <v>0.32275183</v>
      </c>
    </row>
    <row r="34" spans="1:18">
      <c r="A34" s="15" t="s">
        <v>594</v>
      </c>
      <c r="B34" s="17" t="n">
        <v>3315</v>
      </c>
      <c r="C34" s="18">
        <f>(2607.0/B34*100)</f>
        <v/>
      </c>
      <c r="D34" s="19" t="n">
        <v>708</v>
      </c>
      <c r="E34" s="18" t="n">
        <v>34.00063266</v>
      </c>
      <c r="F34" s="20" t="n">
        <v>1.8078319</v>
      </c>
      <c r="G34" s="18" t="n">
        <v>65.31492975</v>
      </c>
      <c r="H34" s="20" t="n">
        <v>1.83519937</v>
      </c>
      <c r="I34" s="18" t="s">
        <v>567</v>
      </c>
      <c r="J34" s="20" t="s">
        <v>567</v>
      </c>
      <c r="K34" s="18" t="n">
        <v>0</v>
      </c>
      <c r="L34" s="20" t="n">
        <v>0</v>
      </c>
      <c r="M34" s="18" t="n">
        <v>0</v>
      </c>
      <c r="N34" s="20" t="n">
        <v>0</v>
      </c>
      <c r="O34" s="18" t="n">
        <v>0</v>
      </c>
      <c r="P34" s="20" t="n">
        <v>0</v>
      </c>
      <c r="Q34" s="18" t="n">
        <v>0.68443758</v>
      </c>
      <c r="R34" s="20" t="n">
        <v>0.32437186</v>
      </c>
    </row>
    <row r="35" spans="1:18">
      <c r="A35" s="15" t="s">
        <v>595</v>
      </c>
      <c r="B35" s="17" t="n">
        <v>3505</v>
      </c>
      <c r="C35" s="18">
        <f>(2743.0/B35*100)</f>
        <v/>
      </c>
      <c r="D35" s="19" t="n">
        <v>762</v>
      </c>
      <c r="E35" s="18" t="n">
        <v>30.51985152</v>
      </c>
      <c r="F35" s="20" t="n">
        <v>1.903258</v>
      </c>
      <c r="G35" s="18" t="n">
        <v>68.19425323999999</v>
      </c>
      <c r="H35" s="20" t="n">
        <v>1.94639942</v>
      </c>
      <c r="I35" s="18" t="s">
        <v>567</v>
      </c>
      <c r="J35" s="20" t="s">
        <v>567</v>
      </c>
      <c r="K35" s="18" t="n">
        <v>0.12874728</v>
      </c>
      <c r="L35" s="20" t="n">
        <v>0.09380781000000001</v>
      </c>
      <c r="M35" s="18" t="n">
        <v>0</v>
      </c>
      <c r="N35" s="20" t="n">
        <v>0</v>
      </c>
      <c r="O35" s="18" t="n">
        <v>0</v>
      </c>
      <c r="P35" s="20" t="n">
        <v>0</v>
      </c>
      <c r="Q35" s="18" t="n">
        <v>1.15714796</v>
      </c>
      <c r="R35" s="20" t="n">
        <v>0.42480929</v>
      </c>
    </row>
    <row r="36" spans="1:18">
      <c r="A36" s="15" t="s">
        <v>596</v>
      </c>
      <c r="B36" s="17" t="n">
        <v>3332</v>
      </c>
      <c r="C36" s="18">
        <f>(2548.0/B36*100)</f>
        <v/>
      </c>
      <c r="D36" s="19" t="n">
        <v>784</v>
      </c>
      <c r="E36" s="18" t="n">
        <v>36.75584973</v>
      </c>
      <c r="F36" s="20" t="n">
        <v>1.79161507</v>
      </c>
      <c r="G36" s="18" t="n">
        <v>61.17268562</v>
      </c>
      <c r="H36" s="20" t="n">
        <v>1.7184974</v>
      </c>
      <c r="I36" s="18" t="s">
        <v>567</v>
      </c>
      <c r="J36" s="20" t="s">
        <v>567</v>
      </c>
      <c r="K36" s="18" t="n">
        <v>0.29693536</v>
      </c>
      <c r="L36" s="20" t="n">
        <v>0.25519781</v>
      </c>
      <c r="M36" s="18" t="n">
        <v>0</v>
      </c>
      <c r="N36" s="20" t="n">
        <v>0</v>
      </c>
      <c r="O36" s="18" t="n">
        <v>0</v>
      </c>
      <c r="P36" s="20" t="n">
        <v>0</v>
      </c>
      <c r="Q36" s="18" t="n">
        <v>1.77452929</v>
      </c>
      <c r="R36" s="20" t="n">
        <v>0.46353387</v>
      </c>
    </row>
    <row r="37" spans="1:18">
      <c r="A37" s="15" t="s">
        <v>597</v>
      </c>
      <c r="B37" s="17" t="n">
        <v>2727</v>
      </c>
      <c r="C37" s="18">
        <f>(2120.0/B37*100)</f>
        <v/>
      </c>
      <c r="D37" s="19" t="n">
        <v>607</v>
      </c>
      <c r="E37" s="18" t="n">
        <v>31.46535772</v>
      </c>
      <c r="F37" s="20" t="n">
        <v>2.06630239</v>
      </c>
      <c r="G37" s="18" t="n">
        <v>65.21465112</v>
      </c>
      <c r="H37" s="20" t="n">
        <v>2.17763416</v>
      </c>
      <c r="I37" s="18" t="s">
        <v>567</v>
      </c>
      <c r="J37" s="20" t="s">
        <v>567</v>
      </c>
      <c r="K37" s="18" t="n">
        <v>0.79948451</v>
      </c>
      <c r="L37" s="20" t="n">
        <v>0.34772169</v>
      </c>
      <c r="M37" s="18" t="n">
        <v>0</v>
      </c>
      <c r="N37" s="20" t="n">
        <v>0</v>
      </c>
      <c r="O37" s="18" t="n">
        <v>0</v>
      </c>
      <c r="P37" s="20" t="n">
        <v>0</v>
      </c>
      <c r="Q37" s="18" t="n">
        <v>2.52050665</v>
      </c>
      <c r="R37" s="20" t="n">
        <v>0.64368493</v>
      </c>
    </row>
    <row r="38" spans="1:18">
      <c r="A38" s="15" t="s">
        <v>598</v>
      </c>
      <c r="B38" s="17" t="n">
        <v>3053</v>
      </c>
      <c r="C38" s="18">
        <f>(2381.0/B38*100)</f>
        <v/>
      </c>
      <c r="D38" s="19" t="n">
        <v>672</v>
      </c>
      <c r="E38" s="18" t="n">
        <v>23.23527227</v>
      </c>
      <c r="F38" s="20" t="n">
        <v>2.05776302</v>
      </c>
      <c r="G38" s="18" t="n">
        <v>75.58325472999999</v>
      </c>
      <c r="H38" s="20" t="n">
        <v>2.18397563</v>
      </c>
      <c r="I38" s="18" t="s">
        <v>567</v>
      </c>
      <c r="J38" s="20" t="s">
        <v>567</v>
      </c>
      <c r="K38" s="18" t="n">
        <v>0</v>
      </c>
      <c r="L38" s="20" t="n">
        <v>0</v>
      </c>
      <c r="M38" s="18" t="n">
        <v>0</v>
      </c>
      <c r="N38" s="20" t="n">
        <v>0</v>
      </c>
      <c r="O38" s="18" t="n">
        <v>0</v>
      </c>
      <c r="P38" s="20" t="n">
        <v>0</v>
      </c>
      <c r="Q38" s="18" t="n">
        <v>1.181473</v>
      </c>
      <c r="R38" s="20" t="n">
        <v>0.5282553</v>
      </c>
    </row>
    <row r="39" spans="1:18">
      <c r="A39" s="15" t="s">
        <v>599</v>
      </c>
      <c r="B39" s="17" t="n">
        <v>2957</v>
      </c>
      <c r="C39" s="18">
        <f>(2305.0/B39*100)</f>
        <v/>
      </c>
      <c r="D39" s="19" t="n">
        <v>652</v>
      </c>
      <c r="E39" s="18" t="n">
        <v>67.30731787000001</v>
      </c>
      <c r="F39" s="20" t="n">
        <v>2.22062748</v>
      </c>
      <c r="G39" s="18" t="n">
        <v>30.93276909</v>
      </c>
      <c r="H39" s="20" t="n">
        <v>2.17364087</v>
      </c>
      <c r="I39" s="18" t="s">
        <v>567</v>
      </c>
      <c r="J39" s="20" t="s">
        <v>567</v>
      </c>
      <c r="K39" s="18" t="n">
        <v>0</v>
      </c>
      <c r="L39" s="20" t="n">
        <v>0</v>
      </c>
      <c r="M39" s="18" t="n">
        <v>0</v>
      </c>
      <c r="N39" s="20" t="n">
        <v>0</v>
      </c>
      <c r="O39" s="18" t="n">
        <v>0</v>
      </c>
      <c r="P39" s="20" t="n">
        <v>0</v>
      </c>
      <c r="Q39" s="18" t="n">
        <v>1.75991304</v>
      </c>
      <c r="R39" s="20" t="n">
        <v>0.59603214</v>
      </c>
    </row>
    <row r="40" spans="1:18">
      <c r="A40" s="15" t="s">
        <v>600</v>
      </c>
      <c r="B40" s="17" t="n">
        <v>7235</v>
      </c>
      <c r="C40" s="18">
        <f>(5671.0/B40*100)</f>
        <v/>
      </c>
      <c r="D40" s="19" t="n">
        <v>1564</v>
      </c>
      <c r="E40" s="18" t="n">
        <v>27.2918611</v>
      </c>
      <c r="F40" s="20" t="n">
        <v>2.09763112</v>
      </c>
      <c r="G40" s="18" t="n">
        <v>71.87466272</v>
      </c>
      <c r="H40" s="20" t="n">
        <v>2.0880731</v>
      </c>
      <c r="I40" s="18" t="s">
        <v>567</v>
      </c>
      <c r="J40" s="20" t="s">
        <v>567</v>
      </c>
      <c r="K40" s="18" t="n">
        <v>0.04332693</v>
      </c>
      <c r="L40" s="20" t="n">
        <v>0.03255202</v>
      </c>
      <c r="M40" s="18" t="n">
        <v>0</v>
      </c>
      <c r="N40" s="20" t="n">
        <v>0</v>
      </c>
      <c r="O40" s="18" t="n">
        <v>0</v>
      </c>
      <c r="P40" s="20" t="n">
        <v>0</v>
      </c>
      <c r="Q40" s="18" t="n">
        <v>0.79014925</v>
      </c>
      <c r="R40" s="20" t="n">
        <v>0.20761783</v>
      </c>
    </row>
    <row r="41" spans="1:18">
      <c r="A41" s="15" t="s">
        <v>601</v>
      </c>
      <c r="B41" s="17" t="n">
        <v>2858</v>
      </c>
      <c r="C41" s="18">
        <f>(2207.0/B41*100)</f>
        <v/>
      </c>
      <c r="D41" s="19" t="n">
        <v>651</v>
      </c>
      <c r="E41" s="18" t="n">
        <v>30.64986627</v>
      </c>
      <c r="F41" s="20" t="n">
        <v>2.15009403</v>
      </c>
      <c r="G41" s="18" t="n">
        <v>68.3209171</v>
      </c>
      <c r="H41" s="20" t="n">
        <v>2.19863118</v>
      </c>
      <c r="I41" s="18" t="s">
        <v>567</v>
      </c>
      <c r="J41" s="20" t="s">
        <v>567</v>
      </c>
      <c r="K41" s="18" t="n">
        <v>0.19078015</v>
      </c>
      <c r="L41" s="20" t="n">
        <v>0.16327346</v>
      </c>
      <c r="M41" s="18" t="n">
        <v>0</v>
      </c>
      <c r="N41" s="20" t="n">
        <v>0</v>
      </c>
      <c r="O41" s="18" t="n">
        <v>0</v>
      </c>
      <c r="P41" s="20" t="n">
        <v>0</v>
      </c>
      <c r="Q41" s="18" t="n">
        <v>0.83843648</v>
      </c>
      <c r="R41" s="20" t="n">
        <v>0.3559486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(8812.0/B46*100)</f>
        <v/>
      </c>
      <c r="D46" s="19" t="n">
        <v>2256</v>
      </c>
      <c r="E46" s="18" t="n">
        <v>49.78950265</v>
      </c>
      <c r="F46" s="20" t="n">
        <v>1.47417301</v>
      </c>
      <c r="G46" s="18" t="n">
        <v>47.82174057</v>
      </c>
      <c r="H46" s="20" t="n">
        <v>1.46746416</v>
      </c>
      <c r="I46" s="18" t="s">
        <v>567</v>
      </c>
      <c r="J46" s="20" t="s">
        <v>567</v>
      </c>
      <c r="K46" s="18" t="n">
        <v>0.2298509</v>
      </c>
      <c r="L46" s="20" t="n">
        <v>0.13409321</v>
      </c>
      <c r="M46" s="18" t="n">
        <v>0</v>
      </c>
      <c r="N46" s="20" t="n">
        <v>0</v>
      </c>
      <c r="O46" s="18" t="n">
        <v>0</v>
      </c>
      <c r="P46" s="20" t="n">
        <v>0</v>
      </c>
      <c r="Q46" s="18" t="n">
        <v>2.15890588</v>
      </c>
      <c r="R46" s="20" t="n">
        <v>0.39485822</v>
      </c>
    </row>
    <row r="47" spans="1:18">
      <c r="A47" s="15" t="s">
        <v>607</v>
      </c>
      <c r="B47" s="17" t="n">
        <v>3105</v>
      </c>
      <c r="C47" s="18">
        <f>(2437.0/B47*100)</f>
        <v/>
      </c>
      <c r="D47" s="19" t="n">
        <v>668</v>
      </c>
      <c r="E47" s="18" t="n">
        <v>40.26519381</v>
      </c>
      <c r="F47" s="20" t="n">
        <v>2.12432252</v>
      </c>
      <c r="G47" s="18" t="n">
        <v>57.7855582</v>
      </c>
      <c r="H47" s="20" t="n">
        <v>2.14952765</v>
      </c>
      <c r="I47" s="18" t="s">
        <v>567</v>
      </c>
      <c r="J47" s="20" t="s">
        <v>567</v>
      </c>
      <c r="K47" s="18" t="n">
        <v>0</v>
      </c>
      <c r="L47" s="20" t="n">
        <v>0</v>
      </c>
      <c r="M47" s="18" t="n">
        <v>0</v>
      </c>
      <c r="N47" s="20" t="n">
        <v>0</v>
      </c>
      <c r="O47" s="18" t="n">
        <v>0</v>
      </c>
      <c r="P47" s="20" t="n">
        <v>0</v>
      </c>
      <c r="Q47" s="18" t="n">
        <v>1.94924799</v>
      </c>
      <c r="R47" s="20" t="n">
        <v>0.60220323</v>
      </c>
    </row>
    <row r="48" spans="1:18">
      <c r="A48" s="15" t="s">
        <v>608</v>
      </c>
      <c r="B48" s="17" t="n">
        <v>5159</v>
      </c>
      <c r="C48" s="18">
        <f>(4040.0/B48*100)</f>
        <v/>
      </c>
      <c r="D48" s="19" t="n">
        <v>1119</v>
      </c>
      <c r="E48" s="18" t="n">
        <v>25.24919054</v>
      </c>
      <c r="F48" s="20" t="n">
        <v>1.76346189</v>
      </c>
      <c r="G48" s="18" t="n">
        <v>73.93671371000001</v>
      </c>
      <c r="H48" s="20" t="n">
        <v>1.77808205</v>
      </c>
      <c r="I48" s="18" t="s">
        <v>567</v>
      </c>
      <c r="J48" s="20" t="s">
        <v>567</v>
      </c>
      <c r="K48" s="18" t="n">
        <v>0</v>
      </c>
      <c r="L48" s="20" t="n">
        <v>0</v>
      </c>
      <c r="M48" s="18" t="n">
        <v>0</v>
      </c>
      <c r="N48" s="20" t="n">
        <v>0</v>
      </c>
      <c r="O48" s="18" t="n">
        <v>0</v>
      </c>
      <c r="P48" s="20" t="n">
        <v>0</v>
      </c>
      <c r="Q48" s="18" t="n">
        <v>0.81409574</v>
      </c>
      <c r="R48" s="20" t="n">
        <v>0.28094988</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(4426.0/B50*100)</f>
        <v/>
      </c>
      <c r="D50" s="19" t="n">
        <v>1211</v>
      </c>
      <c r="E50" s="18" t="n">
        <v>65.69886853</v>
      </c>
      <c r="F50" s="20" t="n">
        <v>1.78276371</v>
      </c>
      <c r="G50" s="18" t="n">
        <v>32.42485603</v>
      </c>
      <c r="H50" s="20" t="n">
        <v>1.94743429</v>
      </c>
      <c r="I50" s="18" t="s">
        <v>567</v>
      </c>
      <c r="J50" s="20" t="s">
        <v>567</v>
      </c>
      <c r="K50" s="18" t="n">
        <v>0.743729</v>
      </c>
      <c r="L50" s="20" t="n">
        <v>0.41930388</v>
      </c>
      <c r="M50" s="18" t="n">
        <v>0</v>
      </c>
      <c r="N50" s="20" t="n">
        <v>0</v>
      </c>
      <c r="O50" s="18" t="n">
        <v>0</v>
      </c>
      <c r="P50" s="20" t="n">
        <v>0</v>
      </c>
      <c r="Q50" s="18" t="n">
        <v>1.13254645</v>
      </c>
      <c r="R50" s="20" t="n">
        <v>0.46391413</v>
      </c>
    </row>
    <row r="51" spans="1:18">
      <c r="A51" s="15" t="s">
        <v>611</v>
      </c>
      <c r="B51" s="17" t="n">
        <v>3372</v>
      </c>
      <c r="C51" s="18">
        <f>(2704.0/B51*100)</f>
        <v/>
      </c>
      <c r="D51" s="19" t="n">
        <v>668</v>
      </c>
      <c r="E51" s="18" t="n">
        <v>56.37818147</v>
      </c>
      <c r="F51" s="20" t="n">
        <v>2.35613942</v>
      </c>
      <c r="G51" s="18" t="n">
        <v>42.86336306</v>
      </c>
      <c r="H51" s="20" t="n">
        <v>2.42619966</v>
      </c>
      <c r="I51" s="18" t="s">
        <v>567</v>
      </c>
      <c r="J51" s="20" t="s">
        <v>567</v>
      </c>
      <c r="K51" s="18" t="n">
        <v>0.36327052</v>
      </c>
      <c r="L51" s="20" t="n">
        <v>0.2460453</v>
      </c>
      <c r="M51" s="18" t="n">
        <v>0</v>
      </c>
      <c r="N51" s="20" t="n">
        <v>0</v>
      </c>
      <c r="O51" s="18" t="n">
        <v>0</v>
      </c>
      <c r="P51" s="20" t="n">
        <v>0</v>
      </c>
      <c r="Q51" s="18" t="n">
        <v>0.39518495</v>
      </c>
      <c r="R51" s="20" t="n">
        <v>0.23138014</v>
      </c>
    </row>
    <row r="52" spans="1:18">
      <c r="A52" s="15" t="s">
        <v>612</v>
      </c>
      <c r="B52" s="17" t="n">
        <v>2796</v>
      </c>
      <c r="C52" s="18">
        <f>(2176.0/B52*100)</f>
        <v/>
      </c>
      <c r="D52" s="19" t="n">
        <v>620</v>
      </c>
      <c r="E52" s="18" t="n">
        <v>36.08127389</v>
      </c>
      <c r="F52" s="20" t="n">
        <v>2.03059144</v>
      </c>
      <c r="G52" s="18" t="n">
        <v>62.71138253</v>
      </c>
      <c r="H52" s="20" t="n">
        <v>2.14031412</v>
      </c>
      <c r="I52" s="18" t="s">
        <v>567</v>
      </c>
      <c r="J52" s="20" t="s">
        <v>567</v>
      </c>
      <c r="K52" s="18" t="n">
        <v>0</v>
      </c>
      <c r="L52" s="20" t="n">
        <v>0</v>
      </c>
      <c r="M52" s="18" t="n">
        <v>0</v>
      </c>
      <c r="N52" s="20" t="n">
        <v>0</v>
      </c>
      <c r="O52" s="18" t="n">
        <v>0</v>
      </c>
      <c r="P52" s="20" t="n">
        <v>0</v>
      </c>
      <c r="Q52" s="18" t="n">
        <v>1.20734358</v>
      </c>
      <c r="R52" s="20" t="n">
        <v>0.36921469</v>
      </c>
    </row>
    <row r="53" spans="1:18">
      <c r="A53" s="15" t="s">
        <v>613</v>
      </c>
      <c r="B53" s="17" t="n">
        <v>2811</v>
      </c>
      <c r="C53" s="18">
        <f>(2183.0/B53*100)</f>
        <v/>
      </c>
      <c r="D53" s="19" t="n">
        <v>628</v>
      </c>
      <c r="E53" s="18" t="n">
        <v>56.63815126</v>
      </c>
      <c r="F53" s="20" t="n">
        <v>2.21168271</v>
      </c>
      <c r="G53" s="18" t="n">
        <v>39.53001034</v>
      </c>
      <c r="H53" s="20" t="n">
        <v>2.16531774</v>
      </c>
      <c r="I53" s="18" t="s">
        <v>567</v>
      </c>
      <c r="J53" s="20" t="s">
        <v>567</v>
      </c>
      <c r="K53" s="18" t="n">
        <v>0.35253127</v>
      </c>
      <c r="L53" s="20" t="n">
        <v>0.20352545</v>
      </c>
      <c r="M53" s="18" t="n">
        <v>0</v>
      </c>
      <c r="N53" s="20" t="n">
        <v>0</v>
      </c>
      <c r="O53" s="18" t="n">
        <v>0</v>
      </c>
      <c r="P53" s="20" t="n">
        <v>0</v>
      </c>
      <c r="Q53" s="18" t="n">
        <v>3.47930714</v>
      </c>
      <c r="R53" s="20" t="n">
        <v>0.72228975</v>
      </c>
    </row>
    <row r="54" spans="1:18">
      <c r="A54" s="15" t="s">
        <v>614</v>
      </c>
      <c r="B54" s="17" t="n">
        <v>2266</v>
      </c>
      <c r="C54" s="18">
        <f>(1762.0/B54*100)</f>
        <v/>
      </c>
      <c r="D54" s="19" t="n">
        <v>504</v>
      </c>
      <c r="E54" s="18" t="n">
        <v>63.54277161</v>
      </c>
      <c r="F54" s="20" t="n">
        <v>1.99871827</v>
      </c>
      <c r="G54" s="18" t="n">
        <v>25.16424292</v>
      </c>
      <c r="H54" s="20" t="n">
        <v>2.09959308</v>
      </c>
      <c r="I54" s="18" t="s">
        <v>567</v>
      </c>
      <c r="J54" s="20" t="s">
        <v>567</v>
      </c>
      <c r="K54" s="18" t="n">
        <v>4.61396098</v>
      </c>
      <c r="L54" s="20" t="n">
        <v>0.905931</v>
      </c>
      <c r="M54" s="18" t="n">
        <v>0</v>
      </c>
      <c r="N54" s="20" t="n">
        <v>0</v>
      </c>
      <c r="O54" s="18" t="n">
        <v>0</v>
      </c>
      <c r="P54" s="20" t="n">
        <v>0</v>
      </c>
      <c r="Q54" s="18" t="n">
        <v>6.67902449</v>
      </c>
      <c r="R54" s="20" t="n">
        <v>1.42044855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(2073.0/B56*100)</f>
        <v/>
      </c>
      <c r="D56" s="19" t="n">
        <v>611</v>
      </c>
      <c r="E56" s="18" t="n">
        <v>21.7303692</v>
      </c>
      <c r="F56" s="20" t="n">
        <v>1.88199827</v>
      </c>
      <c r="G56" s="18" t="n">
        <v>77.22738078</v>
      </c>
      <c r="H56" s="20" t="n">
        <v>1.91520467</v>
      </c>
      <c r="I56" s="18" t="s">
        <v>567</v>
      </c>
      <c r="J56" s="20" t="s">
        <v>567</v>
      </c>
      <c r="K56" s="18" t="n">
        <v>0.3222329</v>
      </c>
      <c r="L56" s="20" t="n">
        <v>0.22745379</v>
      </c>
      <c r="M56" s="18" t="n">
        <v>0</v>
      </c>
      <c r="N56" s="20" t="n">
        <v>0</v>
      </c>
      <c r="O56" s="18" t="n">
        <v>0</v>
      </c>
      <c r="P56" s="20" t="n">
        <v>0</v>
      </c>
      <c r="Q56" s="18" t="n">
        <v>0.72001713</v>
      </c>
      <c r="R56" s="20" t="n">
        <v>0.34308633</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(2580.0/B61*100)</f>
        <v/>
      </c>
      <c r="D61" s="19" t="n">
        <v>744</v>
      </c>
      <c r="E61" s="18" t="n">
        <v>34.32327455</v>
      </c>
      <c r="F61" s="20" t="n">
        <v>1.79095252</v>
      </c>
      <c r="G61" s="18" t="n">
        <v>64.63895927999999</v>
      </c>
      <c r="H61" s="20" t="n">
        <v>1.8279047</v>
      </c>
      <c r="I61" s="18" t="s">
        <v>567</v>
      </c>
      <c r="J61" s="20" t="s">
        <v>567</v>
      </c>
      <c r="K61" s="18" t="n">
        <v>0.16744388</v>
      </c>
      <c r="L61" s="20" t="n">
        <v>0.1635812</v>
      </c>
      <c r="M61" s="18" t="n">
        <v>0</v>
      </c>
      <c r="N61" s="20" t="n">
        <v>0</v>
      </c>
      <c r="O61" s="18" t="n">
        <v>0</v>
      </c>
      <c r="P61" s="20" t="n">
        <v>0</v>
      </c>
      <c r="Q61" s="18" t="n">
        <v>0.8703222900000001</v>
      </c>
      <c r="R61" s="20" t="n">
        <v>0.3466125</v>
      </c>
    </row>
    <row r="62" spans="1:18">
      <c r="A62" s="15" t="s">
        <v>622</v>
      </c>
      <c r="B62" s="17" t="n">
        <v>2246</v>
      </c>
      <c r="C62" s="18">
        <f>(1740.0/B62*100)</f>
        <v/>
      </c>
      <c r="D62" s="19" t="n">
        <v>506</v>
      </c>
      <c r="E62" s="18" t="n">
        <v>27.34309469</v>
      </c>
      <c r="F62" s="20" t="n">
        <v>1.6551395</v>
      </c>
      <c r="G62" s="18" t="n">
        <v>72.46088338</v>
      </c>
      <c r="H62" s="20" t="n">
        <v>1.67429272</v>
      </c>
      <c r="I62" s="18" t="s">
        <v>567</v>
      </c>
      <c r="J62" s="20" t="s">
        <v>567</v>
      </c>
      <c r="K62" s="18" t="n">
        <v>0</v>
      </c>
      <c r="L62" s="20" t="n">
        <v>0</v>
      </c>
      <c r="M62" s="18" t="n">
        <v>0</v>
      </c>
      <c r="N62" s="20" t="n">
        <v>0</v>
      </c>
      <c r="O62" s="18" t="n">
        <v>0</v>
      </c>
      <c r="P62" s="20" t="n">
        <v>0</v>
      </c>
      <c r="Q62" s="18" t="n">
        <v>0.19602193</v>
      </c>
      <c r="R62" s="20" t="n">
        <v>0.19423641</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(2245.0/B66*100)</f>
        <v/>
      </c>
      <c r="D66" s="19" t="n">
        <v>649</v>
      </c>
      <c r="E66" s="18" t="n">
        <v>40.69864999</v>
      </c>
      <c r="F66" s="20" t="n">
        <v>2.0023316</v>
      </c>
      <c r="G66" s="18" t="n">
        <v>56.29854452</v>
      </c>
      <c r="H66" s="20" t="n">
        <v>1.93931358</v>
      </c>
      <c r="I66" s="18" t="s">
        <v>567</v>
      </c>
      <c r="J66" s="20" t="s">
        <v>567</v>
      </c>
      <c r="K66" s="18" t="n">
        <v>0.20609777</v>
      </c>
      <c r="L66" s="20" t="n">
        <v>0.20564724</v>
      </c>
      <c r="M66" s="18" t="n">
        <v>0</v>
      </c>
      <c r="N66" s="20" t="n">
        <v>0</v>
      </c>
      <c r="O66" s="18" t="n">
        <v>0</v>
      </c>
      <c r="P66" s="20" t="n">
        <v>0</v>
      </c>
      <c r="Q66" s="18" t="n">
        <v>2.79670772</v>
      </c>
      <c r="R66" s="20" t="n">
        <v>0.65690061</v>
      </c>
    </row>
    <row r="67" spans="1:18">
      <c r="A67" s="15" t="s">
        <v>627</v>
      </c>
      <c r="B67" s="17" t="n">
        <v>3511</v>
      </c>
      <c r="C67" s="18">
        <f>(2749.0/B67*100)</f>
        <v/>
      </c>
      <c r="D67" s="19" t="n">
        <v>762</v>
      </c>
      <c r="E67" s="18" t="n">
        <v>68.05704694000001</v>
      </c>
      <c r="F67" s="20" t="n">
        <v>1.61846123</v>
      </c>
      <c r="G67" s="18" t="n">
        <v>30.02574357</v>
      </c>
      <c r="H67" s="20" t="n">
        <v>1.66034767</v>
      </c>
      <c r="I67" s="18" t="s">
        <v>567</v>
      </c>
      <c r="J67" s="20" t="s">
        <v>567</v>
      </c>
      <c r="K67" s="18" t="n">
        <v>0</v>
      </c>
      <c r="L67" s="20" t="n">
        <v>0</v>
      </c>
      <c r="M67" s="18" t="n">
        <v>0</v>
      </c>
      <c r="N67" s="20" t="n">
        <v>0</v>
      </c>
      <c r="O67" s="18" t="n">
        <v>0</v>
      </c>
      <c r="P67" s="20" t="n">
        <v>0</v>
      </c>
      <c r="Q67" s="18" t="n">
        <v>1.91720949</v>
      </c>
      <c r="R67" s="20" t="n">
        <v>0.57031859</v>
      </c>
    </row>
    <row r="68" spans="1:18">
      <c r="A68" s="15" t="s">
        <v>628</v>
      </c>
      <c r="B68" s="17" t="n">
        <v>6049</v>
      </c>
      <c r="C68" s="18">
        <f>(4721.0/B68*100)</f>
        <v/>
      </c>
      <c r="D68" s="19" t="n">
        <v>1328</v>
      </c>
      <c r="E68" s="18" t="n">
        <v>60.92993393</v>
      </c>
      <c r="F68" s="20" t="n">
        <v>1.33543718</v>
      </c>
      <c r="G68" s="18" t="n">
        <v>33.88166846</v>
      </c>
      <c r="H68" s="20" t="n">
        <v>1.27622416</v>
      </c>
      <c r="I68" s="18" t="s">
        <v>567</v>
      </c>
      <c r="J68" s="20" t="s">
        <v>567</v>
      </c>
      <c r="K68" s="18" t="n">
        <v>0.75492757</v>
      </c>
      <c r="L68" s="20" t="n">
        <v>0.25911151</v>
      </c>
      <c r="M68" s="18" t="n">
        <v>0</v>
      </c>
      <c r="N68" s="20" t="n">
        <v>0</v>
      </c>
      <c r="O68" s="18" t="n">
        <v>0</v>
      </c>
      <c r="P68" s="20" t="n">
        <v>0</v>
      </c>
      <c r="Q68" s="18" t="n">
        <v>4.43347004</v>
      </c>
      <c r="R68" s="20" t="n">
        <v>0.62139015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(2283.0/B70*100)</f>
        <v/>
      </c>
      <c r="D70" s="19" t="n">
        <v>646</v>
      </c>
      <c r="E70" s="18" t="n">
        <v>30.85686168</v>
      </c>
      <c r="F70" s="20" t="n">
        <v>2.09704284</v>
      </c>
      <c r="G70" s="18" t="n">
        <v>68.77071174</v>
      </c>
      <c r="H70" s="20" t="n">
        <v>2.09994691</v>
      </c>
      <c r="I70" s="18" t="s">
        <v>567</v>
      </c>
      <c r="J70" s="20" t="s">
        <v>567</v>
      </c>
      <c r="K70" s="18" t="n">
        <v>0</v>
      </c>
      <c r="L70" s="20" t="n">
        <v>0</v>
      </c>
      <c r="M70" s="18" t="n">
        <v>0</v>
      </c>
      <c r="N70" s="20" t="n">
        <v>0</v>
      </c>
      <c r="O70" s="18" t="n">
        <v>0</v>
      </c>
      <c r="P70" s="20" t="n">
        <v>0</v>
      </c>
      <c r="Q70" s="18" t="n">
        <v>0.37242658</v>
      </c>
      <c r="R70" s="20" t="n">
        <v>0.36104059</v>
      </c>
    </row>
    <row r="71" spans="1:18">
      <c r="A71" s="15" t="s">
        <v>631</v>
      </c>
      <c r="B71" s="17" t="n">
        <v>3142</v>
      </c>
      <c r="C71" s="18">
        <f>(2447.0/B71*100)</f>
        <v/>
      </c>
      <c r="D71" s="19" t="n">
        <v>695</v>
      </c>
      <c r="E71" s="18" t="n">
        <v>27.35787483</v>
      </c>
      <c r="F71" s="20" t="n">
        <v>1.45105879</v>
      </c>
      <c r="G71" s="18" t="n">
        <v>72.48865476</v>
      </c>
      <c r="H71" s="20" t="n">
        <v>1.46469441</v>
      </c>
      <c r="I71" s="18" t="s">
        <v>567</v>
      </c>
      <c r="J71" s="20" t="s">
        <v>567</v>
      </c>
      <c r="K71" s="18" t="n">
        <v>0</v>
      </c>
      <c r="L71" s="20" t="n">
        <v>0</v>
      </c>
      <c r="M71" s="18" t="n">
        <v>0</v>
      </c>
      <c r="N71" s="20" t="n">
        <v>0</v>
      </c>
      <c r="O71" s="18" t="n">
        <v>0</v>
      </c>
      <c r="P71" s="20" t="n">
        <v>0</v>
      </c>
      <c r="Q71" s="18" t="n">
        <v>0.15347041</v>
      </c>
      <c r="R71" s="20" t="n">
        <v>0.14615836</v>
      </c>
    </row>
    <row r="72" spans="1:18">
      <c r="A72" s="15" t="s">
        <v>632</v>
      </c>
      <c r="B72" s="17" t="n">
        <v>3889</v>
      </c>
      <c r="C72" s="18">
        <f>(2989.0/B72*100)</f>
        <v/>
      </c>
      <c r="D72" s="19" t="n">
        <v>900</v>
      </c>
      <c r="E72" s="18" t="n">
        <v>34.59251859</v>
      </c>
      <c r="F72" s="20" t="n">
        <v>1.54156075</v>
      </c>
      <c r="G72" s="18" t="n">
        <v>65.01893554999999</v>
      </c>
      <c r="H72" s="20" t="n">
        <v>1.53705133</v>
      </c>
      <c r="I72" s="18" t="s">
        <v>567</v>
      </c>
      <c r="J72" s="20" t="s">
        <v>567</v>
      </c>
      <c r="K72" s="18" t="n">
        <v>0</v>
      </c>
      <c r="L72" s="20" t="n">
        <v>0</v>
      </c>
      <c r="M72" s="18" t="n">
        <v>0</v>
      </c>
      <c r="N72" s="20" t="n">
        <v>0</v>
      </c>
      <c r="O72" s="18" t="n">
        <v>0</v>
      </c>
      <c r="P72" s="20" t="n">
        <v>0</v>
      </c>
      <c r="Q72" s="18" t="n">
        <v>0.38854586</v>
      </c>
      <c r="R72" s="20" t="n">
        <v>0.17864345</v>
      </c>
    </row>
    <row r="73" spans="1:18">
      <c r="A73" s="15" t="s">
        <v>633</v>
      </c>
      <c r="B73" s="17" t="n">
        <v>3597</v>
      </c>
      <c r="C73" s="18">
        <f>(2828.0/B73*100)</f>
        <v/>
      </c>
      <c r="D73" s="19" t="n">
        <v>769</v>
      </c>
      <c r="E73" s="18" t="n">
        <v>57.64341013</v>
      </c>
      <c r="F73" s="20" t="n">
        <v>2.339275</v>
      </c>
      <c r="G73" s="18" t="n">
        <v>41.62717153</v>
      </c>
      <c r="H73" s="20" t="n">
        <v>2.38013682</v>
      </c>
      <c r="I73" s="18" t="s">
        <v>567</v>
      </c>
      <c r="J73" s="20" t="s">
        <v>567</v>
      </c>
      <c r="K73" s="18" t="n">
        <v>0</v>
      </c>
      <c r="L73" s="20" t="n">
        <v>0</v>
      </c>
      <c r="M73" s="18" t="n">
        <v>0</v>
      </c>
      <c r="N73" s="20" t="n">
        <v>0</v>
      </c>
      <c r="O73" s="18" t="n">
        <v>0</v>
      </c>
      <c r="P73" s="20" t="n">
        <v>0</v>
      </c>
      <c r="Q73" s="18" t="n">
        <v>0.7294183400000001</v>
      </c>
      <c r="R73" s="20" t="n">
        <v>0.36954747</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(1919.0/B75*100)</f>
        <v/>
      </c>
      <c r="D75" s="19" t="n">
        <v>487</v>
      </c>
      <c r="E75" s="18" t="n">
        <v>65.39261931</v>
      </c>
      <c r="F75" s="20" t="n">
        <v>2.03699647</v>
      </c>
      <c r="G75" s="18" t="n">
        <v>31.06905623</v>
      </c>
      <c r="H75" s="20" t="n">
        <v>2.26147057</v>
      </c>
      <c r="I75" s="18" t="s">
        <v>567</v>
      </c>
      <c r="J75" s="20" t="s">
        <v>567</v>
      </c>
      <c r="K75" s="18" t="n">
        <v>0.92980494</v>
      </c>
      <c r="L75" s="20" t="n">
        <v>0.4612802</v>
      </c>
      <c r="M75" s="18" t="n">
        <v>0</v>
      </c>
      <c r="N75" s="20" t="n">
        <v>0</v>
      </c>
      <c r="O75" s="18" t="n">
        <v>0</v>
      </c>
      <c r="P75" s="20" t="n">
        <v>0</v>
      </c>
      <c r="Q75" s="18" t="n">
        <v>2.60851952</v>
      </c>
      <c r="R75" s="20" t="n">
        <v>0.80300692</v>
      </c>
    </row>
    <row r="76" spans="1:18">
      <c r="A76" s="15" t="s">
        <v>636</v>
      </c>
      <c r="B76" s="17" t="n">
        <v>7052</v>
      </c>
      <c r="C76" s="18">
        <f>(5538.0/B76*100)</f>
        <v/>
      </c>
      <c r="D76" s="19" t="n">
        <v>1514</v>
      </c>
      <c r="E76" s="18" t="n">
        <v>56.18819235</v>
      </c>
      <c r="F76" s="20" t="n">
        <v>1.59735312</v>
      </c>
      <c r="G76" s="18" t="n">
        <v>39.39173945</v>
      </c>
      <c r="H76" s="20" t="n">
        <v>1.74829059</v>
      </c>
      <c r="I76" s="18" t="s">
        <v>567</v>
      </c>
      <c r="J76" s="20" t="s">
        <v>567</v>
      </c>
      <c r="K76" s="18" t="n">
        <v>0.93053716</v>
      </c>
      <c r="L76" s="20" t="n">
        <v>0.31634852</v>
      </c>
      <c r="M76" s="18" t="n">
        <v>0</v>
      </c>
      <c r="N76" s="20" t="n">
        <v>0</v>
      </c>
      <c r="O76" s="18" t="n">
        <v>0</v>
      </c>
      <c r="P76" s="20" t="n">
        <v>0</v>
      </c>
      <c r="Q76" s="18" t="n">
        <v>3.48953104</v>
      </c>
      <c r="R76" s="20" t="n">
        <v>1.03311698</v>
      </c>
    </row>
    <row r="77" spans="1:18">
      <c r="A77" s="15" t="s">
        <v>637</v>
      </c>
      <c r="B77" s="17" t="n">
        <v>2908</v>
      </c>
      <c r="C77" s="18">
        <f>(2276.0/B77*100)</f>
        <v/>
      </c>
      <c r="D77" s="19" t="n">
        <v>632</v>
      </c>
      <c r="E77" s="18" t="n">
        <v>54.45143769</v>
      </c>
      <c r="F77" s="20" t="n">
        <v>1.90999276</v>
      </c>
      <c r="G77" s="18" t="n">
        <v>41.11673371</v>
      </c>
      <c r="H77" s="20" t="n">
        <v>2.05943438</v>
      </c>
      <c r="I77" s="18" t="s">
        <v>567</v>
      </c>
      <c r="J77" s="20" t="s">
        <v>567</v>
      </c>
      <c r="K77" s="18" t="n">
        <v>0.6747359000000001</v>
      </c>
      <c r="L77" s="20" t="n">
        <v>0.36256507</v>
      </c>
      <c r="M77" s="18" t="n">
        <v>0</v>
      </c>
      <c r="N77" s="20" t="n">
        <v>0</v>
      </c>
      <c r="O77" s="18" t="n">
        <v>0</v>
      </c>
      <c r="P77" s="20" t="n">
        <v>0</v>
      </c>
      <c r="Q77" s="18" t="n">
        <v>3.7570927</v>
      </c>
      <c r="R77" s="20" t="n">
        <v>0.86840527</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(3253.0/B81*100)</f>
        <v/>
      </c>
      <c r="D81" s="19" t="n">
        <v>910</v>
      </c>
      <c r="E81" s="18" t="n">
        <v>56.55227096</v>
      </c>
      <c r="F81" s="20" t="n">
        <v>2.13506531</v>
      </c>
      <c r="G81" s="18" t="n">
        <v>42.87780665</v>
      </c>
      <c r="H81" s="20" t="n">
        <v>2.09867239</v>
      </c>
      <c r="I81" s="18" t="s">
        <v>567</v>
      </c>
      <c r="J81" s="20" t="s">
        <v>567</v>
      </c>
      <c r="K81" s="18" t="n">
        <v>0</v>
      </c>
      <c r="L81" s="20" t="n">
        <v>0</v>
      </c>
      <c r="M81" s="18" t="n">
        <v>0</v>
      </c>
      <c r="N81" s="20" t="n">
        <v>0</v>
      </c>
      <c r="O81" s="18" t="n">
        <v>0</v>
      </c>
      <c r="P81" s="20" t="n">
        <v>0</v>
      </c>
      <c r="Q81" s="18" t="n">
        <v>0.56992239</v>
      </c>
      <c r="R81" s="20" t="n">
        <v>0.47998747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(5702.0/B7*100)</f>
        <v/>
      </c>
      <c r="D7" s="19" t="n">
        <v>1665</v>
      </c>
      <c r="E7" s="18" t="n">
        <v>39.1332129</v>
      </c>
      <c r="F7" s="20" t="n">
        <v>1.53388606</v>
      </c>
      <c r="G7" s="18" t="n">
        <v>59.51985895</v>
      </c>
      <c r="H7" s="20" t="n">
        <v>1.56686255</v>
      </c>
      <c r="I7" s="18" t="s">
        <v>567</v>
      </c>
      <c r="J7" s="20" t="s">
        <v>567</v>
      </c>
      <c r="K7" s="18" t="n">
        <v>0.03454994</v>
      </c>
      <c r="L7" s="20" t="n">
        <v>0.0305798</v>
      </c>
      <c r="M7" s="18" t="n">
        <v>0</v>
      </c>
      <c r="N7" s="20" t="n">
        <v>0</v>
      </c>
      <c r="O7" s="18" t="n">
        <v>0</v>
      </c>
      <c r="P7" s="20" t="n">
        <v>0</v>
      </c>
      <c r="Q7" s="18" t="n">
        <v>1.31237821</v>
      </c>
      <c r="R7" s="20" t="n">
        <v>0.37093643</v>
      </c>
    </row>
    <row r="8" spans="1:18">
      <c r="A8" s="15" t="s">
        <v>568</v>
      </c>
      <c r="B8" s="17" t="n">
        <v>3564</v>
      </c>
      <c r="C8" s="18">
        <f>(2770.0/B8*100)</f>
        <v/>
      </c>
      <c r="D8" s="19" t="n">
        <v>794</v>
      </c>
      <c r="E8" s="18" t="n">
        <v>42.02630242</v>
      </c>
      <c r="F8" s="20" t="n">
        <v>1.59695811</v>
      </c>
      <c r="G8" s="18" t="n">
        <v>57.20680133</v>
      </c>
      <c r="H8" s="20" t="n">
        <v>1.61028766</v>
      </c>
      <c r="I8" s="18" t="s">
        <v>567</v>
      </c>
      <c r="J8" s="20" t="s">
        <v>567</v>
      </c>
      <c r="K8" s="18" t="n">
        <v>0.14904891</v>
      </c>
      <c r="L8" s="20" t="n">
        <v>0.14448659</v>
      </c>
      <c r="M8" s="18" t="n">
        <v>0</v>
      </c>
      <c r="N8" s="20" t="n">
        <v>0</v>
      </c>
      <c r="O8" s="18" t="n">
        <v>0</v>
      </c>
      <c r="P8" s="20" t="n">
        <v>0</v>
      </c>
      <c r="Q8" s="18" t="n">
        <v>0.61784735</v>
      </c>
      <c r="R8" s="20" t="n">
        <v>0.30592952</v>
      </c>
    </row>
    <row r="9" spans="1:18">
      <c r="A9" s="15" t="s">
        <v>569</v>
      </c>
      <c r="B9" s="17" t="n">
        <v>4899</v>
      </c>
      <c r="C9" s="18">
        <f>(3850.0/B9*100)</f>
        <v/>
      </c>
      <c r="D9" s="19" t="n">
        <v>1049</v>
      </c>
      <c r="E9" s="18" t="n">
        <v>36.56396312</v>
      </c>
      <c r="F9" s="20" t="n">
        <v>1.43334861</v>
      </c>
      <c r="G9" s="18" t="n">
        <v>62.40539646</v>
      </c>
      <c r="H9" s="20" t="n">
        <v>1.52554191</v>
      </c>
      <c r="I9" s="18" t="s">
        <v>567</v>
      </c>
      <c r="J9" s="20" t="s">
        <v>567</v>
      </c>
      <c r="K9" s="18" t="n">
        <v>0</v>
      </c>
      <c r="L9" s="20" t="n">
        <v>0</v>
      </c>
      <c r="M9" s="18" t="n">
        <v>0</v>
      </c>
      <c r="N9" s="20" t="n">
        <v>0</v>
      </c>
      <c r="O9" s="18" t="n">
        <v>0</v>
      </c>
      <c r="P9" s="20" t="n">
        <v>0</v>
      </c>
      <c r="Q9" s="18" t="n">
        <v>1.03064042</v>
      </c>
      <c r="R9" s="20" t="n">
        <v>0.38461275</v>
      </c>
    </row>
    <row r="10" spans="1:18">
      <c r="A10" s="15" t="s">
        <v>570</v>
      </c>
      <c r="B10" s="17" t="n">
        <v>10036</v>
      </c>
      <c r="C10" s="18">
        <f>(7780.0/B10*100)</f>
        <v/>
      </c>
      <c r="D10" s="19" t="n">
        <v>2256</v>
      </c>
      <c r="E10" s="18" t="n">
        <v>37.95818429</v>
      </c>
      <c r="F10" s="20" t="n">
        <v>1.61677761</v>
      </c>
      <c r="G10" s="18" t="n">
        <v>61.00603069</v>
      </c>
      <c r="H10" s="20" t="n">
        <v>1.58748545</v>
      </c>
      <c r="I10" s="18" t="s">
        <v>567</v>
      </c>
      <c r="J10" s="20" t="s">
        <v>567</v>
      </c>
      <c r="K10" s="18" t="n">
        <v>0.20248629</v>
      </c>
      <c r="L10" s="20" t="n">
        <v>0.12846872</v>
      </c>
      <c r="M10" s="18" t="n">
        <v>0</v>
      </c>
      <c r="N10" s="20" t="n">
        <v>0</v>
      </c>
      <c r="O10" s="18" t="n">
        <v>0</v>
      </c>
      <c r="P10" s="20" t="n">
        <v>0</v>
      </c>
      <c r="Q10" s="18" t="n">
        <v>0.83329873</v>
      </c>
      <c r="R10" s="20" t="n">
        <v>0.27029829</v>
      </c>
    </row>
    <row r="11" spans="1:18">
      <c r="A11" s="15" t="s">
        <v>571</v>
      </c>
      <c r="B11" s="17" t="n">
        <v>3553</v>
      </c>
      <c r="C11" s="18">
        <f>(2779.0/B11*100)</f>
        <v/>
      </c>
      <c r="D11" s="19" t="n">
        <v>774</v>
      </c>
      <c r="E11" s="18" t="n">
        <v>50.96927319</v>
      </c>
      <c r="F11" s="20" t="n">
        <v>2.1270697</v>
      </c>
      <c r="G11" s="18" t="n">
        <v>46.94666856</v>
      </c>
      <c r="H11" s="20" t="n">
        <v>2.19259222</v>
      </c>
      <c r="I11" s="18" t="s">
        <v>567</v>
      </c>
      <c r="J11" s="20" t="s">
        <v>567</v>
      </c>
      <c r="K11" s="18" t="n">
        <v>0.710327</v>
      </c>
      <c r="L11" s="20" t="n">
        <v>0.43203103</v>
      </c>
      <c r="M11" s="18" t="n">
        <v>0</v>
      </c>
      <c r="N11" s="20" t="n">
        <v>0</v>
      </c>
      <c r="O11" s="18" t="n">
        <v>0</v>
      </c>
      <c r="P11" s="20" t="n">
        <v>0</v>
      </c>
      <c r="Q11" s="18" t="n">
        <v>1.37373125</v>
      </c>
      <c r="R11" s="20" t="n">
        <v>0.46921327</v>
      </c>
    </row>
    <row r="12" spans="1:18">
      <c r="A12" s="15" t="s">
        <v>572</v>
      </c>
      <c r="B12" s="17" t="n">
        <v>3472</v>
      </c>
      <c r="C12" s="18">
        <f>(2713.0/B12*100)</f>
        <v/>
      </c>
      <c r="D12" s="19" t="n">
        <v>759</v>
      </c>
      <c r="E12" s="18" t="n">
        <v>33.12296931</v>
      </c>
      <c r="F12" s="20" t="n">
        <v>2.33256698</v>
      </c>
      <c r="G12" s="18" t="n">
        <v>66.5059301</v>
      </c>
      <c r="H12" s="20" t="n">
        <v>2.35662939</v>
      </c>
      <c r="I12" s="18" t="s">
        <v>567</v>
      </c>
      <c r="J12" s="20" t="s">
        <v>567</v>
      </c>
      <c r="K12" s="18" t="n">
        <v>0.12297556</v>
      </c>
      <c r="L12" s="20" t="n">
        <v>0.12604584</v>
      </c>
      <c r="M12" s="18" t="n">
        <v>0</v>
      </c>
      <c r="N12" s="20" t="n">
        <v>0</v>
      </c>
      <c r="O12" s="18" t="n">
        <v>0</v>
      </c>
      <c r="P12" s="20" t="n">
        <v>0</v>
      </c>
      <c r="Q12" s="18" t="n">
        <v>0.24812503</v>
      </c>
      <c r="R12" s="20" t="n">
        <v>0.18248238</v>
      </c>
    </row>
    <row r="13" spans="1:18">
      <c r="A13" s="15" t="s">
        <v>573</v>
      </c>
      <c r="B13" s="17" t="n">
        <v>3559</v>
      </c>
      <c r="C13" s="18">
        <f>(2780.0/B13*100)</f>
        <v/>
      </c>
      <c r="D13" s="19" t="n">
        <v>779</v>
      </c>
      <c r="E13" s="18" t="n">
        <v>39.79066137</v>
      </c>
      <c r="F13" s="20" t="n">
        <v>1.91426707</v>
      </c>
      <c r="G13" s="18" t="n">
        <v>59.48647867</v>
      </c>
      <c r="H13" s="20" t="n">
        <v>2.01073852</v>
      </c>
      <c r="I13" s="18" t="s">
        <v>567</v>
      </c>
      <c r="J13" s="20" t="s">
        <v>567</v>
      </c>
      <c r="K13" s="18" t="n">
        <v>0.07577599</v>
      </c>
      <c r="L13" s="20" t="n">
        <v>0.07642258</v>
      </c>
      <c r="M13" s="18" t="n">
        <v>0</v>
      </c>
      <c r="N13" s="20" t="n">
        <v>0</v>
      </c>
      <c r="O13" s="18" t="n">
        <v>0</v>
      </c>
      <c r="P13" s="20" t="n">
        <v>0</v>
      </c>
      <c r="Q13" s="18" t="n">
        <v>0.64708397</v>
      </c>
      <c r="R13" s="20" t="n">
        <v>0.3505508</v>
      </c>
    </row>
    <row r="14" spans="1:18">
      <c r="A14" s="15" t="s">
        <v>574</v>
      </c>
      <c r="B14" s="17" t="n">
        <v>2799</v>
      </c>
      <c r="C14" s="18">
        <f>(2215.0/B14*100)</f>
        <v/>
      </c>
      <c r="D14" s="19" t="n">
        <v>584</v>
      </c>
      <c r="E14" s="18" t="n">
        <v>33.49102297</v>
      </c>
      <c r="F14" s="20" t="n">
        <v>2.33209649</v>
      </c>
      <c r="G14" s="18" t="n">
        <v>65.71049499</v>
      </c>
      <c r="H14" s="20" t="n">
        <v>2.37087988</v>
      </c>
      <c r="I14" s="18" t="s">
        <v>567</v>
      </c>
      <c r="J14" s="20" t="s">
        <v>567</v>
      </c>
      <c r="K14" s="18" t="n">
        <v>0.14236436</v>
      </c>
      <c r="L14" s="20" t="n">
        <v>0.14229489</v>
      </c>
      <c r="M14" s="18" t="n">
        <v>0</v>
      </c>
      <c r="N14" s="20" t="n">
        <v>0</v>
      </c>
      <c r="O14" s="18" t="n">
        <v>0</v>
      </c>
      <c r="P14" s="20" t="n">
        <v>0</v>
      </c>
      <c r="Q14" s="18" t="n">
        <v>0.65611768</v>
      </c>
      <c r="R14" s="20" t="n">
        <v>0.43710804</v>
      </c>
    </row>
    <row r="15" spans="1:18">
      <c r="A15" s="15" t="s">
        <v>575</v>
      </c>
      <c r="B15" s="17" t="n">
        <v>3019</v>
      </c>
      <c r="C15" s="18">
        <f>(2375.0/B15*100)</f>
        <v/>
      </c>
      <c r="D15" s="19" t="n">
        <v>644</v>
      </c>
      <c r="E15" s="18" t="n">
        <v>35.48401582</v>
      </c>
      <c r="F15" s="20" t="n">
        <v>1.95214607</v>
      </c>
      <c r="G15" s="18" t="n">
        <v>64.34209991</v>
      </c>
      <c r="H15" s="20" t="n">
        <v>1.98366262</v>
      </c>
      <c r="I15" s="18" t="s">
        <v>567</v>
      </c>
      <c r="J15" s="20" t="s">
        <v>567</v>
      </c>
      <c r="K15" s="18" t="n">
        <v>0</v>
      </c>
      <c r="L15" s="20" t="n">
        <v>0</v>
      </c>
      <c r="M15" s="18" t="n">
        <v>0</v>
      </c>
      <c r="N15" s="20" t="n">
        <v>0</v>
      </c>
      <c r="O15" s="18" t="n">
        <v>0</v>
      </c>
      <c r="P15" s="20" t="n">
        <v>0</v>
      </c>
      <c r="Q15" s="18" t="n">
        <v>0.17388427</v>
      </c>
      <c r="R15" s="20" t="n">
        <v>0.18866157</v>
      </c>
    </row>
    <row r="16" spans="1:18">
      <c r="A16" s="15" t="s">
        <v>576</v>
      </c>
      <c r="B16" s="17" t="n">
        <v>2997</v>
      </c>
      <c r="C16" s="18">
        <f>(2360.0/B16*100)</f>
        <v/>
      </c>
      <c r="D16" s="19" t="n">
        <v>637</v>
      </c>
      <c r="E16" s="18" t="n">
        <v>40.93717831</v>
      </c>
      <c r="F16" s="20" t="n">
        <v>1.90169776</v>
      </c>
      <c r="G16" s="18" t="n">
        <v>56.61951377</v>
      </c>
      <c r="H16" s="20" t="n">
        <v>1.97578967</v>
      </c>
      <c r="I16" s="18" t="s">
        <v>567</v>
      </c>
      <c r="J16" s="20" t="s">
        <v>567</v>
      </c>
      <c r="K16" s="18" t="n">
        <v>0.19349236</v>
      </c>
      <c r="L16" s="20" t="n">
        <v>0.15476974</v>
      </c>
      <c r="M16" s="18" t="n">
        <v>0</v>
      </c>
      <c r="N16" s="20" t="n">
        <v>0</v>
      </c>
      <c r="O16" s="18" t="n">
        <v>0</v>
      </c>
      <c r="P16" s="20" t="n">
        <v>0</v>
      </c>
      <c r="Q16" s="18" t="n">
        <v>2.24981555</v>
      </c>
      <c r="R16" s="20" t="n">
        <v>0.60921919</v>
      </c>
    </row>
    <row r="17" spans="1:18">
      <c r="A17" s="15" t="s">
        <v>577</v>
      </c>
      <c r="B17" s="17" t="n">
        <v>3307</v>
      </c>
      <c r="C17" s="18">
        <f>(2583.0/B17*100)</f>
        <v/>
      </c>
      <c r="D17" s="19" t="n">
        <v>724</v>
      </c>
      <c r="E17" s="18" t="n">
        <v>37.47812136</v>
      </c>
      <c r="F17" s="20" t="n">
        <v>1.8895288</v>
      </c>
      <c r="G17" s="18" t="n">
        <v>61.71692063</v>
      </c>
      <c r="H17" s="20" t="n">
        <v>1.89950984</v>
      </c>
      <c r="I17" s="18" t="s">
        <v>567</v>
      </c>
      <c r="J17" s="20" t="s">
        <v>567</v>
      </c>
      <c r="K17" s="18" t="n">
        <v>0.4266546</v>
      </c>
      <c r="L17" s="20" t="n">
        <v>0.20719309</v>
      </c>
      <c r="M17" s="18" t="n">
        <v>0</v>
      </c>
      <c r="N17" s="20" t="n">
        <v>0</v>
      </c>
      <c r="O17" s="18" t="n">
        <v>0</v>
      </c>
      <c r="P17" s="20" t="n">
        <v>0</v>
      </c>
      <c r="Q17" s="18" t="n">
        <v>0.3783034</v>
      </c>
      <c r="R17" s="20" t="n">
        <v>0.21183792</v>
      </c>
    </row>
    <row r="18" spans="1:18">
      <c r="A18" s="15" t="s">
        <v>578</v>
      </c>
      <c r="B18" s="17" t="n">
        <v>2826</v>
      </c>
      <c r="C18" s="18">
        <f>(2223.0/B18*100)</f>
        <v/>
      </c>
      <c r="D18" s="19" t="n">
        <v>603</v>
      </c>
      <c r="E18" s="18" t="n">
        <v>56.18000754</v>
      </c>
      <c r="F18" s="20" t="n">
        <v>2.33562864</v>
      </c>
      <c r="G18" s="18" t="n">
        <v>41.35380076</v>
      </c>
      <c r="H18" s="20" t="n">
        <v>2.34009049</v>
      </c>
      <c r="I18" s="18" t="s">
        <v>567</v>
      </c>
      <c r="J18" s="20" t="s">
        <v>567</v>
      </c>
      <c r="K18" s="18" t="n">
        <v>0.15501464</v>
      </c>
      <c r="L18" s="20" t="n">
        <v>0.1544973</v>
      </c>
      <c r="M18" s="18" t="n">
        <v>0</v>
      </c>
      <c r="N18" s="20" t="n">
        <v>0</v>
      </c>
      <c r="O18" s="18" t="n">
        <v>0</v>
      </c>
      <c r="P18" s="20" t="n">
        <v>0</v>
      </c>
      <c r="Q18" s="18" t="n">
        <v>2.31117706</v>
      </c>
      <c r="R18" s="20" t="n">
        <v>0.65069544</v>
      </c>
    </row>
    <row r="19" spans="1:18">
      <c r="A19" s="15" t="s">
        <v>579</v>
      </c>
      <c r="B19" s="17" t="n">
        <v>2808</v>
      </c>
      <c r="C19" s="18">
        <f>(2137.0/B19*100)</f>
        <v/>
      </c>
      <c r="D19" s="19" t="n">
        <v>671</v>
      </c>
      <c r="E19" s="18" t="n">
        <v>43.09871991</v>
      </c>
      <c r="F19" s="20" t="n">
        <v>2.08411961</v>
      </c>
      <c r="G19" s="18" t="n">
        <v>56.14510648</v>
      </c>
      <c r="H19" s="20" t="n">
        <v>2.13451966</v>
      </c>
      <c r="I19" s="18" t="s">
        <v>567</v>
      </c>
      <c r="J19" s="20" t="s">
        <v>567</v>
      </c>
      <c r="K19" s="18" t="n">
        <v>0.11689581</v>
      </c>
      <c r="L19" s="20" t="n">
        <v>0.11623253</v>
      </c>
      <c r="M19" s="18" t="n">
        <v>0</v>
      </c>
      <c r="N19" s="20" t="n">
        <v>0</v>
      </c>
      <c r="O19" s="18" t="n">
        <v>0</v>
      </c>
      <c r="P19" s="20" t="n">
        <v>0</v>
      </c>
      <c r="Q19" s="18" t="n">
        <v>0.6392778</v>
      </c>
      <c r="R19" s="20" t="n">
        <v>0.28067424</v>
      </c>
    </row>
    <row r="20" spans="1:18">
      <c r="A20" s="15" t="s">
        <v>580</v>
      </c>
      <c r="B20" s="17" t="n">
        <v>1630</v>
      </c>
      <c r="C20" s="18">
        <f>(1244.0/B20*100)</f>
        <v/>
      </c>
      <c r="D20" s="19" t="n">
        <v>386</v>
      </c>
      <c r="E20" s="18" t="n">
        <v>49.27191194</v>
      </c>
      <c r="F20" s="20" t="n">
        <v>2.36550381</v>
      </c>
      <c r="G20" s="18" t="n">
        <v>48.00201583</v>
      </c>
      <c r="H20" s="20" t="n">
        <v>2.34803245</v>
      </c>
      <c r="I20" s="18" t="s">
        <v>567</v>
      </c>
      <c r="J20" s="20" t="s">
        <v>567</v>
      </c>
      <c r="K20" s="18" t="n">
        <v>0</v>
      </c>
      <c r="L20" s="20" t="n">
        <v>0</v>
      </c>
      <c r="M20" s="18" t="n">
        <v>0</v>
      </c>
      <c r="N20" s="20" t="n">
        <v>0</v>
      </c>
      <c r="O20" s="18" t="n">
        <v>0</v>
      </c>
      <c r="P20" s="20" t="n">
        <v>0</v>
      </c>
      <c r="Q20" s="18" t="n">
        <v>2.72607224</v>
      </c>
      <c r="R20" s="20" t="n">
        <v>0.73735968</v>
      </c>
    </row>
    <row r="21" spans="1:18">
      <c r="A21" s="15" t="s">
        <v>581</v>
      </c>
      <c r="B21" s="17" t="n">
        <v>2908</v>
      </c>
      <c r="C21" s="18">
        <f>(2272.0/B21*100)</f>
        <v/>
      </c>
      <c r="D21" s="19" t="n">
        <v>636</v>
      </c>
      <c r="E21" s="18" t="n">
        <v>58.09990589</v>
      </c>
      <c r="F21" s="20" t="n">
        <v>1.99233603</v>
      </c>
      <c r="G21" s="18" t="n">
        <v>41.61411898</v>
      </c>
      <c r="H21" s="20" t="n">
        <v>1.98506527</v>
      </c>
      <c r="I21" s="18" t="s">
        <v>567</v>
      </c>
      <c r="J21" s="20" t="s">
        <v>567</v>
      </c>
      <c r="K21" s="18" t="n">
        <v>0</v>
      </c>
      <c r="L21" s="20" t="n">
        <v>0</v>
      </c>
      <c r="M21" s="18" t="n">
        <v>0</v>
      </c>
      <c r="N21" s="20" t="n">
        <v>0</v>
      </c>
      <c r="O21" s="18" t="n">
        <v>0</v>
      </c>
      <c r="P21" s="20" t="n">
        <v>0</v>
      </c>
      <c r="Q21" s="18" t="n">
        <v>0.28597513</v>
      </c>
      <c r="R21" s="20" t="n">
        <v>0.24101309</v>
      </c>
    </row>
    <row r="22" spans="1:18">
      <c r="A22" s="15" t="s">
        <v>582</v>
      </c>
      <c r="B22" s="17" t="n">
        <v>2931</v>
      </c>
      <c r="C22" s="18">
        <f>(2293.0/B22*100)</f>
        <v/>
      </c>
      <c r="D22" s="19" t="n">
        <v>638</v>
      </c>
      <c r="E22" s="18" t="n">
        <v>42.90692894</v>
      </c>
      <c r="F22" s="20" t="n">
        <v>2.6409906</v>
      </c>
      <c r="G22" s="18" t="n">
        <v>52.79140928</v>
      </c>
      <c r="H22" s="20" t="n">
        <v>2.62368235</v>
      </c>
      <c r="I22" s="18" t="s">
        <v>567</v>
      </c>
      <c r="J22" s="20" t="s">
        <v>567</v>
      </c>
      <c r="K22" s="18" t="n">
        <v>0.71235189</v>
      </c>
      <c r="L22" s="20" t="n">
        <v>0.37262086</v>
      </c>
      <c r="M22" s="18" t="n">
        <v>0</v>
      </c>
      <c r="N22" s="20" t="n">
        <v>0</v>
      </c>
      <c r="O22" s="18" t="n">
        <v>0</v>
      </c>
      <c r="P22" s="20" t="n">
        <v>0</v>
      </c>
      <c r="Q22" s="18" t="n">
        <v>3.58930989</v>
      </c>
      <c r="R22" s="20" t="n">
        <v>0.97696421</v>
      </c>
    </row>
    <row r="23" spans="1:18">
      <c r="A23" s="15" t="s">
        <v>583</v>
      </c>
      <c r="B23" s="17" t="n">
        <v>5791</v>
      </c>
      <c r="C23" s="18">
        <f>(4466.0/B23*100)</f>
        <v/>
      </c>
      <c r="D23" s="19" t="n">
        <v>1325</v>
      </c>
      <c r="E23" s="18" t="n">
        <v>49.37796487</v>
      </c>
      <c r="F23" s="20" t="n">
        <v>2.13374118</v>
      </c>
      <c r="G23" s="18" t="n">
        <v>50.61787206</v>
      </c>
      <c r="H23" s="20" t="n">
        <v>2.13390365</v>
      </c>
      <c r="I23" s="18" t="s">
        <v>567</v>
      </c>
      <c r="J23" s="20" t="s">
        <v>567</v>
      </c>
      <c r="K23" s="18" t="n">
        <v>0</v>
      </c>
      <c r="L23" s="20" t="n">
        <v>0</v>
      </c>
      <c r="M23" s="18" t="n">
        <v>0</v>
      </c>
      <c r="N23" s="20" t="n">
        <v>0</v>
      </c>
      <c r="O23" s="18" t="n">
        <v>0</v>
      </c>
      <c r="P23" s="20" t="n">
        <v>0</v>
      </c>
      <c r="Q23" s="18" t="n">
        <v>0.00416307</v>
      </c>
      <c r="R23" s="20" t="n">
        <v>0.00414638</v>
      </c>
    </row>
    <row r="24" spans="1:18">
      <c r="A24" s="15" t="s">
        <v>584</v>
      </c>
      <c r="B24" s="17" t="n">
        <v>3338</v>
      </c>
      <c r="C24" s="18">
        <f>(2611.0/B24*100)</f>
        <v/>
      </c>
      <c r="D24" s="19" t="n">
        <v>727</v>
      </c>
      <c r="E24" s="18" t="n">
        <v>37.20171386</v>
      </c>
      <c r="F24" s="20" t="n">
        <v>2.41914811</v>
      </c>
      <c r="G24" s="18" t="n">
        <v>62.64642159</v>
      </c>
      <c r="H24" s="20" t="n">
        <v>2.4238479</v>
      </c>
      <c r="I24" s="18" t="s">
        <v>567</v>
      </c>
      <c r="J24" s="20" t="s">
        <v>567</v>
      </c>
      <c r="K24" s="18" t="n">
        <v>0</v>
      </c>
      <c r="L24" s="20" t="n">
        <v>0</v>
      </c>
      <c r="M24" s="18" t="n">
        <v>0</v>
      </c>
      <c r="N24" s="20" t="n">
        <v>0</v>
      </c>
      <c r="O24" s="18" t="n">
        <v>0</v>
      </c>
      <c r="P24" s="20" t="n">
        <v>0</v>
      </c>
      <c r="Q24" s="18" t="n">
        <v>0.15186455</v>
      </c>
      <c r="R24" s="20" t="n">
        <v>0.15135512</v>
      </c>
    </row>
    <row r="25" spans="1:18">
      <c r="A25" s="15" t="s">
        <v>585</v>
      </c>
      <c r="B25" s="17" t="n">
        <v>2912</v>
      </c>
      <c r="C25" s="18">
        <f>(2243.0/B25*100)</f>
        <v/>
      </c>
      <c r="D25" s="19" t="n">
        <v>669</v>
      </c>
      <c r="E25" s="18" t="n">
        <v>37.8713095</v>
      </c>
      <c r="F25" s="20" t="n">
        <v>2.06492033</v>
      </c>
      <c r="G25" s="18" t="n">
        <v>61.25161627</v>
      </c>
      <c r="H25" s="20" t="n">
        <v>2.10728519</v>
      </c>
      <c r="I25" s="18" t="s">
        <v>567</v>
      </c>
      <c r="J25" s="20" t="s">
        <v>567</v>
      </c>
      <c r="K25" s="18" t="n">
        <v>0.1442241</v>
      </c>
      <c r="L25" s="20" t="n">
        <v>0.14223883</v>
      </c>
      <c r="M25" s="18" t="n">
        <v>0</v>
      </c>
      <c r="N25" s="20" t="n">
        <v>0</v>
      </c>
      <c r="O25" s="18" t="n">
        <v>0</v>
      </c>
      <c r="P25" s="20" t="n">
        <v>0</v>
      </c>
      <c r="Q25" s="18" t="n">
        <v>0.73285014</v>
      </c>
      <c r="R25" s="20" t="n">
        <v>0.38850978</v>
      </c>
    </row>
    <row r="26" spans="1:18">
      <c r="A26" s="15" t="s">
        <v>586</v>
      </c>
      <c r="B26" s="17" t="n">
        <v>2450</v>
      </c>
      <c r="C26" s="18">
        <f>(1908.0/B26*100)</f>
        <v/>
      </c>
      <c r="D26" s="19" t="n">
        <v>542</v>
      </c>
      <c r="E26" s="18" t="n">
        <v>39.61798649</v>
      </c>
      <c r="F26" s="20" t="n">
        <v>2.06910599</v>
      </c>
      <c r="G26" s="18" t="n">
        <v>60.38201351</v>
      </c>
      <c r="H26" s="20" t="n">
        <v>2.06910599</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(2031.0/B27*100)</f>
        <v/>
      </c>
      <c r="D27" s="19" t="n">
        <v>585</v>
      </c>
      <c r="E27" s="18" t="n">
        <v>47.02880521</v>
      </c>
      <c r="F27" s="20" t="n">
        <v>2.13089449</v>
      </c>
      <c r="G27" s="18" t="n">
        <v>51.90990394</v>
      </c>
      <c r="H27" s="20" t="n">
        <v>2.15393634</v>
      </c>
      <c r="I27" s="18" t="s">
        <v>567</v>
      </c>
      <c r="J27" s="20" t="s">
        <v>567</v>
      </c>
      <c r="K27" s="18" t="n">
        <v>0</v>
      </c>
      <c r="L27" s="20" t="n">
        <v>0</v>
      </c>
      <c r="M27" s="18" t="n">
        <v>0</v>
      </c>
      <c r="N27" s="20" t="n">
        <v>0</v>
      </c>
      <c r="O27" s="18" t="n">
        <v>0</v>
      </c>
      <c r="P27" s="20" t="n">
        <v>0</v>
      </c>
      <c r="Q27" s="18" t="n">
        <v>1.06129085</v>
      </c>
      <c r="R27" s="20" t="n">
        <v>0.4258733</v>
      </c>
    </row>
    <row r="28" spans="1:18">
      <c r="A28" s="15" t="s">
        <v>588</v>
      </c>
      <c r="B28" s="17" t="n">
        <v>3765</v>
      </c>
      <c r="C28" s="18">
        <f>(2936.0/B28*100)</f>
        <v/>
      </c>
      <c r="D28" s="19" t="n">
        <v>829</v>
      </c>
      <c r="E28" s="18" t="n">
        <v>57.95010152</v>
      </c>
      <c r="F28" s="20" t="n">
        <v>2.03929165</v>
      </c>
      <c r="G28" s="18" t="n">
        <v>40.95451095</v>
      </c>
      <c r="H28" s="20" t="n">
        <v>2.06644968</v>
      </c>
      <c r="I28" s="18" t="s">
        <v>567</v>
      </c>
      <c r="J28" s="20" t="s">
        <v>567</v>
      </c>
      <c r="K28" s="18" t="n">
        <v>0.63103874</v>
      </c>
      <c r="L28" s="20" t="n">
        <v>0.32320885</v>
      </c>
      <c r="M28" s="18" t="n">
        <v>0</v>
      </c>
      <c r="N28" s="20" t="n">
        <v>0</v>
      </c>
      <c r="O28" s="18" t="n">
        <v>0</v>
      </c>
      <c r="P28" s="20" t="n">
        <v>0</v>
      </c>
      <c r="Q28" s="18" t="n">
        <v>0.46434879</v>
      </c>
      <c r="R28" s="20" t="n">
        <v>0.25782247</v>
      </c>
    </row>
    <row r="29" spans="1:18">
      <c r="A29" s="15" t="s">
        <v>589</v>
      </c>
      <c r="B29" s="17" t="n">
        <v>2685</v>
      </c>
      <c r="C29" s="18">
        <f>(2107.0/B29*100)</f>
        <v/>
      </c>
      <c r="D29" s="19" t="n">
        <v>578</v>
      </c>
      <c r="E29" s="18" t="n">
        <v>36.39474994</v>
      </c>
      <c r="F29" s="20" t="n">
        <v>2.4547867</v>
      </c>
      <c r="G29" s="18" t="n">
        <v>62.86502857</v>
      </c>
      <c r="H29" s="20" t="n">
        <v>2.4623437</v>
      </c>
      <c r="I29" s="18" t="s">
        <v>567</v>
      </c>
      <c r="J29" s="20" t="s">
        <v>567</v>
      </c>
      <c r="K29" s="18" t="n">
        <v>0.27369607</v>
      </c>
      <c r="L29" s="20" t="n">
        <v>0.18631483</v>
      </c>
      <c r="M29" s="18" t="n">
        <v>0</v>
      </c>
      <c r="N29" s="20" t="n">
        <v>0</v>
      </c>
      <c r="O29" s="18" t="n">
        <v>0</v>
      </c>
      <c r="P29" s="20" t="n">
        <v>0</v>
      </c>
      <c r="Q29" s="18" t="n">
        <v>0.46652541</v>
      </c>
      <c r="R29" s="20" t="n">
        <v>0.28490969</v>
      </c>
    </row>
    <row r="30" spans="1:18">
      <c r="A30" s="15" t="s">
        <v>590</v>
      </c>
      <c r="B30" s="17" t="n">
        <v>2263</v>
      </c>
      <c r="C30" s="18">
        <f>(1769.0/B30*100)</f>
        <v/>
      </c>
      <c r="D30" s="19" t="n">
        <v>494</v>
      </c>
      <c r="E30" s="18" t="n">
        <v>43.43060113</v>
      </c>
      <c r="F30" s="20" t="n">
        <v>2.53687018</v>
      </c>
      <c r="G30" s="18" t="n">
        <v>54.49410345</v>
      </c>
      <c r="H30" s="20" t="n">
        <v>2.42227309</v>
      </c>
      <c r="I30" s="18" t="s">
        <v>567</v>
      </c>
      <c r="J30" s="20" t="s">
        <v>567</v>
      </c>
      <c r="K30" s="18" t="n">
        <v>0</v>
      </c>
      <c r="L30" s="20" t="n">
        <v>0</v>
      </c>
      <c r="M30" s="18" t="n">
        <v>0</v>
      </c>
      <c r="N30" s="20" t="n">
        <v>0</v>
      </c>
      <c r="O30" s="18" t="n">
        <v>0</v>
      </c>
      <c r="P30" s="20" t="n">
        <v>0</v>
      </c>
      <c r="Q30" s="18" t="n">
        <v>2.07529542</v>
      </c>
      <c r="R30" s="20" t="n">
        <v>0.67427847</v>
      </c>
    </row>
    <row r="31" spans="1:18">
      <c r="A31" s="15" t="s">
        <v>591</v>
      </c>
      <c r="B31" s="17" t="n">
        <v>2750</v>
      </c>
      <c r="C31" s="18">
        <f>(2159.0/B31*100)</f>
        <v/>
      </c>
      <c r="D31" s="19" t="n">
        <v>591</v>
      </c>
      <c r="E31" s="18" t="n">
        <v>32.89697901</v>
      </c>
      <c r="F31" s="20" t="n">
        <v>1.88694907</v>
      </c>
      <c r="G31" s="18" t="n">
        <v>65.29657862000001</v>
      </c>
      <c r="H31" s="20" t="n">
        <v>1.94599901</v>
      </c>
      <c r="I31" s="18" t="s">
        <v>567</v>
      </c>
      <c r="J31" s="20" t="s">
        <v>567</v>
      </c>
      <c r="K31" s="18" t="n">
        <v>0</v>
      </c>
      <c r="L31" s="20" t="n">
        <v>0</v>
      </c>
      <c r="M31" s="18" t="n">
        <v>0</v>
      </c>
      <c r="N31" s="20" t="n">
        <v>0</v>
      </c>
      <c r="O31" s="18" t="n">
        <v>0</v>
      </c>
      <c r="P31" s="20" t="n">
        <v>0</v>
      </c>
      <c r="Q31" s="18" t="n">
        <v>1.80644237</v>
      </c>
      <c r="R31" s="20" t="n">
        <v>0.51119309</v>
      </c>
    </row>
    <row r="32" spans="1:18">
      <c r="A32" s="15" t="s">
        <v>592</v>
      </c>
      <c r="B32" s="17" t="n">
        <v>2269</v>
      </c>
      <c r="C32" s="18">
        <f>(1758.0/B32*100)</f>
        <v/>
      </c>
      <c r="D32" s="19" t="n">
        <v>511</v>
      </c>
      <c r="E32" s="18" t="n">
        <v>28.72644562</v>
      </c>
      <c r="F32" s="20" t="n">
        <v>1.92331069</v>
      </c>
      <c r="G32" s="18" t="n">
        <v>70.70633099</v>
      </c>
      <c r="H32" s="20" t="n">
        <v>1.94229599</v>
      </c>
      <c r="I32" s="18" t="s">
        <v>567</v>
      </c>
      <c r="J32" s="20" t="s">
        <v>567</v>
      </c>
      <c r="K32" s="18" t="n">
        <v>0.17373248</v>
      </c>
      <c r="L32" s="20" t="n">
        <v>0.17317787</v>
      </c>
      <c r="M32" s="18" t="n">
        <v>0</v>
      </c>
      <c r="N32" s="20" t="n">
        <v>0</v>
      </c>
      <c r="O32" s="18" t="n">
        <v>0</v>
      </c>
      <c r="P32" s="20" t="n">
        <v>0</v>
      </c>
      <c r="Q32" s="18" t="n">
        <v>0.39349091</v>
      </c>
      <c r="R32" s="20" t="n">
        <v>0.29222035</v>
      </c>
    </row>
    <row r="33" spans="1:18">
      <c r="A33" s="15" t="s">
        <v>593</v>
      </c>
      <c r="B33" s="17" t="n">
        <v>3674</v>
      </c>
      <c r="C33" s="18">
        <f>(2874.0/B33*100)</f>
        <v/>
      </c>
      <c r="D33" s="19" t="n">
        <v>800</v>
      </c>
      <c r="E33" s="18" t="n">
        <v>40.47204284</v>
      </c>
      <c r="F33" s="20" t="n">
        <v>1.86448062</v>
      </c>
      <c r="G33" s="18" t="n">
        <v>58.80193916</v>
      </c>
      <c r="H33" s="20" t="n">
        <v>1.80750556</v>
      </c>
      <c r="I33" s="18" t="s">
        <v>567</v>
      </c>
      <c r="J33" s="20" t="s">
        <v>567</v>
      </c>
      <c r="K33" s="18" t="n">
        <v>0.27642346</v>
      </c>
      <c r="L33" s="20" t="n">
        <v>0.26335428</v>
      </c>
      <c r="M33" s="18" t="n">
        <v>0</v>
      </c>
      <c r="N33" s="20" t="n">
        <v>0</v>
      </c>
      <c r="O33" s="18" t="n">
        <v>0</v>
      </c>
      <c r="P33" s="20" t="n">
        <v>0</v>
      </c>
      <c r="Q33" s="18" t="n">
        <v>0.44959453</v>
      </c>
      <c r="R33" s="20" t="n">
        <v>0.26145549</v>
      </c>
    </row>
    <row r="34" spans="1:18">
      <c r="A34" s="15" t="s">
        <v>594</v>
      </c>
      <c r="B34" s="17" t="n">
        <v>3315</v>
      </c>
      <c r="C34" s="18">
        <f>(2607.0/B34*100)</f>
        <v/>
      </c>
      <c r="D34" s="19" t="n">
        <v>708</v>
      </c>
      <c r="E34" s="18" t="n">
        <v>45.37131162</v>
      </c>
      <c r="F34" s="20" t="n">
        <v>2.04976229</v>
      </c>
      <c r="G34" s="18" t="n">
        <v>53.88743049</v>
      </c>
      <c r="H34" s="20" t="n">
        <v>2.04248509</v>
      </c>
      <c r="I34" s="18" t="s">
        <v>567</v>
      </c>
      <c r="J34" s="20" t="s">
        <v>567</v>
      </c>
      <c r="K34" s="18" t="n">
        <v>0</v>
      </c>
      <c r="L34" s="20" t="n">
        <v>0</v>
      </c>
      <c r="M34" s="18" t="n">
        <v>0</v>
      </c>
      <c r="N34" s="20" t="n">
        <v>0</v>
      </c>
      <c r="O34" s="18" t="n">
        <v>0</v>
      </c>
      <c r="P34" s="20" t="n">
        <v>0</v>
      </c>
      <c r="Q34" s="18" t="n">
        <v>0.7412579</v>
      </c>
      <c r="R34" s="20" t="n">
        <v>0.34500113</v>
      </c>
    </row>
    <row r="35" spans="1:18">
      <c r="A35" s="15" t="s">
        <v>595</v>
      </c>
      <c r="B35" s="17" t="n">
        <v>3505</v>
      </c>
      <c r="C35" s="18">
        <f>(2743.0/B35*100)</f>
        <v/>
      </c>
      <c r="D35" s="19" t="n">
        <v>762</v>
      </c>
      <c r="E35" s="18" t="n">
        <v>24.63650676</v>
      </c>
      <c r="F35" s="20" t="n">
        <v>1.93434791</v>
      </c>
      <c r="G35" s="18" t="n">
        <v>74.20240303</v>
      </c>
      <c r="H35" s="20" t="n">
        <v>1.99923872</v>
      </c>
      <c r="I35" s="18" t="s">
        <v>567</v>
      </c>
      <c r="J35" s="20" t="s">
        <v>567</v>
      </c>
      <c r="K35" s="18" t="n">
        <v>0.12874728</v>
      </c>
      <c r="L35" s="20" t="n">
        <v>0.09380781000000001</v>
      </c>
      <c r="M35" s="18" t="n">
        <v>0</v>
      </c>
      <c r="N35" s="20" t="n">
        <v>0</v>
      </c>
      <c r="O35" s="18" t="n">
        <v>0</v>
      </c>
      <c r="P35" s="20" t="n">
        <v>0</v>
      </c>
      <c r="Q35" s="18" t="n">
        <v>1.03234294</v>
      </c>
      <c r="R35" s="20" t="n">
        <v>0.3303548</v>
      </c>
    </row>
    <row r="36" spans="1:18">
      <c r="A36" s="15" t="s">
        <v>596</v>
      </c>
      <c r="B36" s="17" t="n">
        <v>3332</v>
      </c>
      <c r="C36" s="18">
        <f>(2549.0/B36*100)</f>
        <v/>
      </c>
      <c r="D36" s="19" t="n">
        <v>783</v>
      </c>
      <c r="E36" s="18" t="n">
        <v>44.60591676</v>
      </c>
      <c r="F36" s="20" t="n">
        <v>2.00388249</v>
      </c>
      <c r="G36" s="18" t="n">
        <v>53.49698469</v>
      </c>
      <c r="H36" s="20" t="n">
        <v>1.88677294</v>
      </c>
      <c r="I36" s="18" t="s">
        <v>567</v>
      </c>
      <c r="J36" s="20" t="s">
        <v>567</v>
      </c>
      <c r="K36" s="18" t="n">
        <v>0.29716096</v>
      </c>
      <c r="L36" s="20" t="n">
        <v>0.25530998</v>
      </c>
      <c r="M36" s="18" t="n">
        <v>0</v>
      </c>
      <c r="N36" s="20" t="n">
        <v>0</v>
      </c>
      <c r="O36" s="18" t="n">
        <v>0</v>
      </c>
      <c r="P36" s="20" t="n">
        <v>0</v>
      </c>
      <c r="Q36" s="18" t="n">
        <v>1.59993759</v>
      </c>
      <c r="R36" s="20" t="n">
        <v>0.47195045</v>
      </c>
    </row>
    <row r="37" spans="1:18">
      <c r="A37" s="15" t="s">
        <v>597</v>
      </c>
      <c r="B37" s="17" t="n">
        <v>2727</v>
      </c>
      <c r="C37" s="18">
        <f>(2120.0/B37*100)</f>
        <v/>
      </c>
      <c r="D37" s="19" t="n">
        <v>607</v>
      </c>
      <c r="E37" s="18" t="n">
        <v>40.99430642</v>
      </c>
      <c r="F37" s="20" t="n">
        <v>2.27198149</v>
      </c>
      <c r="G37" s="18" t="n">
        <v>56.1509009</v>
      </c>
      <c r="H37" s="20" t="n">
        <v>2.28692918</v>
      </c>
      <c r="I37" s="18" t="s">
        <v>567</v>
      </c>
      <c r="J37" s="20" t="s">
        <v>567</v>
      </c>
      <c r="K37" s="18" t="n">
        <v>0.79948451</v>
      </c>
      <c r="L37" s="20" t="n">
        <v>0.34772169</v>
      </c>
      <c r="M37" s="18" t="n">
        <v>0</v>
      </c>
      <c r="N37" s="20" t="n">
        <v>0</v>
      </c>
      <c r="O37" s="18" t="n">
        <v>0</v>
      </c>
      <c r="P37" s="20" t="n">
        <v>0</v>
      </c>
      <c r="Q37" s="18" t="n">
        <v>2.05530818</v>
      </c>
      <c r="R37" s="20" t="n">
        <v>0.56215568</v>
      </c>
    </row>
    <row r="38" spans="1:18">
      <c r="A38" s="15" t="s">
        <v>598</v>
      </c>
      <c r="B38" s="17" t="n">
        <v>3053</v>
      </c>
      <c r="C38" s="18">
        <f>(2381.0/B38*100)</f>
        <v/>
      </c>
      <c r="D38" s="19" t="n">
        <v>672</v>
      </c>
      <c r="E38" s="18" t="n">
        <v>39.19245367</v>
      </c>
      <c r="F38" s="20" t="n">
        <v>2.26675096</v>
      </c>
      <c r="G38" s="18" t="n">
        <v>59.86518601</v>
      </c>
      <c r="H38" s="20" t="n">
        <v>2.37323602</v>
      </c>
      <c r="I38" s="18" t="s">
        <v>567</v>
      </c>
      <c r="J38" s="20" t="s">
        <v>567</v>
      </c>
      <c r="K38" s="18" t="n">
        <v>0</v>
      </c>
      <c r="L38" s="20" t="n">
        <v>0</v>
      </c>
      <c r="M38" s="18" t="n">
        <v>0</v>
      </c>
      <c r="N38" s="20" t="n">
        <v>0</v>
      </c>
      <c r="O38" s="18" t="n">
        <v>0</v>
      </c>
      <c r="P38" s="20" t="n">
        <v>0</v>
      </c>
      <c r="Q38" s="18" t="n">
        <v>0.94236032</v>
      </c>
      <c r="R38" s="20" t="n">
        <v>0.3655573</v>
      </c>
    </row>
    <row r="39" spans="1:18">
      <c r="A39" s="15" t="s">
        <v>599</v>
      </c>
      <c r="B39" s="17" t="n">
        <v>2957</v>
      </c>
      <c r="C39" s="18">
        <f>(2305.0/B39*100)</f>
        <v/>
      </c>
      <c r="D39" s="19" t="n">
        <v>652</v>
      </c>
      <c r="E39" s="18" t="n">
        <v>59.37091792</v>
      </c>
      <c r="F39" s="20" t="n">
        <v>2.46079739</v>
      </c>
      <c r="G39" s="18" t="n">
        <v>39.68597947</v>
      </c>
      <c r="H39" s="20" t="n">
        <v>2.50374495</v>
      </c>
      <c r="I39" s="18" t="s">
        <v>567</v>
      </c>
      <c r="J39" s="20" t="s">
        <v>567</v>
      </c>
      <c r="K39" s="18" t="n">
        <v>0</v>
      </c>
      <c r="L39" s="20" t="n">
        <v>0</v>
      </c>
      <c r="M39" s="18" t="n">
        <v>0</v>
      </c>
      <c r="N39" s="20" t="n">
        <v>0</v>
      </c>
      <c r="O39" s="18" t="n">
        <v>0</v>
      </c>
      <c r="P39" s="20" t="n">
        <v>0</v>
      </c>
      <c r="Q39" s="18" t="n">
        <v>0.94310261</v>
      </c>
      <c r="R39" s="20" t="n">
        <v>0.38400855</v>
      </c>
    </row>
    <row r="40" spans="1:18">
      <c r="A40" s="15" t="s">
        <v>600</v>
      </c>
      <c r="B40" s="17" t="n">
        <v>7235</v>
      </c>
      <c r="C40" s="18">
        <f>(5671.0/B40*100)</f>
        <v/>
      </c>
      <c r="D40" s="19" t="n">
        <v>1564</v>
      </c>
      <c r="E40" s="18" t="n">
        <v>54.50815416</v>
      </c>
      <c r="F40" s="20" t="n">
        <v>2.25098883</v>
      </c>
      <c r="G40" s="18" t="n">
        <v>44.81997351</v>
      </c>
      <c r="H40" s="20" t="n">
        <v>2.25067843</v>
      </c>
      <c r="I40" s="18" t="s">
        <v>567</v>
      </c>
      <c r="J40" s="20" t="s">
        <v>567</v>
      </c>
      <c r="K40" s="18" t="n">
        <v>0.04332693</v>
      </c>
      <c r="L40" s="20" t="n">
        <v>0.03255202</v>
      </c>
      <c r="M40" s="18" t="n">
        <v>0</v>
      </c>
      <c r="N40" s="20" t="n">
        <v>0</v>
      </c>
      <c r="O40" s="18" t="n">
        <v>0</v>
      </c>
      <c r="P40" s="20" t="n">
        <v>0</v>
      </c>
      <c r="Q40" s="18" t="n">
        <v>0.6285454</v>
      </c>
      <c r="R40" s="20" t="n">
        <v>0.20460374</v>
      </c>
    </row>
    <row r="41" spans="1:18">
      <c r="A41" s="15" t="s">
        <v>601</v>
      </c>
      <c r="B41" s="17" t="n">
        <v>2858</v>
      </c>
      <c r="C41" s="18">
        <f>(2207.0/B41*100)</f>
        <v/>
      </c>
      <c r="D41" s="19" t="n">
        <v>651</v>
      </c>
      <c r="E41" s="18" t="n">
        <v>39.43653962</v>
      </c>
      <c r="F41" s="20" t="n">
        <v>2.02399073</v>
      </c>
      <c r="G41" s="18" t="n">
        <v>59.31233418</v>
      </c>
      <c r="H41" s="20" t="n">
        <v>2.11137759</v>
      </c>
      <c r="I41" s="18" t="s">
        <v>567</v>
      </c>
      <c r="J41" s="20" t="s">
        <v>567</v>
      </c>
      <c r="K41" s="18" t="n">
        <v>0.19078015</v>
      </c>
      <c r="L41" s="20" t="n">
        <v>0.16327346</v>
      </c>
      <c r="M41" s="18" t="n">
        <v>0</v>
      </c>
      <c r="N41" s="20" t="n">
        <v>0</v>
      </c>
      <c r="O41" s="18" t="n">
        <v>0</v>
      </c>
      <c r="P41" s="20" t="n">
        <v>0</v>
      </c>
      <c r="Q41" s="18" t="n">
        <v>1.06034605</v>
      </c>
      <c r="R41" s="20" t="n">
        <v>0.39414469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(8822.0/B46*100)</f>
        <v/>
      </c>
      <c r="D46" s="19" t="n">
        <v>2246</v>
      </c>
      <c r="E46" s="18" t="n">
        <v>65.14541257</v>
      </c>
      <c r="F46" s="20" t="n">
        <v>1.59540028</v>
      </c>
      <c r="G46" s="18" t="n">
        <v>32.83775579</v>
      </c>
      <c r="H46" s="20" t="n">
        <v>1.54231063</v>
      </c>
      <c r="I46" s="18" t="s">
        <v>567</v>
      </c>
      <c r="J46" s="20" t="s">
        <v>567</v>
      </c>
      <c r="K46" s="18" t="n">
        <v>0.25556052</v>
      </c>
      <c r="L46" s="20" t="n">
        <v>0.13988244</v>
      </c>
      <c r="M46" s="18" t="n">
        <v>0</v>
      </c>
      <c r="N46" s="20" t="n">
        <v>0</v>
      </c>
      <c r="O46" s="18" t="n">
        <v>0</v>
      </c>
      <c r="P46" s="20" t="n">
        <v>0</v>
      </c>
      <c r="Q46" s="18" t="n">
        <v>1.76127112</v>
      </c>
      <c r="R46" s="20" t="n">
        <v>0.36620448</v>
      </c>
    </row>
    <row r="47" spans="1:18">
      <c r="A47" s="15" t="s">
        <v>607</v>
      </c>
      <c r="B47" s="17" t="n">
        <v>3105</v>
      </c>
      <c r="C47" s="18">
        <f>(2438.0/B47*100)</f>
        <v/>
      </c>
      <c r="D47" s="19" t="n">
        <v>667</v>
      </c>
      <c r="E47" s="18" t="n">
        <v>51.16016157</v>
      </c>
      <c r="F47" s="20" t="n">
        <v>1.84562009</v>
      </c>
      <c r="G47" s="18" t="n">
        <v>47.16255529</v>
      </c>
      <c r="H47" s="20" t="n">
        <v>1.93110481</v>
      </c>
      <c r="I47" s="18" t="s">
        <v>567</v>
      </c>
      <c r="J47" s="20" t="s">
        <v>567</v>
      </c>
      <c r="K47" s="18" t="n">
        <v>0</v>
      </c>
      <c r="L47" s="20" t="n">
        <v>0</v>
      </c>
      <c r="M47" s="18" t="n">
        <v>0</v>
      </c>
      <c r="N47" s="20" t="n">
        <v>0</v>
      </c>
      <c r="O47" s="18" t="n">
        <v>0</v>
      </c>
      <c r="P47" s="20" t="n">
        <v>0</v>
      </c>
      <c r="Q47" s="18" t="n">
        <v>1.67728314</v>
      </c>
      <c r="R47" s="20" t="n">
        <v>0.5413299</v>
      </c>
    </row>
    <row r="48" spans="1:18">
      <c r="A48" s="15" t="s">
        <v>608</v>
      </c>
      <c r="B48" s="17" t="n">
        <v>5159</v>
      </c>
      <c r="C48" s="18">
        <f>(4040.0/B48*100)</f>
        <v/>
      </c>
      <c r="D48" s="19" t="n">
        <v>1119</v>
      </c>
      <c r="E48" s="18" t="n">
        <v>42.24994655</v>
      </c>
      <c r="F48" s="20" t="n">
        <v>2.04024747</v>
      </c>
      <c r="G48" s="18" t="n">
        <v>57.139168</v>
      </c>
      <c r="H48" s="20" t="n">
        <v>2.05989099</v>
      </c>
      <c r="I48" s="18" t="s">
        <v>567</v>
      </c>
      <c r="J48" s="20" t="s">
        <v>567</v>
      </c>
      <c r="K48" s="18" t="n">
        <v>0</v>
      </c>
      <c r="L48" s="20" t="n">
        <v>0</v>
      </c>
      <c r="M48" s="18" t="n">
        <v>0</v>
      </c>
      <c r="N48" s="20" t="n">
        <v>0</v>
      </c>
      <c r="O48" s="18" t="n">
        <v>0</v>
      </c>
      <c r="P48" s="20" t="n">
        <v>0</v>
      </c>
      <c r="Q48" s="18" t="n">
        <v>0.61088544</v>
      </c>
      <c r="R48" s="20" t="n">
        <v>0.32565191</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(4428.0/B50*100)</f>
        <v/>
      </c>
      <c r="D50" s="19" t="n">
        <v>1209</v>
      </c>
      <c r="E50" s="18" t="n">
        <v>63.74464408</v>
      </c>
      <c r="F50" s="20" t="n">
        <v>1.85331863</v>
      </c>
      <c r="G50" s="18" t="n">
        <v>34.19735681</v>
      </c>
      <c r="H50" s="20" t="n">
        <v>1.89229057</v>
      </c>
      <c r="I50" s="18" t="s">
        <v>567</v>
      </c>
      <c r="J50" s="20" t="s">
        <v>567</v>
      </c>
      <c r="K50" s="18" t="n">
        <v>1.00282282</v>
      </c>
      <c r="L50" s="20" t="n">
        <v>0.48707507</v>
      </c>
      <c r="M50" s="18" t="n">
        <v>0</v>
      </c>
      <c r="N50" s="20" t="n">
        <v>0</v>
      </c>
      <c r="O50" s="18" t="n">
        <v>0</v>
      </c>
      <c r="P50" s="20" t="n">
        <v>0</v>
      </c>
      <c r="Q50" s="18" t="n">
        <v>1.05517629</v>
      </c>
      <c r="R50" s="20" t="n">
        <v>0.43776197</v>
      </c>
    </row>
    <row r="51" spans="1:18">
      <c r="A51" s="15" t="s">
        <v>611</v>
      </c>
      <c r="B51" s="17" t="n">
        <v>3372</v>
      </c>
      <c r="C51" s="18">
        <f>(2705.0/B51*100)</f>
        <v/>
      </c>
      <c r="D51" s="19" t="n">
        <v>667</v>
      </c>
      <c r="E51" s="18" t="n">
        <v>57.55912961</v>
      </c>
      <c r="F51" s="20" t="n">
        <v>1.86712259</v>
      </c>
      <c r="G51" s="18" t="n">
        <v>41.65862639</v>
      </c>
      <c r="H51" s="20" t="n">
        <v>1.94910875</v>
      </c>
      <c r="I51" s="18" t="s">
        <v>567</v>
      </c>
      <c r="J51" s="20" t="s">
        <v>567</v>
      </c>
      <c r="K51" s="18" t="n">
        <v>0.36365853</v>
      </c>
      <c r="L51" s="20" t="n">
        <v>0.24630658</v>
      </c>
      <c r="M51" s="18" t="n">
        <v>0</v>
      </c>
      <c r="N51" s="20" t="n">
        <v>0</v>
      </c>
      <c r="O51" s="18" t="n">
        <v>0</v>
      </c>
      <c r="P51" s="20" t="n">
        <v>0</v>
      </c>
      <c r="Q51" s="18" t="n">
        <v>0.41858547</v>
      </c>
      <c r="R51" s="20" t="n">
        <v>0.23899972</v>
      </c>
    </row>
    <row r="52" spans="1:18">
      <c r="A52" s="15" t="s">
        <v>612</v>
      </c>
      <c r="B52" s="17" t="n">
        <v>2796</v>
      </c>
      <c r="C52" s="18">
        <f>(2176.0/B52*100)</f>
        <v/>
      </c>
      <c r="D52" s="19" t="n">
        <v>620</v>
      </c>
      <c r="E52" s="18" t="n">
        <v>33.01522625</v>
      </c>
      <c r="F52" s="20" t="n">
        <v>1.97552981</v>
      </c>
      <c r="G52" s="18" t="n">
        <v>66.311408</v>
      </c>
      <c r="H52" s="20" t="n">
        <v>2.0129065</v>
      </c>
      <c r="I52" s="18" t="s">
        <v>567</v>
      </c>
      <c r="J52" s="20" t="s">
        <v>567</v>
      </c>
      <c r="K52" s="18" t="n">
        <v>0</v>
      </c>
      <c r="L52" s="20" t="n">
        <v>0</v>
      </c>
      <c r="M52" s="18" t="n">
        <v>0</v>
      </c>
      <c r="N52" s="20" t="n">
        <v>0</v>
      </c>
      <c r="O52" s="18" t="n">
        <v>0</v>
      </c>
      <c r="P52" s="20" t="n">
        <v>0</v>
      </c>
      <c r="Q52" s="18" t="n">
        <v>0.67336574</v>
      </c>
      <c r="R52" s="20" t="n">
        <v>0.33554457</v>
      </c>
    </row>
    <row r="53" spans="1:18">
      <c r="A53" s="15" t="s">
        <v>613</v>
      </c>
      <c r="B53" s="17" t="n">
        <v>2811</v>
      </c>
      <c r="C53" s="18">
        <f>(2183.0/B53*100)</f>
        <v/>
      </c>
      <c r="D53" s="19" t="n">
        <v>628</v>
      </c>
      <c r="E53" s="18" t="n">
        <v>56.24178506</v>
      </c>
      <c r="F53" s="20" t="n">
        <v>1.98609269</v>
      </c>
      <c r="G53" s="18" t="n">
        <v>39.86387493</v>
      </c>
      <c r="H53" s="20" t="n">
        <v>1.94440097</v>
      </c>
      <c r="I53" s="18" t="s">
        <v>567</v>
      </c>
      <c r="J53" s="20" t="s">
        <v>567</v>
      </c>
      <c r="K53" s="18" t="n">
        <v>0.35253127</v>
      </c>
      <c r="L53" s="20" t="n">
        <v>0.20352545</v>
      </c>
      <c r="M53" s="18" t="n">
        <v>0</v>
      </c>
      <c r="N53" s="20" t="n">
        <v>0</v>
      </c>
      <c r="O53" s="18" t="n">
        <v>0</v>
      </c>
      <c r="P53" s="20" t="n">
        <v>0</v>
      </c>
      <c r="Q53" s="18" t="n">
        <v>3.54180874</v>
      </c>
      <c r="R53" s="20" t="n">
        <v>0.7688315999999999</v>
      </c>
    </row>
    <row r="54" spans="1:18">
      <c r="A54" s="15" t="s">
        <v>614</v>
      </c>
      <c r="B54" s="17" t="n">
        <v>2266</v>
      </c>
      <c r="C54" s="18">
        <f>(1762.0/B54*100)</f>
        <v/>
      </c>
      <c r="D54" s="19" t="n">
        <v>504</v>
      </c>
      <c r="E54" s="18" t="n">
        <v>74.17062093</v>
      </c>
      <c r="F54" s="20" t="n">
        <v>2.2789461</v>
      </c>
      <c r="G54" s="18" t="n">
        <v>16.17766471</v>
      </c>
      <c r="H54" s="20" t="n">
        <v>2.08141511</v>
      </c>
      <c r="I54" s="18" t="s">
        <v>567</v>
      </c>
      <c r="J54" s="20" t="s">
        <v>567</v>
      </c>
      <c r="K54" s="18" t="n">
        <v>5.10644873</v>
      </c>
      <c r="L54" s="20" t="n">
        <v>0.92755466</v>
      </c>
      <c r="M54" s="18" t="n">
        <v>0</v>
      </c>
      <c r="N54" s="20" t="n">
        <v>0</v>
      </c>
      <c r="O54" s="18" t="n">
        <v>0</v>
      </c>
      <c r="P54" s="20" t="n">
        <v>0</v>
      </c>
      <c r="Q54" s="18" t="n">
        <v>4.54526563</v>
      </c>
      <c r="R54" s="20" t="n">
        <v>1.02228056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(2073.0/B56*100)</f>
        <v/>
      </c>
      <c r="D56" s="19" t="n">
        <v>611</v>
      </c>
      <c r="E56" s="18" t="n">
        <v>35.31660569</v>
      </c>
      <c r="F56" s="20" t="n">
        <v>2.33320862</v>
      </c>
      <c r="G56" s="18" t="n">
        <v>63.64114429</v>
      </c>
      <c r="H56" s="20" t="n">
        <v>2.41491757</v>
      </c>
      <c r="I56" s="18" t="s">
        <v>567</v>
      </c>
      <c r="J56" s="20" t="s">
        <v>567</v>
      </c>
      <c r="K56" s="18" t="n">
        <v>0.3222329</v>
      </c>
      <c r="L56" s="20" t="n">
        <v>0.22745379</v>
      </c>
      <c r="M56" s="18" t="n">
        <v>0</v>
      </c>
      <c r="N56" s="20" t="n">
        <v>0</v>
      </c>
      <c r="O56" s="18" t="n">
        <v>0</v>
      </c>
      <c r="P56" s="20" t="n">
        <v>0</v>
      </c>
      <c r="Q56" s="18" t="n">
        <v>0.72001713</v>
      </c>
      <c r="R56" s="20" t="n">
        <v>0.34308633</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(2580.0/B61*100)</f>
        <v/>
      </c>
      <c r="D61" s="19" t="n">
        <v>744</v>
      </c>
      <c r="E61" s="18" t="n">
        <v>39.13450783</v>
      </c>
      <c r="F61" s="20" t="n">
        <v>2.00840075</v>
      </c>
      <c r="G61" s="18" t="n">
        <v>60.1450731</v>
      </c>
      <c r="H61" s="20" t="n">
        <v>2.07647591</v>
      </c>
      <c r="I61" s="18" t="s">
        <v>567</v>
      </c>
      <c r="J61" s="20" t="s">
        <v>567</v>
      </c>
      <c r="K61" s="18" t="n">
        <v>0.16744388</v>
      </c>
      <c r="L61" s="20" t="n">
        <v>0.1635812</v>
      </c>
      <c r="M61" s="18" t="n">
        <v>0</v>
      </c>
      <c r="N61" s="20" t="n">
        <v>0</v>
      </c>
      <c r="O61" s="18" t="n">
        <v>0</v>
      </c>
      <c r="P61" s="20" t="n">
        <v>0</v>
      </c>
      <c r="Q61" s="18" t="n">
        <v>0.5529751899999999</v>
      </c>
      <c r="R61" s="20" t="n">
        <v>0.29769234</v>
      </c>
    </row>
    <row r="62" spans="1:18">
      <c r="A62" s="15" t="s">
        <v>622</v>
      </c>
      <c r="B62" s="17" t="n">
        <v>2246</v>
      </c>
      <c r="C62" s="18">
        <f>(1740.0/B62*100)</f>
        <v/>
      </c>
      <c r="D62" s="19" t="n">
        <v>506</v>
      </c>
      <c r="E62" s="18" t="n">
        <v>50.96683601</v>
      </c>
      <c r="F62" s="20" t="n">
        <v>2.15594675</v>
      </c>
      <c r="G62" s="18" t="n">
        <v>49.03316399</v>
      </c>
      <c r="H62" s="20" t="n">
        <v>2.15594675</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(2247.0/B66*100)</f>
        <v/>
      </c>
      <c r="D66" s="19" t="n">
        <v>647</v>
      </c>
      <c r="E66" s="18" t="n">
        <v>61.05710412</v>
      </c>
      <c r="F66" s="20" t="n">
        <v>1.98185336</v>
      </c>
      <c r="G66" s="18" t="n">
        <v>35.90583854</v>
      </c>
      <c r="H66" s="20" t="n">
        <v>1.96027489</v>
      </c>
      <c r="I66" s="18" t="s">
        <v>567</v>
      </c>
      <c r="J66" s="20" t="s">
        <v>567</v>
      </c>
      <c r="K66" s="18" t="n">
        <v>0.20669482</v>
      </c>
      <c r="L66" s="20" t="n">
        <v>0.2062412</v>
      </c>
      <c r="M66" s="18" t="n">
        <v>0</v>
      </c>
      <c r="N66" s="20" t="n">
        <v>0</v>
      </c>
      <c r="O66" s="18" t="n">
        <v>0</v>
      </c>
      <c r="P66" s="20" t="n">
        <v>0</v>
      </c>
      <c r="Q66" s="18" t="n">
        <v>2.83036252</v>
      </c>
      <c r="R66" s="20" t="n">
        <v>0.64541711</v>
      </c>
    </row>
    <row r="67" spans="1:18">
      <c r="A67" s="15" t="s">
        <v>627</v>
      </c>
      <c r="B67" s="17" t="n">
        <v>3511</v>
      </c>
      <c r="C67" s="18">
        <f>(2751.0/B67*100)</f>
        <v/>
      </c>
      <c r="D67" s="19" t="n">
        <v>760</v>
      </c>
      <c r="E67" s="18" t="n">
        <v>68.63971823</v>
      </c>
      <c r="F67" s="20" t="n">
        <v>1.75320708</v>
      </c>
      <c r="G67" s="18" t="n">
        <v>29.62353866</v>
      </c>
      <c r="H67" s="20" t="n">
        <v>1.68809802</v>
      </c>
      <c r="I67" s="18" t="s">
        <v>567</v>
      </c>
      <c r="J67" s="20" t="s">
        <v>567</v>
      </c>
      <c r="K67" s="18" t="n">
        <v>0</v>
      </c>
      <c r="L67" s="20" t="n">
        <v>0</v>
      </c>
      <c r="M67" s="18" t="n">
        <v>0</v>
      </c>
      <c r="N67" s="20" t="n">
        <v>0</v>
      </c>
      <c r="O67" s="18" t="n">
        <v>0</v>
      </c>
      <c r="P67" s="20" t="n">
        <v>0</v>
      </c>
      <c r="Q67" s="18" t="n">
        <v>1.7367431</v>
      </c>
      <c r="R67" s="20" t="n">
        <v>0.52409733</v>
      </c>
    </row>
    <row r="68" spans="1:18">
      <c r="A68" s="15" t="s">
        <v>628</v>
      </c>
      <c r="B68" s="17" t="n">
        <v>6049</v>
      </c>
      <c r="C68" s="18">
        <f>(4720.0/B68*100)</f>
        <v/>
      </c>
      <c r="D68" s="19" t="n">
        <v>1329</v>
      </c>
      <c r="E68" s="18" t="n">
        <v>70.58964415</v>
      </c>
      <c r="F68" s="20" t="n">
        <v>1.29887193</v>
      </c>
      <c r="G68" s="18" t="n">
        <v>24.4580798</v>
      </c>
      <c r="H68" s="20" t="n">
        <v>1.1623911</v>
      </c>
      <c r="I68" s="18" t="s">
        <v>567</v>
      </c>
      <c r="J68" s="20" t="s">
        <v>567</v>
      </c>
      <c r="K68" s="18" t="n">
        <v>0.75434701</v>
      </c>
      <c r="L68" s="20" t="n">
        <v>0.258919</v>
      </c>
      <c r="M68" s="18" t="n">
        <v>0</v>
      </c>
      <c r="N68" s="20" t="n">
        <v>0</v>
      </c>
      <c r="O68" s="18" t="n">
        <v>0</v>
      </c>
      <c r="P68" s="20" t="n">
        <v>0</v>
      </c>
      <c r="Q68" s="18" t="n">
        <v>4.19792904</v>
      </c>
      <c r="R68" s="20" t="n">
        <v>0.5912199299999999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(2283.0/B70*100)</f>
        <v/>
      </c>
      <c r="D70" s="19" t="n">
        <v>646</v>
      </c>
      <c r="E70" s="18" t="n">
        <v>44.39426476</v>
      </c>
      <c r="F70" s="20" t="n">
        <v>2.42084644</v>
      </c>
      <c r="G70" s="18" t="n">
        <v>54.85706324</v>
      </c>
      <c r="H70" s="20" t="n">
        <v>2.48378957</v>
      </c>
      <c r="I70" s="18" t="s">
        <v>567</v>
      </c>
      <c r="J70" s="20" t="s">
        <v>567</v>
      </c>
      <c r="K70" s="18" t="n">
        <v>0</v>
      </c>
      <c r="L70" s="20" t="n">
        <v>0</v>
      </c>
      <c r="M70" s="18" t="n">
        <v>0</v>
      </c>
      <c r="N70" s="20" t="n">
        <v>0</v>
      </c>
      <c r="O70" s="18" t="n">
        <v>0</v>
      </c>
      <c r="P70" s="20" t="n">
        <v>0</v>
      </c>
      <c r="Q70" s="18" t="n">
        <v>0.748672</v>
      </c>
      <c r="R70" s="20" t="n">
        <v>0.49845624</v>
      </c>
    </row>
    <row r="71" spans="1:18">
      <c r="A71" s="15" t="s">
        <v>631</v>
      </c>
      <c r="B71" s="17" t="n">
        <v>3142</v>
      </c>
      <c r="C71" s="18">
        <f>(2447.0/B71*100)</f>
        <v/>
      </c>
      <c r="D71" s="19" t="n">
        <v>695</v>
      </c>
      <c r="E71" s="18" t="n">
        <v>48.41144751</v>
      </c>
      <c r="F71" s="20" t="n">
        <v>1.93686642</v>
      </c>
      <c r="G71" s="18" t="n">
        <v>51.31975634</v>
      </c>
      <c r="H71" s="20" t="n">
        <v>1.92642796</v>
      </c>
      <c r="I71" s="18" t="s">
        <v>567</v>
      </c>
      <c r="J71" s="20" t="s">
        <v>567</v>
      </c>
      <c r="K71" s="18" t="n">
        <v>0</v>
      </c>
      <c r="L71" s="20" t="n">
        <v>0</v>
      </c>
      <c r="M71" s="18" t="n">
        <v>0</v>
      </c>
      <c r="N71" s="20" t="n">
        <v>0</v>
      </c>
      <c r="O71" s="18" t="n">
        <v>0</v>
      </c>
      <c r="P71" s="20" t="n">
        <v>0</v>
      </c>
      <c r="Q71" s="18" t="n">
        <v>0.26879615</v>
      </c>
      <c r="R71" s="20" t="n">
        <v>0.18660013</v>
      </c>
    </row>
    <row r="72" spans="1:18">
      <c r="A72" s="15" t="s">
        <v>632</v>
      </c>
      <c r="B72" s="17" t="n">
        <v>3889</v>
      </c>
      <c r="C72" s="18">
        <f>(2989.0/B72*100)</f>
        <v/>
      </c>
      <c r="D72" s="19" t="n">
        <v>900</v>
      </c>
      <c r="E72" s="18" t="n">
        <v>40.53379474</v>
      </c>
      <c r="F72" s="20" t="n">
        <v>1.67114261</v>
      </c>
      <c r="G72" s="18" t="n">
        <v>59.14059222</v>
      </c>
      <c r="H72" s="20" t="n">
        <v>1.67540199</v>
      </c>
      <c r="I72" s="18" t="s">
        <v>567</v>
      </c>
      <c r="J72" s="20" t="s">
        <v>567</v>
      </c>
      <c r="K72" s="18" t="n">
        <v>0</v>
      </c>
      <c r="L72" s="20" t="n">
        <v>0</v>
      </c>
      <c r="M72" s="18" t="n">
        <v>0</v>
      </c>
      <c r="N72" s="20" t="n">
        <v>0</v>
      </c>
      <c r="O72" s="18" t="n">
        <v>0</v>
      </c>
      <c r="P72" s="20" t="n">
        <v>0</v>
      </c>
      <c r="Q72" s="18" t="n">
        <v>0.32561304</v>
      </c>
      <c r="R72" s="20" t="n">
        <v>0.1720801</v>
      </c>
    </row>
    <row r="73" spans="1:18">
      <c r="A73" s="15" t="s">
        <v>633</v>
      </c>
      <c r="B73" s="17" t="n">
        <v>3597</v>
      </c>
      <c r="C73" s="18">
        <f>(2828.0/B73*100)</f>
        <v/>
      </c>
      <c r="D73" s="19" t="n">
        <v>769</v>
      </c>
      <c r="E73" s="18" t="n">
        <v>65.9475736</v>
      </c>
      <c r="F73" s="20" t="n">
        <v>1.71388913</v>
      </c>
      <c r="G73" s="18" t="n">
        <v>32.83191794</v>
      </c>
      <c r="H73" s="20" t="n">
        <v>1.7545154</v>
      </c>
      <c r="I73" s="18" t="s">
        <v>567</v>
      </c>
      <c r="J73" s="20" t="s">
        <v>567</v>
      </c>
      <c r="K73" s="18" t="n">
        <v>0</v>
      </c>
      <c r="L73" s="20" t="n">
        <v>0</v>
      </c>
      <c r="M73" s="18" t="n">
        <v>0</v>
      </c>
      <c r="N73" s="20" t="n">
        <v>0</v>
      </c>
      <c r="O73" s="18" t="n">
        <v>0</v>
      </c>
      <c r="P73" s="20" t="n">
        <v>0</v>
      </c>
      <c r="Q73" s="18" t="n">
        <v>1.22050845</v>
      </c>
      <c r="R73" s="20" t="n">
        <v>0.57144368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(1920.0/B75*100)</f>
        <v/>
      </c>
      <c r="D75" s="19" t="n">
        <v>486</v>
      </c>
      <c r="E75" s="18" t="n">
        <v>61.66404241</v>
      </c>
      <c r="F75" s="20" t="n">
        <v>2.39100154</v>
      </c>
      <c r="G75" s="18" t="n">
        <v>35.44424407</v>
      </c>
      <c r="H75" s="20" t="n">
        <v>2.35937716</v>
      </c>
      <c r="I75" s="18" t="s">
        <v>567</v>
      </c>
      <c r="J75" s="20" t="s">
        <v>567</v>
      </c>
      <c r="K75" s="18" t="n">
        <v>1.10970028</v>
      </c>
      <c r="L75" s="20" t="n">
        <v>0.49503284</v>
      </c>
      <c r="M75" s="18" t="n">
        <v>0</v>
      </c>
      <c r="N75" s="20" t="n">
        <v>0</v>
      </c>
      <c r="O75" s="18" t="n">
        <v>0</v>
      </c>
      <c r="P75" s="20" t="n">
        <v>0</v>
      </c>
      <c r="Q75" s="18" t="n">
        <v>1.78201325</v>
      </c>
      <c r="R75" s="20" t="n">
        <v>0.62464749</v>
      </c>
    </row>
    <row r="76" spans="1:18">
      <c r="A76" s="15" t="s">
        <v>636</v>
      </c>
      <c r="B76" s="17" t="n">
        <v>7052</v>
      </c>
      <c r="C76" s="18">
        <f>(5538.0/B76*100)</f>
        <v/>
      </c>
      <c r="D76" s="19" t="n">
        <v>1514</v>
      </c>
      <c r="E76" s="18" t="n">
        <v>63.65945959</v>
      </c>
      <c r="F76" s="20" t="n">
        <v>1.57201853</v>
      </c>
      <c r="G76" s="18" t="n">
        <v>32.56377846</v>
      </c>
      <c r="H76" s="20" t="n">
        <v>1.74881852</v>
      </c>
      <c r="I76" s="18" t="s">
        <v>567</v>
      </c>
      <c r="J76" s="20" t="s">
        <v>567</v>
      </c>
      <c r="K76" s="18" t="n">
        <v>0.93053716</v>
      </c>
      <c r="L76" s="20" t="n">
        <v>0.31634852</v>
      </c>
      <c r="M76" s="18" t="n">
        <v>0</v>
      </c>
      <c r="N76" s="20" t="n">
        <v>0</v>
      </c>
      <c r="O76" s="18" t="n">
        <v>0</v>
      </c>
      <c r="P76" s="20" t="n">
        <v>0</v>
      </c>
      <c r="Q76" s="18" t="n">
        <v>2.8462248</v>
      </c>
      <c r="R76" s="20" t="n">
        <v>0.7593164100000001</v>
      </c>
    </row>
    <row r="77" spans="1:18">
      <c r="A77" s="15" t="s">
        <v>637</v>
      </c>
      <c r="B77" s="17" t="n">
        <v>2908</v>
      </c>
      <c r="C77" s="18">
        <f>(2277.0/B77*100)</f>
        <v/>
      </c>
      <c r="D77" s="19" t="n">
        <v>631</v>
      </c>
      <c r="E77" s="18" t="n">
        <v>47.88766549</v>
      </c>
      <c r="F77" s="20" t="n">
        <v>1.89895781</v>
      </c>
      <c r="G77" s="18" t="n">
        <v>48.12468386</v>
      </c>
      <c r="H77" s="20" t="n">
        <v>2.08715834</v>
      </c>
      <c r="I77" s="18" t="s">
        <v>567</v>
      </c>
      <c r="J77" s="20" t="s">
        <v>567</v>
      </c>
      <c r="K77" s="18" t="n">
        <v>0.67633038</v>
      </c>
      <c r="L77" s="20" t="n">
        <v>0.36335282</v>
      </c>
      <c r="M77" s="18" t="n">
        <v>0</v>
      </c>
      <c r="N77" s="20" t="n">
        <v>0</v>
      </c>
      <c r="O77" s="18" t="n">
        <v>0</v>
      </c>
      <c r="P77" s="20" t="n">
        <v>0</v>
      </c>
      <c r="Q77" s="18" t="n">
        <v>3.31132027</v>
      </c>
      <c r="R77" s="20" t="n">
        <v>0.79071284</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(3253.0/B81*100)</f>
        <v/>
      </c>
      <c r="D81" s="19" t="n">
        <v>910</v>
      </c>
      <c r="E81" s="18" t="n">
        <v>70.33280583</v>
      </c>
      <c r="F81" s="20" t="n">
        <v>1.80521441</v>
      </c>
      <c r="G81" s="18" t="n">
        <v>29.48399287</v>
      </c>
      <c r="H81" s="20" t="n">
        <v>1.79516879</v>
      </c>
      <c r="I81" s="18" t="s">
        <v>567</v>
      </c>
      <c r="J81" s="20" t="s">
        <v>567</v>
      </c>
      <c r="K81" s="18" t="n">
        <v>0</v>
      </c>
      <c r="L81" s="20" t="n">
        <v>0</v>
      </c>
      <c r="M81" s="18" t="n">
        <v>0</v>
      </c>
      <c r="N81" s="20" t="n">
        <v>0</v>
      </c>
      <c r="O81" s="18" t="n">
        <v>0</v>
      </c>
      <c r="P81" s="20" t="n">
        <v>0</v>
      </c>
      <c r="Q81" s="18" t="n">
        <v>0.1832013</v>
      </c>
      <c r="R81" s="20" t="n">
        <v>0.18155962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(5706.0/B7*100)</f>
        <v/>
      </c>
      <c r="D7" s="19" t="n">
        <v>1661</v>
      </c>
      <c r="E7" s="18" t="n">
        <v>72.74628154</v>
      </c>
      <c r="F7" s="20" t="n">
        <v>1.19480086</v>
      </c>
      <c r="G7" s="18" t="n">
        <v>26.58068972</v>
      </c>
      <c r="H7" s="20" t="n">
        <v>1.20106489</v>
      </c>
      <c r="I7" s="18" t="s">
        <v>567</v>
      </c>
      <c r="J7" s="20" t="s">
        <v>567</v>
      </c>
      <c r="K7" s="18" t="n">
        <v>0.06602701</v>
      </c>
      <c r="L7" s="20" t="n">
        <v>0.0366986</v>
      </c>
      <c r="M7" s="18" t="n">
        <v>0</v>
      </c>
      <c r="N7" s="20" t="n">
        <v>0</v>
      </c>
      <c r="O7" s="18" t="n">
        <v>0</v>
      </c>
      <c r="P7" s="20" t="n">
        <v>0</v>
      </c>
      <c r="Q7" s="18" t="n">
        <v>0.60700174</v>
      </c>
      <c r="R7" s="20" t="n">
        <v>0.23420029</v>
      </c>
    </row>
    <row r="8" spans="1:18">
      <c r="A8" s="15" t="s">
        <v>568</v>
      </c>
      <c r="B8" s="17" t="n">
        <v>3564</v>
      </c>
      <c r="C8" s="18">
        <f>(2771.0/B8*100)</f>
        <v/>
      </c>
      <c r="D8" s="19" t="n">
        <v>793</v>
      </c>
      <c r="E8" s="18" t="n">
        <v>65.76659613</v>
      </c>
      <c r="F8" s="20" t="n">
        <v>1.92916014</v>
      </c>
      <c r="G8" s="18" t="n">
        <v>33.88323277</v>
      </c>
      <c r="H8" s="20" t="n">
        <v>1.92722084</v>
      </c>
      <c r="I8" s="18" t="s">
        <v>567</v>
      </c>
      <c r="J8" s="20" t="s">
        <v>567</v>
      </c>
      <c r="K8" s="18" t="n">
        <v>0.14926913</v>
      </c>
      <c r="L8" s="20" t="n">
        <v>0.14469837</v>
      </c>
      <c r="M8" s="18" t="n">
        <v>0</v>
      </c>
      <c r="N8" s="20" t="n">
        <v>0</v>
      </c>
      <c r="O8" s="18" t="n">
        <v>0</v>
      </c>
      <c r="P8" s="20" t="n">
        <v>0</v>
      </c>
      <c r="Q8" s="18" t="n">
        <v>0.20090198</v>
      </c>
      <c r="R8" s="20" t="n">
        <v>0.11950513</v>
      </c>
    </row>
    <row r="9" spans="1:18">
      <c r="A9" s="15" t="s">
        <v>569</v>
      </c>
      <c r="B9" s="17" t="n">
        <v>4899</v>
      </c>
      <c r="C9" s="18">
        <f>(3855.0/B9*100)</f>
        <v/>
      </c>
      <c r="D9" s="19" t="n">
        <v>1044</v>
      </c>
      <c r="E9" s="18" t="n">
        <v>62.71322811</v>
      </c>
      <c r="F9" s="20" t="n">
        <v>1.70719611</v>
      </c>
      <c r="G9" s="18" t="n">
        <v>36.68516917</v>
      </c>
      <c r="H9" s="20" t="n">
        <v>1.69971143</v>
      </c>
      <c r="I9" s="18" t="s">
        <v>567</v>
      </c>
      <c r="J9" s="20" t="s">
        <v>567</v>
      </c>
      <c r="K9" s="18" t="n">
        <v>0</v>
      </c>
      <c r="L9" s="20" t="n">
        <v>0</v>
      </c>
      <c r="M9" s="18" t="n">
        <v>0</v>
      </c>
      <c r="N9" s="20" t="n">
        <v>0</v>
      </c>
      <c r="O9" s="18" t="n">
        <v>0</v>
      </c>
      <c r="P9" s="20" t="n">
        <v>0</v>
      </c>
      <c r="Q9" s="18" t="n">
        <v>0.60160272</v>
      </c>
      <c r="R9" s="20" t="n">
        <v>0.25021385</v>
      </c>
    </row>
    <row r="10" spans="1:18">
      <c r="A10" s="15" t="s">
        <v>570</v>
      </c>
      <c r="B10" s="17" t="n">
        <v>10036</v>
      </c>
      <c r="C10" s="18">
        <f>(7782.0/B10*100)</f>
        <v/>
      </c>
      <c r="D10" s="19" t="n">
        <v>2254</v>
      </c>
      <c r="E10" s="18" t="n">
        <v>66.04489685999999</v>
      </c>
      <c r="F10" s="20" t="n">
        <v>1.52224703</v>
      </c>
      <c r="G10" s="18" t="n">
        <v>33.65820985</v>
      </c>
      <c r="H10" s="20" t="n">
        <v>1.53269833</v>
      </c>
      <c r="I10" s="18" t="s">
        <v>567</v>
      </c>
      <c r="J10" s="20" t="s">
        <v>567</v>
      </c>
      <c r="K10" s="18" t="n">
        <v>0.2026725</v>
      </c>
      <c r="L10" s="20" t="n">
        <v>0.12858027</v>
      </c>
      <c r="M10" s="18" t="n">
        <v>0</v>
      </c>
      <c r="N10" s="20" t="n">
        <v>0</v>
      </c>
      <c r="O10" s="18" t="n">
        <v>0</v>
      </c>
      <c r="P10" s="20" t="n">
        <v>0</v>
      </c>
      <c r="Q10" s="18" t="n">
        <v>0.09422079</v>
      </c>
      <c r="R10" s="20" t="n">
        <v>0.04925782</v>
      </c>
    </row>
    <row r="11" spans="1:18">
      <c r="A11" s="15" t="s">
        <v>571</v>
      </c>
      <c r="B11" s="17" t="n">
        <v>3553</v>
      </c>
      <c r="C11" s="18">
        <f>(2785.0/B11*100)</f>
        <v/>
      </c>
      <c r="D11" s="19" t="n">
        <v>768</v>
      </c>
      <c r="E11" s="18" t="n">
        <v>79.39870965</v>
      </c>
      <c r="F11" s="20" t="n">
        <v>2.06592782</v>
      </c>
      <c r="G11" s="18" t="n">
        <v>19.20259451</v>
      </c>
      <c r="H11" s="20" t="n">
        <v>2.02016582</v>
      </c>
      <c r="I11" s="18" t="s">
        <v>567</v>
      </c>
      <c r="J11" s="20" t="s">
        <v>567</v>
      </c>
      <c r="K11" s="18" t="n">
        <v>0.71768603</v>
      </c>
      <c r="L11" s="20" t="n">
        <v>0.43688584</v>
      </c>
      <c r="M11" s="18" t="n">
        <v>0</v>
      </c>
      <c r="N11" s="20" t="n">
        <v>0</v>
      </c>
      <c r="O11" s="18" t="n">
        <v>0</v>
      </c>
      <c r="P11" s="20" t="n">
        <v>0</v>
      </c>
      <c r="Q11" s="18" t="n">
        <v>0.6810098</v>
      </c>
      <c r="R11" s="20" t="n">
        <v>0.4188321</v>
      </c>
    </row>
    <row r="12" spans="1:18">
      <c r="A12" s="15" t="s">
        <v>572</v>
      </c>
      <c r="B12" s="17" t="n">
        <v>3472</v>
      </c>
      <c r="C12" s="18">
        <f>(2713.0/B12*100)</f>
        <v/>
      </c>
      <c r="D12" s="19" t="n">
        <v>759</v>
      </c>
      <c r="E12" s="18" t="n">
        <v>65.57674737000001</v>
      </c>
      <c r="F12" s="20" t="n">
        <v>2.35845218</v>
      </c>
      <c r="G12" s="18" t="n">
        <v>34.06400855</v>
      </c>
      <c r="H12" s="20" t="n">
        <v>2.36611091</v>
      </c>
      <c r="I12" s="18" t="s">
        <v>567</v>
      </c>
      <c r="J12" s="20" t="s">
        <v>567</v>
      </c>
      <c r="K12" s="18" t="n">
        <v>0.12297556</v>
      </c>
      <c r="L12" s="20" t="n">
        <v>0.12604584</v>
      </c>
      <c r="M12" s="18" t="n">
        <v>0</v>
      </c>
      <c r="N12" s="20" t="n">
        <v>0</v>
      </c>
      <c r="O12" s="18" t="n">
        <v>0</v>
      </c>
      <c r="P12" s="20" t="n">
        <v>0</v>
      </c>
      <c r="Q12" s="18" t="n">
        <v>0.23626852</v>
      </c>
      <c r="R12" s="20" t="n">
        <v>0.16489072</v>
      </c>
    </row>
    <row r="13" spans="1:18">
      <c r="A13" s="15" t="s">
        <v>573</v>
      </c>
      <c r="B13" s="17" t="n">
        <v>3559</v>
      </c>
      <c r="C13" s="18">
        <f>(2782.0/B13*100)</f>
        <v/>
      </c>
      <c r="D13" s="19" t="n">
        <v>777</v>
      </c>
      <c r="E13" s="18" t="n">
        <v>66.72550525</v>
      </c>
      <c r="F13" s="20" t="n">
        <v>2.07738936</v>
      </c>
      <c r="G13" s="18" t="n">
        <v>32.67428314</v>
      </c>
      <c r="H13" s="20" t="n">
        <v>2.03208316</v>
      </c>
      <c r="I13" s="18" t="s">
        <v>567</v>
      </c>
      <c r="J13" s="20" t="s">
        <v>567</v>
      </c>
      <c r="K13" s="18" t="n">
        <v>0.07604063</v>
      </c>
      <c r="L13" s="20" t="n">
        <v>0.07669984000000001</v>
      </c>
      <c r="M13" s="18" t="n">
        <v>0</v>
      </c>
      <c r="N13" s="20" t="n">
        <v>0</v>
      </c>
      <c r="O13" s="18" t="n">
        <v>0</v>
      </c>
      <c r="P13" s="20" t="n">
        <v>0</v>
      </c>
      <c r="Q13" s="18" t="n">
        <v>0.52417097</v>
      </c>
      <c r="R13" s="20" t="n">
        <v>0.26279054</v>
      </c>
    </row>
    <row r="14" spans="1:18">
      <c r="A14" s="15" t="s">
        <v>574</v>
      </c>
      <c r="B14" s="17" t="n">
        <v>2799</v>
      </c>
      <c r="C14" s="18">
        <f>(2215.0/B14*100)</f>
        <v/>
      </c>
      <c r="D14" s="19" t="n">
        <v>584</v>
      </c>
      <c r="E14" s="18" t="n">
        <v>56.15691741</v>
      </c>
      <c r="F14" s="20" t="n">
        <v>2.47422414</v>
      </c>
      <c r="G14" s="18" t="n">
        <v>43.32274292</v>
      </c>
      <c r="H14" s="20" t="n">
        <v>2.47965071</v>
      </c>
      <c r="I14" s="18" t="s">
        <v>567</v>
      </c>
      <c r="J14" s="20" t="s">
        <v>567</v>
      </c>
      <c r="K14" s="18" t="n">
        <v>0.14236436</v>
      </c>
      <c r="L14" s="20" t="n">
        <v>0.14229489</v>
      </c>
      <c r="M14" s="18" t="n">
        <v>0</v>
      </c>
      <c r="N14" s="20" t="n">
        <v>0</v>
      </c>
      <c r="O14" s="18" t="n">
        <v>0</v>
      </c>
      <c r="P14" s="20" t="n">
        <v>0</v>
      </c>
      <c r="Q14" s="18" t="n">
        <v>0.37797531</v>
      </c>
      <c r="R14" s="20" t="n">
        <v>0.23017453</v>
      </c>
    </row>
    <row r="15" spans="1:18">
      <c r="A15" s="15" t="s">
        <v>575</v>
      </c>
      <c r="B15" s="17" t="n">
        <v>3019</v>
      </c>
      <c r="C15" s="18">
        <f>(2374.0/B15*100)</f>
        <v/>
      </c>
      <c r="D15" s="19" t="n">
        <v>645</v>
      </c>
      <c r="E15" s="18" t="n">
        <v>60.01456886</v>
      </c>
      <c r="F15" s="20" t="n">
        <v>1.91568345</v>
      </c>
      <c r="G15" s="18" t="n">
        <v>39.81180063</v>
      </c>
      <c r="H15" s="20" t="n">
        <v>1.92231428</v>
      </c>
      <c r="I15" s="18" t="s">
        <v>567</v>
      </c>
      <c r="J15" s="20" t="s">
        <v>567</v>
      </c>
      <c r="K15" s="18" t="n">
        <v>0</v>
      </c>
      <c r="L15" s="20" t="n">
        <v>0</v>
      </c>
      <c r="M15" s="18" t="n">
        <v>0</v>
      </c>
      <c r="N15" s="20" t="n">
        <v>0</v>
      </c>
      <c r="O15" s="18" t="n">
        <v>0</v>
      </c>
      <c r="P15" s="20" t="n">
        <v>0</v>
      </c>
      <c r="Q15" s="18" t="n">
        <v>0.17363051</v>
      </c>
      <c r="R15" s="20" t="n">
        <v>0.18839014</v>
      </c>
    </row>
    <row r="16" spans="1:18">
      <c r="A16" s="15" t="s">
        <v>576</v>
      </c>
      <c r="B16" s="17" t="n">
        <v>2997</v>
      </c>
      <c r="C16" s="18">
        <f>(2360.0/B16*100)</f>
        <v/>
      </c>
      <c r="D16" s="19" t="n">
        <v>637</v>
      </c>
      <c r="E16" s="18" t="n">
        <v>67.00216797</v>
      </c>
      <c r="F16" s="20" t="n">
        <v>2.02000283</v>
      </c>
      <c r="G16" s="18" t="n">
        <v>31.96308553</v>
      </c>
      <c r="H16" s="20" t="n">
        <v>2.11717271</v>
      </c>
      <c r="I16" s="18" t="s">
        <v>567</v>
      </c>
      <c r="J16" s="20" t="s">
        <v>567</v>
      </c>
      <c r="K16" s="18" t="n">
        <v>0.19349236</v>
      </c>
      <c r="L16" s="20" t="n">
        <v>0.15476974</v>
      </c>
      <c r="M16" s="18" t="n">
        <v>0</v>
      </c>
      <c r="N16" s="20" t="n">
        <v>0</v>
      </c>
      <c r="O16" s="18" t="n">
        <v>0</v>
      </c>
      <c r="P16" s="20" t="n">
        <v>0</v>
      </c>
      <c r="Q16" s="18" t="n">
        <v>0.84125414</v>
      </c>
      <c r="R16" s="20" t="n">
        <v>0.4118167</v>
      </c>
    </row>
    <row r="17" spans="1:18">
      <c r="A17" s="15" t="s">
        <v>577</v>
      </c>
      <c r="B17" s="17" t="n">
        <v>3307</v>
      </c>
      <c r="C17" s="18">
        <f>(2582.0/B17*100)</f>
        <v/>
      </c>
      <c r="D17" s="19" t="n">
        <v>725</v>
      </c>
      <c r="E17" s="18" t="n">
        <v>62.77243317</v>
      </c>
      <c r="F17" s="20" t="n">
        <v>1.64582809</v>
      </c>
      <c r="G17" s="18" t="n">
        <v>36.66240346</v>
      </c>
      <c r="H17" s="20" t="n">
        <v>1.6188488</v>
      </c>
      <c r="I17" s="18" t="s">
        <v>567</v>
      </c>
      <c r="J17" s="20" t="s">
        <v>567</v>
      </c>
      <c r="K17" s="18" t="n">
        <v>0.42609145</v>
      </c>
      <c r="L17" s="20" t="n">
        <v>0.20691742</v>
      </c>
      <c r="M17" s="18" t="n">
        <v>0</v>
      </c>
      <c r="N17" s="20" t="n">
        <v>0</v>
      </c>
      <c r="O17" s="18" t="n">
        <v>0</v>
      </c>
      <c r="P17" s="20" t="n">
        <v>0</v>
      </c>
      <c r="Q17" s="18" t="n">
        <v>0.13907192</v>
      </c>
      <c r="R17" s="20" t="n">
        <v>0.13873881</v>
      </c>
    </row>
    <row r="18" spans="1:18">
      <c r="A18" s="15" t="s">
        <v>578</v>
      </c>
      <c r="B18" s="17" t="n">
        <v>2826</v>
      </c>
      <c r="C18" s="18">
        <f>(2227.0/B18*100)</f>
        <v/>
      </c>
      <c r="D18" s="19" t="n">
        <v>599</v>
      </c>
      <c r="E18" s="18" t="n">
        <v>73.89666613</v>
      </c>
      <c r="F18" s="20" t="n">
        <v>1.76207128</v>
      </c>
      <c r="G18" s="18" t="n">
        <v>24.55728284</v>
      </c>
      <c r="H18" s="20" t="n">
        <v>1.72363147</v>
      </c>
      <c r="I18" s="18" t="s">
        <v>567</v>
      </c>
      <c r="J18" s="20" t="s">
        <v>567</v>
      </c>
      <c r="K18" s="18" t="n">
        <v>0.32497746</v>
      </c>
      <c r="L18" s="20" t="n">
        <v>0.23425607</v>
      </c>
      <c r="M18" s="18" t="n">
        <v>0</v>
      </c>
      <c r="N18" s="20" t="n">
        <v>0</v>
      </c>
      <c r="O18" s="18" t="n">
        <v>0</v>
      </c>
      <c r="P18" s="20" t="n">
        <v>0</v>
      </c>
      <c r="Q18" s="18" t="n">
        <v>1.22107358</v>
      </c>
      <c r="R18" s="20" t="n">
        <v>0.45411317</v>
      </c>
    </row>
    <row r="19" spans="1:18">
      <c r="A19" s="15" t="s">
        <v>579</v>
      </c>
      <c r="B19" s="17" t="n">
        <v>2808</v>
      </c>
      <c r="C19" s="18">
        <f>(2137.0/B19*100)</f>
        <v/>
      </c>
      <c r="D19" s="19" t="n">
        <v>671</v>
      </c>
      <c r="E19" s="18" t="n">
        <v>66.75353741000001</v>
      </c>
      <c r="F19" s="20" t="n">
        <v>1.87555064</v>
      </c>
      <c r="G19" s="18" t="n">
        <v>32.5826657</v>
      </c>
      <c r="H19" s="20" t="n">
        <v>1.9872554</v>
      </c>
      <c r="I19" s="18" t="s">
        <v>567</v>
      </c>
      <c r="J19" s="20" t="s">
        <v>567</v>
      </c>
      <c r="K19" s="18" t="n">
        <v>0.11689581</v>
      </c>
      <c r="L19" s="20" t="n">
        <v>0.11623253</v>
      </c>
      <c r="M19" s="18" t="n">
        <v>0</v>
      </c>
      <c r="N19" s="20" t="n">
        <v>0</v>
      </c>
      <c r="O19" s="18" t="n">
        <v>0</v>
      </c>
      <c r="P19" s="20" t="n">
        <v>0</v>
      </c>
      <c r="Q19" s="18" t="n">
        <v>0.54690108</v>
      </c>
      <c r="R19" s="20" t="n">
        <v>0.37415246</v>
      </c>
    </row>
    <row r="20" spans="1:18">
      <c r="A20" s="15" t="s">
        <v>580</v>
      </c>
      <c r="B20" s="17" t="n">
        <v>1630</v>
      </c>
      <c r="C20" s="18">
        <f>(1246.0/B20*100)</f>
        <v/>
      </c>
      <c r="D20" s="19" t="n">
        <v>384</v>
      </c>
      <c r="E20" s="18" t="n">
        <v>74.34133082</v>
      </c>
      <c r="F20" s="20" t="n">
        <v>2.11949279</v>
      </c>
      <c r="G20" s="18" t="n">
        <v>24.56364769</v>
      </c>
      <c r="H20" s="20" t="n">
        <v>2.03425733</v>
      </c>
      <c r="I20" s="18" t="s">
        <v>567</v>
      </c>
      <c r="J20" s="20" t="s">
        <v>567</v>
      </c>
      <c r="K20" s="18" t="n">
        <v>0</v>
      </c>
      <c r="L20" s="20" t="n">
        <v>0</v>
      </c>
      <c r="M20" s="18" t="n">
        <v>0</v>
      </c>
      <c r="N20" s="20" t="n">
        <v>0</v>
      </c>
      <c r="O20" s="18" t="n">
        <v>0</v>
      </c>
      <c r="P20" s="20" t="n">
        <v>0</v>
      </c>
      <c r="Q20" s="18" t="n">
        <v>1.09502149</v>
      </c>
      <c r="R20" s="20" t="n">
        <v>0.46323686</v>
      </c>
    </row>
    <row r="21" spans="1:18">
      <c r="A21" s="15" t="s">
        <v>581</v>
      </c>
      <c r="B21" s="17" t="n">
        <v>2908</v>
      </c>
      <c r="C21" s="18">
        <f>(2272.0/B21*100)</f>
        <v/>
      </c>
      <c r="D21" s="19" t="n">
        <v>636</v>
      </c>
      <c r="E21" s="18" t="n">
        <v>78.14720586999999</v>
      </c>
      <c r="F21" s="20" t="n">
        <v>1.85349953</v>
      </c>
      <c r="G21" s="18" t="n">
        <v>21.70725502</v>
      </c>
      <c r="H21" s="20" t="n">
        <v>1.84034935</v>
      </c>
      <c r="I21" s="18" t="s">
        <v>567</v>
      </c>
      <c r="J21" s="20" t="s">
        <v>567</v>
      </c>
      <c r="K21" s="18" t="n">
        <v>0</v>
      </c>
      <c r="L21" s="20" t="n">
        <v>0</v>
      </c>
      <c r="M21" s="18" t="n">
        <v>0</v>
      </c>
      <c r="N21" s="20" t="n">
        <v>0</v>
      </c>
      <c r="O21" s="18" t="n">
        <v>0</v>
      </c>
      <c r="P21" s="20" t="n">
        <v>0</v>
      </c>
      <c r="Q21" s="18" t="n">
        <v>0.1455391</v>
      </c>
      <c r="R21" s="20" t="n">
        <v>0.12847189</v>
      </c>
    </row>
    <row r="22" spans="1:18">
      <c r="A22" s="15" t="s">
        <v>582</v>
      </c>
      <c r="B22" s="17" t="n">
        <v>2931</v>
      </c>
      <c r="C22" s="18">
        <f>(2295.0/B22*100)</f>
        <v/>
      </c>
      <c r="D22" s="19" t="n">
        <v>636</v>
      </c>
      <c r="E22" s="18" t="n">
        <v>68.98774378</v>
      </c>
      <c r="F22" s="20" t="n">
        <v>2.34817763</v>
      </c>
      <c r="G22" s="18" t="n">
        <v>29.34870308</v>
      </c>
      <c r="H22" s="20" t="n">
        <v>2.20685479</v>
      </c>
      <c r="I22" s="18" t="s">
        <v>567</v>
      </c>
      <c r="J22" s="20" t="s">
        <v>567</v>
      </c>
      <c r="K22" s="18" t="n">
        <v>0.71418023</v>
      </c>
      <c r="L22" s="20" t="n">
        <v>0.3735617</v>
      </c>
      <c r="M22" s="18" t="n">
        <v>0</v>
      </c>
      <c r="N22" s="20" t="n">
        <v>0</v>
      </c>
      <c r="O22" s="18" t="n">
        <v>0</v>
      </c>
      <c r="P22" s="20" t="n">
        <v>0</v>
      </c>
      <c r="Q22" s="18" t="n">
        <v>0.94937291</v>
      </c>
      <c r="R22" s="20" t="n">
        <v>0.41744094</v>
      </c>
    </row>
    <row r="23" spans="1:18">
      <c r="A23" s="15" t="s">
        <v>583</v>
      </c>
      <c r="B23" s="17" t="n">
        <v>5791</v>
      </c>
      <c r="C23" s="18">
        <f>(4466.0/B23*100)</f>
        <v/>
      </c>
      <c r="D23" s="19" t="n">
        <v>1325</v>
      </c>
      <c r="E23" s="18" t="n">
        <v>71.41960953</v>
      </c>
      <c r="F23" s="20" t="n">
        <v>1.93701132</v>
      </c>
      <c r="G23" s="18" t="n">
        <v>28.27348595</v>
      </c>
      <c r="H23" s="20" t="n">
        <v>1.93889363</v>
      </c>
      <c r="I23" s="18" t="s">
        <v>567</v>
      </c>
      <c r="J23" s="20" t="s">
        <v>567</v>
      </c>
      <c r="K23" s="18" t="n">
        <v>0.15557484</v>
      </c>
      <c r="L23" s="20" t="n">
        <v>0.15565689</v>
      </c>
      <c r="M23" s="18" t="n">
        <v>0</v>
      </c>
      <c r="N23" s="20" t="n">
        <v>0</v>
      </c>
      <c r="O23" s="18" t="n">
        <v>0</v>
      </c>
      <c r="P23" s="20" t="n">
        <v>0</v>
      </c>
      <c r="Q23" s="18" t="n">
        <v>0.15132967</v>
      </c>
      <c r="R23" s="20" t="n">
        <v>0.11620915</v>
      </c>
    </row>
    <row r="24" spans="1:18">
      <c r="A24" s="15" t="s">
        <v>584</v>
      </c>
      <c r="B24" s="17" t="n">
        <v>3338</v>
      </c>
      <c r="C24" s="18">
        <f>(2611.0/B24*100)</f>
        <v/>
      </c>
      <c r="D24" s="19" t="n">
        <v>727</v>
      </c>
      <c r="E24" s="18" t="n">
        <v>56.02451615</v>
      </c>
      <c r="F24" s="20" t="n">
        <v>2.24942625</v>
      </c>
      <c r="G24" s="18" t="n">
        <v>43.72359696</v>
      </c>
      <c r="H24" s="20" t="n">
        <v>2.23602298</v>
      </c>
      <c r="I24" s="18" t="s">
        <v>567</v>
      </c>
      <c r="J24" s="20" t="s">
        <v>567</v>
      </c>
      <c r="K24" s="18" t="n">
        <v>0</v>
      </c>
      <c r="L24" s="20" t="n">
        <v>0</v>
      </c>
      <c r="M24" s="18" t="n">
        <v>0</v>
      </c>
      <c r="N24" s="20" t="n">
        <v>0</v>
      </c>
      <c r="O24" s="18" t="n">
        <v>0</v>
      </c>
      <c r="P24" s="20" t="n">
        <v>0</v>
      </c>
      <c r="Q24" s="18" t="n">
        <v>0.25188689</v>
      </c>
      <c r="R24" s="20" t="n">
        <v>0.17830048</v>
      </c>
    </row>
    <row r="25" spans="1:18">
      <c r="A25" s="15" t="s">
        <v>585</v>
      </c>
      <c r="B25" s="17" t="n">
        <v>2912</v>
      </c>
      <c r="C25" s="18">
        <f>(2244.0/B25*100)</f>
        <v/>
      </c>
      <c r="D25" s="19" t="n">
        <v>668</v>
      </c>
      <c r="E25" s="18" t="n">
        <v>57.347593</v>
      </c>
      <c r="F25" s="20" t="n">
        <v>1.80618253</v>
      </c>
      <c r="G25" s="18" t="n">
        <v>41.72997228</v>
      </c>
      <c r="H25" s="20" t="n">
        <v>1.82011544</v>
      </c>
      <c r="I25" s="18" t="s">
        <v>567</v>
      </c>
      <c r="J25" s="20" t="s">
        <v>567</v>
      </c>
      <c r="K25" s="18" t="n">
        <v>0.14448226</v>
      </c>
      <c r="L25" s="20" t="n">
        <v>0.14249271</v>
      </c>
      <c r="M25" s="18" t="n">
        <v>0</v>
      </c>
      <c r="N25" s="20" t="n">
        <v>0</v>
      </c>
      <c r="O25" s="18" t="n">
        <v>0</v>
      </c>
      <c r="P25" s="20" t="n">
        <v>0</v>
      </c>
      <c r="Q25" s="18" t="n">
        <v>0.77795246</v>
      </c>
      <c r="R25" s="20" t="n">
        <v>0.40558961</v>
      </c>
    </row>
    <row r="26" spans="1:18">
      <c r="A26" s="15" t="s">
        <v>586</v>
      </c>
      <c r="B26" s="17" t="n">
        <v>2450</v>
      </c>
      <c r="C26" s="18">
        <f>(1910.0/B26*100)</f>
        <v/>
      </c>
      <c r="D26" s="19" t="n">
        <v>540</v>
      </c>
      <c r="E26" s="18" t="n">
        <v>76.99306463000001</v>
      </c>
      <c r="F26" s="20" t="n">
        <v>1.93655229</v>
      </c>
      <c r="G26" s="18" t="n">
        <v>23.00693537</v>
      </c>
      <c r="H26" s="20" t="n">
        <v>1.93655229</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(2032.0/B27*100)</f>
        <v/>
      </c>
      <c r="D27" s="19" t="n">
        <v>584</v>
      </c>
      <c r="E27" s="18" t="n">
        <v>68.46566258</v>
      </c>
      <c r="F27" s="20" t="n">
        <v>1.86943578</v>
      </c>
      <c r="G27" s="18" t="n">
        <v>30.81265846</v>
      </c>
      <c r="H27" s="20" t="n">
        <v>1.85121629</v>
      </c>
      <c r="I27" s="18" t="s">
        <v>567</v>
      </c>
      <c r="J27" s="20" t="s">
        <v>567</v>
      </c>
      <c r="K27" s="18" t="n">
        <v>0</v>
      </c>
      <c r="L27" s="20" t="n">
        <v>0</v>
      </c>
      <c r="M27" s="18" t="n">
        <v>0</v>
      </c>
      <c r="N27" s="20" t="n">
        <v>0</v>
      </c>
      <c r="O27" s="18" t="n">
        <v>0</v>
      </c>
      <c r="P27" s="20" t="n">
        <v>0</v>
      </c>
      <c r="Q27" s="18" t="n">
        <v>0.72167896</v>
      </c>
      <c r="R27" s="20" t="n">
        <v>0.36151322</v>
      </c>
    </row>
    <row r="28" spans="1:18">
      <c r="A28" s="15" t="s">
        <v>588</v>
      </c>
      <c r="B28" s="17" t="n">
        <v>3765</v>
      </c>
      <c r="C28" s="18">
        <f>(2944.0/B28*100)</f>
        <v/>
      </c>
      <c r="D28" s="19" t="n">
        <v>821</v>
      </c>
      <c r="E28" s="18" t="n">
        <v>86.53583402</v>
      </c>
      <c r="F28" s="20" t="n">
        <v>1.29553475</v>
      </c>
      <c r="G28" s="18" t="n">
        <v>12.50333346</v>
      </c>
      <c r="H28" s="20" t="n">
        <v>1.25146206</v>
      </c>
      <c r="I28" s="18" t="s">
        <v>567</v>
      </c>
      <c r="J28" s="20" t="s">
        <v>567</v>
      </c>
      <c r="K28" s="18" t="n">
        <v>0.63805535</v>
      </c>
      <c r="L28" s="20" t="n">
        <v>0.32672998</v>
      </c>
      <c r="M28" s="18" t="n">
        <v>0</v>
      </c>
      <c r="N28" s="20" t="n">
        <v>0</v>
      </c>
      <c r="O28" s="18" t="n">
        <v>0</v>
      </c>
      <c r="P28" s="20" t="n">
        <v>0</v>
      </c>
      <c r="Q28" s="18" t="n">
        <v>0.32277716</v>
      </c>
      <c r="R28" s="20" t="n">
        <v>0.21859723</v>
      </c>
    </row>
    <row r="29" spans="1:18">
      <c r="A29" s="15" t="s">
        <v>589</v>
      </c>
      <c r="B29" s="17" t="n">
        <v>2685</v>
      </c>
      <c r="C29" s="18">
        <f>(2106.0/B29*100)</f>
        <v/>
      </c>
      <c r="D29" s="19" t="n">
        <v>579</v>
      </c>
      <c r="E29" s="18" t="n">
        <v>60.6025809</v>
      </c>
      <c r="F29" s="20" t="n">
        <v>1.96240922</v>
      </c>
      <c r="G29" s="18" t="n">
        <v>38.55319405</v>
      </c>
      <c r="H29" s="20" t="n">
        <v>1.91583664</v>
      </c>
      <c r="I29" s="18" t="s">
        <v>567</v>
      </c>
      <c r="J29" s="20" t="s">
        <v>567</v>
      </c>
      <c r="K29" s="18" t="n">
        <v>0.47262336</v>
      </c>
      <c r="L29" s="20" t="n">
        <v>0.26316876</v>
      </c>
      <c r="M29" s="18" t="n">
        <v>0</v>
      </c>
      <c r="N29" s="20" t="n">
        <v>0</v>
      </c>
      <c r="O29" s="18" t="n">
        <v>0</v>
      </c>
      <c r="P29" s="20" t="n">
        <v>0</v>
      </c>
      <c r="Q29" s="18" t="n">
        <v>0.3716017</v>
      </c>
      <c r="R29" s="20" t="n">
        <v>0.268663</v>
      </c>
    </row>
    <row r="30" spans="1:18">
      <c r="A30" s="15" t="s">
        <v>590</v>
      </c>
      <c r="B30" s="17" t="n">
        <v>2263</v>
      </c>
      <c r="C30" s="18">
        <f>(1772.0/B30*100)</f>
        <v/>
      </c>
      <c r="D30" s="19" t="n">
        <v>491</v>
      </c>
      <c r="E30" s="18" t="n">
        <v>68.65909392</v>
      </c>
      <c r="F30" s="20" t="n">
        <v>2.20452056</v>
      </c>
      <c r="G30" s="18" t="n">
        <v>30.56386925</v>
      </c>
      <c r="H30" s="20" t="n">
        <v>2.18037525</v>
      </c>
      <c r="I30" s="18" t="s">
        <v>567</v>
      </c>
      <c r="J30" s="20" t="s">
        <v>567</v>
      </c>
      <c r="K30" s="18" t="n">
        <v>0</v>
      </c>
      <c r="L30" s="20" t="n">
        <v>0</v>
      </c>
      <c r="M30" s="18" t="n">
        <v>0</v>
      </c>
      <c r="N30" s="20" t="n">
        <v>0</v>
      </c>
      <c r="O30" s="18" t="n">
        <v>0</v>
      </c>
      <c r="P30" s="20" t="n">
        <v>0</v>
      </c>
      <c r="Q30" s="18" t="n">
        <v>0.77703683</v>
      </c>
      <c r="R30" s="20" t="n">
        <v>0.36883604</v>
      </c>
    </row>
    <row r="31" spans="1:18">
      <c r="A31" s="15" t="s">
        <v>591</v>
      </c>
      <c r="B31" s="17" t="n">
        <v>2750</v>
      </c>
      <c r="C31" s="18">
        <f>(2159.0/B31*100)</f>
        <v/>
      </c>
      <c r="D31" s="19" t="n">
        <v>591</v>
      </c>
      <c r="E31" s="18" t="n">
        <v>66.91542075</v>
      </c>
      <c r="F31" s="20" t="n">
        <v>2.06210922</v>
      </c>
      <c r="G31" s="18" t="n">
        <v>32.59624777</v>
      </c>
      <c r="H31" s="20" t="n">
        <v>2.02821781</v>
      </c>
      <c r="I31" s="18" t="s">
        <v>567</v>
      </c>
      <c r="J31" s="20" t="s">
        <v>567</v>
      </c>
      <c r="K31" s="18" t="n">
        <v>0</v>
      </c>
      <c r="L31" s="20" t="n">
        <v>0</v>
      </c>
      <c r="M31" s="18" t="n">
        <v>0</v>
      </c>
      <c r="N31" s="20" t="n">
        <v>0</v>
      </c>
      <c r="O31" s="18" t="n">
        <v>0</v>
      </c>
      <c r="P31" s="20" t="n">
        <v>0</v>
      </c>
      <c r="Q31" s="18" t="n">
        <v>0.48833148</v>
      </c>
      <c r="R31" s="20" t="n">
        <v>0.27478907</v>
      </c>
    </row>
    <row r="32" spans="1:18">
      <c r="A32" s="15" t="s">
        <v>592</v>
      </c>
      <c r="B32" s="17" t="n">
        <v>2269</v>
      </c>
      <c r="C32" s="18">
        <f>(1758.0/B32*100)</f>
        <v/>
      </c>
      <c r="D32" s="19" t="n">
        <v>511</v>
      </c>
      <c r="E32" s="18" t="n">
        <v>64.78905141</v>
      </c>
      <c r="F32" s="20" t="n">
        <v>2.06285766</v>
      </c>
      <c r="G32" s="18" t="n">
        <v>34.65039906</v>
      </c>
      <c r="H32" s="20" t="n">
        <v>2.02360719</v>
      </c>
      <c r="I32" s="18" t="s">
        <v>567</v>
      </c>
      <c r="J32" s="20" t="s">
        <v>567</v>
      </c>
      <c r="K32" s="18" t="n">
        <v>0.17373248</v>
      </c>
      <c r="L32" s="20" t="n">
        <v>0.17317787</v>
      </c>
      <c r="M32" s="18" t="n">
        <v>0</v>
      </c>
      <c r="N32" s="20" t="n">
        <v>0</v>
      </c>
      <c r="O32" s="18" t="n">
        <v>0</v>
      </c>
      <c r="P32" s="20" t="n">
        <v>0</v>
      </c>
      <c r="Q32" s="18" t="n">
        <v>0.38681705</v>
      </c>
      <c r="R32" s="20" t="n">
        <v>0.27834848</v>
      </c>
    </row>
    <row r="33" spans="1:18">
      <c r="A33" s="15" t="s">
        <v>593</v>
      </c>
      <c r="B33" s="17" t="n">
        <v>3674</v>
      </c>
      <c r="C33" s="18">
        <f>(2878.0/B33*100)</f>
        <v/>
      </c>
      <c r="D33" s="19" t="n">
        <v>796</v>
      </c>
      <c r="E33" s="18" t="n">
        <v>66.29977588</v>
      </c>
      <c r="F33" s="20" t="n">
        <v>1.94399382</v>
      </c>
      <c r="G33" s="18" t="n">
        <v>33.12289652</v>
      </c>
      <c r="H33" s="20" t="n">
        <v>1.88969396</v>
      </c>
      <c r="I33" s="18" t="s">
        <v>567</v>
      </c>
      <c r="J33" s="20" t="s">
        <v>567</v>
      </c>
      <c r="K33" s="18" t="n">
        <v>0.27859938</v>
      </c>
      <c r="L33" s="20" t="n">
        <v>0.26538657</v>
      </c>
      <c r="M33" s="18" t="n">
        <v>0</v>
      </c>
      <c r="N33" s="20" t="n">
        <v>0</v>
      </c>
      <c r="O33" s="18" t="n">
        <v>0</v>
      </c>
      <c r="P33" s="20" t="n">
        <v>0</v>
      </c>
      <c r="Q33" s="18" t="n">
        <v>0.29872822</v>
      </c>
      <c r="R33" s="20" t="n">
        <v>0.20741315</v>
      </c>
    </row>
    <row r="34" spans="1:18">
      <c r="A34" s="15" t="s">
        <v>594</v>
      </c>
      <c r="B34" s="17" t="n">
        <v>3315</v>
      </c>
      <c r="C34" s="18">
        <f>(2609.0/B34*100)</f>
        <v/>
      </c>
      <c r="D34" s="19" t="n">
        <v>706</v>
      </c>
      <c r="E34" s="18" t="n">
        <v>68.25030627</v>
      </c>
      <c r="F34" s="20" t="n">
        <v>2.03126964</v>
      </c>
      <c r="G34" s="18" t="n">
        <v>30.79909926</v>
      </c>
      <c r="H34" s="20" t="n">
        <v>2.0461828</v>
      </c>
      <c r="I34" s="18" t="s">
        <v>567</v>
      </c>
      <c r="J34" s="20" t="s">
        <v>567</v>
      </c>
      <c r="K34" s="18" t="n">
        <v>0</v>
      </c>
      <c r="L34" s="20" t="n">
        <v>0</v>
      </c>
      <c r="M34" s="18" t="n">
        <v>0</v>
      </c>
      <c r="N34" s="20" t="n">
        <v>0</v>
      </c>
      <c r="O34" s="18" t="n">
        <v>0</v>
      </c>
      <c r="P34" s="20" t="n">
        <v>0</v>
      </c>
      <c r="Q34" s="18" t="n">
        <v>0.95059447</v>
      </c>
      <c r="R34" s="20" t="n">
        <v>0.30885506</v>
      </c>
    </row>
    <row r="35" spans="1:18">
      <c r="A35" s="15" t="s">
        <v>595</v>
      </c>
      <c r="B35" s="17" t="n">
        <v>3505</v>
      </c>
      <c r="C35" s="18">
        <f>(2745.0/B35*100)</f>
        <v/>
      </c>
      <c r="D35" s="19" t="n">
        <v>760</v>
      </c>
      <c r="E35" s="18" t="n">
        <v>61.60507545</v>
      </c>
      <c r="F35" s="20" t="n">
        <v>2.37250059</v>
      </c>
      <c r="G35" s="18" t="n">
        <v>37.98818824</v>
      </c>
      <c r="H35" s="20" t="n">
        <v>2.40028345</v>
      </c>
      <c r="I35" s="18" t="s">
        <v>567</v>
      </c>
      <c r="J35" s="20" t="s">
        <v>567</v>
      </c>
      <c r="K35" s="18" t="n">
        <v>0.12923606</v>
      </c>
      <c r="L35" s="20" t="n">
        <v>0.09416890999999999</v>
      </c>
      <c r="M35" s="18" t="n">
        <v>0</v>
      </c>
      <c r="N35" s="20" t="n">
        <v>0</v>
      </c>
      <c r="O35" s="18" t="n">
        <v>0</v>
      </c>
      <c r="P35" s="20" t="n">
        <v>0</v>
      </c>
      <c r="Q35" s="18" t="n">
        <v>0.27750026</v>
      </c>
      <c r="R35" s="20" t="n">
        <v>0.21428166</v>
      </c>
    </row>
    <row r="36" spans="1:18">
      <c r="A36" s="15" t="s">
        <v>596</v>
      </c>
      <c r="B36" s="17" t="n">
        <v>3332</v>
      </c>
      <c r="C36" s="18">
        <f>(2551.0/B36*100)</f>
        <v/>
      </c>
      <c r="D36" s="19" t="n">
        <v>781</v>
      </c>
      <c r="E36" s="18" t="n">
        <v>77.99990200000001</v>
      </c>
      <c r="F36" s="20" t="n">
        <v>1.52534481</v>
      </c>
      <c r="G36" s="18" t="n">
        <v>20.62179144</v>
      </c>
      <c r="H36" s="20" t="n">
        <v>1.46564241</v>
      </c>
      <c r="I36" s="18" t="s">
        <v>567</v>
      </c>
      <c r="J36" s="20" t="s">
        <v>567</v>
      </c>
      <c r="K36" s="18" t="n">
        <v>0.29784242</v>
      </c>
      <c r="L36" s="20" t="n">
        <v>0.25598396</v>
      </c>
      <c r="M36" s="18" t="n">
        <v>0</v>
      </c>
      <c r="N36" s="20" t="n">
        <v>0</v>
      </c>
      <c r="O36" s="18" t="n">
        <v>0</v>
      </c>
      <c r="P36" s="20" t="n">
        <v>0</v>
      </c>
      <c r="Q36" s="18" t="n">
        <v>1.08046415</v>
      </c>
      <c r="R36" s="20" t="n">
        <v>0.38459115</v>
      </c>
    </row>
    <row r="37" spans="1:18">
      <c r="A37" s="15" t="s">
        <v>597</v>
      </c>
      <c r="B37" s="17" t="n">
        <v>2727</v>
      </c>
      <c r="C37" s="18">
        <f>(2127.0/B37*100)</f>
        <v/>
      </c>
      <c r="D37" s="19" t="n">
        <v>600</v>
      </c>
      <c r="E37" s="18" t="n">
        <v>66.90442939</v>
      </c>
      <c r="F37" s="20" t="n">
        <v>1.9085107</v>
      </c>
      <c r="G37" s="18" t="n">
        <v>31.05338831</v>
      </c>
      <c r="H37" s="20" t="n">
        <v>2.04099715</v>
      </c>
      <c r="I37" s="18" t="s">
        <v>567</v>
      </c>
      <c r="J37" s="20" t="s">
        <v>567</v>
      </c>
      <c r="K37" s="18" t="n">
        <v>0.8094391</v>
      </c>
      <c r="L37" s="20" t="n">
        <v>0.3521542</v>
      </c>
      <c r="M37" s="18" t="n">
        <v>0</v>
      </c>
      <c r="N37" s="20" t="n">
        <v>0</v>
      </c>
      <c r="O37" s="18" t="n">
        <v>0</v>
      </c>
      <c r="P37" s="20" t="n">
        <v>0</v>
      </c>
      <c r="Q37" s="18" t="n">
        <v>1.23274321</v>
      </c>
      <c r="R37" s="20" t="n">
        <v>0.51873118</v>
      </c>
    </row>
    <row r="38" spans="1:18">
      <c r="A38" s="15" t="s">
        <v>598</v>
      </c>
      <c r="B38" s="17" t="n">
        <v>3053</v>
      </c>
      <c r="C38" s="18">
        <f>(2382.0/B38*100)</f>
        <v/>
      </c>
      <c r="D38" s="19" t="n">
        <v>671</v>
      </c>
      <c r="E38" s="18" t="n">
        <v>63.40922107</v>
      </c>
      <c r="F38" s="20" t="n">
        <v>1.89406212</v>
      </c>
      <c r="G38" s="18" t="n">
        <v>36.4007382</v>
      </c>
      <c r="H38" s="20" t="n">
        <v>1.89679685</v>
      </c>
      <c r="I38" s="18" t="s">
        <v>567</v>
      </c>
      <c r="J38" s="20" t="s">
        <v>567</v>
      </c>
      <c r="K38" s="18" t="n">
        <v>0</v>
      </c>
      <c r="L38" s="20" t="n">
        <v>0</v>
      </c>
      <c r="M38" s="18" t="n">
        <v>0</v>
      </c>
      <c r="N38" s="20" t="n">
        <v>0</v>
      </c>
      <c r="O38" s="18" t="n">
        <v>0</v>
      </c>
      <c r="P38" s="20" t="n">
        <v>0</v>
      </c>
      <c r="Q38" s="18" t="n">
        <v>0.19004073</v>
      </c>
      <c r="R38" s="20" t="n">
        <v>0.1771903</v>
      </c>
    </row>
    <row r="39" spans="1:18">
      <c r="A39" s="15" t="s">
        <v>599</v>
      </c>
      <c r="B39" s="17" t="n">
        <v>2957</v>
      </c>
      <c r="C39" s="18">
        <f>(2307.0/B39*100)</f>
        <v/>
      </c>
      <c r="D39" s="19" t="n">
        <v>650</v>
      </c>
      <c r="E39" s="18" t="n">
        <v>84.77558854999999</v>
      </c>
      <c r="F39" s="20" t="n">
        <v>1.91191116</v>
      </c>
      <c r="G39" s="18" t="n">
        <v>14.33041588</v>
      </c>
      <c r="H39" s="20" t="n">
        <v>1.89582943</v>
      </c>
      <c r="I39" s="18" t="s">
        <v>567</v>
      </c>
      <c r="J39" s="20" t="s">
        <v>567</v>
      </c>
      <c r="K39" s="18" t="n">
        <v>0</v>
      </c>
      <c r="L39" s="20" t="n">
        <v>0</v>
      </c>
      <c r="M39" s="18" t="n">
        <v>0</v>
      </c>
      <c r="N39" s="20" t="n">
        <v>0</v>
      </c>
      <c r="O39" s="18" t="n">
        <v>0</v>
      </c>
      <c r="P39" s="20" t="n">
        <v>0</v>
      </c>
      <c r="Q39" s="18" t="n">
        <v>0.89399557</v>
      </c>
      <c r="R39" s="20" t="n">
        <v>0.34895227</v>
      </c>
    </row>
    <row r="40" spans="1:18">
      <c r="A40" s="15" t="s">
        <v>600</v>
      </c>
      <c r="B40" s="17" t="n">
        <v>7235</v>
      </c>
      <c r="C40" s="18">
        <f>(5676.0/B40*100)</f>
        <v/>
      </c>
      <c r="D40" s="19" t="n">
        <v>1559</v>
      </c>
      <c r="E40" s="18" t="n">
        <v>76.15786316000001</v>
      </c>
      <c r="F40" s="20" t="n">
        <v>1.51142612</v>
      </c>
      <c r="G40" s="18" t="n">
        <v>23.65385711</v>
      </c>
      <c r="H40" s="20" t="n">
        <v>1.5141145</v>
      </c>
      <c r="I40" s="18" t="s">
        <v>567</v>
      </c>
      <c r="J40" s="20" t="s">
        <v>567</v>
      </c>
      <c r="K40" s="18" t="n">
        <v>0.0541827</v>
      </c>
      <c r="L40" s="20" t="n">
        <v>0.03444999</v>
      </c>
      <c r="M40" s="18" t="n">
        <v>0</v>
      </c>
      <c r="N40" s="20" t="n">
        <v>0</v>
      </c>
      <c r="O40" s="18" t="n">
        <v>0</v>
      </c>
      <c r="P40" s="20" t="n">
        <v>0</v>
      </c>
      <c r="Q40" s="18" t="n">
        <v>0.13409703</v>
      </c>
      <c r="R40" s="20" t="n">
        <v>0.0444615</v>
      </c>
    </row>
    <row r="41" spans="1:18">
      <c r="A41" s="15" t="s">
        <v>601</v>
      </c>
      <c r="B41" s="17" t="n">
        <v>2858</v>
      </c>
      <c r="C41" s="18">
        <f>(2209.0/B41*100)</f>
        <v/>
      </c>
      <c r="D41" s="19" t="n">
        <v>649</v>
      </c>
      <c r="E41" s="18" t="n">
        <v>67.45998621</v>
      </c>
      <c r="F41" s="20" t="n">
        <v>1.90505522</v>
      </c>
      <c r="G41" s="18" t="n">
        <v>30.96468848</v>
      </c>
      <c r="H41" s="20" t="n">
        <v>1.79755018</v>
      </c>
      <c r="I41" s="18" t="s">
        <v>567</v>
      </c>
      <c r="J41" s="20" t="s">
        <v>567</v>
      </c>
      <c r="K41" s="18" t="n">
        <v>0.19119429</v>
      </c>
      <c r="L41" s="20" t="n">
        <v>0.16370772</v>
      </c>
      <c r="M41" s="18" t="n">
        <v>0</v>
      </c>
      <c r="N41" s="20" t="n">
        <v>0</v>
      </c>
      <c r="O41" s="18" t="n">
        <v>0</v>
      </c>
      <c r="P41" s="20" t="n">
        <v>0</v>
      </c>
      <c r="Q41" s="18" t="n">
        <v>1.38413102</v>
      </c>
      <c r="R41" s="20" t="n">
        <v>0.54202611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(8915.0/B46*100)</f>
        <v/>
      </c>
      <c r="D46" s="19" t="n">
        <v>2153</v>
      </c>
      <c r="E46" s="18" t="n">
        <v>85.73035249</v>
      </c>
      <c r="F46" s="20" t="n">
        <v>1.20077949</v>
      </c>
      <c r="G46" s="18" t="n">
        <v>11.74377476</v>
      </c>
      <c r="H46" s="20" t="n">
        <v>1.18043753</v>
      </c>
      <c r="I46" s="18" t="s">
        <v>567</v>
      </c>
      <c r="J46" s="20" t="s">
        <v>567</v>
      </c>
      <c r="K46" s="18" t="n">
        <v>0.36921788</v>
      </c>
      <c r="L46" s="20" t="n">
        <v>0.165703</v>
      </c>
      <c r="M46" s="18" t="n">
        <v>0</v>
      </c>
      <c r="N46" s="20" t="n">
        <v>0</v>
      </c>
      <c r="O46" s="18" t="n">
        <v>0</v>
      </c>
      <c r="P46" s="20" t="n">
        <v>0</v>
      </c>
      <c r="Q46" s="18" t="n">
        <v>2.15665487</v>
      </c>
      <c r="R46" s="20" t="n">
        <v>0.47794395</v>
      </c>
    </row>
    <row r="47" spans="1:18">
      <c r="A47" s="15" t="s">
        <v>607</v>
      </c>
      <c r="B47" s="17" t="n">
        <v>3105</v>
      </c>
      <c r="C47" s="18">
        <f>(2441.0/B47*100)</f>
        <v/>
      </c>
      <c r="D47" s="19" t="n">
        <v>664</v>
      </c>
      <c r="E47" s="18" t="n">
        <v>83.59742396999999</v>
      </c>
      <c r="F47" s="20" t="n">
        <v>1.71943962</v>
      </c>
      <c r="G47" s="18" t="n">
        <v>15.82277307</v>
      </c>
      <c r="H47" s="20" t="n">
        <v>1.73642447</v>
      </c>
      <c r="I47" s="18" t="s">
        <v>567</v>
      </c>
      <c r="J47" s="20" t="s">
        <v>567</v>
      </c>
      <c r="K47" s="18" t="n">
        <v>0</v>
      </c>
      <c r="L47" s="20" t="n">
        <v>0</v>
      </c>
      <c r="M47" s="18" t="n">
        <v>0</v>
      </c>
      <c r="N47" s="20" t="n">
        <v>0</v>
      </c>
      <c r="O47" s="18" t="n">
        <v>0</v>
      </c>
      <c r="P47" s="20" t="n">
        <v>0</v>
      </c>
      <c r="Q47" s="18" t="n">
        <v>0.57980296</v>
      </c>
      <c r="R47" s="20" t="n">
        <v>0.30758988</v>
      </c>
    </row>
    <row r="48" spans="1:18">
      <c r="A48" s="15" t="s">
        <v>608</v>
      </c>
      <c r="B48" s="17" t="n">
        <v>5159</v>
      </c>
      <c r="C48" s="18">
        <f>(4041.0/B48*100)</f>
        <v/>
      </c>
      <c r="D48" s="19" t="n">
        <v>1118</v>
      </c>
      <c r="E48" s="18" t="n">
        <v>58.4760411</v>
      </c>
      <c r="F48" s="20" t="n">
        <v>2.57842864</v>
      </c>
      <c r="G48" s="18" t="n">
        <v>40.43940659</v>
      </c>
      <c r="H48" s="20" t="n">
        <v>2.56362939</v>
      </c>
      <c r="I48" s="18" t="s">
        <v>567</v>
      </c>
      <c r="J48" s="20" t="s">
        <v>567</v>
      </c>
      <c r="K48" s="18" t="n">
        <v>0.43145817</v>
      </c>
      <c r="L48" s="20" t="n">
        <v>0.31884772</v>
      </c>
      <c r="M48" s="18" t="n">
        <v>0</v>
      </c>
      <c r="N48" s="20" t="n">
        <v>0</v>
      </c>
      <c r="O48" s="18" t="n">
        <v>0</v>
      </c>
      <c r="P48" s="20" t="n">
        <v>0</v>
      </c>
      <c r="Q48" s="18" t="n">
        <v>0.6530941300000001</v>
      </c>
      <c r="R48" s="20" t="n">
        <v>0.29701113</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(4435.0/B50*100)</f>
        <v/>
      </c>
      <c r="D50" s="19" t="n">
        <v>1202</v>
      </c>
      <c r="E50" s="18" t="n">
        <v>84.78483206</v>
      </c>
      <c r="F50" s="20" t="n">
        <v>1.34237293</v>
      </c>
      <c r="G50" s="18" t="n">
        <v>13.41734748</v>
      </c>
      <c r="H50" s="20" t="n">
        <v>1.34722017</v>
      </c>
      <c r="I50" s="18" t="s">
        <v>567</v>
      </c>
      <c r="J50" s="20" t="s">
        <v>567</v>
      </c>
      <c r="K50" s="18" t="n">
        <v>1.19997626</v>
      </c>
      <c r="L50" s="20" t="n">
        <v>0.53169095</v>
      </c>
      <c r="M50" s="18" t="n">
        <v>0</v>
      </c>
      <c r="N50" s="20" t="n">
        <v>0</v>
      </c>
      <c r="O50" s="18" t="n">
        <v>0</v>
      </c>
      <c r="P50" s="20" t="n">
        <v>0</v>
      </c>
      <c r="Q50" s="18" t="n">
        <v>0.5978442</v>
      </c>
      <c r="R50" s="20" t="n">
        <v>0.32790149</v>
      </c>
    </row>
    <row r="51" spans="1:18">
      <c r="A51" s="15" t="s">
        <v>611</v>
      </c>
      <c r="B51" s="17" t="n">
        <v>3372</v>
      </c>
      <c r="C51" s="18">
        <f>(2713.0/B51*100)</f>
        <v/>
      </c>
      <c r="D51" s="19" t="n">
        <v>659</v>
      </c>
      <c r="E51" s="18" t="n">
        <v>87.90801027000001</v>
      </c>
      <c r="F51" s="20" t="n">
        <v>1.41945133</v>
      </c>
      <c r="G51" s="18" t="n">
        <v>11.2413802</v>
      </c>
      <c r="H51" s="20" t="n">
        <v>1.43214163</v>
      </c>
      <c r="I51" s="18" t="s">
        <v>567</v>
      </c>
      <c r="J51" s="20" t="s">
        <v>567</v>
      </c>
      <c r="K51" s="18" t="n">
        <v>0.59180084</v>
      </c>
      <c r="L51" s="20" t="n">
        <v>0.30212847</v>
      </c>
      <c r="M51" s="18" t="n">
        <v>0</v>
      </c>
      <c r="N51" s="20" t="n">
        <v>0</v>
      </c>
      <c r="O51" s="18" t="n">
        <v>0</v>
      </c>
      <c r="P51" s="20" t="n">
        <v>0</v>
      </c>
      <c r="Q51" s="18" t="n">
        <v>0.25880869</v>
      </c>
      <c r="R51" s="20" t="n">
        <v>0.19182175</v>
      </c>
    </row>
    <row r="52" spans="1:18">
      <c r="A52" s="15" t="s">
        <v>612</v>
      </c>
      <c r="B52" s="17" t="n">
        <v>2796</v>
      </c>
      <c r="C52" s="18">
        <f>(2176.0/B52*100)</f>
        <v/>
      </c>
      <c r="D52" s="19" t="n">
        <v>620</v>
      </c>
      <c r="E52" s="18" t="n">
        <v>70.99290010999999</v>
      </c>
      <c r="F52" s="20" t="n">
        <v>2.38958751</v>
      </c>
      <c r="G52" s="18" t="n">
        <v>28.56671744</v>
      </c>
      <c r="H52" s="20" t="n">
        <v>2.40575655</v>
      </c>
      <c r="I52" s="18" t="s">
        <v>567</v>
      </c>
      <c r="J52" s="20" t="s">
        <v>567</v>
      </c>
      <c r="K52" s="18" t="n">
        <v>0</v>
      </c>
      <c r="L52" s="20" t="n">
        <v>0</v>
      </c>
      <c r="M52" s="18" t="n">
        <v>0</v>
      </c>
      <c r="N52" s="20" t="n">
        <v>0</v>
      </c>
      <c r="O52" s="18" t="n">
        <v>0</v>
      </c>
      <c r="P52" s="20" t="n">
        <v>0</v>
      </c>
      <c r="Q52" s="18" t="n">
        <v>0.44038245</v>
      </c>
      <c r="R52" s="20" t="n">
        <v>0.26604569</v>
      </c>
    </row>
    <row r="53" spans="1:18">
      <c r="A53" s="15" t="s">
        <v>613</v>
      </c>
      <c r="B53" s="17" t="n">
        <v>2811</v>
      </c>
      <c r="C53" s="18">
        <f>(2185.0/B53*100)</f>
        <v/>
      </c>
      <c r="D53" s="19" t="n">
        <v>626</v>
      </c>
      <c r="E53" s="18" t="n">
        <v>77.34072424</v>
      </c>
      <c r="F53" s="20" t="n">
        <v>1.72632748</v>
      </c>
      <c r="G53" s="18" t="n">
        <v>20.79661381</v>
      </c>
      <c r="H53" s="20" t="n">
        <v>1.70377476</v>
      </c>
      <c r="I53" s="18" t="s">
        <v>567</v>
      </c>
      <c r="J53" s="20" t="s">
        <v>567</v>
      </c>
      <c r="K53" s="18" t="n">
        <v>0.35341269</v>
      </c>
      <c r="L53" s="20" t="n">
        <v>0.20429815</v>
      </c>
      <c r="M53" s="18" t="n">
        <v>0</v>
      </c>
      <c r="N53" s="20" t="n">
        <v>0</v>
      </c>
      <c r="O53" s="18" t="n">
        <v>0</v>
      </c>
      <c r="P53" s="20" t="n">
        <v>0</v>
      </c>
      <c r="Q53" s="18" t="n">
        <v>1.50924926</v>
      </c>
      <c r="R53" s="20" t="n">
        <v>0.53066095</v>
      </c>
    </row>
    <row r="54" spans="1:18">
      <c r="A54" s="15" t="s">
        <v>614</v>
      </c>
      <c r="B54" s="17" t="n">
        <v>2266</v>
      </c>
      <c r="C54" s="18">
        <f>(1762.0/B54*100)</f>
        <v/>
      </c>
      <c r="D54" s="19" t="n">
        <v>504</v>
      </c>
      <c r="E54" s="18" t="n">
        <v>87.71766798</v>
      </c>
      <c r="F54" s="20" t="n">
        <v>1.51224668</v>
      </c>
      <c r="G54" s="18" t="n">
        <v>3.17007914</v>
      </c>
      <c r="H54" s="20" t="n">
        <v>0.78667794</v>
      </c>
      <c r="I54" s="18" t="s">
        <v>567</v>
      </c>
      <c r="J54" s="20" t="s">
        <v>567</v>
      </c>
      <c r="K54" s="18" t="n">
        <v>7.00237842</v>
      </c>
      <c r="L54" s="20" t="n">
        <v>1.09664859</v>
      </c>
      <c r="M54" s="18" t="n">
        <v>0</v>
      </c>
      <c r="N54" s="20" t="n">
        <v>0</v>
      </c>
      <c r="O54" s="18" t="n">
        <v>0</v>
      </c>
      <c r="P54" s="20" t="n">
        <v>0</v>
      </c>
      <c r="Q54" s="18" t="n">
        <v>2.10987445</v>
      </c>
      <c r="R54" s="20" t="n">
        <v>0.66382802</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(2076.0/B56*100)</f>
        <v/>
      </c>
      <c r="D56" s="19" t="n">
        <v>608</v>
      </c>
      <c r="E56" s="18" t="n">
        <v>63.10773524</v>
      </c>
      <c r="F56" s="20" t="n">
        <v>1.93799756</v>
      </c>
      <c r="G56" s="18" t="n">
        <v>36.27961859</v>
      </c>
      <c r="H56" s="20" t="n">
        <v>1.93733268</v>
      </c>
      <c r="I56" s="18" t="s">
        <v>567</v>
      </c>
      <c r="J56" s="20" t="s">
        <v>567</v>
      </c>
      <c r="K56" s="18" t="n">
        <v>0.323606</v>
      </c>
      <c r="L56" s="20" t="n">
        <v>0.22870611</v>
      </c>
      <c r="M56" s="18" t="n">
        <v>0</v>
      </c>
      <c r="N56" s="20" t="n">
        <v>0</v>
      </c>
      <c r="O56" s="18" t="n">
        <v>0</v>
      </c>
      <c r="P56" s="20" t="n">
        <v>0</v>
      </c>
      <c r="Q56" s="18" t="n">
        <v>0.28904016</v>
      </c>
      <c r="R56" s="20" t="n">
        <v>0.2959275</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(2584.0/B61*100)</f>
        <v/>
      </c>
      <c r="D61" s="19" t="n">
        <v>740</v>
      </c>
      <c r="E61" s="18" t="n">
        <v>78.77166807</v>
      </c>
      <c r="F61" s="20" t="n">
        <v>1.6273866</v>
      </c>
      <c r="G61" s="18" t="n">
        <v>20.09091566</v>
      </c>
      <c r="H61" s="20" t="n">
        <v>1.59062301</v>
      </c>
      <c r="I61" s="18" t="s">
        <v>567</v>
      </c>
      <c r="J61" s="20" t="s">
        <v>567</v>
      </c>
      <c r="K61" s="18" t="n">
        <v>0.2635809</v>
      </c>
      <c r="L61" s="20" t="n">
        <v>0.17884477</v>
      </c>
      <c r="M61" s="18" t="n">
        <v>0</v>
      </c>
      <c r="N61" s="20" t="n">
        <v>0</v>
      </c>
      <c r="O61" s="18" t="n">
        <v>0</v>
      </c>
      <c r="P61" s="20" t="n">
        <v>0</v>
      </c>
      <c r="Q61" s="18" t="n">
        <v>0.87383537</v>
      </c>
      <c r="R61" s="20" t="n">
        <v>0.26003764</v>
      </c>
    </row>
    <row r="62" spans="1:18">
      <c r="A62" s="15" t="s">
        <v>622</v>
      </c>
      <c r="B62" s="17" t="n">
        <v>2246</v>
      </c>
      <c r="C62" s="18">
        <f>(1741.0/B62*100)</f>
        <v/>
      </c>
      <c r="D62" s="19" t="n">
        <v>505</v>
      </c>
      <c r="E62" s="18" t="n">
        <v>60.02264454</v>
      </c>
      <c r="F62" s="20" t="n">
        <v>2.04513126</v>
      </c>
      <c r="G62" s="18" t="n">
        <v>39.97735546</v>
      </c>
      <c r="H62" s="20" t="n">
        <v>2.04513126</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(2254.0/B66*100)</f>
        <v/>
      </c>
      <c r="D66" s="19" t="n">
        <v>640</v>
      </c>
      <c r="E66" s="18" t="n">
        <v>86.50224310999999</v>
      </c>
      <c r="F66" s="20" t="n">
        <v>1.37526771</v>
      </c>
      <c r="G66" s="18" t="n">
        <v>11.05158076</v>
      </c>
      <c r="H66" s="20" t="n">
        <v>1.14310905</v>
      </c>
      <c r="I66" s="18" t="s">
        <v>567</v>
      </c>
      <c r="J66" s="20" t="s">
        <v>567</v>
      </c>
      <c r="K66" s="18" t="n">
        <v>0.50357867</v>
      </c>
      <c r="L66" s="20" t="n">
        <v>0.29811821</v>
      </c>
      <c r="M66" s="18" t="n">
        <v>0</v>
      </c>
      <c r="N66" s="20" t="n">
        <v>0</v>
      </c>
      <c r="O66" s="18" t="n">
        <v>0</v>
      </c>
      <c r="P66" s="20" t="n">
        <v>0</v>
      </c>
      <c r="Q66" s="18" t="n">
        <v>1.94259746</v>
      </c>
      <c r="R66" s="20" t="n">
        <v>0.53138688</v>
      </c>
    </row>
    <row r="67" spans="1:18">
      <c r="A67" s="15" t="s">
        <v>627</v>
      </c>
      <c r="B67" s="17" t="n">
        <v>3511</v>
      </c>
      <c r="C67" s="18">
        <f>(2766.0/B67*100)</f>
        <v/>
      </c>
      <c r="D67" s="19" t="n">
        <v>745</v>
      </c>
      <c r="E67" s="18" t="n">
        <v>85.22047983</v>
      </c>
      <c r="F67" s="20" t="n">
        <v>1.45634762</v>
      </c>
      <c r="G67" s="18" t="n">
        <v>14.5373288</v>
      </c>
      <c r="H67" s="20" t="n">
        <v>1.4743752</v>
      </c>
      <c r="I67" s="18" t="s">
        <v>567</v>
      </c>
      <c r="J67" s="20" t="s">
        <v>567</v>
      </c>
      <c r="K67" s="18" t="n">
        <v>0</v>
      </c>
      <c r="L67" s="20" t="n">
        <v>0</v>
      </c>
      <c r="M67" s="18" t="n">
        <v>0</v>
      </c>
      <c r="N67" s="20" t="n">
        <v>0</v>
      </c>
      <c r="O67" s="18" t="n">
        <v>0</v>
      </c>
      <c r="P67" s="20" t="n">
        <v>0</v>
      </c>
      <c r="Q67" s="18" t="n">
        <v>0.24219137</v>
      </c>
      <c r="R67" s="20" t="n">
        <v>0.17106516</v>
      </c>
    </row>
    <row r="68" spans="1:18">
      <c r="A68" s="15" t="s">
        <v>628</v>
      </c>
      <c r="B68" s="17" t="n">
        <v>6049</v>
      </c>
      <c r="C68" s="18">
        <f>(4720.0/B68*100)</f>
        <v/>
      </c>
      <c r="D68" s="19" t="n">
        <v>1329</v>
      </c>
      <c r="E68" s="18" t="n">
        <v>83.61421901</v>
      </c>
      <c r="F68" s="20" t="n">
        <v>1.0023007</v>
      </c>
      <c r="G68" s="18" t="n">
        <v>12.94633834</v>
      </c>
      <c r="H68" s="20" t="n">
        <v>0.83575864</v>
      </c>
      <c r="I68" s="18" t="s">
        <v>567</v>
      </c>
      <c r="J68" s="20" t="s">
        <v>567</v>
      </c>
      <c r="K68" s="18" t="n">
        <v>0.82812469</v>
      </c>
      <c r="L68" s="20" t="n">
        <v>0.26852504</v>
      </c>
      <c r="M68" s="18" t="n">
        <v>0</v>
      </c>
      <c r="N68" s="20" t="n">
        <v>0</v>
      </c>
      <c r="O68" s="18" t="n">
        <v>0</v>
      </c>
      <c r="P68" s="20" t="n">
        <v>0</v>
      </c>
      <c r="Q68" s="18" t="n">
        <v>2.61131796</v>
      </c>
      <c r="R68" s="20" t="n">
        <v>0.46547491</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(2284.0/B70*100)</f>
        <v/>
      </c>
      <c r="D70" s="19" t="n">
        <v>645</v>
      </c>
      <c r="E70" s="18" t="n">
        <v>68.57622402</v>
      </c>
      <c r="F70" s="20" t="n">
        <v>2.37269254</v>
      </c>
      <c r="G70" s="18" t="n">
        <v>30.91364295</v>
      </c>
      <c r="H70" s="20" t="n">
        <v>2.38441533</v>
      </c>
      <c r="I70" s="18" t="s">
        <v>567</v>
      </c>
      <c r="J70" s="20" t="s">
        <v>567</v>
      </c>
      <c r="K70" s="18" t="n">
        <v>0.14319722</v>
      </c>
      <c r="L70" s="20" t="n">
        <v>0.14010052</v>
      </c>
      <c r="M70" s="18" t="n">
        <v>0</v>
      </c>
      <c r="N70" s="20" t="n">
        <v>0</v>
      </c>
      <c r="O70" s="18" t="n">
        <v>0</v>
      </c>
      <c r="P70" s="20" t="n">
        <v>0</v>
      </c>
      <c r="Q70" s="18" t="n">
        <v>0.36693582</v>
      </c>
      <c r="R70" s="20" t="n">
        <v>0.2403482</v>
      </c>
    </row>
    <row r="71" spans="1:18">
      <c r="A71" s="15" t="s">
        <v>631</v>
      </c>
      <c r="B71" s="17" t="n">
        <v>3142</v>
      </c>
      <c r="C71" s="18">
        <f>(2447.0/B71*100)</f>
        <v/>
      </c>
      <c r="D71" s="19" t="n">
        <v>695</v>
      </c>
      <c r="E71" s="18" t="n">
        <v>52.25813967</v>
      </c>
      <c r="F71" s="20" t="n">
        <v>1.84563177</v>
      </c>
      <c r="G71" s="18" t="n">
        <v>47.08956241</v>
      </c>
      <c r="H71" s="20" t="n">
        <v>1.86076954</v>
      </c>
      <c r="I71" s="18" t="s">
        <v>567</v>
      </c>
      <c r="J71" s="20" t="s">
        <v>567</v>
      </c>
      <c r="K71" s="18" t="n">
        <v>0</v>
      </c>
      <c r="L71" s="20" t="n">
        <v>0</v>
      </c>
      <c r="M71" s="18" t="n">
        <v>0</v>
      </c>
      <c r="N71" s="20" t="n">
        <v>0</v>
      </c>
      <c r="O71" s="18" t="n">
        <v>0</v>
      </c>
      <c r="P71" s="20" t="n">
        <v>0</v>
      </c>
      <c r="Q71" s="18" t="n">
        <v>0.65229792</v>
      </c>
      <c r="R71" s="20" t="n">
        <v>0.32417413</v>
      </c>
    </row>
    <row r="72" spans="1:18">
      <c r="A72" s="15" t="s">
        <v>632</v>
      </c>
      <c r="B72" s="17" t="n">
        <v>3889</v>
      </c>
      <c r="C72" s="18">
        <f>(2989.0/B72*100)</f>
        <v/>
      </c>
      <c r="D72" s="19" t="n">
        <v>900</v>
      </c>
      <c r="E72" s="18" t="n">
        <v>61.42234887</v>
      </c>
      <c r="F72" s="20" t="n">
        <v>2.04196789</v>
      </c>
      <c r="G72" s="18" t="n">
        <v>38.20120344</v>
      </c>
      <c r="H72" s="20" t="n">
        <v>2.0537432</v>
      </c>
      <c r="I72" s="18" t="s">
        <v>567</v>
      </c>
      <c r="J72" s="20" t="s">
        <v>567</v>
      </c>
      <c r="K72" s="18" t="n">
        <v>0</v>
      </c>
      <c r="L72" s="20" t="n">
        <v>0</v>
      </c>
      <c r="M72" s="18" t="n">
        <v>0</v>
      </c>
      <c r="N72" s="20" t="n">
        <v>0</v>
      </c>
      <c r="O72" s="18" t="n">
        <v>0</v>
      </c>
      <c r="P72" s="20" t="n">
        <v>0</v>
      </c>
      <c r="Q72" s="18" t="n">
        <v>0.37644769</v>
      </c>
      <c r="R72" s="20" t="n">
        <v>0.17685182</v>
      </c>
    </row>
    <row r="73" spans="1:18">
      <c r="A73" s="15" t="s">
        <v>633</v>
      </c>
      <c r="B73" s="17" t="n">
        <v>3597</v>
      </c>
      <c r="C73" s="18">
        <f>(2830.0/B73*100)</f>
        <v/>
      </c>
      <c r="D73" s="19" t="n">
        <v>767</v>
      </c>
      <c r="E73" s="18" t="n">
        <v>85.77327998</v>
      </c>
      <c r="F73" s="20" t="n">
        <v>1.66569703</v>
      </c>
      <c r="G73" s="18" t="n">
        <v>13.22455973</v>
      </c>
      <c r="H73" s="20" t="n">
        <v>1.6391214</v>
      </c>
      <c r="I73" s="18" t="s">
        <v>567</v>
      </c>
      <c r="J73" s="20" t="s">
        <v>567</v>
      </c>
      <c r="K73" s="18" t="n">
        <v>0</v>
      </c>
      <c r="L73" s="20" t="n">
        <v>0</v>
      </c>
      <c r="M73" s="18" t="n">
        <v>0</v>
      </c>
      <c r="N73" s="20" t="n">
        <v>0</v>
      </c>
      <c r="O73" s="18" t="n">
        <v>0</v>
      </c>
      <c r="P73" s="20" t="n">
        <v>0</v>
      </c>
      <c r="Q73" s="18" t="n">
        <v>1.00216029</v>
      </c>
      <c r="R73" s="20" t="n">
        <v>0.61079317</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(1923.0/B75*100)</f>
        <v/>
      </c>
      <c r="D75" s="19" t="n">
        <v>483</v>
      </c>
      <c r="E75" s="18" t="n">
        <v>87.96740755</v>
      </c>
      <c r="F75" s="20" t="n">
        <v>1.76668764</v>
      </c>
      <c r="G75" s="18" t="n">
        <v>8.996800479999999</v>
      </c>
      <c r="H75" s="20" t="n">
        <v>1.54213979</v>
      </c>
      <c r="I75" s="18" t="s">
        <v>567</v>
      </c>
      <c r="J75" s="20" t="s">
        <v>567</v>
      </c>
      <c r="K75" s="18" t="n">
        <v>1.60183509</v>
      </c>
      <c r="L75" s="20" t="n">
        <v>0.7022</v>
      </c>
      <c r="M75" s="18" t="n">
        <v>0</v>
      </c>
      <c r="N75" s="20" t="n">
        <v>0</v>
      </c>
      <c r="O75" s="18" t="n">
        <v>0</v>
      </c>
      <c r="P75" s="20" t="n">
        <v>0</v>
      </c>
      <c r="Q75" s="18" t="n">
        <v>1.43395689</v>
      </c>
      <c r="R75" s="20" t="n">
        <v>0.5542806</v>
      </c>
    </row>
    <row r="76" spans="1:18">
      <c r="A76" s="15" t="s">
        <v>636</v>
      </c>
      <c r="B76" s="17" t="n">
        <v>7052</v>
      </c>
      <c r="C76" s="18">
        <f>(5539.0/B76*100)</f>
        <v/>
      </c>
      <c r="D76" s="19" t="n">
        <v>1513</v>
      </c>
      <c r="E76" s="18" t="n">
        <v>81.86181688000001</v>
      </c>
      <c r="F76" s="20" t="n">
        <v>1.43190982</v>
      </c>
      <c r="G76" s="18" t="n">
        <v>15.64239555</v>
      </c>
      <c r="H76" s="20" t="n">
        <v>1.34324467</v>
      </c>
      <c r="I76" s="18" t="s">
        <v>567</v>
      </c>
      <c r="J76" s="20" t="s">
        <v>567</v>
      </c>
      <c r="K76" s="18" t="n">
        <v>0.93100719</v>
      </c>
      <c r="L76" s="20" t="n">
        <v>0.31651097</v>
      </c>
      <c r="M76" s="18" t="n">
        <v>0</v>
      </c>
      <c r="N76" s="20" t="n">
        <v>0</v>
      </c>
      <c r="O76" s="18" t="n">
        <v>0</v>
      </c>
      <c r="P76" s="20" t="n">
        <v>0</v>
      </c>
      <c r="Q76" s="18" t="n">
        <v>1.56478038</v>
      </c>
      <c r="R76" s="20" t="n">
        <v>0.38208623</v>
      </c>
    </row>
    <row r="77" spans="1:18">
      <c r="A77" s="15" t="s">
        <v>637</v>
      </c>
      <c r="B77" s="17" t="n">
        <v>2908</v>
      </c>
      <c r="C77" s="18">
        <f>(2284.0/B77*100)</f>
        <v/>
      </c>
      <c r="D77" s="19" t="n">
        <v>624</v>
      </c>
      <c r="E77" s="18" t="n">
        <v>81.90035818</v>
      </c>
      <c r="F77" s="20" t="n">
        <v>1.85667105</v>
      </c>
      <c r="G77" s="18" t="n">
        <v>15.75100633</v>
      </c>
      <c r="H77" s="20" t="n">
        <v>1.77623926</v>
      </c>
      <c r="I77" s="18" t="s">
        <v>567</v>
      </c>
      <c r="J77" s="20" t="s">
        <v>567</v>
      </c>
      <c r="K77" s="18" t="n">
        <v>0.68583056</v>
      </c>
      <c r="L77" s="20" t="n">
        <v>0.36891668</v>
      </c>
      <c r="M77" s="18" t="n">
        <v>0</v>
      </c>
      <c r="N77" s="20" t="n">
        <v>0</v>
      </c>
      <c r="O77" s="18" t="n">
        <v>0</v>
      </c>
      <c r="P77" s="20" t="n">
        <v>0</v>
      </c>
      <c r="Q77" s="18" t="n">
        <v>1.66280492</v>
      </c>
      <c r="R77" s="20" t="n">
        <v>0.6386655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(3253.0/B81*100)</f>
        <v/>
      </c>
      <c r="D81" s="19" t="n">
        <v>910</v>
      </c>
      <c r="E81" s="18" t="n">
        <v>83.12254732</v>
      </c>
      <c r="F81" s="20" t="n">
        <v>1.53788782</v>
      </c>
      <c r="G81" s="18" t="n">
        <v>16.69387829</v>
      </c>
      <c r="H81" s="20" t="n">
        <v>1.5382436</v>
      </c>
      <c r="I81" s="18" t="s">
        <v>567</v>
      </c>
      <c r="J81" s="20" t="s">
        <v>567</v>
      </c>
      <c r="K81" s="18" t="n">
        <v>0</v>
      </c>
      <c r="L81" s="20" t="n">
        <v>0</v>
      </c>
      <c r="M81" s="18" t="n">
        <v>0</v>
      </c>
      <c r="N81" s="20" t="n">
        <v>0</v>
      </c>
      <c r="O81" s="18" t="n">
        <v>0</v>
      </c>
      <c r="P81" s="20" t="n">
        <v>0</v>
      </c>
      <c r="Q81" s="18" t="n">
        <v>0.18357439</v>
      </c>
      <c r="R81" s="20" t="n">
        <v>0.18192911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(5711.0/B7*100)</f>
        <v/>
      </c>
      <c r="D7" s="19" t="n">
        <v>1656</v>
      </c>
      <c r="E7" s="18" t="n">
        <v>13.53703915</v>
      </c>
      <c r="F7" s="20" t="n">
        <v>0.87914719</v>
      </c>
      <c r="G7" s="18" t="n">
        <v>84.17769523</v>
      </c>
      <c r="H7" s="20" t="n">
        <v>1.02349568</v>
      </c>
      <c r="I7" s="18" t="s">
        <v>567</v>
      </c>
      <c r="J7" s="20" t="s">
        <v>567</v>
      </c>
      <c r="K7" s="18" t="n">
        <v>0.06620143000000001</v>
      </c>
      <c r="L7" s="20" t="n">
        <v>0.03679904</v>
      </c>
      <c r="M7" s="18" t="n">
        <v>0</v>
      </c>
      <c r="N7" s="20" t="n">
        <v>0</v>
      </c>
      <c r="O7" s="18" t="n">
        <v>0</v>
      </c>
      <c r="P7" s="20" t="n">
        <v>0</v>
      </c>
      <c r="Q7" s="18" t="n">
        <v>2.21906419</v>
      </c>
      <c r="R7" s="20" t="n">
        <v>0.43299536</v>
      </c>
    </row>
    <row r="8" spans="1:18">
      <c r="A8" s="15" t="s">
        <v>568</v>
      </c>
      <c r="B8" s="17" t="n">
        <v>3564</v>
      </c>
      <c r="C8" s="18">
        <f>(2771.0/B8*100)</f>
        <v/>
      </c>
      <c r="D8" s="19" t="n">
        <v>793</v>
      </c>
      <c r="E8" s="18" t="n">
        <v>12.93475565</v>
      </c>
      <c r="F8" s="20" t="n">
        <v>1.4598749</v>
      </c>
      <c r="G8" s="18" t="n">
        <v>85.62666468</v>
      </c>
      <c r="H8" s="20" t="n">
        <v>1.52670332</v>
      </c>
      <c r="I8" s="18" t="s">
        <v>567</v>
      </c>
      <c r="J8" s="20" t="s">
        <v>567</v>
      </c>
      <c r="K8" s="18" t="n">
        <v>0.14926913</v>
      </c>
      <c r="L8" s="20" t="n">
        <v>0.14469837</v>
      </c>
      <c r="M8" s="18" t="n">
        <v>0</v>
      </c>
      <c r="N8" s="20" t="n">
        <v>0</v>
      </c>
      <c r="O8" s="18" t="n">
        <v>0</v>
      </c>
      <c r="P8" s="20" t="n">
        <v>0</v>
      </c>
      <c r="Q8" s="18" t="n">
        <v>1.28931054</v>
      </c>
      <c r="R8" s="20" t="n">
        <v>0.4698223</v>
      </c>
    </row>
    <row r="9" spans="1:18">
      <c r="A9" s="15" t="s">
        <v>569</v>
      </c>
      <c r="B9" s="17" t="n">
        <v>4899</v>
      </c>
      <c r="C9" s="18">
        <f>(3856.0/B9*100)</f>
        <v/>
      </c>
      <c r="D9" s="19" t="n">
        <v>1043</v>
      </c>
      <c r="E9" s="18" t="n">
        <v>14.60537018</v>
      </c>
      <c r="F9" s="20" t="n">
        <v>1.54533517</v>
      </c>
      <c r="G9" s="18" t="n">
        <v>83.20941421000001</v>
      </c>
      <c r="H9" s="20" t="n">
        <v>1.5629848</v>
      </c>
      <c r="I9" s="18" t="s">
        <v>567</v>
      </c>
      <c r="J9" s="20" t="s">
        <v>567</v>
      </c>
      <c r="K9" s="18" t="n">
        <v>0</v>
      </c>
      <c r="L9" s="20" t="n">
        <v>0</v>
      </c>
      <c r="M9" s="18" t="n">
        <v>0</v>
      </c>
      <c r="N9" s="20" t="n">
        <v>0</v>
      </c>
      <c r="O9" s="18" t="n">
        <v>0</v>
      </c>
      <c r="P9" s="20" t="n">
        <v>0</v>
      </c>
      <c r="Q9" s="18" t="n">
        <v>2.18521561</v>
      </c>
      <c r="R9" s="20" t="n">
        <v>0.45868778</v>
      </c>
    </row>
    <row r="10" spans="1:18">
      <c r="A10" s="15" t="s">
        <v>570</v>
      </c>
      <c r="B10" s="17" t="n">
        <v>10036</v>
      </c>
      <c r="C10" s="18">
        <f>(7785.0/B10*100)</f>
        <v/>
      </c>
      <c r="D10" s="19" t="n">
        <v>2251</v>
      </c>
      <c r="E10" s="18" t="n">
        <v>12.21393012</v>
      </c>
      <c r="F10" s="20" t="n">
        <v>0.94605638</v>
      </c>
      <c r="G10" s="18" t="n">
        <v>86.13605183</v>
      </c>
      <c r="H10" s="20" t="n">
        <v>1.06211127</v>
      </c>
      <c r="I10" s="18" t="s">
        <v>567</v>
      </c>
      <c r="J10" s="20" t="s">
        <v>567</v>
      </c>
      <c r="K10" s="18" t="n">
        <v>0.37902796</v>
      </c>
      <c r="L10" s="20" t="n">
        <v>0.19969345</v>
      </c>
      <c r="M10" s="18" t="n">
        <v>0</v>
      </c>
      <c r="N10" s="20" t="n">
        <v>0</v>
      </c>
      <c r="O10" s="18" t="n">
        <v>0</v>
      </c>
      <c r="P10" s="20" t="n">
        <v>0</v>
      </c>
      <c r="Q10" s="18" t="n">
        <v>1.27099009</v>
      </c>
      <c r="R10" s="20" t="n">
        <v>0.38847889</v>
      </c>
    </row>
    <row r="11" spans="1:18">
      <c r="A11" s="15" t="s">
        <v>571</v>
      </c>
      <c r="B11" s="17" t="n">
        <v>3553</v>
      </c>
      <c r="C11" s="18">
        <f>(2788.0/B11*100)</f>
        <v/>
      </c>
      <c r="D11" s="19" t="n">
        <v>765</v>
      </c>
      <c r="E11" s="18" t="n">
        <v>23.95636073</v>
      </c>
      <c r="F11" s="20" t="n">
        <v>2.34612243</v>
      </c>
      <c r="G11" s="18" t="n">
        <v>71.76122290000001</v>
      </c>
      <c r="H11" s="20" t="n">
        <v>2.52668236</v>
      </c>
      <c r="I11" s="18" t="s">
        <v>567</v>
      </c>
      <c r="J11" s="20" t="s">
        <v>567</v>
      </c>
      <c r="K11" s="18" t="n">
        <v>0.90302184</v>
      </c>
      <c r="L11" s="20" t="n">
        <v>0.5359433</v>
      </c>
      <c r="M11" s="18" t="n">
        <v>0</v>
      </c>
      <c r="N11" s="20" t="n">
        <v>0</v>
      </c>
      <c r="O11" s="18" t="n">
        <v>0</v>
      </c>
      <c r="P11" s="20" t="n">
        <v>0</v>
      </c>
      <c r="Q11" s="18" t="n">
        <v>3.37939453</v>
      </c>
      <c r="R11" s="20" t="n">
        <v>0.93742707</v>
      </c>
    </row>
    <row r="12" spans="1:18">
      <c r="A12" s="15" t="s">
        <v>572</v>
      </c>
      <c r="B12" s="17" t="n">
        <v>3472</v>
      </c>
      <c r="C12" s="18">
        <f>(2714.0/B12*100)</f>
        <v/>
      </c>
      <c r="D12" s="19" t="n">
        <v>758</v>
      </c>
      <c r="E12" s="18" t="n">
        <v>10.53317319</v>
      </c>
      <c r="F12" s="20" t="n">
        <v>1.12314987</v>
      </c>
      <c r="G12" s="18" t="n">
        <v>87.76627009000001</v>
      </c>
      <c r="H12" s="20" t="n">
        <v>1.25425562</v>
      </c>
      <c r="I12" s="18" t="s">
        <v>567</v>
      </c>
      <c r="J12" s="20" t="s">
        <v>567</v>
      </c>
      <c r="K12" s="18" t="n">
        <v>0.1233051</v>
      </c>
      <c r="L12" s="20" t="n">
        <v>0.12639184</v>
      </c>
      <c r="M12" s="18" t="n">
        <v>0</v>
      </c>
      <c r="N12" s="20" t="n">
        <v>0</v>
      </c>
      <c r="O12" s="18" t="n">
        <v>0</v>
      </c>
      <c r="P12" s="20" t="n">
        <v>0</v>
      </c>
      <c r="Q12" s="18" t="n">
        <v>1.57725162</v>
      </c>
      <c r="R12" s="20" t="n">
        <v>0.46104207</v>
      </c>
    </row>
    <row r="13" spans="1:18">
      <c r="A13" s="15" t="s">
        <v>573</v>
      </c>
      <c r="B13" s="17" t="n">
        <v>3559</v>
      </c>
      <c r="C13" s="18">
        <f>(2783.0/B13*100)</f>
        <v/>
      </c>
      <c r="D13" s="19" t="n">
        <v>776</v>
      </c>
      <c r="E13" s="18" t="n">
        <v>9.19242259</v>
      </c>
      <c r="F13" s="20" t="n">
        <v>1.20912629</v>
      </c>
      <c r="G13" s="18" t="n">
        <v>89.71992960999999</v>
      </c>
      <c r="H13" s="20" t="n">
        <v>1.29178471</v>
      </c>
      <c r="I13" s="18" t="s">
        <v>567</v>
      </c>
      <c r="J13" s="20" t="s">
        <v>567</v>
      </c>
      <c r="K13" s="18" t="n">
        <v>0.07606225</v>
      </c>
      <c r="L13" s="20" t="n">
        <v>0.07672183</v>
      </c>
      <c r="M13" s="18" t="n">
        <v>0</v>
      </c>
      <c r="N13" s="20" t="n">
        <v>0</v>
      </c>
      <c r="O13" s="18" t="n">
        <v>0</v>
      </c>
      <c r="P13" s="20" t="n">
        <v>0</v>
      </c>
      <c r="Q13" s="18" t="n">
        <v>1.01158554</v>
      </c>
      <c r="R13" s="20" t="n">
        <v>0.4312923</v>
      </c>
    </row>
    <row r="14" spans="1:18">
      <c r="A14" s="15" t="s">
        <v>574</v>
      </c>
      <c r="B14" s="17" t="n">
        <v>2799</v>
      </c>
      <c r="C14" s="18">
        <f>(2215.0/B14*100)</f>
        <v/>
      </c>
      <c r="D14" s="19" t="n">
        <v>584</v>
      </c>
      <c r="E14" s="18" t="n">
        <v>13.50506312</v>
      </c>
      <c r="F14" s="20" t="n">
        <v>1.41174467</v>
      </c>
      <c r="G14" s="18" t="n">
        <v>85.80057049</v>
      </c>
      <c r="H14" s="20" t="n">
        <v>1.37779473</v>
      </c>
      <c r="I14" s="18" t="s">
        <v>567</v>
      </c>
      <c r="J14" s="20" t="s">
        <v>567</v>
      </c>
      <c r="K14" s="18" t="n">
        <v>0.14236436</v>
      </c>
      <c r="L14" s="20" t="n">
        <v>0.14229489</v>
      </c>
      <c r="M14" s="18" t="n">
        <v>0</v>
      </c>
      <c r="N14" s="20" t="n">
        <v>0</v>
      </c>
      <c r="O14" s="18" t="n">
        <v>0</v>
      </c>
      <c r="P14" s="20" t="n">
        <v>0</v>
      </c>
      <c r="Q14" s="18" t="n">
        <v>0.55200204</v>
      </c>
      <c r="R14" s="20" t="n">
        <v>0.34926712</v>
      </c>
    </row>
    <row r="15" spans="1:18">
      <c r="A15" s="15" t="s">
        <v>575</v>
      </c>
      <c r="B15" s="17" t="n">
        <v>3019</v>
      </c>
      <c r="C15" s="18">
        <f>(2374.0/B15*100)</f>
        <v/>
      </c>
      <c r="D15" s="19" t="n">
        <v>645</v>
      </c>
      <c r="E15" s="18" t="n">
        <v>12.8558388</v>
      </c>
      <c r="F15" s="20" t="n">
        <v>1.43250636</v>
      </c>
      <c r="G15" s="18" t="n">
        <v>84.87476241</v>
      </c>
      <c r="H15" s="20" t="n">
        <v>1.54633675</v>
      </c>
      <c r="I15" s="18" t="s">
        <v>567</v>
      </c>
      <c r="J15" s="20" t="s">
        <v>567</v>
      </c>
      <c r="K15" s="18" t="n">
        <v>0</v>
      </c>
      <c r="L15" s="20" t="n">
        <v>0</v>
      </c>
      <c r="M15" s="18" t="n">
        <v>0</v>
      </c>
      <c r="N15" s="20" t="n">
        <v>0</v>
      </c>
      <c r="O15" s="18" t="n">
        <v>0</v>
      </c>
      <c r="P15" s="20" t="n">
        <v>0</v>
      </c>
      <c r="Q15" s="18" t="n">
        <v>2.26939879</v>
      </c>
      <c r="R15" s="20" t="n">
        <v>0.57004747</v>
      </c>
    </row>
    <row r="16" spans="1:18">
      <c r="A16" s="15" t="s">
        <v>576</v>
      </c>
      <c r="B16" s="17" t="n">
        <v>2997</v>
      </c>
      <c r="C16" s="18">
        <f>(2361.0/B16*100)</f>
        <v/>
      </c>
      <c r="D16" s="19" t="n">
        <v>636</v>
      </c>
      <c r="E16" s="18" t="n">
        <v>15.02281023</v>
      </c>
      <c r="F16" s="20" t="n">
        <v>1.58076293</v>
      </c>
      <c r="G16" s="18" t="n">
        <v>79.14411406000001</v>
      </c>
      <c r="H16" s="20" t="n">
        <v>1.76720008</v>
      </c>
      <c r="I16" s="18" t="s">
        <v>567</v>
      </c>
      <c r="J16" s="20" t="s">
        <v>567</v>
      </c>
      <c r="K16" s="18" t="n">
        <v>0.43640893</v>
      </c>
      <c r="L16" s="20" t="n">
        <v>0.19824831</v>
      </c>
      <c r="M16" s="18" t="n">
        <v>0</v>
      </c>
      <c r="N16" s="20" t="n">
        <v>0</v>
      </c>
      <c r="O16" s="18" t="n">
        <v>0</v>
      </c>
      <c r="P16" s="20" t="n">
        <v>0</v>
      </c>
      <c r="Q16" s="18" t="n">
        <v>5.39666677</v>
      </c>
      <c r="R16" s="20" t="n">
        <v>0.8385129099999999</v>
      </c>
    </row>
    <row r="17" spans="1:18">
      <c r="A17" s="15" t="s">
        <v>577</v>
      </c>
      <c r="B17" s="17" t="n">
        <v>3307</v>
      </c>
      <c r="C17" s="18">
        <f>(2583.0/B17*100)</f>
        <v/>
      </c>
      <c r="D17" s="19" t="n">
        <v>724</v>
      </c>
      <c r="E17" s="18" t="n">
        <v>11.22658902</v>
      </c>
      <c r="F17" s="20" t="n">
        <v>1.36519567</v>
      </c>
      <c r="G17" s="18" t="n">
        <v>87.78278813999999</v>
      </c>
      <c r="H17" s="20" t="n">
        <v>1.3650543</v>
      </c>
      <c r="I17" s="18" t="s">
        <v>567</v>
      </c>
      <c r="J17" s="20" t="s">
        <v>567</v>
      </c>
      <c r="K17" s="18" t="n">
        <v>0.42657886</v>
      </c>
      <c r="L17" s="20" t="n">
        <v>0.20713671</v>
      </c>
      <c r="M17" s="18" t="n">
        <v>0</v>
      </c>
      <c r="N17" s="20" t="n">
        <v>0</v>
      </c>
      <c r="O17" s="18" t="n">
        <v>0</v>
      </c>
      <c r="P17" s="20" t="n">
        <v>0</v>
      </c>
      <c r="Q17" s="18" t="n">
        <v>0.56404398</v>
      </c>
      <c r="R17" s="20" t="n">
        <v>0.27950502</v>
      </c>
    </row>
    <row r="18" spans="1:18">
      <c r="A18" s="15" t="s">
        <v>578</v>
      </c>
      <c r="B18" s="17" t="n">
        <v>2826</v>
      </c>
      <c r="C18" s="18">
        <f>(2228.0/B18*100)</f>
        <v/>
      </c>
      <c r="D18" s="19" t="n">
        <v>598</v>
      </c>
      <c r="E18" s="18" t="n">
        <v>21.67214173</v>
      </c>
      <c r="F18" s="20" t="n">
        <v>1.82039426</v>
      </c>
      <c r="G18" s="18" t="n">
        <v>74.83501403</v>
      </c>
      <c r="H18" s="20" t="n">
        <v>2.05443535</v>
      </c>
      <c r="I18" s="18" t="s">
        <v>567</v>
      </c>
      <c r="J18" s="20" t="s">
        <v>567</v>
      </c>
      <c r="K18" s="18" t="n">
        <v>0.70805819</v>
      </c>
      <c r="L18" s="20" t="n">
        <v>0.38832493</v>
      </c>
      <c r="M18" s="18" t="n">
        <v>0</v>
      </c>
      <c r="N18" s="20" t="n">
        <v>0</v>
      </c>
      <c r="O18" s="18" t="n">
        <v>0</v>
      </c>
      <c r="P18" s="20" t="n">
        <v>0</v>
      </c>
      <c r="Q18" s="18" t="n">
        <v>2.78478605</v>
      </c>
      <c r="R18" s="20" t="n">
        <v>0.7544650899999999</v>
      </c>
    </row>
    <row r="19" spans="1:18">
      <c r="A19" s="15" t="s">
        <v>579</v>
      </c>
      <c r="B19" s="17" t="n">
        <v>2808</v>
      </c>
      <c r="C19" s="18">
        <f>(2137.0/B19*100)</f>
        <v/>
      </c>
      <c r="D19" s="19" t="n">
        <v>671</v>
      </c>
      <c r="E19" s="18" t="n">
        <v>17.96224471</v>
      </c>
      <c r="F19" s="20" t="n">
        <v>1.78348131</v>
      </c>
      <c r="G19" s="18" t="n">
        <v>80.29908912</v>
      </c>
      <c r="H19" s="20" t="n">
        <v>1.84936363</v>
      </c>
      <c r="I19" s="18" t="s">
        <v>567</v>
      </c>
      <c r="J19" s="20" t="s">
        <v>567</v>
      </c>
      <c r="K19" s="18" t="n">
        <v>0.11689581</v>
      </c>
      <c r="L19" s="20" t="n">
        <v>0.11623253</v>
      </c>
      <c r="M19" s="18" t="n">
        <v>0</v>
      </c>
      <c r="N19" s="20" t="n">
        <v>0</v>
      </c>
      <c r="O19" s="18" t="n">
        <v>0</v>
      </c>
      <c r="P19" s="20" t="n">
        <v>0</v>
      </c>
      <c r="Q19" s="18" t="n">
        <v>1.62177036</v>
      </c>
      <c r="R19" s="20" t="n">
        <v>0.6056344</v>
      </c>
    </row>
    <row r="20" spans="1:18">
      <c r="A20" s="15" t="s">
        <v>580</v>
      </c>
      <c r="B20" s="17" t="n">
        <v>1630</v>
      </c>
      <c r="C20" s="18">
        <f>(1246.0/B20*100)</f>
        <v/>
      </c>
      <c r="D20" s="19" t="n">
        <v>384</v>
      </c>
      <c r="E20" s="18" t="n">
        <v>12.66577727</v>
      </c>
      <c r="F20" s="20" t="n">
        <v>1.69267357</v>
      </c>
      <c r="G20" s="18" t="n">
        <v>85.13264851</v>
      </c>
      <c r="H20" s="20" t="n">
        <v>1.82818314</v>
      </c>
      <c r="I20" s="18" t="s">
        <v>567</v>
      </c>
      <c r="J20" s="20" t="s">
        <v>567</v>
      </c>
      <c r="K20" s="18" t="n">
        <v>0</v>
      </c>
      <c r="L20" s="20" t="n">
        <v>0</v>
      </c>
      <c r="M20" s="18" t="n">
        <v>0</v>
      </c>
      <c r="N20" s="20" t="n">
        <v>0</v>
      </c>
      <c r="O20" s="18" t="n">
        <v>0</v>
      </c>
      <c r="P20" s="20" t="n">
        <v>0</v>
      </c>
      <c r="Q20" s="18" t="n">
        <v>2.20157423</v>
      </c>
      <c r="R20" s="20" t="n">
        <v>0.7686049</v>
      </c>
    </row>
    <row r="21" spans="1:18">
      <c r="A21" s="15" t="s">
        <v>581</v>
      </c>
      <c r="B21" s="17" t="n">
        <v>2908</v>
      </c>
      <c r="C21" s="18">
        <f>(2272.0/B21*100)</f>
        <v/>
      </c>
      <c r="D21" s="19" t="n">
        <v>636</v>
      </c>
      <c r="E21" s="18" t="n">
        <v>12.59484143</v>
      </c>
      <c r="F21" s="20" t="n">
        <v>1.17008156</v>
      </c>
      <c r="G21" s="18" t="n">
        <v>86.2722103</v>
      </c>
      <c r="H21" s="20" t="n">
        <v>1.21054726</v>
      </c>
      <c r="I21" s="18" t="s">
        <v>567</v>
      </c>
      <c r="J21" s="20" t="s">
        <v>567</v>
      </c>
      <c r="K21" s="18" t="n">
        <v>0</v>
      </c>
      <c r="L21" s="20" t="n">
        <v>0</v>
      </c>
      <c r="M21" s="18" t="n">
        <v>0</v>
      </c>
      <c r="N21" s="20" t="n">
        <v>0</v>
      </c>
      <c r="O21" s="18" t="n">
        <v>0</v>
      </c>
      <c r="P21" s="20" t="n">
        <v>0</v>
      </c>
      <c r="Q21" s="18" t="n">
        <v>1.13294826</v>
      </c>
      <c r="R21" s="20" t="n">
        <v>0.43759721</v>
      </c>
    </row>
    <row r="22" spans="1:18">
      <c r="A22" s="15" t="s">
        <v>582</v>
      </c>
      <c r="B22" s="17" t="n">
        <v>2931</v>
      </c>
      <c r="C22" s="18">
        <f>(2295.0/B22*100)</f>
        <v/>
      </c>
      <c r="D22" s="19" t="n">
        <v>636</v>
      </c>
      <c r="E22" s="18" t="n">
        <v>20.04332646</v>
      </c>
      <c r="F22" s="20" t="n">
        <v>2.05956345</v>
      </c>
      <c r="G22" s="18" t="n">
        <v>73.92731061000001</v>
      </c>
      <c r="H22" s="20" t="n">
        <v>2.16123434</v>
      </c>
      <c r="I22" s="18" t="s">
        <v>567</v>
      </c>
      <c r="J22" s="20" t="s">
        <v>567</v>
      </c>
      <c r="K22" s="18" t="n">
        <v>0.97330527</v>
      </c>
      <c r="L22" s="20" t="n">
        <v>0.45641079</v>
      </c>
      <c r="M22" s="18" t="n">
        <v>0</v>
      </c>
      <c r="N22" s="20" t="n">
        <v>0</v>
      </c>
      <c r="O22" s="18" t="n">
        <v>0</v>
      </c>
      <c r="P22" s="20" t="n">
        <v>0</v>
      </c>
      <c r="Q22" s="18" t="n">
        <v>5.05605767</v>
      </c>
      <c r="R22" s="20" t="n">
        <v>0.9966537600000001</v>
      </c>
    </row>
    <row r="23" spans="1:18">
      <c r="A23" s="15" t="s">
        <v>583</v>
      </c>
      <c r="B23" s="17" t="n">
        <v>5791</v>
      </c>
      <c r="C23" s="18">
        <f>(4469.0/B23*100)</f>
        <v/>
      </c>
      <c r="D23" s="19" t="n">
        <v>1322</v>
      </c>
      <c r="E23" s="18" t="n">
        <v>16.94032202</v>
      </c>
      <c r="F23" s="20" t="n">
        <v>1.35504</v>
      </c>
      <c r="G23" s="18" t="n">
        <v>79.75925995999999</v>
      </c>
      <c r="H23" s="20" t="n">
        <v>1.70895021</v>
      </c>
      <c r="I23" s="18" t="s">
        <v>567</v>
      </c>
      <c r="J23" s="20" t="s">
        <v>567</v>
      </c>
      <c r="K23" s="18" t="n">
        <v>0.15567234</v>
      </c>
      <c r="L23" s="20" t="n">
        <v>0.15575422</v>
      </c>
      <c r="M23" s="18" t="n">
        <v>0</v>
      </c>
      <c r="N23" s="20" t="n">
        <v>0</v>
      </c>
      <c r="O23" s="18" t="n">
        <v>0</v>
      </c>
      <c r="P23" s="20" t="n">
        <v>0</v>
      </c>
      <c r="Q23" s="18" t="n">
        <v>3.14474569</v>
      </c>
      <c r="R23" s="20" t="n">
        <v>0.9782070899999999</v>
      </c>
    </row>
    <row r="24" spans="1:18">
      <c r="A24" s="15" t="s">
        <v>584</v>
      </c>
      <c r="B24" s="17" t="n">
        <v>3338</v>
      </c>
      <c r="C24" s="18">
        <f>(2611.0/B24*100)</f>
        <v/>
      </c>
      <c r="D24" s="19" t="n">
        <v>727</v>
      </c>
      <c r="E24" s="18" t="n">
        <v>18.90387129</v>
      </c>
      <c r="F24" s="20" t="n">
        <v>1.54905317</v>
      </c>
      <c r="G24" s="18" t="n">
        <v>79.78879567</v>
      </c>
      <c r="H24" s="20" t="n">
        <v>1.59885302</v>
      </c>
      <c r="I24" s="18" t="s">
        <v>567</v>
      </c>
      <c r="J24" s="20" t="s">
        <v>567</v>
      </c>
      <c r="K24" s="18" t="n">
        <v>0</v>
      </c>
      <c r="L24" s="20" t="n">
        <v>0</v>
      </c>
      <c r="M24" s="18" t="n">
        <v>0</v>
      </c>
      <c r="N24" s="20" t="n">
        <v>0</v>
      </c>
      <c r="O24" s="18" t="n">
        <v>0</v>
      </c>
      <c r="P24" s="20" t="n">
        <v>0</v>
      </c>
      <c r="Q24" s="18" t="n">
        <v>1.30733305</v>
      </c>
      <c r="R24" s="20" t="n">
        <v>0.40342326</v>
      </c>
    </row>
    <row r="25" spans="1:18">
      <c r="A25" s="15" t="s">
        <v>585</v>
      </c>
      <c r="B25" s="17" t="n">
        <v>2912</v>
      </c>
      <c r="C25" s="18">
        <f>(2244.0/B25*100)</f>
        <v/>
      </c>
      <c r="D25" s="19" t="n">
        <v>668</v>
      </c>
      <c r="E25" s="18" t="n">
        <v>10.56470287</v>
      </c>
      <c r="F25" s="20" t="n">
        <v>1.03382263</v>
      </c>
      <c r="G25" s="18" t="n">
        <v>86.30567576</v>
      </c>
      <c r="H25" s="20" t="n">
        <v>1.31508704</v>
      </c>
      <c r="I25" s="18" t="s">
        <v>567</v>
      </c>
      <c r="J25" s="20" t="s">
        <v>567</v>
      </c>
      <c r="K25" s="18" t="n">
        <v>0.28515836</v>
      </c>
      <c r="L25" s="20" t="n">
        <v>0.19890786</v>
      </c>
      <c r="M25" s="18" t="n">
        <v>0</v>
      </c>
      <c r="N25" s="20" t="n">
        <v>0</v>
      </c>
      <c r="O25" s="18" t="n">
        <v>0</v>
      </c>
      <c r="P25" s="20" t="n">
        <v>0</v>
      </c>
      <c r="Q25" s="18" t="n">
        <v>2.844463</v>
      </c>
      <c r="R25" s="20" t="n">
        <v>0.67824405</v>
      </c>
    </row>
    <row r="26" spans="1:18">
      <c r="A26" s="15" t="s">
        <v>586</v>
      </c>
      <c r="B26" s="17" t="n">
        <v>2450</v>
      </c>
      <c r="C26" s="18">
        <f>(1910.0/B26*100)</f>
        <v/>
      </c>
      <c r="D26" s="19" t="n">
        <v>540</v>
      </c>
      <c r="E26" s="18" t="n">
        <v>15.09948355</v>
      </c>
      <c r="F26" s="20" t="n">
        <v>1.60538444</v>
      </c>
      <c r="G26" s="18" t="n">
        <v>84.10135517000001</v>
      </c>
      <c r="H26" s="20" t="n">
        <v>1.63580069</v>
      </c>
      <c r="I26" s="18" t="s">
        <v>567</v>
      </c>
      <c r="J26" s="20" t="s">
        <v>567</v>
      </c>
      <c r="K26" s="18" t="n">
        <v>0</v>
      </c>
      <c r="L26" s="20" t="n">
        <v>0</v>
      </c>
      <c r="M26" s="18" t="n">
        <v>0</v>
      </c>
      <c r="N26" s="20" t="n">
        <v>0</v>
      </c>
      <c r="O26" s="18" t="n">
        <v>0</v>
      </c>
      <c r="P26" s="20" t="n">
        <v>0</v>
      </c>
      <c r="Q26" s="18" t="n">
        <v>0.79916128</v>
      </c>
      <c r="R26" s="20" t="n">
        <v>0.3547031</v>
      </c>
    </row>
    <row r="27" spans="1:18">
      <c r="A27" s="15" t="s">
        <v>587</v>
      </c>
      <c r="B27" s="17" t="n">
        <v>2616</v>
      </c>
      <c r="C27" s="18">
        <f>(2034.0/B27*100)</f>
        <v/>
      </c>
      <c r="D27" s="19" t="n">
        <v>582</v>
      </c>
      <c r="E27" s="18" t="n">
        <v>15.08496546</v>
      </c>
      <c r="F27" s="20" t="n">
        <v>1.59421416</v>
      </c>
      <c r="G27" s="18" t="n">
        <v>83.86181980000001</v>
      </c>
      <c r="H27" s="20" t="n">
        <v>1.71502047</v>
      </c>
      <c r="I27" s="18" t="s">
        <v>567</v>
      </c>
      <c r="J27" s="20" t="s">
        <v>567</v>
      </c>
      <c r="K27" s="18" t="n">
        <v>0.17147902</v>
      </c>
      <c r="L27" s="20" t="n">
        <v>0.17239619</v>
      </c>
      <c r="M27" s="18" t="n">
        <v>0</v>
      </c>
      <c r="N27" s="20" t="n">
        <v>0</v>
      </c>
      <c r="O27" s="18" t="n">
        <v>0</v>
      </c>
      <c r="P27" s="20" t="n">
        <v>0</v>
      </c>
      <c r="Q27" s="18" t="n">
        <v>0.8817357300000001</v>
      </c>
      <c r="R27" s="20" t="n">
        <v>0.46823713</v>
      </c>
    </row>
    <row r="28" spans="1:18">
      <c r="A28" s="15" t="s">
        <v>588</v>
      </c>
      <c r="B28" s="17" t="n">
        <v>3765</v>
      </c>
      <c r="C28" s="18">
        <f>(2952.0/B28*100)</f>
        <v/>
      </c>
      <c r="D28" s="19" t="n">
        <v>813</v>
      </c>
      <c r="E28" s="18" t="n">
        <v>27.823384</v>
      </c>
      <c r="F28" s="20" t="n">
        <v>1.80129525</v>
      </c>
      <c r="G28" s="18" t="n">
        <v>70.00246825000001</v>
      </c>
      <c r="H28" s="20" t="n">
        <v>1.92949225</v>
      </c>
      <c r="I28" s="18" t="s">
        <v>567</v>
      </c>
      <c r="J28" s="20" t="s">
        <v>567</v>
      </c>
      <c r="K28" s="18" t="n">
        <v>0.71668308</v>
      </c>
      <c r="L28" s="20" t="n">
        <v>0.33689752</v>
      </c>
      <c r="M28" s="18" t="n">
        <v>0</v>
      </c>
      <c r="N28" s="20" t="n">
        <v>0</v>
      </c>
      <c r="O28" s="18" t="n">
        <v>0</v>
      </c>
      <c r="P28" s="20" t="n">
        <v>0</v>
      </c>
      <c r="Q28" s="18" t="n">
        <v>1.45746468</v>
      </c>
      <c r="R28" s="20" t="n">
        <v>0.6680807600000001</v>
      </c>
    </row>
    <row r="29" spans="1:18">
      <c r="A29" s="15" t="s">
        <v>589</v>
      </c>
      <c r="B29" s="17" t="n">
        <v>2685</v>
      </c>
      <c r="C29" s="18">
        <f>(2106.0/B29*100)</f>
        <v/>
      </c>
      <c r="D29" s="19" t="n">
        <v>579</v>
      </c>
      <c r="E29" s="18" t="n">
        <v>13.8745896</v>
      </c>
      <c r="F29" s="20" t="n">
        <v>1.47722216</v>
      </c>
      <c r="G29" s="18" t="n">
        <v>84.000058</v>
      </c>
      <c r="H29" s="20" t="n">
        <v>1.59813459</v>
      </c>
      <c r="I29" s="18" t="s">
        <v>567</v>
      </c>
      <c r="J29" s="20" t="s">
        <v>567</v>
      </c>
      <c r="K29" s="18" t="n">
        <v>0.63425145</v>
      </c>
      <c r="L29" s="20" t="n">
        <v>0.31559316</v>
      </c>
      <c r="M29" s="18" t="n">
        <v>0</v>
      </c>
      <c r="N29" s="20" t="n">
        <v>0</v>
      </c>
      <c r="O29" s="18" t="n">
        <v>0</v>
      </c>
      <c r="P29" s="20" t="n">
        <v>0</v>
      </c>
      <c r="Q29" s="18" t="n">
        <v>1.49110095</v>
      </c>
      <c r="R29" s="20" t="n">
        <v>0.52742426</v>
      </c>
    </row>
    <row r="30" spans="1:18">
      <c r="A30" s="15" t="s">
        <v>590</v>
      </c>
      <c r="B30" s="17" t="n">
        <v>2263</v>
      </c>
      <c r="C30" s="18">
        <f>(1772.0/B30*100)</f>
        <v/>
      </c>
      <c r="D30" s="19" t="n">
        <v>491</v>
      </c>
      <c r="E30" s="18" t="n">
        <v>16.61748551</v>
      </c>
      <c r="F30" s="20" t="n">
        <v>1.89628586</v>
      </c>
      <c r="G30" s="18" t="n">
        <v>81.42821274000001</v>
      </c>
      <c r="H30" s="20" t="n">
        <v>1.90785097</v>
      </c>
      <c r="I30" s="18" t="s">
        <v>567</v>
      </c>
      <c r="J30" s="20" t="s">
        <v>567</v>
      </c>
      <c r="K30" s="18" t="n">
        <v>0</v>
      </c>
      <c r="L30" s="20" t="n">
        <v>0</v>
      </c>
      <c r="M30" s="18" t="n">
        <v>0</v>
      </c>
      <c r="N30" s="20" t="n">
        <v>0</v>
      </c>
      <c r="O30" s="18" t="n">
        <v>0</v>
      </c>
      <c r="P30" s="20" t="n">
        <v>0</v>
      </c>
      <c r="Q30" s="18" t="n">
        <v>1.95430175</v>
      </c>
      <c r="R30" s="20" t="n">
        <v>0.62782267</v>
      </c>
    </row>
    <row r="31" spans="1:18">
      <c r="A31" s="15" t="s">
        <v>591</v>
      </c>
      <c r="B31" s="17" t="n">
        <v>2750</v>
      </c>
      <c r="C31" s="18">
        <f>(2159.0/B31*100)</f>
        <v/>
      </c>
      <c r="D31" s="19" t="n">
        <v>591</v>
      </c>
      <c r="E31" s="18" t="n">
        <v>13.77831483</v>
      </c>
      <c r="F31" s="20" t="n">
        <v>1.62717787</v>
      </c>
      <c r="G31" s="18" t="n">
        <v>84.3994838</v>
      </c>
      <c r="H31" s="20" t="n">
        <v>1.81216532</v>
      </c>
      <c r="I31" s="18" t="s">
        <v>567</v>
      </c>
      <c r="J31" s="20" t="s">
        <v>567</v>
      </c>
      <c r="K31" s="18" t="n">
        <v>0.15224429</v>
      </c>
      <c r="L31" s="20" t="n">
        <v>0.1476338</v>
      </c>
      <c r="M31" s="18" t="n">
        <v>0</v>
      </c>
      <c r="N31" s="20" t="n">
        <v>0</v>
      </c>
      <c r="O31" s="18" t="n">
        <v>0</v>
      </c>
      <c r="P31" s="20" t="n">
        <v>0</v>
      </c>
      <c r="Q31" s="18" t="n">
        <v>1.66995709</v>
      </c>
      <c r="R31" s="20" t="n">
        <v>0.6404747</v>
      </c>
    </row>
    <row r="32" spans="1:18">
      <c r="A32" s="15" t="s">
        <v>592</v>
      </c>
      <c r="B32" s="17" t="n">
        <v>2269</v>
      </c>
      <c r="C32" s="18">
        <f>(1758.0/B32*100)</f>
        <v/>
      </c>
      <c r="D32" s="19" t="n">
        <v>511</v>
      </c>
      <c r="E32" s="18" t="n">
        <v>14.80892371</v>
      </c>
      <c r="F32" s="20" t="n">
        <v>1.63897868</v>
      </c>
      <c r="G32" s="18" t="n">
        <v>83.87131395999999</v>
      </c>
      <c r="H32" s="20" t="n">
        <v>1.68536783</v>
      </c>
      <c r="I32" s="18" t="s">
        <v>567</v>
      </c>
      <c r="J32" s="20" t="s">
        <v>567</v>
      </c>
      <c r="K32" s="18" t="n">
        <v>0.17373248</v>
      </c>
      <c r="L32" s="20" t="n">
        <v>0.17317787</v>
      </c>
      <c r="M32" s="18" t="n">
        <v>0</v>
      </c>
      <c r="N32" s="20" t="n">
        <v>0</v>
      </c>
      <c r="O32" s="18" t="n">
        <v>0</v>
      </c>
      <c r="P32" s="20" t="n">
        <v>0</v>
      </c>
      <c r="Q32" s="18" t="n">
        <v>1.14602985</v>
      </c>
      <c r="R32" s="20" t="n">
        <v>0.45950465</v>
      </c>
    </row>
    <row r="33" spans="1:18">
      <c r="A33" s="15" t="s">
        <v>593</v>
      </c>
      <c r="B33" s="17" t="n">
        <v>3674</v>
      </c>
      <c r="C33" s="18">
        <f>(2880.0/B33*100)</f>
        <v/>
      </c>
      <c r="D33" s="19" t="n">
        <v>794</v>
      </c>
      <c r="E33" s="18" t="n">
        <v>19.97879268</v>
      </c>
      <c r="F33" s="20" t="n">
        <v>1.85636997</v>
      </c>
      <c r="G33" s="18" t="n">
        <v>77.7950919</v>
      </c>
      <c r="H33" s="20" t="n">
        <v>1.92429205</v>
      </c>
      <c r="I33" s="18" t="s">
        <v>567</v>
      </c>
      <c r="J33" s="20" t="s">
        <v>567</v>
      </c>
      <c r="K33" s="18" t="n">
        <v>0.27936981</v>
      </c>
      <c r="L33" s="20" t="n">
        <v>0.26598354</v>
      </c>
      <c r="M33" s="18" t="n">
        <v>0</v>
      </c>
      <c r="N33" s="20" t="n">
        <v>0</v>
      </c>
      <c r="O33" s="18" t="n">
        <v>0</v>
      </c>
      <c r="P33" s="20" t="n">
        <v>0</v>
      </c>
      <c r="Q33" s="18" t="n">
        <v>1.9467456</v>
      </c>
      <c r="R33" s="20" t="n">
        <v>0.51622311</v>
      </c>
    </row>
    <row r="34" spans="1:18">
      <c r="A34" s="15" t="s">
        <v>594</v>
      </c>
      <c r="B34" s="17" t="n">
        <v>3315</v>
      </c>
      <c r="C34" s="18">
        <f>(2608.0/B34*100)</f>
        <v/>
      </c>
      <c r="D34" s="19" t="n">
        <v>707</v>
      </c>
      <c r="E34" s="18" t="n">
        <v>18.48843389</v>
      </c>
      <c r="F34" s="20" t="n">
        <v>1.59718855</v>
      </c>
      <c r="G34" s="18" t="n">
        <v>79.70674725000001</v>
      </c>
      <c r="H34" s="20" t="n">
        <v>1.76760685</v>
      </c>
      <c r="I34" s="18" t="s">
        <v>567</v>
      </c>
      <c r="J34" s="20" t="s">
        <v>567</v>
      </c>
      <c r="K34" s="18" t="n">
        <v>0</v>
      </c>
      <c r="L34" s="20" t="n">
        <v>0</v>
      </c>
      <c r="M34" s="18" t="n">
        <v>0</v>
      </c>
      <c r="N34" s="20" t="n">
        <v>0</v>
      </c>
      <c r="O34" s="18" t="n">
        <v>0</v>
      </c>
      <c r="P34" s="20" t="n">
        <v>0</v>
      </c>
      <c r="Q34" s="18" t="n">
        <v>1.80481886</v>
      </c>
      <c r="R34" s="20" t="n">
        <v>0.47758571</v>
      </c>
    </row>
    <row r="35" spans="1:18">
      <c r="A35" s="15" t="s">
        <v>595</v>
      </c>
      <c r="B35" s="17" t="n">
        <v>3505</v>
      </c>
      <c r="C35" s="18">
        <f>(2745.0/B35*100)</f>
        <v/>
      </c>
      <c r="D35" s="19" t="n">
        <v>760</v>
      </c>
      <c r="E35" s="18" t="n">
        <v>11.19543935</v>
      </c>
      <c r="F35" s="20" t="n">
        <v>1.31658971</v>
      </c>
      <c r="G35" s="18" t="n">
        <v>86.76899606000001</v>
      </c>
      <c r="H35" s="20" t="n">
        <v>1.35440015</v>
      </c>
      <c r="I35" s="18" t="s">
        <v>567</v>
      </c>
      <c r="J35" s="20" t="s">
        <v>567</v>
      </c>
      <c r="K35" s="18" t="n">
        <v>0.12923606</v>
      </c>
      <c r="L35" s="20" t="n">
        <v>0.09416890999999999</v>
      </c>
      <c r="M35" s="18" t="n">
        <v>0</v>
      </c>
      <c r="N35" s="20" t="n">
        <v>0</v>
      </c>
      <c r="O35" s="18" t="n">
        <v>0</v>
      </c>
      <c r="P35" s="20" t="n">
        <v>0</v>
      </c>
      <c r="Q35" s="18" t="n">
        <v>1.90632852</v>
      </c>
      <c r="R35" s="20" t="n">
        <v>0.485277</v>
      </c>
    </row>
    <row r="36" spans="1:18">
      <c r="A36" s="15" t="s">
        <v>596</v>
      </c>
      <c r="B36" s="17" t="n">
        <v>3332</v>
      </c>
      <c r="C36" s="18">
        <f>(2552.0/B36*100)</f>
        <v/>
      </c>
      <c r="D36" s="19" t="n">
        <v>780</v>
      </c>
      <c r="E36" s="18" t="n">
        <v>18.13476213</v>
      </c>
      <c r="F36" s="20" t="n">
        <v>1.71867313</v>
      </c>
      <c r="G36" s="18" t="n">
        <v>79.55435333</v>
      </c>
      <c r="H36" s="20" t="n">
        <v>1.85160961</v>
      </c>
      <c r="I36" s="18" t="s">
        <v>567</v>
      </c>
      <c r="J36" s="20" t="s">
        <v>567</v>
      </c>
      <c r="K36" s="18" t="n">
        <v>0.29835952</v>
      </c>
      <c r="L36" s="20" t="n">
        <v>0.25640167</v>
      </c>
      <c r="M36" s="18" t="n">
        <v>0</v>
      </c>
      <c r="N36" s="20" t="n">
        <v>0</v>
      </c>
      <c r="O36" s="18" t="n">
        <v>0</v>
      </c>
      <c r="P36" s="20" t="n">
        <v>0</v>
      </c>
      <c r="Q36" s="18" t="n">
        <v>2.01252503</v>
      </c>
      <c r="R36" s="20" t="n">
        <v>0.57749093</v>
      </c>
    </row>
    <row r="37" spans="1:18">
      <c r="A37" s="15" t="s">
        <v>597</v>
      </c>
      <c r="B37" s="17" t="n">
        <v>2727</v>
      </c>
      <c r="C37" s="18">
        <f>(2129.0/B37*100)</f>
        <v/>
      </c>
      <c r="D37" s="19" t="n">
        <v>598</v>
      </c>
      <c r="E37" s="18" t="n">
        <v>19.70191225</v>
      </c>
      <c r="F37" s="20" t="n">
        <v>1.85230868</v>
      </c>
      <c r="G37" s="18" t="n">
        <v>75.62063215000001</v>
      </c>
      <c r="H37" s="20" t="n">
        <v>2.11337811</v>
      </c>
      <c r="I37" s="18" t="s">
        <v>567</v>
      </c>
      <c r="J37" s="20" t="s">
        <v>567</v>
      </c>
      <c r="K37" s="18" t="n">
        <v>0.81352459</v>
      </c>
      <c r="L37" s="20" t="n">
        <v>0.35358991</v>
      </c>
      <c r="M37" s="18" t="n">
        <v>0</v>
      </c>
      <c r="N37" s="20" t="n">
        <v>0</v>
      </c>
      <c r="O37" s="18" t="n">
        <v>0</v>
      </c>
      <c r="P37" s="20" t="n">
        <v>0</v>
      </c>
      <c r="Q37" s="18" t="n">
        <v>3.86393102</v>
      </c>
      <c r="R37" s="20" t="n">
        <v>0.84630402</v>
      </c>
    </row>
    <row r="38" spans="1:18">
      <c r="A38" s="15" t="s">
        <v>598</v>
      </c>
      <c r="B38" s="17" t="n">
        <v>3053</v>
      </c>
      <c r="C38" s="18">
        <f>(2383.0/B38*100)</f>
        <v/>
      </c>
      <c r="D38" s="19" t="n">
        <v>670</v>
      </c>
      <c r="E38" s="18" t="n">
        <v>13.33352164</v>
      </c>
      <c r="F38" s="20" t="n">
        <v>1.31601649</v>
      </c>
      <c r="G38" s="18" t="n">
        <v>84.85619896999999</v>
      </c>
      <c r="H38" s="20" t="n">
        <v>1.35029406</v>
      </c>
      <c r="I38" s="18" t="s">
        <v>567</v>
      </c>
      <c r="J38" s="20" t="s">
        <v>567</v>
      </c>
      <c r="K38" s="18" t="n">
        <v>0.23466949</v>
      </c>
      <c r="L38" s="20" t="n">
        <v>0.22637028</v>
      </c>
      <c r="M38" s="18" t="n">
        <v>0</v>
      </c>
      <c r="N38" s="20" t="n">
        <v>0</v>
      </c>
      <c r="O38" s="18" t="n">
        <v>0</v>
      </c>
      <c r="P38" s="20" t="n">
        <v>0</v>
      </c>
      <c r="Q38" s="18" t="n">
        <v>1.5756099</v>
      </c>
      <c r="R38" s="20" t="n">
        <v>0.51823555</v>
      </c>
    </row>
    <row r="39" spans="1:18">
      <c r="A39" s="15" t="s">
        <v>599</v>
      </c>
      <c r="B39" s="17" t="n">
        <v>2957</v>
      </c>
      <c r="C39" s="18">
        <f>(2307.0/B39*100)</f>
        <v/>
      </c>
      <c r="D39" s="19" t="n">
        <v>650</v>
      </c>
      <c r="E39" s="18" t="n">
        <v>29.15974762</v>
      </c>
      <c r="F39" s="20" t="n">
        <v>2.10355308</v>
      </c>
      <c r="G39" s="18" t="n">
        <v>67.59398075999999</v>
      </c>
      <c r="H39" s="20" t="n">
        <v>2.2475296</v>
      </c>
      <c r="I39" s="18" t="s">
        <v>567</v>
      </c>
      <c r="J39" s="20" t="s">
        <v>567</v>
      </c>
      <c r="K39" s="18" t="n">
        <v>0</v>
      </c>
      <c r="L39" s="20" t="n">
        <v>0</v>
      </c>
      <c r="M39" s="18" t="n">
        <v>0</v>
      </c>
      <c r="N39" s="20" t="n">
        <v>0</v>
      </c>
      <c r="O39" s="18" t="n">
        <v>0</v>
      </c>
      <c r="P39" s="20" t="n">
        <v>0</v>
      </c>
      <c r="Q39" s="18" t="n">
        <v>3.24627162</v>
      </c>
      <c r="R39" s="20" t="n">
        <v>0.6038351</v>
      </c>
    </row>
    <row r="40" spans="1:18">
      <c r="A40" s="15" t="s">
        <v>600</v>
      </c>
      <c r="B40" s="17" t="n">
        <v>7235</v>
      </c>
      <c r="C40" s="18">
        <f>(5677.0/B40*100)</f>
        <v/>
      </c>
      <c r="D40" s="19" t="n">
        <v>1558</v>
      </c>
      <c r="E40" s="18" t="n">
        <v>11.63297574</v>
      </c>
      <c r="F40" s="20" t="n">
        <v>1.15911168</v>
      </c>
      <c r="G40" s="18" t="n">
        <v>87.11727145</v>
      </c>
      <c r="H40" s="20" t="n">
        <v>1.199107</v>
      </c>
      <c r="I40" s="18" t="s">
        <v>567</v>
      </c>
      <c r="J40" s="20" t="s">
        <v>567</v>
      </c>
      <c r="K40" s="18" t="n">
        <v>0.06922966</v>
      </c>
      <c r="L40" s="20" t="n">
        <v>0.03771608</v>
      </c>
      <c r="M40" s="18" t="n">
        <v>0</v>
      </c>
      <c r="N40" s="20" t="n">
        <v>0</v>
      </c>
      <c r="O40" s="18" t="n">
        <v>0</v>
      </c>
      <c r="P40" s="20" t="n">
        <v>0</v>
      </c>
      <c r="Q40" s="18" t="n">
        <v>1.18052315</v>
      </c>
      <c r="R40" s="20" t="n">
        <v>0.34977665</v>
      </c>
    </row>
    <row r="41" spans="1:18">
      <c r="A41" s="15" t="s">
        <v>601</v>
      </c>
      <c r="B41" s="17" t="n">
        <v>2858</v>
      </c>
      <c r="C41" s="18">
        <f>(2209.0/B41*100)</f>
        <v/>
      </c>
      <c r="D41" s="19" t="n">
        <v>649</v>
      </c>
      <c r="E41" s="18" t="n">
        <v>15.19255207</v>
      </c>
      <c r="F41" s="20" t="n">
        <v>1.63310217</v>
      </c>
      <c r="G41" s="18" t="n">
        <v>82.91911297</v>
      </c>
      <c r="H41" s="20" t="n">
        <v>1.7319424</v>
      </c>
      <c r="I41" s="18" t="s">
        <v>567</v>
      </c>
      <c r="J41" s="20" t="s">
        <v>567</v>
      </c>
      <c r="K41" s="18" t="n">
        <v>0.19119429</v>
      </c>
      <c r="L41" s="20" t="n">
        <v>0.16370772</v>
      </c>
      <c r="M41" s="18" t="n">
        <v>0</v>
      </c>
      <c r="N41" s="20" t="n">
        <v>0</v>
      </c>
      <c r="O41" s="18" t="n">
        <v>0</v>
      </c>
      <c r="P41" s="20" t="n">
        <v>0</v>
      </c>
      <c r="Q41" s="18" t="n">
        <v>1.69714067</v>
      </c>
      <c r="R41" s="20" t="n">
        <v>0.49800888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(8959.0/B46*100)</f>
        <v/>
      </c>
      <c r="D46" s="19" t="n">
        <v>2109</v>
      </c>
      <c r="E46" s="18" t="n">
        <v>34.7499911</v>
      </c>
      <c r="F46" s="20" t="n">
        <v>1.44775363</v>
      </c>
      <c r="G46" s="18" t="n">
        <v>54.34878106</v>
      </c>
      <c r="H46" s="20" t="n">
        <v>1.54104262</v>
      </c>
      <c r="I46" s="18" t="s">
        <v>567</v>
      </c>
      <c r="J46" s="20" t="s">
        <v>567</v>
      </c>
      <c r="K46" s="18" t="n">
        <v>0.46053495</v>
      </c>
      <c r="L46" s="20" t="n">
        <v>0.18684205</v>
      </c>
      <c r="M46" s="18" t="n">
        <v>0</v>
      </c>
      <c r="N46" s="20" t="n">
        <v>0</v>
      </c>
      <c r="O46" s="18" t="n">
        <v>0</v>
      </c>
      <c r="P46" s="20" t="n">
        <v>0</v>
      </c>
      <c r="Q46" s="18" t="n">
        <v>10.44069288</v>
      </c>
      <c r="R46" s="20" t="n">
        <v>0.86903082</v>
      </c>
    </row>
    <row r="47" spans="1:18">
      <c r="A47" s="15" t="s">
        <v>607</v>
      </c>
      <c r="B47" s="17" t="n">
        <v>3105</v>
      </c>
      <c r="C47" s="18">
        <f>(2443.0/B47*100)</f>
        <v/>
      </c>
      <c r="D47" s="19" t="n">
        <v>662</v>
      </c>
      <c r="E47" s="18" t="n">
        <v>23.34234421</v>
      </c>
      <c r="F47" s="20" t="n">
        <v>2.1790409</v>
      </c>
      <c r="G47" s="18" t="n">
        <v>73.83154689</v>
      </c>
      <c r="H47" s="20" t="n">
        <v>2.18908503</v>
      </c>
      <c r="I47" s="18" t="s">
        <v>567</v>
      </c>
      <c r="J47" s="20" t="s">
        <v>567</v>
      </c>
      <c r="K47" s="18" t="n">
        <v>0</v>
      </c>
      <c r="L47" s="20" t="n">
        <v>0</v>
      </c>
      <c r="M47" s="18" t="n">
        <v>0</v>
      </c>
      <c r="N47" s="20" t="n">
        <v>0</v>
      </c>
      <c r="O47" s="18" t="n">
        <v>0</v>
      </c>
      <c r="P47" s="20" t="n">
        <v>0</v>
      </c>
      <c r="Q47" s="18" t="n">
        <v>2.82610889</v>
      </c>
      <c r="R47" s="20" t="n">
        <v>0.78025624</v>
      </c>
    </row>
    <row r="48" spans="1:18">
      <c r="A48" s="15" t="s">
        <v>608</v>
      </c>
      <c r="B48" s="17" t="n">
        <v>5159</v>
      </c>
      <c r="C48" s="18">
        <f>(4041.0/B48*100)</f>
        <v/>
      </c>
      <c r="D48" s="19" t="n">
        <v>1118</v>
      </c>
      <c r="E48" s="18" t="n">
        <v>16.10724379</v>
      </c>
      <c r="F48" s="20" t="n">
        <v>1.55312577</v>
      </c>
      <c r="G48" s="18" t="n">
        <v>82.46632820000001</v>
      </c>
      <c r="H48" s="20" t="n">
        <v>1.52527502</v>
      </c>
      <c r="I48" s="18" t="s">
        <v>567</v>
      </c>
      <c r="J48" s="20" t="s">
        <v>567</v>
      </c>
      <c r="K48" s="18" t="n">
        <v>0.43145817</v>
      </c>
      <c r="L48" s="20" t="n">
        <v>0.31884772</v>
      </c>
      <c r="M48" s="18" t="n">
        <v>0</v>
      </c>
      <c r="N48" s="20" t="n">
        <v>0</v>
      </c>
      <c r="O48" s="18" t="n">
        <v>0</v>
      </c>
      <c r="P48" s="20" t="n">
        <v>0</v>
      </c>
      <c r="Q48" s="18" t="n">
        <v>0.99496984</v>
      </c>
      <c r="R48" s="20" t="n">
        <v>0.37427869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(4437.0/B50*100)</f>
        <v/>
      </c>
      <c r="D50" s="19" t="n">
        <v>1200</v>
      </c>
      <c r="E50" s="18" t="n">
        <v>29.31604794</v>
      </c>
      <c r="F50" s="20" t="n">
        <v>1.59650315</v>
      </c>
      <c r="G50" s="18" t="n">
        <v>66.28520715000001</v>
      </c>
      <c r="H50" s="20" t="n">
        <v>1.97807111</v>
      </c>
      <c r="I50" s="18" t="s">
        <v>567</v>
      </c>
      <c r="J50" s="20" t="s">
        <v>567</v>
      </c>
      <c r="K50" s="18" t="n">
        <v>1.39119773</v>
      </c>
      <c r="L50" s="20" t="n">
        <v>0.64199414</v>
      </c>
      <c r="M50" s="18" t="n">
        <v>0</v>
      </c>
      <c r="N50" s="20" t="n">
        <v>0</v>
      </c>
      <c r="O50" s="18" t="n">
        <v>0</v>
      </c>
      <c r="P50" s="20" t="n">
        <v>0</v>
      </c>
      <c r="Q50" s="18" t="n">
        <v>3.00754718</v>
      </c>
      <c r="R50" s="20" t="n">
        <v>0.78442608</v>
      </c>
    </row>
    <row r="51" spans="1:18">
      <c r="A51" s="15" t="s">
        <v>611</v>
      </c>
      <c r="B51" s="17" t="n">
        <v>3372</v>
      </c>
      <c r="C51" s="18">
        <f>(2718.0/B51*100)</f>
        <v/>
      </c>
      <c r="D51" s="19" t="n">
        <v>654</v>
      </c>
      <c r="E51" s="18" t="n">
        <v>28.98871445</v>
      </c>
      <c r="F51" s="20" t="n">
        <v>2.04257352</v>
      </c>
      <c r="G51" s="18" t="n">
        <v>68.63220917</v>
      </c>
      <c r="H51" s="20" t="n">
        <v>2.02504295</v>
      </c>
      <c r="I51" s="18" t="s">
        <v>567</v>
      </c>
      <c r="J51" s="20" t="s">
        <v>567</v>
      </c>
      <c r="K51" s="18" t="n">
        <v>0.59755019</v>
      </c>
      <c r="L51" s="20" t="n">
        <v>0.30518112</v>
      </c>
      <c r="M51" s="18" t="n">
        <v>0</v>
      </c>
      <c r="N51" s="20" t="n">
        <v>0</v>
      </c>
      <c r="O51" s="18" t="n">
        <v>0</v>
      </c>
      <c r="P51" s="20" t="n">
        <v>0</v>
      </c>
      <c r="Q51" s="18" t="n">
        <v>1.78152619</v>
      </c>
      <c r="R51" s="20" t="n">
        <v>0.5658794</v>
      </c>
    </row>
    <row r="52" spans="1:18">
      <c r="A52" s="15" t="s">
        <v>612</v>
      </c>
      <c r="B52" s="17" t="n">
        <v>2796</v>
      </c>
      <c r="C52" s="18">
        <f>(2176.0/B52*100)</f>
        <v/>
      </c>
      <c r="D52" s="19" t="n">
        <v>620</v>
      </c>
      <c r="E52" s="18" t="n">
        <v>16.75723692</v>
      </c>
      <c r="F52" s="20" t="n">
        <v>1.72283698</v>
      </c>
      <c r="G52" s="18" t="n">
        <v>81.090014</v>
      </c>
      <c r="H52" s="20" t="n">
        <v>1.74714705</v>
      </c>
      <c r="I52" s="18" t="s">
        <v>567</v>
      </c>
      <c r="J52" s="20" t="s">
        <v>567</v>
      </c>
      <c r="K52" s="18" t="n">
        <v>0</v>
      </c>
      <c r="L52" s="20" t="n">
        <v>0</v>
      </c>
      <c r="M52" s="18" t="n">
        <v>0</v>
      </c>
      <c r="N52" s="20" t="n">
        <v>0</v>
      </c>
      <c r="O52" s="18" t="n">
        <v>0</v>
      </c>
      <c r="P52" s="20" t="n">
        <v>0</v>
      </c>
      <c r="Q52" s="18" t="n">
        <v>2.15274908</v>
      </c>
      <c r="R52" s="20" t="n">
        <v>0.58039501</v>
      </c>
    </row>
    <row r="53" spans="1:18">
      <c r="A53" s="15" t="s">
        <v>613</v>
      </c>
      <c r="B53" s="17" t="n">
        <v>2811</v>
      </c>
      <c r="C53" s="18">
        <f>(2185.0/B53*100)</f>
        <v/>
      </c>
      <c r="D53" s="19" t="n">
        <v>626</v>
      </c>
      <c r="E53" s="18" t="n">
        <v>26.78121367</v>
      </c>
      <c r="F53" s="20" t="n">
        <v>1.6665387</v>
      </c>
      <c r="G53" s="18" t="n">
        <v>68.59637913</v>
      </c>
      <c r="H53" s="20" t="n">
        <v>1.7218038</v>
      </c>
      <c r="I53" s="18" t="s">
        <v>567</v>
      </c>
      <c r="J53" s="20" t="s">
        <v>567</v>
      </c>
      <c r="K53" s="18" t="n">
        <v>0.35341269</v>
      </c>
      <c r="L53" s="20" t="n">
        <v>0.20429815</v>
      </c>
      <c r="M53" s="18" t="n">
        <v>0</v>
      </c>
      <c r="N53" s="20" t="n">
        <v>0</v>
      </c>
      <c r="O53" s="18" t="n">
        <v>0</v>
      </c>
      <c r="P53" s="20" t="n">
        <v>0</v>
      </c>
      <c r="Q53" s="18" t="n">
        <v>4.26899451</v>
      </c>
      <c r="R53" s="20" t="n">
        <v>0.84436477</v>
      </c>
    </row>
    <row r="54" spans="1:18">
      <c r="A54" s="15" t="s">
        <v>614</v>
      </c>
      <c r="B54" s="17" t="n">
        <v>2266</v>
      </c>
      <c r="C54" s="18">
        <f>(1763.0/B54*100)</f>
        <v/>
      </c>
      <c r="D54" s="19" t="n">
        <v>503</v>
      </c>
      <c r="E54" s="18" t="n">
        <v>41.2310224</v>
      </c>
      <c r="F54" s="20" t="n">
        <v>2.76519501</v>
      </c>
      <c r="G54" s="18" t="n">
        <v>43.10066052</v>
      </c>
      <c r="H54" s="20" t="n">
        <v>3.05655259</v>
      </c>
      <c r="I54" s="18" t="s">
        <v>567</v>
      </c>
      <c r="J54" s="20" t="s">
        <v>567</v>
      </c>
      <c r="K54" s="18" t="n">
        <v>7.92270701</v>
      </c>
      <c r="L54" s="20" t="n">
        <v>1.1172845</v>
      </c>
      <c r="M54" s="18" t="n">
        <v>0</v>
      </c>
      <c r="N54" s="20" t="n">
        <v>0</v>
      </c>
      <c r="O54" s="18" t="n">
        <v>0</v>
      </c>
      <c r="P54" s="20" t="n">
        <v>0</v>
      </c>
      <c r="Q54" s="18" t="n">
        <v>7.74561007</v>
      </c>
      <c r="R54" s="20" t="n">
        <v>1.45974849</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(2076.0/B56*100)</f>
        <v/>
      </c>
      <c r="D56" s="19" t="n">
        <v>608</v>
      </c>
      <c r="E56" s="18" t="n">
        <v>11.53108078</v>
      </c>
      <c r="F56" s="20" t="n">
        <v>1.36022663</v>
      </c>
      <c r="G56" s="18" t="n">
        <v>86.20001188000001</v>
      </c>
      <c r="H56" s="20" t="n">
        <v>1.44429677</v>
      </c>
      <c r="I56" s="18" t="s">
        <v>567</v>
      </c>
      <c r="J56" s="20" t="s">
        <v>567</v>
      </c>
      <c r="K56" s="18" t="n">
        <v>0.323606</v>
      </c>
      <c r="L56" s="20" t="n">
        <v>0.22870611</v>
      </c>
      <c r="M56" s="18" t="n">
        <v>0</v>
      </c>
      <c r="N56" s="20" t="n">
        <v>0</v>
      </c>
      <c r="O56" s="18" t="n">
        <v>0</v>
      </c>
      <c r="P56" s="20" t="n">
        <v>0</v>
      </c>
      <c r="Q56" s="18" t="n">
        <v>1.94530134</v>
      </c>
      <c r="R56" s="20" t="n">
        <v>0.70187328</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(2585.0/B61*100)</f>
        <v/>
      </c>
      <c r="D61" s="19" t="n">
        <v>739</v>
      </c>
      <c r="E61" s="18" t="n">
        <v>20.46869934</v>
      </c>
      <c r="F61" s="20" t="n">
        <v>1.87774555</v>
      </c>
      <c r="G61" s="18" t="n">
        <v>77.15511146</v>
      </c>
      <c r="H61" s="20" t="n">
        <v>2.08363499</v>
      </c>
      <c r="I61" s="18" t="s">
        <v>567</v>
      </c>
      <c r="J61" s="20" t="s">
        <v>567</v>
      </c>
      <c r="K61" s="18" t="n">
        <v>0.26392838</v>
      </c>
      <c r="L61" s="20" t="n">
        <v>0.17922718</v>
      </c>
      <c r="M61" s="18" t="n">
        <v>0</v>
      </c>
      <c r="N61" s="20" t="n">
        <v>0</v>
      </c>
      <c r="O61" s="18" t="n">
        <v>0</v>
      </c>
      <c r="P61" s="20" t="n">
        <v>0</v>
      </c>
      <c r="Q61" s="18" t="n">
        <v>2.11226082</v>
      </c>
      <c r="R61" s="20" t="n">
        <v>0.56186926</v>
      </c>
    </row>
    <row r="62" spans="1:18">
      <c r="A62" s="15" t="s">
        <v>622</v>
      </c>
      <c r="B62" s="17" t="n">
        <v>2246</v>
      </c>
      <c r="C62" s="18">
        <f>(1741.0/B62*100)</f>
        <v/>
      </c>
      <c r="D62" s="19" t="n">
        <v>505</v>
      </c>
      <c r="E62" s="18" t="n">
        <v>10.29631501</v>
      </c>
      <c r="F62" s="20" t="n">
        <v>1.40944651</v>
      </c>
      <c r="G62" s="18" t="n">
        <v>89.50727806</v>
      </c>
      <c r="H62" s="20" t="n">
        <v>1.39250721</v>
      </c>
      <c r="I62" s="18" t="s">
        <v>567</v>
      </c>
      <c r="J62" s="20" t="s">
        <v>567</v>
      </c>
      <c r="K62" s="18" t="n">
        <v>0</v>
      </c>
      <c r="L62" s="20" t="n">
        <v>0</v>
      </c>
      <c r="M62" s="18" t="n">
        <v>0</v>
      </c>
      <c r="N62" s="20" t="n">
        <v>0</v>
      </c>
      <c r="O62" s="18" t="n">
        <v>0</v>
      </c>
      <c r="P62" s="20" t="n">
        <v>0</v>
      </c>
      <c r="Q62" s="18" t="n">
        <v>0.19640693</v>
      </c>
      <c r="R62" s="20" t="n">
        <v>0.19665437</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(2254.0/B66*100)</f>
        <v/>
      </c>
      <c r="D66" s="19" t="n">
        <v>640</v>
      </c>
      <c r="E66" s="18" t="n">
        <v>32.89286694</v>
      </c>
      <c r="F66" s="20" t="n">
        <v>1.88174195</v>
      </c>
      <c r="G66" s="18" t="n">
        <v>58.83114306</v>
      </c>
      <c r="H66" s="20" t="n">
        <v>2.1083984</v>
      </c>
      <c r="I66" s="18" t="s">
        <v>567</v>
      </c>
      <c r="J66" s="20" t="s">
        <v>567</v>
      </c>
      <c r="K66" s="18" t="n">
        <v>0.50357867</v>
      </c>
      <c r="L66" s="20" t="n">
        <v>0.29811821</v>
      </c>
      <c r="M66" s="18" t="n">
        <v>0</v>
      </c>
      <c r="N66" s="20" t="n">
        <v>0</v>
      </c>
      <c r="O66" s="18" t="n">
        <v>0</v>
      </c>
      <c r="P66" s="20" t="n">
        <v>0</v>
      </c>
      <c r="Q66" s="18" t="n">
        <v>7.77241134</v>
      </c>
      <c r="R66" s="20" t="n">
        <v>1.1053814</v>
      </c>
    </row>
    <row r="67" spans="1:18">
      <c r="A67" s="15" t="s">
        <v>627</v>
      </c>
      <c r="B67" s="17" t="n">
        <v>3511</v>
      </c>
      <c r="C67" s="18">
        <f>(2772.0/B67*100)</f>
        <v/>
      </c>
      <c r="D67" s="19" t="n">
        <v>739</v>
      </c>
      <c r="E67" s="18" t="n">
        <v>33.90142312</v>
      </c>
      <c r="F67" s="20" t="n">
        <v>2.09892241</v>
      </c>
      <c r="G67" s="18" t="n">
        <v>62.74234192</v>
      </c>
      <c r="H67" s="20" t="n">
        <v>2.07942742</v>
      </c>
      <c r="I67" s="18" t="s">
        <v>567</v>
      </c>
      <c r="J67" s="20" t="s">
        <v>567</v>
      </c>
      <c r="K67" s="18" t="n">
        <v>0</v>
      </c>
      <c r="L67" s="20" t="n">
        <v>0</v>
      </c>
      <c r="M67" s="18" t="n">
        <v>0</v>
      </c>
      <c r="N67" s="20" t="n">
        <v>0</v>
      </c>
      <c r="O67" s="18" t="n">
        <v>0</v>
      </c>
      <c r="P67" s="20" t="n">
        <v>0</v>
      </c>
      <c r="Q67" s="18" t="n">
        <v>3.35623497</v>
      </c>
      <c r="R67" s="20" t="n">
        <v>0.72196852</v>
      </c>
    </row>
    <row r="68" spans="1:18">
      <c r="A68" s="15" t="s">
        <v>628</v>
      </c>
      <c r="B68" s="17" t="n">
        <v>6049</v>
      </c>
      <c r="C68" s="18">
        <f>(4721.0/B68*100)</f>
        <v/>
      </c>
      <c r="D68" s="19" t="n">
        <v>1328</v>
      </c>
      <c r="E68" s="18" t="n">
        <v>34.15851403</v>
      </c>
      <c r="F68" s="20" t="n">
        <v>1.52492591</v>
      </c>
      <c r="G68" s="18" t="n">
        <v>56.77440122</v>
      </c>
      <c r="H68" s="20" t="n">
        <v>1.52886893</v>
      </c>
      <c r="I68" s="18" t="s">
        <v>567</v>
      </c>
      <c r="J68" s="20" t="s">
        <v>567</v>
      </c>
      <c r="K68" s="18" t="n">
        <v>1.42318245</v>
      </c>
      <c r="L68" s="20" t="n">
        <v>0.34217921</v>
      </c>
      <c r="M68" s="18" t="n">
        <v>0</v>
      </c>
      <c r="N68" s="20" t="n">
        <v>0</v>
      </c>
      <c r="O68" s="18" t="n">
        <v>0</v>
      </c>
      <c r="P68" s="20" t="n">
        <v>0</v>
      </c>
      <c r="Q68" s="18" t="n">
        <v>7.6439023</v>
      </c>
      <c r="R68" s="20" t="n">
        <v>0.74096126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(2288.0/B70*100)</f>
        <v/>
      </c>
      <c r="D70" s="19" t="n">
        <v>641</v>
      </c>
      <c r="E70" s="18" t="n">
        <v>17.80759243</v>
      </c>
      <c r="F70" s="20" t="n">
        <v>1.74387765</v>
      </c>
      <c r="G70" s="18" t="n">
        <v>80.86550904000001</v>
      </c>
      <c r="H70" s="20" t="n">
        <v>1.79369957</v>
      </c>
      <c r="I70" s="18" t="s">
        <v>567</v>
      </c>
      <c r="J70" s="20" t="s">
        <v>567</v>
      </c>
      <c r="K70" s="18" t="n">
        <v>0.14406089</v>
      </c>
      <c r="L70" s="20" t="n">
        <v>0.14091906</v>
      </c>
      <c r="M70" s="18" t="n">
        <v>0</v>
      </c>
      <c r="N70" s="20" t="n">
        <v>0</v>
      </c>
      <c r="O70" s="18" t="n">
        <v>0</v>
      </c>
      <c r="P70" s="20" t="n">
        <v>0</v>
      </c>
      <c r="Q70" s="18" t="n">
        <v>1.18283764</v>
      </c>
      <c r="R70" s="20" t="n">
        <v>0.47068368</v>
      </c>
    </row>
    <row r="71" spans="1:18">
      <c r="A71" s="15" t="s">
        <v>631</v>
      </c>
      <c r="B71" s="17" t="n">
        <v>3142</v>
      </c>
      <c r="C71" s="18">
        <f>(2447.0/B71*100)</f>
        <v/>
      </c>
      <c r="D71" s="19" t="n">
        <v>695</v>
      </c>
      <c r="E71" s="18" t="n">
        <v>7.75556993</v>
      </c>
      <c r="F71" s="20" t="n">
        <v>0.97518702</v>
      </c>
      <c r="G71" s="18" t="n">
        <v>91.35820192</v>
      </c>
      <c r="H71" s="20" t="n">
        <v>0.99183955</v>
      </c>
      <c r="I71" s="18" t="s">
        <v>567</v>
      </c>
      <c r="J71" s="20" t="s">
        <v>567</v>
      </c>
      <c r="K71" s="18" t="n">
        <v>0</v>
      </c>
      <c r="L71" s="20" t="n">
        <v>0</v>
      </c>
      <c r="M71" s="18" t="n">
        <v>0</v>
      </c>
      <c r="N71" s="20" t="n">
        <v>0</v>
      </c>
      <c r="O71" s="18" t="n">
        <v>0</v>
      </c>
      <c r="P71" s="20" t="n">
        <v>0</v>
      </c>
      <c r="Q71" s="18" t="n">
        <v>0.88622815</v>
      </c>
      <c r="R71" s="20" t="n">
        <v>0.40289645</v>
      </c>
    </row>
    <row r="72" spans="1:18">
      <c r="A72" s="15" t="s">
        <v>632</v>
      </c>
      <c r="B72" s="17" t="n">
        <v>3889</v>
      </c>
      <c r="C72" s="18">
        <f>(2989.0/B72*100)</f>
        <v/>
      </c>
      <c r="D72" s="19" t="n">
        <v>900</v>
      </c>
      <c r="E72" s="18" t="n">
        <v>11.20933371</v>
      </c>
      <c r="F72" s="20" t="n">
        <v>1.26018777</v>
      </c>
      <c r="G72" s="18" t="n">
        <v>87.53853289</v>
      </c>
      <c r="H72" s="20" t="n">
        <v>1.3883188</v>
      </c>
      <c r="I72" s="18" t="s">
        <v>567</v>
      </c>
      <c r="J72" s="20" t="s">
        <v>567</v>
      </c>
      <c r="K72" s="18" t="n">
        <v>0</v>
      </c>
      <c r="L72" s="20" t="n">
        <v>0</v>
      </c>
      <c r="M72" s="18" t="n">
        <v>0</v>
      </c>
      <c r="N72" s="20" t="n">
        <v>0</v>
      </c>
      <c r="O72" s="18" t="n">
        <v>0</v>
      </c>
      <c r="P72" s="20" t="n">
        <v>0</v>
      </c>
      <c r="Q72" s="18" t="n">
        <v>1.25213341</v>
      </c>
      <c r="R72" s="20" t="n">
        <v>0.40209761</v>
      </c>
    </row>
    <row r="73" spans="1:18">
      <c r="A73" s="15" t="s">
        <v>633</v>
      </c>
      <c r="B73" s="17" t="n">
        <v>3597</v>
      </c>
      <c r="C73" s="18">
        <f>(2833.0/B73*100)</f>
        <v/>
      </c>
      <c r="D73" s="19" t="n">
        <v>764</v>
      </c>
      <c r="E73" s="18" t="n">
        <v>34.38579452</v>
      </c>
      <c r="F73" s="20" t="n">
        <v>2.0315685</v>
      </c>
      <c r="G73" s="18" t="n">
        <v>61.50078224</v>
      </c>
      <c r="H73" s="20" t="n">
        <v>2.41366687</v>
      </c>
      <c r="I73" s="18" t="s">
        <v>567</v>
      </c>
      <c r="J73" s="20" t="s">
        <v>567</v>
      </c>
      <c r="K73" s="18" t="n">
        <v>0</v>
      </c>
      <c r="L73" s="20" t="n">
        <v>0</v>
      </c>
      <c r="M73" s="18" t="n">
        <v>0</v>
      </c>
      <c r="N73" s="20" t="n">
        <v>0</v>
      </c>
      <c r="O73" s="18" t="n">
        <v>0</v>
      </c>
      <c r="P73" s="20" t="n">
        <v>0</v>
      </c>
      <c r="Q73" s="18" t="n">
        <v>4.11342324</v>
      </c>
      <c r="R73" s="20" t="n">
        <v>1.0099802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(1926.0/B75*100)</f>
        <v/>
      </c>
      <c r="D75" s="19" t="n">
        <v>480</v>
      </c>
      <c r="E75" s="18" t="n">
        <v>39.83761259</v>
      </c>
      <c r="F75" s="20" t="n">
        <v>2.05073045</v>
      </c>
      <c r="G75" s="18" t="n">
        <v>53.40772664</v>
      </c>
      <c r="H75" s="20" t="n">
        <v>2.47709951</v>
      </c>
      <c r="I75" s="18" t="s">
        <v>567</v>
      </c>
      <c r="J75" s="20" t="s">
        <v>567</v>
      </c>
      <c r="K75" s="18" t="n">
        <v>2.02187395</v>
      </c>
      <c r="L75" s="20" t="n">
        <v>0.76388593</v>
      </c>
      <c r="M75" s="18" t="n">
        <v>0</v>
      </c>
      <c r="N75" s="20" t="n">
        <v>0</v>
      </c>
      <c r="O75" s="18" t="n">
        <v>0</v>
      </c>
      <c r="P75" s="20" t="n">
        <v>0</v>
      </c>
      <c r="Q75" s="18" t="n">
        <v>4.73278681</v>
      </c>
      <c r="R75" s="20" t="n">
        <v>1.31482483</v>
      </c>
    </row>
    <row r="76" spans="1:18">
      <c r="A76" s="15" t="s">
        <v>636</v>
      </c>
      <c r="B76" s="17" t="n">
        <v>7052</v>
      </c>
      <c r="C76" s="18">
        <f>(5538.0/B76*100)</f>
        <v/>
      </c>
      <c r="D76" s="19" t="n">
        <v>1514</v>
      </c>
      <c r="E76" s="18" t="n">
        <v>30.15316318</v>
      </c>
      <c r="F76" s="20" t="n">
        <v>1.49883519</v>
      </c>
      <c r="G76" s="18" t="n">
        <v>64.61831006</v>
      </c>
      <c r="H76" s="20" t="n">
        <v>1.54401762</v>
      </c>
      <c r="I76" s="18" t="s">
        <v>567</v>
      </c>
      <c r="J76" s="20" t="s">
        <v>567</v>
      </c>
      <c r="K76" s="18" t="n">
        <v>1.02353068</v>
      </c>
      <c r="L76" s="20" t="n">
        <v>0.33095727</v>
      </c>
      <c r="M76" s="18" t="n">
        <v>0</v>
      </c>
      <c r="N76" s="20" t="n">
        <v>0</v>
      </c>
      <c r="O76" s="18" t="n">
        <v>0</v>
      </c>
      <c r="P76" s="20" t="n">
        <v>0</v>
      </c>
      <c r="Q76" s="18" t="n">
        <v>4.20499609</v>
      </c>
      <c r="R76" s="20" t="n">
        <v>0.57475506</v>
      </c>
    </row>
    <row r="77" spans="1:18">
      <c r="A77" s="15" t="s">
        <v>637</v>
      </c>
      <c r="B77" s="17" t="n">
        <v>2908</v>
      </c>
      <c r="C77" s="18">
        <f>(2285.0/B77*100)</f>
        <v/>
      </c>
      <c r="D77" s="19" t="n">
        <v>623</v>
      </c>
      <c r="E77" s="18" t="n">
        <v>24.79424845</v>
      </c>
      <c r="F77" s="20" t="n">
        <v>1.82655679</v>
      </c>
      <c r="G77" s="18" t="n">
        <v>70.45245582</v>
      </c>
      <c r="H77" s="20" t="n">
        <v>1.99117622</v>
      </c>
      <c r="I77" s="18" t="s">
        <v>567</v>
      </c>
      <c r="J77" s="20" t="s">
        <v>567</v>
      </c>
      <c r="K77" s="18" t="n">
        <v>0.8372957599999999</v>
      </c>
      <c r="L77" s="20" t="n">
        <v>0.39735063</v>
      </c>
      <c r="M77" s="18" t="n">
        <v>0</v>
      </c>
      <c r="N77" s="20" t="n">
        <v>0</v>
      </c>
      <c r="O77" s="18" t="n">
        <v>0</v>
      </c>
      <c r="P77" s="20" t="n">
        <v>0</v>
      </c>
      <c r="Q77" s="18" t="n">
        <v>3.91599997</v>
      </c>
      <c r="R77" s="20" t="n">
        <v>0.97163119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(3255.0/B81*100)</f>
        <v/>
      </c>
      <c r="D81" s="19" t="n">
        <v>908</v>
      </c>
      <c r="E81" s="18" t="n">
        <v>24.7316034</v>
      </c>
      <c r="F81" s="20" t="n">
        <v>2.04461934</v>
      </c>
      <c r="G81" s="18" t="n">
        <v>74.17761822999999</v>
      </c>
      <c r="H81" s="20" t="n">
        <v>2.03570591</v>
      </c>
      <c r="I81" s="18" t="s">
        <v>567</v>
      </c>
      <c r="J81" s="20" t="s">
        <v>567</v>
      </c>
      <c r="K81" s="18" t="n">
        <v>0</v>
      </c>
      <c r="L81" s="20" t="n">
        <v>0</v>
      </c>
      <c r="M81" s="18" t="n">
        <v>0</v>
      </c>
      <c r="N81" s="20" t="n">
        <v>0</v>
      </c>
      <c r="O81" s="18" t="n">
        <v>0</v>
      </c>
      <c r="P81" s="20" t="n">
        <v>0</v>
      </c>
      <c r="Q81" s="18" t="n">
        <v>1.09077837</v>
      </c>
      <c r="R81" s="20" t="n">
        <v>0.41435046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(5714.0/B7*100)</f>
        <v/>
      </c>
      <c r="D7" s="19" t="n">
        <v>1653</v>
      </c>
      <c r="E7" s="18" t="n">
        <v>56.33615633</v>
      </c>
      <c r="F7" s="20" t="n">
        <v>1.36046852</v>
      </c>
      <c r="G7" s="18" t="n">
        <v>42.17033432</v>
      </c>
      <c r="H7" s="20" t="n">
        <v>1.38167253</v>
      </c>
      <c r="I7" s="18" t="s">
        <v>567</v>
      </c>
      <c r="J7" s="20" t="s">
        <v>567</v>
      </c>
      <c r="K7" s="18" t="n">
        <v>0.0662166</v>
      </c>
      <c r="L7" s="20" t="n">
        <v>0.03680569</v>
      </c>
      <c r="M7" s="18" t="n">
        <v>0</v>
      </c>
      <c r="N7" s="20" t="n">
        <v>0</v>
      </c>
      <c r="O7" s="18" t="n">
        <v>0</v>
      </c>
      <c r="P7" s="20" t="n">
        <v>0</v>
      </c>
      <c r="Q7" s="18" t="n">
        <v>1.42729275</v>
      </c>
      <c r="R7" s="20" t="n">
        <v>0.32769458</v>
      </c>
    </row>
    <row r="8" spans="1:18">
      <c r="A8" s="15" t="s">
        <v>568</v>
      </c>
      <c r="B8" s="17" t="n">
        <v>3564</v>
      </c>
      <c r="C8" s="18">
        <f>(2771.0/B8*100)</f>
        <v/>
      </c>
      <c r="D8" s="19" t="n">
        <v>793</v>
      </c>
      <c r="E8" s="18" t="n">
        <v>59.85434506</v>
      </c>
      <c r="F8" s="20" t="n">
        <v>2.20364127</v>
      </c>
      <c r="G8" s="18" t="n">
        <v>38.42079624</v>
      </c>
      <c r="H8" s="20" t="n">
        <v>2.21088279</v>
      </c>
      <c r="I8" s="18" t="s">
        <v>567</v>
      </c>
      <c r="J8" s="20" t="s">
        <v>567</v>
      </c>
      <c r="K8" s="18" t="n">
        <v>0.14926913</v>
      </c>
      <c r="L8" s="20" t="n">
        <v>0.14469837</v>
      </c>
      <c r="M8" s="18" t="n">
        <v>0</v>
      </c>
      <c r="N8" s="20" t="n">
        <v>0</v>
      </c>
      <c r="O8" s="18" t="n">
        <v>0</v>
      </c>
      <c r="P8" s="20" t="n">
        <v>0</v>
      </c>
      <c r="Q8" s="18" t="n">
        <v>1.57558957</v>
      </c>
      <c r="R8" s="20" t="n">
        <v>0.50894671</v>
      </c>
    </row>
    <row r="9" spans="1:18">
      <c r="A9" s="15" t="s">
        <v>569</v>
      </c>
      <c r="B9" s="17" t="n">
        <v>4899</v>
      </c>
      <c r="C9" s="18">
        <f>(3859.0/B9*100)</f>
        <v/>
      </c>
      <c r="D9" s="19" t="n">
        <v>1040</v>
      </c>
      <c r="E9" s="18" t="n">
        <v>47.22443734</v>
      </c>
      <c r="F9" s="20" t="n">
        <v>1.83841522</v>
      </c>
      <c r="G9" s="18" t="n">
        <v>51.62239907</v>
      </c>
      <c r="H9" s="20" t="n">
        <v>1.80355966</v>
      </c>
      <c r="I9" s="18" t="s">
        <v>567</v>
      </c>
      <c r="J9" s="20" t="s">
        <v>567</v>
      </c>
      <c r="K9" s="18" t="n">
        <v>0.09518500000000001</v>
      </c>
      <c r="L9" s="20" t="n">
        <v>0.09493043</v>
      </c>
      <c r="M9" s="18" t="n">
        <v>0</v>
      </c>
      <c r="N9" s="20" t="n">
        <v>0</v>
      </c>
      <c r="O9" s="18" t="n">
        <v>0</v>
      </c>
      <c r="P9" s="20" t="n">
        <v>0</v>
      </c>
      <c r="Q9" s="18" t="n">
        <v>1.05797859</v>
      </c>
      <c r="R9" s="20" t="n">
        <v>0.26526718</v>
      </c>
    </row>
    <row r="10" spans="1:18">
      <c r="A10" s="15" t="s">
        <v>570</v>
      </c>
      <c r="B10" s="17" t="n">
        <v>10036</v>
      </c>
      <c r="C10" s="18">
        <f>(7787.0/B10*100)</f>
        <v/>
      </c>
      <c r="D10" s="19" t="n">
        <v>2249</v>
      </c>
      <c r="E10" s="18" t="n">
        <v>47.48412678</v>
      </c>
      <c r="F10" s="20" t="n">
        <v>1.84814789</v>
      </c>
      <c r="G10" s="18" t="n">
        <v>51.68310983</v>
      </c>
      <c r="H10" s="20" t="n">
        <v>1.80023342</v>
      </c>
      <c r="I10" s="18" t="s">
        <v>567</v>
      </c>
      <c r="J10" s="20" t="s">
        <v>567</v>
      </c>
      <c r="K10" s="18" t="n">
        <v>0.37992125</v>
      </c>
      <c r="L10" s="20" t="n">
        <v>0.20018321</v>
      </c>
      <c r="M10" s="18" t="n">
        <v>0</v>
      </c>
      <c r="N10" s="20" t="n">
        <v>0</v>
      </c>
      <c r="O10" s="18" t="n">
        <v>0</v>
      </c>
      <c r="P10" s="20" t="n">
        <v>0</v>
      </c>
      <c r="Q10" s="18" t="n">
        <v>0.45284215</v>
      </c>
      <c r="R10" s="20" t="n">
        <v>0.1884085</v>
      </c>
    </row>
    <row r="11" spans="1:18">
      <c r="A11" s="15" t="s">
        <v>571</v>
      </c>
      <c r="B11" s="17" t="n">
        <v>3553</v>
      </c>
      <c r="C11" s="18">
        <f>(2790.0/B11*100)</f>
        <v/>
      </c>
      <c r="D11" s="19" t="n">
        <v>763</v>
      </c>
      <c r="E11" s="18" t="n">
        <v>68.17280724</v>
      </c>
      <c r="F11" s="20" t="n">
        <v>1.97074012</v>
      </c>
      <c r="G11" s="18" t="n">
        <v>28.41432554</v>
      </c>
      <c r="H11" s="20" t="n">
        <v>1.92435443</v>
      </c>
      <c r="I11" s="18" t="s">
        <v>567</v>
      </c>
      <c r="J11" s="20" t="s">
        <v>567</v>
      </c>
      <c r="K11" s="18" t="n">
        <v>0.90490557</v>
      </c>
      <c r="L11" s="20" t="n">
        <v>0.53701079</v>
      </c>
      <c r="M11" s="18" t="n">
        <v>0</v>
      </c>
      <c r="N11" s="20" t="n">
        <v>0</v>
      </c>
      <c r="O11" s="18" t="n">
        <v>0</v>
      </c>
      <c r="P11" s="20" t="n">
        <v>0</v>
      </c>
      <c r="Q11" s="18" t="n">
        <v>2.50796166</v>
      </c>
      <c r="R11" s="20" t="n">
        <v>0.68260632</v>
      </c>
    </row>
    <row r="12" spans="1:18">
      <c r="A12" s="15" t="s">
        <v>572</v>
      </c>
      <c r="B12" s="17" t="n">
        <v>3472</v>
      </c>
      <c r="C12" s="18">
        <f>(2714.0/B12*100)</f>
        <v/>
      </c>
      <c r="D12" s="19" t="n">
        <v>758</v>
      </c>
      <c r="E12" s="18" t="n">
        <v>58.28724911</v>
      </c>
      <c r="F12" s="20" t="n">
        <v>2.55025613</v>
      </c>
      <c r="G12" s="18" t="n">
        <v>40.72711911</v>
      </c>
      <c r="H12" s="20" t="n">
        <v>2.57657464</v>
      </c>
      <c r="I12" s="18" t="s">
        <v>567</v>
      </c>
      <c r="J12" s="20" t="s">
        <v>567</v>
      </c>
      <c r="K12" s="18" t="n">
        <v>0.1233051</v>
      </c>
      <c r="L12" s="20" t="n">
        <v>0.12639184</v>
      </c>
      <c r="M12" s="18" t="n">
        <v>0</v>
      </c>
      <c r="N12" s="20" t="n">
        <v>0</v>
      </c>
      <c r="O12" s="18" t="n">
        <v>0</v>
      </c>
      <c r="P12" s="20" t="n">
        <v>0</v>
      </c>
      <c r="Q12" s="18" t="n">
        <v>0.86232667</v>
      </c>
      <c r="R12" s="20" t="n">
        <v>0.30005295</v>
      </c>
    </row>
    <row r="13" spans="1:18">
      <c r="A13" s="15" t="s">
        <v>573</v>
      </c>
      <c r="B13" s="17" t="n">
        <v>3559</v>
      </c>
      <c r="C13" s="18">
        <f>(2784.0/B13*100)</f>
        <v/>
      </c>
      <c r="D13" s="19" t="n">
        <v>775</v>
      </c>
      <c r="E13" s="18" t="n">
        <v>60.47757277</v>
      </c>
      <c r="F13" s="20" t="n">
        <v>2.28183113</v>
      </c>
      <c r="G13" s="18" t="n">
        <v>38.87030135</v>
      </c>
      <c r="H13" s="20" t="n">
        <v>2.29702981</v>
      </c>
      <c r="I13" s="18" t="s">
        <v>567</v>
      </c>
      <c r="J13" s="20" t="s">
        <v>567</v>
      </c>
      <c r="K13" s="18" t="n">
        <v>0.07609209</v>
      </c>
      <c r="L13" s="20" t="n">
        <v>0.07675269</v>
      </c>
      <c r="M13" s="18" t="n">
        <v>0</v>
      </c>
      <c r="N13" s="20" t="n">
        <v>0</v>
      </c>
      <c r="O13" s="18" t="n">
        <v>0</v>
      </c>
      <c r="P13" s="20" t="n">
        <v>0</v>
      </c>
      <c r="Q13" s="18" t="n">
        <v>0.5760338</v>
      </c>
      <c r="R13" s="20" t="n">
        <v>0.24618821</v>
      </c>
    </row>
    <row r="14" spans="1:18">
      <c r="A14" s="15" t="s">
        <v>574</v>
      </c>
      <c r="B14" s="17" t="n">
        <v>2799</v>
      </c>
      <c r="C14" s="18">
        <f>(2215.0/B14*100)</f>
        <v/>
      </c>
      <c r="D14" s="19" t="n">
        <v>584</v>
      </c>
      <c r="E14" s="18" t="n">
        <v>50.5048548</v>
      </c>
      <c r="F14" s="20" t="n">
        <v>2.46729776</v>
      </c>
      <c r="G14" s="18" t="n">
        <v>48.69697241</v>
      </c>
      <c r="H14" s="20" t="n">
        <v>2.49604217</v>
      </c>
      <c r="I14" s="18" t="s">
        <v>567</v>
      </c>
      <c r="J14" s="20" t="s">
        <v>567</v>
      </c>
      <c r="K14" s="18" t="n">
        <v>0.14236436</v>
      </c>
      <c r="L14" s="20" t="n">
        <v>0.14229489</v>
      </c>
      <c r="M14" s="18" t="n">
        <v>0</v>
      </c>
      <c r="N14" s="20" t="n">
        <v>0</v>
      </c>
      <c r="O14" s="18" t="n">
        <v>0</v>
      </c>
      <c r="P14" s="20" t="n">
        <v>0</v>
      </c>
      <c r="Q14" s="18" t="n">
        <v>0.6558084199999999</v>
      </c>
      <c r="R14" s="20" t="n">
        <v>0.44811861</v>
      </c>
    </row>
    <row r="15" spans="1:18">
      <c r="A15" s="15" t="s">
        <v>575</v>
      </c>
      <c r="B15" s="17" t="n">
        <v>3019</v>
      </c>
      <c r="C15" s="18">
        <f>(2374.0/B15*100)</f>
        <v/>
      </c>
      <c r="D15" s="19" t="n">
        <v>645</v>
      </c>
      <c r="E15" s="18" t="n">
        <v>58.86491843</v>
      </c>
      <c r="F15" s="20" t="n">
        <v>1.81705852</v>
      </c>
      <c r="G15" s="18" t="n">
        <v>40.32397653</v>
      </c>
      <c r="H15" s="20" t="n">
        <v>1.79967264</v>
      </c>
      <c r="I15" s="18" t="s">
        <v>567</v>
      </c>
      <c r="J15" s="20" t="s">
        <v>567</v>
      </c>
      <c r="K15" s="18" t="n">
        <v>0</v>
      </c>
      <c r="L15" s="20" t="n">
        <v>0</v>
      </c>
      <c r="M15" s="18" t="n">
        <v>0</v>
      </c>
      <c r="N15" s="20" t="n">
        <v>0</v>
      </c>
      <c r="O15" s="18" t="n">
        <v>0</v>
      </c>
      <c r="P15" s="20" t="n">
        <v>0</v>
      </c>
      <c r="Q15" s="18" t="n">
        <v>0.8111050400000001</v>
      </c>
      <c r="R15" s="20" t="n">
        <v>0.38154943</v>
      </c>
    </row>
    <row r="16" spans="1:18">
      <c r="A16" s="15" t="s">
        <v>576</v>
      </c>
      <c r="B16" s="17" t="n">
        <v>2997</v>
      </c>
      <c r="C16" s="18">
        <f>(2362.0/B16*100)</f>
        <v/>
      </c>
      <c r="D16" s="19" t="n">
        <v>635</v>
      </c>
      <c r="E16" s="18" t="n">
        <v>50.81110682</v>
      </c>
      <c r="F16" s="20" t="n">
        <v>1.97464058</v>
      </c>
      <c r="G16" s="18" t="n">
        <v>46.45746841</v>
      </c>
      <c r="H16" s="20" t="n">
        <v>2.07495565</v>
      </c>
      <c r="I16" s="18" t="s">
        <v>567</v>
      </c>
      <c r="J16" s="20" t="s">
        <v>567</v>
      </c>
      <c r="K16" s="18" t="n">
        <v>0.43704963</v>
      </c>
      <c r="L16" s="20" t="n">
        <v>0.19854792</v>
      </c>
      <c r="M16" s="18" t="n">
        <v>0</v>
      </c>
      <c r="N16" s="20" t="n">
        <v>0</v>
      </c>
      <c r="O16" s="18" t="n">
        <v>0</v>
      </c>
      <c r="P16" s="20" t="n">
        <v>0</v>
      </c>
      <c r="Q16" s="18" t="n">
        <v>2.29437515</v>
      </c>
      <c r="R16" s="20" t="n">
        <v>0.65413902</v>
      </c>
    </row>
    <row r="17" spans="1:18">
      <c r="A17" s="15" t="s">
        <v>577</v>
      </c>
      <c r="B17" s="17" t="n">
        <v>3307</v>
      </c>
      <c r="C17" s="18">
        <f>(2583.0/B17*100)</f>
        <v/>
      </c>
      <c r="D17" s="19" t="n">
        <v>724</v>
      </c>
      <c r="E17" s="18" t="n">
        <v>54.75492525</v>
      </c>
      <c r="F17" s="20" t="n">
        <v>1.85849478</v>
      </c>
      <c r="G17" s="18" t="n">
        <v>44.07536158</v>
      </c>
      <c r="H17" s="20" t="n">
        <v>1.90076057</v>
      </c>
      <c r="I17" s="18" t="s">
        <v>567</v>
      </c>
      <c r="J17" s="20" t="s">
        <v>567</v>
      </c>
      <c r="K17" s="18" t="n">
        <v>0.42668485</v>
      </c>
      <c r="L17" s="20" t="n">
        <v>0.20719732</v>
      </c>
      <c r="M17" s="18" t="n">
        <v>0</v>
      </c>
      <c r="N17" s="20" t="n">
        <v>0</v>
      </c>
      <c r="O17" s="18" t="n">
        <v>0</v>
      </c>
      <c r="P17" s="20" t="n">
        <v>0</v>
      </c>
      <c r="Q17" s="18" t="n">
        <v>0.74302831</v>
      </c>
      <c r="R17" s="20" t="n">
        <v>0.34551403</v>
      </c>
    </row>
    <row r="18" spans="1:18">
      <c r="A18" s="15" t="s">
        <v>578</v>
      </c>
      <c r="B18" s="17" t="n">
        <v>2826</v>
      </c>
      <c r="C18" s="18">
        <f>(2230.0/B18*100)</f>
        <v/>
      </c>
      <c r="D18" s="19" t="n">
        <v>596</v>
      </c>
      <c r="E18" s="18" t="n">
        <v>68.61000334000001</v>
      </c>
      <c r="F18" s="20" t="n">
        <v>2.20114638</v>
      </c>
      <c r="G18" s="18" t="n">
        <v>28.70811552</v>
      </c>
      <c r="H18" s="20" t="n">
        <v>2.07120261</v>
      </c>
      <c r="I18" s="18" t="s">
        <v>567</v>
      </c>
      <c r="J18" s="20" t="s">
        <v>567</v>
      </c>
      <c r="K18" s="18" t="n">
        <v>0.71105173</v>
      </c>
      <c r="L18" s="20" t="n">
        <v>0.38995184</v>
      </c>
      <c r="M18" s="18" t="n">
        <v>0</v>
      </c>
      <c r="N18" s="20" t="n">
        <v>0</v>
      </c>
      <c r="O18" s="18" t="n">
        <v>0</v>
      </c>
      <c r="P18" s="20" t="n">
        <v>0</v>
      </c>
      <c r="Q18" s="18" t="n">
        <v>1.97082941</v>
      </c>
      <c r="R18" s="20" t="n">
        <v>0.61572626</v>
      </c>
    </row>
    <row r="19" spans="1:18">
      <c r="A19" s="15" t="s">
        <v>579</v>
      </c>
      <c r="B19" s="17" t="n">
        <v>2808</v>
      </c>
      <c r="C19" s="18">
        <f>(2137.0/B19*100)</f>
        <v/>
      </c>
      <c r="D19" s="19" t="n">
        <v>671</v>
      </c>
      <c r="E19" s="18" t="n">
        <v>62.1638952</v>
      </c>
      <c r="F19" s="20" t="n">
        <v>1.94016791</v>
      </c>
      <c r="G19" s="18" t="n">
        <v>37.1756113</v>
      </c>
      <c r="H19" s="20" t="n">
        <v>1.93032164</v>
      </c>
      <c r="I19" s="18" t="s">
        <v>567</v>
      </c>
      <c r="J19" s="20" t="s">
        <v>567</v>
      </c>
      <c r="K19" s="18" t="n">
        <v>0.11689581</v>
      </c>
      <c r="L19" s="20" t="n">
        <v>0.11623253</v>
      </c>
      <c r="M19" s="18" t="n">
        <v>0</v>
      </c>
      <c r="N19" s="20" t="n">
        <v>0</v>
      </c>
      <c r="O19" s="18" t="n">
        <v>0</v>
      </c>
      <c r="P19" s="20" t="n">
        <v>0</v>
      </c>
      <c r="Q19" s="18" t="n">
        <v>0.54359769</v>
      </c>
      <c r="R19" s="20" t="n">
        <v>0.36374973</v>
      </c>
    </row>
    <row r="20" spans="1:18">
      <c r="A20" s="15" t="s">
        <v>580</v>
      </c>
      <c r="B20" s="17" t="n">
        <v>1630</v>
      </c>
      <c r="C20" s="18">
        <f>(1246.0/B20*100)</f>
        <v/>
      </c>
      <c r="D20" s="19" t="n">
        <v>384</v>
      </c>
      <c r="E20" s="18" t="n">
        <v>62.77080861</v>
      </c>
      <c r="F20" s="20" t="n">
        <v>2.58290686</v>
      </c>
      <c r="G20" s="18" t="n">
        <v>35.54078885</v>
      </c>
      <c r="H20" s="20" t="n">
        <v>2.49817932</v>
      </c>
      <c r="I20" s="18" t="s">
        <v>567</v>
      </c>
      <c r="J20" s="20" t="s">
        <v>567</v>
      </c>
      <c r="K20" s="18" t="n">
        <v>0</v>
      </c>
      <c r="L20" s="20" t="n">
        <v>0</v>
      </c>
      <c r="M20" s="18" t="n">
        <v>0</v>
      </c>
      <c r="N20" s="20" t="n">
        <v>0</v>
      </c>
      <c r="O20" s="18" t="n">
        <v>0</v>
      </c>
      <c r="P20" s="20" t="n">
        <v>0</v>
      </c>
      <c r="Q20" s="18" t="n">
        <v>1.68840254</v>
      </c>
      <c r="R20" s="20" t="n">
        <v>0.74090806</v>
      </c>
    </row>
    <row r="21" spans="1:18">
      <c r="A21" s="15" t="s">
        <v>581</v>
      </c>
      <c r="B21" s="17" t="n">
        <v>2908</v>
      </c>
      <c r="C21" s="18">
        <f>(2272.0/B21*100)</f>
        <v/>
      </c>
      <c r="D21" s="19" t="n">
        <v>636</v>
      </c>
      <c r="E21" s="18" t="n">
        <v>62.08125514</v>
      </c>
      <c r="F21" s="20" t="n">
        <v>1.87244402</v>
      </c>
      <c r="G21" s="18" t="n">
        <v>37.37197879</v>
      </c>
      <c r="H21" s="20" t="n">
        <v>1.8293698</v>
      </c>
      <c r="I21" s="18" t="s">
        <v>567</v>
      </c>
      <c r="J21" s="20" t="s">
        <v>567</v>
      </c>
      <c r="K21" s="18" t="n">
        <v>0</v>
      </c>
      <c r="L21" s="20" t="n">
        <v>0</v>
      </c>
      <c r="M21" s="18" t="n">
        <v>0</v>
      </c>
      <c r="N21" s="20" t="n">
        <v>0</v>
      </c>
      <c r="O21" s="18" t="n">
        <v>0</v>
      </c>
      <c r="P21" s="20" t="n">
        <v>0</v>
      </c>
      <c r="Q21" s="18" t="n">
        <v>0.54676607</v>
      </c>
      <c r="R21" s="20" t="n">
        <v>0.33658273</v>
      </c>
    </row>
    <row r="22" spans="1:18">
      <c r="A22" s="15" t="s">
        <v>582</v>
      </c>
      <c r="B22" s="17" t="n">
        <v>2931</v>
      </c>
      <c r="C22" s="18">
        <f>(2296.0/B22*100)</f>
        <v/>
      </c>
      <c r="D22" s="19" t="n">
        <v>635</v>
      </c>
      <c r="E22" s="18" t="n">
        <v>55.66765368</v>
      </c>
      <c r="F22" s="20" t="n">
        <v>2.40522259</v>
      </c>
      <c r="G22" s="18" t="n">
        <v>40.45364179</v>
      </c>
      <c r="H22" s="20" t="n">
        <v>2.57946385</v>
      </c>
      <c r="I22" s="18" t="s">
        <v>567</v>
      </c>
      <c r="J22" s="20" t="s">
        <v>567</v>
      </c>
      <c r="K22" s="18" t="n">
        <v>0.97557693</v>
      </c>
      <c r="L22" s="20" t="n">
        <v>0.45730037</v>
      </c>
      <c r="M22" s="18" t="n">
        <v>0</v>
      </c>
      <c r="N22" s="20" t="n">
        <v>0</v>
      </c>
      <c r="O22" s="18" t="n">
        <v>0</v>
      </c>
      <c r="P22" s="20" t="n">
        <v>0</v>
      </c>
      <c r="Q22" s="18" t="n">
        <v>2.90312761</v>
      </c>
      <c r="R22" s="20" t="n">
        <v>0.9082444</v>
      </c>
    </row>
    <row r="23" spans="1:18">
      <c r="A23" s="15" t="s">
        <v>583</v>
      </c>
      <c r="B23" s="17" t="n">
        <v>5791</v>
      </c>
      <c r="C23" s="18">
        <f>(4469.0/B23*100)</f>
        <v/>
      </c>
      <c r="D23" s="19" t="n">
        <v>1322</v>
      </c>
      <c r="E23" s="18" t="n">
        <v>64.61979328</v>
      </c>
      <c r="F23" s="20" t="n">
        <v>1.97501213</v>
      </c>
      <c r="G23" s="18" t="n">
        <v>34.10752756</v>
      </c>
      <c r="H23" s="20" t="n">
        <v>2.05750753</v>
      </c>
      <c r="I23" s="18" t="s">
        <v>567</v>
      </c>
      <c r="J23" s="20" t="s">
        <v>567</v>
      </c>
      <c r="K23" s="18" t="n">
        <v>0.15783342</v>
      </c>
      <c r="L23" s="20" t="n">
        <v>0.15570037</v>
      </c>
      <c r="M23" s="18" t="n">
        <v>0</v>
      </c>
      <c r="N23" s="20" t="n">
        <v>0</v>
      </c>
      <c r="O23" s="18" t="n">
        <v>0</v>
      </c>
      <c r="P23" s="20" t="n">
        <v>0</v>
      </c>
      <c r="Q23" s="18" t="n">
        <v>1.11484573</v>
      </c>
      <c r="R23" s="20" t="n">
        <v>0.49837645</v>
      </c>
    </row>
    <row r="24" spans="1:18">
      <c r="A24" s="15" t="s">
        <v>584</v>
      </c>
      <c r="B24" s="17" t="n">
        <v>3338</v>
      </c>
      <c r="C24" s="18">
        <f>(2612.0/B24*100)</f>
        <v/>
      </c>
      <c r="D24" s="19" t="n">
        <v>726</v>
      </c>
      <c r="E24" s="18" t="n">
        <v>42.112342</v>
      </c>
      <c r="F24" s="20" t="n">
        <v>2.4133782</v>
      </c>
      <c r="G24" s="18" t="n">
        <v>57.63448914</v>
      </c>
      <c r="H24" s="20" t="n">
        <v>2.4209508</v>
      </c>
      <c r="I24" s="18" t="s">
        <v>567</v>
      </c>
      <c r="J24" s="20" t="s">
        <v>567</v>
      </c>
      <c r="K24" s="18" t="n">
        <v>0</v>
      </c>
      <c r="L24" s="20" t="n">
        <v>0</v>
      </c>
      <c r="M24" s="18" t="n">
        <v>0</v>
      </c>
      <c r="N24" s="20" t="n">
        <v>0</v>
      </c>
      <c r="O24" s="18" t="n">
        <v>0</v>
      </c>
      <c r="P24" s="20" t="n">
        <v>0</v>
      </c>
      <c r="Q24" s="18" t="n">
        <v>0.25316886</v>
      </c>
      <c r="R24" s="20" t="n">
        <v>0.17718489</v>
      </c>
    </row>
    <row r="25" spans="1:18">
      <c r="A25" s="15" t="s">
        <v>585</v>
      </c>
      <c r="B25" s="17" t="n">
        <v>2912</v>
      </c>
      <c r="C25" s="18">
        <f>(2244.0/B25*100)</f>
        <v/>
      </c>
      <c r="D25" s="19" t="n">
        <v>668</v>
      </c>
      <c r="E25" s="18" t="n">
        <v>51.63468007</v>
      </c>
      <c r="F25" s="20" t="n">
        <v>2.36768826</v>
      </c>
      <c r="G25" s="18" t="n">
        <v>46.86911211</v>
      </c>
      <c r="H25" s="20" t="n">
        <v>2.35762052</v>
      </c>
      <c r="I25" s="18" t="s">
        <v>567</v>
      </c>
      <c r="J25" s="20" t="s">
        <v>567</v>
      </c>
      <c r="K25" s="18" t="n">
        <v>0.28515836</v>
      </c>
      <c r="L25" s="20" t="n">
        <v>0.19890786</v>
      </c>
      <c r="M25" s="18" t="n">
        <v>0</v>
      </c>
      <c r="N25" s="20" t="n">
        <v>0</v>
      </c>
      <c r="O25" s="18" t="n">
        <v>0</v>
      </c>
      <c r="P25" s="20" t="n">
        <v>0</v>
      </c>
      <c r="Q25" s="18" t="n">
        <v>1.21104946</v>
      </c>
      <c r="R25" s="20" t="n">
        <v>0.48293422</v>
      </c>
    </row>
    <row r="26" spans="1:18">
      <c r="A26" s="15" t="s">
        <v>586</v>
      </c>
      <c r="B26" s="17" t="n">
        <v>2450</v>
      </c>
      <c r="C26" s="18">
        <f>(1911.0/B26*100)</f>
        <v/>
      </c>
      <c r="D26" s="19" t="n">
        <v>539</v>
      </c>
      <c r="E26" s="18" t="n">
        <v>59.88736437</v>
      </c>
      <c r="F26" s="20" t="n">
        <v>2.37704306</v>
      </c>
      <c r="G26" s="18" t="n">
        <v>39.93451109</v>
      </c>
      <c r="H26" s="20" t="n">
        <v>2.39038098</v>
      </c>
      <c r="I26" s="18" t="s">
        <v>567</v>
      </c>
      <c r="J26" s="20" t="s">
        <v>567</v>
      </c>
      <c r="K26" s="18" t="n">
        <v>0</v>
      </c>
      <c r="L26" s="20" t="n">
        <v>0</v>
      </c>
      <c r="M26" s="18" t="n">
        <v>0</v>
      </c>
      <c r="N26" s="20" t="n">
        <v>0</v>
      </c>
      <c r="O26" s="18" t="n">
        <v>0</v>
      </c>
      <c r="P26" s="20" t="n">
        <v>0</v>
      </c>
      <c r="Q26" s="18" t="n">
        <v>0.17812453</v>
      </c>
      <c r="R26" s="20" t="n">
        <v>0.17504918</v>
      </c>
    </row>
    <row r="27" spans="1:18">
      <c r="A27" s="15" t="s">
        <v>587</v>
      </c>
      <c r="B27" s="17" t="n">
        <v>2616</v>
      </c>
      <c r="C27" s="18">
        <f>(2034.0/B27*100)</f>
        <v/>
      </c>
      <c r="D27" s="19" t="n">
        <v>582</v>
      </c>
      <c r="E27" s="18" t="n">
        <v>60.68134408</v>
      </c>
      <c r="F27" s="20" t="n">
        <v>2.01883664</v>
      </c>
      <c r="G27" s="18" t="n">
        <v>38.62213611</v>
      </c>
      <c r="H27" s="20" t="n">
        <v>2.00308895</v>
      </c>
      <c r="I27" s="18" t="s">
        <v>567</v>
      </c>
      <c r="J27" s="20" t="s">
        <v>567</v>
      </c>
      <c r="K27" s="18" t="n">
        <v>0.17147902</v>
      </c>
      <c r="L27" s="20" t="n">
        <v>0.17239619</v>
      </c>
      <c r="M27" s="18" t="n">
        <v>0</v>
      </c>
      <c r="N27" s="20" t="n">
        <v>0</v>
      </c>
      <c r="O27" s="18" t="n">
        <v>0</v>
      </c>
      <c r="P27" s="20" t="n">
        <v>0</v>
      </c>
      <c r="Q27" s="18" t="n">
        <v>0.52504078</v>
      </c>
      <c r="R27" s="20" t="n">
        <v>0.30416594</v>
      </c>
    </row>
    <row r="28" spans="1:18">
      <c r="A28" s="15" t="s">
        <v>588</v>
      </c>
      <c r="B28" s="17" t="n">
        <v>3765</v>
      </c>
      <c r="C28" s="18">
        <f>(2958.0/B28*100)</f>
        <v/>
      </c>
      <c r="D28" s="19" t="n">
        <v>807</v>
      </c>
      <c r="E28" s="18" t="n">
        <v>73.42466928</v>
      </c>
      <c r="F28" s="20" t="n">
        <v>1.83798963</v>
      </c>
      <c r="G28" s="18" t="n">
        <v>25.62720963</v>
      </c>
      <c r="H28" s="20" t="n">
        <v>1.75546364</v>
      </c>
      <c r="I28" s="18" t="s">
        <v>567</v>
      </c>
      <c r="J28" s="20" t="s">
        <v>567</v>
      </c>
      <c r="K28" s="18" t="n">
        <v>0.72099152</v>
      </c>
      <c r="L28" s="20" t="n">
        <v>0.3390231</v>
      </c>
      <c r="M28" s="18" t="n">
        <v>0</v>
      </c>
      <c r="N28" s="20" t="n">
        <v>0</v>
      </c>
      <c r="O28" s="18" t="n">
        <v>0</v>
      </c>
      <c r="P28" s="20" t="n">
        <v>0</v>
      </c>
      <c r="Q28" s="18" t="n">
        <v>0.22712957</v>
      </c>
      <c r="R28" s="20" t="n">
        <v>0.13767648</v>
      </c>
    </row>
    <row r="29" spans="1:18">
      <c r="A29" s="15" t="s">
        <v>589</v>
      </c>
      <c r="B29" s="17" t="n">
        <v>2685</v>
      </c>
      <c r="C29" s="18">
        <f>(2106.0/B29*100)</f>
        <v/>
      </c>
      <c r="D29" s="19" t="n">
        <v>579</v>
      </c>
      <c r="E29" s="18" t="n">
        <v>57.57750767</v>
      </c>
      <c r="F29" s="20" t="n">
        <v>1.97032336</v>
      </c>
      <c r="G29" s="18" t="n">
        <v>41.4123607</v>
      </c>
      <c r="H29" s="20" t="n">
        <v>2.03805273</v>
      </c>
      <c r="I29" s="18" t="s">
        <v>567</v>
      </c>
      <c r="J29" s="20" t="s">
        <v>567</v>
      </c>
      <c r="K29" s="18" t="n">
        <v>0.63425145</v>
      </c>
      <c r="L29" s="20" t="n">
        <v>0.31559316</v>
      </c>
      <c r="M29" s="18" t="n">
        <v>0</v>
      </c>
      <c r="N29" s="20" t="n">
        <v>0</v>
      </c>
      <c r="O29" s="18" t="n">
        <v>0</v>
      </c>
      <c r="P29" s="20" t="n">
        <v>0</v>
      </c>
      <c r="Q29" s="18" t="n">
        <v>0.37588019</v>
      </c>
      <c r="R29" s="20" t="n">
        <v>0.24929778</v>
      </c>
    </row>
    <row r="30" spans="1:18">
      <c r="A30" s="15" t="s">
        <v>590</v>
      </c>
      <c r="B30" s="17" t="n">
        <v>2263</v>
      </c>
      <c r="C30" s="18">
        <f>(1775.0/B30*100)</f>
        <v/>
      </c>
      <c r="D30" s="19" t="n">
        <v>488</v>
      </c>
      <c r="E30" s="18" t="n">
        <v>57.73371989</v>
      </c>
      <c r="F30" s="20" t="n">
        <v>2.09969706</v>
      </c>
      <c r="G30" s="18" t="n">
        <v>40.25136739</v>
      </c>
      <c r="H30" s="20" t="n">
        <v>2.0765447</v>
      </c>
      <c r="I30" s="18" t="s">
        <v>567</v>
      </c>
      <c r="J30" s="20" t="s">
        <v>567</v>
      </c>
      <c r="K30" s="18" t="n">
        <v>0</v>
      </c>
      <c r="L30" s="20" t="n">
        <v>0</v>
      </c>
      <c r="M30" s="18" t="n">
        <v>0</v>
      </c>
      <c r="N30" s="20" t="n">
        <v>0</v>
      </c>
      <c r="O30" s="18" t="n">
        <v>0</v>
      </c>
      <c r="P30" s="20" t="n">
        <v>0</v>
      </c>
      <c r="Q30" s="18" t="n">
        <v>2.01491272</v>
      </c>
      <c r="R30" s="20" t="n">
        <v>0.62902019</v>
      </c>
    </row>
    <row r="31" spans="1:18">
      <c r="A31" s="15" t="s">
        <v>591</v>
      </c>
      <c r="B31" s="17" t="n">
        <v>2750</v>
      </c>
      <c r="C31" s="18">
        <f>(2160.0/B31*100)</f>
        <v/>
      </c>
      <c r="D31" s="19" t="n">
        <v>590</v>
      </c>
      <c r="E31" s="18" t="n">
        <v>55.79021073</v>
      </c>
      <c r="F31" s="20" t="n">
        <v>1.88724465</v>
      </c>
      <c r="G31" s="18" t="n">
        <v>42.33506401</v>
      </c>
      <c r="H31" s="20" t="n">
        <v>1.88842882</v>
      </c>
      <c r="I31" s="18" t="s">
        <v>567</v>
      </c>
      <c r="J31" s="20" t="s">
        <v>567</v>
      </c>
      <c r="K31" s="18" t="n">
        <v>0.15251745</v>
      </c>
      <c r="L31" s="20" t="n">
        <v>0.14789463</v>
      </c>
      <c r="M31" s="18" t="n">
        <v>0</v>
      </c>
      <c r="N31" s="20" t="n">
        <v>0</v>
      </c>
      <c r="O31" s="18" t="n">
        <v>0</v>
      </c>
      <c r="P31" s="20" t="n">
        <v>0</v>
      </c>
      <c r="Q31" s="18" t="n">
        <v>1.72220781</v>
      </c>
      <c r="R31" s="20" t="n">
        <v>0.56712045</v>
      </c>
    </row>
    <row r="32" spans="1:18">
      <c r="A32" s="15" t="s">
        <v>592</v>
      </c>
      <c r="B32" s="17" t="n">
        <v>2269</v>
      </c>
      <c r="C32" s="18">
        <f>(1760.0/B32*100)</f>
        <v/>
      </c>
      <c r="D32" s="19" t="n">
        <v>509</v>
      </c>
      <c r="E32" s="18" t="n">
        <v>52.72642601</v>
      </c>
      <c r="F32" s="20" t="n">
        <v>2.25660826</v>
      </c>
      <c r="G32" s="18" t="n">
        <v>46.63296471</v>
      </c>
      <c r="H32" s="20" t="n">
        <v>2.19781803</v>
      </c>
      <c r="I32" s="18" t="s">
        <v>567</v>
      </c>
      <c r="J32" s="20" t="s">
        <v>567</v>
      </c>
      <c r="K32" s="18" t="n">
        <v>0.17432839</v>
      </c>
      <c r="L32" s="20" t="n">
        <v>0.17376033</v>
      </c>
      <c r="M32" s="18" t="n">
        <v>0</v>
      </c>
      <c r="N32" s="20" t="n">
        <v>0</v>
      </c>
      <c r="O32" s="18" t="n">
        <v>0</v>
      </c>
      <c r="P32" s="20" t="n">
        <v>0</v>
      </c>
      <c r="Q32" s="18" t="n">
        <v>0.46628089</v>
      </c>
      <c r="R32" s="20" t="n">
        <v>0.32321383</v>
      </c>
    </row>
    <row r="33" spans="1:18">
      <c r="A33" s="15" t="s">
        <v>593</v>
      </c>
      <c r="B33" s="17" t="n">
        <v>3674</v>
      </c>
      <c r="C33" s="18">
        <f>(2879.0/B33*100)</f>
        <v/>
      </c>
      <c r="D33" s="19" t="n">
        <v>795</v>
      </c>
      <c r="E33" s="18" t="n">
        <v>53.8907203</v>
      </c>
      <c r="F33" s="20" t="n">
        <v>2.39528646</v>
      </c>
      <c r="G33" s="18" t="n">
        <v>45.05001946</v>
      </c>
      <c r="H33" s="20" t="n">
        <v>2.31134308</v>
      </c>
      <c r="I33" s="18" t="s">
        <v>567</v>
      </c>
      <c r="J33" s="20" t="s">
        <v>567</v>
      </c>
      <c r="K33" s="18" t="n">
        <v>0.27900278</v>
      </c>
      <c r="L33" s="20" t="n">
        <v>0.26563369</v>
      </c>
      <c r="M33" s="18" t="n">
        <v>0</v>
      </c>
      <c r="N33" s="20" t="n">
        <v>0</v>
      </c>
      <c r="O33" s="18" t="n">
        <v>0</v>
      </c>
      <c r="P33" s="20" t="n">
        <v>0</v>
      </c>
      <c r="Q33" s="18" t="n">
        <v>0.78025746</v>
      </c>
      <c r="R33" s="20" t="n">
        <v>0.31353898</v>
      </c>
    </row>
    <row r="34" spans="1:18">
      <c r="A34" s="15" t="s">
        <v>594</v>
      </c>
      <c r="B34" s="17" t="n">
        <v>3315</v>
      </c>
      <c r="C34" s="18">
        <f>(2608.0/B34*100)</f>
        <v/>
      </c>
      <c r="D34" s="19" t="n">
        <v>707</v>
      </c>
      <c r="E34" s="18" t="n">
        <v>64.96858717000001</v>
      </c>
      <c r="F34" s="20" t="n">
        <v>1.99683234</v>
      </c>
      <c r="G34" s="18" t="n">
        <v>34.21577873</v>
      </c>
      <c r="H34" s="20" t="n">
        <v>1.94542624</v>
      </c>
      <c r="I34" s="18" t="s">
        <v>567</v>
      </c>
      <c r="J34" s="20" t="s">
        <v>567</v>
      </c>
      <c r="K34" s="18" t="n">
        <v>0.0919686</v>
      </c>
      <c r="L34" s="20" t="n">
        <v>0.09166484</v>
      </c>
      <c r="M34" s="18" t="n">
        <v>0</v>
      </c>
      <c r="N34" s="20" t="n">
        <v>0</v>
      </c>
      <c r="O34" s="18" t="n">
        <v>0</v>
      </c>
      <c r="P34" s="20" t="n">
        <v>0</v>
      </c>
      <c r="Q34" s="18" t="n">
        <v>0.7236655</v>
      </c>
      <c r="R34" s="20" t="n">
        <v>0.34451835</v>
      </c>
    </row>
    <row r="35" spans="1:18">
      <c r="A35" s="15" t="s">
        <v>595</v>
      </c>
      <c r="B35" s="17" t="n">
        <v>3505</v>
      </c>
      <c r="C35" s="18">
        <f>(2745.0/B35*100)</f>
        <v/>
      </c>
      <c r="D35" s="19" t="n">
        <v>760</v>
      </c>
      <c r="E35" s="18" t="n">
        <v>55.20222198</v>
      </c>
      <c r="F35" s="20" t="n">
        <v>2.43420169</v>
      </c>
      <c r="G35" s="18" t="n">
        <v>43.14647516</v>
      </c>
      <c r="H35" s="20" t="n">
        <v>2.51184278</v>
      </c>
      <c r="I35" s="18" t="s">
        <v>567</v>
      </c>
      <c r="J35" s="20" t="s">
        <v>567</v>
      </c>
      <c r="K35" s="18" t="n">
        <v>0.12923606</v>
      </c>
      <c r="L35" s="20" t="n">
        <v>0.09416890999999999</v>
      </c>
      <c r="M35" s="18" t="n">
        <v>0</v>
      </c>
      <c r="N35" s="20" t="n">
        <v>0</v>
      </c>
      <c r="O35" s="18" t="n">
        <v>0</v>
      </c>
      <c r="P35" s="20" t="n">
        <v>0</v>
      </c>
      <c r="Q35" s="18" t="n">
        <v>1.52206681</v>
      </c>
      <c r="R35" s="20" t="n">
        <v>0.60055596</v>
      </c>
    </row>
    <row r="36" spans="1:18">
      <c r="A36" s="15" t="s">
        <v>596</v>
      </c>
      <c r="B36" s="17" t="n">
        <v>3332</v>
      </c>
      <c r="C36" s="18">
        <f>(2554.0/B36*100)</f>
        <v/>
      </c>
      <c r="D36" s="19" t="n">
        <v>778</v>
      </c>
      <c r="E36" s="18" t="n">
        <v>59.79868962</v>
      </c>
      <c r="F36" s="20" t="n">
        <v>1.91934344</v>
      </c>
      <c r="G36" s="18" t="n">
        <v>39.34292812</v>
      </c>
      <c r="H36" s="20" t="n">
        <v>2.01190749</v>
      </c>
      <c r="I36" s="18" t="s">
        <v>567</v>
      </c>
      <c r="J36" s="20" t="s">
        <v>567</v>
      </c>
      <c r="K36" s="18" t="n">
        <v>0.29914384</v>
      </c>
      <c r="L36" s="20" t="n">
        <v>0.25706271</v>
      </c>
      <c r="M36" s="18" t="n">
        <v>0</v>
      </c>
      <c r="N36" s="20" t="n">
        <v>0</v>
      </c>
      <c r="O36" s="18" t="n">
        <v>0</v>
      </c>
      <c r="P36" s="20" t="n">
        <v>0</v>
      </c>
      <c r="Q36" s="18" t="n">
        <v>0.55923842</v>
      </c>
      <c r="R36" s="20" t="n">
        <v>0.28694553</v>
      </c>
    </row>
    <row r="37" spans="1:18">
      <c r="A37" s="15" t="s">
        <v>597</v>
      </c>
      <c r="B37" s="17" t="n">
        <v>2727</v>
      </c>
      <c r="C37" s="18">
        <f>(2130.0/B37*100)</f>
        <v/>
      </c>
      <c r="D37" s="19" t="n">
        <v>597</v>
      </c>
      <c r="E37" s="18" t="n">
        <v>57.44370417</v>
      </c>
      <c r="F37" s="20" t="n">
        <v>2.27681109</v>
      </c>
      <c r="G37" s="18" t="n">
        <v>39.07078973</v>
      </c>
      <c r="H37" s="20" t="n">
        <v>2.39318051</v>
      </c>
      <c r="I37" s="18" t="s">
        <v>567</v>
      </c>
      <c r="J37" s="20" t="s">
        <v>567</v>
      </c>
      <c r="K37" s="18" t="n">
        <v>0.8147535299999999</v>
      </c>
      <c r="L37" s="20" t="n">
        <v>0.35412917</v>
      </c>
      <c r="M37" s="18" t="n">
        <v>0</v>
      </c>
      <c r="N37" s="20" t="n">
        <v>0</v>
      </c>
      <c r="O37" s="18" t="n">
        <v>0</v>
      </c>
      <c r="P37" s="20" t="n">
        <v>0</v>
      </c>
      <c r="Q37" s="18" t="n">
        <v>2.67075258</v>
      </c>
      <c r="R37" s="20" t="n">
        <v>0.72784184</v>
      </c>
    </row>
    <row r="38" spans="1:18">
      <c r="A38" s="15" t="s">
        <v>598</v>
      </c>
      <c r="B38" s="17" t="n">
        <v>3053</v>
      </c>
      <c r="C38" s="18">
        <f>(2383.0/B38*100)</f>
        <v/>
      </c>
      <c r="D38" s="19" t="n">
        <v>670</v>
      </c>
      <c r="E38" s="18" t="n">
        <v>53.56365006</v>
      </c>
      <c r="F38" s="20" t="n">
        <v>2.0726803</v>
      </c>
      <c r="G38" s="18" t="n">
        <v>45.41399655</v>
      </c>
      <c r="H38" s="20" t="n">
        <v>2.07071744</v>
      </c>
      <c r="I38" s="18" t="s">
        <v>567</v>
      </c>
      <c r="J38" s="20" t="s">
        <v>567</v>
      </c>
      <c r="K38" s="18" t="n">
        <v>0.41733711</v>
      </c>
      <c r="L38" s="20" t="n">
        <v>0.28558892</v>
      </c>
      <c r="M38" s="18" t="n">
        <v>0</v>
      </c>
      <c r="N38" s="20" t="n">
        <v>0</v>
      </c>
      <c r="O38" s="18" t="n">
        <v>0</v>
      </c>
      <c r="P38" s="20" t="n">
        <v>0</v>
      </c>
      <c r="Q38" s="18" t="n">
        <v>0.60501628</v>
      </c>
      <c r="R38" s="20" t="n">
        <v>0.32633144</v>
      </c>
    </row>
    <row r="39" spans="1:18">
      <c r="A39" s="15" t="s">
        <v>599</v>
      </c>
      <c r="B39" s="17" t="n">
        <v>2957</v>
      </c>
      <c r="C39" s="18">
        <f>(2307.0/B39*100)</f>
        <v/>
      </c>
      <c r="D39" s="19" t="n">
        <v>650</v>
      </c>
      <c r="E39" s="18" t="n">
        <v>75.53253073</v>
      </c>
      <c r="F39" s="20" t="n">
        <v>2.6683784</v>
      </c>
      <c r="G39" s="18" t="n">
        <v>23.37920803</v>
      </c>
      <c r="H39" s="20" t="n">
        <v>2.65748482</v>
      </c>
      <c r="I39" s="18" t="s">
        <v>567</v>
      </c>
      <c r="J39" s="20" t="s">
        <v>567</v>
      </c>
      <c r="K39" s="18" t="n">
        <v>0</v>
      </c>
      <c r="L39" s="20" t="n">
        <v>0</v>
      </c>
      <c r="M39" s="18" t="n">
        <v>0</v>
      </c>
      <c r="N39" s="20" t="n">
        <v>0</v>
      </c>
      <c r="O39" s="18" t="n">
        <v>0</v>
      </c>
      <c r="P39" s="20" t="n">
        <v>0</v>
      </c>
      <c r="Q39" s="18" t="n">
        <v>1.08826124</v>
      </c>
      <c r="R39" s="20" t="n">
        <v>0.36556883</v>
      </c>
    </row>
    <row r="40" spans="1:18">
      <c r="A40" s="15" t="s">
        <v>600</v>
      </c>
      <c r="B40" s="17" t="n">
        <v>7235</v>
      </c>
      <c r="C40" s="18">
        <f>(5677.0/B40*100)</f>
        <v/>
      </c>
      <c r="D40" s="19" t="n">
        <v>1558</v>
      </c>
      <c r="E40" s="18" t="n">
        <v>54.7964381</v>
      </c>
      <c r="F40" s="20" t="n">
        <v>1.96315296</v>
      </c>
      <c r="G40" s="18" t="n">
        <v>44.55314757</v>
      </c>
      <c r="H40" s="20" t="n">
        <v>1.93851935</v>
      </c>
      <c r="I40" s="18" t="s">
        <v>567</v>
      </c>
      <c r="J40" s="20" t="s">
        <v>567</v>
      </c>
      <c r="K40" s="18" t="n">
        <v>0.06922966</v>
      </c>
      <c r="L40" s="20" t="n">
        <v>0.03771608</v>
      </c>
      <c r="M40" s="18" t="n">
        <v>0</v>
      </c>
      <c r="N40" s="20" t="n">
        <v>0</v>
      </c>
      <c r="O40" s="18" t="n">
        <v>0</v>
      </c>
      <c r="P40" s="20" t="n">
        <v>0</v>
      </c>
      <c r="Q40" s="18" t="n">
        <v>0.58118467</v>
      </c>
      <c r="R40" s="20" t="n">
        <v>0.2547769</v>
      </c>
    </row>
    <row r="41" spans="1:18">
      <c r="A41" s="15" t="s">
        <v>601</v>
      </c>
      <c r="B41" s="17" t="n">
        <v>2858</v>
      </c>
      <c r="C41" s="18">
        <f>(2210.0/B41*100)</f>
        <v/>
      </c>
      <c r="D41" s="19" t="n">
        <v>648</v>
      </c>
      <c r="E41" s="18" t="n">
        <v>51.62184399</v>
      </c>
      <c r="F41" s="20" t="n">
        <v>1.85798811</v>
      </c>
      <c r="G41" s="18" t="n">
        <v>47.77960863</v>
      </c>
      <c r="H41" s="20" t="n">
        <v>1.91754276</v>
      </c>
      <c r="I41" s="18" t="s">
        <v>567</v>
      </c>
      <c r="J41" s="20" t="s">
        <v>567</v>
      </c>
      <c r="K41" s="18" t="n">
        <v>0.19156641</v>
      </c>
      <c r="L41" s="20" t="n">
        <v>0.16402717</v>
      </c>
      <c r="M41" s="18" t="n">
        <v>0</v>
      </c>
      <c r="N41" s="20" t="n">
        <v>0</v>
      </c>
      <c r="O41" s="18" t="n">
        <v>0</v>
      </c>
      <c r="P41" s="20" t="n">
        <v>0</v>
      </c>
      <c r="Q41" s="18" t="n">
        <v>0.40698097</v>
      </c>
      <c r="R41" s="20" t="n">
        <v>0.24874021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(8998.0/B46*100)</f>
        <v/>
      </c>
      <c r="D46" s="19" t="n">
        <v>2070</v>
      </c>
      <c r="E46" s="18" t="n">
        <v>82.10911811</v>
      </c>
      <c r="F46" s="20" t="n">
        <v>1.29196771</v>
      </c>
      <c r="G46" s="18" t="n">
        <v>15.3063331</v>
      </c>
      <c r="H46" s="20" t="n">
        <v>1.26719265</v>
      </c>
      <c r="I46" s="18" t="s">
        <v>567</v>
      </c>
      <c r="J46" s="20" t="s">
        <v>567</v>
      </c>
      <c r="K46" s="18" t="n">
        <v>0.46979616</v>
      </c>
      <c r="L46" s="20" t="n">
        <v>0.19079942</v>
      </c>
      <c r="M46" s="18" t="n">
        <v>0</v>
      </c>
      <c r="N46" s="20" t="n">
        <v>0</v>
      </c>
      <c r="O46" s="18" t="n">
        <v>0</v>
      </c>
      <c r="P46" s="20" t="n">
        <v>0</v>
      </c>
      <c r="Q46" s="18" t="n">
        <v>2.11475264</v>
      </c>
      <c r="R46" s="20" t="n">
        <v>0.41955618</v>
      </c>
    </row>
    <row r="47" spans="1:18">
      <c r="A47" s="15" t="s">
        <v>607</v>
      </c>
      <c r="B47" s="17" t="n">
        <v>3105</v>
      </c>
      <c r="C47" s="18">
        <f>(2448.0/B47*100)</f>
        <v/>
      </c>
      <c r="D47" s="19" t="n">
        <v>657</v>
      </c>
      <c r="E47" s="18" t="n">
        <v>74.17291770999999</v>
      </c>
      <c r="F47" s="20" t="n">
        <v>2.21658732</v>
      </c>
      <c r="G47" s="18" t="n">
        <v>24.37414305</v>
      </c>
      <c r="H47" s="20" t="n">
        <v>2.1920159</v>
      </c>
      <c r="I47" s="18" t="s">
        <v>567</v>
      </c>
      <c r="J47" s="20" t="s">
        <v>567</v>
      </c>
      <c r="K47" s="18" t="n">
        <v>0.1409027</v>
      </c>
      <c r="L47" s="20" t="n">
        <v>0.14154429</v>
      </c>
      <c r="M47" s="18" t="n">
        <v>0</v>
      </c>
      <c r="N47" s="20" t="n">
        <v>0</v>
      </c>
      <c r="O47" s="18" t="n">
        <v>0</v>
      </c>
      <c r="P47" s="20" t="n">
        <v>0</v>
      </c>
      <c r="Q47" s="18" t="n">
        <v>1.31203654</v>
      </c>
      <c r="R47" s="20" t="n">
        <v>0.45001644</v>
      </c>
    </row>
    <row r="48" spans="1:18">
      <c r="A48" s="15" t="s">
        <v>608</v>
      </c>
      <c r="B48" s="17" t="n">
        <v>5159</v>
      </c>
      <c r="C48" s="18">
        <f>(4041.0/B48*100)</f>
        <v/>
      </c>
      <c r="D48" s="19" t="n">
        <v>1118</v>
      </c>
      <c r="E48" s="18" t="n">
        <v>47.93775048</v>
      </c>
      <c r="F48" s="20" t="n">
        <v>2.34864827</v>
      </c>
      <c r="G48" s="18" t="n">
        <v>51.21317443</v>
      </c>
      <c r="H48" s="20" t="n">
        <v>2.3080575</v>
      </c>
      <c r="I48" s="18" t="s">
        <v>567</v>
      </c>
      <c r="J48" s="20" t="s">
        <v>567</v>
      </c>
      <c r="K48" s="18" t="n">
        <v>0.43145817</v>
      </c>
      <c r="L48" s="20" t="n">
        <v>0.31884772</v>
      </c>
      <c r="M48" s="18" t="n">
        <v>0</v>
      </c>
      <c r="N48" s="20" t="n">
        <v>0</v>
      </c>
      <c r="O48" s="18" t="n">
        <v>0</v>
      </c>
      <c r="P48" s="20" t="n">
        <v>0</v>
      </c>
      <c r="Q48" s="18" t="n">
        <v>0.41761692</v>
      </c>
      <c r="R48" s="20" t="n">
        <v>0.23987219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(4440.0/B50*100)</f>
        <v/>
      </c>
      <c r="D50" s="19" t="n">
        <v>1197</v>
      </c>
      <c r="E50" s="18" t="n">
        <v>79.66490684999999</v>
      </c>
      <c r="F50" s="20" t="n">
        <v>1.68713467</v>
      </c>
      <c r="G50" s="18" t="n">
        <v>18.51409539</v>
      </c>
      <c r="H50" s="20" t="n">
        <v>1.62781935</v>
      </c>
      <c r="I50" s="18" t="s">
        <v>567</v>
      </c>
      <c r="J50" s="20" t="s">
        <v>567</v>
      </c>
      <c r="K50" s="18" t="n">
        <v>1.39578491</v>
      </c>
      <c r="L50" s="20" t="n">
        <v>0.64406148</v>
      </c>
      <c r="M50" s="18" t="n">
        <v>0</v>
      </c>
      <c r="N50" s="20" t="n">
        <v>0</v>
      </c>
      <c r="O50" s="18" t="n">
        <v>0</v>
      </c>
      <c r="P50" s="20" t="n">
        <v>0</v>
      </c>
      <c r="Q50" s="18" t="n">
        <v>0.42521284</v>
      </c>
      <c r="R50" s="20" t="n">
        <v>0.22516622</v>
      </c>
    </row>
    <row r="51" spans="1:18">
      <c r="A51" s="15" t="s">
        <v>611</v>
      </c>
      <c r="B51" s="17" t="n">
        <v>3372</v>
      </c>
      <c r="C51" s="18">
        <f>(2719.0/B51*100)</f>
        <v/>
      </c>
      <c r="D51" s="19" t="n">
        <v>653</v>
      </c>
      <c r="E51" s="18" t="n">
        <v>77.97718870999999</v>
      </c>
      <c r="F51" s="20" t="n">
        <v>1.86772776</v>
      </c>
      <c r="G51" s="18" t="n">
        <v>20.35485864</v>
      </c>
      <c r="H51" s="20" t="n">
        <v>1.88296296</v>
      </c>
      <c r="I51" s="18" t="s">
        <v>567</v>
      </c>
      <c r="J51" s="20" t="s">
        <v>567</v>
      </c>
      <c r="K51" s="18" t="n">
        <v>0.5983380700000001</v>
      </c>
      <c r="L51" s="20" t="n">
        <v>0.30558568</v>
      </c>
      <c r="M51" s="18" t="n">
        <v>0</v>
      </c>
      <c r="N51" s="20" t="n">
        <v>0</v>
      </c>
      <c r="O51" s="18" t="n">
        <v>0</v>
      </c>
      <c r="P51" s="20" t="n">
        <v>0</v>
      </c>
      <c r="Q51" s="18" t="n">
        <v>1.06961458</v>
      </c>
      <c r="R51" s="20" t="n">
        <v>0.41925948</v>
      </c>
    </row>
    <row r="52" spans="1:18">
      <c r="A52" s="15" t="s">
        <v>612</v>
      </c>
      <c r="B52" s="17" t="n">
        <v>2796</v>
      </c>
      <c r="C52" s="18">
        <f>(2176.0/B52*100)</f>
        <v/>
      </c>
      <c r="D52" s="19" t="n">
        <v>620</v>
      </c>
      <c r="E52" s="18" t="n">
        <v>58.58548636</v>
      </c>
      <c r="F52" s="20" t="n">
        <v>2.86491189</v>
      </c>
      <c r="G52" s="18" t="n">
        <v>39.94286604</v>
      </c>
      <c r="H52" s="20" t="n">
        <v>2.86864858</v>
      </c>
      <c r="I52" s="18" t="s">
        <v>567</v>
      </c>
      <c r="J52" s="20" t="s">
        <v>567</v>
      </c>
      <c r="K52" s="18" t="n">
        <v>0</v>
      </c>
      <c r="L52" s="20" t="n">
        <v>0</v>
      </c>
      <c r="M52" s="18" t="n">
        <v>0</v>
      </c>
      <c r="N52" s="20" t="n">
        <v>0</v>
      </c>
      <c r="O52" s="18" t="n">
        <v>0</v>
      </c>
      <c r="P52" s="20" t="n">
        <v>0</v>
      </c>
      <c r="Q52" s="18" t="n">
        <v>1.4716476</v>
      </c>
      <c r="R52" s="20" t="n">
        <v>0.38090787</v>
      </c>
    </row>
    <row r="53" spans="1:18">
      <c r="A53" s="15" t="s">
        <v>613</v>
      </c>
      <c r="B53" s="17" t="n">
        <v>2811</v>
      </c>
      <c r="C53" s="18">
        <f>(2187.0/B53*100)</f>
        <v/>
      </c>
      <c r="D53" s="19" t="n">
        <v>624</v>
      </c>
      <c r="E53" s="18" t="n">
        <v>70.86536348999999</v>
      </c>
      <c r="F53" s="20" t="n">
        <v>1.77087074</v>
      </c>
      <c r="G53" s="18" t="n">
        <v>26.36575838</v>
      </c>
      <c r="H53" s="20" t="n">
        <v>1.73638523</v>
      </c>
      <c r="I53" s="18" t="s">
        <v>567</v>
      </c>
      <c r="J53" s="20" t="s">
        <v>567</v>
      </c>
      <c r="K53" s="18" t="n">
        <v>0.35496117</v>
      </c>
      <c r="L53" s="20" t="n">
        <v>0.2052279</v>
      </c>
      <c r="M53" s="18" t="n">
        <v>0</v>
      </c>
      <c r="N53" s="20" t="n">
        <v>0</v>
      </c>
      <c r="O53" s="18" t="n">
        <v>0</v>
      </c>
      <c r="P53" s="20" t="n">
        <v>0</v>
      </c>
      <c r="Q53" s="18" t="n">
        <v>2.41391695</v>
      </c>
      <c r="R53" s="20" t="n">
        <v>0.69063607</v>
      </c>
    </row>
    <row r="54" spans="1:18">
      <c r="A54" s="15" t="s">
        <v>614</v>
      </c>
      <c r="B54" s="17" t="n">
        <v>2266</v>
      </c>
      <c r="C54" s="18">
        <f>(1763.0/B54*100)</f>
        <v/>
      </c>
      <c r="D54" s="19" t="n">
        <v>503</v>
      </c>
      <c r="E54" s="18" t="n">
        <v>84.05654025</v>
      </c>
      <c r="F54" s="20" t="n">
        <v>1.82996675</v>
      </c>
      <c r="G54" s="18" t="n">
        <v>5.72598209</v>
      </c>
      <c r="H54" s="20" t="n">
        <v>1.33383149</v>
      </c>
      <c r="I54" s="18" t="s">
        <v>567</v>
      </c>
      <c r="J54" s="20" t="s">
        <v>567</v>
      </c>
      <c r="K54" s="18" t="n">
        <v>8.08916911</v>
      </c>
      <c r="L54" s="20" t="n">
        <v>1.12093002</v>
      </c>
      <c r="M54" s="18" t="n">
        <v>0</v>
      </c>
      <c r="N54" s="20" t="n">
        <v>0</v>
      </c>
      <c r="O54" s="18" t="n">
        <v>0</v>
      </c>
      <c r="P54" s="20" t="n">
        <v>0</v>
      </c>
      <c r="Q54" s="18" t="n">
        <v>2.12830855</v>
      </c>
      <c r="R54" s="20" t="n">
        <v>0.70172568</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(2077.0/B56*100)</f>
        <v/>
      </c>
      <c r="D56" s="19" t="n">
        <v>607</v>
      </c>
      <c r="E56" s="18" t="n">
        <v>57.36071152</v>
      </c>
      <c r="F56" s="20" t="n">
        <v>2.10597691</v>
      </c>
      <c r="G56" s="18" t="n">
        <v>42.10760693</v>
      </c>
      <c r="H56" s="20" t="n">
        <v>2.10872261</v>
      </c>
      <c r="I56" s="18" t="s">
        <v>567</v>
      </c>
      <c r="J56" s="20" t="s">
        <v>567</v>
      </c>
      <c r="K56" s="18" t="n">
        <v>0.3239801</v>
      </c>
      <c r="L56" s="20" t="n">
        <v>0.22894772</v>
      </c>
      <c r="M56" s="18" t="n">
        <v>0</v>
      </c>
      <c r="N56" s="20" t="n">
        <v>0</v>
      </c>
      <c r="O56" s="18" t="n">
        <v>0</v>
      </c>
      <c r="P56" s="20" t="n">
        <v>0</v>
      </c>
      <c r="Q56" s="18" t="n">
        <v>0.20770145</v>
      </c>
      <c r="R56" s="20" t="n">
        <v>0.21640954</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(2585.0/B61*100)</f>
        <v/>
      </c>
      <c r="D61" s="19" t="n">
        <v>739</v>
      </c>
      <c r="E61" s="18" t="n">
        <v>69.24406700999999</v>
      </c>
      <c r="F61" s="20" t="n">
        <v>1.97013346</v>
      </c>
      <c r="G61" s="18" t="n">
        <v>29.63003478</v>
      </c>
      <c r="H61" s="20" t="n">
        <v>1.92957486</v>
      </c>
      <c r="I61" s="18" t="s">
        <v>567</v>
      </c>
      <c r="J61" s="20" t="s">
        <v>567</v>
      </c>
      <c r="K61" s="18" t="n">
        <v>0.26392838</v>
      </c>
      <c r="L61" s="20" t="n">
        <v>0.17922718</v>
      </c>
      <c r="M61" s="18" t="n">
        <v>0</v>
      </c>
      <c r="N61" s="20" t="n">
        <v>0</v>
      </c>
      <c r="O61" s="18" t="n">
        <v>0</v>
      </c>
      <c r="P61" s="20" t="n">
        <v>0</v>
      </c>
      <c r="Q61" s="18" t="n">
        <v>0.86196983</v>
      </c>
      <c r="R61" s="20" t="n">
        <v>0.47891574</v>
      </c>
    </row>
    <row r="62" spans="1:18">
      <c r="A62" s="15" t="s">
        <v>622</v>
      </c>
      <c r="B62" s="17" t="n">
        <v>2246</v>
      </c>
      <c r="C62" s="18">
        <f>(1741.0/B62*100)</f>
        <v/>
      </c>
      <c r="D62" s="19" t="n">
        <v>505</v>
      </c>
      <c r="E62" s="18" t="n">
        <v>46.10421065</v>
      </c>
      <c r="F62" s="20" t="n">
        <v>1.98225007</v>
      </c>
      <c r="G62" s="18" t="n">
        <v>53.69084265</v>
      </c>
      <c r="H62" s="20" t="n">
        <v>1.9960058</v>
      </c>
      <c r="I62" s="18" t="s">
        <v>567</v>
      </c>
      <c r="J62" s="20" t="s">
        <v>567</v>
      </c>
      <c r="K62" s="18" t="n">
        <v>0</v>
      </c>
      <c r="L62" s="20" t="n">
        <v>0</v>
      </c>
      <c r="M62" s="18" t="n">
        <v>0</v>
      </c>
      <c r="N62" s="20" t="n">
        <v>0</v>
      </c>
      <c r="O62" s="18" t="n">
        <v>0</v>
      </c>
      <c r="P62" s="20" t="n">
        <v>0</v>
      </c>
      <c r="Q62" s="18" t="n">
        <v>0.2049467</v>
      </c>
      <c r="R62" s="20" t="n">
        <v>0.20309249</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(2258.0/B66*100)</f>
        <v/>
      </c>
      <c r="D66" s="19" t="n">
        <v>636</v>
      </c>
      <c r="E66" s="18" t="n">
        <v>78.76166904999999</v>
      </c>
      <c r="F66" s="20" t="n">
        <v>1.80351457</v>
      </c>
      <c r="G66" s="18" t="n">
        <v>17.52928741</v>
      </c>
      <c r="H66" s="20" t="n">
        <v>1.67400371</v>
      </c>
      <c r="I66" s="18" t="s">
        <v>567</v>
      </c>
      <c r="J66" s="20" t="s">
        <v>567</v>
      </c>
      <c r="K66" s="18" t="n">
        <v>0.50710281</v>
      </c>
      <c r="L66" s="20" t="n">
        <v>0.30024098</v>
      </c>
      <c r="M66" s="18" t="n">
        <v>0</v>
      </c>
      <c r="N66" s="20" t="n">
        <v>0</v>
      </c>
      <c r="O66" s="18" t="n">
        <v>0</v>
      </c>
      <c r="P66" s="20" t="n">
        <v>0</v>
      </c>
      <c r="Q66" s="18" t="n">
        <v>3.20194073</v>
      </c>
      <c r="R66" s="20" t="n">
        <v>0.76383203</v>
      </c>
    </row>
    <row r="67" spans="1:18">
      <c r="A67" s="15" t="s">
        <v>627</v>
      </c>
      <c r="B67" s="17" t="n">
        <v>3511</v>
      </c>
      <c r="C67" s="18">
        <f>(2778.0/B67*100)</f>
        <v/>
      </c>
      <c r="D67" s="19" t="n">
        <v>733</v>
      </c>
      <c r="E67" s="18" t="n">
        <v>78.2265199</v>
      </c>
      <c r="F67" s="20" t="n">
        <v>1.7726313</v>
      </c>
      <c r="G67" s="18" t="n">
        <v>21.51548614</v>
      </c>
      <c r="H67" s="20" t="n">
        <v>1.76124739</v>
      </c>
      <c r="I67" s="18" t="s">
        <v>567</v>
      </c>
      <c r="J67" s="20" t="s">
        <v>567</v>
      </c>
      <c r="K67" s="18" t="n">
        <v>0</v>
      </c>
      <c r="L67" s="20" t="n">
        <v>0</v>
      </c>
      <c r="M67" s="18" t="n">
        <v>0</v>
      </c>
      <c r="N67" s="20" t="n">
        <v>0</v>
      </c>
      <c r="O67" s="18" t="n">
        <v>0</v>
      </c>
      <c r="P67" s="20" t="n">
        <v>0</v>
      </c>
      <c r="Q67" s="18" t="n">
        <v>0.25799396</v>
      </c>
      <c r="R67" s="20" t="n">
        <v>0.18376862</v>
      </c>
    </row>
    <row r="68" spans="1:18">
      <c r="A68" s="15" t="s">
        <v>628</v>
      </c>
      <c r="B68" s="17" t="n">
        <v>6049</v>
      </c>
      <c r="C68" s="18">
        <f>(4721.0/B68*100)</f>
        <v/>
      </c>
      <c r="D68" s="19" t="n">
        <v>1328</v>
      </c>
      <c r="E68" s="18" t="n">
        <v>72.11679371</v>
      </c>
      <c r="F68" s="20" t="n">
        <v>1.22671946</v>
      </c>
      <c r="G68" s="18" t="n">
        <v>21.17755911</v>
      </c>
      <c r="H68" s="20" t="n">
        <v>1.03688309</v>
      </c>
      <c r="I68" s="18" t="s">
        <v>567</v>
      </c>
      <c r="J68" s="20" t="s">
        <v>567</v>
      </c>
      <c r="K68" s="18" t="n">
        <v>1.56905175</v>
      </c>
      <c r="L68" s="20" t="n">
        <v>0.3723621</v>
      </c>
      <c r="M68" s="18" t="n">
        <v>0</v>
      </c>
      <c r="N68" s="20" t="n">
        <v>0</v>
      </c>
      <c r="O68" s="18" t="n">
        <v>0</v>
      </c>
      <c r="P68" s="20" t="n">
        <v>0</v>
      </c>
      <c r="Q68" s="18" t="n">
        <v>5.13659543</v>
      </c>
      <c r="R68" s="20" t="n">
        <v>0.59567583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(2290.0/B70*100)</f>
        <v/>
      </c>
      <c r="D70" s="19" t="n">
        <v>639</v>
      </c>
      <c r="E70" s="18" t="n">
        <v>58.44250033</v>
      </c>
      <c r="F70" s="20" t="n">
        <v>2.01754756</v>
      </c>
      <c r="G70" s="18" t="n">
        <v>39.47790369</v>
      </c>
      <c r="H70" s="20" t="n">
        <v>2.1242846</v>
      </c>
      <c r="I70" s="18" t="s">
        <v>567</v>
      </c>
      <c r="J70" s="20" t="s">
        <v>567</v>
      </c>
      <c r="K70" s="18" t="n">
        <v>0.14441695</v>
      </c>
      <c r="L70" s="20" t="n">
        <v>0.14126048</v>
      </c>
      <c r="M70" s="18" t="n">
        <v>0</v>
      </c>
      <c r="N70" s="20" t="n">
        <v>0</v>
      </c>
      <c r="O70" s="18" t="n">
        <v>0</v>
      </c>
      <c r="P70" s="20" t="n">
        <v>0</v>
      </c>
      <c r="Q70" s="18" t="n">
        <v>1.93517903</v>
      </c>
      <c r="R70" s="20" t="n">
        <v>0.7883421900000001</v>
      </c>
    </row>
    <row r="71" spans="1:18">
      <c r="A71" s="15" t="s">
        <v>631</v>
      </c>
      <c r="B71" s="17" t="n">
        <v>3142</v>
      </c>
      <c r="C71" s="18">
        <f>(2447.0/B71*100)</f>
        <v/>
      </c>
      <c r="D71" s="19" t="n">
        <v>695</v>
      </c>
      <c r="E71" s="18" t="n">
        <v>38.90761709</v>
      </c>
      <c r="F71" s="20" t="n">
        <v>1.8951898</v>
      </c>
      <c r="G71" s="18" t="n">
        <v>60.75567616</v>
      </c>
      <c r="H71" s="20" t="n">
        <v>1.86975484</v>
      </c>
      <c r="I71" s="18" t="s">
        <v>567</v>
      </c>
      <c r="J71" s="20" t="s">
        <v>567</v>
      </c>
      <c r="K71" s="18" t="n">
        <v>0</v>
      </c>
      <c r="L71" s="20" t="n">
        <v>0</v>
      </c>
      <c r="M71" s="18" t="n">
        <v>0</v>
      </c>
      <c r="N71" s="20" t="n">
        <v>0</v>
      </c>
      <c r="O71" s="18" t="n">
        <v>0</v>
      </c>
      <c r="P71" s="20" t="n">
        <v>0</v>
      </c>
      <c r="Q71" s="18" t="n">
        <v>0.33670674</v>
      </c>
      <c r="R71" s="20" t="n">
        <v>0.23137459</v>
      </c>
    </row>
    <row r="72" spans="1:18">
      <c r="A72" s="15" t="s">
        <v>632</v>
      </c>
      <c r="B72" s="17" t="n">
        <v>3889</v>
      </c>
      <c r="C72" s="18">
        <f>(2989.0/B72*100)</f>
        <v/>
      </c>
      <c r="D72" s="19" t="n">
        <v>900</v>
      </c>
      <c r="E72" s="18" t="n">
        <v>54.78921206</v>
      </c>
      <c r="F72" s="20" t="n">
        <v>2.08235095</v>
      </c>
      <c r="G72" s="18" t="n">
        <v>44.67483593</v>
      </c>
      <c r="H72" s="20" t="n">
        <v>2.09012769</v>
      </c>
      <c r="I72" s="18" t="s">
        <v>567</v>
      </c>
      <c r="J72" s="20" t="s">
        <v>567</v>
      </c>
      <c r="K72" s="18" t="n">
        <v>0</v>
      </c>
      <c r="L72" s="20" t="n">
        <v>0</v>
      </c>
      <c r="M72" s="18" t="n">
        <v>0</v>
      </c>
      <c r="N72" s="20" t="n">
        <v>0</v>
      </c>
      <c r="O72" s="18" t="n">
        <v>0</v>
      </c>
      <c r="P72" s="20" t="n">
        <v>0</v>
      </c>
      <c r="Q72" s="18" t="n">
        <v>0.53595201</v>
      </c>
      <c r="R72" s="20" t="n">
        <v>0.2307854</v>
      </c>
    </row>
    <row r="73" spans="1:18">
      <c r="A73" s="15" t="s">
        <v>633</v>
      </c>
      <c r="B73" s="17" t="n">
        <v>3597</v>
      </c>
      <c r="C73" s="18">
        <f>(2835.0/B73*100)</f>
        <v/>
      </c>
      <c r="D73" s="19" t="n">
        <v>762</v>
      </c>
      <c r="E73" s="18" t="n">
        <v>78.20003179</v>
      </c>
      <c r="F73" s="20" t="n">
        <v>2.02465977</v>
      </c>
      <c r="G73" s="18" t="n">
        <v>20.22758736</v>
      </c>
      <c r="H73" s="20" t="n">
        <v>1.89100248</v>
      </c>
      <c r="I73" s="18" t="s">
        <v>567</v>
      </c>
      <c r="J73" s="20" t="s">
        <v>567</v>
      </c>
      <c r="K73" s="18" t="n">
        <v>0</v>
      </c>
      <c r="L73" s="20" t="n">
        <v>0</v>
      </c>
      <c r="M73" s="18" t="n">
        <v>0</v>
      </c>
      <c r="N73" s="20" t="n">
        <v>0</v>
      </c>
      <c r="O73" s="18" t="n">
        <v>0</v>
      </c>
      <c r="P73" s="20" t="n">
        <v>0</v>
      </c>
      <c r="Q73" s="18" t="n">
        <v>1.57238086</v>
      </c>
      <c r="R73" s="20" t="n">
        <v>0.69076812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(1930.0/B75*100)</f>
        <v/>
      </c>
      <c r="D75" s="19" t="n">
        <v>476</v>
      </c>
      <c r="E75" s="18" t="n">
        <v>80.8007939</v>
      </c>
      <c r="F75" s="20" t="n">
        <v>1.81283019</v>
      </c>
      <c r="G75" s="18" t="n">
        <v>15.30388232</v>
      </c>
      <c r="H75" s="20" t="n">
        <v>1.61000113</v>
      </c>
      <c r="I75" s="18" t="s">
        <v>567</v>
      </c>
      <c r="J75" s="20" t="s">
        <v>567</v>
      </c>
      <c r="K75" s="18" t="n">
        <v>2.22416099</v>
      </c>
      <c r="L75" s="20" t="n">
        <v>0.83188428</v>
      </c>
      <c r="M75" s="18" t="n">
        <v>0</v>
      </c>
      <c r="N75" s="20" t="n">
        <v>0</v>
      </c>
      <c r="O75" s="18" t="n">
        <v>0</v>
      </c>
      <c r="P75" s="20" t="n">
        <v>0</v>
      </c>
      <c r="Q75" s="18" t="n">
        <v>1.67116279</v>
      </c>
      <c r="R75" s="20" t="n">
        <v>0.66806302</v>
      </c>
    </row>
    <row r="76" spans="1:18">
      <c r="A76" s="15" t="s">
        <v>636</v>
      </c>
      <c r="B76" s="17" t="n">
        <v>7052</v>
      </c>
      <c r="C76" s="18">
        <f>(5538.0/B76*100)</f>
        <v/>
      </c>
      <c r="D76" s="19" t="n">
        <v>1514</v>
      </c>
      <c r="E76" s="18" t="n">
        <v>69.09233811999999</v>
      </c>
      <c r="F76" s="20" t="n">
        <v>1.84356413</v>
      </c>
      <c r="G76" s="18" t="n">
        <v>27.40901437</v>
      </c>
      <c r="H76" s="20" t="n">
        <v>1.84655526</v>
      </c>
      <c r="I76" s="18" t="s">
        <v>567</v>
      </c>
      <c r="J76" s="20" t="s">
        <v>567</v>
      </c>
      <c r="K76" s="18" t="n">
        <v>1.02353068</v>
      </c>
      <c r="L76" s="20" t="n">
        <v>0.33095727</v>
      </c>
      <c r="M76" s="18" t="n">
        <v>0</v>
      </c>
      <c r="N76" s="20" t="n">
        <v>0</v>
      </c>
      <c r="O76" s="18" t="n">
        <v>0</v>
      </c>
      <c r="P76" s="20" t="n">
        <v>0</v>
      </c>
      <c r="Q76" s="18" t="n">
        <v>2.47511683</v>
      </c>
      <c r="R76" s="20" t="n">
        <v>0.49149586</v>
      </c>
    </row>
    <row r="77" spans="1:18">
      <c r="A77" s="15" t="s">
        <v>637</v>
      </c>
      <c r="B77" s="17" t="n">
        <v>2908</v>
      </c>
      <c r="C77" s="18">
        <f>(2288.0/B77*100)</f>
        <v/>
      </c>
      <c r="D77" s="19" t="n">
        <v>620</v>
      </c>
      <c r="E77" s="18" t="n">
        <v>69.15616066</v>
      </c>
      <c r="F77" s="20" t="n">
        <v>2.15615281</v>
      </c>
      <c r="G77" s="18" t="n">
        <v>27.42675462</v>
      </c>
      <c r="H77" s="20" t="n">
        <v>1.9171272</v>
      </c>
      <c r="I77" s="18" t="s">
        <v>567</v>
      </c>
      <c r="J77" s="20" t="s">
        <v>567</v>
      </c>
      <c r="K77" s="18" t="n">
        <v>1.02990654</v>
      </c>
      <c r="L77" s="20" t="n">
        <v>0.38387625</v>
      </c>
      <c r="M77" s="18" t="n">
        <v>0</v>
      </c>
      <c r="N77" s="20" t="n">
        <v>0</v>
      </c>
      <c r="O77" s="18" t="n">
        <v>0</v>
      </c>
      <c r="P77" s="20" t="n">
        <v>0</v>
      </c>
      <c r="Q77" s="18" t="n">
        <v>2.38717818</v>
      </c>
      <c r="R77" s="20" t="n">
        <v>0.61769937</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(3255.0/B81*100)</f>
        <v/>
      </c>
      <c r="D81" s="19" t="n">
        <v>908</v>
      </c>
      <c r="E81" s="18" t="n">
        <v>64.5987741</v>
      </c>
      <c r="F81" s="20" t="n">
        <v>2.06881144</v>
      </c>
      <c r="G81" s="18" t="n">
        <v>35.07890759</v>
      </c>
      <c r="H81" s="20" t="n">
        <v>2.09427811</v>
      </c>
      <c r="I81" s="18" t="s">
        <v>567</v>
      </c>
      <c r="J81" s="20" t="s">
        <v>567</v>
      </c>
      <c r="K81" s="18" t="n">
        <v>0</v>
      </c>
      <c r="L81" s="20" t="n">
        <v>0</v>
      </c>
      <c r="M81" s="18" t="n">
        <v>0</v>
      </c>
      <c r="N81" s="20" t="n">
        <v>0</v>
      </c>
      <c r="O81" s="18" t="n">
        <v>0</v>
      </c>
      <c r="P81" s="20" t="n">
        <v>0</v>
      </c>
      <c r="Q81" s="18" t="n">
        <v>0.32231832</v>
      </c>
      <c r="R81" s="20" t="n">
        <v>0.23197431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(5716.0/B7*100)</f>
        <v/>
      </c>
      <c r="D7" s="19" t="n">
        <v>1651</v>
      </c>
      <c r="E7" s="18" t="n">
        <v>81.79904782</v>
      </c>
      <c r="F7" s="20" t="n">
        <v>1.05259284</v>
      </c>
      <c r="G7" s="18" t="n">
        <v>15.2320715</v>
      </c>
      <c r="H7" s="20" t="n">
        <v>1.01049503</v>
      </c>
      <c r="I7" s="18" t="s">
        <v>567</v>
      </c>
      <c r="J7" s="20" t="s">
        <v>567</v>
      </c>
      <c r="K7" s="18" t="n">
        <v>0.13681718</v>
      </c>
      <c r="L7" s="20" t="n">
        <v>0.07866112</v>
      </c>
      <c r="M7" s="18" t="n">
        <v>0</v>
      </c>
      <c r="N7" s="20" t="n">
        <v>0</v>
      </c>
      <c r="O7" s="18" t="n">
        <v>0</v>
      </c>
      <c r="P7" s="20" t="n">
        <v>0</v>
      </c>
      <c r="Q7" s="18" t="n">
        <v>2.83206349</v>
      </c>
      <c r="R7" s="20" t="n">
        <v>0.4657729</v>
      </c>
    </row>
    <row r="8" spans="1:18">
      <c r="A8" s="15" t="s">
        <v>568</v>
      </c>
      <c r="B8" s="17" t="n">
        <v>3564</v>
      </c>
      <c r="C8" s="18">
        <f>(2771.0/B8*100)</f>
        <v/>
      </c>
      <c r="D8" s="19" t="n">
        <v>793</v>
      </c>
      <c r="E8" s="18" t="n">
        <v>77.63010167</v>
      </c>
      <c r="F8" s="20" t="n">
        <v>1.89136731</v>
      </c>
      <c r="G8" s="18" t="n">
        <v>19.28863401</v>
      </c>
      <c r="H8" s="20" t="n">
        <v>1.77719686</v>
      </c>
      <c r="I8" s="18" t="s">
        <v>567</v>
      </c>
      <c r="J8" s="20" t="s">
        <v>567</v>
      </c>
      <c r="K8" s="18" t="n">
        <v>0.14926913</v>
      </c>
      <c r="L8" s="20" t="n">
        <v>0.14469837</v>
      </c>
      <c r="M8" s="18" t="n">
        <v>0</v>
      </c>
      <c r="N8" s="20" t="n">
        <v>0</v>
      </c>
      <c r="O8" s="18" t="n">
        <v>0</v>
      </c>
      <c r="P8" s="20" t="n">
        <v>0</v>
      </c>
      <c r="Q8" s="18" t="n">
        <v>2.93199518</v>
      </c>
      <c r="R8" s="20" t="n">
        <v>0.7099819000000001</v>
      </c>
    </row>
    <row r="9" spans="1:18">
      <c r="A9" s="15" t="s">
        <v>569</v>
      </c>
      <c r="B9" s="17" t="n">
        <v>4899</v>
      </c>
      <c r="C9" s="18">
        <f>(3864.0/B9*100)</f>
        <v/>
      </c>
      <c r="D9" s="19" t="n">
        <v>1035</v>
      </c>
      <c r="E9" s="18" t="n">
        <v>76.60020616</v>
      </c>
      <c r="F9" s="20" t="n">
        <v>1.45719081</v>
      </c>
      <c r="G9" s="18" t="n">
        <v>21.71875374</v>
      </c>
      <c r="H9" s="20" t="n">
        <v>1.47787814</v>
      </c>
      <c r="I9" s="18" t="s">
        <v>567</v>
      </c>
      <c r="J9" s="20" t="s">
        <v>567</v>
      </c>
      <c r="K9" s="18" t="n">
        <v>0.09574083</v>
      </c>
      <c r="L9" s="20" t="n">
        <v>0.09549017999999999</v>
      </c>
      <c r="M9" s="18" t="n">
        <v>0</v>
      </c>
      <c r="N9" s="20" t="n">
        <v>0</v>
      </c>
      <c r="O9" s="18" t="n">
        <v>0</v>
      </c>
      <c r="P9" s="20" t="n">
        <v>0</v>
      </c>
      <c r="Q9" s="18" t="n">
        <v>1.58529927</v>
      </c>
      <c r="R9" s="20" t="n">
        <v>0.41774067</v>
      </c>
    </row>
    <row r="10" spans="1:18">
      <c r="A10" s="15" t="s">
        <v>570</v>
      </c>
      <c r="B10" s="17" t="n">
        <v>10036</v>
      </c>
      <c r="C10" s="18">
        <f>(7787.0/B10*100)</f>
        <v/>
      </c>
      <c r="D10" s="19" t="n">
        <v>2249</v>
      </c>
      <c r="E10" s="18" t="n">
        <v>76.52627518</v>
      </c>
      <c r="F10" s="20" t="n">
        <v>1.4141017</v>
      </c>
      <c r="G10" s="18" t="n">
        <v>20.72970254</v>
      </c>
      <c r="H10" s="20" t="n">
        <v>1.39837745</v>
      </c>
      <c r="I10" s="18" t="s">
        <v>567</v>
      </c>
      <c r="J10" s="20" t="s">
        <v>567</v>
      </c>
      <c r="K10" s="18" t="n">
        <v>0.37992125</v>
      </c>
      <c r="L10" s="20" t="n">
        <v>0.20018321</v>
      </c>
      <c r="M10" s="18" t="n">
        <v>0</v>
      </c>
      <c r="N10" s="20" t="n">
        <v>0</v>
      </c>
      <c r="O10" s="18" t="n">
        <v>0</v>
      </c>
      <c r="P10" s="20" t="n">
        <v>0</v>
      </c>
      <c r="Q10" s="18" t="n">
        <v>2.36410104</v>
      </c>
      <c r="R10" s="20" t="n">
        <v>0.38608346</v>
      </c>
    </row>
    <row r="11" spans="1:18">
      <c r="A11" s="15" t="s">
        <v>571</v>
      </c>
      <c r="B11" s="17" t="n">
        <v>3553</v>
      </c>
      <c r="C11" s="18">
        <f>(2791.0/B11*100)</f>
        <v/>
      </c>
      <c r="D11" s="19" t="n">
        <v>762</v>
      </c>
      <c r="E11" s="18" t="n">
        <v>81.61209753999999</v>
      </c>
      <c r="F11" s="20" t="n">
        <v>1.60964302</v>
      </c>
      <c r="G11" s="18" t="n">
        <v>12.27658813</v>
      </c>
      <c r="H11" s="20" t="n">
        <v>1.4351891</v>
      </c>
      <c r="I11" s="18" t="s">
        <v>567</v>
      </c>
      <c r="J11" s="20" t="s">
        <v>567</v>
      </c>
      <c r="K11" s="18" t="n">
        <v>0.90623929</v>
      </c>
      <c r="L11" s="20" t="n">
        <v>0.53780701</v>
      </c>
      <c r="M11" s="18" t="n">
        <v>0</v>
      </c>
      <c r="N11" s="20" t="n">
        <v>0</v>
      </c>
      <c r="O11" s="18" t="n">
        <v>0</v>
      </c>
      <c r="P11" s="20" t="n">
        <v>0</v>
      </c>
      <c r="Q11" s="18" t="n">
        <v>5.20507504</v>
      </c>
      <c r="R11" s="20" t="n">
        <v>0.97426142</v>
      </c>
    </row>
    <row r="12" spans="1:18">
      <c r="A12" s="15" t="s">
        <v>572</v>
      </c>
      <c r="B12" s="17" t="n">
        <v>3472</v>
      </c>
      <c r="C12" s="18">
        <f>(2715.0/B12*100)</f>
        <v/>
      </c>
      <c r="D12" s="19" t="n">
        <v>757</v>
      </c>
      <c r="E12" s="18" t="n">
        <v>81.12887628</v>
      </c>
      <c r="F12" s="20" t="n">
        <v>1.55396537</v>
      </c>
      <c r="G12" s="18" t="n">
        <v>16.52079062</v>
      </c>
      <c r="H12" s="20" t="n">
        <v>1.45393435</v>
      </c>
      <c r="I12" s="18" t="s">
        <v>567</v>
      </c>
      <c r="J12" s="20" t="s">
        <v>567</v>
      </c>
      <c r="K12" s="18" t="n">
        <v>0.12347255</v>
      </c>
      <c r="L12" s="20" t="n">
        <v>0.12656386</v>
      </c>
      <c r="M12" s="18" t="n">
        <v>0</v>
      </c>
      <c r="N12" s="20" t="n">
        <v>0</v>
      </c>
      <c r="O12" s="18" t="n">
        <v>0</v>
      </c>
      <c r="P12" s="20" t="n">
        <v>0</v>
      </c>
      <c r="Q12" s="18" t="n">
        <v>2.22686055</v>
      </c>
      <c r="R12" s="20" t="n">
        <v>0.54273724</v>
      </c>
    </row>
    <row r="13" spans="1:18">
      <c r="A13" s="15" t="s">
        <v>573</v>
      </c>
      <c r="B13" s="17" t="n">
        <v>3559</v>
      </c>
      <c r="C13" s="18">
        <f>(2784.0/B13*100)</f>
        <v/>
      </c>
      <c r="D13" s="19" t="n">
        <v>775</v>
      </c>
      <c r="E13" s="18" t="n">
        <v>82.57311668</v>
      </c>
      <c r="F13" s="20" t="n">
        <v>1.59287531</v>
      </c>
      <c r="G13" s="18" t="n">
        <v>16.62942943</v>
      </c>
      <c r="H13" s="20" t="n">
        <v>1.57236137</v>
      </c>
      <c r="I13" s="18" t="s">
        <v>567</v>
      </c>
      <c r="J13" s="20" t="s">
        <v>567</v>
      </c>
      <c r="K13" s="18" t="n">
        <v>0.07609209</v>
      </c>
      <c r="L13" s="20" t="n">
        <v>0.07675269</v>
      </c>
      <c r="M13" s="18" t="n">
        <v>0</v>
      </c>
      <c r="N13" s="20" t="n">
        <v>0</v>
      </c>
      <c r="O13" s="18" t="n">
        <v>0</v>
      </c>
      <c r="P13" s="20" t="n">
        <v>0</v>
      </c>
      <c r="Q13" s="18" t="n">
        <v>0.7213618000000001</v>
      </c>
      <c r="R13" s="20" t="n">
        <v>0.28313159</v>
      </c>
    </row>
    <row r="14" spans="1:18">
      <c r="A14" s="15" t="s">
        <v>574</v>
      </c>
      <c r="B14" s="17" t="n">
        <v>2799</v>
      </c>
      <c r="C14" s="18">
        <f>(2216.0/B14*100)</f>
        <v/>
      </c>
      <c r="D14" s="19" t="n">
        <v>583</v>
      </c>
      <c r="E14" s="18" t="n">
        <v>76.08169556999999</v>
      </c>
      <c r="F14" s="20" t="n">
        <v>1.89863102</v>
      </c>
      <c r="G14" s="18" t="n">
        <v>22.84204081</v>
      </c>
      <c r="H14" s="20" t="n">
        <v>1.91820385</v>
      </c>
      <c r="I14" s="18" t="s">
        <v>567</v>
      </c>
      <c r="J14" s="20" t="s">
        <v>567</v>
      </c>
      <c r="K14" s="18" t="n">
        <v>0.14258168</v>
      </c>
      <c r="L14" s="20" t="n">
        <v>0.14251338</v>
      </c>
      <c r="M14" s="18" t="n">
        <v>0</v>
      </c>
      <c r="N14" s="20" t="n">
        <v>0</v>
      </c>
      <c r="O14" s="18" t="n">
        <v>0</v>
      </c>
      <c r="P14" s="20" t="n">
        <v>0</v>
      </c>
      <c r="Q14" s="18" t="n">
        <v>0.93368194</v>
      </c>
      <c r="R14" s="20" t="n">
        <v>0.48230502</v>
      </c>
    </row>
    <row r="15" spans="1:18">
      <c r="A15" s="15" t="s">
        <v>575</v>
      </c>
      <c r="B15" s="17" t="n">
        <v>3019</v>
      </c>
      <c r="C15" s="18">
        <f>(2374.0/B15*100)</f>
        <v/>
      </c>
      <c r="D15" s="19" t="n">
        <v>645</v>
      </c>
      <c r="E15" s="18" t="n">
        <v>81.52633168</v>
      </c>
      <c r="F15" s="20" t="n">
        <v>1.71259817</v>
      </c>
      <c r="G15" s="18" t="n">
        <v>17.53287273</v>
      </c>
      <c r="H15" s="20" t="n">
        <v>1.71512347</v>
      </c>
      <c r="I15" s="18" t="s">
        <v>567</v>
      </c>
      <c r="J15" s="20" t="s">
        <v>567</v>
      </c>
      <c r="K15" s="18" t="n">
        <v>0</v>
      </c>
      <c r="L15" s="20" t="n">
        <v>0</v>
      </c>
      <c r="M15" s="18" t="n">
        <v>0</v>
      </c>
      <c r="N15" s="20" t="n">
        <v>0</v>
      </c>
      <c r="O15" s="18" t="n">
        <v>0</v>
      </c>
      <c r="P15" s="20" t="n">
        <v>0</v>
      </c>
      <c r="Q15" s="18" t="n">
        <v>0.94079559</v>
      </c>
      <c r="R15" s="20" t="n">
        <v>0.39098386</v>
      </c>
    </row>
    <row r="16" spans="1:18">
      <c r="A16" s="15" t="s">
        <v>576</v>
      </c>
      <c r="B16" s="17" t="n">
        <v>2997</v>
      </c>
      <c r="C16" s="18">
        <f>(2363.0/B16*100)</f>
        <v/>
      </c>
      <c r="D16" s="19" t="n">
        <v>634</v>
      </c>
      <c r="E16" s="18" t="n">
        <v>76.96404606999999</v>
      </c>
      <c r="F16" s="20" t="n">
        <v>1.92817143</v>
      </c>
      <c r="G16" s="18" t="n">
        <v>18.55610111</v>
      </c>
      <c r="H16" s="20" t="n">
        <v>1.84725583</v>
      </c>
      <c r="I16" s="18" t="s">
        <v>567</v>
      </c>
      <c r="J16" s="20" t="s">
        <v>567</v>
      </c>
      <c r="K16" s="18" t="n">
        <v>0.58115599</v>
      </c>
      <c r="L16" s="20" t="n">
        <v>0.25027309</v>
      </c>
      <c r="M16" s="18" t="n">
        <v>0</v>
      </c>
      <c r="N16" s="20" t="n">
        <v>0</v>
      </c>
      <c r="O16" s="18" t="n">
        <v>0</v>
      </c>
      <c r="P16" s="20" t="n">
        <v>0</v>
      </c>
      <c r="Q16" s="18" t="n">
        <v>3.89869683</v>
      </c>
      <c r="R16" s="20" t="n">
        <v>0.76693684</v>
      </c>
    </row>
    <row r="17" spans="1:18">
      <c r="A17" s="15" t="s">
        <v>577</v>
      </c>
      <c r="B17" s="17" t="n">
        <v>3307</v>
      </c>
      <c r="C17" s="18">
        <f>(2583.0/B17*100)</f>
        <v/>
      </c>
      <c r="D17" s="19" t="n">
        <v>724</v>
      </c>
      <c r="E17" s="18" t="n">
        <v>82.20147815</v>
      </c>
      <c r="F17" s="20" t="n">
        <v>1.37775701</v>
      </c>
      <c r="G17" s="18" t="n">
        <v>14.87057041</v>
      </c>
      <c r="H17" s="20" t="n">
        <v>1.25953277</v>
      </c>
      <c r="I17" s="18" t="s">
        <v>567</v>
      </c>
      <c r="J17" s="20" t="s">
        <v>567</v>
      </c>
      <c r="K17" s="18" t="n">
        <v>0.42668485</v>
      </c>
      <c r="L17" s="20" t="n">
        <v>0.20719732</v>
      </c>
      <c r="M17" s="18" t="n">
        <v>0</v>
      </c>
      <c r="N17" s="20" t="n">
        <v>0</v>
      </c>
      <c r="O17" s="18" t="n">
        <v>0</v>
      </c>
      <c r="P17" s="20" t="n">
        <v>0</v>
      </c>
      <c r="Q17" s="18" t="n">
        <v>2.50126659</v>
      </c>
      <c r="R17" s="20" t="n">
        <v>0.52434865</v>
      </c>
    </row>
    <row r="18" spans="1:18">
      <c r="A18" s="15" t="s">
        <v>578</v>
      </c>
      <c r="B18" s="17" t="n">
        <v>2826</v>
      </c>
      <c r="C18" s="18">
        <f>(2231.0/B18*100)</f>
        <v/>
      </c>
      <c r="D18" s="19" t="n">
        <v>595</v>
      </c>
      <c r="E18" s="18" t="n">
        <v>80.3943367</v>
      </c>
      <c r="F18" s="20" t="n">
        <v>1.69243371</v>
      </c>
      <c r="G18" s="18" t="n">
        <v>14.55883235</v>
      </c>
      <c r="H18" s="20" t="n">
        <v>1.58358158</v>
      </c>
      <c r="I18" s="18" t="s">
        <v>567</v>
      </c>
      <c r="J18" s="20" t="s">
        <v>567</v>
      </c>
      <c r="K18" s="18" t="n">
        <v>0.71335291</v>
      </c>
      <c r="L18" s="20" t="n">
        <v>0.39124831</v>
      </c>
      <c r="M18" s="18" t="n">
        <v>0</v>
      </c>
      <c r="N18" s="20" t="n">
        <v>0</v>
      </c>
      <c r="O18" s="18" t="n">
        <v>0</v>
      </c>
      <c r="P18" s="20" t="n">
        <v>0</v>
      </c>
      <c r="Q18" s="18" t="n">
        <v>4.33347805</v>
      </c>
      <c r="R18" s="20" t="n">
        <v>0.9631108900000001</v>
      </c>
    </row>
    <row r="19" spans="1:18">
      <c r="A19" s="15" t="s">
        <v>579</v>
      </c>
      <c r="B19" s="17" t="n">
        <v>2808</v>
      </c>
      <c r="C19" s="18">
        <f>(2138.0/B19*100)</f>
        <v/>
      </c>
      <c r="D19" s="19" t="n">
        <v>670</v>
      </c>
      <c r="E19" s="18" t="n">
        <v>82.44239444</v>
      </c>
      <c r="F19" s="20" t="n">
        <v>1.26379955</v>
      </c>
      <c r="G19" s="18" t="n">
        <v>16.64033438</v>
      </c>
      <c r="H19" s="20" t="n">
        <v>1.3031459</v>
      </c>
      <c r="I19" s="18" t="s">
        <v>567</v>
      </c>
      <c r="J19" s="20" t="s">
        <v>567</v>
      </c>
      <c r="K19" s="18" t="n">
        <v>0.11705265</v>
      </c>
      <c r="L19" s="20" t="n">
        <v>0.11638894</v>
      </c>
      <c r="M19" s="18" t="n">
        <v>0</v>
      </c>
      <c r="N19" s="20" t="n">
        <v>0</v>
      </c>
      <c r="O19" s="18" t="n">
        <v>0</v>
      </c>
      <c r="P19" s="20" t="n">
        <v>0</v>
      </c>
      <c r="Q19" s="18" t="n">
        <v>0.80021852</v>
      </c>
      <c r="R19" s="20" t="n">
        <v>0.40545754</v>
      </c>
    </row>
    <row r="20" spans="1:18">
      <c r="A20" s="15" t="s">
        <v>580</v>
      </c>
      <c r="B20" s="17" t="n">
        <v>1630</v>
      </c>
      <c r="C20" s="18">
        <f>(1246.0/B20*100)</f>
        <v/>
      </c>
      <c r="D20" s="19" t="n">
        <v>384</v>
      </c>
      <c r="E20" s="18" t="n">
        <v>82.6632419</v>
      </c>
      <c r="F20" s="20" t="n">
        <v>2.07747122</v>
      </c>
      <c r="G20" s="18" t="n">
        <v>13.98540452</v>
      </c>
      <c r="H20" s="20" t="n">
        <v>1.82988206</v>
      </c>
      <c r="I20" s="18" t="s">
        <v>567</v>
      </c>
      <c r="J20" s="20" t="s">
        <v>567</v>
      </c>
      <c r="K20" s="18" t="n">
        <v>0</v>
      </c>
      <c r="L20" s="20" t="n">
        <v>0</v>
      </c>
      <c r="M20" s="18" t="n">
        <v>0</v>
      </c>
      <c r="N20" s="20" t="n">
        <v>0</v>
      </c>
      <c r="O20" s="18" t="n">
        <v>0</v>
      </c>
      <c r="P20" s="20" t="n">
        <v>0</v>
      </c>
      <c r="Q20" s="18" t="n">
        <v>3.35135358</v>
      </c>
      <c r="R20" s="20" t="n">
        <v>0.93273507</v>
      </c>
    </row>
    <row r="21" spans="1:18">
      <c r="A21" s="15" t="s">
        <v>581</v>
      </c>
      <c r="B21" s="17" t="n">
        <v>2908</v>
      </c>
      <c r="C21" s="18">
        <f>(2273.0/B21*100)</f>
        <v/>
      </c>
      <c r="D21" s="19" t="n">
        <v>635</v>
      </c>
      <c r="E21" s="18" t="n">
        <v>84.13365727</v>
      </c>
      <c r="F21" s="20" t="n">
        <v>1.31595159</v>
      </c>
      <c r="G21" s="18" t="n">
        <v>14.38307656</v>
      </c>
      <c r="H21" s="20" t="n">
        <v>1.25242538</v>
      </c>
      <c r="I21" s="18" t="s">
        <v>567</v>
      </c>
      <c r="J21" s="20" t="s">
        <v>567</v>
      </c>
      <c r="K21" s="18" t="n">
        <v>0</v>
      </c>
      <c r="L21" s="20" t="n">
        <v>0</v>
      </c>
      <c r="M21" s="18" t="n">
        <v>0</v>
      </c>
      <c r="N21" s="20" t="n">
        <v>0</v>
      </c>
      <c r="O21" s="18" t="n">
        <v>0</v>
      </c>
      <c r="P21" s="20" t="n">
        <v>0</v>
      </c>
      <c r="Q21" s="18" t="n">
        <v>1.48326617</v>
      </c>
      <c r="R21" s="20" t="n">
        <v>0.51053526</v>
      </c>
    </row>
    <row r="22" spans="1:18">
      <c r="A22" s="15" t="s">
        <v>582</v>
      </c>
      <c r="B22" s="17" t="n">
        <v>2931</v>
      </c>
      <c r="C22" s="18">
        <f>(2299.0/B22*100)</f>
        <v/>
      </c>
      <c r="D22" s="19" t="n">
        <v>632</v>
      </c>
      <c r="E22" s="18" t="n">
        <v>81.72586375</v>
      </c>
      <c r="F22" s="20" t="n">
        <v>2.05761157</v>
      </c>
      <c r="G22" s="18" t="n">
        <v>15.10357956</v>
      </c>
      <c r="H22" s="20" t="n">
        <v>2.03520668</v>
      </c>
      <c r="I22" s="18" t="s">
        <v>567</v>
      </c>
      <c r="J22" s="20" t="s">
        <v>567</v>
      </c>
      <c r="K22" s="18" t="n">
        <v>1.15486439</v>
      </c>
      <c r="L22" s="20" t="n">
        <v>0.50561926</v>
      </c>
      <c r="M22" s="18" t="n">
        <v>0</v>
      </c>
      <c r="N22" s="20" t="n">
        <v>0</v>
      </c>
      <c r="O22" s="18" t="n">
        <v>0</v>
      </c>
      <c r="P22" s="20" t="n">
        <v>0</v>
      </c>
      <c r="Q22" s="18" t="n">
        <v>2.01569231</v>
      </c>
      <c r="R22" s="20" t="n">
        <v>0.62117796</v>
      </c>
    </row>
    <row r="23" spans="1:18">
      <c r="A23" s="15" t="s">
        <v>583</v>
      </c>
      <c r="B23" s="17" t="n">
        <v>5791</v>
      </c>
      <c r="C23" s="18">
        <f>(4470.0/B23*100)</f>
        <v/>
      </c>
      <c r="D23" s="19" t="n">
        <v>1321</v>
      </c>
      <c r="E23" s="18" t="n">
        <v>85.91186888</v>
      </c>
      <c r="F23" s="20" t="n">
        <v>1.35343718</v>
      </c>
      <c r="G23" s="18" t="n">
        <v>11.38957548</v>
      </c>
      <c r="H23" s="20" t="n">
        <v>1.28317385</v>
      </c>
      <c r="I23" s="18" t="s">
        <v>567</v>
      </c>
      <c r="J23" s="20" t="s">
        <v>567</v>
      </c>
      <c r="K23" s="18" t="n">
        <v>0.15802747</v>
      </c>
      <c r="L23" s="20" t="n">
        <v>0.15598095</v>
      </c>
      <c r="M23" s="18" t="n">
        <v>0</v>
      </c>
      <c r="N23" s="20" t="n">
        <v>0</v>
      </c>
      <c r="O23" s="18" t="n">
        <v>0</v>
      </c>
      <c r="P23" s="20" t="n">
        <v>0</v>
      </c>
      <c r="Q23" s="18" t="n">
        <v>2.54052818</v>
      </c>
      <c r="R23" s="20" t="n">
        <v>0.69260272</v>
      </c>
    </row>
    <row r="24" spans="1:18">
      <c r="A24" s="15" t="s">
        <v>584</v>
      </c>
      <c r="B24" s="17" t="n">
        <v>3338</v>
      </c>
      <c r="C24" s="18">
        <f>(2612.0/B24*100)</f>
        <v/>
      </c>
      <c r="D24" s="19" t="n">
        <v>726</v>
      </c>
      <c r="E24" s="18" t="n">
        <v>68.3773142</v>
      </c>
      <c r="F24" s="20" t="n">
        <v>2.06707592</v>
      </c>
      <c r="G24" s="18" t="n">
        <v>30.19623843</v>
      </c>
      <c r="H24" s="20" t="n">
        <v>2.03625499</v>
      </c>
      <c r="I24" s="18" t="s">
        <v>567</v>
      </c>
      <c r="J24" s="20" t="s">
        <v>567</v>
      </c>
      <c r="K24" s="18" t="n">
        <v>0</v>
      </c>
      <c r="L24" s="20" t="n">
        <v>0</v>
      </c>
      <c r="M24" s="18" t="n">
        <v>0</v>
      </c>
      <c r="N24" s="20" t="n">
        <v>0</v>
      </c>
      <c r="O24" s="18" t="n">
        <v>0</v>
      </c>
      <c r="P24" s="20" t="n">
        <v>0</v>
      </c>
      <c r="Q24" s="18" t="n">
        <v>1.42644736</v>
      </c>
      <c r="R24" s="20" t="n">
        <v>0.41520995</v>
      </c>
    </row>
    <row r="25" spans="1:18">
      <c r="A25" s="15" t="s">
        <v>585</v>
      </c>
      <c r="B25" s="17" t="n">
        <v>2912</v>
      </c>
      <c r="C25" s="18">
        <f>(2244.0/B25*100)</f>
        <v/>
      </c>
      <c r="D25" s="19" t="n">
        <v>668</v>
      </c>
      <c r="E25" s="18" t="n">
        <v>72.32110222999999</v>
      </c>
      <c r="F25" s="20" t="n">
        <v>2.18000168</v>
      </c>
      <c r="G25" s="18" t="n">
        <v>26.32116718</v>
      </c>
      <c r="H25" s="20" t="n">
        <v>2.24941232</v>
      </c>
      <c r="I25" s="18" t="s">
        <v>567</v>
      </c>
      <c r="J25" s="20" t="s">
        <v>567</v>
      </c>
      <c r="K25" s="18" t="n">
        <v>0.28515836</v>
      </c>
      <c r="L25" s="20" t="n">
        <v>0.19890786</v>
      </c>
      <c r="M25" s="18" t="n">
        <v>0</v>
      </c>
      <c r="N25" s="20" t="n">
        <v>0</v>
      </c>
      <c r="O25" s="18" t="n">
        <v>0</v>
      </c>
      <c r="P25" s="20" t="n">
        <v>0</v>
      </c>
      <c r="Q25" s="18" t="n">
        <v>1.07257223</v>
      </c>
      <c r="R25" s="20" t="n">
        <v>0.33645319</v>
      </c>
    </row>
    <row r="26" spans="1:18">
      <c r="A26" s="15" t="s">
        <v>586</v>
      </c>
      <c r="B26" s="17" t="n">
        <v>2450</v>
      </c>
      <c r="C26" s="18">
        <f>(1910.0/B26*100)</f>
        <v/>
      </c>
      <c r="D26" s="19" t="n">
        <v>540</v>
      </c>
      <c r="E26" s="18" t="n">
        <v>84.63438647</v>
      </c>
      <c r="F26" s="20" t="n">
        <v>1.76964517</v>
      </c>
      <c r="G26" s="18" t="n">
        <v>13.75015539</v>
      </c>
      <c r="H26" s="20" t="n">
        <v>1.6898579</v>
      </c>
      <c r="I26" s="18" t="s">
        <v>567</v>
      </c>
      <c r="J26" s="20" t="s">
        <v>567</v>
      </c>
      <c r="K26" s="18" t="n">
        <v>0</v>
      </c>
      <c r="L26" s="20" t="n">
        <v>0</v>
      </c>
      <c r="M26" s="18" t="n">
        <v>0</v>
      </c>
      <c r="N26" s="20" t="n">
        <v>0</v>
      </c>
      <c r="O26" s="18" t="n">
        <v>0</v>
      </c>
      <c r="P26" s="20" t="n">
        <v>0</v>
      </c>
      <c r="Q26" s="18" t="n">
        <v>1.61545814</v>
      </c>
      <c r="R26" s="20" t="n">
        <v>0.6038252</v>
      </c>
    </row>
    <row r="27" spans="1:18">
      <c r="A27" s="15" t="s">
        <v>587</v>
      </c>
      <c r="B27" s="17" t="n">
        <v>2616</v>
      </c>
      <c r="C27" s="18">
        <f>(2035.0/B27*100)</f>
        <v/>
      </c>
      <c r="D27" s="19" t="n">
        <v>581</v>
      </c>
      <c r="E27" s="18" t="n">
        <v>84.8644135</v>
      </c>
      <c r="F27" s="20" t="n">
        <v>1.48079789</v>
      </c>
      <c r="G27" s="18" t="n">
        <v>12.64870736</v>
      </c>
      <c r="H27" s="20" t="n">
        <v>1.40024998</v>
      </c>
      <c r="I27" s="18" t="s">
        <v>567</v>
      </c>
      <c r="J27" s="20" t="s">
        <v>567</v>
      </c>
      <c r="K27" s="18" t="n">
        <v>0.17176004</v>
      </c>
      <c r="L27" s="20" t="n">
        <v>0.17268014</v>
      </c>
      <c r="M27" s="18" t="n">
        <v>0</v>
      </c>
      <c r="N27" s="20" t="n">
        <v>0</v>
      </c>
      <c r="O27" s="18" t="n">
        <v>0</v>
      </c>
      <c r="P27" s="20" t="n">
        <v>0</v>
      </c>
      <c r="Q27" s="18" t="n">
        <v>2.3151191</v>
      </c>
      <c r="R27" s="20" t="n">
        <v>0.6223420200000001</v>
      </c>
    </row>
    <row r="28" spans="1:18">
      <c r="A28" s="15" t="s">
        <v>588</v>
      </c>
      <c r="B28" s="17" t="n">
        <v>3765</v>
      </c>
      <c r="C28" s="18">
        <f>(2961.0/B28*100)</f>
        <v/>
      </c>
      <c r="D28" s="19" t="n">
        <v>804</v>
      </c>
      <c r="E28" s="18" t="n">
        <v>84.63176907</v>
      </c>
      <c r="F28" s="20" t="n">
        <v>1.66392933</v>
      </c>
      <c r="G28" s="18" t="n">
        <v>11.78286928</v>
      </c>
      <c r="H28" s="20" t="n">
        <v>1.34872101</v>
      </c>
      <c r="I28" s="18" t="s">
        <v>567</v>
      </c>
      <c r="J28" s="20" t="s">
        <v>567</v>
      </c>
      <c r="K28" s="18" t="n">
        <v>0.72437095</v>
      </c>
      <c r="L28" s="20" t="n">
        <v>0.33914233</v>
      </c>
      <c r="M28" s="18" t="n">
        <v>0</v>
      </c>
      <c r="N28" s="20" t="n">
        <v>0</v>
      </c>
      <c r="O28" s="18" t="n">
        <v>0</v>
      </c>
      <c r="P28" s="20" t="n">
        <v>0</v>
      </c>
      <c r="Q28" s="18" t="n">
        <v>2.8609907</v>
      </c>
      <c r="R28" s="20" t="n">
        <v>0.66340655</v>
      </c>
    </row>
    <row r="29" spans="1:18">
      <c r="A29" s="15" t="s">
        <v>589</v>
      </c>
      <c r="B29" s="17" t="n">
        <v>2685</v>
      </c>
      <c r="C29" s="18">
        <f>(2106.0/B29*100)</f>
        <v/>
      </c>
      <c r="D29" s="19" t="n">
        <v>579</v>
      </c>
      <c r="E29" s="18" t="n">
        <v>77.24383491</v>
      </c>
      <c r="F29" s="20" t="n">
        <v>1.69344476</v>
      </c>
      <c r="G29" s="18" t="n">
        <v>20.21896276</v>
      </c>
      <c r="H29" s="20" t="n">
        <v>1.63264203</v>
      </c>
      <c r="I29" s="18" t="s">
        <v>567</v>
      </c>
      <c r="J29" s="20" t="s">
        <v>567</v>
      </c>
      <c r="K29" s="18" t="n">
        <v>0.63425145</v>
      </c>
      <c r="L29" s="20" t="n">
        <v>0.31559316</v>
      </c>
      <c r="M29" s="18" t="n">
        <v>0</v>
      </c>
      <c r="N29" s="20" t="n">
        <v>0</v>
      </c>
      <c r="O29" s="18" t="n">
        <v>0</v>
      </c>
      <c r="P29" s="20" t="n">
        <v>0</v>
      </c>
      <c r="Q29" s="18" t="n">
        <v>1.90295088</v>
      </c>
      <c r="R29" s="20" t="n">
        <v>0.58794158</v>
      </c>
    </row>
    <row r="30" spans="1:18">
      <c r="A30" s="15" t="s">
        <v>590</v>
      </c>
      <c r="B30" s="17" t="n">
        <v>2263</v>
      </c>
      <c r="C30" s="18">
        <f>(1776.0/B30*100)</f>
        <v/>
      </c>
      <c r="D30" s="19" t="n">
        <v>487</v>
      </c>
      <c r="E30" s="18" t="n">
        <v>75.92299706999999</v>
      </c>
      <c r="F30" s="20" t="n">
        <v>1.88332655</v>
      </c>
      <c r="G30" s="18" t="n">
        <v>19.97696004</v>
      </c>
      <c r="H30" s="20" t="n">
        <v>1.75371657</v>
      </c>
      <c r="I30" s="18" t="s">
        <v>567</v>
      </c>
      <c r="J30" s="20" t="s">
        <v>567</v>
      </c>
      <c r="K30" s="18" t="n">
        <v>0</v>
      </c>
      <c r="L30" s="20" t="n">
        <v>0</v>
      </c>
      <c r="M30" s="18" t="n">
        <v>0</v>
      </c>
      <c r="N30" s="20" t="n">
        <v>0</v>
      </c>
      <c r="O30" s="18" t="n">
        <v>0</v>
      </c>
      <c r="P30" s="20" t="n">
        <v>0</v>
      </c>
      <c r="Q30" s="18" t="n">
        <v>4.10004289</v>
      </c>
      <c r="R30" s="20" t="n">
        <v>0.91941773</v>
      </c>
    </row>
    <row r="31" spans="1:18">
      <c r="A31" s="15" t="s">
        <v>591</v>
      </c>
      <c r="B31" s="17" t="n">
        <v>2750</v>
      </c>
      <c r="C31" s="18">
        <f>(2161.0/B31*100)</f>
        <v/>
      </c>
      <c r="D31" s="19" t="n">
        <v>589</v>
      </c>
      <c r="E31" s="18" t="n">
        <v>78.34797291</v>
      </c>
      <c r="F31" s="20" t="n">
        <v>1.76466035</v>
      </c>
      <c r="G31" s="18" t="n">
        <v>18.84300465</v>
      </c>
      <c r="H31" s="20" t="n">
        <v>1.77989584</v>
      </c>
      <c r="I31" s="18" t="s">
        <v>567</v>
      </c>
      <c r="J31" s="20" t="s">
        <v>567</v>
      </c>
      <c r="K31" s="18" t="n">
        <v>0.30924158</v>
      </c>
      <c r="L31" s="20" t="n">
        <v>0.21567207</v>
      </c>
      <c r="M31" s="18" t="n">
        <v>0</v>
      </c>
      <c r="N31" s="20" t="n">
        <v>0</v>
      </c>
      <c r="O31" s="18" t="n">
        <v>0</v>
      </c>
      <c r="P31" s="20" t="n">
        <v>0</v>
      </c>
      <c r="Q31" s="18" t="n">
        <v>2.49978086</v>
      </c>
      <c r="R31" s="20" t="n">
        <v>0.62791989</v>
      </c>
    </row>
    <row r="32" spans="1:18">
      <c r="A32" s="15" t="s">
        <v>592</v>
      </c>
      <c r="B32" s="17" t="n">
        <v>2269</v>
      </c>
      <c r="C32" s="18">
        <f>(1760.0/B32*100)</f>
        <v/>
      </c>
      <c r="D32" s="19" t="n">
        <v>509</v>
      </c>
      <c r="E32" s="18" t="n">
        <v>76.88372194999999</v>
      </c>
      <c r="F32" s="20" t="n">
        <v>2.01320392</v>
      </c>
      <c r="G32" s="18" t="n">
        <v>22.00102604</v>
      </c>
      <c r="H32" s="20" t="n">
        <v>1.96343605</v>
      </c>
      <c r="I32" s="18" t="s">
        <v>567</v>
      </c>
      <c r="J32" s="20" t="s">
        <v>567</v>
      </c>
      <c r="K32" s="18" t="n">
        <v>0.17432839</v>
      </c>
      <c r="L32" s="20" t="n">
        <v>0.17376033</v>
      </c>
      <c r="M32" s="18" t="n">
        <v>0</v>
      </c>
      <c r="N32" s="20" t="n">
        <v>0</v>
      </c>
      <c r="O32" s="18" t="n">
        <v>0</v>
      </c>
      <c r="P32" s="20" t="n">
        <v>0</v>
      </c>
      <c r="Q32" s="18" t="n">
        <v>0.94092362</v>
      </c>
      <c r="R32" s="20" t="n">
        <v>0.42593509</v>
      </c>
    </row>
    <row r="33" spans="1:18">
      <c r="A33" s="15" t="s">
        <v>593</v>
      </c>
      <c r="B33" s="17" t="n">
        <v>3674</v>
      </c>
      <c r="C33" s="18">
        <f>(2881.0/B33*100)</f>
        <v/>
      </c>
      <c r="D33" s="19" t="n">
        <v>793</v>
      </c>
      <c r="E33" s="18" t="n">
        <v>79.92076741</v>
      </c>
      <c r="F33" s="20" t="n">
        <v>1.52560531</v>
      </c>
      <c r="G33" s="18" t="n">
        <v>16.60043038</v>
      </c>
      <c r="H33" s="20" t="n">
        <v>1.56325379</v>
      </c>
      <c r="I33" s="18" t="s">
        <v>567</v>
      </c>
      <c r="J33" s="20" t="s">
        <v>567</v>
      </c>
      <c r="K33" s="18" t="n">
        <v>0.4344399</v>
      </c>
      <c r="L33" s="20" t="n">
        <v>0.30982996</v>
      </c>
      <c r="M33" s="18" t="n">
        <v>0</v>
      </c>
      <c r="N33" s="20" t="n">
        <v>0</v>
      </c>
      <c r="O33" s="18" t="n">
        <v>0</v>
      </c>
      <c r="P33" s="20" t="n">
        <v>0</v>
      </c>
      <c r="Q33" s="18" t="n">
        <v>3.04436231</v>
      </c>
      <c r="R33" s="20" t="n">
        <v>0.70216207</v>
      </c>
    </row>
    <row r="34" spans="1:18">
      <c r="A34" s="15" t="s">
        <v>594</v>
      </c>
      <c r="B34" s="17" t="n">
        <v>3315</v>
      </c>
      <c r="C34" s="18">
        <f>(2609.0/B34*100)</f>
        <v/>
      </c>
      <c r="D34" s="19" t="n">
        <v>706</v>
      </c>
      <c r="E34" s="18" t="n">
        <v>80.00434648</v>
      </c>
      <c r="F34" s="20" t="n">
        <v>1.73279892</v>
      </c>
      <c r="G34" s="18" t="n">
        <v>16.27189615</v>
      </c>
      <c r="H34" s="20" t="n">
        <v>1.49109133</v>
      </c>
      <c r="I34" s="18" t="s">
        <v>567</v>
      </c>
      <c r="J34" s="20" t="s">
        <v>567</v>
      </c>
      <c r="K34" s="18" t="n">
        <v>0.09212190000000001</v>
      </c>
      <c r="L34" s="20" t="n">
        <v>0.09181598000000001</v>
      </c>
      <c r="M34" s="18" t="n">
        <v>0</v>
      </c>
      <c r="N34" s="20" t="n">
        <v>0</v>
      </c>
      <c r="O34" s="18" t="n">
        <v>0</v>
      </c>
      <c r="P34" s="20" t="n">
        <v>0</v>
      </c>
      <c r="Q34" s="18" t="n">
        <v>3.63163547</v>
      </c>
      <c r="R34" s="20" t="n">
        <v>0.79967037</v>
      </c>
    </row>
    <row r="35" spans="1:18">
      <c r="A35" s="15" t="s">
        <v>595</v>
      </c>
      <c r="B35" s="17" t="n">
        <v>3505</v>
      </c>
      <c r="C35" s="18">
        <f>(2745.0/B35*100)</f>
        <v/>
      </c>
      <c r="D35" s="19" t="n">
        <v>760</v>
      </c>
      <c r="E35" s="18" t="n">
        <v>79.13236439000001</v>
      </c>
      <c r="F35" s="20" t="n">
        <v>2.10469781</v>
      </c>
      <c r="G35" s="18" t="n">
        <v>18.41995138</v>
      </c>
      <c r="H35" s="20" t="n">
        <v>2.06645906</v>
      </c>
      <c r="I35" s="18" t="s">
        <v>567</v>
      </c>
      <c r="J35" s="20" t="s">
        <v>567</v>
      </c>
      <c r="K35" s="18" t="n">
        <v>0.22423731</v>
      </c>
      <c r="L35" s="20" t="n">
        <v>0.13191118</v>
      </c>
      <c r="M35" s="18" t="n">
        <v>0</v>
      </c>
      <c r="N35" s="20" t="n">
        <v>0</v>
      </c>
      <c r="O35" s="18" t="n">
        <v>0</v>
      </c>
      <c r="P35" s="20" t="n">
        <v>0</v>
      </c>
      <c r="Q35" s="18" t="n">
        <v>2.22344692</v>
      </c>
      <c r="R35" s="20" t="n">
        <v>0.51237628</v>
      </c>
    </row>
    <row r="36" spans="1:18">
      <c r="A36" s="15" t="s">
        <v>596</v>
      </c>
      <c r="B36" s="17" t="n">
        <v>3332</v>
      </c>
      <c r="C36" s="18">
        <f>(2554.0/B36*100)</f>
        <v/>
      </c>
      <c r="D36" s="19" t="n">
        <v>778</v>
      </c>
      <c r="E36" s="18" t="n">
        <v>80.29221619</v>
      </c>
      <c r="F36" s="20" t="n">
        <v>1.63381776</v>
      </c>
      <c r="G36" s="18" t="n">
        <v>16.93197758</v>
      </c>
      <c r="H36" s="20" t="n">
        <v>1.46727296</v>
      </c>
      <c r="I36" s="18" t="s">
        <v>567</v>
      </c>
      <c r="J36" s="20" t="s">
        <v>567</v>
      </c>
      <c r="K36" s="18" t="n">
        <v>0.29914384</v>
      </c>
      <c r="L36" s="20" t="n">
        <v>0.25706271</v>
      </c>
      <c r="M36" s="18" t="n">
        <v>0</v>
      </c>
      <c r="N36" s="20" t="n">
        <v>0</v>
      </c>
      <c r="O36" s="18" t="n">
        <v>0</v>
      </c>
      <c r="P36" s="20" t="n">
        <v>0</v>
      </c>
      <c r="Q36" s="18" t="n">
        <v>2.47666238</v>
      </c>
      <c r="R36" s="20" t="n">
        <v>0.65129868</v>
      </c>
    </row>
    <row r="37" spans="1:18">
      <c r="A37" s="15" t="s">
        <v>597</v>
      </c>
      <c r="B37" s="17" t="n">
        <v>2727</v>
      </c>
      <c r="C37" s="18">
        <f>(2133.0/B37*100)</f>
        <v/>
      </c>
      <c r="D37" s="19" t="n">
        <v>594</v>
      </c>
      <c r="E37" s="18" t="n">
        <v>76.14357849</v>
      </c>
      <c r="F37" s="20" t="n">
        <v>1.79766809</v>
      </c>
      <c r="G37" s="18" t="n">
        <v>18.56199789</v>
      </c>
      <c r="H37" s="20" t="n">
        <v>1.75445077</v>
      </c>
      <c r="I37" s="18" t="s">
        <v>567</v>
      </c>
      <c r="J37" s="20" t="s">
        <v>567</v>
      </c>
      <c r="K37" s="18" t="n">
        <v>0.81899096</v>
      </c>
      <c r="L37" s="20" t="n">
        <v>0.3559299</v>
      </c>
      <c r="M37" s="18" t="n">
        <v>0</v>
      </c>
      <c r="N37" s="20" t="n">
        <v>0</v>
      </c>
      <c r="O37" s="18" t="n">
        <v>0</v>
      </c>
      <c r="P37" s="20" t="n">
        <v>0</v>
      </c>
      <c r="Q37" s="18" t="n">
        <v>4.47543266</v>
      </c>
      <c r="R37" s="20" t="n">
        <v>0.92570109</v>
      </c>
    </row>
    <row r="38" spans="1:18">
      <c r="A38" s="15" t="s">
        <v>598</v>
      </c>
      <c r="B38" s="17" t="n">
        <v>3053</v>
      </c>
      <c r="C38" s="18">
        <f>(2383.0/B38*100)</f>
        <v/>
      </c>
      <c r="D38" s="19" t="n">
        <v>670</v>
      </c>
      <c r="E38" s="18" t="n">
        <v>79.00435887</v>
      </c>
      <c r="F38" s="20" t="n">
        <v>1.71511102</v>
      </c>
      <c r="G38" s="18" t="n">
        <v>17.09509392</v>
      </c>
      <c r="H38" s="20" t="n">
        <v>1.72454655</v>
      </c>
      <c r="I38" s="18" t="s">
        <v>567</v>
      </c>
      <c r="J38" s="20" t="s">
        <v>567</v>
      </c>
      <c r="K38" s="18" t="n">
        <v>0.41733711</v>
      </c>
      <c r="L38" s="20" t="n">
        <v>0.28558892</v>
      </c>
      <c r="M38" s="18" t="n">
        <v>0</v>
      </c>
      <c r="N38" s="20" t="n">
        <v>0</v>
      </c>
      <c r="O38" s="18" t="n">
        <v>0</v>
      </c>
      <c r="P38" s="20" t="n">
        <v>0</v>
      </c>
      <c r="Q38" s="18" t="n">
        <v>3.4832101</v>
      </c>
      <c r="R38" s="20" t="n">
        <v>0.88229326</v>
      </c>
    </row>
    <row r="39" spans="1:18">
      <c r="A39" s="15" t="s">
        <v>599</v>
      </c>
      <c r="B39" s="17" t="n">
        <v>2957</v>
      </c>
      <c r="C39" s="18">
        <f>(2307.0/B39*100)</f>
        <v/>
      </c>
      <c r="D39" s="19" t="n">
        <v>650</v>
      </c>
      <c r="E39" s="18" t="n">
        <v>81.70435019</v>
      </c>
      <c r="F39" s="20" t="n">
        <v>1.71450508</v>
      </c>
      <c r="G39" s="18" t="n">
        <v>15.99597895</v>
      </c>
      <c r="H39" s="20" t="n">
        <v>1.59792511</v>
      </c>
      <c r="I39" s="18" t="s">
        <v>567</v>
      </c>
      <c r="J39" s="20" t="s">
        <v>567</v>
      </c>
      <c r="K39" s="18" t="n">
        <v>0</v>
      </c>
      <c r="L39" s="20" t="n">
        <v>0</v>
      </c>
      <c r="M39" s="18" t="n">
        <v>0</v>
      </c>
      <c r="N39" s="20" t="n">
        <v>0</v>
      </c>
      <c r="O39" s="18" t="n">
        <v>0</v>
      </c>
      <c r="P39" s="20" t="n">
        <v>0</v>
      </c>
      <c r="Q39" s="18" t="n">
        <v>2.29967086</v>
      </c>
      <c r="R39" s="20" t="n">
        <v>0.54811467</v>
      </c>
    </row>
    <row r="40" spans="1:18">
      <c r="A40" s="15" t="s">
        <v>600</v>
      </c>
      <c r="B40" s="17" t="n">
        <v>7235</v>
      </c>
      <c r="C40" s="18">
        <f>(5677.0/B40*100)</f>
        <v/>
      </c>
      <c r="D40" s="19" t="n">
        <v>1558</v>
      </c>
      <c r="E40" s="18" t="n">
        <v>81.55571491000001</v>
      </c>
      <c r="F40" s="20" t="n">
        <v>1.51648495</v>
      </c>
      <c r="G40" s="18" t="n">
        <v>16.141633</v>
      </c>
      <c r="H40" s="20" t="n">
        <v>1.41131863</v>
      </c>
      <c r="I40" s="18" t="s">
        <v>567</v>
      </c>
      <c r="J40" s="20" t="s">
        <v>567</v>
      </c>
      <c r="K40" s="18" t="n">
        <v>0.06922966</v>
      </c>
      <c r="L40" s="20" t="n">
        <v>0.03771608</v>
      </c>
      <c r="M40" s="18" t="n">
        <v>0</v>
      </c>
      <c r="N40" s="20" t="n">
        <v>0</v>
      </c>
      <c r="O40" s="18" t="n">
        <v>0</v>
      </c>
      <c r="P40" s="20" t="n">
        <v>0</v>
      </c>
      <c r="Q40" s="18" t="n">
        <v>2.23342243</v>
      </c>
      <c r="R40" s="20" t="n">
        <v>0.49981404</v>
      </c>
    </row>
    <row r="41" spans="1:18">
      <c r="A41" s="15" t="s">
        <v>601</v>
      </c>
      <c r="B41" s="17" t="n">
        <v>2858</v>
      </c>
      <c r="C41" s="18">
        <f>(2210.0/B41*100)</f>
        <v/>
      </c>
      <c r="D41" s="19" t="n">
        <v>648</v>
      </c>
      <c r="E41" s="18" t="n">
        <v>80.58171389</v>
      </c>
      <c r="F41" s="20" t="n">
        <v>1.56243166</v>
      </c>
      <c r="G41" s="18" t="n">
        <v>17.73194996</v>
      </c>
      <c r="H41" s="20" t="n">
        <v>1.50209199</v>
      </c>
      <c r="I41" s="18" t="s">
        <v>567</v>
      </c>
      <c r="J41" s="20" t="s">
        <v>567</v>
      </c>
      <c r="K41" s="18" t="n">
        <v>0.19156641</v>
      </c>
      <c r="L41" s="20" t="n">
        <v>0.16402717</v>
      </c>
      <c r="M41" s="18" t="n">
        <v>0</v>
      </c>
      <c r="N41" s="20" t="n">
        <v>0</v>
      </c>
      <c r="O41" s="18" t="n">
        <v>0</v>
      </c>
      <c r="P41" s="20" t="n">
        <v>0</v>
      </c>
      <c r="Q41" s="18" t="n">
        <v>1.49476973</v>
      </c>
      <c r="R41" s="20" t="n">
        <v>0.48162977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(9029.0/B46*100)</f>
        <v/>
      </c>
      <c r="D46" s="19" t="n">
        <v>2039</v>
      </c>
      <c r="E46" s="18" t="n">
        <v>84.90280258</v>
      </c>
      <c r="F46" s="20" t="n">
        <v>1.05405135</v>
      </c>
      <c r="G46" s="18" t="n">
        <v>8.97254066</v>
      </c>
      <c r="H46" s="20" t="n">
        <v>0.87243532</v>
      </c>
      <c r="I46" s="18" t="s">
        <v>567</v>
      </c>
      <c r="J46" s="20" t="s">
        <v>567</v>
      </c>
      <c r="K46" s="18" t="n">
        <v>0.57265236</v>
      </c>
      <c r="L46" s="20" t="n">
        <v>0.23620625</v>
      </c>
      <c r="M46" s="18" t="n">
        <v>0</v>
      </c>
      <c r="N46" s="20" t="n">
        <v>0</v>
      </c>
      <c r="O46" s="18" t="n">
        <v>0</v>
      </c>
      <c r="P46" s="20" t="n">
        <v>0</v>
      </c>
      <c r="Q46" s="18" t="n">
        <v>5.5520044</v>
      </c>
      <c r="R46" s="20" t="n">
        <v>0.65409902</v>
      </c>
    </row>
    <row r="47" spans="1:18">
      <c r="A47" s="15" t="s">
        <v>607</v>
      </c>
      <c r="B47" s="17" t="n">
        <v>3105</v>
      </c>
      <c r="C47" s="18">
        <f>(2452.0/B47*100)</f>
        <v/>
      </c>
      <c r="D47" s="19" t="n">
        <v>653</v>
      </c>
      <c r="E47" s="18" t="n">
        <v>82.90749443999999</v>
      </c>
      <c r="F47" s="20" t="n">
        <v>1.55316983</v>
      </c>
      <c r="G47" s="18" t="n">
        <v>13.22515817</v>
      </c>
      <c r="H47" s="20" t="n">
        <v>1.55384306</v>
      </c>
      <c r="I47" s="18" t="s">
        <v>567</v>
      </c>
      <c r="J47" s="20" t="s">
        <v>567</v>
      </c>
      <c r="K47" s="18" t="n">
        <v>0.14172617</v>
      </c>
      <c r="L47" s="20" t="n">
        <v>0.14238116</v>
      </c>
      <c r="M47" s="18" t="n">
        <v>0</v>
      </c>
      <c r="N47" s="20" t="n">
        <v>0</v>
      </c>
      <c r="O47" s="18" t="n">
        <v>0</v>
      </c>
      <c r="P47" s="20" t="n">
        <v>0</v>
      </c>
      <c r="Q47" s="18" t="n">
        <v>3.72562122</v>
      </c>
      <c r="R47" s="20" t="n">
        <v>0.985487</v>
      </c>
    </row>
    <row r="48" spans="1:18">
      <c r="A48" s="15" t="s">
        <v>608</v>
      </c>
      <c r="B48" s="17" t="n">
        <v>5159</v>
      </c>
      <c r="C48" s="18">
        <f>(4041.0/B48*100)</f>
        <v/>
      </c>
      <c r="D48" s="19" t="n">
        <v>1118</v>
      </c>
      <c r="E48" s="18" t="n">
        <v>69.25108097</v>
      </c>
      <c r="F48" s="20" t="n">
        <v>2.02037895</v>
      </c>
      <c r="G48" s="18" t="n">
        <v>29.27490905</v>
      </c>
      <c r="H48" s="20" t="n">
        <v>2.03784787</v>
      </c>
      <c r="I48" s="18" t="s">
        <v>567</v>
      </c>
      <c r="J48" s="20" t="s">
        <v>567</v>
      </c>
      <c r="K48" s="18" t="n">
        <v>0.43145817</v>
      </c>
      <c r="L48" s="20" t="n">
        <v>0.31884772</v>
      </c>
      <c r="M48" s="18" t="n">
        <v>0</v>
      </c>
      <c r="N48" s="20" t="n">
        <v>0</v>
      </c>
      <c r="O48" s="18" t="n">
        <v>0</v>
      </c>
      <c r="P48" s="20" t="n">
        <v>0</v>
      </c>
      <c r="Q48" s="18" t="n">
        <v>1.04255181</v>
      </c>
      <c r="R48" s="20" t="n">
        <v>0.37305944</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(4444.0/B50*100)</f>
        <v/>
      </c>
      <c r="D50" s="19" t="n">
        <v>1193</v>
      </c>
      <c r="E50" s="18" t="n">
        <v>82.99368362</v>
      </c>
      <c r="F50" s="20" t="n">
        <v>1.22805047</v>
      </c>
      <c r="G50" s="18" t="n">
        <v>14.12759421</v>
      </c>
      <c r="H50" s="20" t="n">
        <v>1.13744654</v>
      </c>
      <c r="I50" s="18" t="s">
        <v>567</v>
      </c>
      <c r="J50" s="20" t="s">
        <v>567</v>
      </c>
      <c r="K50" s="18" t="n">
        <v>1.40340652</v>
      </c>
      <c r="L50" s="20" t="n">
        <v>0.64733717</v>
      </c>
      <c r="M50" s="18" t="n">
        <v>0</v>
      </c>
      <c r="N50" s="20" t="n">
        <v>0</v>
      </c>
      <c r="O50" s="18" t="n">
        <v>0</v>
      </c>
      <c r="P50" s="20" t="n">
        <v>0</v>
      </c>
      <c r="Q50" s="18" t="n">
        <v>1.47531564</v>
      </c>
      <c r="R50" s="20" t="n">
        <v>0.37935097</v>
      </c>
    </row>
    <row r="51" spans="1:18">
      <c r="A51" s="15" t="s">
        <v>611</v>
      </c>
      <c r="B51" s="17" t="n">
        <v>3372</v>
      </c>
      <c r="C51" s="18">
        <f>(2720.0/B51*100)</f>
        <v/>
      </c>
      <c r="D51" s="19" t="n">
        <v>652</v>
      </c>
      <c r="E51" s="18" t="n">
        <v>82.06688762</v>
      </c>
      <c r="F51" s="20" t="n">
        <v>1.38562269</v>
      </c>
      <c r="G51" s="18" t="n">
        <v>13.90900042</v>
      </c>
      <c r="H51" s="20" t="n">
        <v>1.38721053</v>
      </c>
      <c r="I51" s="18" t="s">
        <v>567</v>
      </c>
      <c r="J51" s="20" t="s">
        <v>567</v>
      </c>
      <c r="K51" s="18" t="n">
        <v>0.5989222</v>
      </c>
      <c r="L51" s="20" t="n">
        <v>0.30587249</v>
      </c>
      <c r="M51" s="18" t="n">
        <v>0</v>
      </c>
      <c r="N51" s="20" t="n">
        <v>0</v>
      </c>
      <c r="O51" s="18" t="n">
        <v>0</v>
      </c>
      <c r="P51" s="20" t="n">
        <v>0</v>
      </c>
      <c r="Q51" s="18" t="n">
        <v>3.42518976</v>
      </c>
      <c r="R51" s="20" t="n">
        <v>0.7042751900000001</v>
      </c>
    </row>
    <row r="52" spans="1:18">
      <c r="A52" s="15" t="s">
        <v>612</v>
      </c>
      <c r="B52" s="17" t="n">
        <v>2796</v>
      </c>
      <c r="C52" s="18">
        <f>(2177.0/B52*100)</f>
        <v/>
      </c>
      <c r="D52" s="19" t="n">
        <v>619</v>
      </c>
      <c r="E52" s="18" t="n">
        <v>72.16268613</v>
      </c>
      <c r="F52" s="20" t="n">
        <v>2.04789767</v>
      </c>
      <c r="G52" s="18" t="n">
        <v>25.64018794</v>
      </c>
      <c r="H52" s="20" t="n">
        <v>1.88919581</v>
      </c>
      <c r="I52" s="18" t="s">
        <v>567</v>
      </c>
      <c r="J52" s="20" t="s">
        <v>567</v>
      </c>
      <c r="K52" s="18" t="n">
        <v>0</v>
      </c>
      <c r="L52" s="20" t="n">
        <v>0</v>
      </c>
      <c r="M52" s="18" t="n">
        <v>0</v>
      </c>
      <c r="N52" s="20" t="n">
        <v>0</v>
      </c>
      <c r="O52" s="18" t="n">
        <v>0</v>
      </c>
      <c r="P52" s="20" t="n">
        <v>0</v>
      </c>
      <c r="Q52" s="18" t="n">
        <v>2.19712593</v>
      </c>
      <c r="R52" s="20" t="n">
        <v>0.5230264</v>
      </c>
    </row>
    <row r="53" spans="1:18">
      <c r="A53" s="15" t="s">
        <v>613</v>
      </c>
      <c r="B53" s="17" t="n">
        <v>2811</v>
      </c>
      <c r="C53" s="18">
        <f>(2188.0/B53*100)</f>
        <v/>
      </c>
      <c r="D53" s="19" t="n">
        <v>623</v>
      </c>
      <c r="E53" s="18" t="n">
        <v>85.05959896</v>
      </c>
      <c r="F53" s="20" t="n">
        <v>1.47823782</v>
      </c>
      <c r="G53" s="18" t="n">
        <v>12.68818616</v>
      </c>
      <c r="H53" s="20" t="n">
        <v>1.2989582</v>
      </c>
      <c r="I53" s="18" t="s">
        <v>567</v>
      </c>
      <c r="J53" s="20" t="s">
        <v>567</v>
      </c>
      <c r="K53" s="18" t="n">
        <v>0.35554852</v>
      </c>
      <c r="L53" s="20" t="n">
        <v>0.20556163</v>
      </c>
      <c r="M53" s="18" t="n">
        <v>0</v>
      </c>
      <c r="N53" s="20" t="n">
        <v>0</v>
      </c>
      <c r="O53" s="18" t="n">
        <v>0</v>
      </c>
      <c r="P53" s="20" t="n">
        <v>0</v>
      </c>
      <c r="Q53" s="18" t="n">
        <v>1.89666636</v>
      </c>
      <c r="R53" s="20" t="n">
        <v>0.60299053</v>
      </c>
    </row>
    <row r="54" spans="1:18">
      <c r="A54" s="15" t="s">
        <v>614</v>
      </c>
      <c r="B54" s="17" t="n">
        <v>2266</v>
      </c>
      <c r="C54" s="18">
        <f>(1764.0/B54*100)</f>
        <v/>
      </c>
      <c r="D54" s="19" t="n">
        <v>502</v>
      </c>
      <c r="E54" s="18" t="n">
        <v>76.50725426</v>
      </c>
      <c r="F54" s="20" t="n">
        <v>2.02301115</v>
      </c>
      <c r="G54" s="18" t="n">
        <v>10.17598909</v>
      </c>
      <c r="H54" s="20" t="n">
        <v>1.20841067</v>
      </c>
      <c r="I54" s="18" t="s">
        <v>567</v>
      </c>
      <c r="J54" s="20" t="s">
        <v>567</v>
      </c>
      <c r="K54" s="18" t="n">
        <v>9.73732145</v>
      </c>
      <c r="L54" s="20" t="n">
        <v>1.40928867</v>
      </c>
      <c r="M54" s="18" t="n">
        <v>0</v>
      </c>
      <c r="N54" s="20" t="n">
        <v>0</v>
      </c>
      <c r="O54" s="18" t="n">
        <v>0</v>
      </c>
      <c r="P54" s="20" t="n">
        <v>0</v>
      </c>
      <c r="Q54" s="18" t="n">
        <v>3.5794352</v>
      </c>
      <c r="R54" s="20" t="n">
        <v>0.87889166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(2078.0/B56*100)</f>
        <v/>
      </c>
      <c r="D56" s="19" t="n">
        <v>606</v>
      </c>
      <c r="E56" s="18" t="n">
        <v>73.60810511</v>
      </c>
      <c r="F56" s="20" t="n">
        <v>1.9212326</v>
      </c>
      <c r="G56" s="18" t="n">
        <v>25.36623563</v>
      </c>
      <c r="H56" s="20" t="n">
        <v>1.9519747</v>
      </c>
      <c r="I56" s="18" t="s">
        <v>567</v>
      </c>
      <c r="J56" s="20" t="s">
        <v>567</v>
      </c>
      <c r="K56" s="18" t="n">
        <v>0.32439375</v>
      </c>
      <c r="L56" s="20" t="n">
        <v>0.22922744</v>
      </c>
      <c r="M56" s="18" t="n">
        <v>0</v>
      </c>
      <c r="N56" s="20" t="n">
        <v>0</v>
      </c>
      <c r="O56" s="18" t="n">
        <v>0</v>
      </c>
      <c r="P56" s="20" t="n">
        <v>0</v>
      </c>
      <c r="Q56" s="18" t="n">
        <v>0.70126552</v>
      </c>
      <c r="R56" s="20" t="n">
        <v>0.3345502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(2586.0/B61*100)</f>
        <v/>
      </c>
      <c r="D61" s="19" t="n">
        <v>738</v>
      </c>
      <c r="E61" s="18" t="n">
        <v>85.60928346999999</v>
      </c>
      <c r="F61" s="20" t="n">
        <v>1.49462438</v>
      </c>
      <c r="G61" s="18" t="n">
        <v>12.20688223</v>
      </c>
      <c r="H61" s="20" t="n">
        <v>1.41371768</v>
      </c>
      <c r="I61" s="18" t="s">
        <v>567</v>
      </c>
      <c r="J61" s="20" t="s">
        <v>567</v>
      </c>
      <c r="K61" s="18" t="n">
        <v>0.2643164</v>
      </c>
      <c r="L61" s="20" t="n">
        <v>0.17945848</v>
      </c>
      <c r="M61" s="18" t="n">
        <v>0</v>
      </c>
      <c r="N61" s="20" t="n">
        <v>0</v>
      </c>
      <c r="O61" s="18" t="n">
        <v>0</v>
      </c>
      <c r="P61" s="20" t="n">
        <v>0</v>
      </c>
      <c r="Q61" s="18" t="n">
        <v>1.9195179</v>
      </c>
      <c r="R61" s="20" t="n">
        <v>0.55395641</v>
      </c>
    </row>
    <row r="62" spans="1:18">
      <c r="A62" s="15" t="s">
        <v>622</v>
      </c>
      <c r="B62" s="17" t="n">
        <v>2246</v>
      </c>
      <c r="C62" s="18">
        <f>(1741.0/B62*100)</f>
        <v/>
      </c>
      <c r="D62" s="19" t="n">
        <v>505</v>
      </c>
      <c r="E62" s="18" t="n">
        <v>79.76318667</v>
      </c>
      <c r="F62" s="20" t="n">
        <v>1.77713899</v>
      </c>
      <c r="G62" s="18" t="n">
        <v>19.63598294</v>
      </c>
      <c r="H62" s="20" t="n">
        <v>1.72466888</v>
      </c>
      <c r="I62" s="18" t="s">
        <v>567</v>
      </c>
      <c r="J62" s="20" t="s">
        <v>567</v>
      </c>
      <c r="K62" s="18" t="n">
        <v>0</v>
      </c>
      <c r="L62" s="20" t="n">
        <v>0</v>
      </c>
      <c r="M62" s="18" t="n">
        <v>0</v>
      </c>
      <c r="N62" s="20" t="n">
        <v>0</v>
      </c>
      <c r="O62" s="18" t="n">
        <v>0</v>
      </c>
      <c r="P62" s="20" t="n">
        <v>0</v>
      </c>
      <c r="Q62" s="18" t="n">
        <v>0.6008304</v>
      </c>
      <c r="R62" s="20" t="n">
        <v>0.34220475</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(2261.0/B66*100)</f>
        <v/>
      </c>
      <c r="D66" s="19" t="n">
        <v>633</v>
      </c>
      <c r="E66" s="18" t="n">
        <v>79.38573336</v>
      </c>
      <c r="F66" s="20" t="n">
        <v>1.46260517</v>
      </c>
      <c r="G66" s="18" t="n">
        <v>13.4577862</v>
      </c>
      <c r="H66" s="20" t="n">
        <v>1.21328572</v>
      </c>
      <c r="I66" s="18" t="s">
        <v>567</v>
      </c>
      <c r="J66" s="20" t="s">
        <v>567</v>
      </c>
      <c r="K66" s="18" t="n">
        <v>0.50997181</v>
      </c>
      <c r="L66" s="20" t="n">
        <v>0.3020733</v>
      </c>
      <c r="M66" s="18" t="n">
        <v>0</v>
      </c>
      <c r="N66" s="20" t="n">
        <v>0</v>
      </c>
      <c r="O66" s="18" t="n">
        <v>0</v>
      </c>
      <c r="P66" s="20" t="n">
        <v>0</v>
      </c>
      <c r="Q66" s="18" t="n">
        <v>6.64650863</v>
      </c>
      <c r="R66" s="20" t="n">
        <v>0.85006081</v>
      </c>
    </row>
    <row r="67" spans="1:18">
      <c r="A67" s="15" t="s">
        <v>627</v>
      </c>
      <c r="B67" s="17" t="n">
        <v>3511</v>
      </c>
      <c r="C67" s="18">
        <f>(2788.0/B67*100)</f>
        <v/>
      </c>
      <c r="D67" s="19" t="n">
        <v>723</v>
      </c>
      <c r="E67" s="18" t="n">
        <v>84.31299798000001</v>
      </c>
      <c r="F67" s="20" t="n">
        <v>1.48588552</v>
      </c>
      <c r="G67" s="18" t="n">
        <v>12.88075461</v>
      </c>
      <c r="H67" s="20" t="n">
        <v>1.34164518</v>
      </c>
      <c r="I67" s="18" t="s">
        <v>567</v>
      </c>
      <c r="J67" s="20" t="s">
        <v>567</v>
      </c>
      <c r="K67" s="18" t="n">
        <v>0</v>
      </c>
      <c r="L67" s="20" t="n">
        <v>0</v>
      </c>
      <c r="M67" s="18" t="n">
        <v>0</v>
      </c>
      <c r="N67" s="20" t="n">
        <v>0</v>
      </c>
      <c r="O67" s="18" t="n">
        <v>0</v>
      </c>
      <c r="P67" s="20" t="n">
        <v>0</v>
      </c>
      <c r="Q67" s="18" t="n">
        <v>2.80624741</v>
      </c>
      <c r="R67" s="20" t="n">
        <v>0.74812187</v>
      </c>
    </row>
    <row r="68" spans="1:18">
      <c r="A68" s="15" t="s">
        <v>628</v>
      </c>
      <c r="B68" s="17" t="n">
        <v>6049</v>
      </c>
      <c r="C68" s="18">
        <f>(4721.0/B68*100)</f>
        <v/>
      </c>
      <c r="D68" s="19" t="n">
        <v>1328</v>
      </c>
      <c r="E68" s="18" t="n">
        <v>84.54540962</v>
      </c>
      <c r="F68" s="20" t="n">
        <v>1.20992931</v>
      </c>
      <c r="G68" s="18" t="n">
        <v>9.37810105</v>
      </c>
      <c r="H68" s="20" t="n">
        <v>0.95491879</v>
      </c>
      <c r="I68" s="18" t="s">
        <v>567</v>
      </c>
      <c r="J68" s="20" t="s">
        <v>567</v>
      </c>
      <c r="K68" s="18" t="n">
        <v>1.72872949</v>
      </c>
      <c r="L68" s="20" t="n">
        <v>0.39032852</v>
      </c>
      <c r="M68" s="18" t="n">
        <v>0</v>
      </c>
      <c r="N68" s="20" t="n">
        <v>0</v>
      </c>
      <c r="O68" s="18" t="n">
        <v>0</v>
      </c>
      <c r="P68" s="20" t="n">
        <v>0</v>
      </c>
      <c r="Q68" s="18" t="n">
        <v>4.34775984</v>
      </c>
      <c r="R68" s="20" t="n">
        <v>0.60552002</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(2292.0/B70*100)</f>
        <v/>
      </c>
      <c r="D70" s="19" t="n">
        <v>637</v>
      </c>
      <c r="E70" s="18" t="n">
        <v>87.72279417</v>
      </c>
      <c r="F70" s="20" t="n">
        <v>1.24483069</v>
      </c>
      <c r="G70" s="18" t="n">
        <v>9.21684368</v>
      </c>
      <c r="H70" s="20" t="n">
        <v>0.97818063</v>
      </c>
      <c r="I70" s="18" t="s">
        <v>567</v>
      </c>
      <c r="J70" s="20" t="s">
        <v>567</v>
      </c>
      <c r="K70" s="18" t="n">
        <v>0.14475016</v>
      </c>
      <c r="L70" s="20" t="n">
        <v>0.14158004</v>
      </c>
      <c r="M70" s="18" t="n">
        <v>0</v>
      </c>
      <c r="N70" s="20" t="n">
        <v>0</v>
      </c>
      <c r="O70" s="18" t="n">
        <v>0</v>
      </c>
      <c r="P70" s="20" t="n">
        <v>0</v>
      </c>
      <c r="Q70" s="18" t="n">
        <v>2.91561199</v>
      </c>
      <c r="R70" s="20" t="n">
        <v>0.83171129</v>
      </c>
    </row>
    <row r="71" spans="1:18">
      <c r="A71" s="15" t="s">
        <v>631</v>
      </c>
      <c r="B71" s="17" t="n">
        <v>3142</v>
      </c>
      <c r="C71" s="18">
        <f>(2447.0/B71*100)</f>
        <v/>
      </c>
      <c r="D71" s="19" t="n">
        <v>695</v>
      </c>
      <c r="E71" s="18" t="n">
        <v>75.11821070000001</v>
      </c>
      <c r="F71" s="20" t="n">
        <v>1.5272278</v>
      </c>
      <c r="G71" s="18" t="n">
        <v>23.73274056</v>
      </c>
      <c r="H71" s="20" t="n">
        <v>1.53154778</v>
      </c>
      <c r="I71" s="18" t="s">
        <v>567</v>
      </c>
      <c r="J71" s="20" t="s">
        <v>567</v>
      </c>
      <c r="K71" s="18" t="n">
        <v>0</v>
      </c>
      <c r="L71" s="20" t="n">
        <v>0</v>
      </c>
      <c r="M71" s="18" t="n">
        <v>0</v>
      </c>
      <c r="N71" s="20" t="n">
        <v>0</v>
      </c>
      <c r="O71" s="18" t="n">
        <v>0</v>
      </c>
      <c r="P71" s="20" t="n">
        <v>0</v>
      </c>
      <c r="Q71" s="18" t="n">
        <v>1.14904875</v>
      </c>
      <c r="R71" s="20" t="n">
        <v>0.41834118</v>
      </c>
    </row>
    <row r="72" spans="1:18">
      <c r="A72" s="15" t="s">
        <v>632</v>
      </c>
      <c r="B72" s="17" t="n">
        <v>3889</v>
      </c>
      <c r="C72" s="18">
        <f>(2989.0/B72*100)</f>
        <v/>
      </c>
      <c r="D72" s="19" t="n">
        <v>900</v>
      </c>
      <c r="E72" s="18" t="n">
        <v>66.76685209999999</v>
      </c>
      <c r="F72" s="20" t="n">
        <v>1.80363664</v>
      </c>
      <c r="G72" s="18" t="n">
        <v>31.88284748</v>
      </c>
      <c r="H72" s="20" t="n">
        <v>1.79438311</v>
      </c>
      <c r="I72" s="18" t="s">
        <v>567</v>
      </c>
      <c r="J72" s="20" t="s">
        <v>567</v>
      </c>
      <c r="K72" s="18" t="n">
        <v>0</v>
      </c>
      <c r="L72" s="20" t="n">
        <v>0</v>
      </c>
      <c r="M72" s="18" t="n">
        <v>0</v>
      </c>
      <c r="N72" s="20" t="n">
        <v>0</v>
      </c>
      <c r="O72" s="18" t="n">
        <v>0</v>
      </c>
      <c r="P72" s="20" t="n">
        <v>0</v>
      </c>
      <c r="Q72" s="18" t="n">
        <v>1.35030042</v>
      </c>
      <c r="R72" s="20" t="n">
        <v>0.43855341</v>
      </c>
    </row>
    <row r="73" spans="1:18">
      <c r="A73" s="15" t="s">
        <v>633</v>
      </c>
      <c r="B73" s="17" t="n">
        <v>3597</v>
      </c>
      <c r="C73" s="18">
        <f>(2836.0/B73*100)</f>
        <v/>
      </c>
      <c r="D73" s="19" t="n">
        <v>761</v>
      </c>
      <c r="E73" s="18" t="n">
        <v>81.4973919</v>
      </c>
      <c r="F73" s="20" t="n">
        <v>1.78569384</v>
      </c>
      <c r="G73" s="18" t="n">
        <v>14.97972948</v>
      </c>
      <c r="H73" s="20" t="n">
        <v>1.66746727</v>
      </c>
      <c r="I73" s="18" t="s">
        <v>567</v>
      </c>
      <c r="J73" s="20" t="s">
        <v>567</v>
      </c>
      <c r="K73" s="18" t="n">
        <v>0</v>
      </c>
      <c r="L73" s="20" t="n">
        <v>0</v>
      </c>
      <c r="M73" s="18" t="n">
        <v>0</v>
      </c>
      <c r="N73" s="20" t="n">
        <v>0</v>
      </c>
      <c r="O73" s="18" t="n">
        <v>0</v>
      </c>
      <c r="P73" s="20" t="n">
        <v>0</v>
      </c>
      <c r="Q73" s="18" t="n">
        <v>3.52287862</v>
      </c>
      <c r="R73" s="20" t="n">
        <v>0.94269362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(1930.0/B75*100)</f>
        <v/>
      </c>
      <c r="D75" s="19" t="n">
        <v>476</v>
      </c>
      <c r="E75" s="18" t="n">
        <v>80.78259672</v>
      </c>
      <c r="F75" s="20" t="n">
        <v>1.828661</v>
      </c>
      <c r="G75" s="18" t="n">
        <v>14.91244545</v>
      </c>
      <c r="H75" s="20" t="n">
        <v>1.585065</v>
      </c>
      <c r="I75" s="18" t="s">
        <v>567</v>
      </c>
      <c r="J75" s="20" t="s">
        <v>567</v>
      </c>
      <c r="K75" s="18" t="n">
        <v>2.22416099</v>
      </c>
      <c r="L75" s="20" t="n">
        <v>0.83188428</v>
      </c>
      <c r="M75" s="18" t="n">
        <v>0</v>
      </c>
      <c r="N75" s="20" t="n">
        <v>0</v>
      </c>
      <c r="O75" s="18" t="n">
        <v>0</v>
      </c>
      <c r="P75" s="20" t="n">
        <v>0</v>
      </c>
      <c r="Q75" s="18" t="n">
        <v>2.08079684</v>
      </c>
      <c r="R75" s="20" t="n">
        <v>0.65474502</v>
      </c>
    </row>
    <row r="76" spans="1:18">
      <c r="A76" s="15" t="s">
        <v>636</v>
      </c>
      <c r="B76" s="17" t="n">
        <v>7052</v>
      </c>
      <c r="C76" s="18">
        <f>(5542.0/B76*100)</f>
        <v/>
      </c>
      <c r="D76" s="19" t="n">
        <v>1510</v>
      </c>
      <c r="E76" s="18" t="n">
        <v>85.82372305</v>
      </c>
      <c r="F76" s="20" t="n">
        <v>1.0186642</v>
      </c>
      <c r="G76" s="18" t="n">
        <v>9.61680951</v>
      </c>
      <c r="H76" s="20" t="n">
        <v>0.85753203</v>
      </c>
      <c r="I76" s="18" t="s">
        <v>567</v>
      </c>
      <c r="J76" s="20" t="s">
        <v>567</v>
      </c>
      <c r="K76" s="18" t="n">
        <v>1.21388393</v>
      </c>
      <c r="L76" s="20" t="n">
        <v>0.35248574</v>
      </c>
      <c r="M76" s="18" t="n">
        <v>0</v>
      </c>
      <c r="N76" s="20" t="n">
        <v>0</v>
      </c>
      <c r="O76" s="18" t="n">
        <v>0</v>
      </c>
      <c r="P76" s="20" t="n">
        <v>0</v>
      </c>
      <c r="Q76" s="18" t="n">
        <v>3.3455835</v>
      </c>
      <c r="R76" s="20" t="n">
        <v>0.69516097</v>
      </c>
    </row>
    <row r="77" spans="1:18">
      <c r="A77" s="15" t="s">
        <v>637</v>
      </c>
      <c r="B77" s="17" t="n">
        <v>2908</v>
      </c>
      <c r="C77" s="18">
        <f>(2289.0/B77*100)</f>
        <v/>
      </c>
      <c r="D77" s="19" t="n">
        <v>619</v>
      </c>
      <c r="E77" s="18" t="n">
        <v>81.17382967</v>
      </c>
      <c r="F77" s="20" t="n">
        <v>1.69403939</v>
      </c>
      <c r="G77" s="18" t="n">
        <v>14.19931895</v>
      </c>
      <c r="H77" s="20" t="n">
        <v>1.61285884</v>
      </c>
      <c r="I77" s="18" t="s">
        <v>567</v>
      </c>
      <c r="J77" s="20" t="s">
        <v>567</v>
      </c>
      <c r="K77" s="18" t="n">
        <v>1.18325176</v>
      </c>
      <c r="L77" s="20" t="n">
        <v>0.4099786</v>
      </c>
      <c r="M77" s="18" t="n">
        <v>0</v>
      </c>
      <c r="N77" s="20" t="n">
        <v>0</v>
      </c>
      <c r="O77" s="18" t="n">
        <v>0</v>
      </c>
      <c r="P77" s="20" t="n">
        <v>0</v>
      </c>
      <c r="Q77" s="18" t="n">
        <v>3.44359961</v>
      </c>
      <c r="R77" s="20" t="n">
        <v>0.77395252</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(3255.0/B81*100)</f>
        <v/>
      </c>
      <c r="D81" s="19" t="n">
        <v>908</v>
      </c>
      <c r="E81" s="18" t="n">
        <v>90.88050758999999</v>
      </c>
      <c r="F81" s="20" t="n">
        <v>1.15906327</v>
      </c>
      <c r="G81" s="18" t="n">
        <v>8.601619899999999</v>
      </c>
      <c r="H81" s="20" t="n">
        <v>1.10781447</v>
      </c>
      <c r="I81" s="18" t="s">
        <v>567</v>
      </c>
      <c r="J81" s="20" t="s">
        <v>567</v>
      </c>
      <c r="K81" s="18" t="n">
        <v>0.15136944</v>
      </c>
      <c r="L81" s="20" t="n">
        <v>0.15147924</v>
      </c>
      <c r="M81" s="18" t="n">
        <v>0</v>
      </c>
      <c r="N81" s="20" t="n">
        <v>0</v>
      </c>
      <c r="O81" s="18" t="n">
        <v>0</v>
      </c>
      <c r="P81" s="20" t="n">
        <v>0</v>
      </c>
      <c r="Q81" s="18" t="n">
        <v>0.36650307</v>
      </c>
      <c r="R81" s="20" t="n">
        <v>0.24495589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(5727.0/B7*100)</f>
        <v/>
      </c>
      <c r="D7" s="19" t="n">
        <v>1640</v>
      </c>
      <c r="E7" s="18" t="n">
        <v>51.41352433</v>
      </c>
      <c r="F7" s="20" t="n">
        <v>1.46736365</v>
      </c>
      <c r="G7" s="18" t="n">
        <v>47.51825473</v>
      </c>
      <c r="H7" s="20" t="n">
        <v>1.49768533</v>
      </c>
      <c r="I7" s="18" t="s">
        <v>567</v>
      </c>
      <c r="J7" s="20" t="s">
        <v>567</v>
      </c>
      <c r="K7" s="18" t="n">
        <v>0.13774982</v>
      </c>
      <c r="L7" s="20" t="n">
        <v>0.07920438</v>
      </c>
      <c r="M7" s="18" t="n">
        <v>0</v>
      </c>
      <c r="N7" s="20" t="n">
        <v>0</v>
      </c>
      <c r="O7" s="18" t="n">
        <v>0</v>
      </c>
      <c r="P7" s="20" t="n">
        <v>0</v>
      </c>
      <c r="Q7" s="18" t="n">
        <v>0.93047112</v>
      </c>
      <c r="R7" s="20" t="n">
        <v>0.24885131</v>
      </c>
    </row>
    <row r="8" spans="1:18">
      <c r="A8" s="15" t="s">
        <v>568</v>
      </c>
      <c r="B8" s="17" t="n">
        <v>3564</v>
      </c>
      <c r="C8" s="18">
        <f>(2772.0/B8*100)</f>
        <v/>
      </c>
      <c r="D8" s="19" t="n">
        <v>792</v>
      </c>
      <c r="E8" s="18" t="n">
        <v>45.96076406</v>
      </c>
      <c r="F8" s="20" t="n">
        <v>2.17093323</v>
      </c>
      <c r="G8" s="18" t="n">
        <v>52.39710192</v>
      </c>
      <c r="H8" s="20" t="n">
        <v>2.15898321</v>
      </c>
      <c r="I8" s="18" t="s">
        <v>567</v>
      </c>
      <c r="J8" s="20" t="s">
        <v>567</v>
      </c>
      <c r="K8" s="18" t="n">
        <v>0.14937578</v>
      </c>
      <c r="L8" s="20" t="n">
        <v>0.14480157</v>
      </c>
      <c r="M8" s="18" t="n">
        <v>0</v>
      </c>
      <c r="N8" s="20" t="n">
        <v>0</v>
      </c>
      <c r="O8" s="18" t="n">
        <v>0</v>
      </c>
      <c r="P8" s="20" t="n">
        <v>0</v>
      </c>
      <c r="Q8" s="18" t="n">
        <v>1.49275824</v>
      </c>
      <c r="R8" s="20" t="n">
        <v>0.47999766</v>
      </c>
    </row>
    <row r="9" spans="1:18">
      <c r="A9" s="15" t="s">
        <v>569</v>
      </c>
      <c r="B9" s="17" t="n">
        <v>4899</v>
      </c>
      <c r="C9" s="18">
        <f>(3866.0/B9*100)</f>
        <v/>
      </c>
      <c r="D9" s="19" t="n">
        <v>1033</v>
      </c>
      <c r="E9" s="18" t="n">
        <v>53.15224326</v>
      </c>
      <c r="F9" s="20" t="n">
        <v>1.5731662</v>
      </c>
      <c r="G9" s="18" t="n">
        <v>45.4834666</v>
      </c>
      <c r="H9" s="20" t="n">
        <v>1.59320783</v>
      </c>
      <c r="I9" s="18" t="s">
        <v>567</v>
      </c>
      <c r="J9" s="20" t="s">
        <v>567</v>
      </c>
      <c r="K9" s="18" t="n">
        <v>0.09597567999999999</v>
      </c>
      <c r="L9" s="20" t="n">
        <v>0.09572256</v>
      </c>
      <c r="M9" s="18" t="n">
        <v>0</v>
      </c>
      <c r="N9" s="20" t="n">
        <v>0</v>
      </c>
      <c r="O9" s="18" t="n">
        <v>0</v>
      </c>
      <c r="P9" s="20" t="n">
        <v>0</v>
      </c>
      <c r="Q9" s="18" t="n">
        <v>1.26831446</v>
      </c>
      <c r="R9" s="20" t="n">
        <v>0.35110015</v>
      </c>
    </row>
    <row r="10" spans="1:18">
      <c r="A10" s="15" t="s">
        <v>570</v>
      </c>
      <c r="B10" s="17" t="n">
        <v>10036</v>
      </c>
      <c r="C10" s="18">
        <f>(7791.0/B10*100)</f>
        <v/>
      </c>
      <c r="D10" s="19" t="n">
        <v>2245</v>
      </c>
      <c r="E10" s="18" t="n">
        <v>46.2912938</v>
      </c>
      <c r="F10" s="20" t="n">
        <v>1.69663446</v>
      </c>
      <c r="G10" s="18" t="n">
        <v>52.48943621</v>
      </c>
      <c r="H10" s="20" t="n">
        <v>1.67068296</v>
      </c>
      <c r="I10" s="18" t="s">
        <v>567</v>
      </c>
      <c r="J10" s="20" t="s">
        <v>567</v>
      </c>
      <c r="K10" s="18" t="n">
        <v>0.38026673</v>
      </c>
      <c r="L10" s="20" t="n">
        <v>0.20037053</v>
      </c>
      <c r="M10" s="18" t="n">
        <v>0</v>
      </c>
      <c r="N10" s="20" t="n">
        <v>0</v>
      </c>
      <c r="O10" s="18" t="n">
        <v>0</v>
      </c>
      <c r="P10" s="20" t="n">
        <v>0</v>
      </c>
      <c r="Q10" s="18" t="n">
        <v>0.83900326</v>
      </c>
      <c r="R10" s="20" t="n">
        <v>0.28352127</v>
      </c>
    </row>
    <row r="11" spans="1:18">
      <c r="A11" s="15" t="s">
        <v>571</v>
      </c>
      <c r="B11" s="17" t="n">
        <v>3553</v>
      </c>
      <c r="C11" s="18">
        <f>(2793.0/B11*100)</f>
        <v/>
      </c>
      <c r="D11" s="19" t="n">
        <v>760</v>
      </c>
      <c r="E11" s="18" t="n">
        <v>57.59641365</v>
      </c>
      <c r="F11" s="20" t="n">
        <v>1.87164168</v>
      </c>
      <c r="G11" s="18" t="n">
        <v>38.17408948</v>
      </c>
      <c r="H11" s="20" t="n">
        <v>2.06568958</v>
      </c>
      <c r="I11" s="18" t="s">
        <v>567</v>
      </c>
      <c r="J11" s="20" t="s">
        <v>567</v>
      </c>
      <c r="K11" s="18" t="n">
        <v>1.45906073</v>
      </c>
      <c r="L11" s="20" t="n">
        <v>0.58215461</v>
      </c>
      <c r="M11" s="18" t="n">
        <v>0</v>
      </c>
      <c r="N11" s="20" t="n">
        <v>0</v>
      </c>
      <c r="O11" s="18" t="n">
        <v>0</v>
      </c>
      <c r="P11" s="20" t="n">
        <v>0</v>
      </c>
      <c r="Q11" s="18" t="n">
        <v>2.77043614</v>
      </c>
      <c r="R11" s="20" t="n">
        <v>0.94334483</v>
      </c>
    </row>
    <row r="12" spans="1:18">
      <c r="A12" s="15" t="s">
        <v>572</v>
      </c>
      <c r="B12" s="17" t="n">
        <v>3472</v>
      </c>
      <c r="C12" s="18">
        <f>(2716.0/B12*100)</f>
        <v/>
      </c>
      <c r="D12" s="19" t="n">
        <v>756</v>
      </c>
      <c r="E12" s="18" t="n">
        <v>62.57157153</v>
      </c>
      <c r="F12" s="20" t="n">
        <v>1.84634015</v>
      </c>
      <c r="G12" s="18" t="n">
        <v>36.46587615</v>
      </c>
      <c r="H12" s="20" t="n">
        <v>1.82885986</v>
      </c>
      <c r="I12" s="18" t="s">
        <v>567</v>
      </c>
      <c r="J12" s="20" t="s">
        <v>567</v>
      </c>
      <c r="K12" s="18" t="n">
        <v>0.1236164</v>
      </c>
      <c r="L12" s="20" t="n">
        <v>0.12670937</v>
      </c>
      <c r="M12" s="18" t="n">
        <v>0</v>
      </c>
      <c r="N12" s="20" t="n">
        <v>0</v>
      </c>
      <c r="O12" s="18" t="n">
        <v>0</v>
      </c>
      <c r="P12" s="20" t="n">
        <v>0</v>
      </c>
      <c r="Q12" s="18" t="n">
        <v>0.8389359199999999</v>
      </c>
      <c r="R12" s="20" t="n">
        <v>0.35171672</v>
      </c>
    </row>
    <row r="13" spans="1:18">
      <c r="A13" s="15" t="s">
        <v>573</v>
      </c>
      <c r="B13" s="17" t="n">
        <v>3559</v>
      </c>
      <c r="C13" s="18">
        <f>(2789.0/B13*100)</f>
        <v/>
      </c>
      <c r="D13" s="19" t="n">
        <v>770</v>
      </c>
      <c r="E13" s="18" t="n">
        <v>55.4932692</v>
      </c>
      <c r="F13" s="20" t="n">
        <v>1.94357064</v>
      </c>
      <c r="G13" s="18" t="n">
        <v>43.80884734</v>
      </c>
      <c r="H13" s="20" t="n">
        <v>1.92389737</v>
      </c>
      <c r="I13" s="18" t="s">
        <v>567</v>
      </c>
      <c r="J13" s="20" t="s">
        <v>567</v>
      </c>
      <c r="K13" s="18" t="n">
        <v>0.07656928</v>
      </c>
      <c r="L13" s="20" t="n">
        <v>0.07722803</v>
      </c>
      <c r="M13" s="18" t="n">
        <v>0</v>
      </c>
      <c r="N13" s="20" t="n">
        <v>0</v>
      </c>
      <c r="O13" s="18" t="n">
        <v>0</v>
      </c>
      <c r="P13" s="20" t="n">
        <v>0</v>
      </c>
      <c r="Q13" s="18" t="n">
        <v>0.62131418</v>
      </c>
      <c r="R13" s="20" t="n">
        <v>0.26629091</v>
      </c>
    </row>
    <row r="14" spans="1:18">
      <c r="A14" s="15" t="s">
        <v>574</v>
      </c>
      <c r="B14" s="17" t="n">
        <v>2799</v>
      </c>
      <c r="C14" s="18">
        <f>(2216.0/B14*100)</f>
        <v/>
      </c>
      <c r="D14" s="19" t="n">
        <v>583</v>
      </c>
      <c r="E14" s="18" t="n">
        <v>47.29335512</v>
      </c>
      <c r="F14" s="20" t="n">
        <v>2.46463586</v>
      </c>
      <c r="G14" s="18" t="n">
        <v>51.79824767</v>
      </c>
      <c r="H14" s="20" t="n">
        <v>2.43889029</v>
      </c>
      <c r="I14" s="18" t="s">
        <v>567</v>
      </c>
      <c r="J14" s="20" t="s">
        <v>567</v>
      </c>
      <c r="K14" s="18" t="n">
        <v>0.14259029</v>
      </c>
      <c r="L14" s="20" t="n">
        <v>0.14252487</v>
      </c>
      <c r="M14" s="18" t="n">
        <v>0</v>
      </c>
      <c r="N14" s="20" t="n">
        <v>0</v>
      </c>
      <c r="O14" s="18" t="n">
        <v>0</v>
      </c>
      <c r="P14" s="20" t="n">
        <v>0</v>
      </c>
      <c r="Q14" s="18" t="n">
        <v>0.7658069199999999</v>
      </c>
      <c r="R14" s="20" t="n">
        <v>0.45489865</v>
      </c>
    </row>
    <row r="15" spans="1:18">
      <c r="A15" s="15" t="s">
        <v>575</v>
      </c>
      <c r="B15" s="17" t="n">
        <v>3019</v>
      </c>
      <c r="C15" s="18">
        <f>(2375.0/B15*100)</f>
        <v/>
      </c>
      <c r="D15" s="19" t="n">
        <v>644</v>
      </c>
      <c r="E15" s="18" t="n">
        <v>57.33784497</v>
      </c>
      <c r="F15" s="20" t="n">
        <v>1.98942584</v>
      </c>
      <c r="G15" s="18" t="n">
        <v>41.82583635</v>
      </c>
      <c r="H15" s="20" t="n">
        <v>2.04128739</v>
      </c>
      <c r="I15" s="18" t="s">
        <v>567</v>
      </c>
      <c r="J15" s="20" t="s">
        <v>567</v>
      </c>
      <c r="K15" s="18" t="n">
        <v>0.18537826</v>
      </c>
      <c r="L15" s="20" t="n">
        <v>0.19566812</v>
      </c>
      <c r="M15" s="18" t="n">
        <v>0</v>
      </c>
      <c r="N15" s="20" t="n">
        <v>0</v>
      </c>
      <c r="O15" s="18" t="n">
        <v>0</v>
      </c>
      <c r="P15" s="20" t="n">
        <v>0</v>
      </c>
      <c r="Q15" s="18" t="n">
        <v>0.65094042</v>
      </c>
      <c r="R15" s="20" t="n">
        <v>0.33903814</v>
      </c>
    </row>
    <row r="16" spans="1:18">
      <c r="A16" s="15" t="s">
        <v>576</v>
      </c>
      <c r="B16" s="17" t="n">
        <v>2997</v>
      </c>
      <c r="C16" s="18">
        <f>(2365.0/B16*100)</f>
        <v/>
      </c>
      <c r="D16" s="19" t="n">
        <v>632</v>
      </c>
      <c r="E16" s="18" t="n">
        <v>42.90897551</v>
      </c>
      <c r="F16" s="20" t="n">
        <v>1.89974738</v>
      </c>
      <c r="G16" s="18" t="n">
        <v>54.03135522</v>
      </c>
      <c r="H16" s="20" t="n">
        <v>1.92751758</v>
      </c>
      <c r="I16" s="18" t="s">
        <v>567</v>
      </c>
      <c r="J16" s="20" t="s">
        <v>567</v>
      </c>
      <c r="K16" s="18" t="n">
        <v>0.7228297</v>
      </c>
      <c r="L16" s="20" t="n">
        <v>0.28884128</v>
      </c>
      <c r="M16" s="18" t="n">
        <v>0</v>
      </c>
      <c r="N16" s="20" t="n">
        <v>0</v>
      </c>
      <c r="O16" s="18" t="n">
        <v>0</v>
      </c>
      <c r="P16" s="20" t="n">
        <v>0</v>
      </c>
      <c r="Q16" s="18" t="n">
        <v>2.33683956</v>
      </c>
      <c r="R16" s="20" t="n">
        <v>0.63866108</v>
      </c>
    </row>
    <row r="17" spans="1:18">
      <c r="A17" s="15" t="s">
        <v>577</v>
      </c>
      <c r="B17" s="17" t="n">
        <v>3307</v>
      </c>
      <c r="C17" s="18">
        <f>(2587.0/B17*100)</f>
        <v/>
      </c>
      <c r="D17" s="19" t="n">
        <v>720</v>
      </c>
      <c r="E17" s="18" t="n">
        <v>46.29768946</v>
      </c>
      <c r="F17" s="20" t="n">
        <v>1.94286743</v>
      </c>
      <c r="G17" s="18" t="n">
        <v>52.23968521</v>
      </c>
      <c r="H17" s="20" t="n">
        <v>1.99395207</v>
      </c>
      <c r="I17" s="18" t="s">
        <v>567</v>
      </c>
      <c r="J17" s="20" t="s">
        <v>567</v>
      </c>
      <c r="K17" s="18" t="n">
        <v>0.42923525</v>
      </c>
      <c r="L17" s="20" t="n">
        <v>0.20840946</v>
      </c>
      <c r="M17" s="18" t="n">
        <v>0</v>
      </c>
      <c r="N17" s="20" t="n">
        <v>0</v>
      </c>
      <c r="O17" s="18" t="n">
        <v>0</v>
      </c>
      <c r="P17" s="20" t="n">
        <v>0</v>
      </c>
      <c r="Q17" s="18" t="n">
        <v>1.03339008</v>
      </c>
      <c r="R17" s="20" t="n">
        <v>0.39810721</v>
      </c>
    </row>
    <row r="18" spans="1:18">
      <c r="A18" s="15" t="s">
        <v>578</v>
      </c>
      <c r="B18" s="17" t="n">
        <v>2826</v>
      </c>
      <c r="C18" s="18">
        <f>(2230.0/B18*100)</f>
        <v/>
      </c>
      <c r="D18" s="19" t="n">
        <v>596</v>
      </c>
      <c r="E18" s="18" t="n">
        <v>66.07051819</v>
      </c>
      <c r="F18" s="20" t="n">
        <v>1.99471742</v>
      </c>
      <c r="G18" s="18" t="n">
        <v>30.93964012</v>
      </c>
      <c r="H18" s="20" t="n">
        <v>2.00084914</v>
      </c>
      <c r="I18" s="18" t="s">
        <v>567</v>
      </c>
      <c r="J18" s="20" t="s">
        <v>567</v>
      </c>
      <c r="K18" s="18" t="n">
        <v>0.7124842300000001</v>
      </c>
      <c r="L18" s="20" t="n">
        <v>0.39071736</v>
      </c>
      <c r="M18" s="18" t="n">
        <v>0</v>
      </c>
      <c r="N18" s="20" t="n">
        <v>0</v>
      </c>
      <c r="O18" s="18" t="n">
        <v>0</v>
      </c>
      <c r="P18" s="20" t="n">
        <v>0</v>
      </c>
      <c r="Q18" s="18" t="n">
        <v>2.27735746</v>
      </c>
      <c r="R18" s="20" t="n">
        <v>0.69562861</v>
      </c>
    </row>
    <row r="19" spans="1:18">
      <c r="A19" s="15" t="s">
        <v>579</v>
      </c>
      <c r="B19" s="17" t="n">
        <v>2808</v>
      </c>
      <c r="C19" s="18">
        <f>(2141.0/B19*100)</f>
        <v/>
      </c>
      <c r="D19" s="19" t="n">
        <v>667</v>
      </c>
      <c r="E19" s="18" t="n">
        <v>53.25874495</v>
      </c>
      <c r="F19" s="20" t="n">
        <v>2.0725472</v>
      </c>
      <c r="G19" s="18" t="n">
        <v>46.1985957</v>
      </c>
      <c r="H19" s="20" t="n">
        <v>2.08609117</v>
      </c>
      <c r="I19" s="18" t="s">
        <v>567</v>
      </c>
      <c r="J19" s="20" t="s">
        <v>567</v>
      </c>
      <c r="K19" s="18" t="n">
        <v>0.11773267</v>
      </c>
      <c r="L19" s="20" t="n">
        <v>0.11692496</v>
      </c>
      <c r="M19" s="18" t="n">
        <v>0</v>
      </c>
      <c r="N19" s="20" t="n">
        <v>0</v>
      </c>
      <c r="O19" s="18" t="n">
        <v>0</v>
      </c>
      <c r="P19" s="20" t="n">
        <v>0</v>
      </c>
      <c r="Q19" s="18" t="n">
        <v>0.42492668</v>
      </c>
      <c r="R19" s="20" t="n">
        <v>0.22784895</v>
      </c>
    </row>
    <row r="20" spans="1:18">
      <c r="A20" s="15" t="s">
        <v>580</v>
      </c>
      <c r="B20" s="17" t="n">
        <v>1630</v>
      </c>
      <c r="C20" s="18">
        <f>(1247.0/B20*100)</f>
        <v/>
      </c>
      <c r="D20" s="19" t="n">
        <v>383</v>
      </c>
      <c r="E20" s="18" t="n">
        <v>59.0911373</v>
      </c>
      <c r="F20" s="20" t="n">
        <v>2.52525554</v>
      </c>
      <c r="G20" s="18" t="n">
        <v>39.20814657</v>
      </c>
      <c r="H20" s="20" t="n">
        <v>2.41680176</v>
      </c>
      <c r="I20" s="18" t="s">
        <v>567</v>
      </c>
      <c r="J20" s="20" t="s">
        <v>567</v>
      </c>
      <c r="K20" s="18" t="n">
        <v>0</v>
      </c>
      <c r="L20" s="20" t="n">
        <v>0</v>
      </c>
      <c r="M20" s="18" t="n">
        <v>0</v>
      </c>
      <c r="N20" s="20" t="n">
        <v>0</v>
      </c>
      <c r="O20" s="18" t="n">
        <v>0</v>
      </c>
      <c r="P20" s="20" t="n">
        <v>0</v>
      </c>
      <c r="Q20" s="18" t="n">
        <v>1.70071614</v>
      </c>
      <c r="R20" s="20" t="n">
        <v>0.65326727</v>
      </c>
    </row>
    <row r="21" spans="1:18">
      <c r="A21" s="15" t="s">
        <v>581</v>
      </c>
      <c r="B21" s="17" t="n">
        <v>2908</v>
      </c>
      <c r="C21" s="18">
        <f>(2274.0/B21*100)</f>
        <v/>
      </c>
      <c r="D21" s="19" t="n">
        <v>634</v>
      </c>
      <c r="E21" s="18" t="n">
        <v>58.86625461</v>
      </c>
      <c r="F21" s="20" t="n">
        <v>2.23266112</v>
      </c>
      <c r="G21" s="18" t="n">
        <v>40.84603321</v>
      </c>
      <c r="H21" s="20" t="n">
        <v>2.23400833</v>
      </c>
      <c r="I21" s="18" t="s">
        <v>567</v>
      </c>
      <c r="J21" s="20" t="s">
        <v>567</v>
      </c>
      <c r="K21" s="18" t="n">
        <v>0.12554217</v>
      </c>
      <c r="L21" s="20" t="n">
        <v>0.12717874</v>
      </c>
      <c r="M21" s="18" t="n">
        <v>0</v>
      </c>
      <c r="N21" s="20" t="n">
        <v>0</v>
      </c>
      <c r="O21" s="18" t="n">
        <v>0</v>
      </c>
      <c r="P21" s="20" t="n">
        <v>0</v>
      </c>
      <c r="Q21" s="18" t="n">
        <v>0.16217001</v>
      </c>
      <c r="R21" s="20" t="n">
        <v>0.15690563</v>
      </c>
    </row>
    <row r="22" spans="1:18">
      <c r="A22" s="15" t="s">
        <v>582</v>
      </c>
      <c r="B22" s="17" t="n">
        <v>2931</v>
      </c>
      <c r="C22" s="18">
        <f>(2300.0/B22*100)</f>
        <v/>
      </c>
      <c r="D22" s="19" t="n">
        <v>631</v>
      </c>
      <c r="E22" s="18" t="n">
        <v>58.82031635</v>
      </c>
      <c r="F22" s="20" t="n">
        <v>2.55717572</v>
      </c>
      <c r="G22" s="18" t="n">
        <v>38.33634703</v>
      </c>
      <c r="H22" s="20" t="n">
        <v>2.42112187</v>
      </c>
      <c r="I22" s="18" t="s">
        <v>567</v>
      </c>
      <c r="J22" s="20" t="s">
        <v>567</v>
      </c>
      <c r="K22" s="18" t="n">
        <v>1.15629247</v>
      </c>
      <c r="L22" s="20" t="n">
        <v>0.50620592</v>
      </c>
      <c r="M22" s="18" t="n">
        <v>0</v>
      </c>
      <c r="N22" s="20" t="n">
        <v>0</v>
      </c>
      <c r="O22" s="18" t="n">
        <v>0</v>
      </c>
      <c r="P22" s="20" t="n">
        <v>0</v>
      </c>
      <c r="Q22" s="18" t="n">
        <v>1.68704415</v>
      </c>
      <c r="R22" s="20" t="n">
        <v>0.45480766</v>
      </c>
    </row>
    <row r="23" spans="1:18">
      <c r="A23" s="15" t="s">
        <v>583</v>
      </c>
      <c r="B23" s="17" t="n">
        <v>5791</v>
      </c>
      <c r="C23" s="18">
        <f>(4473.0/B23*100)</f>
        <v/>
      </c>
      <c r="D23" s="19" t="n">
        <v>1318</v>
      </c>
      <c r="E23" s="18" t="n">
        <v>54.50624249</v>
      </c>
      <c r="F23" s="20" t="n">
        <v>1.80409581</v>
      </c>
      <c r="G23" s="18" t="n">
        <v>44.07757306</v>
      </c>
      <c r="H23" s="20" t="n">
        <v>1.86959924</v>
      </c>
      <c r="I23" s="18" t="s">
        <v>567</v>
      </c>
      <c r="J23" s="20" t="s">
        <v>567</v>
      </c>
      <c r="K23" s="18" t="n">
        <v>0.15869951</v>
      </c>
      <c r="L23" s="20" t="n">
        <v>0.15663805</v>
      </c>
      <c r="M23" s="18" t="n">
        <v>0</v>
      </c>
      <c r="N23" s="20" t="n">
        <v>0</v>
      </c>
      <c r="O23" s="18" t="n">
        <v>0</v>
      </c>
      <c r="P23" s="20" t="n">
        <v>0</v>
      </c>
      <c r="Q23" s="18" t="n">
        <v>1.25748494</v>
      </c>
      <c r="R23" s="20" t="n">
        <v>0.61025871</v>
      </c>
    </row>
    <row r="24" spans="1:18">
      <c r="A24" s="15" t="s">
        <v>584</v>
      </c>
      <c r="B24" s="17" t="n">
        <v>3338</v>
      </c>
      <c r="C24" s="18">
        <f>(2613.0/B24*100)</f>
        <v/>
      </c>
      <c r="D24" s="19" t="n">
        <v>725</v>
      </c>
      <c r="E24" s="18" t="n">
        <v>38.37671595</v>
      </c>
      <c r="F24" s="20" t="n">
        <v>1.70917312</v>
      </c>
      <c r="G24" s="18" t="n">
        <v>60.8160697</v>
      </c>
      <c r="H24" s="20" t="n">
        <v>1.65450973</v>
      </c>
      <c r="I24" s="18" t="s">
        <v>567</v>
      </c>
      <c r="J24" s="20" t="s">
        <v>567</v>
      </c>
      <c r="K24" s="18" t="n">
        <v>0.13291035</v>
      </c>
      <c r="L24" s="20" t="n">
        <v>0.13212844</v>
      </c>
      <c r="M24" s="18" t="n">
        <v>0</v>
      </c>
      <c r="N24" s="20" t="n">
        <v>0</v>
      </c>
      <c r="O24" s="18" t="n">
        <v>0</v>
      </c>
      <c r="P24" s="20" t="n">
        <v>0</v>
      </c>
      <c r="Q24" s="18" t="n">
        <v>0.674304</v>
      </c>
      <c r="R24" s="20" t="n">
        <v>0.30068524</v>
      </c>
    </row>
    <row r="25" spans="1:18">
      <c r="A25" s="15" t="s">
        <v>585</v>
      </c>
      <c r="B25" s="17" t="n">
        <v>2912</v>
      </c>
      <c r="C25" s="18">
        <f>(2244.0/B25*100)</f>
        <v/>
      </c>
      <c r="D25" s="19" t="n">
        <v>668</v>
      </c>
      <c r="E25" s="18" t="n">
        <v>59.92109002</v>
      </c>
      <c r="F25" s="20" t="n">
        <v>2.21459888</v>
      </c>
      <c r="G25" s="18" t="n">
        <v>39.21601509</v>
      </c>
      <c r="H25" s="20" t="n">
        <v>2.23459458</v>
      </c>
      <c r="I25" s="18" t="s">
        <v>567</v>
      </c>
      <c r="J25" s="20" t="s">
        <v>567</v>
      </c>
      <c r="K25" s="18" t="n">
        <v>0.28508943</v>
      </c>
      <c r="L25" s="20" t="n">
        <v>0.1988543</v>
      </c>
      <c r="M25" s="18" t="n">
        <v>0</v>
      </c>
      <c r="N25" s="20" t="n">
        <v>0</v>
      </c>
      <c r="O25" s="18" t="n">
        <v>0</v>
      </c>
      <c r="P25" s="20" t="n">
        <v>0</v>
      </c>
      <c r="Q25" s="18" t="n">
        <v>0.57780546</v>
      </c>
      <c r="R25" s="20" t="n">
        <v>0.28820883</v>
      </c>
    </row>
    <row r="26" spans="1:18">
      <c r="A26" s="15" t="s">
        <v>586</v>
      </c>
      <c r="B26" s="17" t="n">
        <v>2450</v>
      </c>
      <c r="C26" s="18">
        <f>(1912.0/B26*100)</f>
        <v/>
      </c>
      <c r="D26" s="19" t="n">
        <v>538</v>
      </c>
      <c r="E26" s="18" t="n">
        <v>67.29617857</v>
      </c>
      <c r="F26" s="20" t="n">
        <v>1.89981052</v>
      </c>
      <c r="G26" s="18" t="n">
        <v>32.33320141</v>
      </c>
      <c r="H26" s="20" t="n">
        <v>1.92894811</v>
      </c>
      <c r="I26" s="18" t="s">
        <v>567</v>
      </c>
      <c r="J26" s="20" t="s">
        <v>567</v>
      </c>
      <c r="K26" s="18" t="n">
        <v>0</v>
      </c>
      <c r="L26" s="20" t="n">
        <v>0</v>
      </c>
      <c r="M26" s="18" t="n">
        <v>0</v>
      </c>
      <c r="N26" s="20" t="n">
        <v>0</v>
      </c>
      <c r="O26" s="18" t="n">
        <v>0</v>
      </c>
      <c r="P26" s="20" t="n">
        <v>0</v>
      </c>
      <c r="Q26" s="18" t="n">
        <v>0.37062003</v>
      </c>
      <c r="R26" s="20" t="n">
        <v>0.2636193</v>
      </c>
    </row>
    <row r="27" spans="1:18">
      <c r="A27" s="15" t="s">
        <v>587</v>
      </c>
      <c r="B27" s="17" t="n">
        <v>2616</v>
      </c>
      <c r="C27" s="18">
        <f>(2037.0/B27*100)</f>
        <v/>
      </c>
      <c r="D27" s="19" t="n">
        <v>579</v>
      </c>
      <c r="E27" s="18" t="n">
        <v>52.90151089</v>
      </c>
      <c r="F27" s="20" t="n">
        <v>1.95801621</v>
      </c>
      <c r="G27" s="18" t="n">
        <v>45.7240003</v>
      </c>
      <c r="H27" s="20" t="n">
        <v>1.89718176</v>
      </c>
      <c r="I27" s="18" t="s">
        <v>567</v>
      </c>
      <c r="J27" s="20" t="s">
        <v>567</v>
      </c>
      <c r="K27" s="18" t="n">
        <v>0.33677434</v>
      </c>
      <c r="L27" s="20" t="n">
        <v>0.23799161</v>
      </c>
      <c r="M27" s="18" t="n">
        <v>0</v>
      </c>
      <c r="N27" s="20" t="n">
        <v>0</v>
      </c>
      <c r="O27" s="18" t="n">
        <v>0</v>
      </c>
      <c r="P27" s="20" t="n">
        <v>0</v>
      </c>
      <c r="Q27" s="18" t="n">
        <v>1.03771447</v>
      </c>
      <c r="R27" s="20" t="n">
        <v>0.4104164</v>
      </c>
    </row>
    <row r="28" spans="1:18">
      <c r="A28" s="15" t="s">
        <v>588</v>
      </c>
      <c r="B28" s="17" t="n">
        <v>3765</v>
      </c>
      <c r="C28" s="18">
        <f>(2968.0/B28*100)</f>
        <v/>
      </c>
      <c r="D28" s="19" t="n">
        <v>797</v>
      </c>
      <c r="E28" s="18" t="n">
        <v>65.87902873</v>
      </c>
      <c r="F28" s="20" t="n">
        <v>1.75594796</v>
      </c>
      <c r="G28" s="18" t="n">
        <v>32.60658677</v>
      </c>
      <c r="H28" s="20" t="n">
        <v>1.83667198</v>
      </c>
      <c r="I28" s="18" t="s">
        <v>567</v>
      </c>
      <c r="J28" s="20" t="s">
        <v>567</v>
      </c>
      <c r="K28" s="18" t="n">
        <v>0.96811266</v>
      </c>
      <c r="L28" s="20" t="n">
        <v>0.36026924</v>
      </c>
      <c r="M28" s="18" t="n">
        <v>0</v>
      </c>
      <c r="N28" s="20" t="n">
        <v>0</v>
      </c>
      <c r="O28" s="18" t="n">
        <v>0</v>
      </c>
      <c r="P28" s="20" t="n">
        <v>0</v>
      </c>
      <c r="Q28" s="18" t="n">
        <v>0.54627184</v>
      </c>
      <c r="R28" s="20" t="n">
        <v>0.25183653</v>
      </c>
    </row>
    <row r="29" spans="1:18">
      <c r="A29" s="15" t="s">
        <v>589</v>
      </c>
      <c r="B29" s="17" t="n">
        <v>2685</v>
      </c>
      <c r="C29" s="18">
        <f>(2106.0/B29*100)</f>
        <v/>
      </c>
      <c r="D29" s="19" t="n">
        <v>579</v>
      </c>
      <c r="E29" s="18" t="n">
        <v>52.95694395</v>
      </c>
      <c r="F29" s="20" t="n">
        <v>2.07041021</v>
      </c>
      <c r="G29" s="18" t="n">
        <v>46.15313149</v>
      </c>
      <c r="H29" s="20" t="n">
        <v>2.10658236</v>
      </c>
      <c r="I29" s="18" t="s">
        <v>567</v>
      </c>
      <c r="J29" s="20" t="s">
        <v>567</v>
      </c>
      <c r="K29" s="18" t="n">
        <v>0.63425145</v>
      </c>
      <c r="L29" s="20" t="n">
        <v>0.31559316</v>
      </c>
      <c r="M29" s="18" t="n">
        <v>0</v>
      </c>
      <c r="N29" s="20" t="n">
        <v>0</v>
      </c>
      <c r="O29" s="18" t="n">
        <v>0</v>
      </c>
      <c r="P29" s="20" t="n">
        <v>0</v>
      </c>
      <c r="Q29" s="18" t="n">
        <v>0.25567311</v>
      </c>
      <c r="R29" s="20" t="n">
        <v>0.22986634</v>
      </c>
    </row>
    <row r="30" spans="1:18">
      <c r="A30" s="15" t="s">
        <v>590</v>
      </c>
      <c r="B30" s="17" t="n">
        <v>2263</v>
      </c>
      <c r="C30" s="18">
        <f>(1781.0/B30*100)</f>
        <v/>
      </c>
      <c r="D30" s="19" t="n">
        <v>482</v>
      </c>
      <c r="E30" s="18" t="n">
        <v>51.85554179</v>
      </c>
      <c r="F30" s="20" t="n">
        <v>2.45179245</v>
      </c>
      <c r="G30" s="18" t="n">
        <v>45.59508677</v>
      </c>
      <c r="H30" s="20" t="n">
        <v>2.4202652</v>
      </c>
      <c r="I30" s="18" t="s">
        <v>567</v>
      </c>
      <c r="J30" s="20" t="s">
        <v>567</v>
      </c>
      <c r="K30" s="18" t="n">
        <v>0.23126774</v>
      </c>
      <c r="L30" s="20" t="n">
        <v>0.22244091</v>
      </c>
      <c r="M30" s="18" t="n">
        <v>0</v>
      </c>
      <c r="N30" s="20" t="n">
        <v>0</v>
      </c>
      <c r="O30" s="18" t="n">
        <v>0</v>
      </c>
      <c r="P30" s="20" t="n">
        <v>0</v>
      </c>
      <c r="Q30" s="18" t="n">
        <v>2.3181037</v>
      </c>
      <c r="R30" s="20" t="n">
        <v>0.69685643</v>
      </c>
    </row>
    <row r="31" spans="1:18">
      <c r="A31" s="15" t="s">
        <v>591</v>
      </c>
      <c r="B31" s="17" t="n">
        <v>2750</v>
      </c>
      <c r="C31" s="18">
        <f>(2163.0/B31*100)</f>
        <v/>
      </c>
      <c r="D31" s="19" t="n">
        <v>587</v>
      </c>
      <c r="E31" s="18" t="n">
        <v>51.24925582</v>
      </c>
      <c r="F31" s="20" t="n">
        <v>2.18846016</v>
      </c>
      <c r="G31" s="18" t="n">
        <v>46.75695658</v>
      </c>
      <c r="H31" s="20" t="n">
        <v>2.18797392</v>
      </c>
      <c r="I31" s="18" t="s">
        <v>567</v>
      </c>
      <c r="J31" s="20" t="s">
        <v>567</v>
      </c>
      <c r="K31" s="18" t="n">
        <v>0.4687778</v>
      </c>
      <c r="L31" s="20" t="n">
        <v>0.25890577</v>
      </c>
      <c r="M31" s="18" t="n">
        <v>0</v>
      </c>
      <c r="N31" s="20" t="n">
        <v>0</v>
      </c>
      <c r="O31" s="18" t="n">
        <v>0</v>
      </c>
      <c r="P31" s="20" t="n">
        <v>0</v>
      </c>
      <c r="Q31" s="18" t="n">
        <v>1.52500981</v>
      </c>
      <c r="R31" s="20" t="n">
        <v>0.58494689</v>
      </c>
    </row>
    <row r="32" spans="1:18">
      <c r="A32" s="15" t="s">
        <v>592</v>
      </c>
      <c r="B32" s="17" t="n">
        <v>2269</v>
      </c>
      <c r="C32" s="18">
        <f>(1760.0/B32*100)</f>
        <v/>
      </c>
      <c r="D32" s="19" t="n">
        <v>509</v>
      </c>
      <c r="E32" s="18" t="n">
        <v>56.5494196</v>
      </c>
      <c r="F32" s="20" t="n">
        <v>2.1714801</v>
      </c>
      <c r="G32" s="18" t="n">
        <v>43.276252</v>
      </c>
      <c r="H32" s="20" t="n">
        <v>2.19619663</v>
      </c>
      <c r="I32" s="18" t="s">
        <v>567</v>
      </c>
      <c r="J32" s="20" t="s">
        <v>567</v>
      </c>
      <c r="K32" s="18" t="n">
        <v>0.17432839</v>
      </c>
      <c r="L32" s="20" t="n">
        <v>0.17376033</v>
      </c>
      <c r="M32" s="18" t="n">
        <v>0</v>
      </c>
      <c r="N32" s="20" t="n">
        <v>0</v>
      </c>
      <c r="O32" s="18" t="n">
        <v>0</v>
      </c>
      <c r="P32" s="20" t="n">
        <v>0</v>
      </c>
      <c r="Q32" s="18" t="n">
        <v>0</v>
      </c>
      <c r="R32" s="20" t="n">
        <v>0</v>
      </c>
    </row>
    <row r="33" spans="1:18">
      <c r="A33" s="15" t="s">
        <v>593</v>
      </c>
      <c r="B33" s="17" t="n">
        <v>3674</v>
      </c>
      <c r="C33" s="18">
        <f>(2883.0/B33*100)</f>
        <v/>
      </c>
      <c r="D33" s="19" t="n">
        <v>791</v>
      </c>
      <c r="E33" s="18" t="n">
        <v>59.38124234</v>
      </c>
      <c r="F33" s="20" t="n">
        <v>1.92881523</v>
      </c>
      <c r="G33" s="18" t="n">
        <v>38.86463014</v>
      </c>
      <c r="H33" s="20" t="n">
        <v>1.89157893</v>
      </c>
      <c r="I33" s="18" t="s">
        <v>567</v>
      </c>
      <c r="J33" s="20" t="s">
        <v>567</v>
      </c>
      <c r="K33" s="18" t="n">
        <v>0.43569519</v>
      </c>
      <c r="L33" s="20" t="n">
        <v>0.31068087</v>
      </c>
      <c r="M33" s="18" t="n">
        <v>0</v>
      </c>
      <c r="N33" s="20" t="n">
        <v>0</v>
      </c>
      <c r="O33" s="18" t="n">
        <v>0</v>
      </c>
      <c r="P33" s="20" t="n">
        <v>0</v>
      </c>
      <c r="Q33" s="18" t="n">
        <v>1.31843233</v>
      </c>
      <c r="R33" s="20" t="n">
        <v>0.40097323</v>
      </c>
    </row>
    <row r="34" spans="1:18">
      <c r="A34" s="15" t="s">
        <v>594</v>
      </c>
      <c r="B34" s="17" t="n">
        <v>3315</v>
      </c>
      <c r="C34" s="18">
        <f>(2614.0/B34*100)</f>
        <v/>
      </c>
      <c r="D34" s="19" t="n">
        <v>701</v>
      </c>
      <c r="E34" s="18" t="n">
        <v>58.37362532</v>
      </c>
      <c r="F34" s="20" t="n">
        <v>2.00329113</v>
      </c>
      <c r="G34" s="18" t="n">
        <v>40.40906662</v>
      </c>
      <c r="H34" s="20" t="n">
        <v>2.03025912</v>
      </c>
      <c r="I34" s="18" t="s">
        <v>567</v>
      </c>
      <c r="J34" s="20" t="s">
        <v>567</v>
      </c>
      <c r="K34" s="18" t="n">
        <v>0.09281193</v>
      </c>
      <c r="L34" s="20" t="n">
        <v>0.09255044</v>
      </c>
      <c r="M34" s="18" t="n">
        <v>0</v>
      </c>
      <c r="N34" s="20" t="n">
        <v>0</v>
      </c>
      <c r="O34" s="18" t="n">
        <v>0</v>
      </c>
      <c r="P34" s="20" t="n">
        <v>0</v>
      </c>
      <c r="Q34" s="18" t="n">
        <v>1.12449613</v>
      </c>
      <c r="R34" s="20" t="n">
        <v>0.45239852</v>
      </c>
    </row>
    <row r="35" spans="1:18">
      <c r="A35" s="15" t="s">
        <v>595</v>
      </c>
      <c r="B35" s="17" t="n">
        <v>3505</v>
      </c>
      <c r="C35" s="18">
        <f>(2745.0/B35*100)</f>
        <v/>
      </c>
      <c r="D35" s="19" t="n">
        <v>760</v>
      </c>
      <c r="E35" s="18" t="n">
        <v>51.31390911</v>
      </c>
      <c r="F35" s="20" t="n">
        <v>2.579407</v>
      </c>
      <c r="G35" s="18" t="n">
        <v>47.11021278</v>
      </c>
      <c r="H35" s="20" t="n">
        <v>2.49827406</v>
      </c>
      <c r="I35" s="18" t="s">
        <v>567</v>
      </c>
      <c r="J35" s="20" t="s">
        <v>567</v>
      </c>
      <c r="K35" s="18" t="n">
        <v>0.22427754</v>
      </c>
      <c r="L35" s="20" t="n">
        <v>0.1319316</v>
      </c>
      <c r="M35" s="18" t="n">
        <v>0</v>
      </c>
      <c r="N35" s="20" t="n">
        <v>0</v>
      </c>
      <c r="O35" s="18" t="n">
        <v>0</v>
      </c>
      <c r="P35" s="20" t="n">
        <v>0</v>
      </c>
      <c r="Q35" s="18" t="n">
        <v>1.35160057</v>
      </c>
      <c r="R35" s="20" t="n">
        <v>0.43303208</v>
      </c>
    </row>
    <row r="36" spans="1:18">
      <c r="A36" s="15" t="s">
        <v>596</v>
      </c>
      <c r="B36" s="17" t="n">
        <v>3332</v>
      </c>
      <c r="C36" s="18">
        <f>(2556.0/B36*100)</f>
        <v/>
      </c>
      <c r="D36" s="19" t="n">
        <v>776</v>
      </c>
      <c r="E36" s="18" t="n">
        <v>55.29706974</v>
      </c>
      <c r="F36" s="20" t="n">
        <v>1.82189897</v>
      </c>
      <c r="G36" s="18" t="n">
        <v>42.70066187</v>
      </c>
      <c r="H36" s="20" t="n">
        <v>1.69010967</v>
      </c>
      <c r="I36" s="18" t="s">
        <v>567</v>
      </c>
      <c r="J36" s="20" t="s">
        <v>567</v>
      </c>
      <c r="K36" s="18" t="n">
        <v>0.45359673</v>
      </c>
      <c r="L36" s="20" t="n">
        <v>0.27952499</v>
      </c>
      <c r="M36" s="18" t="n">
        <v>0</v>
      </c>
      <c r="N36" s="20" t="n">
        <v>0</v>
      </c>
      <c r="O36" s="18" t="n">
        <v>0</v>
      </c>
      <c r="P36" s="20" t="n">
        <v>0</v>
      </c>
      <c r="Q36" s="18" t="n">
        <v>1.54867166</v>
      </c>
      <c r="R36" s="20" t="n">
        <v>0.45245136</v>
      </c>
    </row>
    <row r="37" spans="1:18">
      <c r="A37" s="15" t="s">
        <v>597</v>
      </c>
      <c r="B37" s="17" t="n">
        <v>2727</v>
      </c>
      <c r="C37" s="18">
        <f>(2138.0/B37*100)</f>
        <v/>
      </c>
      <c r="D37" s="19" t="n">
        <v>589</v>
      </c>
      <c r="E37" s="18" t="n">
        <v>59.67955928</v>
      </c>
      <c r="F37" s="20" t="n">
        <v>1.96755524</v>
      </c>
      <c r="G37" s="18" t="n">
        <v>36.7003692</v>
      </c>
      <c r="H37" s="20" t="n">
        <v>2.13584808</v>
      </c>
      <c r="I37" s="18" t="s">
        <v>567</v>
      </c>
      <c r="J37" s="20" t="s">
        <v>567</v>
      </c>
      <c r="K37" s="18" t="n">
        <v>0.82615285</v>
      </c>
      <c r="L37" s="20" t="n">
        <v>0.35852295</v>
      </c>
      <c r="M37" s="18" t="n">
        <v>0</v>
      </c>
      <c r="N37" s="20" t="n">
        <v>0</v>
      </c>
      <c r="O37" s="18" t="n">
        <v>0</v>
      </c>
      <c r="P37" s="20" t="n">
        <v>0</v>
      </c>
      <c r="Q37" s="18" t="n">
        <v>2.79391866</v>
      </c>
      <c r="R37" s="20" t="n">
        <v>0.78312189</v>
      </c>
    </row>
    <row r="38" spans="1:18">
      <c r="A38" s="15" t="s">
        <v>598</v>
      </c>
      <c r="B38" s="17" t="n">
        <v>3053</v>
      </c>
      <c r="C38" s="18">
        <f>(2383.0/B38*100)</f>
        <v/>
      </c>
      <c r="D38" s="19" t="n">
        <v>670</v>
      </c>
      <c r="E38" s="18" t="n">
        <v>46.68321089</v>
      </c>
      <c r="F38" s="20" t="n">
        <v>1.6698842</v>
      </c>
      <c r="G38" s="18" t="n">
        <v>51.54257108</v>
      </c>
      <c r="H38" s="20" t="n">
        <v>1.69229422</v>
      </c>
      <c r="I38" s="18" t="s">
        <v>567</v>
      </c>
      <c r="J38" s="20" t="s">
        <v>567</v>
      </c>
      <c r="K38" s="18" t="n">
        <v>0.41733711</v>
      </c>
      <c r="L38" s="20" t="n">
        <v>0.28558892</v>
      </c>
      <c r="M38" s="18" t="n">
        <v>0</v>
      </c>
      <c r="N38" s="20" t="n">
        <v>0</v>
      </c>
      <c r="O38" s="18" t="n">
        <v>0</v>
      </c>
      <c r="P38" s="20" t="n">
        <v>0</v>
      </c>
      <c r="Q38" s="18" t="n">
        <v>1.35688091</v>
      </c>
      <c r="R38" s="20" t="n">
        <v>0.28319718</v>
      </c>
    </row>
    <row r="39" spans="1:18">
      <c r="A39" s="15" t="s">
        <v>599</v>
      </c>
      <c r="B39" s="17" t="n">
        <v>2957</v>
      </c>
      <c r="C39" s="18">
        <f>(2307.0/B39*100)</f>
        <v/>
      </c>
      <c r="D39" s="19" t="n">
        <v>650</v>
      </c>
      <c r="E39" s="18" t="n">
        <v>62.6611055</v>
      </c>
      <c r="F39" s="20" t="n">
        <v>2.16697288</v>
      </c>
      <c r="G39" s="18" t="n">
        <v>35.98921844</v>
      </c>
      <c r="H39" s="20" t="n">
        <v>2.21657023</v>
      </c>
      <c r="I39" s="18" t="s">
        <v>567</v>
      </c>
      <c r="J39" s="20" t="s">
        <v>567</v>
      </c>
      <c r="K39" s="18" t="n">
        <v>0</v>
      </c>
      <c r="L39" s="20" t="n">
        <v>0</v>
      </c>
      <c r="M39" s="18" t="n">
        <v>0</v>
      </c>
      <c r="N39" s="20" t="n">
        <v>0</v>
      </c>
      <c r="O39" s="18" t="n">
        <v>0</v>
      </c>
      <c r="P39" s="20" t="n">
        <v>0</v>
      </c>
      <c r="Q39" s="18" t="n">
        <v>1.34967606</v>
      </c>
      <c r="R39" s="20" t="n">
        <v>0.5045410299999999</v>
      </c>
    </row>
    <row r="40" spans="1:18">
      <c r="A40" s="15" t="s">
        <v>600</v>
      </c>
      <c r="B40" s="17" t="n">
        <v>7235</v>
      </c>
      <c r="C40" s="18">
        <f>(5678.0/B40*100)</f>
        <v/>
      </c>
      <c r="D40" s="19" t="n">
        <v>1557</v>
      </c>
      <c r="E40" s="18" t="n">
        <v>58.87524783</v>
      </c>
      <c r="F40" s="20" t="n">
        <v>2.32098684</v>
      </c>
      <c r="G40" s="18" t="n">
        <v>39.96364786</v>
      </c>
      <c r="H40" s="20" t="n">
        <v>2.32598215</v>
      </c>
      <c r="I40" s="18" t="s">
        <v>567</v>
      </c>
      <c r="J40" s="20" t="s">
        <v>567</v>
      </c>
      <c r="K40" s="18" t="n">
        <v>0.06924203</v>
      </c>
      <c r="L40" s="20" t="n">
        <v>0.03772735</v>
      </c>
      <c r="M40" s="18" t="n">
        <v>0</v>
      </c>
      <c r="N40" s="20" t="n">
        <v>0</v>
      </c>
      <c r="O40" s="18" t="n">
        <v>0</v>
      </c>
      <c r="P40" s="20" t="n">
        <v>0</v>
      </c>
      <c r="Q40" s="18" t="n">
        <v>1.09186228</v>
      </c>
      <c r="R40" s="20" t="n">
        <v>0.33243576</v>
      </c>
    </row>
    <row r="41" spans="1:18">
      <c r="A41" s="15" t="s">
        <v>601</v>
      </c>
      <c r="B41" s="17" t="n">
        <v>2858</v>
      </c>
      <c r="C41" s="18">
        <f>(2214.0/B41*100)</f>
        <v/>
      </c>
      <c r="D41" s="19" t="n">
        <v>644</v>
      </c>
      <c r="E41" s="18" t="n">
        <v>49.95100877</v>
      </c>
      <c r="F41" s="20" t="n">
        <v>2.40027202</v>
      </c>
      <c r="G41" s="18" t="n">
        <v>48.81514384</v>
      </c>
      <c r="H41" s="20" t="n">
        <v>2.51925308</v>
      </c>
      <c r="I41" s="18" t="s">
        <v>567</v>
      </c>
      <c r="J41" s="20" t="s">
        <v>567</v>
      </c>
      <c r="K41" s="18" t="n">
        <v>0.19284374</v>
      </c>
      <c r="L41" s="20" t="n">
        <v>0.16508908</v>
      </c>
      <c r="M41" s="18" t="n">
        <v>0</v>
      </c>
      <c r="N41" s="20" t="n">
        <v>0</v>
      </c>
      <c r="O41" s="18" t="n">
        <v>0</v>
      </c>
      <c r="P41" s="20" t="n">
        <v>0</v>
      </c>
      <c r="Q41" s="18" t="n">
        <v>1.04100365</v>
      </c>
      <c r="R41" s="20" t="n">
        <v>0.38025397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(9071.0/B46*100)</f>
        <v/>
      </c>
      <c r="D46" s="19" t="n">
        <v>1997</v>
      </c>
      <c r="E46" s="18" t="n">
        <v>71.51309771</v>
      </c>
      <c r="F46" s="20" t="n">
        <v>1.41935927</v>
      </c>
      <c r="G46" s="18" t="n">
        <v>25.19329252</v>
      </c>
      <c r="H46" s="20" t="n">
        <v>1.3206335</v>
      </c>
      <c r="I46" s="18" t="s">
        <v>567</v>
      </c>
      <c r="J46" s="20" t="s">
        <v>567</v>
      </c>
      <c r="K46" s="18" t="n">
        <v>0.75143556</v>
      </c>
      <c r="L46" s="20" t="n">
        <v>0.27675223</v>
      </c>
      <c r="M46" s="18" t="n">
        <v>0</v>
      </c>
      <c r="N46" s="20" t="n">
        <v>0</v>
      </c>
      <c r="O46" s="18" t="n">
        <v>0</v>
      </c>
      <c r="P46" s="20" t="n">
        <v>0</v>
      </c>
      <c r="Q46" s="18" t="n">
        <v>2.54217421</v>
      </c>
      <c r="R46" s="20" t="n">
        <v>0.49705101</v>
      </c>
    </row>
    <row r="47" spans="1:18">
      <c r="A47" s="15" t="s">
        <v>607</v>
      </c>
      <c r="B47" s="17" t="n">
        <v>3105</v>
      </c>
      <c r="C47" s="18">
        <f>(2454.0/B47*100)</f>
        <v/>
      </c>
      <c r="D47" s="19" t="n">
        <v>651</v>
      </c>
      <c r="E47" s="18" t="n">
        <v>63.7500889</v>
      </c>
      <c r="F47" s="20" t="n">
        <v>2.22504072</v>
      </c>
      <c r="G47" s="18" t="n">
        <v>34.11461088</v>
      </c>
      <c r="H47" s="20" t="n">
        <v>2.13608059</v>
      </c>
      <c r="I47" s="18" t="s">
        <v>567</v>
      </c>
      <c r="J47" s="20" t="s">
        <v>567</v>
      </c>
      <c r="K47" s="18" t="n">
        <v>0.14216299</v>
      </c>
      <c r="L47" s="20" t="n">
        <v>0.14282572</v>
      </c>
      <c r="M47" s="18" t="n">
        <v>0</v>
      </c>
      <c r="N47" s="20" t="n">
        <v>0</v>
      </c>
      <c r="O47" s="18" t="n">
        <v>0</v>
      </c>
      <c r="P47" s="20" t="n">
        <v>0</v>
      </c>
      <c r="Q47" s="18" t="n">
        <v>1.99313723</v>
      </c>
      <c r="R47" s="20" t="n">
        <v>0.68104664</v>
      </c>
    </row>
    <row r="48" spans="1:18">
      <c r="A48" s="15" t="s">
        <v>608</v>
      </c>
      <c r="B48" s="17" t="n">
        <v>5159</v>
      </c>
      <c r="C48" s="18">
        <f>(4042.0/B48*100)</f>
        <v/>
      </c>
      <c r="D48" s="19" t="n">
        <v>1117</v>
      </c>
      <c r="E48" s="18" t="n">
        <v>41.98252755</v>
      </c>
      <c r="F48" s="20" t="n">
        <v>1.86029666</v>
      </c>
      <c r="G48" s="18" t="n">
        <v>56.80940842</v>
      </c>
      <c r="H48" s="20" t="n">
        <v>1.843122</v>
      </c>
      <c r="I48" s="18" t="s">
        <v>567</v>
      </c>
      <c r="J48" s="20" t="s">
        <v>567</v>
      </c>
      <c r="K48" s="18" t="n">
        <v>0.43215125</v>
      </c>
      <c r="L48" s="20" t="n">
        <v>0.31929412</v>
      </c>
      <c r="M48" s="18" t="n">
        <v>0</v>
      </c>
      <c r="N48" s="20" t="n">
        <v>0</v>
      </c>
      <c r="O48" s="18" t="n">
        <v>0</v>
      </c>
      <c r="P48" s="20" t="n">
        <v>0</v>
      </c>
      <c r="Q48" s="18" t="n">
        <v>0.77591278</v>
      </c>
      <c r="R48" s="20" t="n">
        <v>0.24231786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(4448.0/B50*100)</f>
        <v/>
      </c>
      <c r="D50" s="19" t="n">
        <v>1189</v>
      </c>
      <c r="E50" s="18" t="n">
        <v>64.85644223</v>
      </c>
      <c r="F50" s="20" t="n">
        <v>1.75994502</v>
      </c>
      <c r="G50" s="18" t="n">
        <v>32.91790572</v>
      </c>
      <c r="H50" s="20" t="n">
        <v>1.93941942</v>
      </c>
      <c r="I50" s="18" t="s">
        <v>567</v>
      </c>
      <c r="J50" s="20" t="s">
        <v>567</v>
      </c>
      <c r="K50" s="18" t="n">
        <v>1.57611253</v>
      </c>
      <c r="L50" s="20" t="n">
        <v>0.66093622</v>
      </c>
      <c r="M50" s="18" t="n">
        <v>0</v>
      </c>
      <c r="N50" s="20" t="n">
        <v>0</v>
      </c>
      <c r="O50" s="18" t="n">
        <v>0</v>
      </c>
      <c r="P50" s="20" t="n">
        <v>0</v>
      </c>
      <c r="Q50" s="18" t="n">
        <v>0.64953952</v>
      </c>
      <c r="R50" s="20" t="n">
        <v>0.35942358</v>
      </c>
    </row>
    <row r="51" spans="1:18">
      <c r="A51" s="15" t="s">
        <v>611</v>
      </c>
      <c r="B51" s="17" t="n">
        <v>3372</v>
      </c>
      <c r="C51" s="18">
        <f>(2727.0/B51*100)</f>
        <v/>
      </c>
      <c r="D51" s="19" t="n">
        <v>645</v>
      </c>
      <c r="E51" s="18" t="n">
        <v>63.10735395</v>
      </c>
      <c r="F51" s="20" t="n">
        <v>2.17517732</v>
      </c>
      <c r="G51" s="18" t="n">
        <v>34.82614914</v>
      </c>
      <c r="H51" s="20" t="n">
        <v>2.17215128</v>
      </c>
      <c r="I51" s="18" t="s">
        <v>567</v>
      </c>
      <c r="J51" s="20" t="s">
        <v>567</v>
      </c>
      <c r="K51" s="18" t="n">
        <v>0.60399042</v>
      </c>
      <c r="L51" s="20" t="n">
        <v>0.30797467</v>
      </c>
      <c r="M51" s="18" t="n">
        <v>0</v>
      </c>
      <c r="N51" s="20" t="n">
        <v>0</v>
      </c>
      <c r="O51" s="18" t="n">
        <v>0</v>
      </c>
      <c r="P51" s="20" t="n">
        <v>0</v>
      </c>
      <c r="Q51" s="18" t="n">
        <v>1.46250648</v>
      </c>
      <c r="R51" s="20" t="n">
        <v>0.51118067</v>
      </c>
    </row>
    <row r="52" spans="1:18">
      <c r="A52" s="15" t="s">
        <v>612</v>
      </c>
      <c r="B52" s="17" t="n">
        <v>2796</v>
      </c>
      <c r="C52" s="18">
        <f>(2178.0/B52*100)</f>
        <v/>
      </c>
      <c r="D52" s="19" t="n">
        <v>618</v>
      </c>
      <c r="E52" s="18" t="n">
        <v>59.63739546</v>
      </c>
      <c r="F52" s="20" t="n">
        <v>1.89783615</v>
      </c>
      <c r="G52" s="18" t="n">
        <v>39.67497877</v>
      </c>
      <c r="H52" s="20" t="n">
        <v>1.90661735</v>
      </c>
      <c r="I52" s="18" t="s">
        <v>567</v>
      </c>
      <c r="J52" s="20" t="s">
        <v>567</v>
      </c>
      <c r="K52" s="18" t="n">
        <v>0</v>
      </c>
      <c r="L52" s="20" t="n">
        <v>0</v>
      </c>
      <c r="M52" s="18" t="n">
        <v>0</v>
      </c>
      <c r="N52" s="20" t="n">
        <v>0</v>
      </c>
      <c r="O52" s="18" t="n">
        <v>0</v>
      </c>
      <c r="P52" s="20" t="n">
        <v>0</v>
      </c>
      <c r="Q52" s="18" t="n">
        <v>0.68762577</v>
      </c>
      <c r="R52" s="20" t="n">
        <v>0.37159198</v>
      </c>
    </row>
    <row r="53" spans="1:18">
      <c r="A53" s="15" t="s">
        <v>613</v>
      </c>
      <c r="B53" s="17" t="n">
        <v>2811</v>
      </c>
      <c r="C53" s="18">
        <f>(2189.0/B53*100)</f>
        <v/>
      </c>
      <c r="D53" s="19" t="n">
        <v>622</v>
      </c>
      <c r="E53" s="18" t="n">
        <v>71.62616190999999</v>
      </c>
      <c r="F53" s="20" t="n">
        <v>1.65995741</v>
      </c>
      <c r="G53" s="18" t="n">
        <v>25.22973397</v>
      </c>
      <c r="H53" s="20" t="n">
        <v>1.51110217</v>
      </c>
      <c r="I53" s="18" t="s">
        <v>567</v>
      </c>
      <c r="J53" s="20" t="s">
        <v>567</v>
      </c>
      <c r="K53" s="18" t="n">
        <v>0.35598692</v>
      </c>
      <c r="L53" s="20" t="n">
        <v>0.20582237</v>
      </c>
      <c r="M53" s="18" t="n">
        <v>0</v>
      </c>
      <c r="N53" s="20" t="n">
        <v>0</v>
      </c>
      <c r="O53" s="18" t="n">
        <v>0</v>
      </c>
      <c r="P53" s="20" t="n">
        <v>0</v>
      </c>
      <c r="Q53" s="18" t="n">
        <v>2.78811719</v>
      </c>
      <c r="R53" s="20" t="n">
        <v>0.6924548699999999</v>
      </c>
    </row>
    <row r="54" spans="1:18">
      <c r="A54" s="15" t="s">
        <v>614</v>
      </c>
      <c r="B54" s="17" t="n">
        <v>2266</v>
      </c>
      <c r="C54" s="18">
        <f>(1765.0/B54*100)</f>
        <v/>
      </c>
      <c r="D54" s="19" t="n">
        <v>501</v>
      </c>
      <c r="E54" s="18" t="n">
        <v>70.01615523</v>
      </c>
      <c r="F54" s="20" t="n">
        <v>2.67166539</v>
      </c>
      <c r="G54" s="18" t="n">
        <v>16.61632862</v>
      </c>
      <c r="H54" s="20" t="n">
        <v>1.83189422</v>
      </c>
      <c r="I54" s="18" t="s">
        <v>567</v>
      </c>
      <c r="J54" s="20" t="s">
        <v>567</v>
      </c>
      <c r="K54" s="18" t="n">
        <v>10.55191247</v>
      </c>
      <c r="L54" s="20" t="n">
        <v>1.45404337</v>
      </c>
      <c r="M54" s="18" t="n">
        <v>0</v>
      </c>
      <c r="N54" s="20" t="n">
        <v>0</v>
      </c>
      <c r="O54" s="18" t="n">
        <v>0</v>
      </c>
      <c r="P54" s="20" t="n">
        <v>0</v>
      </c>
      <c r="Q54" s="18" t="n">
        <v>2.81560368</v>
      </c>
      <c r="R54" s="20" t="n">
        <v>0.72735528</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(2078.0/B56*100)</f>
        <v/>
      </c>
      <c r="D56" s="19" t="n">
        <v>606</v>
      </c>
      <c r="E56" s="18" t="n">
        <v>51.13730438</v>
      </c>
      <c r="F56" s="20" t="n">
        <v>2.64518753</v>
      </c>
      <c r="G56" s="18" t="n">
        <v>48.15207502</v>
      </c>
      <c r="H56" s="20" t="n">
        <v>2.60928823</v>
      </c>
      <c r="I56" s="18" t="s">
        <v>567</v>
      </c>
      <c r="J56" s="20" t="s">
        <v>567</v>
      </c>
      <c r="K56" s="18" t="n">
        <v>0.32454061</v>
      </c>
      <c r="L56" s="20" t="n">
        <v>0.22934789</v>
      </c>
      <c r="M56" s="18" t="n">
        <v>0</v>
      </c>
      <c r="N56" s="20" t="n">
        <v>0</v>
      </c>
      <c r="O56" s="18" t="n">
        <v>0</v>
      </c>
      <c r="P56" s="20" t="n">
        <v>0</v>
      </c>
      <c r="Q56" s="18" t="n">
        <v>0.38607999</v>
      </c>
      <c r="R56" s="20" t="n">
        <v>0.21591952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(2586.0/B61*100)</f>
        <v/>
      </c>
      <c r="D61" s="19" t="n">
        <v>738</v>
      </c>
      <c r="E61" s="18" t="n">
        <v>67.28826066000001</v>
      </c>
      <c r="F61" s="20" t="n">
        <v>1.72144894</v>
      </c>
      <c r="G61" s="18" t="n">
        <v>31.06111966</v>
      </c>
      <c r="H61" s="20" t="n">
        <v>1.68993106</v>
      </c>
      <c r="I61" s="18" t="s">
        <v>567</v>
      </c>
      <c r="J61" s="20" t="s">
        <v>567</v>
      </c>
      <c r="K61" s="18" t="n">
        <v>0.2643164</v>
      </c>
      <c r="L61" s="20" t="n">
        <v>0.17945848</v>
      </c>
      <c r="M61" s="18" t="n">
        <v>0</v>
      </c>
      <c r="N61" s="20" t="n">
        <v>0</v>
      </c>
      <c r="O61" s="18" t="n">
        <v>0</v>
      </c>
      <c r="P61" s="20" t="n">
        <v>0</v>
      </c>
      <c r="Q61" s="18" t="n">
        <v>1.38630328</v>
      </c>
      <c r="R61" s="20" t="n">
        <v>0.4200101</v>
      </c>
    </row>
    <row r="62" spans="1:18">
      <c r="A62" s="15" t="s">
        <v>622</v>
      </c>
      <c r="B62" s="17" t="n">
        <v>2246</v>
      </c>
      <c r="C62" s="18">
        <f>(1743.0/B62*100)</f>
        <v/>
      </c>
      <c r="D62" s="19" t="n">
        <v>503</v>
      </c>
      <c r="E62" s="18" t="n">
        <v>42.56390603</v>
      </c>
      <c r="F62" s="20" t="n">
        <v>2.13589721</v>
      </c>
      <c r="G62" s="18" t="n">
        <v>57.23889558</v>
      </c>
      <c r="H62" s="20" t="n">
        <v>2.13739022</v>
      </c>
      <c r="I62" s="18" t="s">
        <v>567</v>
      </c>
      <c r="J62" s="20" t="s">
        <v>567</v>
      </c>
      <c r="K62" s="18" t="n">
        <v>0</v>
      </c>
      <c r="L62" s="20" t="n">
        <v>0</v>
      </c>
      <c r="M62" s="18" t="n">
        <v>0</v>
      </c>
      <c r="N62" s="20" t="n">
        <v>0</v>
      </c>
      <c r="O62" s="18" t="n">
        <v>0</v>
      </c>
      <c r="P62" s="20" t="n">
        <v>0</v>
      </c>
      <c r="Q62" s="18" t="n">
        <v>0.19719839</v>
      </c>
      <c r="R62" s="20" t="n">
        <v>0.19729178</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(2267.0/B66*100)</f>
        <v/>
      </c>
      <c r="D66" s="19" t="n">
        <v>627</v>
      </c>
      <c r="E66" s="18" t="n">
        <v>76.07457737999999</v>
      </c>
      <c r="F66" s="20" t="n">
        <v>1.67328761</v>
      </c>
      <c r="G66" s="18" t="n">
        <v>20.03892367</v>
      </c>
      <c r="H66" s="20" t="n">
        <v>1.60231099</v>
      </c>
      <c r="I66" s="18" t="s">
        <v>567</v>
      </c>
      <c r="J66" s="20" t="s">
        <v>567</v>
      </c>
      <c r="K66" s="18" t="n">
        <v>0.65284658</v>
      </c>
      <c r="L66" s="20" t="n">
        <v>0.33657598</v>
      </c>
      <c r="M66" s="18" t="n">
        <v>0</v>
      </c>
      <c r="N66" s="20" t="n">
        <v>0</v>
      </c>
      <c r="O66" s="18" t="n">
        <v>0</v>
      </c>
      <c r="P66" s="20" t="n">
        <v>0</v>
      </c>
      <c r="Q66" s="18" t="n">
        <v>3.23365236</v>
      </c>
      <c r="R66" s="20" t="n">
        <v>0.6653430299999999</v>
      </c>
    </row>
    <row r="67" spans="1:18">
      <c r="A67" s="15" t="s">
        <v>627</v>
      </c>
      <c r="B67" s="17" t="n">
        <v>3511</v>
      </c>
      <c r="C67" s="18">
        <f>(2796.0/B67*100)</f>
        <v/>
      </c>
      <c r="D67" s="19" t="n">
        <v>715</v>
      </c>
      <c r="E67" s="18" t="n">
        <v>69.61795082</v>
      </c>
      <c r="F67" s="20" t="n">
        <v>2.04296431</v>
      </c>
      <c r="G67" s="18" t="n">
        <v>29.43845604</v>
      </c>
      <c r="H67" s="20" t="n">
        <v>2.09090654</v>
      </c>
      <c r="I67" s="18" t="s">
        <v>567</v>
      </c>
      <c r="J67" s="20" t="s">
        <v>567</v>
      </c>
      <c r="K67" s="18" t="n">
        <v>0</v>
      </c>
      <c r="L67" s="20" t="n">
        <v>0</v>
      </c>
      <c r="M67" s="18" t="n">
        <v>0</v>
      </c>
      <c r="N67" s="20" t="n">
        <v>0</v>
      </c>
      <c r="O67" s="18" t="n">
        <v>0</v>
      </c>
      <c r="P67" s="20" t="n">
        <v>0</v>
      </c>
      <c r="Q67" s="18" t="n">
        <v>0.94359313</v>
      </c>
      <c r="R67" s="20" t="n">
        <v>0.36287153</v>
      </c>
    </row>
    <row r="68" spans="1:18">
      <c r="A68" s="15" t="s">
        <v>628</v>
      </c>
      <c r="B68" s="17" t="n">
        <v>6049</v>
      </c>
      <c r="C68" s="18">
        <f>(4722.0/B68*100)</f>
        <v/>
      </c>
      <c r="D68" s="19" t="n">
        <v>1327</v>
      </c>
      <c r="E68" s="18" t="n">
        <v>69.97013096000001</v>
      </c>
      <c r="F68" s="20" t="n">
        <v>1.4429527</v>
      </c>
      <c r="G68" s="18" t="n">
        <v>24.56696754</v>
      </c>
      <c r="H68" s="20" t="n">
        <v>1.20534313</v>
      </c>
      <c r="I68" s="18" t="s">
        <v>567</v>
      </c>
      <c r="J68" s="20" t="s">
        <v>567</v>
      </c>
      <c r="K68" s="18" t="n">
        <v>2.02950736</v>
      </c>
      <c r="L68" s="20" t="n">
        <v>0.41697767</v>
      </c>
      <c r="M68" s="18" t="n">
        <v>0</v>
      </c>
      <c r="N68" s="20" t="n">
        <v>0</v>
      </c>
      <c r="O68" s="18" t="n">
        <v>0</v>
      </c>
      <c r="P68" s="20" t="n">
        <v>0</v>
      </c>
      <c r="Q68" s="18" t="n">
        <v>3.43339414</v>
      </c>
      <c r="R68" s="20" t="n">
        <v>0.57535815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(2303.0/B70*100)</f>
        <v/>
      </c>
      <c r="D70" s="19" t="n">
        <v>626</v>
      </c>
      <c r="E70" s="18" t="n">
        <v>59.02347854</v>
      </c>
      <c r="F70" s="20" t="n">
        <v>2.21751265</v>
      </c>
      <c r="G70" s="18" t="n">
        <v>40.16128791</v>
      </c>
      <c r="H70" s="20" t="n">
        <v>2.27340131</v>
      </c>
      <c r="I70" s="18" t="s">
        <v>567</v>
      </c>
      <c r="J70" s="20" t="s">
        <v>567</v>
      </c>
      <c r="K70" s="18" t="n">
        <v>0.14780566</v>
      </c>
      <c r="L70" s="20" t="n">
        <v>0.14466304</v>
      </c>
      <c r="M70" s="18" t="n">
        <v>0</v>
      </c>
      <c r="N70" s="20" t="n">
        <v>0</v>
      </c>
      <c r="O70" s="18" t="n">
        <v>0</v>
      </c>
      <c r="P70" s="20" t="n">
        <v>0</v>
      </c>
      <c r="Q70" s="18" t="n">
        <v>0.6674279</v>
      </c>
      <c r="R70" s="20" t="n">
        <v>0.32875739</v>
      </c>
    </row>
    <row r="71" spans="1:18">
      <c r="A71" s="15" t="s">
        <v>631</v>
      </c>
      <c r="B71" s="17" t="n">
        <v>3142</v>
      </c>
      <c r="C71" s="18">
        <f>(2447.0/B71*100)</f>
        <v/>
      </c>
      <c r="D71" s="19" t="n">
        <v>695</v>
      </c>
      <c r="E71" s="18" t="n">
        <v>50.71293353</v>
      </c>
      <c r="F71" s="20" t="n">
        <v>1.99433604</v>
      </c>
      <c r="G71" s="18" t="n">
        <v>48.89863388</v>
      </c>
      <c r="H71" s="20" t="n">
        <v>1.96469993</v>
      </c>
      <c r="I71" s="18" t="s">
        <v>567</v>
      </c>
      <c r="J71" s="20" t="s">
        <v>567</v>
      </c>
      <c r="K71" s="18" t="n">
        <v>0</v>
      </c>
      <c r="L71" s="20" t="n">
        <v>0</v>
      </c>
      <c r="M71" s="18" t="n">
        <v>0</v>
      </c>
      <c r="N71" s="20" t="n">
        <v>0</v>
      </c>
      <c r="O71" s="18" t="n">
        <v>0</v>
      </c>
      <c r="P71" s="20" t="n">
        <v>0</v>
      </c>
      <c r="Q71" s="18" t="n">
        <v>0.38843259</v>
      </c>
      <c r="R71" s="20" t="n">
        <v>0.22476455</v>
      </c>
    </row>
    <row r="72" spans="1:18">
      <c r="A72" s="15" t="s">
        <v>632</v>
      </c>
      <c r="B72" s="17" t="n">
        <v>3889</v>
      </c>
      <c r="C72" s="18">
        <f>(2989.0/B72*100)</f>
        <v/>
      </c>
      <c r="D72" s="19" t="n">
        <v>900</v>
      </c>
      <c r="E72" s="18" t="n">
        <v>45.39356651</v>
      </c>
      <c r="F72" s="20" t="n">
        <v>1.51837935</v>
      </c>
      <c r="G72" s="18" t="n">
        <v>53.97760864</v>
      </c>
      <c r="H72" s="20" t="n">
        <v>1.47772164</v>
      </c>
      <c r="I72" s="18" t="s">
        <v>567</v>
      </c>
      <c r="J72" s="20" t="s">
        <v>567</v>
      </c>
      <c r="K72" s="18" t="n">
        <v>0</v>
      </c>
      <c r="L72" s="20" t="n">
        <v>0</v>
      </c>
      <c r="M72" s="18" t="n">
        <v>0</v>
      </c>
      <c r="N72" s="20" t="n">
        <v>0</v>
      </c>
      <c r="O72" s="18" t="n">
        <v>0</v>
      </c>
      <c r="P72" s="20" t="n">
        <v>0</v>
      </c>
      <c r="Q72" s="18" t="n">
        <v>0.62882485</v>
      </c>
      <c r="R72" s="20" t="n">
        <v>0.26530281</v>
      </c>
    </row>
    <row r="73" spans="1:18">
      <c r="A73" s="15" t="s">
        <v>633</v>
      </c>
      <c r="B73" s="17" t="n">
        <v>3597</v>
      </c>
      <c r="C73" s="18">
        <f>(2838.0/B73*100)</f>
        <v/>
      </c>
      <c r="D73" s="19" t="n">
        <v>759</v>
      </c>
      <c r="E73" s="18" t="n">
        <v>71.08917913000001</v>
      </c>
      <c r="F73" s="20" t="n">
        <v>2.08574436</v>
      </c>
      <c r="G73" s="18" t="n">
        <v>27.13832637</v>
      </c>
      <c r="H73" s="20" t="n">
        <v>1.95929867</v>
      </c>
      <c r="I73" s="18" t="s">
        <v>567</v>
      </c>
      <c r="J73" s="20" t="s">
        <v>567</v>
      </c>
      <c r="K73" s="18" t="n">
        <v>0</v>
      </c>
      <c r="L73" s="20" t="n">
        <v>0</v>
      </c>
      <c r="M73" s="18" t="n">
        <v>0</v>
      </c>
      <c r="N73" s="20" t="n">
        <v>0</v>
      </c>
      <c r="O73" s="18" t="n">
        <v>0</v>
      </c>
      <c r="P73" s="20" t="n">
        <v>0</v>
      </c>
      <c r="Q73" s="18" t="n">
        <v>1.77249449</v>
      </c>
      <c r="R73" s="20" t="n">
        <v>0.63041994</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(1934.0/B75*100)</f>
        <v/>
      </c>
      <c r="D75" s="19" t="n">
        <v>472</v>
      </c>
      <c r="E75" s="18" t="n">
        <v>73.54866196</v>
      </c>
      <c r="F75" s="20" t="n">
        <v>2.10851062</v>
      </c>
      <c r="G75" s="18" t="n">
        <v>22.81745469</v>
      </c>
      <c r="H75" s="20" t="n">
        <v>2.04171525</v>
      </c>
      <c r="I75" s="18" t="s">
        <v>567</v>
      </c>
      <c r="J75" s="20" t="s">
        <v>567</v>
      </c>
      <c r="K75" s="18" t="n">
        <v>2.67391647</v>
      </c>
      <c r="L75" s="20" t="n">
        <v>0.91388468</v>
      </c>
      <c r="M75" s="18" t="n">
        <v>0</v>
      </c>
      <c r="N75" s="20" t="n">
        <v>0</v>
      </c>
      <c r="O75" s="18" t="n">
        <v>0</v>
      </c>
      <c r="P75" s="20" t="n">
        <v>0</v>
      </c>
      <c r="Q75" s="18" t="n">
        <v>0.95996688</v>
      </c>
      <c r="R75" s="20" t="n">
        <v>0.39829533</v>
      </c>
    </row>
    <row r="76" spans="1:18">
      <c r="A76" s="15" t="s">
        <v>636</v>
      </c>
      <c r="B76" s="17" t="n">
        <v>7052</v>
      </c>
      <c r="C76" s="18">
        <f>(5544.0/B76*100)</f>
        <v/>
      </c>
      <c r="D76" s="19" t="n">
        <v>1508</v>
      </c>
      <c r="E76" s="18" t="n">
        <v>66.3715126</v>
      </c>
      <c r="F76" s="20" t="n">
        <v>1.50762467</v>
      </c>
      <c r="G76" s="18" t="n">
        <v>29.59971955</v>
      </c>
      <c r="H76" s="20" t="n">
        <v>1.49350787</v>
      </c>
      <c r="I76" s="18" t="s">
        <v>567</v>
      </c>
      <c r="J76" s="20" t="s">
        <v>567</v>
      </c>
      <c r="K76" s="18" t="n">
        <v>1.38592422</v>
      </c>
      <c r="L76" s="20" t="n">
        <v>0.38149816</v>
      </c>
      <c r="M76" s="18" t="n">
        <v>0</v>
      </c>
      <c r="N76" s="20" t="n">
        <v>0</v>
      </c>
      <c r="O76" s="18" t="n">
        <v>0</v>
      </c>
      <c r="P76" s="20" t="n">
        <v>0</v>
      </c>
      <c r="Q76" s="18" t="n">
        <v>2.64284363</v>
      </c>
      <c r="R76" s="20" t="n">
        <v>0.72955908</v>
      </c>
    </row>
    <row r="77" spans="1:18">
      <c r="A77" s="15" t="s">
        <v>637</v>
      </c>
      <c r="B77" s="17" t="n">
        <v>2908</v>
      </c>
      <c r="C77" s="18">
        <f>(2294.0/B77*100)</f>
        <v/>
      </c>
      <c r="D77" s="19" t="n">
        <v>614</v>
      </c>
      <c r="E77" s="18" t="n">
        <v>66.32177378</v>
      </c>
      <c r="F77" s="20" t="n">
        <v>2.29882392</v>
      </c>
      <c r="G77" s="18" t="n">
        <v>30.29203186</v>
      </c>
      <c r="H77" s="20" t="n">
        <v>2.32081058</v>
      </c>
      <c r="I77" s="18" t="s">
        <v>567</v>
      </c>
      <c r="J77" s="20" t="s">
        <v>567</v>
      </c>
      <c r="K77" s="18" t="n">
        <v>1.19196351</v>
      </c>
      <c r="L77" s="20" t="n">
        <v>0.41301831</v>
      </c>
      <c r="M77" s="18" t="n">
        <v>0</v>
      </c>
      <c r="N77" s="20" t="n">
        <v>0</v>
      </c>
      <c r="O77" s="18" t="n">
        <v>0</v>
      </c>
      <c r="P77" s="20" t="n">
        <v>0</v>
      </c>
      <c r="Q77" s="18" t="n">
        <v>2.19423084</v>
      </c>
      <c r="R77" s="20" t="n">
        <v>0.54695951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(3256.0/B81*100)</f>
        <v/>
      </c>
      <c r="D81" s="19" t="n">
        <v>907</v>
      </c>
      <c r="E81" s="18" t="n">
        <v>57.54568877</v>
      </c>
      <c r="F81" s="20" t="n">
        <v>2.30946135</v>
      </c>
      <c r="G81" s="18" t="n">
        <v>41.46988938</v>
      </c>
      <c r="H81" s="20" t="n">
        <v>2.36370401</v>
      </c>
      <c r="I81" s="18" t="s">
        <v>567</v>
      </c>
      <c r="J81" s="20" t="s">
        <v>567</v>
      </c>
      <c r="K81" s="18" t="n">
        <v>0.15171154</v>
      </c>
      <c r="L81" s="20" t="n">
        <v>0.15181647</v>
      </c>
      <c r="M81" s="18" t="n">
        <v>0</v>
      </c>
      <c r="N81" s="20" t="n">
        <v>0</v>
      </c>
      <c r="O81" s="18" t="n">
        <v>0</v>
      </c>
      <c r="P81" s="20" t="n">
        <v>0</v>
      </c>
      <c r="Q81" s="18" t="n">
        <v>0.83271032</v>
      </c>
      <c r="R81" s="20" t="n">
        <v>0.35907533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(5725.0/B7*100)</f>
        <v/>
      </c>
      <c r="D7" s="19" t="n">
        <v>1642</v>
      </c>
      <c r="E7" s="18" t="n">
        <v>68.04798954</v>
      </c>
      <c r="F7" s="20" t="n">
        <v>1.39952029</v>
      </c>
      <c r="G7" s="18" t="n">
        <v>30.10564984</v>
      </c>
      <c r="H7" s="20" t="n">
        <v>1.37714282</v>
      </c>
      <c r="I7" s="18" t="s">
        <v>567</v>
      </c>
      <c r="J7" s="20" t="s">
        <v>567</v>
      </c>
      <c r="K7" s="18" t="n">
        <v>0.13758401</v>
      </c>
      <c r="L7" s="20" t="n">
        <v>0.0791067</v>
      </c>
      <c r="M7" s="18" t="n">
        <v>0.11122833</v>
      </c>
      <c r="N7" s="20" t="n">
        <v>0.09432158</v>
      </c>
      <c r="O7" s="18" t="n">
        <v>0</v>
      </c>
      <c r="P7" s="20" t="n">
        <v>0</v>
      </c>
      <c r="Q7" s="18" t="n">
        <v>1.59754828</v>
      </c>
      <c r="R7" s="20" t="n">
        <v>0.38159932</v>
      </c>
    </row>
    <row r="8" spans="1:18">
      <c r="A8" s="15" t="s">
        <v>568</v>
      </c>
      <c r="B8" s="17" t="n">
        <v>3564</v>
      </c>
      <c r="C8" s="18">
        <f>(2773.0/B8*100)</f>
        <v/>
      </c>
      <c r="D8" s="19" t="n">
        <v>791</v>
      </c>
      <c r="E8" s="18" t="n">
        <v>75.33511469</v>
      </c>
      <c r="F8" s="20" t="n">
        <v>1.78071511</v>
      </c>
      <c r="G8" s="18" t="n">
        <v>22.79081526</v>
      </c>
      <c r="H8" s="20" t="n">
        <v>1.8148977</v>
      </c>
      <c r="I8" s="18" t="s">
        <v>567</v>
      </c>
      <c r="J8" s="20" t="s">
        <v>567</v>
      </c>
      <c r="K8" s="18" t="n">
        <v>0.14956216</v>
      </c>
      <c r="L8" s="20" t="n">
        <v>0.14497983</v>
      </c>
      <c r="M8" s="18" t="n">
        <v>0</v>
      </c>
      <c r="N8" s="20" t="n">
        <v>0</v>
      </c>
      <c r="O8" s="18" t="n">
        <v>0</v>
      </c>
      <c r="P8" s="20" t="n">
        <v>0</v>
      </c>
      <c r="Q8" s="18" t="n">
        <v>1.72450789</v>
      </c>
      <c r="R8" s="20" t="n">
        <v>0.4608444</v>
      </c>
    </row>
    <row r="9" spans="1:18">
      <c r="A9" s="15" t="s">
        <v>569</v>
      </c>
      <c r="B9" s="17" t="n">
        <v>4899</v>
      </c>
      <c r="C9" s="18">
        <f>(3866.0/B9*100)</f>
        <v/>
      </c>
      <c r="D9" s="19" t="n">
        <v>1033</v>
      </c>
      <c r="E9" s="18" t="n">
        <v>71.37217390000001</v>
      </c>
      <c r="F9" s="20" t="n">
        <v>1.70605646</v>
      </c>
      <c r="G9" s="18" t="n">
        <v>25.99203052</v>
      </c>
      <c r="H9" s="20" t="n">
        <v>1.70663718</v>
      </c>
      <c r="I9" s="18" t="s">
        <v>567</v>
      </c>
      <c r="J9" s="20" t="s">
        <v>567</v>
      </c>
      <c r="K9" s="18" t="n">
        <v>0.09596254</v>
      </c>
      <c r="L9" s="20" t="n">
        <v>0.09571033</v>
      </c>
      <c r="M9" s="18" t="n">
        <v>0.42514836</v>
      </c>
      <c r="N9" s="20" t="n">
        <v>0.2168963</v>
      </c>
      <c r="O9" s="18" t="n">
        <v>0</v>
      </c>
      <c r="P9" s="20" t="n">
        <v>0</v>
      </c>
      <c r="Q9" s="18" t="n">
        <v>2.11468467</v>
      </c>
      <c r="R9" s="20" t="n">
        <v>0.41554631</v>
      </c>
    </row>
    <row r="10" spans="1:18">
      <c r="A10" s="15" t="s">
        <v>570</v>
      </c>
      <c r="B10" s="17" t="n">
        <v>10036</v>
      </c>
      <c r="C10" s="18">
        <f>(7793.0/B10*100)</f>
        <v/>
      </c>
      <c r="D10" s="19" t="n">
        <v>2243</v>
      </c>
      <c r="E10" s="18" t="n">
        <v>59.73967213</v>
      </c>
      <c r="F10" s="20" t="n">
        <v>1.69639636</v>
      </c>
      <c r="G10" s="18" t="n">
        <v>38.9543577</v>
      </c>
      <c r="H10" s="20" t="n">
        <v>1.66782111</v>
      </c>
      <c r="I10" s="18" t="s">
        <v>567</v>
      </c>
      <c r="J10" s="20" t="s">
        <v>567</v>
      </c>
      <c r="K10" s="18" t="n">
        <v>0.41049295</v>
      </c>
      <c r="L10" s="20" t="n">
        <v>0.20047818</v>
      </c>
      <c r="M10" s="18" t="n">
        <v>0</v>
      </c>
      <c r="N10" s="20" t="n">
        <v>0</v>
      </c>
      <c r="O10" s="18" t="n">
        <v>0</v>
      </c>
      <c r="P10" s="20" t="n">
        <v>0</v>
      </c>
      <c r="Q10" s="18" t="n">
        <v>0.89547722</v>
      </c>
      <c r="R10" s="20" t="n">
        <v>0.2809587</v>
      </c>
    </row>
    <row r="11" spans="1:18">
      <c r="A11" s="15" t="s">
        <v>571</v>
      </c>
      <c r="B11" s="17" t="n">
        <v>3553</v>
      </c>
      <c r="C11" s="18">
        <f>(2798.0/B11*100)</f>
        <v/>
      </c>
      <c r="D11" s="19" t="n">
        <v>755</v>
      </c>
      <c r="E11" s="18" t="n">
        <v>77.51098319</v>
      </c>
      <c r="F11" s="20" t="n">
        <v>2.06661318</v>
      </c>
      <c r="G11" s="18" t="n">
        <v>16.24336893</v>
      </c>
      <c r="H11" s="20" t="n">
        <v>1.46416385</v>
      </c>
      <c r="I11" s="18" t="s">
        <v>567</v>
      </c>
      <c r="J11" s="20" t="s">
        <v>567</v>
      </c>
      <c r="K11" s="18" t="n">
        <v>2.04754299</v>
      </c>
      <c r="L11" s="20" t="n">
        <v>0.88903471</v>
      </c>
      <c r="M11" s="18" t="n">
        <v>0</v>
      </c>
      <c r="N11" s="20" t="n">
        <v>0</v>
      </c>
      <c r="O11" s="18" t="n">
        <v>0</v>
      </c>
      <c r="P11" s="20" t="n">
        <v>0</v>
      </c>
      <c r="Q11" s="18" t="n">
        <v>4.19810489</v>
      </c>
      <c r="R11" s="20" t="n">
        <v>1.23556056</v>
      </c>
    </row>
    <row r="12" spans="1:18">
      <c r="A12" s="15" t="s">
        <v>572</v>
      </c>
      <c r="B12" s="17" t="n">
        <v>3472</v>
      </c>
      <c r="C12" s="18">
        <f>(2715.0/B12*100)</f>
        <v/>
      </c>
      <c r="D12" s="19" t="n">
        <v>757</v>
      </c>
      <c r="E12" s="18" t="n">
        <v>75.14614477000001</v>
      </c>
      <c r="F12" s="20" t="n">
        <v>1.67424306</v>
      </c>
      <c r="G12" s="18" t="n">
        <v>23.29299853</v>
      </c>
      <c r="H12" s="20" t="n">
        <v>1.60729574</v>
      </c>
      <c r="I12" s="18" t="s">
        <v>567</v>
      </c>
      <c r="J12" s="20" t="s">
        <v>567</v>
      </c>
      <c r="K12" s="18" t="n">
        <v>0.23984244</v>
      </c>
      <c r="L12" s="20" t="n">
        <v>0.1693259</v>
      </c>
      <c r="M12" s="18" t="n">
        <v>0.07766632</v>
      </c>
      <c r="N12" s="20" t="n">
        <v>0.1039456</v>
      </c>
      <c r="O12" s="18" t="n">
        <v>0</v>
      </c>
      <c r="P12" s="20" t="n">
        <v>0</v>
      </c>
      <c r="Q12" s="18" t="n">
        <v>1.24334794</v>
      </c>
      <c r="R12" s="20" t="n">
        <v>0.46882365</v>
      </c>
    </row>
    <row r="13" spans="1:18">
      <c r="A13" s="15" t="s">
        <v>573</v>
      </c>
      <c r="B13" s="17" t="n">
        <v>3559</v>
      </c>
      <c r="C13" s="18">
        <f>(2825.0/B13*100)</f>
        <v/>
      </c>
      <c r="D13" s="19" t="n">
        <v>734</v>
      </c>
      <c r="E13" s="18" t="n">
        <v>67.98912118</v>
      </c>
      <c r="F13" s="20" t="n">
        <v>2.08246489</v>
      </c>
      <c r="G13" s="18" t="n">
        <v>31.41804566</v>
      </c>
      <c r="H13" s="20" t="n">
        <v>2.09601583</v>
      </c>
      <c r="I13" s="18" t="s">
        <v>567</v>
      </c>
      <c r="J13" s="20" t="s">
        <v>567</v>
      </c>
      <c r="K13" s="18" t="n">
        <v>0.15413895</v>
      </c>
      <c r="L13" s="20" t="n">
        <v>0.1081889</v>
      </c>
      <c r="M13" s="18" t="n">
        <v>0.06530405</v>
      </c>
      <c r="N13" s="20" t="n">
        <v>0.06825741</v>
      </c>
      <c r="O13" s="18" t="n">
        <v>0</v>
      </c>
      <c r="P13" s="20" t="n">
        <v>0</v>
      </c>
      <c r="Q13" s="18" t="n">
        <v>0.37339016</v>
      </c>
      <c r="R13" s="20" t="n">
        <v>0.17324947</v>
      </c>
    </row>
    <row r="14" spans="1:18">
      <c r="A14" s="15" t="s">
        <v>574</v>
      </c>
      <c r="B14" s="17" t="n">
        <v>2799</v>
      </c>
      <c r="C14" s="18">
        <f>(2216.0/B14*100)</f>
        <v/>
      </c>
      <c r="D14" s="19" t="n">
        <v>583</v>
      </c>
      <c r="E14" s="18" t="n">
        <v>65.02232806000001</v>
      </c>
      <c r="F14" s="20" t="n">
        <v>2.27934875</v>
      </c>
      <c r="G14" s="18" t="n">
        <v>34.19215823</v>
      </c>
      <c r="H14" s="20" t="n">
        <v>2.38334907</v>
      </c>
      <c r="I14" s="18" t="s">
        <v>567</v>
      </c>
      <c r="J14" s="20" t="s">
        <v>567</v>
      </c>
      <c r="K14" s="18" t="n">
        <v>0.14259029</v>
      </c>
      <c r="L14" s="20" t="n">
        <v>0.14252487</v>
      </c>
      <c r="M14" s="18" t="n">
        <v>0</v>
      </c>
      <c r="N14" s="20" t="n">
        <v>0</v>
      </c>
      <c r="O14" s="18" t="n">
        <v>0</v>
      </c>
      <c r="P14" s="20" t="n">
        <v>0</v>
      </c>
      <c r="Q14" s="18" t="n">
        <v>0.64292342</v>
      </c>
      <c r="R14" s="20" t="n">
        <v>0.4192528</v>
      </c>
    </row>
    <row r="15" spans="1:18">
      <c r="A15" s="15" t="s">
        <v>575</v>
      </c>
      <c r="B15" s="17" t="n">
        <v>3019</v>
      </c>
      <c r="C15" s="18">
        <f>(2374.0/B15*100)</f>
        <v/>
      </c>
      <c r="D15" s="19" t="n">
        <v>645</v>
      </c>
      <c r="E15" s="18" t="n">
        <v>73.16453620999999</v>
      </c>
      <c r="F15" s="20" t="n">
        <v>1.8942262</v>
      </c>
      <c r="G15" s="18" t="n">
        <v>25.32498009</v>
      </c>
      <c r="H15" s="20" t="n">
        <v>1.77835674</v>
      </c>
      <c r="I15" s="18" t="s">
        <v>567</v>
      </c>
      <c r="J15" s="20" t="s">
        <v>567</v>
      </c>
      <c r="K15" s="18" t="n">
        <v>0.3586869</v>
      </c>
      <c r="L15" s="20" t="n">
        <v>0.27045104</v>
      </c>
      <c r="M15" s="18" t="n">
        <v>0</v>
      </c>
      <c r="N15" s="20" t="n">
        <v>0</v>
      </c>
      <c r="O15" s="18" t="n">
        <v>0</v>
      </c>
      <c r="P15" s="20" t="n">
        <v>0</v>
      </c>
      <c r="Q15" s="18" t="n">
        <v>1.1517968</v>
      </c>
      <c r="R15" s="20" t="n">
        <v>0.45568827</v>
      </c>
    </row>
    <row r="16" spans="1:18">
      <c r="A16" s="15" t="s">
        <v>576</v>
      </c>
      <c r="B16" s="17" t="n">
        <v>2997</v>
      </c>
      <c r="C16" s="18">
        <f>(2363.0/B16*100)</f>
        <v/>
      </c>
      <c r="D16" s="19" t="n">
        <v>634</v>
      </c>
      <c r="E16" s="18" t="n">
        <v>68.24913850999999</v>
      </c>
      <c r="F16" s="20" t="n">
        <v>1.73472626</v>
      </c>
      <c r="G16" s="18" t="n">
        <v>27.01352468</v>
      </c>
      <c r="H16" s="20" t="n">
        <v>1.7198905</v>
      </c>
      <c r="I16" s="18" t="s">
        <v>567</v>
      </c>
      <c r="J16" s="20" t="s">
        <v>567</v>
      </c>
      <c r="K16" s="18" t="n">
        <v>0.86476834</v>
      </c>
      <c r="L16" s="20" t="n">
        <v>0.32425644</v>
      </c>
      <c r="M16" s="18" t="n">
        <v>0</v>
      </c>
      <c r="N16" s="20" t="n">
        <v>0</v>
      </c>
      <c r="O16" s="18" t="n">
        <v>0</v>
      </c>
      <c r="P16" s="20" t="n">
        <v>0</v>
      </c>
      <c r="Q16" s="18" t="n">
        <v>3.87256848</v>
      </c>
      <c r="R16" s="20" t="n">
        <v>0.76625797</v>
      </c>
    </row>
    <row r="17" spans="1:18">
      <c r="A17" s="15" t="s">
        <v>577</v>
      </c>
      <c r="B17" s="17" t="n">
        <v>3307</v>
      </c>
      <c r="C17" s="18">
        <f>(2587.0/B17*100)</f>
        <v/>
      </c>
      <c r="D17" s="19" t="n">
        <v>720</v>
      </c>
      <c r="E17" s="18" t="n">
        <v>74.51173821</v>
      </c>
      <c r="F17" s="20" t="n">
        <v>1.66512277</v>
      </c>
      <c r="G17" s="18" t="n">
        <v>23.20695087</v>
      </c>
      <c r="H17" s="20" t="n">
        <v>1.70845179</v>
      </c>
      <c r="I17" s="18" t="s">
        <v>567</v>
      </c>
      <c r="J17" s="20" t="s">
        <v>567</v>
      </c>
      <c r="K17" s="18" t="n">
        <v>0.42921671</v>
      </c>
      <c r="L17" s="20" t="n">
        <v>0.20839849</v>
      </c>
      <c r="M17" s="18" t="n">
        <v>0</v>
      </c>
      <c r="N17" s="20" t="n">
        <v>0</v>
      </c>
      <c r="O17" s="18" t="n">
        <v>0</v>
      </c>
      <c r="P17" s="20" t="n">
        <v>0</v>
      </c>
      <c r="Q17" s="18" t="n">
        <v>1.85209421</v>
      </c>
      <c r="R17" s="20" t="n">
        <v>0.44716516</v>
      </c>
    </row>
    <row r="18" spans="1:18">
      <c r="A18" s="15" t="s">
        <v>578</v>
      </c>
      <c r="B18" s="17" t="n">
        <v>2826</v>
      </c>
      <c r="C18" s="18">
        <f>(2231.0/B18*100)</f>
        <v/>
      </c>
      <c r="D18" s="19" t="n">
        <v>595</v>
      </c>
      <c r="E18" s="18" t="n">
        <v>78.13379491000001</v>
      </c>
      <c r="F18" s="20" t="n">
        <v>1.71817892</v>
      </c>
      <c r="G18" s="18" t="n">
        <v>17.87740263</v>
      </c>
      <c r="H18" s="20" t="n">
        <v>1.69751874</v>
      </c>
      <c r="I18" s="18" t="s">
        <v>567</v>
      </c>
      <c r="J18" s="20" t="s">
        <v>567</v>
      </c>
      <c r="K18" s="18" t="n">
        <v>0.81683012</v>
      </c>
      <c r="L18" s="20" t="n">
        <v>0.40645066</v>
      </c>
      <c r="M18" s="18" t="n">
        <v>0</v>
      </c>
      <c r="N18" s="20" t="n">
        <v>0</v>
      </c>
      <c r="O18" s="18" t="n">
        <v>0</v>
      </c>
      <c r="P18" s="20" t="n">
        <v>0</v>
      </c>
      <c r="Q18" s="18" t="n">
        <v>3.17197234</v>
      </c>
      <c r="R18" s="20" t="n">
        <v>0.82623754</v>
      </c>
    </row>
    <row r="19" spans="1:18">
      <c r="A19" s="15" t="s">
        <v>579</v>
      </c>
      <c r="B19" s="17" t="n">
        <v>2808</v>
      </c>
      <c r="C19" s="18">
        <f>(2143.0/B19*100)</f>
        <v/>
      </c>
      <c r="D19" s="19" t="n">
        <v>665</v>
      </c>
      <c r="E19" s="18" t="n">
        <v>70.26981879</v>
      </c>
      <c r="F19" s="20" t="n">
        <v>2.00471371</v>
      </c>
      <c r="G19" s="18" t="n">
        <v>27.66467707</v>
      </c>
      <c r="H19" s="20" t="n">
        <v>2.07484057</v>
      </c>
      <c r="I19" s="18" t="s">
        <v>567</v>
      </c>
      <c r="J19" s="20" t="s">
        <v>567</v>
      </c>
      <c r="K19" s="18" t="n">
        <v>0.11806648</v>
      </c>
      <c r="L19" s="20" t="n">
        <v>0.11725452</v>
      </c>
      <c r="M19" s="18" t="n">
        <v>0.1285611</v>
      </c>
      <c r="N19" s="20" t="n">
        <v>0.12777749</v>
      </c>
      <c r="O19" s="18" t="n">
        <v>0</v>
      </c>
      <c r="P19" s="20" t="n">
        <v>0</v>
      </c>
      <c r="Q19" s="18" t="n">
        <v>1.81887657</v>
      </c>
      <c r="R19" s="20" t="n">
        <v>0.55807052</v>
      </c>
    </row>
    <row r="20" spans="1:18">
      <c r="A20" s="15" t="s">
        <v>580</v>
      </c>
      <c r="B20" s="17" t="n">
        <v>1630</v>
      </c>
      <c r="C20" s="18">
        <f>(1249.0/B20*100)</f>
        <v/>
      </c>
      <c r="D20" s="19" t="n">
        <v>381</v>
      </c>
      <c r="E20" s="18" t="n">
        <v>84.24664536</v>
      </c>
      <c r="F20" s="20" t="n">
        <v>1.77575396</v>
      </c>
      <c r="G20" s="18" t="n">
        <v>13.85110148</v>
      </c>
      <c r="H20" s="20" t="n">
        <v>1.67795401</v>
      </c>
      <c r="I20" s="18" t="s">
        <v>567</v>
      </c>
      <c r="J20" s="20" t="s">
        <v>567</v>
      </c>
      <c r="K20" s="18" t="n">
        <v>0</v>
      </c>
      <c r="L20" s="20" t="n">
        <v>0</v>
      </c>
      <c r="M20" s="18" t="n">
        <v>0</v>
      </c>
      <c r="N20" s="20" t="n">
        <v>0</v>
      </c>
      <c r="O20" s="18" t="n">
        <v>0</v>
      </c>
      <c r="P20" s="20" t="n">
        <v>0</v>
      </c>
      <c r="Q20" s="18" t="n">
        <v>1.90225316</v>
      </c>
      <c r="R20" s="20" t="n">
        <v>0.67982716</v>
      </c>
    </row>
    <row r="21" spans="1:18">
      <c r="A21" s="15" t="s">
        <v>581</v>
      </c>
      <c r="B21" s="17" t="n">
        <v>2908</v>
      </c>
      <c r="C21" s="18">
        <f>(2277.0/B21*100)</f>
        <v/>
      </c>
      <c r="D21" s="19" t="n">
        <v>631</v>
      </c>
      <c r="E21" s="18" t="n">
        <v>61.67983877</v>
      </c>
      <c r="F21" s="20" t="n">
        <v>1.85022308</v>
      </c>
      <c r="G21" s="18" t="n">
        <v>36.78327569</v>
      </c>
      <c r="H21" s="20" t="n">
        <v>1.8517371</v>
      </c>
      <c r="I21" s="18" t="s">
        <v>567</v>
      </c>
      <c r="J21" s="20" t="s">
        <v>567</v>
      </c>
      <c r="K21" s="18" t="n">
        <v>0.12610321</v>
      </c>
      <c r="L21" s="20" t="n">
        <v>0.12774974</v>
      </c>
      <c r="M21" s="18" t="n">
        <v>0</v>
      </c>
      <c r="N21" s="20" t="n">
        <v>0</v>
      </c>
      <c r="O21" s="18" t="n">
        <v>0</v>
      </c>
      <c r="P21" s="20" t="n">
        <v>0</v>
      </c>
      <c r="Q21" s="18" t="n">
        <v>1.41078234</v>
      </c>
      <c r="R21" s="20" t="n">
        <v>0.5173629</v>
      </c>
    </row>
    <row r="22" spans="1:18">
      <c r="A22" s="15" t="s">
        <v>582</v>
      </c>
      <c r="B22" s="17" t="n">
        <v>2931</v>
      </c>
      <c r="C22" s="18">
        <f>(2300.0/B22*100)</f>
        <v/>
      </c>
      <c r="D22" s="19" t="n">
        <v>631</v>
      </c>
      <c r="E22" s="18" t="n">
        <v>68.55976234000001</v>
      </c>
      <c r="F22" s="20" t="n">
        <v>2.31753007</v>
      </c>
      <c r="G22" s="18" t="n">
        <v>27.39959976</v>
      </c>
      <c r="H22" s="20" t="n">
        <v>2.2534949</v>
      </c>
      <c r="I22" s="18" t="s">
        <v>567</v>
      </c>
      <c r="J22" s="20" t="s">
        <v>567</v>
      </c>
      <c r="K22" s="18" t="n">
        <v>1.15786313</v>
      </c>
      <c r="L22" s="20" t="n">
        <v>0.5069116299999999</v>
      </c>
      <c r="M22" s="18" t="n">
        <v>0</v>
      </c>
      <c r="N22" s="20" t="n">
        <v>0</v>
      </c>
      <c r="O22" s="18" t="n">
        <v>0</v>
      </c>
      <c r="P22" s="20" t="n">
        <v>0</v>
      </c>
      <c r="Q22" s="18" t="n">
        <v>2.88277476</v>
      </c>
      <c r="R22" s="20" t="n">
        <v>0.80340864</v>
      </c>
    </row>
    <row r="23" spans="1:18">
      <c r="A23" s="15" t="s">
        <v>583</v>
      </c>
      <c r="B23" s="17" t="n">
        <v>5791</v>
      </c>
      <c r="C23" s="18">
        <f>(4473.0/B23*100)</f>
        <v/>
      </c>
      <c r="D23" s="19" t="n">
        <v>1318</v>
      </c>
      <c r="E23" s="18" t="n">
        <v>78.18527525</v>
      </c>
      <c r="F23" s="20" t="n">
        <v>1.40444777</v>
      </c>
      <c r="G23" s="18" t="n">
        <v>20.54293197</v>
      </c>
      <c r="H23" s="20" t="n">
        <v>1.48914886</v>
      </c>
      <c r="I23" s="18" t="s">
        <v>567</v>
      </c>
      <c r="J23" s="20" t="s">
        <v>567</v>
      </c>
      <c r="K23" s="18" t="n">
        <v>0.15841351</v>
      </c>
      <c r="L23" s="20" t="n">
        <v>0.15634599</v>
      </c>
      <c r="M23" s="18" t="n">
        <v>0.0956346</v>
      </c>
      <c r="N23" s="20" t="n">
        <v>0.10163674</v>
      </c>
      <c r="O23" s="18" t="n">
        <v>0</v>
      </c>
      <c r="P23" s="20" t="n">
        <v>0</v>
      </c>
      <c r="Q23" s="18" t="n">
        <v>1.01774467</v>
      </c>
      <c r="R23" s="20" t="n">
        <v>0.37533598</v>
      </c>
    </row>
    <row r="24" spans="1:18">
      <c r="A24" s="15" t="s">
        <v>584</v>
      </c>
      <c r="B24" s="17" t="n">
        <v>3338</v>
      </c>
      <c r="C24" s="18">
        <f>(2615.0/B24*100)</f>
        <v/>
      </c>
      <c r="D24" s="19" t="n">
        <v>723</v>
      </c>
      <c r="E24" s="18" t="n">
        <v>64.55242284000001</v>
      </c>
      <c r="F24" s="20" t="n">
        <v>1.9797713</v>
      </c>
      <c r="G24" s="18" t="n">
        <v>31.71483974</v>
      </c>
      <c r="H24" s="20" t="n">
        <v>1.87202736</v>
      </c>
      <c r="I24" s="18" t="s">
        <v>567</v>
      </c>
      <c r="J24" s="20" t="s">
        <v>567</v>
      </c>
      <c r="K24" s="18" t="n">
        <v>0.13332167</v>
      </c>
      <c r="L24" s="20" t="n">
        <v>0.13253303</v>
      </c>
      <c r="M24" s="18" t="n">
        <v>0</v>
      </c>
      <c r="N24" s="20" t="n">
        <v>0</v>
      </c>
      <c r="O24" s="18" t="n">
        <v>0</v>
      </c>
      <c r="P24" s="20" t="n">
        <v>0</v>
      </c>
      <c r="Q24" s="18" t="n">
        <v>3.59941575</v>
      </c>
      <c r="R24" s="20" t="n">
        <v>0.64989835</v>
      </c>
    </row>
    <row r="25" spans="1:18">
      <c r="A25" s="15" t="s">
        <v>585</v>
      </c>
      <c r="B25" s="17" t="n">
        <v>2912</v>
      </c>
      <c r="C25" s="18">
        <f>(2243.0/B25*100)</f>
        <v/>
      </c>
      <c r="D25" s="19" t="n">
        <v>669</v>
      </c>
      <c r="E25" s="18" t="n">
        <v>70.41859273</v>
      </c>
      <c r="F25" s="20" t="n">
        <v>1.72181187</v>
      </c>
      <c r="G25" s="18" t="n">
        <v>28.53356715</v>
      </c>
      <c r="H25" s="20" t="n">
        <v>1.77992042</v>
      </c>
      <c r="I25" s="18" t="s">
        <v>567</v>
      </c>
      <c r="J25" s="20" t="s">
        <v>567</v>
      </c>
      <c r="K25" s="18" t="n">
        <v>0.43919243</v>
      </c>
      <c r="L25" s="20" t="n">
        <v>0.25117574</v>
      </c>
      <c r="M25" s="18" t="n">
        <v>0</v>
      </c>
      <c r="N25" s="20" t="n">
        <v>0</v>
      </c>
      <c r="O25" s="18" t="n">
        <v>0</v>
      </c>
      <c r="P25" s="20" t="n">
        <v>0</v>
      </c>
      <c r="Q25" s="18" t="n">
        <v>0.60864769</v>
      </c>
      <c r="R25" s="20" t="n">
        <v>0.3055423</v>
      </c>
    </row>
    <row r="26" spans="1:18">
      <c r="A26" s="15" t="s">
        <v>586</v>
      </c>
      <c r="B26" s="17" t="n">
        <v>2450</v>
      </c>
      <c r="C26" s="18">
        <f>(1912.0/B26*100)</f>
        <v/>
      </c>
      <c r="D26" s="19" t="n">
        <v>538</v>
      </c>
      <c r="E26" s="18" t="n">
        <v>78.88078385</v>
      </c>
      <c r="F26" s="20" t="n">
        <v>1.87884543</v>
      </c>
      <c r="G26" s="18" t="n">
        <v>20.80109199</v>
      </c>
      <c r="H26" s="20" t="n">
        <v>1.88976776</v>
      </c>
      <c r="I26" s="18" t="s">
        <v>567</v>
      </c>
      <c r="J26" s="20" t="s">
        <v>567</v>
      </c>
      <c r="K26" s="18" t="n">
        <v>0</v>
      </c>
      <c r="L26" s="20" t="n">
        <v>0</v>
      </c>
      <c r="M26" s="18" t="n">
        <v>0.14809184</v>
      </c>
      <c r="N26" s="20" t="n">
        <v>0.14846877</v>
      </c>
      <c r="O26" s="18" t="n">
        <v>0</v>
      </c>
      <c r="P26" s="20" t="n">
        <v>0</v>
      </c>
      <c r="Q26" s="18" t="n">
        <v>0.17003232</v>
      </c>
      <c r="R26" s="20" t="n">
        <v>0.16786963</v>
      </c>
    </row>
    <row r="27" spans="1:18">
      <c r="A27" s="15" t="s">
        <v>587</v>
      </c>
      <c r="B27" s="17" t="n">
        <v>2616</v>
      </c>
      <c r="C27" s="18">
        <f>(2039.0/B27*100)</f>
        <v/>
      </c>
      <c r="D27" s="19" t="n">
        <v>577</v>
      </c>
      <c r="E27" s="18" t="n">
        <v>76.74055198000001</v>
      </c>
      <c r="F27" s="20" t="n">
        <v>1.89616797</v>
      </c>
      <c r="G27" s="18" t="n">
        <v>20.27059774</v>
      </c>
      <c r="H27" s="20" t="n">
        <v>1.91006102</v>
      </c>
      <c r="I27" s="18" t="s">
        <v>567</v>
      </c>
      <c r="J27" s="20" t="s">
        <v>567</v>
      </c>
      <c r="K27" s="18" t="n">
        <v>0.33796499</v>
      </c>
      <c r="L27" s="20" t="n">
        <v>0.23881061</v>
      </c>
      <c r="M27" s="18" t="n">
        <v>0</v>
      </c>
      <c r="N27" s="20" t="n">
        <v>0</v>
      </c>
      <c r="O27" s="18" t="n">
        <v>0</v>
      </c>
      <c r="P27" s="20" t="n">
        <v>0</v>
      </c>
      <c r="Q27" s="18" t="n">
        <v>2.65088529</v>
      </c>
      <c r="R27" s="20" t="n">
        <v>0.6265897499999999</v>
      </c>
    </row>
    <row r="28" spans="1:18">
      <c r="A28" s="15" t="s">
        <v>588</v>
      </c>
      <c r="B28" s="17" t="n">
        <v>3765</v>
      </c>
      <c r="C28" s="18">
        <f>(2976.0/B28*100)</f>
        <v/>
      </c>
      <c r="D28" s="19" t="n">
        <v>789</v>
      </c>
      <c r="E28" s="18" t="n">
        <v>84.67329036</v>
      </c>
      <c r="F28" s="20" t="n">
        <v>1.37785671</v>
      </c>
      <c r="G28" s="18" t="n">
        <v>12.34748282</v>
      </c>
      <c r="H28" s="20" t="n">
        <v>1.17109759</v>
      </c>
      <c r="I28" s="18" t="s">
        <v>567</v>
      </c>
      <c r="J28" s="20" t="s">
        <v>567</v>
      </c>
      <c r="K28" s="18" t="n">
        <v>0.97883016</v>
      </c>
      <c r="L28" s="20" t="n">
        <v>0.36429838</v>
      </c>
      <c r="M28" s="18" t="n">
        <v>0.32011843</v>
      </c>
      <c r="N28" s="20" t="n">
        <v>0.23987966</v>
      </c>
      <c r="O28" s="18" t="n">
        <v>0</v>
      </c>
      <c r="P28" s="20" t="n">
        <v>0</v>
      </c>
      <c r="Q28" s="18" t="n">
        <v>1.68027823</v>
      </c>
      <c r="R28" s="20" t="n">
        <v>0.53407757</v>
      </c>
    </row>
    <row r="29" spans="1:18">
      <c r="A29" s="15" t="s">
        <v>589</v>
      </c>
      <c r="B29" s="17" t="n">
        <v>2685</v>
      </c>
      <c r="C29" s="18">
        <f>(2106.0/B29*100)</f>
        <v/>
      </c>
      <c r="D29" s="19" t="n">
        <v>579</v>
      </c>
      <c r="E29" s="18" t="n">
        <v>67.30199415</v>
      </c>
      <c r="F29" s="20" t="n">
        <v>1.78330767</v>
      </c>
      <c r="G29" s="18" t="n">
        <v>31.80723148</v>
      </c>
      <c r="H29" s="20" t="n">
        <v>1.76560901</v>
      </c>
      <c r="I29" s="18" t="s">
        <v>567</v>
      </c>
      <c r="J29" s="20" t="s">
        <v>567</v>
      </c>
      <c r="K29" s="18" t="n">
        <v>0.63425145</v>
      </c>
      <c r="L29" s="20" t="n">
        <v>0.31559316</v>
      </c>
      <c r="M29" s="18" t="n">
        <v>0</v>
      </c>
      <c r="N29" s="20" t="n">
        <v>0</v>
      </c>
      <c r="O29" s="18" t="n">
        <v>0</v>
      </c>
      <c r="P29" s="20" t="n">
        <v>0</v>
      </c>
      <c r="Q29" s="18" t="n">
        <v>0.25652292</v>
      </c>
      <c r="R29" s="20" t="n">
        <v>0.24605567</v>
      </c>
    </row>
    <row r="30" spans="1:18">
      <c r="A30" s="15" t="s">
        <v>590</v>
      </c>
      <c r="B30" s="17" t="n">
        <v>2263</v>
      </c>
      <c r="C30" s="18">
        <f>(1781.0/B30*100)</f>
        <v/>
      </c>
      <c r="D30" s="19" t="n">
        <v>482</v>
      </c>
      <c r="E30" s="18" t="n">
        <v>59.41011901</v>
      </c>
      <c r="F30" s="20" t="n">
        <v>2.32024144</v>
      </c>
      <c r="G30" s="18" t="n">
        <v>36.26157857</v>
      </c>
      <c r="H30" s="20" t="n">
        <v>2.25899545</v>
      </c>
      <c r="I30" s="18" t="s">
        <v>567</v>
      </c>
      <c r="J30" s="20" t="s">
        <v>567</v>
      </c>
      <c r="K30" s="18" t="n">
        <v>0.23131374</v>
      </c>
      <c r="L30" s="20" t="n">
        <v>0.22248181</v>
      </c>
      <c r="M30" s="18" t="n">
        <v>0.18553005</v>
      </c>
      <c r="N30" s="20" t="n">
        <v>0.18731937</v>
      </c>
      <c r="O30" s="18" t="n">
        <v>0</v>
      </c>
      <c r="P30" s="20" t="n">
        <v>0</v>
      </c>
      <c r="Q30" s="18" t="n">
        <v>3.91145863</v>
      </c>
      <c r="R30" s="20" t="n">
        <v>0.99257565</v>
      </c>
    </row>
    <row r="31" spans="1:18">
      <c r="A31" s="15" t="s">
        <v>591</v>
      </c>
      <c r="B31" s="17" t="n">
        <v>2750</v>
      </c>
      <c r="C31" s="18">
        <f>(2165.0/B31*100)</f>
        <v/>
      </c>
      <c r="D31" s="19" t="n">
        <v>585</v>
      </c>
      <c r="E31" s="18" t="n">
        <v>78.2487867</v>
      </c>
      <c r="F31" s="20" t="n">
        <v>1.49691328</v>
      </c>
      <c r="G31" s="18" t="n">
        <v>19.10704951</v>
      </c>
      <c r="H31" s="20" t="n">
        <v>1.3420304</v>
      </c>
      <c r="I31" s="18" t="s">
        <v>567</v>
      </c>
      <c r="J31" s="20" t="s">
        <v>567</v>
      </c>
      <c r="K31" s="18" t="n">
        <v>0.6512410199999999</v>
      </c>
      <c r="L31" s="20" t="n">
        <v>0.31376836</v>
      </c>
      <c r="M31" s="18" t="n">
        <v>0.14281035</v>
      </c>
      <c r="N31" s="20" t="n">
        <v>0.16836163</v>
      </c>
      <c r="O31" s="18" t="n">
        <v>0</v>
      </c>
      <c r="P31" s="20" t="n">
        <v>0</v>
      </c>
      <c r="Q31" s="18" t="n">
        <v>1.85011243</v>
      </c>
      <c r="R31" s="20" t="n">
        <v>0.67308685</v>
      </c>
    </row>
    <row r="32" spans="1:18">
      <c r="A32" s="15" t="s">
        <v>592</v>
      </c>
      <c r="B32" s="17" t="n">
        <v>2269</v>
      </c>
      <c r="C32" s="18">
        <f>(1761.0/B32*100)</f>
        <v/>
      </c>
      <c r="D32" s="19" t="n">
        <v>508</v>
      </c>
      <c r="E32" s="18" t="n">
        <v>77.19136695</v>
      </c>
      <c r="F32" s="20" t="n">
        <v>2.1919683</v>
      </c>
      <c r="G32" s="18" t="n">
        <v>22.4157347</v>
      </c>
      <c r="H32" s="20" t="n">
        <v>2.16401367</v>
      </c>
      <c r="I32" s="18" t="s">
        <v>567</v>
      </c>
      <c r="J32" s="20" t="s">
        <v>567</v>
      </c>
      <c r="K32" s="18" t="n">
        <v>0.17481716</v>
      </c>
      <c r="L32" s="20" t="n">
        <v>0.17424107</v>
      </c>
      <c r="M32" s="18" t="n">
        <v>0</v>
      </c>
      <c r="N32" s="20" t="n">
        <v>0</v>
      </c>
      <c r="O32" s="18" t="n">
        <v>0</v>
      </c>
      <c r="P32" s="20" t="n">
        <v>0</v>
      </c>
      <c r="Q32" s="18" t="n">
        <v>0.21808119</v>
      </c>
      <c r="R32" s="20" t="n">
        <v>0.21411141</v>
      </c>
    </row>
    <row r="33" spans="1:18">
      <c r="A33" s="15" t="s">
        <v>593</v>
      </c>
      <c r="B33" s="17" t="n">
        <v>3674</v>
      </c>
      <c r="C33" s="18">
        <f>(2887.0/B33*100)</f>
        <v/>
      </c>
      <c r="D33" s="19" t="n">
        <v>787</v>
      </c>
      <c r="E33" s="18" t="n">
        <v>69.40345154000001</v>
      </c>
      <c r="F33" s="20" t="n">
        <v>1.98458881</v>
      </c>
      <c r="G33" s="18" t="n">
        <v>28.10476664</v>
      </c>
      <c r="H33" s="20" t="n">
        <v>1.91830597</v>
      </c>
      <c r="I33" s="18" t="s">
        <v>567</v>
      </c>
      <c r="J33" s="20" t="s">
        <v>567</v>
      </c>
      <c r="K33" s="18" t="n">
        <v>0.43753049</v>
      </c>
      <c r="L33" s="20" t="n">
        <v>0.31171627</v>
      </c>
      <c r="M33" s="18" t="n">
        <v>0.42236632</v>
      </c>
      <c r="N33" s="20" t="n">
        <v>0.32010213</v>
      </c>
      <c r="O33" s="18" t="n">
        <v>0</v>
      </c>
      <c r="P33" s="20" t="n">
        <v>0</v>
      </c>
      <c r="Q33" s="18" t="n">
        <v>1.63188502</v>
      </c>
      <c r="R33" s="20" t="n">
        <v>0.41671401</v>
      </c>
    </row>
    <row r="34" spans="1:18">
      <c r="A34" s="15" t="s">
        <v>594</v>
      </c>
      <c r="B34" s="17" t="n">
        <v>3315</v>
      </c>
      <c r="C34" s="18">
        <f>(2616.0/B34*100)</f>
        <v/>
      </c>
      <c r="D34" s="19" t="n">
        <v>699</v>
      </c>
      <c r="E34" s="18" t="n">
        <v>78.28360413999999</v>
      </c>
      <c r="F34" s="20" t="n">
        <v>1.62800687</v>
      </c>
      <c r="G34" s="18" t="n">
        <v>19.816315</v>
      </c>
      <c r="H34" s="20" t="n">
        <v>1.73440568</v>
      </c>
      <c r="I34" s="18" t="s">
        <v>567</v>
      </c>
      <c r="J34" s="20" t="s">
        <v>567</v>
      </c>
      <c r="K34" s="18" t="n">
        <v>0.09308886</v>
      </c>
      <c r="L34" s="20" t="n">
        <v>0.09282261999999999</v>
      </c>
      <c r="M34" s="18" t="n">
        <v>0.53876906</v>
      </c>
      <c r="N34" s="20" t="n">
        <v>0.26979362</v>
      </c>
      <c r="O34" s="18" t="n">
        <v>0</v>
      </c>
      <c r="P34" s="20" t="n">
        <v>0</v>
      </c>
      <c r="Q34" s="18" t="n">
        <v>1.26822294</v>
      </c>
      <c r="R34" s="20" t="n">
        <v>0.43820481</v>
      </c>
    </row>
    <row r="35" spans="1:18">
      <c r="A35" s="15" t="s">
        <v>595</v>
      </c>
      <c r="B35" s="17" t="n">
        <v>3505</v>
      </c>
      <c r="C35" s="18">
        <f>(2746.0/B35*100)</f>
        <v/>
      </c>
      <c r="D35" s="19" t="n">
        <v>759</v>
      </c>
      <c r="E35" s="18" t="n">
        <v>75.12981109</v>
      </c>
      <c r="F35" s="20" t="n">
        <v>2.07854295</v>
      </c>
      <c r="G35" s="18" t="n">
        <v>22.00470593</v>
      </c>
      <c r="H35" s="20" t="n">
        <v>1.8637227</v>
      </c>
      <c r="I35" s="18" t="s">
        <v>567</v>
      </c>
      <c r="J35" s="20" t="s">
        <v>567</v>
      </c>
      <c r="K35" s="18" t="n">
        <v>0.28442416</v>
      </c>
      <c r="L35" s="20" t="n">
        <v>0.145829</v>
      </c>
      <c r="M35" s="18" t="n">
        <v>0.23512419</v>
      </c>
      <c r="N35" s="20" t="n">
        <v>0.23447511</v>
      </c>
      <c r="O35" s="18" t="n">
        <v>0</v>
      </c>
      <c r="P35" s="20" t="n">
        <v>0</v>
      </c>
      <c r="Q35" s="18" t="n">
        <v>2.34593463</v>
      </c>
      <c r="R35" s="20" t="n">
        <v>0.72863187</v>
      </c>
    </row>
    <row r="36" spans="1:18">
      <c r="A36" s="15" t="s">
        <v>596</v>
      </c>
      <c r="B36" s="17" t="n">
        <v>3332</v>
      </c>
      <c r="C36" s="18">
        <f>(2558.0/B36*100)</f>
        <v/>
      </c>
      <c r="D36" s="19" t="n">
        <v>774</v>
      </c>
      <c r="E36" s="18" t="n">
        <v>72.78063442</v>
      </c>
      <c r="F36" s="20" t="n">
        <v>1.63920397</v>
      </c>
      <c r="G36" s="18" t="n">
        <v>23.71585005</v>
      </c>
      <c r="H36" s="20" t="n">
        <v>1.55089179</v>
      </c>
      <c r="I36" s="18" t="s">
        <v>567</v>
      </c>
      <c r="J36" s="20" t="s">
        <v>567</v>
      </c>
      <c r="K36" s="18" t="n">
        <v>0.45479444</v>
      </c>
      <c r="L36" s="20" t="n">
        <v>0.28029282</v>
      </c>
      <c r="M36" s="18" t="n">
        <v>0.1507151</v>
      </c>
      <c r="N36" s="20" t="n">
        <v>0.16385756</v>
      </c>
      <c r="O36" s="18" t="n">
        <v>0</v>
      </c>
      <c r="P36" s="20" t="n">
        <v>0</v>
      </c>
      <c r="Q36" s="18" t="n">
        <v>2.89800599</v>
      </c>
      <c r="R36" s="20" t="n">
        <v>0.64946096</v>
      </c>
    </row>
    <row r="37" spans="1:18">
      <c r="A37" s="15" t="s">
        <v>597</v>
      </c>
      <c r="B37" s="17" t="n">
        <v>2727</v>
      </c>
      <c r="C37" s="18">
        <f>(2143.0/B37*100)</f>
        <v/>
      </c>
      <c r="D37" s="19" t="n">
        <v>584</v>
      </c>
      <c r="E37" s="18" t="n">
        <v>77.40799019000001</v>
      </c>
      <c r="F37" s="20" t="n">
        <v>1.819235</v>
      </c>
      <c r="G37" s="18" t="n">
        <v>18.57561495</v>
      </c>
      <c r="H37" s="20" t="n">
        <v>1.94644742</v>
      </c>
      <c r="I37" s="18" t="s">
        <v>567</v>
      </c>
      <c r="J37" s="20" t="s">
        <v>567</v>
      </c>
      <c r="K37" s="18" t="n">
        <v>0.8334622699999999</v>
      </c>
      <c r="L37" s="20" t="n">
        <v>0.36284528</v>
      </c>
      <c r="M37" s="18" t="n">
        <v>0</v>
      </c>
      <c r="N37" s="20" t="n">
        <v>0</v>
      </c>
      <c r="O37" s="18" t="n">
        <v>0</v>
      </c>
      <c r="P37" s="20" t="n">
        <v>0</v>
      </c>
      <c r="Q37" s="18" t="n">
        <v>3.1829326</v>
      </c>
      <c r="R37" s="20" t="n">
        <v>0.83621474</v>
      </c>
    </row>
    <row r="38" spans="1:18">
      <c r="A38" s="15" t="s">
        <v>598</v>
      </c>
      <c r="B38" s="17" t="n">
        <v>3053</v>
      </c>
      <c r="C38" s="18">
        <f>(2384.0/B38*100)</f>
        <v/>
      </c>
      <c r="D38" s="19" t="n">
        <v>669</v>
      </c>
      <c r="E38" s="18" t="n">
        <v>76.05783972</v>
      </c>
      <c r="F38" s="20" t="n">
        <v>1.91444686</v>
      </c>
      <c r="G38" s="18" t="n">
        <v>19.88919458</v>
      </c>
      <c r="H38" s="20" t="n">
        <v>1.89358739</v>
      </c>
      <c r="I38" s="18" t="s">
        <v>567</v>
      </c>
      <c r="J38" s="20" t="s">
        <v>567</v>
      </c>
      <c r="K38" s="18" t="n">
        <v>0.71465699</v>
      </c>
      <c r="L38" s="20" t="n">
        <v>0.40853856</v>
      </c>
      <c r="M38" s="18" t="n">
        <v>1.6714935</v>
      </c>
      <c r="N38" s="20" t="n">
        <v>0.50186282</v>
      </c>
      <c r="O38" s="18" t="n">
        <v>0</v>
      </c>
      <c r="P38" s="20" t="n">
        <v>0</v>
      </c>
      <c r="Q38" s="18" t="n">
        <v>1.66681522</v>
      </c>
      <c r="R38" s="20" t="n">
        <v>0.56253193</v>
      </c>
    </row>
    <row r="39" spans="1:18">
      <c r="A39" s="15" t="s">
        <v>599</v>
      </c>
      <c r="B39" s="17" t="n">
        <v>2957</v>
      </c>
      <c r="C39" s="18">
        <f>(2305.0/B39*100)</f>
        <v/>
      </c>
      <c r="D39" s="19" t="n">
        <v>652</v>
      </c>
      <c r="E39" s="18" t="n">
        <v>48.96153679</v>
      </c>
      <c r="F39" s="20" t="n">
        <v>2.05088002</v>
      </c>
      <c r="G39" s="18" t="n">
        <v>15.06950563</v>
      </c>
      <c r="H39" s="20" t="n">
        <v>1.82390369</v>
      </c>
      <c r="I39" s="18" t="s">
        <v>567</v>
      </c>
      <c r="J39" s="20" t="s">
        <v>567</v>
      </c>
      <c r="K39" s="18" t="n">
        <v>0</v>
      </c>
      <c r="L39" s="20" t="n">
        <v>0</v>
      </c>
      <c r="M39" s="18" t="n">
        <v>0</v>
      </c>
      <c r="N39" s="20" t="n">
        <v>0</v>
      </c>
      <c r="O39" s="18" t="n">
        <v>0</v>
      </c>
      <c r="P39" s="20" t="n">
        <v>0</v>
      </c>
      <c r="Q39" s="18" t="n">
        <v>35.96895758</v>
      </c>
      <c r="R39" s="20" t="n">
        <v>2.22450703</v>
      </c>
    </row>
    <row r="40" spans="1:18">
      <c r="A40" s="15" t="s">
        <v>600</v>
      </c>
      <c r="B40" s="17" t="n">
        <v>7235</v>
      </c>
      <c r="C40" s="18">
        <f>(5678.0/B40*100)</f>
        <v/>
      </c>
      <c r="D40" s="19" t="n">
        <v>1557</v>
      </c>
      <c r="E40" s="18" t="n">
        <v>63.61525927</v>
      </c>
      <c r="F40" s="20" t="n">
        <v>2.3852585</v>
      </c>
      <c r="G40" s="18" t="n">
        <v>34.00729078</v>
      </c>
      <c r="H40" s="20" t="n">
        <v>2.29270089</v>
      </c>
      <c r="I40" s="18" t="s">
        <v>567</v>
      </c>
      <c r="J40" s="20" t="s">
        <v>567</v>
      </c>
      <c r="K40" s="18" t="n">
        <v>0.07740370000000001</v>
      </c>
      <c r="L40" s="20" t="n">
        <v>0.03858917</v>
      </c>
      <c r="M40" s="18" t="n">
        <v>0</v>
      </c>
      <c r="N40" s="20" t="n">
        <v>0</v>
      </c>
      <c r="O40" s="18" t="n">
        <v>0</v>
      </c>
      <c r="P40" s="20" t="n">
        <v>0</v>
      </c>
      <c r="Q40" s="18" t="n">
        <v>2.30004625</v>
      </c>
      <c r="R40" s="20" t="n">
        <v>0.50398962</v>
      </c>
    </row>
    <row r="41" spans="1:18">
      <c r="A41" s="15" t="s">
        <v>601</v>
      </c>
      <c r="B41" s="17" t="n">
        <v>2858</v>
      </c>
      <c r="C41" s="18">
        <f>(2217.0/B41*100)</f>
        <v/>
      </c>
      <c r="D41" s="19" t="n">
        <v>641</v>
      </c>
      <c r="E41" s="18" t="n">
        <v>70.08604653</v>
      </c>
      <c r="F41" s="20" t="n">
        <v>2.27358293</v>
      </c>
      <c r="G41" s="18" t="n">
        <v>28.8521768</v>
      </c>
      <c r="H41" s="20" t="n">
        <v>2.33128022</v>
      </c>
      <c r="I41" s="18" t="s">
        <v>567</v>
      </c>
      <c r="J41" s="20" t="s">
        <v>567</v>
      </c>
      <c r="K41" s="18" t="n">
        <v>0.19369745</v>
      </c>
      <c r="L41" s="20" t="n">
        <v>0.16583726</v>
      </c>
      <c r="M41" s="18" t="n">
        <v>0</v>
      </c>
      <c r="N41" s="20" t="n">
        <v>0</v>
      </c>
      <c r="O41" s="18" t="n">
        <v>0</v>
      </c>
      <c r="P41" s="20" t="n">
        <v>0</v>
      </c>
      <c r="Q41" s="18" t="n">
        <v>0.86807921</v>
      </c>
      <c r="R41" s="20" t="n">
        <v>0.36322728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(9099.0/B46*100)</f>
        <v/>
      </c>
      <c r="D46" s="19" t="n">
        <v>1969</v>
      </c>
      <c r="E46" s="18" t="n">
        <v>86.05611891</v>
      </c>
      <c r="F46" s="20" t="n">
        <v>0.91838568</v>
      </c>
      <c r="G46" s="18" t="n">
        <v>8.68337041</v>
      </c>
      <c r="H46" s="20" t="n">
        <v>0.79894322</v>
      </c>
      <c r="I46" s="18" t="s">
        <v>567</v>
      </c>
      <c r="J46" s="20" t="s">
        <v>567</v>
      </c>
      <c r="K46" s="18" t="n">
        <v>1.00216045</v>
      </c>
      <c r="L46" s="20" t="n">
        <v>0.33204632</v>
      </c>
      <c r="M46" s="18" t="n">
        <v>0.29876662</v>
      </c>
      <c r="N46" s="20" t="n">
        <v>0.1332575</v>
      </c>
      <c r="O46" s="18" t="n">
        <v>0</v>
      </c>
      <c r="P46" s="20" t="n">
        <v>0</v>
      </c>
      <c r="Q46" s="18" t="n">
        <v>3.9595836</v>
      </c>
      <c r="R46" s="20" t="n">
        <v>0.62788417</v>
      </c>
    </row>
    <row r="47" spans="1:18">
      <c r="A47" s="15" t="s">
        <v>607</v>
      </c>
      <c r="B47" s="17" t="n">
        <v>3105</v>
      </c>
      <c r="C47" s="18">
        <f>(2454.0/B47*100)</f>
        <v/>
      </c>
      <c r="D47" s="19" t="n">
        <v>651</v>
      </c>
      <c r="E47" s="18" t="n">
        <v>81.73450613999999</v>
      </c>
      <c r="F47" s="20" t="n">
        <v>1.87660151</v>
      </c>
      <c r="G47" s="18" t="n">
        <v>15.72375828</v>
      </c>
      <c r="H47" s="20" t="n">
        <v>1.77505512</v>
      </c>
      <c r="I47" s="18" t="s">
        <v>567</v>
      </c>
      <c r="J47" s="20" t="s">
        <v>567</v>
      </c>
      <c r="K47" s="18" t="n">
        <v>0.14216299</v>
      </c>
      <c r="L47" s="20" t="n">
        <v>0.14282572</v>
      </c>
      <c r="M47" s="18" t="n">
        <v>0.1493875</v>
      </c>
      <c r="N47" s="20" t="n">
        <v>0.14722348</v>
      </c>
      <c r="O47" s="18" t="n">
        <v>0</v>
      </c>
      <c r="P47" s="20" t="n">
        <v>0</v>
      </c>
      <c r="Q47" s="18" t="n">
        <v>2.25018508</v>
      </c>
      <c r="R47" s="20" t="n">
        <v>0.64273018</v>
      </c>
    </row>
    <row r="48" spans="1:18">
      <c r="A48" s="15" t="s">
        <v>608</v>
      </c>
      <c r="B48" s="17" t="n">
        <v>5159</v>
      </c>
      <c r="C48" s="18">
        <f>(4042.0/B48*100)</f>
        <v/>
      </c>
      <c r="D48" s="19" t="n">
        <v>1117</v>
      </c>
      <c r="E48" s="18" t="n">
        <v>61.41439436</v>
      </c>
      <c r="F48" s="20" t="n">
        <v>2.12086678</v>
      </c>
      <c r="G48" s="18" t="n">
        <v>37.84443471</v>
      </c>
      <c r="H48" s="20" t="n">
        <v>2.05609404</v>
      </c>
      <c r="I48" s="18" t="s">
        <v>567</v>
      </c>
      <c r="J48" s="20" t="s">
        <v>567</v>
      </c>
      <c r="K48" s="18" t="n">
        <v>0.59277166</v>
      </c>
      <c r="L48" s="20" t="n">
        <v>0.35127419</v>
      </c>
      <c r="M48" s="18" t="n">
        <v>0</v>
      </c>
      <c r="N48" s="20" t="n">
        <v>0</v>
      </c>
      <c r="O48" s="18" t="n">
        <v>0</v>
      </c>
      <c r="P48" s="20" t="n">
        <v>0</v>
      </c>
      <c r="Q48" s="18" t="n">
        <v>0.14839927</v>
      </c>
      <c r="R48" s="20" t="n">
        <v>0.14740907</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(4449.0/B50*100)</f>
        <v/>
      </c>
      <c r="D50" s="19" t="n">
        <v>1188</v>
      </c>
      <c r="E50" s="18" t="n">
        <v>86.08399731</v>
      </c>
      <c r="F50" s="20" t="n">
        <v>1.3851192</v>
      </c>
      <c r="G50" s="18" t="n">
        <v>10.8238298</v>
      </c>
      <c r="H50" s="20" t="n">
        <v>1.23189849</v>
      </c>
      <c r="I50" s="18" t="s">
        <v>567</v>
      </c>
      <c r="J50" s="20" t="s">
        <v>567</v>
      </c>
      <c r="K50" s="18" t="n">
        <v>1.93948799</v>
      </c>
      <c r="L50" s="20" t="n">
        <v>0.68722333</v>
      </c>
      <c r="M50" s="18" t="n">
        <v>0.05120012</v>
      </c>
      <c r="N50" s="20" t="n">
        <v>0.05128595</v>
      </c>
      <c r="O50" s="18" t="n">
        <v>0</v>
      </c>
      <c r="P50" s="20" t="n">
        <v>0</v>
      </c>
      <c r="Q50" s="18" t="n">
        <v>1.10148478</v>
      </c>
      <c r="R50" s="20" t="n">
        <v>0.54247687</v>
      </c>
    </row>
    <row r="51" spans="1:18">
      <c r="A51" s="15" t="s">
        <v>611</v>
      </c>
      <c r="B51" s="17" t="n">
        <v>3372</v>
      </c>
      <c r="C51" s="18">
        <f>(2739.0/B51*100)</f>
        <v/>
      </c>
      <c r="D51" s="19" t="n">
        <v>633</v>
      </c>
      <c r="E51" s="18" t="n">
        <v>83.43131558</v>
      </c>
      <c r="F51" s="20" t="n">
        <v>1.62024929</v>
      </c>
      <c r="G51" s="18" t="n">
        <v>14.27903121</v>
      </c>
      <c r="H51" s="20" t="n">
        <v>1.54986153</v>
      </c>
      <c r="I51" s="18" t="s">
        <v>567</v>
      </c>
      <c r="J51" s="20" t="s">
        <v>567</v>
      </c>
      <c r="K51" s="18" t="n">
        <v>0.61533362</v>
      </c>
      <c r="L51" s="20" t="n">
        <v>0.31362742</v>
      </c>
      <c r="M51" s="18" t="n">
        <v>0.15128736</v>
      </c>
      <c r="N51" s="20" t="n">
        <v>0.1501168</v>
      </c>
      <c r="O51" s="18" t="n">
        <v>0</v>
      </c>
      <c r="P51" s="20" t="n">
        <v>0</v>
      </c>
      <c r="Q51" s="18" t="n">
        <v>1.52303224</v>
      </c>
      <c r="R51" s="20" t="n">
        <v>0.37686425</v>
      </c>
    </row>
    <row r="52" spans="1:18">
      <c r="A52" s="15" t="s">
        <v>612</v>
      </c>
      <c r="B52" s="17" t="n">
        <v>2796</v>
      </c>
      <c r="C52" s="18">
        <f>(2178.0/B52*100)</f>
        <v/>
      </c>
      <c r="D52" s="19" t="n">
        <v>618</v>
      </c>
      <c r="E52" s="18" t="n">
        <v>71.31407067000001</v>
      </c>
      <c r="F52" s="20" t="n">
        <v>1.77115788</v>
      </c>
      <c r="G52" s="18" t="n">
        <v>26.22731196</v>
      </c>
      <c r="H52" s="20" t="n">
        <v>1.71978624</v>
      </c>
      <c r="I52" s="18" t="s">
        <v>567</v>
      </c>
      <c r="J52" s="20" t="s">
        <v>567</v>
      </c>
      <c r="K52" s="18" t="n">
        <v>0</v>
      </c>
      <c r="L52" s="20" t="n">
        <v>0</v>
      </c>
      <c r="M52" s="18" t="n">
        <v>0</v>
      </c>
      <c r="N52" s="20" t="n">
        <v>0</v>
      </c>
      <c r="O52" s="18" t="n">
        <v>0</v>
      </c>
      <c r="P52" s="20" t="n">
        <v>0</v>
      </c>
      <c r="Q52" s="18" t="n">
        <v>2.45861738</v>
      </c>
      <c r="R52" s="20" t="n">
        <v>0.58617969</v>
      </c>
    </row>
    <row r="53" spans="1:18">
      <c r="A53" s="15" t="s">
        <v>613</v>
      </c>
      <c r="B53" s="17" t="n">
        <v>2811</v>
      </c>
      <c r="C53" s="18">
        <f>(2188.0/B53*100)</f>
        <v/>
      </c>
      <c r="D53" s="19" t="n">
        <v>623</v>
      </c>
      <c r="E53" s="18" t="n">
        <v>81.9227776</v>
      </c>
      <c r="F53" s="20" t="n">
        <v>1.53294295</v>
      </c>
      <c r="G53" s="18" t="n">
        <v>14.84389191</v>
      </c>
      <c r="H53" s="20" t="n">
        <v>1.38849197</v>
      </c>
      <c r="I53" s="18" t="s">
        <v>567</v>
      </c>
      <c r="J53" s="20" t="s">
        <v>567</v>
      </c>
      <c r="K53" s="18" t="n">
        <v>0.35554852</v>
      </c>
      <c r="L53" s="20" t="n">
        <v>0.20556163</v>
      </c>
      <c r="M53" s="18" t="n">
        <v>0</v>
      </c>
      <c r="N53" s="20" t="n">
        <v>0</v>
      </c>
      <c r="O53" s="18" t="n">
        <v>0</v>
      </c>
      <c r="P53" s="20" t="n">
        <v>0</v>
      </c>
      <c r="Q53" s="18" t="n">
        <v>2.87778196</v>
      </c>
      <c r="R53" s="20" t="n">
        <v>0.7165229400000001</v>
      </c>
    </row>
    <row r="54" spans="1:18">
      <c r="A54" s="15" t="s">
        <v>614</v>
      </c>
      <c r="B54" s="17" t="n">
        <v>2266</v>
      </c>
      <c r="C54" s="18">
        <f>(1764.0/B54*100)</f>
        <v/>
      </c>
      <c r="D54" s="19" t="n">
        <v>502</v>
      </c>
      <c r="E54" s="18" t="n">
        <v>82.52717426</v>
      </c>
      <c r="F54" s="20" t="n">
        <v>1.94940386</v>
      </c>
      <c r="G54" s="18" t="n">
        <v>1.38759876</v>
      </c>
      <c r="H54" s="20" t="n">
        <v>0.68005637</v>
      </c>
      <c r="I54" s="18" t="s">
        <v>567</v>
      </c>
      <c r="J54" s="20" t="s">
        <v>567</v>
      </c>
      <c r="K54" s="18" t="n">
        <v>11.40133451</v>
      </c>
      <c r="L54" s="20" t="n">
        <v>1.50303744</v>
      </c>
      <c r="M54" s="18" t="n">
        <v>0.77838886</v>
      </c>
      <c r="N54" s="20" t="n">
        <v>0.64031207</v>
      </c>
      <c r="O54" s="18" t="n">
        <v>0</v>
      </c>
      <c r="P54" s="20" t="n">
        <v>0</v>
      </c>
      <c r="Q54" s="18" t="n">
        <v>3.90550361</v>
      </c>
      <c r="R54" s="20" t="n">
        <v>0.87828789</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(2076.0/B56*100)</f>
        <v/>
      </c>
      <c r="D56" s="19" t="n">
        <v>608</v>
      </c>
      <c r="E56" s="18" t="n">
        <v>64.83591235</v>
      </c>
      <c r="F56" s="20" t="n">
        <v>1.87492991</v>
      </c>
      <c r="G56" s="18" t="n">
        <v>34.71884655</v>
      </c>
      <c r="H56" s="20" t="n">
        <v>1.90940589</v>
      </c>
      <c r="I56" s="18" t="s">
        <v>567</v>
      </c>
      <c r="J56" s="20" t="s">
        <v>567</v>
      </c>
      <c r="K56" s="18" t="n">
        <v>0.3237475</v>
      </c>
      <c r="L56" s="20" t="n">
        <v>0.22803536</v>
      </c>
      <c r="M56" s="18" t="n">
        <v>0</v>
      </c>
      <c r="N56" s="20" t="n">
        <v>0</v>
      </c>
      <c r="O56" s="18" t="n">
        <v>0</v>
      </c>
      <c r="P56" s="20" t="n">
        <v>0</v>
      </c>
      <c r="Q56" s="18" t="n">
        <v>0.1214936</v>
      </c>
      <c r="R56" s="20" t="n">
        <v>0.12780065</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(2586.0/B61*100)</f>
        <v/>
      </c>
      <c r="D61" s="19" t="n">
        <v>738</v>
      </c>
      <c r="E61" s="18" t="n">
        <v>80.43759501</v>
      </c>
      <c r="F61" s="20" t="n">
        <v>1.49748923</v>
      </c>
      <c r="G61" s="18" t="n">
        <v>18.99612786</v>
      </c>
      <c r="H61" s="20" t="n">
        <v>1.49693624</v>
      </c>
      <c r="I61" s="18" t="s">
        <v>567</v>
      </c>
      <c r="J61" s="20" t="s">
        <v>567</v>
      </c>
      <c r="K61" s="18" t="n">
        <v>0.2643164</v>
      </c>
      <c r="L61" s="20" t="n">
        <v>0.17945848</v>
      </c>
      <c r="M61" s="18" t="n">
        <v>0</v>
      </c>
      <c r="N61" s="20" t="n">
        <v>0</v>
      </c>
      <c r="O61" s="18" t="n">
        <v>0</v>
      </c>
      <c r="P61" s="20" t="n">
        <v>0</v>
      </c>
      <c r="Q61" s="18" t="n">
        <v>0.30196073</v>
      </c>
      <c r="R61" s="20" t="n">
        <v>0.19785999</v>
      </c>
    </row>
    <row r="62" spans="1:18">
      <c r="A62" s="15" t="s">
        <v>622</v>
      </c>
      <c r="B62" s="17" t="n">
        <v>2246</v>
      </c>
      <c r="C62" s="18">
        <f>(1744.0/B62*100)</f>
        <v/>
      </c>
      <c r="D62" s="19" t="n">
        <v>502</v>
      </c>
      <c r="E62" s="18" t="n">
        <v>56.21189009</v>
      </c>
      <c r="F62" s="20" t="n">
        <v>2.16780037</v>
      </c>
      <c r="G62" s="18" t="n">
        <v>43.59052188</v>
      </c>
      <c r="H62" s="20" t="n">
        <v>2.18424266</v>
      </c>
      <c r="I62" s="18" t="s">
        <v>567</v>
      </c>
      <c r="J62" s="20" t="s">
        <v>567</v>
      </c>
      <c r="K62" s="18" t="n">
        <v>0</v>
      </c>
      <c r="L62" s="20" t="n">
        <v>0</v>
      </c>
      <c r="M62" s="18" t="n">
        <v>0</v>
      </c>
      <c r="N62" s="20" t="n">
        <v>0</v>
      </c>
      <c r="O62" s="18" t="n">
        <v>0</v>
      </c>
      <c r="P62" s="20" t="n">
        <v>0</v>
      </c>
      <c r="Q62" s="18" t="n">
        <v>0.19758803</v>
      </c>
      <c r="R62" s="20" t="n">
        <v>0.19754976</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(2268.0/B66*100)</f>
        <v/>
      </c>
      <c r="D66" s="19" t="n">
        <v>626</v>
      </c>
      <c r="E66" s="18" t="n">
        <v>77.86611883</v>
      </c>
      <c r="F66" s="20" t="n">
        <v>1.50258318</v>
      </c>
      <c r="G66" s="18" t="n">
        <v>15.92637045</v>
      </c>
      <c r="H66" s="20" t="n">
        <v>1.46408886</v>
      </c>
      <c r="I66" s="18" t="s">
        <v>567</v>
      </c>
      <c r="J66" s="20" t="s">
        <v>567</v>
      </c>
      <c r="K66" s="18" t="n">
        <v>0.65372014</v>
      </c>
      <c r="L66" s="20" t="n">
        <v>0.33702704</v>
      </c>
      <c r="M66" s="18" t="n">
        <v>0.42933756</v>
      </c>
      <c r="N66" s="20" t="n">
        <v>0.22268454</v>
      </c>
      <c r="O66" s="18" t="n">
        <v>0</v>
      </c>
      <c r="P66" s="20" t="n">
        <v>0</v>
      </c>
      <c r="Q66" s="18" t="n">
        <v>5.12445302</v>
      </c>
      <c r="R66" s="20" t="n">
        <v>0.8805446</v>
      </c>
    </row>
    <row r="67" spans="1:18">
      <c r="A67" s="15" t="s">
        <v>627</v>
      </c>
      <c r="B67" s="17" t="n">
        <v>3511</v>
      </c>
      <c r="C67" s="18">
        <f>(2805.0/B67*100)</f>
        <v/>
      </c>
      <c r="D67" s="19" t="n">
        <v>706</v>
      </c>
      <c r="E67" s="18" t="n">
        <v>92.09790133</v>
      </c>
      <c r="F67" s="20" t="n">
        <v>0.92046371</v>
      </c>
      <c r="G67" s="18" t="n">
        <v>6.4693574</v>
      </c>
      <c r="H67" s="20" t="n">
        <v>0.86249283</v>
      </c>
      <c r="I67" s="18" t="s">
        <v>567</v>
      </c>
      <c r="J67" s="20" t="s">
        <v>567</v>
      </c>
      <c r="K67" s="18" t="n">
        <v>0.12646729</v>
      </c>
      <c r="L67" s="20" t="n">
        <v>0.12684645</v>
      </c>
      <c r="M67" s="18" t="n">
        <v>0</v>
      </c>
      <c r="N67" s="20" t="n">
        <v>0</v>
      </c>
      <c r="O67" s="18" t="n">
        <v>0</v>
      </c>
      <c r="P67" s="20" t="n">
        <v>0</v>
      </c>
      <c r="Q67" s="18" t="n">
        <v>1.30627397</v>
      </c>
      <c r="R67" s="20" t="n">
        <v>0.44098536</v>
      </c>
    </row>
    <row r="68" spans="1:18">
      <c r="A68" s="15" t="s">
        <v>628</v>
      </c>
      <c r="B68" s="17" t="n">
        <v>6049</v>
      </c>
      <c r="C68" s="18">
        <f>(4719.0/B68*100)</f>
        <v/>
      </c>
      <c r="D68" s="19" t="n">
        <v>1330</v>
      </c>
      <c r="E68" s="18" t="n">
        <v>83.09178674</v>
      </c>
      <c r="F68" s="20" t="n">
        <v>0.99077733</v>
      </c>
      <c r="G68" s="18" t="n">
        <v>10.97328897</v>
      </c>
      <c r="H68" s="20" t="n">
        <v>0.88335767</v>
      </c>
      <c r="I68" s="18" t="s">
        <v>567</v>
      </c>
      <c r="J68" s="20" t="s">
        <v>567</v>
      </c>
      <c r="K68" s="18" t="n">
        <v>2.2429138</v>
      </c>
      <c r="L68" s="20" t="n">
        <v>0.43083992</v>
      </c>
      <c r="M68" s="18" t="n">
        <v>0.07311031</v>
      </c>
      <c r="N68" s="20" t="n">
        <v>0.07319637</v>
      </c>
      <c r="O68" s="18" t="n">
        <v>0</v>
      </c>
      <c r="P68" s="20" t="n">
        <v>0</v>
      </c>
      <c r="Q68" s="18" t="n">
        <v>3.61890018</v>
      </c>
      <c r="R68" s="20" t="n">
        <v>0.5007292</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(2306.0/B70*100)</f>
        <v/>
      </c>
      <c r="D70" s="19" t="n">
        <v>623</v>
      </c>
      <c r="E70" s="18" t="n">
        <v>73.92789981</v>
      </c>
      <c r="F70" s="20" t="n">
        <v>2.29544755</v>
      </c>
      <c r="G70" s="18" t="n">
        <v>24.86095263</v>
      </c>
      <c r="H70" s="20" t="n">
        <v>2.32746492</v>
      </c>
      <c r="I70" s="18" t="s">
        <v>567</v>
      </c>
      <c r="J70" s="20" t="s">
        <v>567</v>
      </c>
      <c r="K70" s="18" t="n">
        <v>0.47580026</v>
      </c>
      <c r="L70" s="20" t="n">
        <v>0.34909846</v>
      </c>
      <c r="M70" s="18" t="n">
        <v>0</v>
      </c>
      <c r="N70" s="20" t="n">
        <v>0</v>
      </c>
      <c r="O70" s="18" t="n">
        <v>0</v>
      </c>
      <c r="P70" s="20" t="n">
        <v>0</v>
      </c>
      <c r="Q70" s="18" t="n">
        <v>0.7353473</v>
      </c>
      <c r="R70" s="20" t="n">
        <v>0.43618161</v>
      </c>
    </row>
    <row r="71" spans="1:18">
      <c r="A71" s="15" t="s">
        <v>631</v>
      </c>
      <c r="B71" s="17" t="n">
        <v>3142</v>
      </c>
      <c r="C71" s="18">
        <f>(2448.0/B71*100)</f>
        <v/>
      </c>
      <c r="D71" s="19" t="n">
        <v>694</v>
      </c>
      <c r="E71" s="18" t="n">
        <v>65.07633007</v>
      </c>
      <c r="F71" s="20" t="n">
        <v>1.89373832</v>
      </c>
      <c r="G71" s="18" t="n">
        <v>34.61644081</v>
      </c>
      <c r="H71" s="20" t="n">
        <v>1.8961171</v>
      </c>
      <c r="I71" s="18" t="s">
        <v>567</v>
      </c>
      <c r="J71" s="20" t="s">
        <v>567</v>
      </c>
      <c r="K71" s="18" t="n">
        <v>0</v>
      </c>
      <c r="L71" s="20" t="n">
        <v>0</v>
      </c>
      <c r="M71" s="18" t="n">
        <v>0</v>
      </c>
      <c r="N71" s="20" t="n">
        <v>0</v>
      </c>
      <c r="O71" s="18" t="n">
        <v>0</v>
      </c>
      <c r="P71" s="20" t="n">
        <v>0</v>
      </c>
      <c r="Q71" s="18" t="n">
        <v>0.30722911</v>
      </c>
      <c r="R71" s="20" t="n">
        <v>0.21130689</v>
      </c>
    </row>
    <row r="72" spans="1:18">
      <c r="A72" s="15" t="s">
        <v>632</v>
      </c>
      <c r="B72" s="17" t="n">
        <v>3889</v>
      </c>
      <c r="C72" s="18">
        <f>(2990.0/B72*100)</f>
        <v/>
      </c>
      <c r="D72" s="19" t="n">
        <v>899</v>
      </c>
      <c r="E72" s="18" t="n">
        <v>54.93165381</v>
      </c>
      <c r="F72" s="20" t="n">
        <v>1.84134492</v>
      </c>
      <c r="G72" s="18" t="n">
        <v>44.96138317</v>
      </c>
      <c r="H72" s="20" t="n">
        <v>1.83417645</v>
      </c>
      <c r="I72" s="18" t="s">
        <v>567</v>
      </c>
      <c r="J72" s="20" t="s">
        <v>567</v>
      </c>
      <c r="K72" s="18" t="n">
        <v>0</v>
      </c>
      <c r="L72" s="20" t="n">
        <v>0</v>
      </c>
      <c r="M72" s="18" t="n">
        <v>0</v>
      </c>
      <c r="N72" s="20" t="n">
        <v>0</v>
      </c>
      <c r="O72" s="18" t="n">
        <v>0</v>
      </c>
      <c r="P72" s="20" t="n">
        <v>0</v>
      </c>
      <c r="Q72" s="18" t="n">
        <v>0.10696303</v>
      </c>
      <c r="R72" s="20" t="n">
        <v>0.08389265</v>
      </c>
    </row>
    <row r="73" spans="1:18">
      <c r="A73" s="15" t="s">
        <v>633</v>
      </c>
      <c r="B73" s="17" t="n">
        <v>3597</v>
      </c>
      <c r="C73" s="18">
        <f>(2837.0/B73*100)</f>
        <v/>
      </c>
      <c r="D73" s="19" t="n">
        <v>760</v>
      </c>
      <c r="E73" s="18" t="n">
        <v>81.40973063</v>
      </c>
      <c r="F73" s="20" t="n">
        <v>1.80347687</v>
      </c>
      <c r="G73" s="18" t="n">
        <v>17.56906332</v>
      </c>
      <c r="H73" s="20" t="n">
        <v>1.79812842</v>
      </c>
      <c r="I73" s="18" t="s">
        <v>567</v>
      </c>
      <c r="J73" s="20" t="s">
        <v>567</v>
      </c>
      <c r="K73" s="18" t="n">
        <v>0</v>
      </c>
      <c r="L73" s="20" t="n">
        <v>0</v>
      </c>
      <c r="M73" s="18" t="n">
        <v>0.40968279</v>
      </c>
      <c r="N73" s="20" t="n">
        <v>0.28999255</v>
      </c>
      <c r="O73" s="18" t="n">
        <v>0</v>
      </c>
      <c r="P73" s="20" t="n">
        <v>0</v>
      </c>
      <c r="Q73" s="18" t="n">
        <v>0.61152326</v>
      </c>
      <c r="R73" s="20" t="n">
        <v>0.29128171</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(1936.0/B75*100)</f>
        <v/>
      </c>
      <c r="D75" s="19" t="n">
        <v>470</v>
      </c>
      <c r="E75" s="18" t="n">
        <v>92.30592666</v>
      </c>
      <c r="F75" s="20" t="n">
        <v>1.34686969</v>
      </c>
      <c r="G75" s="18" t="n">
        <v>1.97729378</v>
      </c>
      <c r="H75" s="20" t="n">
        <v>0.7559439100000001</v>
      </c>
      <c r="I75" s="18" t="s">
        <v>567</v>
      </c>
      <c r="J75" s="20" t="s">
        <v>567</v>
      </c>
      <c r="K75" s="18" t="n">
        <v>3.03725895</v>
      </c>
      <c r="L75" s="20" t="n">
        <v>0.95175059</v>
      </c>
      <c r="M75" s="18" t="n">
        <v>0.50311315</v>
      </c>
      <c r="N75" s="20" t="n">
        <v>0.35011389</v>
      </c>
      <c r="O75" s="18" t="n">
        <v>0</v>
      </c>
      <c r="P75" s="20" t="n">
        <v>0</v>
      </c>
      <c r="Q75" s="18" t="n">
        <v>2.17640746</v>
      </c>
      <c r="R75" s="20" t="n">
        <v>0.56197392</v>
      </c>
    </row>
    <row r="76" spans="1:18">
      <c r="A76" s="15" t="s">
        <v>636</v>
      </c>
      <c r="B76" s="17" t="n">
        <v>7052</v>
      </c>
      <c r="C76" s="18">
        <f>(5542.0/B76*100)</f>
        <v/>
      </c>
      <c r="D76" s="19" t="n">
        <v>1510</v>
      </c>
      <c r="E76" s="18" t="n">
        <v>84.44131557</v>
      </c>
      <c r="F76" s="20" t="n">
        <v>1.22031544</v>
      </c>
      <c r="G76" s="18" t="n">
        <v>12.60053435</v>
      </c>
      <c r="H76" s="20" t="n">
        <v>1.11438873</v>
      </c>
      <c r="I76" s="18" t="s">
        <v>567</v>
      </c>
      <c r="J76" s="20" t="s">
        <v>567</v>
      </c>
      <c r="K76" s="18" t="n">
        <v>1.38378022</v>
      </c>
      <c r="L76" s="20" t="n">
        <v>0.38061107</v>
      </c>
      <c r="M76" s="18" t="n">
        <v>0</v>
      </c>
      <c r="N76" s="20" t="n">
        <v>0</v>
      </c>
      <c r="O76" s="18" t="n">
        <v>0</v>
      </c>
      <c r="P76" s="20" t="n">
        <v>0</v>
      </c>
      <c r="Q76" s="18" t="n">
        <v>1.57436986</v>
      </c>
      <c r="R76" s="20" t="n">
        <v>0.43783277</v>
      </c>
    </row>
    <row r="77" spans="1:18">
      <c r="A77" s="15" t="s">
        <v>637</v>
      </c>
      <c r="B77" s="17" t="n">
        <v>2908</v>
      </c>
      <c r="C77" s="18">
        <f>(2296.0/B77*100)</f>
        <v/>
      </c>
      <c r="D77" s="19" t="n">
        <v>612</v>
      </c>
      <c r="E77" s="18" t="n">
        <v>77.04052138</v>
      </c>
      <c r="F77" s="20" t="n">
        <v>1.79239245</v>
      </c>
      <c r="G77" s="18" t="n">
        <v>17.00224277</v>
      </c>
      <c r="H77" s="20" t="n">
        <v>1.84746052</v>
      </c>
      <c r="I77" s="18" t="s">
        <v>567</v>
      </c>
      <c r="J77" s="20" t="s">
        <v>567</v>
      </c>
      <c r="K77" s="18" t="n">
        <v>1.19444013</v>
      </c>
      <c r="L77" s="20" t="n">
        <v>0.41280972</v>
      </c>
      <c r="M77" s="18" t="n">
        <v>0.13293501</v>
      </c>
      <c r="N77" s="20" t="n">
        <v>0.14761329</v>
      </c>
      <c r="O77" s="18" t="n">
        <v>0</v>
      </c>
      <c r="P77" s="20" t="n">
        <v>0</v>
      </c>
      <c r="Q77" s="18" t="n">
        <v>4.62986072</v>
      </c>
      <c r="R77" s="20" t="n">
        <v>0.77112011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(3260.0/B81*100)</f>
        <v/>
      </c>
      <c r="D81" s="19" t="n">
        <v>903</v>
      </c>
      <c r="E81" s="18" t="n">
        <v>91.34009648</v>
      </c>
      <c r="F81" s="20" t="n">
        <v>1.03296883</v>
      </c>
      <c r="G81" s="18" t="n">
        <v>7.74144835</v>
      </c>
      <c r="H81" s="20" t="n">
        <v>1.01161434</v>
      </c>
      <c r="I81" s="18" t="s">
        <v>567</v>
      </c>
      <c r="J81" s="20" t="s">
        <v>567</v>
      </c>
      <c r="K81" s="18" t="n">
        <v>0.15278584</v>
      </c>
      <c r="L81" s="20" t="n">
        <v>0.15291857</v>
      </c>
      <c r="M81" s="18" t="n">
        <v>0.16771001</v>
      </c>
      <c r="N81" s="20" t="n">
        <v>0.16369742</v>
      </c>
      <c r="O81" s="18" t="n">
        <v>0</v>
      </c>
      <c r="P81" s="20" t="n">
        <v>0</v>
      </c>
      <c r="Q81" s="18" t="n">
        <v>0.59795931</v>
      </c>
      <c r="R81" s="20" t="n">
        <v>0.15277164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809</v>
      </c>
    </row>
    <row customHeight="1" ht="30" r="4" spans="1:20">
      <c r="A4" s="6" t="n"/>
      <c r="B4" s="7" t="s">
        <v>551</v>
      </c>
      <c r="C4" s="7" t="s">
        <v>552</v>
      </c>
      <c r="D4" s="8" t="s">
        <v>551</v>
      </c>
      <c r="E4" s="9" t="s">
        <v>662</v>
      </c>
      <c r="F4" s="10" t="n"/>
      <c r="G4" s="9" t="s">
        <v>754</v>
      </c>
      <c r="H4" s="10" t="n"/>
      <c r="I4" s="9" t="s">
        <v>663</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7367</v>
      </c>
      <c r="C7" s="18">
        <f>(5740.0/B7*100)</f>
        <v/>
      </c>
      <c r="D7" s="19" t="n">
        <v>1627</v>
      </c>
      <c r="E7" s="18" t="n">
        <v>31.38930595</v>
      </c>
      <c r="F7" s="20" t="n">
        <v>1.14133434</v>
      </c>
      <c r="G7" s="18" t="n">
        <v>22.14561118</v>
      </c>
      <c r="H7" s="20" t="n">
        <v>1.20299147</v>
      </c>
      <c r="I7" s="18" t="n">
        <v>44.64947182</v>
      </c>
      <c r="J7" s="20" t="n">
        <v>1.19469438</v>
      </c>
      <c r="K7" s="18" t="s">
        <v>567</v>
      </c>
      <c r="L7" s="20" t="s">
        <v>567</v>
      </c>
      <c r="M7" s="18" t="n">
        <v>0.14475337</v>
      </c>
      <c r="N7" s="20" t="n">
        <v>0.07973363999999999</v>
      </c>
      <c r="O7" s="18" t="n">
        <v>0</v>
      </c>
      <c r="P7" s="20" t="n">
        <v>0</v>
      </c>
      <c r="Q7" s="18" t="n">
        <v>0</v>
      </c>
      <c r="R7" s="20" t="n">
        <v>0</v>
      </c>
      <c r="S7" s="18" t="n">
        <v>1.67085768</v>
      </c>
      <c r="T7" s="20" t="n">
        <v>0.41030518</v>
      </c>
    </row>
    <row r="8" spans="1:20">
      <c r="A8" s="15" t="s">
        <v>568</v>
      </c>
      <c r="B8" s="17" t="n">
        <v>3564</v>
      </c>
      <c r="C8" s="18">
        <f>(2774.0/B8*100)</f>
        <v/>
      </c>
      <c r="D8" s="19" t="n">
        <v>790</v>
      </c>
      <c r="E8" s="18" t="n">
        <v>32.70155048</v>
      </c>
      <c r="F8" s="20" t="n">
        <v>1.86090683</v>
      </c>
      <c r="G8" s="18" t="n">
        <v>26.47937867</v>
      </c>
      <c r="H8" s="20" t="n">
        <v>1.80107906</v>
      </c>
      <c r="I8" s="18" t="n">
        <v>39.65177495</v>
      </c>
      <c r="J8" s="20" t="n">
        <v>1.80976539</v>
      </c>
      <c r="K8" s="18" t="s">
        <v>567</v>
      </c>
      <c r="L8" s="20" t="s">
        <v>567</v>
      </c>
      <c r="M8" s="18" t="n">
        <v>0.14981606</v>
      </c>
      <c r="N8" s="20" t="n">
        <v>0.14522533</v>
      </c>
      <c r="O8" s="18" t="n">
        <v>0</v>
      </c>
      <c r="P8" s="20" t="n">
        <v>0</v>
      </c>
      <c r="Q8" s="18" t="n">
        <v>0</v>
      </c>
      <c r="R8" s="20" t="n">
        <v>0</v>
      </c>
      <c r="S8" s="18" t="n">
        <v>1.01747983</v>
      </c>
      <c r="T8" s="20" t="n">
        <v>0.4411577</v>
      </c>
    </row>
    <row r="9" spans="1:20">
      <c r="A9" s="15" t="s">
        <v>569</v>
      </c>
      <c r="B9" s="17" t="n">
        <v>4899</v>
      </c>
      <c r="C9" s="18">
        <f>(3872.0/B9*100)</f>
        <v/>
      </c>
      <c r="D9" s="19" t="n">
        <v>1027</v>
      </c>
      <c r="E9" s="18" t="n">
        <v>32.03191212</v>
      </c>
      <c r="F9" s="20" t="n">
        <v>1.56888415</v>
      </c>
      <c r="G9" s="18" t="n">
        <v>22.19396384</v>
      </c>
      <c r="H9" s="20" t="n">
        <v>1.33395047</v>
      </c>
      <c r="I9" s="18" t="n">
        <v>44.33767224</v>
      </c>
      <c r="J9" s="20" t="n">
        <v>1.68734175</v>
      </c>
      <c r="K9" s="18" t="s">
        <v>567</v>
      </c>
      <c r="L9" s="20" t="s">
        <v>567</v>
      </c>
      <c r="M9" s="18" t="n">
        <v>0.25403991</v>
      </c>
      <c r="N9" s="20" t="n">
        <v>0.13237406</v>
      </c>
      <c r="O9" s="18" t="n">
        <v>0</v>
      </c>
      <c r="P9" s="20" t="n">
        <v>0</v>
      </c>
      <c r="Q9" s="18" t="n">
        <v>0</v>
      </c>
      <c r="R9" s="20" t="n">
        <v>0</v>
      </c>
      <c r="S9" s="18" t="n">
        <v>1.18241189</v>
      </c>
      <c r="T9" s="20" t="n">
        <v>0.34222084</v>
      </c>
    </row>
    <row r="10" spans="1:20">
      <c r="A10" s="15" t="s">
        <v>570</v>
      </c>
      <c r="B10" s="17" t="n">
        <v>10036</v>
      </c>
      <c r="C10" s="18">
        <f>(7797.0/B10*100)</f>
        <v/>
      </c>
      <c r="D10" s="19" t="n">
        <v>2239</v>
      </c>
      <c r="E10" s="18" t="n">
        <v>22.49722299</v>
      </c>
      <c r="F10" s="20" t="n">
        <v>1.2828267</v>
      </c>
      <c r="G10" s="18" t="n">
        <v>22.06672887</v>
      </c>
      <c r="H10" s="20" t="n">
        <v>1.40235864</v>
      </c>
      <c r="I10" s="18" t="n">
        <v>54.43321705</v>
      </c>
      <c r="J10" s="20" t="n">
        <v>1.53322908</v>
      </c>
      <c r="K10" s="18" t="s">
        <v>567</v>
      </c>
      <c r="L10" s="20" t="s">
        <v>567</v>
      </c>
      <c r="M10" s="18" t="n">
        <v>0.60764045</v>
      </c>
      <c r="N10" s="20" t="n">
        <v>0.23926108</v>
      </c>
      <c r="O10" s="18" t="n">
        <v>0</v>
      </c>
      <c r="P10" s="20" t="n">
        <v>0</v>
      </c>
      <c r="Q10" s="18" t="n">
        <v>0</v>
      </c>
      <c r="R10" s="20" t="n">
        <v>0</v>
      </c>
      <c r="S10" s="18" t="n">
        <v>0.39519065</v>
      </c>
      <c r="T10" s="20" t="n">
        <v>0.18251975</v>
      </c>
    </row>
    <row r="11" spans="1:20">
      <c r="A11" s="15" t="s">
        <v>571</v>
      </c>
      <c r="B11" s="17" t="n">
        <v>3553</v>
      </c>
      <c r="C11" s="18">
        <f>(2806.0/B11*100)</f>
        <v/>
      </c>
      <c r="D11" s="19" t="n">
        <v>747</v>
      </c>
      <c r="E11" s="18" t="n">
        <v>38.94522121</v>
      </c>
      <c r="F11" s="20" t="n">
        <v>2.21634209</v>
      </c>
      <c r="G11" s="18" t="n">
        <v>27.40769166</v>
      </c>
      <c r="H11" s="20" t="n">
        <v>1.99327478</v>
      </c>
      <c r="I11" s="18" t="n">
        <v>30.8025375</v>
      </c>
      <c r="J11" s="20" t="n">
        <v>2.42912112</v>
      </c>
      <c r="K11" s="18" t="s">
        <v>567</v>
      </c>
      <c r="L11" s="20" t="s">
        <v>567</v>
      </c>
      <c r="M11" s="18" t="n">
        <v>2.36180364</v>
      </c>
      <c r="N11" s="20" t="n">
        <v>0.92309639</v>
      </c>
      <c r="O11" s="18" t="n">
        <v>0</v>
      </c>
      <c r="P11" s="20" t="n">
        <v>0</v>
      </c>
      <c r="Q11" s="18" t="n">
        <v>0</v>
      </c>
      <c r="R11" s="20" t="n">
        <v>0</v>
      </c>
      <c r="S11" s="18" t="n">
        <v>0.482746</v>
      </c>
      <c r="T11" s="20" t="n">
        <v>0.25963878</v>
      </c>
    </row>
    <row r="12" spans="1:20">
      <c r="A12" s="15" t="s">
        <v>572</v>
      </c>
      <c r="B12" s="17" t="n">
        <v>3472</v>
      </c>
      <c r="C12" s="18">
        <f>(2715.0/B12*100)</f>
        <v/>
      </c>
      <c r="D12" s="19" t="n">
        <v>757</v>
      </c>
      <c r="E12" s="18" t="n">
        <v>28.34146426</v>
      </c>
      <c r="F12" s="20" t="n">
        <v>1.82225551</v>
      </c>
      <c r="G12" s="18" t="n">
        <v>26.39774909</v>
      </c>
      <c r="H12" s="20" t="n">
        <v>1.70969251</v>
      </c>
      <c r="I12" s="18" t="n">
        <v>44.5387628</v>
      </c>
      <c r="J12" s="20" t="n">
        <v>2.15238877</v>
      </c>
      <c r="K12" s="18" t="s">
        <v>567</v>
      </c>
      <c r="L12" s="20" t="s">
        <v>567</v>
      </c>
      <c r="M12" s="18" t="n">
        <v>0.23984244</v>
      </c>
      <c r="N12" s="20" t="n">
        <v>0.1693259</v>
      </c>
      <c r="O12" s="18" t="n">
        <v>0</v>
      </c>
      <c r="P12" s="20" t="n">
        <v>0</v>
      </c>
      <c r="Q12" s="18" t="n">
        <v>0</v>
      </c>
      <c r="R12" s="20" t="n">
        <v>0</v>
      </c>
      <c r="S12" s="18" t="n">
        <v>0.4821814</v>
      </c>
      <c r="T12" s="20" t="n">
        <v>0.3080405</v>
      </c>
    </row>
    <row r="13" spans="1:20">
      <c r="A13" s="15" t="s">
        <v>573</v>
      </c>
      <c r="B13" s="17" t="n">
        <v>3559</v>
      </c>
      <c r="C13" s="18">
        <f>(2791.0/B13*100)</f>
        <v/>
      </c>
      <c r="D13" s="19" t="n">
        <v>768</v>
      </c>
      <c r="E13" s="18" t="n">
        <v>35.80143828</v>
      </c>
      <c r="F13" s="20" t="n">
        <v>2.03185349</v>
      </c>
      <c r="G13" s="18" t="n">
        <v>19.87280872</v>
      </c>
      <c r="H13" s="20" t="n">
        <v>1.72702243</v>
      </c>
      <c r="I13" s="18" t="n">
        <v>43.10852207</v>
      </c>
      <c r="J13" s="20" t="n">
        <v>2.24236475</v>
      </c>
      <c r="K13" s="18" t="s">
        <v>567</v>
      </c>
      <c r="L13" s="20" t="s">
        <v>567</v>
      </c>
      <c r="M13" s="18" t="n">
        <v>0.14593868</v>
      </c>
      <c r="N13" s="20" t="n">
        <v>0.10247651</v>
      </c>
      <c r="O13" s="18" t="n">
        <v>0</v>
      </c>
      <c r="P13" s="20" t="n">
        <v>0</v>
      </c>
      <c r="Q13" s="18" t="n">
        <v>0</v>
      </c>
      <c r="R13" s="20" t="n">
        <v>0</v>
      </c>
      <c r="S13" s="18" t="n">
        <v>1.07129226</v>
      </c>
      <c r="T13" s="20" t="n">
        <v>0.50259657</v>
      </c>
    </row>
    <row r="14" spans="1:20">
      <c r="A14" s="15" t="s">
        <v>574</v>
      </c>
      <c r="B14" s="17" t="n">
        <v>2799</v>
      </c>
      <c r="C14" s="18">
        <f>(2216.0/B14*100)</f>
        <v/>
      </c>
      <c r="D14" s="19" t="n">
        <v>583</v>
      </c>
      <c r="E14" s="18" t="n">
        <v>27.43154361</v>
      </c>
      <c r="F14" s="20" t="n">
        <v>1.98648205</v>
      </c>
      <c r="G14" s="18" t="n">
        <v>20.91933181</v>
      </c>
      <c r="H14" s="20" t="n">
        <v>1.51066446</v>
      </c>
      <c r="I14" s="18" t="n">
        <v>50.87591023</v>
      </c>
      <c r="J14" s="20" t="n">
        <v>2.34469817</v>
      </c>
      <c r="K14" s="18" t="s">
        <v>567</v>
      </c>
      <c r="L14" s="20" t="s">
        <v>567</v>
      </c>
      <c r="M14" s="18" t="n">
        <v>0.26871544</v>
      </c>
      <c r="N14" s="20" t="n">
        <v>0.19310316</v>
      </c>
      <c r="O14" s="18" t="n">
        <v>0</v>
      </c>
      <c r="P14" s="20" t="n">
        <v>0</v>
      </c>
      <c r="Q14" s="18" t="n">
        <v>0</v>
      </c>
      <c r="R14" s="20" t="n">
        <v>0</v>
      </c>
      <c r="S14" s="18" t="n">
        <v>0.50449891</v>
      </c>
      <c r="T14" s="20" t="n">
        <v>0.40799797</v>
      </c>
    </row>
    <row r="15" spans="1:20">
      <c r="A15" s="15" t="s">
        <v>575</v>
      </c>
      <c r="B15" s="17" t="n">
        <v>3019</v>
      </c>
      <c r="C15" s="18">
        <f>(2377.0/B15*100)</f>
        <v/>
      </c>
      <c r="D15" s="19" t="n">
        <v>642</v>
      </c>
      <c r="E15" s="18" t="n">
        <v>35.87223738</v>
      </c>
      <c r="F15" s="20" t="n">
        <v>2.18061918</v>
      </c>
      <c r="G15" s="18" t="n">
        <v>25.77009664</v>
      </c>
      <c r="H15" s="20" t="n">
        <v>1.93566234</v>
      </c>
      <c r="I15" s="18" t="n">
        <v>37.4820302</v>
      </c>
      <c r="J15" s="20" t="n">
        <v>2.33486942</v>
      </c>
      <c r="K15" s="18" t="s">
        <v>567</v>
      </c>
      <c r="L15" s="20" t="s">
        <v>567</v>
      </c>
      <c r="M15" s="18" t="n">
        <v>0.36042618</v>
      </c>
      <c r="N15" s="20" t="n">
        <v>0.27170847</v>
      </c>
      <c r="O15" s="18" t="n">
        <v>0</v>
      </c>
      <c r="P15" s="20" t="n">
        <v>0</v>
      </c>
      <c r="Q15" s="18" t="n">
        <v>0</v>
      </c>
      <c r="R15" s="20" t="n">
        <v>0</v>
      </c>
      <c r="S15" s="18" t="n">
        <v>0.51520961</v>
      </c>
      <c r="T15" s="20" t="n">
        <v>0.31030012</v>
      </c>
    </row>
    <row r="16" spans="1:20">
      <c r="A16" s="15" t="s">
        <v>576</v>
      </c>
      <c r="B16" s="17" t="n">
        <v>2997</v>
      </c>
      <c r="C16" s="18">
        <f>(2364.0/B16*100)</f>
        <v/>
      </c>
      <c r="D16" s="19" t="n">
        <v>633</v>
      </c>
      <c r="E16" s="18" t="n">
        <v>34.80565155</v>
      </c>
      <c r="F16" s="20" t="n">
        <v>1.71374878</v>
      </c>
      <c r="G16" s="18" t="n">
        <v>20.47112214</v>
      </c>
      <c r="H16" s="20" t="n">
        <v>1.56356711</v>
      </c>
      <c r="I16" s="18" t="n">
        <v>42.21641763</v>
      </c>
      <c r="J16" s="20" t="n">
        <v>1.94982717</v>
      </c>
      <c r="K16" s="18" t="s">
        <v>567</v>
      </c>
      <c r="L16" s="20" t="s">
        <v>567</v>
      </c>
      <c r="M16" s="18" t="n">
        <v>1.1723942</v>
      </c>
      <c r="N16" s="20" t="n">
        <v>0.37946612</v>
      </c>
      <c r="O16" s="18" t="n">
        <v>0</v>
      </c>
      <c r="P16" s="20" t="n">
        <v>0</v>
      </c>
      <c r="Q16" s="18" t="n">
        <v>0</v>
      </c>
      <c r="R16" s="20" t="n">
        <v>0</v>
      </c>
      <c r="S16" s="18" t="n">
        <v>1.33441449</v>
      </c>
      <c r="T16" s="20" t="n">
        <v>0.42745475</v>
      </c>
    </row>
    <row r="17" spans="1:20">
      <c r="A17" s="15" t="s">
        <v>577</v>
      </c>
      <c r="B17" s="17" t="n">
        <v>3307</v>
      </c>
      <c r="C17" s="18">
        <f>(2591.0/B17*100)</f>
        <v/>
      </c>
      <c r="D17" s="19" t="n">
        <v>716</v>
      </c>
      <c r="E17" s="18" t="n">
        <v>32.57670547</v>
      </c>
      <c r="F17" s="20" t="n">
        <v>1.52725607</v>
      </c>
      <c r="G17" s="18" t="n">
        <v>26.86106106</v>
      </c>
      <c r="H17" s="20" t="n">
        <v>1.8449259</v>
      </c>
      <c r="I17" s="18" t="n">
        <v>39.56841308</v>
      </c>
      <c r="J17" s="20" t="n">
        <v>1.79217534</v>
      </c>
      <c r="K17" s="18" t="s">
        <v>567</v>
      </c>
      <c r="L17" s="20" t="s">
        <v>567</v>
      </c>
      <c r="M17" s="18" t="n">
        <v>0.43153125</v>
      </c>
      <c r="N17" s="20" t="n">
        <v>0.20952205</v>
      </c>
      <c r="O17" s="18" t="n">
        <v>0</v>
      </c>
      <c r="P17" s="20" t="n">
        <v>0</v>
      </c>
      <c r="Q17" s="18" t="n">
        <v>0</v>
      </c>
      <c r="R17" s="20" t="n">
        <v>0</v>
      </c>
      <c r="S17" s="18" t="n">
        <v>0.56228913</v>
      </c>
      <c r="T17" s="20" t="n">
        <v>0.2773904</v>
      </c>
    </row>
    <row r="18" spans="1:20">
      <c r="A18" s="15" t="s">
        <v>578</v>
      </c>
      <c r="B18" s="17" t="n">
        <v>2826</v>
      </c>
      <c r="C18" s="18">
        <f>(2231.0/B18*100)</f>
        <v/>
      </c>
      <c r="D18" s="19" t="n">
        <v>595</v>
      </c>
      <c r="E18" s="18" t="n">
        <v>46.00307538</v>
      </c>
      <c r="F18" s="20" t="n">
        <v>2.47140739</v>
      </c>
      <c r="G18" s="18" t="n">
        <v>18.16753991</v>
      </c>
      <c r="H18" s="20" t="n">
        <v>1.70916791</v>
      </c>
      <c r="I18" s="18" t="n">
        <v>33.47025395</v>
      </c>
      <c r="J18" s="20" t="n">
        <v>2.36385996</v>
      </c>
      <c r="K18" s="18" t="s">
        <v>567</v>
      </c>
      <c r="L18" s="20" t="s">
        <v>567</v>
      </c>
      <c r="M18" s="18" t="n">
        <v>0.81683012</v>
      </c>
      <c r="N18" s="20" t="n">
        <v>0.40645066</v>
      </c>
      <c r="O18" s="18" t="n">
        <v>0</v>
      </c>
      <c r="P18" s="20" t="n">
        <v>0</v>
      </c>
      <c r="Q18" s="18" t="n">
        <v>0</v>
      </c>
      <c r="R18" s="20" t="n">
        <v>0</v>
      </c>
      <c r="S18" s="18" t="n">
        <v>1.54230064</v>
      </c>
      <c r="T18" s="20" t="n">
        <v>0.5630874</v>
      </c>
    </row>
    <row r="19" spans="1:20">
      <c r="A19" s="15" t="s">
        <v>579</v>
      </c>
      <c r="B19" s="17" t="n">
        <v>2808</v>
      </c>
      <c r="C19" s="18">
        <f>(2146.0/B19*100)</f>
        <v/>
      </c>
      <c r="D19" s="19" t="n">
        <v>662</v>
      </c>
      <c r="E19" s="18" t="n">
        <v>42.71195343</v>
      </c>
      <c r="F19" s="20" t="n">
        <v>2.33338495</v>
      </c>
      <c r="G19" s="18" t="n">
        <v>21.26953408</v>
      </c>
      <c r="H19" s="20" t="n">
        <v>1.56139323</v>
      </c>
      <c r="I19" s="18" t="n">
        <v>35.73755437</v>
      </c>
      <c r="J19" s="20" t="n">
        <v>2.12299946</v>
      </c>
      <c r="K19" s="18" t="s">
        <v>567</v>
      </c>
      <c r="L19" s="20" t="s">
        <v>567</v>
      </c>
      <c r="M19" s="18" t="n">
        <v>0.11854959</v>
      </c>
      <c r="N19" s="20" t="n">
        <v>0.11773316</v>
      </c>
      <c r="O19" s="18" t="n">
        <v>0</v>
      </c>
      <c r="P19" s="20" t="n">
        <v>0</v>
      </c>
      <c r="Q19" s="18" t="n">
        <v>0</v>
      </c>
      <c r="R19" s="20" t="n">
        <v>0</v>
      </c>
      <c r="S19" s="18" t="n">
        <v>0.16240853</v>
      </c>
      <c r="T19" s="20" t="n">
        <v>0.16297666</v>
      </c>
    </row>
    <row r="20" spans="1:20">
      <c r="A20" s="15" t="s">
        <v>580</v>
      </c>
      <c r="B20" s="17" t="n">
        <v>1630</v>
      </c>
      <c r="C20" s="18">
        <f>(1251.0/B20*100)</f>
        <v/>
      </c>
      <c r="D20" s="19" t="n">
        <v>379</v>
      </c>
      <c r="E20" s="18" t="n">
        <v>49.15787056</v>
      </c>
      <c r="F20" s="20" t="n">
        <v>2.92606268</v>
      </c>
      <c r="G20" s="18" t="n">
        <v>29.96984861</v>
      </c>
      <c r="H20" s="20" t="n">
        <v>2.64718547</v>
      </c>
      <c r="I20" s="18" t="n">
        <v>18.9654541</v>
      </c>
      <c r="J20" s="20" t="n">
        <v>2.42539488</v>
      </c>
      <c r="K20" s="18" t="s">
        <v>567</v>
      </c>
      <c r="L20" s="20" t="s">
        <v>567</v>
      </c>
      <c r="M20" s="18" t="n">
        <v>0.30029993</v>
      </c>
      <c r="N20" s="20" t="n">
        <v>0.3072611</v>
      </c>
      <c r="O20" s="18" t="n">
        <v>0</v>
      </c>
      <c r="P20" s="20" t="n">
        <v>0</v>
      </c>
      <c r="Q20" s="18" t="n">
        <v>0</v>
      </c>
      <c r="R20" s="20" t="n">
        <v>0</v>
      </c>
      <c r="S20" s="18" t="n">
        <v>1.6065268</v>
      </c>
      <c r="T20" s="20" t="n">
        <v>0.56887677</v>
      </c>
    </row>
    <row r="21" spans="1:20">
      <c r="A21" s="15" t="s">
        <v>581</v>
      </c>
      <c r="B21" s="17" t="n">
        <v>2908</v>
      </c>
      <c r="C21" s="18">
        <f>(2277.0/B21*100)</f>
        <v/>
      </c>
      <c r="D21" s="19" t="n">
        <v>631</v>
      </c>
      <c r="E21" s="18" t="n">
        <v>33.76739119</v>
      </c>
      <c r="F21" s="20" t="n">
        <v>2.11830137</v>
      </c>
      <c r="G21" s="18" t="n">
        <v>29.03723139</v>
      </c>
      <c r="H21" s="20" t="n">
        <v>1.98612881</v>
      </c>
      <c r="I21" s="18" t="n">
        <v>37.0692942</v>
      </c>
      <c r="J21" s="20" t="n">
        <v>2.0561365</v>
      </c>
      <c r="K21" s="18" t="s">
        <v>567</v>
      </c>
      <c r="L21" s="20" t="s">
        <v>567</v>
      </c>
      <c r="M21" s="18" t="n">
        <v>0.12608323</v>
      </c>
      <c r="N21" s="20" t="n">
        <v>0.12755381</v>
      </c>
      <c r="O21" s="18" t="n">
        <v>0</v>
      </c>
      <c r="P21" s="20" t="n">
        <v>0</v>
      </c>
      <c r="Q21" s="18" t="n">
        <v>0</v>
      </c>
      <c r="R21" s="20" t="n">
        <v>0</v>
      </c>
      <c r="S21" s="18" t="n">
        <v>0</v>
      </c>
      <c r="T21" s="20" t="n">
        <v>0</v>
      </c>
    </row>
    <row r="22" spans="1:20">
      <c r="A22" s="15" t="s">
        <v>582</v>
      </c>
      <c r="B22" s="17" t="n">
        <v>2931</v>
      </c>
      <c r="C22" s="18">
        <f>(2301.0/B22*100)</f>
        <v/>
      </c>
      <c r="D22" s="19" t="n">
        <v>630</v>
      </c>
      <c r="E22" s="18" t="n">
        <v>40.87287497</v>
      </c>
      <c r="F22" s="20" t="n">
        <v>2.25650847</v>
      </c>
      <c r="G22" s="18" t="n">
        <v>23.54314481</v>
      </c>
      <c r="H22" s="20" t="n">
        <v>1.73230274</v>
      </c>
      <c r="I22" s="18" t="n">
        <v>33.2685463</v>
      </c>
      <c r="J22" s="20" t="n">
        <v>2.01767333</v>
      </c>
      <c r="K22" s="18" t="s">
        <v>567</v>
      </c>
      <c r="L22" s="20" t="s">
        <v>567</v>
      </c>
      <c r="M22" s="18" t="n">
        <v>1.15932045</v>
      </c>
      <c r="N22" s="20" t="n">
        <v>0.50759641</v>
      </c>
      <c r="O22" s="18" t="n">
        <v>0</v>
      </c>
      <c r="P22" s="20" t="n">
        <v>0</v>
      </c>
      <c r="Q22" s="18" t="n">
        <v>0</v>
      </c>
      <c r="R22" s="20" t="n">
        <v>0</v>
      </c>
      <c r="S22" s="18" t="n">
        <v>1.15611348</v>
      </c>
      <c r="T22" s="20" t="n">
        <v>0.44564929</v>
      </c>
    </row>
    <row r="23" spans="1:20">
      <c r="A23" s="15" t="s">
        <v>583</v>
      </c>
      <c r="B23" s="17" t="n">
        <v>5791</v>
      </c>
      <c r="C23" s="18">
        <f>(4477.0/B23*100)</f>
        <v/>
      </c>
      <c r="D23" s="19" t="n">
        <v>1314</v>
      </c>
      <c r="E23" s="18" t="n">
        <v>29.04050688</v>
      </c>
      <c r="F23" s="20" t="n">
        <v>1.70656774</v>
      </c>
      <c r="G23" s="18" t="n">
        <v>19.07286476</v>
      </c>
      <c r="H23" s="20" t="n">
        <v>1.47899939</v>
      </c>
      <c r="I23" s="18" t="n">
        <v>51.56853135</v>
      </c>
      <c r="J23" s="20" t="n">
        <v>2.07368952</v>
      </c>
      <c r="K23" s="18" t="s">
        <v>567</v>
      </c>
      <c r="L23" s="20" t="s">
        <v>567</v>
      </c>
      <c r="M23" s="18" t="n">
        <v>0.16865855</v>
      </c>
      <c r="N23" s="20" t="n">
        <v>0.15735509</v>
      </c>
      <c r="O23" s="18" t="n">
        <v>0</v>
      </c>
      <c r="P23" s="20" t="n">
        <v>0</v>
      </c>
      <c r="Q23" s="18" t="n">
        <v>0</v>
      </c>
      <c r="R23" s="20" t="n">
        <v>0</v>
      </c>
      <c r="S23" s="18" t="n">
        <v>0.14943846</v>
      </c>
      <c r="T23" s="20" t="n">
        <v>0.15083321</v>
      </c>
    </row>
    <row r="24" spans="1:20">
      <c r="A24" s="15" t="s">
        <v>584</v>
      </c>
      <c r="B24" s="17" t="n">
        <v>3338</v>
      </c>
      <c r="C24" s="18">
        <f>(2615.0/B24*100)</f>
        <v/>
      </c>
      <c r="D24" s="19" t="n">
        <v>723</v>
      </c>
      <c r="E24" s="18" t="n">
        <v>21.26579128</v>
      </c>
      <c r="F24" s="20" t="n">
        <v>2.2152452</v>
      </c>
      <c r="G24" s="18" t="n">
        <v>25.28787979</v>
      </c>
      <c r="H24" s="20" t="n">
        <v>1.68391152</v>
      </c>
      <c r="I24" s="18" t="n">
        <v>52.63822859</v>
      </c>
      <c r="J24" s="20" t="n">
        <v>2.21965423</v>
      </c>
      <c r="K24" s="18" t="s">
        <v>567</v>
      </c>
      <c r="L24" s="20" t="s">
        <v>567</v>
      </c>
      <c r="M24" s="18" t="n">
        <v>0.13332167</v>
      </c>
      <c r="N24" s="20" t="n">
        <v>0.13253303</v>
      </c>
      <c r="O24" s="18" t="n">
        <v>0</v>
      </c>
      <c r="P24" s="20" t="n">
        <v>0</v>
      </c>
      <c r="Q24" s="18" t="n">
        <v>0</v>
      </c>
      <c r="R24" s="20" t="n">
        <v>0</v>
      </c>
      <c r="S24" s="18" t="n">
        <v>0.67477867</v>
      </c>
      <c r="T24" s="20" t="n">
        <v>0.30747108</v>
      </c>
    </row>
    <row r="25" spans="1:20">
      <c r="A25" s="15" t="s">
        <v>585</v>
      </c>
      <c r="B25" s="17" t="n">
        <v>2912</v>
      </c>
      <c r="C25" s="18">
        <f>(2243.0/B25*100)</f>
        <v/>
      </c>
      <c r="D25" s="19" t="n">
        <v>669</v>
      </c>
      <c r="E25" s="18" t="n">
        <v>39.26373908</v>
      </c>
      <c r="F25" s="20" t="n">
        <v>1.98085089</v>
      </c>
      <c r="G25" s="18" t="n">
        <v>21.01456415</v>
      </c>
      <c r="H25" s="20" t="n">
        <v>1.95717185</v>
      </c>
      <c r="I25" s="18" t="n">
        <v>38.51362295</v>
      </c>
      <c r="J25" s="20" t="n">
        <v>2.45520174</v>
      </c>
      <c r="K25" s="18" t="s">
        <v>567</v>
      </c>
      <c r="L25" s="20" t="s">
        <v>567</v>
      </c>
      <c r="M25" s="18" t="n">
        <v>0.43919243</v>
      </c>
      <c r="N25" s="20" t="n">
        <v>0.25117574</v>
      </c>
      <c r="O25" s="18" t="n">
        <v>0</v>
      </c>
      <c r="P25" s="20" t="n">
        <v>0</v>
      </c>
      <c r="Q25" s="18" t="n">
        <v>0</v>
      </c>
      <c r="R25" s="20" t="n">
        <v>0</v>
      </c>
      <c r="S25" s="18" t="n">
        <v>0.76888139</v>
      </c>
      <c r="T25" s="20" t="n">
        <v>0.34407226</v>
      </c>
    </row>
    <row r="26" spans="1:20">
      <c r="A26" s="15" t="s">
        <v>586</v>
      </c>
      <c r="B26" s="17" t="n">
        <v>2450</v>
      </c>
      <c r="C26" s="18">
        <f>(1912.0/B26*100)</f>
        <v/>
      </c>
      <c r="D26" s="19" t="n">
        <v>538</v>
      </c>
      <c r="E26" s="18" t="n">
        <v>38.88798242</v>
      </c>
      <c r="F26" s="20" t="n">
        <v>2.1180445</v>
      </c>
      <c r="G26" s="18" t="n">
        <v>22.79171113</v>
      </c>
      <c r="H26" s="20" t="n">
        <v>2.10959054</v>
      </c>
      <c r="I26" s="18" t="n">
        <v>38.32030645</v>
      </c>
      <c r="J26" s="20" t="n">
        <v>2.10208432</v>
      </c>
      <c r="K26" s="18" t="s">
        <v>567</v>
      </c>
      <c r="L26" s="20" t="s">
        <v>567</v>
      </c>
      <c r="M26" s="18" t="n">
        <v>0</v>
      </c>
      <c r="N26" s="20" t="n">
        <v>0</v>
      </c>
      <c r="O26" s="18" t="n">
        <v>0</v>
      </c>
      <c r="P26" s="20" t="n">
        <v>0</v>
      </c>
      <c r="Q26" s="18" t="n">
        <v>0</v>
      </c>
      <c r="R26" s="20" t="n">
        <v>0</v>
      </c>
      <c r="S26" s="18" t="n">
        <v>0</v>
      </c>
      <c r="T26" s="20" t="n">
        <v>0</v>
      </c>
    </row>
    <row r="27" spans="1:20">
      <c r="A27" s="15" t="s">
        <v>587</v>
      </c>
      <c r="B27" s="17" t="n">
        <v>2616</v>
      </c>
      <c r="C27" s="18">
        <f>(2044.0/B27*100)</f>
        <v/>
      </c>
      <c r="D27" s="19" t="n">
        <v>572</v>
      </c>
      <c r="E27" s="18" t="n">
        <v>36.40522443</v>
      </c>
      <c r="F27" s="20" t="n">
        <v>2.09573156</v>
      </c>
      <c r="G27" s="18" t="n">
        <v>23.2161907</v>
      </c>
      <c r="H27" s="20" t="n">
        <v>1.69465561</v>
      </c>
      <c r="I27" s="18" t="n">
        <v>39.3191448</v>
      </c>
      <c r="J27" s="20" t="n">
        <v>2.1369138</v>
      </c>
      <c r="K27" s="18" t="s">
        <v>567</v>
      </c>
      <c r="L27" s="20" t="s">
        <v>567</v>
      </c>
      <c r="M27" s="18" t="n">
        <v>0.34086515</v>
      </c>
      <c r="N27" s="20" t="n">
        <v>0.24085392</v>
      </c>
      <c r="O27" s="18" t="n">
        <v>0</v>
      </c>
      <c r="P27" s="20" t="n">
        <v>0</v>
      </c>
      <c r="Q27" s="18" t="n">
        <v>0</v>
      </c>
      <c r="R27" s="20" t="n">
        <v>0</v>
      </c>
      <c r="S27" s="18" t="n">
        <v>0.71857492</v>
      </c>
      <c r="T27" s="20" t="n">
        <v>0.35558157</v>
      </c>
    </row>
    <row r="28" spans="1:20">
      <c r="A28" s="15" t="s">
        <v>588</v>
      </c>
      <c r="B28" s="17" t="n">
        <v>3765</v>
      </c>
      <c r="C28" s="18">
        <f>(2985.0/B28*100)</f>
        <v/>
      </c>
      <c r="D28" s="19" t="n">
        <v>780</v>
      </c>
      <c r="E28" s="18" t="n">
        <v>48.73360257</v>
      </c>
      <c r="F28" s="20" t="n">
        <v>2.11343658</v>
      </c>
      <c r="G28" s="18" t="n">
        <v>18.14541028</v>
      </c>
      <c r="H28" s="20" t="n">
        <v>1.4132895</v>
      </c>
      <c r="I28" s="18" t="n">
        <v>31.84078552</v>
      </c>
      <c r="J28" s="20" t="n">
        <v>2.17163252</v>
      </c>
      <c r="K28" s="18" t="s">
        <v>567</v>
      </c>
      <c r="L28" s="20" t="s">
        <v>567</v>
      </c>
      <c r="M28" s="18" t="n">
        <v>0.9896153</v>
      </c>
      <c r="N28" s="20" t="n">
        <v>0.36822475</v>
      </c>
      <c r="O28" s="18" t="n">
        <v>0</v>
      </c>
      <c r="P28" s="20" t="n">
        <v>0</v>
      </c>
      <c r="Q28" s="18" t="n">
        <v>0</v>
      </c>
      <c r="R28" s="20" t="n">
        <v>0</v>
      </c>
      <c r="S28" s="18" t="n">
        <v>0.29058632</v>
      </c>
      <c r="T28" s="20" t="n">
        <v>0.16855455</v>
      </c>
    </row>
    <row r="29" spans="1:20">
      <c r="A29" s="15" t="s">
        <v>589</v>
      </c>
      <c r="B29" s="17" t="n">
        <v>2685</v>
      </c>
      <c r="C29" s="18">
        <f>(2106.0/B29*100)</f>
        <v/>
      </c>
      <c r="D29" s="19" t="n">
        <v>579</v>
      </c>
      <c r="E29" s="18" t="n">
        <v>30.81940489</v>
      </c>
      <c r="F29" s="20" t="n">
        <v>2.17189438</v>
      </c>
      <c r="G29" s="18" t="n">
        <v>26.00635772</v>
      </c>
      <c r="H29" s="20" t="n">
        <v>1.931452</v>
      </c>
      <c r="I29" s="18" t="n">
        <v>42.22836532</v>
      </c>
      <c r="J29" s="20" t="n">
        <v>1.96714387</v>
      </c>
      <c r="K29" s="18" t="s">
        <v>567</v>
      </c>
      <c r="L29" s="20" t="s">
        <v>567</v>
      </c>
      <c r="M29" s="18" t="n">
        <v>0.63425145</v>
      </c>
      <c r="N29" s="20" t="n">
        <v>0.31559316</v>
      </c>
      <c r="O29" s="18" t="n">
        <v>0</v>
      </c>
      <c r="P29" s="20" t="n">
        <v>0</v>
      </c>
      <c r="Q29" s="18" t="n">
        <v>0</v>
      </c>
      <c r="R29" s="20" t="n">
        <v>0</v>
      </c>
      <c r="S29" s="18" t="n">
        <v>0.31162061</v>
      </c>
      <c r="T29" s="20" t="n">
        <v>0.2308344</v>
      </c>
    </row>
    <row r="30" spans="1:20">
      <c r="A30" s="15" t="s">
        <v>590</v>
      </c>
      <c r="B30" s="17" t="n">
        <v>2263</v>
      </c>
      <c r="C30" s="18">
        <f>(1787.0/B30*100)</f>
        <v/>
      </c>
      <c r="D30" s="19" t="n">
        <v>476</v>
      </c>
      <c r="E30" s="18" t="n">
        <v>24.63561166</v>
      </c>
      <c r="F30" s="20" t="n">
        <v>2.25853542</v>
      </c>
      <c r="G30" s="18" t="n">
        <v>28.2027619</v>
      </c>
      <c r="H30" s="20" t="n">
        <v>2.26915006</v>
      </c>
      <c r="I30" s="18" t="n">
        <v>44.89702468</v>
      </c>
      <c r="J30" s="20" t="n">
        <v>2.27518495</v>
      </c>
      <c r="K30" s="18" t="s">
        <v>567</v>
      </c>
      <c r="L30" s="20" t="s">
        <v>567</v>
      </c>
      <c r="M30" s="18" t="n">
        <v>0.47665356</v>
      </c>
      <c r="N30" s="20" t="n">
        <v>0.31691479</v>
      </c>
      <c r="O30" s="18" t="n">
        <v>0</v>
      </c>
      <c r="P30" s="20" t="n">
        <v>0</v>
      </c>
      <c r="Q30" s="18" t="n">
        <v>0</v>
      </c>
      <c r="R30" s="20" t="n">
        <v>0</v>
      </c>
      <c r="S30" s="18" t="n">
        <v>1.78794821</v>
      </c>
      <c r="T30" s="20" t="n">
        <v>0.7406212599999999</v>
      </c>
    </row>
    <row r="31" spans="1:20">
      <c r="A31" s="15" t="s">
        <v>591</v>
      </c>
      <c r="B31" s="17" t="n">
        <v>2750</v>
      </c>
      <c r="C31" s="18">
        <f>(2167.0/B31*100)</f>
        <v/>
      </c>
      <c r="D31" s="19" t="n">
        <v>583</v>
      </c>
      <c r="E31" s="18" t="n">
        <v>35.8561931</v>
      </c>
      <c r="F31" s="20" t="n">
        <v>1.76109817</v>
      </c>
      <c r="G31" s="18" t="n">
        <v>15.66653708</v>
      </c>
      <c r="H31" s="20" t="n">
        <v>1.55490065</v>
      </c>
      <c r="I31" s="18" t="n">
        <v>46.24516192</v>
      </c>
      <c r="J31" s="20" t="n">
        <v>2.10135188</v>
      </c>
      <c r="K31" s="18" t="s">
        <v>567</v>
      </c>
      <c r="L31" s="20" t="s">
        <v>567</v>
      </c>
      <c r="M31" s="18" t="n">
        <v>0.97701237</v>
      </c>
      <c r="N31" s="20" t="n">
        <v>0.38517346</v>
      </c>
      <c r="O31" s="18" t="n">
        <v>0</v>
      </c>
      <c r="P31" s="20" t="n">
        <v>0</v>
      </c>
      <c r="Q31" s="18" t="n">
        <v>0</v>
      </c>
      <c r="R31" s="20" t="n">
        <v>0</v>
      </c>
      <c r="S31" s="18" t="n">
        <v>1.25509554</v>
      </c>
      <c r="T31" s="20" t="n">
        <v>0.27804807</v>
      </c>
    </row>
    <row r="32" spans="1:20">
      <c r="A32" s="15" t="s">
        <v>592</v>
      </c>
      <c r="B32" s="17" t="n">
        <v>2269</v>
      </c>
      <c r="C32" s="18">
        <f>(1762.0/B32*100)</f>
        <v/>
      </c>
      <c r="D32" s="19" t="n">
        <v>507</v>
      </c>
      <c r="E32" s="18" t="n">
        <v>27.52830456</v>
      </c>
      <c r="F32" s="20" t="n">
        <v>2.1381532</v>
      </c>
      <c r="G32" s="18" t="n">
        <v>23.2151081</v>
      </c>
      <c r="H32" s="20" t="n">
        <v>1.9223669</v>
      </c>
      <c r="I32" s="18" t="n">
        <v>48.89581075</v>
      </c>
      <c r="J32" s="20" t="n">
        <v>2.44296833</v>
      </c>
      <c r="K32" s="18" t="s">
        <v>567</v>
      </c>
      <c r="L32" s="20" t="s">
        <v>567</v>
      </c>
      <c r="M32" s="18" t="n">
        <v>0.17514354</v>
      </c>
      <c r="N32" s="20" t="n">
        <v>0.17456616</v>
      </c>
      <c r="O32" s="18" t="n">
        <v>0</v>
      </c>
      <c r="P32" s="20" t="n">
        <v>0</v>
      </c>
      <c r="Q32" s="18" t="n">
        <v>0</v>
      </c>
      <c r="R32" s="20" t="n">
        <v>0</v>
      </c>
      <c r="S32" s="18" t="n">
        <v>0.18563304</v>
      </c>
      <c r="T32" s="20" t="n">
        <v>0.18620915</v>
      </c>
    </row>
    <row r="33" spans="1:20">
      <c r="A33" s="15" t="s">
        <v>593</v>
      </c>
      <c r="B33" s="17" t="n">
        <v>3674</v>
      </c>
      <c r="C33" s="18">
        <f>(2895.0/B33*100)</f>
        <v/>
      </c>
      <c r="D33" s="19" t="n">
        <v>779</v>
      </c>
      <c r="E33" s="18" t="n">
        <v>32.93440749</v>
      </c>
      <c r="F33" s="20" t="n">
        <v>2.09702593</v>
      </c>
      <c r="G33" s="18" t="n">
        <v>26.16076375</v>
      </c>
      <c r="H33" s="20" t="n">
        <v>1.67541809</v>
      </c>
      <c r="I33" s="18" t="n">
        <v>40.32891425</v>
      </c>
      <c r="J33" s="20" t="n">
        <v>1.94871976</v>
      </c>
      <c r="K33" s="18" t="s">
        <v>567</v>
      </c>
      <c r="L33" s="20" t="s">
        <v>567</v>
      </c>
      <c r="M33" s="18" t="n">
        <v>0.57591451</v>
      </c>
      <c r="N33" s="20" t="n">
        <v>0.3457694</v>
      </c>
      <c r="O33" s="18" t="n">
        <v>0</v>
      </c>
      <c r="P33" s="20" t="n">
        <v>0</v>
      </c>
      <c r="Q33" s="18" t="n">
        <v>0</v>
      </c>
      <c r="R33" s="20" t="n">
        <v>0</v>
      </c>
      <c r="S33" s="18" t="n">
        <v>0</v>
      </c>
      <c r="T33" s="20" t="n">
        <v>0</v>
      </c>
    </row>
    <row r="34" spans="1:20">
      <c r="A34" s="15" t="s">
        <v>594</v>
      </c>
      <c r="B34" s="17" t="n">
        <v>3315</v>
      </c>
      <c r="C34" s="18">
        <f>(2615.0/B34*100)</f>
        <v/>
      </c>
      <c r="D34" s="19" t="n">
        <v>700</v>
      </c>
      <c r="E34" s="18" t="n">
        <v>38.88113205</v>
      </c>
      <c r="F34" s="20" t="n">
        <v>2.09368668</v>
      </c>
      <c r="G34" s="18" t="n">
        <v>21.73091451</v>
      </c>
      <c r="H34" s="20" t="n">
        <v>1.67682031</v>
      </c>
      <c r="I34" s="18" t="n">
        <v>38.57986547</v>
      </c>
      <c r="J34" s="20" t="n">
        <v>1.99630988</v>
      </c>
      <c r="K34" s="18" t="s">
        <v>567</v>
      </c>
      <c r="L34" s="20" t="s">
        <v>567</v>
      </c>
      <c r="M34" s="18" t="n">
        <v>0.09292715</v>
      </c>
      <c r="N34" s="20" t="n">
        <v>0.0926651</v>
      </c>
      <c r="O34" s="18" t="n">
        <v>0</v>
      </c>
      <c r="P34" s="20" t="n">
        <v>0</v>
      </c>
      <c r="Q34" s="18" t="n">
        <v>0</v>
      </c>
      <c r="R34" s="20" t="n">
        <v>0</v>
      </c>
      <c r="S34" s="18" t="n">
        <v>0.71516083</v>
      </c>
      <c r="T34" s="20" t="n">
        <v>0.34698009</v>
      </c>
    </row>
    <row r="35" spans="1:20">
      <c r="A35" s="15" t="s">
        <v>595</v>
      </c>
      <c r="B35" s="17" t="n">
        <v>3505</v>
      </c>
      <c r="C35" s="18">
        <f>(2745.0/B35*100)</f>
        <v/>
      </c>
      <c r="D35" s="19" t="n">
        <v>760</v>
      </c>
      <c r="E35" s="18" t="n">
        <v>28.12360165</v>
      </c>
      <c r="F35" s="20" t="n">
        <v>2.0844309</v>
      </c>
      <c r="G35" s="18" t="n">
        <v>27.10025632</v>
      </c>
      <c r="H35" s="20" t="n">
        <v>1.86759235</v>
      </c>
      <c r="I35" s="18" t="n">
        <v>43.81610407</v>
      </c>
      <c r="J35" s="20" t="n">
        <v>2.31060835</v>
      </c>
      <c r="K35" s="18" t="s">
        <v>567</v>
      </c>
      <c r="L35" s="20" t="s">
        <v>567</v>
      </c>
      <c r="M35" s="18" t="n">
        <v>0.66077299</v>
      </c>
      <c r="N35" s="20" t="n">
        <v>0.40585495</v>
      </c>
      <c r="O35" s="18" t="n">
        <v>0</v>
      </c>
      <c r="P35" s="20" t="n">
        <v>0</v>
      </c>
      <c r="Q35" s="18" t="n">
        <v>0</v>
      </c>
      <c r="R35" s="20" t="n">
        <v>0</v>
      </c>
      <c r="S35" s="18" t="n">
        <v>0.29926497</v>
      </c>
      <c r="T35" s="20" t="n">
        <v>0.14849501</v>
      </c>
    </row>
    <row r="36" spans="1:20">
      <c r="A36" s="15" t="s">
        <v>596</v>
      </c>
      <c r="B36" s="17" t="n">
        <v>3332</v>
      </c>
      <c r="C36" s="18">
        <f>(2562.0/B36*100)</f>
        <v/>
      </c>
      <c r="D36" s="19" t="n">
        <v>770</v>
      </c>
      <c r="E36" s="18" t="n">
        <v>30.07626005</v>
      </c>
      <c r="F36" s="20" t="n">
        <v>1.50745123</v>
      </c>
      <c r="G36" s="18" t="n">
        <v>22.57518907</v>
      </c>
      <c r="H36" s="20" t="n">
        <v>1.56067869</v>
      </c>
      <c r="I36" s="18" t="n">
        <v>45.77030135</v>
      </c>
      <c r="J36" s="20" t="n">
        <v>1.7903364</v>
      </c>
      <c r="K36" s="18" t="s">
        <v>567</v>
      </c>
      <c r="L36" s="20" t="s">
        <v>567</v>
      </c>
      <c r="M36" s="18" t="n">
        <v>0.7452889</v>
      </c>
      <c r="N36" s="20" t="n">
        <v>0.37970756</v>
      </c>
      <c r="O36" s="18" t="n">
        <v>0</v>
      </c>
      <c r="P36" s="20" t="n">
        <v>0</v>
      </c>
      <c r="Q36" s="18" t="n">
        <v>0</v>
      </c>
      <c r="R36" s="20" t="n">
        <v>0</v>
      </c>
      <c r="S36" s="18" t="n">
        <v>0.83296063</v>
      </c>
      <c r="T36" s="20" t="n">
        <v>0.42043859</v>
      </c>
    </row>
    <row r="37" spans="1:20">
      <c r="A37" s="15" t="s">
        <v>597</v>
      </c>
      <c r="B37" s="17" t="n">
        <v>2727</v>
      </c>
      <c r="C37" s="18">
        <f>(2152.0/B37*100)</f>
        <v/>
      </c>
      <c r="D37" s="19" t="n">
        <v>575</v>
      </c>
      <c r="E37" s="18" t="n">
        <v>38.89865375</v>
      </c>
      <c r="F37" s="20" t="n">
        <v>2.04979991</v>
      </c>
      <c r="G37" s="18" t="n">
        <v>23.05973051</v>
      </c>
      <c r="H37" s="20" t="n">
        <v>1.69109777</v>
      </c>
      <c r="I37" s="18" t="n">
        <v>35.31526761</v>
      </c>
      <c r="J37" s="20" t="n">
        <v>1.86561868</v>
      </c>
      <c r="K37" s="18" t="s">
        <v>567</v>
      </c>
      <c r="L37" s="20" t="s">
        <v>567</v>
      </c>
      <c r="M37" s="18" t="n">
        <v>1.00319538</v>
      </c>
      <c r="N37" s="20" t="n">
        <v>0.39891607</v>
      </c>
      <c r="O37" s="18" t="n">
        <v>0</v>
      </c>
      <c r="P37" s="20" t="n">
        <v>0</v>
      </c>
      <c r="Q37" s="18" t="n">
        <v>0</v>
      </c>
      <c r="R37" s="20" t="n">
        <v>0</v>
      </c>
      <c r="S37" s="18" t="n">
        <v>1.72315276</v>
      </c>
      <c r="T37" s="20" t="n">
        <v>0.48104792</v>
      </c>
    </row>
    <row r="38" spans="1:20">
      <c r="A38" s="15" t="s">
        <v>598</v>
      </c>
      <c r="B38" s="17" t="n">
        <v>3053</v>
      </c>
      <c r="C38" s="18">
        <f>(2386.0/B38*100)</f>
        <v/>
      </c>
      <c r="D38" s="19" t="n">
        <v>667</v>
      </c>
      <c r="E38" s="18" t="n">
        <v>35.95952457</v>
      </c>
      <c r="F38" s="20" t="n">
        <v>2.47767876</v>
      </c>
      <c r="G38" s="18" t="n">
        <v>25.51550475</v>
      </c>
      <c r="H38" s="20" t="n">
        <v>2.03066956</v>
      </c>
      <c r="I38" s="18" t="n">
        <v>36.36671016</v>
      </c>
      <c r="J38" s="20" t="n">
        <v>2.2857864</v>
      </c>
      <c r="K38" s="18" t="s">
        <v>567</v>
      </c>
      <c r="L38" s="20" t="s">
        <v>567</v>
      </c>
      <c r="M38" s="18" t="n">
        <v>0.7321463499999999</v>
      </c>
      <c r="N38" s="20" t="n">
        <v>0.41087607</v>
      </c>
      <c r="O38" s="18" t="n">
        <v>0</v>
      </c>
      <c r="P38" s="20" t="n">
        <v>0</v>
      </c>
      <c r="Q38" s="18" t="n">
        <v>0</v>
      </c>
      <c r="R38" s="20" t="n">
        <v>0</v>
      </c>
      <c r="S38" s="18" t="n">
        <v>1.42611416</v>
      </c>
      <c r="T38" s="20" t="n">
        <v>0.5298881</v>
      </c>
    </row>
    <row r="39" spans="1:20">
      <c r="A39" s="15" t="s">
        <v>599</v>
      </c>
      <c r="B39" s="17" t="n">
        <v>2957</v>
      </c>
      <c r="C39" s="18">
        <f>(2307.0/B39*100)</f>
        <v/>
      </c>
      <c r="D39" s="19" t="n">
        <v>650</v>
      </c>
      <c r="E39" s="18" t="n">
        <v>44.70838893</v>
      </c>
      <c r="F39" s="20" t="n">
        <v>2.4994936</v>
      </c>
      <c r="G39" s="18" t="n">
        <v>23.20190435</v>
      </c>
      <c r="H39" s="20" t="n">
        <v>1.77251029</v>
      </c>
      <c r="I39" s="18" t="n">
        <v>31.52192418</v>
      </c>
      <c r="J39" s="20" t="n">
        <v>2.30325039</v>
      </c>
      <c r="K39" s="18" t="s">
        <v>567</v>
      </c>
      <c r="L39" s="20" t="s">
        <v>567</v>
      </c>
      <c r="M39" s="18" t="n">
        <v>0</v>
      </c>
      <c r="N39" s="20" t="n">
        <v>0</v>
      </c>
      <c r="O39" s="18" t="n">
        <v>0</v>
      </c>
      <c r="P39" s="20" t="n">
        <v>0</v>
      </c>
      <c r="Q39" s="18" t="n">
        <v>0</v>
      </c>
      <c r="R39" s="20" t="n">
        <v>0</v>
      </c>
      <c r="S39" s="18" t="n">
        <v>0.56778253</v>
      </c>
      <c r="T39" s="20" t="n">
        <v>0.26345407</v>
      </c>
    </row>
    <row r="40" spans="1:20">
      <c r="A40" s="15" t="s">
        <v>600</v>
      </c>
      <c r="B40" s="17" t="n">
        <v>7235</v>
      </c>
      <c r="C40" s="18">
        <f>(5680.0/B40*100)</f>
        <v/>
      </c>
      <c r="D40" s="19" t="n">
        <v>1555</v>
      </c>
      <c r="E40" s="18" t="n">
        <v>29.66250242</v>
      </c>
      <c r="F40" s="20" t="n">
        <v>1.85724879</v>
      </c>
      <c r="G40" s="18" t="n">
        <v>24.21183233</v>
      </c>
      <c r="H40" s="20" t="n">
        <v>1.58983919</v>
      </c>
      <c r="I40" s="18" t="n">
        <v>45.2592962</v>
      </c>
      <c r="J40" s="20" t="n">
        <v>2.07692063</v>
      </c>
      <c r="K40" s="18" t="s">
        <v>567</v>
      </c>
      <c r="L40" s="20" t="s">
        <v>567</v>
      </c>
      <c r="M40" s="18" t="n">
        <v>0.07755105</v>
      </c>
      <c r="N40" s="20" t="n">
        <v>0.03864982</v>
      </c>
      <c r="O40" s="18" t="n">
        <v>0</v>
      </c>
      <c r="P40" s="20" t="n">
        <v>0</v>
      </c>
      <c r="Q40" s="18" t="n">
        <v>0</v>
      </c>
      <c r="R40" s="20" t="n">
        <v>0</v>
      </c>
      <c r="S40" s="18" t="n">
        <v>0.78881801</v>
      </c>
      <c r="T40" s="20" t="n">
        <v>0.29672809</v>
      </c>
    </row>
    <row r="41" spans="1:20">
      <c r="A41" s="15" t="s">
        <v>601</v>
      </c>
      <c r="B41" s="17" t="n">
        <v>2858</v>
      </c>
      <c r="C41" s="18">
        <f>(2221.0/B41*100)</f>
        <v/>
      </c>
      <c r="D41" s="19" t="n">
        <v>637</v>
      </c>
      <c r="E41" s="18" t="n">
        <v>30.49831575</v>
      </c>
      <c r="F41" s="20" t="n">
        <v>2.39625764</v>
      </c>
      <c r="G41" s="18" t="n">
        <v>19.35139884</v>
      </c>
      <c r="H41" s="20" t="n">
        <v>1.53000987</v>
      </c>
      <c r="I41" s="18" t="n">
        <v>49.84895786</v>
      </c>
      <c r="J41" s="20" t="n">
        <v>2.42730065</v>
      </c>
      <c r="K41" s="18" t="s">
        <v>567</v>
      </c>
      <c r="L41" s="20" t="s">
        <v>567</v>
      </c>
      <c r="M41" s="18" t="n">
        <v>0.19482924</v>
      </c>
      <c r="N41" s="20" t="n">
        <v>0.16647822</v>
      </c>
      <c r="O41" s="18" t="n">
        <v>0</v>
      </c>
      <c r="P41" s="20" t="n">
        <v>0</v>
      </c>
      <c r="Q41" s="18" t="n">
        <v>0</v>
      </c>
      <c r="R41" s="20" t="n">
        <v>0</v>
      </c>
      <c r="S41" s="18" t="n">
        <v>0.1064983</v>
      </c>
      <c r="T41" s="20" t="n">
        <v>0.11232986</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11068</v>
      </c>
      <c r="C46" s="18">
        <f>(9162.0/B46*100)</f>
        <v/>
      </c>
      <c r="D46" s="19" t="n">
        <v>1906</v>
      </c>
      <c r="E46" s="18" t="n">
        <v>61.18645188</v>
      </c>
      <c r="F46" s="20" t="n">
        <v>1.63823091</v>
      </c>
      <c r="G46" s="18" t="n">
        <v>15.66324278</v>
      </c>
      <c r="H46" s="20" t="n">
        <v>1.24373238</v>
      </c>
      <c r="I46" s="18" t="n">
        <v>19.4513812</v>
      </c>
      <c r="J46" s="20" t="n">
        <v>1.27969222</v>
      </c>
      <c r="K46" s="18" t="s">
        <v>567</v>
      </c>
      <c r="L46" s="20" t="s">
        <v>567</v>
      </c>
      <c r="M46" s="18" t="n">
        <v>1.60939753</v>
      </c>
      <c r="N46" s="20" t="n">
        <v>0.42090806</v>
      </c>
      <c r="O46" s="18" t="n">
        <v>0</v>
      </c>
      <c r="P46" s="20" t="n">
        <v>0</v>
      </c>
      <c r="Q46" s="18" t="n">
        <v>0</v>
      </c>
      <c r="R46" s="20" t="n">
        <v>0</v>
      </c>
      <c r="S46" s="18" t="n">
        <v>2.08952661</v>
      </c>
      <c r="T46" s="20" t="n">
        <v>0.44636636</v>
      </c>
    </row>
    <row r="47" spans="1:20">
      <c r="A47" s="15" t="s">
        <v>607</v>
      </c>
      <c r="B47" s="17" t="n">
        <v>3105</v>
      </c>
      <c r="C47" s="18">
        <f>(2456.0/B47*100)</f>
        <v/>
      </c>
      <c r="D47" s="19" t="n">
        <v>649</v>
      </c>
      <c r="E47" s="18" t="n">
        <v>49.30067673</v>
      </c>
      <c r="F47" s="20" t="n">
        <v>2.24387117</v>
      </c>
      <c r="G47" s="18" t="n">
        <v>23.09449448</v>
      </c>
      <c r="H47" s="20" t="n">
        <v>1.73476881</v>
      </c>
      <c r="I47" s="18" t="n">
        <v>26.54303631</v>
      </c>
      <c r="J47" s="20" t="n">
        <v>2.05063533</v>
      </c>
      <c r="K47" s="18" t="s">
        <v>567</v>
      </c>
      <c r="L47" s="20" t="s">
        <v>567</v>
      </c>
      <c r="M47" s="18" t="n">
        <v>0.14263418</v>
      </c>
      <c r="N47" s="20" t="n">
        <v>0.14331047</v>
      </c>
      <c r="O47" s="18" t="n">
        <v>0</v>
      </c>
      <c r="P47" s="20" t="n">
        <v>0</v>
      </c>
      <c r="Q47" s="18" t="n">
        <v>0</v>
      </c>
      <c r="R47" s="20" t="n">
        <v>0</v>
      </c>
      <c r="S47" s="18" t="n">
        <v>0.9191583</v>
      </c>
      <c r="T47" s="20" t="n">
        <v>0.41833114</v>
      </c>
    </row>
    <row r="48" spans="1:20">
      <c r="A48" s="15" t="s">
        <v>608</v>
      </c>
      <c r="B48" s="17" t="n">
        <v>5159</v>
      </c>
      <c r="C48" s="18">
        <f>(4042.0/B48*100)</f>
        <v/>
      </c>
      <c r="D48" s="19" t="n">
        <v>1117</v>
      </c>
      <c r="E48" s="18" t="n">
        <v>18.88231898</v>
      </c>
      <c r="F48" s="20" t="n">
        <v>1.59617588</v>
      </c>
      <c r="G48" s="18" t="n">
        <v>24.33376949</v>
      </c>
      <c r="H48" s="20" t="n">
        <v>1.91474849</v>
      </c>
      <c r="I48" s="18" t="n">
        <v>56.07977525</v>
      </c>
      <c r="J48" s="20" t="n">
        <v>2.42793525</v>
      </c>
      <c r="K48" s="18" t="s">
        <v>567</v>
      </c>
      <c r="L48" s="20" t="s">
        <v>567</v>
      </c>
      <c r="M48" s="18" t="n">
        <v>0.59342332</v>
      </c>
      <c r="N48" s="20" t="n">
        <v>0.35126662</v>
      </c>
      <c r="O48" s="18" t="n">
        <v>0</v>
      </c>
      <c r="P48" s="20" t="n">
        <v>0</v>
      </c>
      <c r="Q48" s="18" t="n">
        <v>0</v>
      </c>
      <c r="R48" s="20" t="n">
        <v>0</v>
      </c>
      <c r="S48" s="18" t="n">
        <v>0.11071297</v>
      </c>
      <c r="T48" s="20" t="n">
        <v>0.11110549</v>
      </c>
    </row>
    <row r="49" spans="1:20">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5637</v>
      </c>
      <c r="C50" s="18">
        <f>(4460.0/B50*100)</f>
        <v/>
      </c>
      <c r="D50" s="19" t="n">
        <v>1177</v>
      </c>
      <c r="E50" s="18" t="n">
        <v>48.22456064</v>
      </c>
      <c r="F50" s="20" t="n">
        <v>2.63088911</v>
      </c>
      <c r="G50" s="18" t="n">
        <v>18.90205721</v>
      </c>
      <c r="H50" s="20" t="n">
        <v>1.3618835</v>
      </c>
      <c r="I50" s="18" t="n">
        <v>30.30728233</v>
      </c>
      <c r="J50" s="20" t="n">
        <v>2.24561828</v>
      </c>
      <c r="K50" s="18" t="s">
        <v>567</v>
      </c>
      <c r="L50" s="20" t="s">
        <v>567</v>
      </c>
      <c r="M50" s="18" t="n">
        <v>2.29833098</v>
      </c>
      <c r="N50" s="20" t="n">
        <v>0.75884036</v>
      </c>
      <c r="O50" s="18" t="n">
        <v>0</v>
      </c>
      <c r="P50" s="20" t="n">
        <v>0</v>
      </c>
      <c r="Q50" s="18" t="n">
        <v>0</v>
      </c>
      <c r="R50" s="20" t="n">
        <v>0</v>
      </c>
      <c r="S50" s="18" t="n">
        <v>0.26776884</v>
      </c>
      <c r="T50" s="20" t="n">
        <v>0.18287545</v>
      </c>
    </row>
    <row r="51" spans="1:20">
      <c r="A51" s="15" t="s">
        <v>611</v>
      </c>
      <c r="B51" s="17" t="n">
        <v>3372</v>
      </c>
      <c r="C51" s="18">
        <f>(2752.0/B51*100)</f>
        <v/>
      </c>
      <c r="D51" s="19" t="n">
        <v>620</v>
      </c>
      <c r="E51" s="18" t="n">
        <v>45.9615499</v>
      </c>
      <c r="F51" s="20" t="n">
        <v>1.93705329</v>
      </c>
      <c r="G51" s="18" t="n">
        <v>25.51470494</v>
      </c>
      <c r="H51" s="20" t="n">
        <v>1.98553855</v>
      </c>
      <c r="I51" s="18" t="n">
        <v>26.75940753</v>
      </c>
      <c r="J51" s="20" t="n">
        <v>1.76283068</v>
      </c>
      <c r="K51" s="18" t="s">
        <v>567</v>
      </c>
      <c r="L51" s="20" t="s">
        <v>567</v>
      </c>
      <c r="M51" s="18" t="n">
        <v>0.74493951</v>
      </c>
      <c r="N51" s="20" t="n">
        <v>0.33717066</v>
      </c>
      <c r="O51" s="18" t="n">
        <v>0</v>
      </c>
      <c r="P51" s="20" t="n">
        <v>0</v>
      </c>
      <c r="Q51" s="18" t="n">
        <v>0</v>
      </c>
      <c r="R51" s="20" t="n">
        <v>0</v>
      </c>
      <c r="S51" s="18" t="n">
        <v>1.01939811</v>
      </c>
      <c r="T51" s="20" t="n">
        <v>0.47642563</v>
      </c>
    </row>
    <row r="52" spans="1:20">
      <c r="A52" s="15" t="s">
        <v>612</v>
      </c>
      <c r="B52" s="17" t="n">
        <v>2796</v>
      </c>
      <c r="C52" s="18">
        <f>(2180.0/B52*100)</f>
        <v/>
      </c>
      <c r="D52" s="19" t="n">
        <v>616</v>
      </c>
      <c r="E52" s="18" t="n">
        <v>48.40081774</v>
      </c>
      <c r="F52" s="20" t="n">
        <v>1.98549163</v>
      </c>
      <c r="G52" s="18" t="n">
        <v>17.64529032</v>
      </c>
      <c r="H52" s="20" t="n">
        <v>1.50201602</v>
      </c>
      <c r="I52" s="18" t="n">
        <v>33.44594355</v>
      </c>
      <c r="J52" s="20" t="n">
        <v>2.0248329</v>
      </c>
      <c r="K52" s="18" t="s">
        <v>567</v>
      </c>
      <c r="L52" s="20" t="s">
        <v>567</v>
      </c>
      <c r="M52" s="18" t="n">
        <v>0</v>
      </c>
      <c r="N52" s="20" t="n">
        <v>0</v>
      </c>
      <c r="O52" s="18" t="n">
        <v>0</v>
      </c>
      <c r="P52" s="20" t="n">
        <v>0</v>
      </c>
      <c r="Q52" s="18" t="n">
        <v>0</v>
      </c>
      <c r="R52" s="20" t="n">
        <v>0</v>
      </c>
      <c r="S52" s="18" t="n">
        <v>0.50794839</v>
      </c>
      <c r="T52" s="20" t="n">
        <v>0.30010828</v>
      </c>
    </row>
    <row r="53" spans="1:20">
      <c r="A53" s="15" t="s">
        <v>613</v>
      </c>
      <c r="B53" s="17" t="n">
        <v>2811</v>
      </c>
      <c r="C53" s="18">
        <f>(2189.0/B53*100)</f>
        <v/>
      </c>
      <c r="D53" s="19" t="n">
        <v>622</v>
      </c>
      <c r="E53" s="18" t="n">
        <v>52.1630182</v>
      </c>
      <c r="F53" s="20" t="n">
        <v>2.04573574</v>
      </c>
      <c r="G53" s="18" t="n">
        <v>23.33422596</v>
      </c>
      <c r="H53" s="20" t="n">
        <v>1.82738432</v>
      </c>
      <c r="I53" s="18" t="n">
        <v>22.65673206</v>
      </c>
      <c r="J53" s="20" t="n">
        <v>1.94073294</v>
      </c>
      <c r="K53" s="18" t="s">
        <v>567</v>
      </c>
      <c r="L53" s="20" t="s">
        <v>567</v>
      </c>
      <c r="M53" s="18" t="n">
        <v>0.3560336</v>
      </c>
      <c r="N53" s="20" t="n">
        <v>0.20585543</v>
      </c>
      <c r="O53" s="18" t="n">
        <v>0</v>
      </c>
      <c r="P53" s="20" t="n">
        <v>0</v>
      </c>
      <c r="Q53" s="18" t="n">
        <v>0</v>
      </c>
      <c r="R53" s="20" t="n">
        <v>0</v>
      </c>
      <c r="S53" s="18" t="n">
        <v>1.48999018</v>
      </c>
      <c r="T53" s="20" t="n">
        <v>0.5022941399999999</v>
      </c>
    </row>
    <row r="54" spans="1:20">
      <c r="A54" s="15" t="s">
        <v>614</v>
      </c>
      <c r="B54" s="17" t="n">
        <v>2266</v>
      </c>
      <c r="C54" s="18">
        <f>(1764.0/B54*100)</f>
        <v/>
      </c>
      <c r="D54" s="19" t="n">
        <v>502</v>
      </c>
      <c r="E54" s="18" t="n">
        <v>55.14171482</v>
      </c>
      <c r="F54" s="20" t="n">
        <v>2.95570895</v>
      </c>
      <c r="G54" s="18" t="n">
        <v>14.03908953</v>
      </c>
      <c r="H54" s="20" t="n">
        <v>1.71616059</v>
      </c>
      <c r="I54" s="18" t="n">
        <v>16.02642437</v>
      </c>
      <c r="J54" s="20" t="n">
        <v>1.86240657</v>
      </c>
      <c r="K54" s="18" t="s">
        <v>567</v>
      </c>
      <c r="L54" s="20" t="s">
        <v>567</v>
      </c>
      <c r="M54" s="18" t="n">
        <v>12.69599568</v>
      </c>
      <c r="N54" s="20" t="n">
        <v>1.59191125</v>
      </c>
      <c r="O54" s="18" t="n">
        <v>0</v>
      </c>
      <c r="P54" s="20" t="n">
        <v>0</v>
      </c>
      <c r="Q54" s="18" t="n">
        <v>0</v>
      </c>
      <c r="R54" s="20" t="n">
        <v>0</v>
      </c>
      <c r="S54" s="18" t="n">
        <v>2.0967756</v>
      </c>
      <c r="T54" s="20" t="n">
        <v>0.67723756</v>
      </c>
    </row>
    <row r="55" spans="1:20">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2684</v>
      </c>
      <c r="C56" s="18">
        <f>(2079.0/B56*100)</f>
        <v/>
      </c>
      <c r="D56" s="19" t="n">
        <v>605</v>
      </c>
      <c r="E56" s="18" t="n">
        <v>21.14126073</v>
      </c>
      <c r="F56" s="20" t="n">
        <v>2.13924879</v>
      </c>
      <c r="G56" s="18" t="n">
        <v>33.08971021</v>
      </c>
      <c r="H56" s="20" t="n">
        <v>2.27063671</v>
      </c>
      <c r="I56" s="18" t="n">
        <v>45.25247494</v>
      </c>
      <c r="J56" s="20" t="n">
        <v>2.19513108</v>
      </c>
      <c r="K56" s="18" t="s">
        <v>567</v>
      </c>
      <c r="L56" s="20" t="s">
        <v>567</v>
      </c>
      <c r="M56" s="18" t="n">
        <v>0.32529924</v>
      </c>
      <c r="N56" s="20" t="n">
        <v>0.22940187</v>
      </c>
      <c r="O56" s="18" t="n">
        <v>0</v>
      </c>
      <c r="P56" s="20" t="n">
        <v>0</v>
      </c>
      <c r="Q56" s="18" t="n">
        <v>0</v>
      </c>
      <c r="R56" s="20" t="n">
        <v>0</v>
      </c>
      <c r="S56" s="18" t="n">
        <v>0.19125489</v>
      </c>
      <c r="T56" s="20" t="n">
        <v>0.21662313</v>
      </c>
    </row>
    <row r="57" spans="1:20">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3324</v>
      </c>
      <c r="C61" s="18">
        <f>(2588.0/B61*100)</f>
        <v/>
      </c>
      <c r="D61" s="19" t="n">
        <v>736</v>
      </c>
      <c r="E61" s="18" t="n">
        <v>38.38977418</v>
      </c>
      <c r="F61" s="20" t="n">
        <v>2.38154557</v>
      </c>
      <c r="G61" s="18" t="n">
        <v>32.34673354</v>
      </c>
      <c r="H61" s="20" t="n">
        <v>2.28067265</v>
      </c>
      <c r="I61" s="18" t="n">
        <v>28.30559505</v>
      </c>
      <c r="J61" s="20" t="n">
        <v>1.82840089</v>
      </c>
      <c r="K61" s="18" t="s">
        <v>567</v>
      </c>
      <c r="L61" s="20" t="s">
        <v>567</v>
      </c>
      <c r="M61" s="18" t="n">
        <v>0.49950972</v>
      </c>
      <c r="N61" s="20" t="n">
        <v>0.29693452</v>
      </c>
      <c r="O61" s="18" t="n">
        <v>0</v>
      </c>
      <c r="P61" s="20" t="n">
        <v>0</v>
      </c>
      <c r="Q61" s="18" t="n">
        <v>0</v>
      </c>
      <c r="R61" s="20" t="n">
        <v>0</v>
      </c>
      <c r="S61" s="18" t="n">
        <v>0.45838751</v>
      </c>
      <c r="T61" s="20" t="n">
        <v>0.23231088</v>
      </c>
    </row>
    <row r="62" spans="1:20">
      <c r="A62" s="15" t="s">
        <v>622</v>
      </c>
      <c r="B62" s="17" t="n">
        <v>2246</v>
      </c>
      <c r="C62" s="18">
        <f>(1746.0/B62*100)</f>
        <v/>
      </c>
      <c r="D62" s="19" t="n">
        <v>500</v>
      </c>
      <c r="E62" s="18" t="n">
        <v>23.24014996</v>
      </c>
      <c r="F62" s="20" t="n">
        <v>2.02308615</v>
      </c>
      <c r="G62" s="18" t="n">
        <v>28.7470477</v>
      </c>
      <c r="H62" s="20" t="n">
        <v>1.91564168</v>
      </c>
      <c r="I62" s="18" t="n">
        <v>48.01280234</v>
      </c>
      <c r="J62" s="20" t="n">
        <v>2.01961122</v>
      </c>
      <c r="K62" s="18" t="s">
        <v>567</v>
      </c>
      <c r="L62" s="20" t="s">
        <v>567</v>
      </c>
      <c r="M62" s="18" t="n">
        <v>0</v>
      </c>
      <c r="N62" s="20" t="n">
        <v>0</v>
      </c>
      <c r="O62" s="18" t="n">
        <v>0</v>
      </c>
      <c r="P62" s="20" t="n">
        <v>0</v>
      </c>
      <c r="Q62" s="18" t="n">
        <v>0</v>
      </c>
      <c r="R62" s="20" t="n">
        <v>0</v>
      </c>
      <c r="S62" s="18" t="n">
        <v>0</v>
      </c>
      <c r="T62" s="20" t="n">
        <v>0</v>
      </c>
    </row>
    <row r="63" spans="1:20">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2894</v>
      </c>
      <c r="C66" s="18">
        <f>(2270.0/B66*100)</f>
        <v/>
      </c>
      <c r="D66" s="19" t="n">
        <v>624</v>
      </c>
      <c r="E66" s="18" t="n">
        <v>59.18044737</v>
      </c>
      <c r="F66" s="20" t="n">
        <v>1.91519109</v>
      </c>
      <c r="G66" s="18" t="n">
        <v>12.66313517</v>
      </c>
      <c r="H66" s="20" t="n">
        <v>1.37794947</v>
      </c>
      <c r="I66" s="18" t="n">
        <v>24.94273084</v>
      </c>
      <c r="J66" s="20" t="n">
        <v>1.68657337</v>
      </c>
      <c r="K66" s="18" t="s">
        <v>567</v>
      </c>
      <c r="L66" s="20" t="s">
        <v>567</v>
      </c>
      <c r="M66" s="18" t="n">
        <v>0.65590287</v>
      </c>
      <c r="N66" s="20" t="n">
        <v>0.33820247</v>
      </c>
      <c r="O66" s="18" t="n">
        <v>0</v>
      </c>
      <c r="P66" s="20" t="n">
        <v>0</v>
      </c>
      <c r="Q66" s="18" t="n">
        <v>0</v>
      </c>
      <c r="R66" s="20" t="n">
        <v>0</v>
      </c>
      <c r="S66" s="18" t="n">
        <v>2.55778374</v>
      </c>
      <c r="T66" s="20" t="n">
        <v>0.68619367</v>
      </c>
    </row>
    <row r="67" spans="1:20">
      <c r="A67" s="15" t="s">
        <v>627</v>
      </c>
      <c r="B67" s="17" t="n">
        <v>3511</v>
      </c>
      <c r="C67" s="18">
        <f>(2825.0/B67*100)</f>
        <v/>
      </c>
      <c r="D67" s="19" t="n">
        <v>686</v>
      </c>
      <c r="E67" s="18" t="n">
        <v>51.82250454</v>
      </c>
      <c r="F67" s="20" t="n">
        <v>2.24982189</v>
      </c>
      <c r="G67" s="18" t="n">
        <v>24.67323525</v>
      </c>
      <c r="H67" s="20" t="n">
        <v>1.9830563</v>
      </c>
      <c r="I67" s="18" t="n">
        <v>22.06240726</v>
      </c>
      <c r="J67" s="20" t="n">
        <v>1.90553136</v>
      </c>
      <c r="K67" s="18" t="s">
        <v>567</v>
      </c>
      <c r="L67" s="20" t="s">
        <v>567</v>
      </c>
      <c r="M67" s="18" t="n">
        <v>0.27018614</v>
      </c>
      <c r="N67" s="20" t="n">
        <v>0.19191411</v>
      </c>
      <c r="O67" s="18" t="n">
        <v>0</v>
      </c>
      <c r="P67" s="20" t="n">
        <v>0</v>
      </c>
      <c r="Q67" s="18" t="n">
        <v>0</v>
      </c>
      <c r="R67" s="20" t="n">
        <v>0</v>
      </c>
      <c r="S67" s="18" t="n">
        <v>1.17166681</v>
      </c>
      <c r="T67" s="20" t="n">
        <v>0.41766819</v>
      </c>
    </row>
    <row r="68" spans="1:20">
      <c r="A68" s="15" t="s">
        <v>628</v>
      </c>
      <c r="B68" s="17" t="n">
        <v>6049</v>
      </c>
      <c r="C68" s="18">
        <f>(4720.0/B68*100)</f>
        <v/>
      </c>
      <c r="D68" s="19" t="n">
        <v>1329</v>
      </c>
      <c r="E68" s="18" t="n">
        <v>50.10344897</v>
      </c>
      <c r="F68" s="20" t="n">
        <v>1.48092687</v>
      </c>
      <c r="G68" s="18" t="n">
        <v>19.17886469</v>
      </c>
      <c r="H68" s="20" t="n">
        <v>1.2223258</v>
      </c>
      <c r="I68" s="18" t="n">
        <v>26.8248534</v>
      </c>
      <c r="J68" s="20" t="n">
        <v>1.1947956</v>
      </c>
      <c r="K68" s="18" t="s">
        <v>567</v>
      </c>
      <c r="L68" s="20" t="s">
        <v>567</v>
      </c>
      <c r="M68" s="18" t="n">
        <v>2.24450946</v>
      </c>
      <c r="N68" s="20" t="n">
        <v>0.43151017</v>
      </c>
      <c r="O68" s="18" t="n">
        <v>0</v>
      </c>
      <c r="P68" s="20" t="n">
        <v>0</v>
      </c>
      <c r="Q68" s="18" t="n">
        <v>0</v>
      </c>
      <c r="R68" s="20" t="n">
        <v>0</v>
      </c>
      <c r="S68" s="18" t="n">
        <v>1.64832347</v>
      </c>
      <c r="T68" s="20" t="n">
        <v>0.37094935</v>
      </c>
    </row>
    <row r="69" spans="1:20">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2929</v>
      </c>
      <c r="C70" s="18">
        <f>(2310.0/B70*100)</f>
        <v/>
      </c>
      <c r="D70" s="19" t="n">
        <v>619</v>
      </c>
      <c r="E70" s="18" t="n">
        <v>36.63861808</v>
      </c>
      <c r="F70" s="20" t="n">
        <v>2.32594907</v>
      </c>
      <c r="G70" s="18" t="n">
        <v>21.57477508</v>
      </c>
      <c r="H70" s="20" t="n">
        <v>2.0577992</v>
      </c>
      <c r="I70" s="18" t="n">
        <v>40.40740916</v>
      </c>
      <c r="J70" s="20" t="n">
        <v>2.8280412</v>
      </c>
      <c r="K70" s="18" t="s">
        <v>567</v>
      </c>
      <c r="L70" s="20" t="s">
        <v>567</v>
      </c>
      <c r="M70" s="18" t="n">
        <v>0.48028036</v>
      </c>
      <c r="N70" s="20" t="n">
        <v>0.35232257</v>
      </c>
      <c r="O70" s="18" t="n">
        <v>0</v>
      </c>
      <c r="P70" s="20" t="n">
        <v>0</v>
      </c>
      <c r="Q70" s="18" t="n">
        <v>0</v>
      </c>
      <c r="R70" s="20" t="n">
        <v>0</v>
      </c>
      <c r="S70" s="18" t="n">
        <v>0.89891732</v>
      </c>
      <c r="T70" s="20" t="n">
        <v>0.55541878</v>
      </c>
    </row>
    <row r="71" spans="1:20">
      <c r="A71" s="15" t="s">
        <v>631</v>
      </c>
      <c r="B71" s="17" t="n">
        <v>3142</v>
      </c>
      <c r="C71" s="18">
        <f>(2450.0/B71*100)</f>
        <v/>
      </c>
      <c r="D71" s="19" t="n">
        <v>692</v>
      </c>
      <c r="E71" s="18" t="n">
        <v>12.22435142</v>
      </c>
      <c r="F71" s="20" t="n">
        <v>1.35133784</v>
      </c>
      <c r="G71" s="18" t="n">
        <v>13.77165109</v>
      </c>
      <c r="H71" s="20" t="n">
        <v>1.46631844</v>
      </c>
      <c r="I71" s="18" t="n">
        <v>73.56919688000001</v>
      </c>
      <c r="J71" s="20" t="n">
        <v>1.87476073</v>
      </c>
      <c r="K71" s="18" t="s">
        <v>567</v>
      </c>
      <c r="L71" s="20" t="s">
        <v>567</v>
      </c>
      <c r="M71" s="18" t="n">
        <v>0</v>
      </c>
      <c r="N71" s="20" t="n">
        <v>0</v>
      </c>
      <c r="O71" s="18" t="n">
        <v>0</v>
      </c>
      <c r="P71" s="20" t="n">
        <v>0</v>
      </c>
      <c r="Q71" s="18" t="n">
        <v>0</v>
      </c>
      <c r="R71" s="20" t="n">
        <v>0</v>
      </c>
      <c r="S71" s="18" t="n">
        <v>0.43480061</v>
      </c>
      <c r="T71" s="20" t="n">
        <v>0.24593519</v>
      </c>
    </row>
    <row r="72" spans="1:20">
      <c r="A72" s="15" t="s">
        <v>632</v>
      </c>
      <c r="B72" s="17" t="n">
        <v>3889</v>
      </c>
      <c r="C72" s="18">
        <f>(2991.0/B72*100)</f>
        <v/>
      </c>
      <c r="D72" s="19" t="n">
        <v>898</v>
      </c>
      <c r="E72" s="18" t="n">
        <v>25.02038923</v>
      </c>
      <c r="F72" s="20" t="n">
        <v>1.49199103</v>
      </c>
      <c r="G72" s="18" t="n">
        <v>21.34890843</v>
      </c>
      <c r="H72" s="20" t="n">
        <v>1.61477267</v>
      </c>
      <c r="I72" s="18" t="n">
        <v>53.22863176</v>
      </c>
      <c r="J72" s="20" t="n">
        <v>2.14008259</v>
      </c>
      <c r="K72" s="18" t="s">
        <v>567</v>
      </c>
      <c r="L72" s="20" t="s">
        <v>567</v>
      </c>
      <c r="M72" s="18" t="n">
        <v>0.23783361</v>
      </c>
      <c r="N72" s="20" t="n">
        <v>0.17172303</v>
      </c>
      <c r="O72" s="18" t="n">
        <v>0</v>
      </c>
      <c r="P72" s="20" t="n">
        <v>0</v>
      </c>
      <c r="Q72" s="18" t="n">
        <v>0</v>
      </c>
      <c r="R72" s="20" t="n">
        <v>0</v>
      </c>
      <c r="S72" s="18" t="n">
        <v>0.16423697</v>
      </c>
      <c r="T72" s="20" t="n">
        <v>0.10410456</v>
      </c>
    </row>
    <row r="73" spans="1:20">
      <c r="A73" s="15" t="s">
        <v>633</v>
      </c>
      <c r="B73" s="17" t="n">
        <v>3597</v>
      </c>
      <c r="C73" s="18">
        <f>(2841.0/B73*100)</f>
        <v/>
      </c>
      <c r="D73" s="19" t="n">
        <v>756</v>
      </c>
      <c r="E73" s="18" t="n">
        <v>47.55102687</v>
      </c>
      <c r="F73" s="20" t="n">
        <v>2.25183196</v>
      </c>
      <c r="G73" s="18" t="n">
        <v>23.46702801</v>
      </c>
      <c r="H73" s="20" t="n">
        <v>2.18251486</v>
      </c>
      <c r="I73" s="18" t="n">
        <v>28.5603004</v>
      </c>
      <c r="J73" s="20" t="n">
        <v>1.88557034</v>
      </c>
      <c r="K73" s="18" t="s">
        <v>567</v>
      </c>
      <c r="L73" s="20" t="s">
        <v>567</v>
      </c>
      <c r="M73" s="18" t="n">
        <v>0</v>
      </c>
      <c r="N73" s="20" t="n">
        <v>0</v>
      </c>
      <c r="O73" s="18" t="n">
        <v>0</v>
      </c>
      <c r="P73" s="20" t="n">
        <v>0</v>
      </c>
      <c r="Q73" s="18" t="n">
        <v>0</v>
      </c>
      <c r="R73" s="20" t="n">
        <v>0</v>
      </c>
      <c r="S73" s="18" t="n">
        <v>0.42164472</v>
      </c>
      <c r="T73" s="20" t="n">
        <v>0.23669959</v>
      </c>
    </row>
    <row r="74" spans="1:20">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2406</v>
      </c>
      <c r="C75" s="18">
        <f>(1941.0/B75*100)</f>
        <v/>
      </c>
      <c r="D75" s="19" t="n">
        <v>465</v>
      </c>
      <c r="E75" s="18" t="n">
        <v>48.58231372</v>
      </c>
      <c r="F75" s="20" t="n">
        <v>2.48656885</v>
      </c>
      <c r="G75" s="18" t="n">
        <v>21.67572063</v>
      </c>
      <c r="H75" s="20" t="n">
        <v>1.85530557</v>
      </c>
      <c r="I75" s="18" t="n">
        <v>25.14350271</v>
      </c>
      <c r="J75" s="20" t="n">
        <v>2.32535463</v>
      </c>
      <c r="K75" s="18" t="s">
        <v>567</v>
      </c>
      <c r="L75" s="20" t="s">
        <v>567</v>
      </c>
      <c r="M75" s="18" t="n">
        <v>3.0889076</v>
      </c>
      <c r="N75" s="20" t="n">
        <v>0.96038468</v>
      </c>
      <c r="O75" s="18" t="n">
        <v>0</v>
      </c>
      <c r="P75" s="20" t="n">
        <v>0</v>
      </c>
      <c r="Q75" s="18" t="n">
        <v>0</v>
      </c>
      <c r="R75" s="20" t="n">
        <v>0</v>
      </c>
      <c r="S75" s="18" t="n">
        <v>1.50955534</v>
      </c>
      <c r="T75" s="20" t="n">
        <v>0.6138587</v>
      </c>
    </row>
    <row r="76" spans="1:20">
      <c r="A76" s="15" t="s">
        <v>636</v>
      </c>
      <c r="B76" s="17" t="n">
        <v>7052</v>
      </c>
      <c r="C76" s="18">
        <f>(5543.0/B76*100)</f>
        <v/>
      </c>
      <c r="D76" s="19" t="n">
        <v>1509</v>
      </c>
      <c r="E76" s="18" t="n">
        <v>47.21951286</v>
      </c>
      <c r="F76" s="20" t="n">
        <v>1.61901127</v>
      </c>
      <c r="G76" s="18" t="n">
        <v>20.51022084</v>
      </c>
      <c r="H76" s="20" t="n">
        <v>1.19902401</v>
      </c>
      <c r="I76" s="18" t="n">
        <v>29.46730352</v>
      </c>
      <c r="J76" s="20" t="n">
        <v>1.71702803</v>
      </c>
      <c r="K76" s="18" t="s">
        <v>567</v>
      </c>
      <c r="L76" s="20" t="s">
        <v>567</v>
      </c>
      <c r="M76" s="18" t="n">
        <v>1.58881971</v>
      </c>
      <c r="N76" s="20" t="n">
        <v>0.47697917</v>
      </c>
      <c r="O76" s="18" t="n">
        <v>0</v>
      </c>
      <c r="P76" s="20" t="n">
        <v>0</v>
      </c>
      <c r="Q76" s="18" t="n">
        <v>0</v>
      </c>
      <c r="R76" s="20" t="n">
        <v>0</v>
      </c>
      <c r="S76" s="18" t="n">
        <v>1.21414307</v>
      </c>
      <c r="T76" s="20" t="n">
        <v>0.41034559</v>
      </c>
    </row>
    <row r="77" spans="1:20">
      <c r="A77" s="15" t="s">
        <v>637</v>
      </c>
      <c r="B77" s="17" t="n">
        <v>2908</v>
      </c>
      <c r="C77" s="18">
        <f>(2307.0/B77*100)</f>
        <v/>
      </c>
      <c r="D77" s="19" t="n">
        <v>601</v>
      </c>
      <c r="E77" s="18" t="n">
        <v>47.76322937</v>
      </c>
      <c r="F77" s="20" t="n">
        <v>2.21394553</v>
      </c>
      <c r="G77" s="18" t="n">
        <v>24.59603305</v>
      </c>
      <c r="H77" s="20" t="n">
        <v>1.82318809</v>
      </c>
      <c r="I77" s="18" t="n">
        <v>24.8787175</v>
      </c>
      <c r="J77" s="20" t="n">
        <v>1.97112711</v>
      </c>
      <c r="K77" s="18" t="s">
        <v>567</v>
      </c>
      <c r="L77" s="20" t="s">
        <v>567</v>
      </c>
      <c r="M77" s="18" t="n">
        <v>1.96599674</v>
      </c>
      <c r="N77" s="20" t="n">
        <v>0.61114448</v>
      </c>
      <c r="O77" s="18" t="n">
        <v>0</v>
      </c>
      <c r="P77" s="20" t="n">
        <v>0</v>
      </c>
      <c r="Q77" s="18" t="n">
        <v>0</v>
      </c>
      <c r="R77" s="20" t="n">
        <v>0</v>
      </c>
      <c r="S77" s="18" t="n">
        <v>0.79602335</v>
      </c>
      <c r="T77" s="20" t="n">
        <v>0.33401506</v>
      </c>
    </row>
    <row r="78" spans="1:20">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4163</v>
      </c>
      <c r="C81" s="18">
        <f>(3262.0/B81*100)</f>
        <v/>
      </c>
      <c r="D81" s="19" t="n">
        <v>901</v>
      </c>
      <c r="E81" s="18" t="n">
        <v>37.8421429</v>
      </c>
      <c r="F81" s="20" t="n">
        <v>2.32868744</v>
      </c>
      <c r="G81" s="18" t="n">
        <v>22.41580552</v>
      </c>
      <c r="H81" s="20" t="n">
        <v>1.50109034</v>
      </c>
      <c r="I81" s="18" t="n">
        <v>38.76596171</v>
      </c>
      <c r="J81" s="20" t="n">
        <v>2.10127124</v>
      </c>
      <c r="K81" s="18" t="s">
        <v>567</v>
      </c>
      <c r="L81" s="20" t="s">
        <v>567</v>
      </c>
      <c r="M81" s="18" t="n">
        <v>0.15324558</v>
      </c>
      <c r="N81" s="20" t="n">
        <v>0.15338105</v>
      </c>
      <c r="O81" s="18" t="n">
        <v>0</v>
      </c>
      <c r="P81" s="20" t="n">
        <v>0</v>
      </c>
      <c r="Q81" s="18" t="n">
        <v>0</v>
      </c>
      <c r="R81" s="20" t="n">
        <v>0</v>
      </c>
      <c r="S81" s="18" t="n">
        <v>0.82284429</v>
      </c>
      <c r="T81" s="20" t="n">
        <v>0.37274006</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(5740.0/B7*100)</f>
        <v/>
      </c>
      <c r="D7" s="19" t="n">
        <v>1627</v>
      </c>
      <c r="E7" s="18" t="n">
        <v>39.6578443</v>
      </c>
      <c r="F7" s="20" t="n">
        <v>1.51393337</v>
      </c>
      <c r="G7" s="18" t="n">
        <v>58.6190727</v>
      </c>
      <c r="H7" s="20" t="n">
        <v>1.57363918</v>
      </c>
      <c r="I7" s="18" t="s">
        <v>567</v>
      </c>
      <c r="J7" s="20" t="s">
        <v>567</v>
      </c>
      <c r="K7" s="18" t="n">
        <v>0.14489634</v>
      </c>
      <c r="L7" s="20" t="n">
        <v>0.07981381999999999</v>
      </c>
      <c r="M7" s="18" t="n">
        <v>0</v>
      </c>
      <c r="N7" s="20" t="n">
        <v>0</v>
      </c>
      <c r="O7" s="18" t="n">
        <v>0</v>
      </c>
      <c r="P7" s="20" t="n">
        <v>0</v>
      </c>
      <c r="Q7" s="18" t="n">
        <v>1.57818667</v>
      </c>
      <c r="R7" s="20" t="n">
        <v>0.31144087</v>
      </c>
    </row>
    <row r="8" spans="1:18">
      <c r="A8" s="15" t="s">
        <v>568</v>
      </c>
      <c r="B8" s="17" t="n">
        <v>3564</v>
      </c>
      <c r="C8" s="18">
        <f>(2774.0/B8*100)</f>
        <v/>
      </c>
      <c r="D8" s="19" t="n">
        <v>790</v>
      </c>
      <c r="E8" s="18" t="n">
        <v>34.34844716</v>
      </c>
      <c r="F8" s="20" t="n">
        <v>1.6654805</v>
      </c>
      <c r="G8" s="18" t="n">
        <v>64.57971874</v>
      </c>
      <c r="H8" s="20" t="n">
        <v>1.74418515</v>
      </c>
      <c r="I8" s="18" t="s">
        <v>567</v>
      </c>
      <c r="J8" s="20" t="s">
        <v>567</v>
      </c>
      <c r="K8" s="18" t="n">
        <v>0.14981606</v>
      </c>
      <c r="L8" s="20" t="n">
        <v>0.14522533</v>
      </c>
      <c r="M8" s="18" t="n">
        <v>0</v>
      </c>
      <c r="N8" s="20" t="n">
        <v>0</v>
      </c>
      <c r="O8" s="18" t="n">
        <v>0</v>
      </c>
      <c r="P8" s="20" t="n">
        <v>0</v>
      </c>
      <c r="Q8" s="18" t="n">
        <v>0.92201804</v>
      </c>
      <c r="R8" s="20" t="n">
        <v>0.411646</v>
      </c>
    </row>
    <row r="9" spans="1:18">
      <c r="A9" s="15" t="s">
        <v>569</v>
      </c>
      <c r="B9" s="17" t="n">
        <v>4899</v>
      </c>
      <c r="C9" s="18">
        <f>(3873.0/B9*100)</f>
        <v/>
      </c>
      <c r="D9" s="19" t="n">
        <v>1026</v>
      </c>
      <c r="E9" s="18" t="n">
        <v>39.13896884</v>
      </c>
      <c r="F9" s="20" t="n">
        <v>1.48531421</v>
      </c>
      <c r="G9" s="18" t="n">
        <v>58.79507772</v>
      </c>
      <c r="H9" s="20" t="n">
        <v>1.51325468</v>
      </c>
      <c r="I9" s="18" t="s">
        <v>567</v>
      </c>
      <c r="J9" s="20" t="s">
        <v>567</v>
      </c>
      <c r="K9" s="18" t="n">
        <v>0.68183466</v>
      </c>
      <c r="L9" s="20" t="n">
        <v>0.27523228</v>
      </c>
      <c r="M9" s="18" t="n">
        <v>0</v>
      </c>
      <c r="N9" s="20" t="n">
        <v>0</v>
      </c>
      <c r="O9" s="18" t="n">
        <v>0</v>
      </c>
      <c r="P9" s="20" t="n">
        <v>0</v>
      </c>
      <c r="Q9" s="18" t="n">
        <v>1.38411879</v>
      </c>
      <c r="R9" s="20" t="n">
        <v>0.44465351</v>
      </c>
    </row>
    <row r="10" spans="1:18">
      <c r="A10" s="15" t="s">
        <v>570</v>
      </c>
      <c r="B10" s="17" t="n">
        <v>10036</v>
      </c>
      <c r="C10" s="18">
        <f>(7798.0/B10*100)</f>
        <v/>
      </c>
      <c r="D10" s="19" t="n">
        <v>2238</v>
      </c>
      <c r="E10" s="18" t="n">
        <v>31.1906036</v>
      </c>
      <c r="F10" s="20" t="n">
        <v>1.42339361</v>
      </c>
      <c r="G10" s="18" t="n">
        <v>67.81842503</v>
      </c>
      <c r="H10" s="20" t="n">
        <v>1.47383032</v>
      </c>
      <c r="I10" s="18" t="s">
        <v>567</v>
      </c>
      <c r="J10" s="20" t="s">
        <v>567</v>
      </c>
      <c r="K10" s="18" t="n">
        <v>0.65279531</v>
      </c>
      <c r="L10" s="20" t="n">
        <v>0.24252491</v>
      </c>
      <c r="M10" s="18" t="n">
        <v>0</v>
      </c>
      <c r="N10" s="20" t="n">
        <v>0</v>
      </c>
      <c r="O10" s="18" t="n">
        <v>0</v>
      </c>
      <c r="P10" s="20" t="n">
        <v>0</v>
      </c>
      <c r="Q10" s="18" t="n">
        <v>0.33817605</v>
      </c>
      <c r="R10" s="20" t="n">
        <v>0.17744076</v>
      </c>
    </row>
    <row r="11" spans="1:18">
      <c r="A11" s="15" t="s">
        <v>571</v>
      </c>
      <c r="B11" s="17" t="n">
        <v>3553</v>
      </c>
      <c r="C11" s="18">
        <f>(2806.0/B11*100)</f>
        <v/>
      </c>
      <c r="D11" s="19" t="n">
        <v>747</v>
      </c>
      <c r="E11" s="18" t="n">
        <v>38.55867447</v>
      </c>
      <c r="F11" s="20" t="n">
        <v>1.81730598</v>
      </c>
      <c r="G11" s="18" t="n">
        <v>56.79598388</v>
      </c>
      <c r="H11" s="20" t="n">
        <v>2.04473592</v>
      </c>
      <c r="I11" s="18" t="s">
        <v>567</v>
      </c>
      <c r="J11" s="20" t="s">
        <v>567</v>
      </c>
      <c r="K11" s="18" t="n">
        <v>2.71673961</v>
      </c>
      <c r="L11" s="20" t="n">
        <v>0.95384445</v>
      </c>
      <c r="M11" s="18" t="n">
        <v>0</v>
      </c>
      <c r="N11" s="20" t="n">
        <v>0</v>
      </c>
      <c r="O11" s="18" t="n">
        <v>0</v>
      </c>
      <c r="P11" s="20" t="n">
        <v>0</v>
      </c>
      <c r="Q11" s="18" t="n">
        <v>1.92860204</v>
      </c>
      <c r="R11" s="20" t="n">
        <v>0.62938664</v>
      </c>
    </row>
    <row r="12" spans="1:18">
      <c r="A12" s="15" t="s">
        <v>572</v>
      </c>
      <c r="B12" s="17" t="n">
        <v>3472</v>
      </c>
      <c r="C12" s="18">
        <f>(2716.0/B12*100)</f>
        <v/>
      </c>
      <c r="D12" s="19" t="n">
        <v>756</v>
      </c>
      <c r="E12" s="18" t="n">
        <v>55.61347157</v>
      </c>
      <c r="F12" s="20" t="n">
        <v>2.27924738</v>
      </c>
      <c r="G12" s="18" t="n">
        <v>43.37667506</v>
      </c>
      <c r="H12" s="20" t="n">
        <v>2.3290445</v>
      </c>
      <c r="I12" s="18" t="s">
        <v>567</v>
      </c>
      <c r="J12" s="20" t="s">
        <v>567</v>
      </c>
      <c r="K12" s="18" t="n">
        <v>0.30037506</v>
      </c>
      <c r="L12" s="20" t="n">
        <v>0.18016914</v>
      </c>
      <c r="M12" s="18" t="n">
        <v>0</v>
      </c>
      <c r="N12" s="20" t="n">
        <v>0</v>
      </c>
      <c r="O12" s="18" t="n">
        <v>0</v>
      </c>
      <c r="P12" s="20" t="n">
        <v>0</v>
      </c>
      <c r="Q12" s="18" t="n">
        <v>0.7094783099999999</v>
      </c>
      <c r="R12" s="20" t="n">
        <v>0.34092727</v>
      </c>
    </row>
    <row r="13" spans="1:18">
      <c r="A13" s="15" t="s">
        <v>573</v>
      </c>
      <c r="B13" s="17" t="n">
        <v>3559</v>
      </c>
      <c r="C13" s="18">
        <f>(2790.0/B13*100)</f>
        <v/>
      </c>
      <c r="D13" s="19" t="n">
        <v>769</v>
      </c>
      <c r="E13" s="18" t="n">
        <v>37.31326257</v>
      </c>
      <c r="F13" s="20" t="n">
        <v>1.98357496</v>
      </c>
      <c r="G13" s="18" t="n">
        <v>61.35660766</v>
      </c>
      <c r="H13" s="20" t="n">
        <v>1.98498791</v>
      </c>
      <c r="I13" s="18" t="s">
        <v>567</v>
      </c>
      <c r="J13" s="20" t="s">
        <v>567</v>
      </c>
      <c r="K13" s="18" t="n">
        <v>0.14588555</v>
      </c>
      <c r="L13" s="20" t="n">
        <v>0.10243506</v>
      </c>
      <c r="M13" s="18" t="n">
        <v>0</v>
      </c>
      <c r="N13" s="20" t="n">
        <v>0</v>
      </c>
      <c r="O13" s="18" t="n">
        <v>0</v>
      </c>
      <c r="P13" s="20" t="n">
        <v>0</v>
      </c>
      <c r="Q13" s="18" t="n">
        <v>1.18424422</v>
      </c>
      <c r="R13" s="20" t="n">
        <v>0.50511281</v>
      </c>
    </row>
    <row r="14" spans="1:18">
      <c r="A14" s="15" t="s">
        <v>574</v>
      </c>
      <c r="B14" s="17" t="n">
        <v>2799</v>
      </c>
      <c r="C14" s="18">
        <f>(2218.0/B14*100)</f>
        <v/>
      </c>
      <c r="D14" s="19" t="n">
        <v>581</v>
      </c>
      <c r="E14" s="18" t="n">
        <v>41.16427888</v>
      </c>
      <c r="F14" s="20" t="n">
        <v>2.83837774</v>
      </c>
      <c r="G14" s="18" t="n">
        <v>57.92827558</v>
      </c>
      <c r="H14" s="20" t="n">
        <v>2.83894292</v>
      </c>
      <c r="I14" s="18" t="s">
        <v>567</v>
      </c>
      <c r="J14" s="20" t="s">
        <v>567</v>
      </c>
      <c r="K14" s="18" t="n">
        <v>0.26956248</v>
      </c>
      <c r="L14" s="20" t="n">
        <v>0.1937503</v>
      </c>
      <c r="M14" s="18" t="n">
        <v>0</v>
      </c>
      <c r="N14" s="20" t="n">
        <v>0</v>
      </c>
      <c r="O14" s="18" t="n">
        <v>0</v>
      </c>
      <c r="P14" s="20" t="n">
        <v>0</v>
      </c>
      <c r="Q14" s="18" t="n">
        <v>0.6378830599999999</v>
      </c>
      <c r="R14" s="20" t="n">
        <v>0.43156959</v>
      </c>
    </row>
    <row r="15" spans="1:18">
      <c r="A15" s="15" t="s">
        <v>575</v>
      </c>
      <c r="B15" s="17" t="n">
        <v>3019</v>
      </c>
      <c r="C15" s="18">
        <f>(2377.0/B15*100)</f>
        <v/>
      </c>
      <c r="D15" s="19" t="n">
        <v>642</v>
      </c>
      <c r="E15" s="18" t="n">
        <v>34.46116829</v>
      </c>
      <c r="F15" s="20" t="n">
        <v>1.80668122</v>
      </c>
      <c r="G15" s="18" t="n">
        <v>64.70879008</v>
      </c>
      <c r="H15" s="20" t="n">
        <v>1.84208628</v>
      </c>
      <c r="I15" s="18" t="s">
        <v>567</v>
      </c>
      <c r="J15" s="20" t="s">
        <v>567</v>
      </c>
      <c r="K15" s="18" t="n">
        <v>0.36042618</v>
      </c>
      <c r="L15" s="20" t="n">
        <v>0.27170847</v>
      </c>
      <c r="M15" s="18" t="n">
        <v>0</v>
      </c>
      <c r="N15" s="20" t="n">
        <v>0</v>
      </c>
      <c r="O15" s="18" t="n">
        <v>0</v>
      </c>
      <c r="P15" s="20" t="n">
        <v>0</v>
      </c>
      <c r="Q15" s="18" t="n">
        <v>0.46961545</v>
      </c>
      <c r="R15" s="20" t="n">
        <v>0.28575827</v>
      </c>
    </row>
    <row r="16" spans="1:18">
      <c r="A16" s="15" t="s">
        <v>576</v>
      </c>
      <c r="B16" s="17" t="n">
        <v>2997</v>
      </c>
      <c r="C16" s="18">
        <f>(2364.0/B16*100)</f>
        <v/>
      </c>
      <c r="D16" s="19" t="n">
        <v>633</v>
      </c>
      <c r="E16" s="18" t="n">
        <v>33.15427396</v>
      </c>
      <c r="F16" s="20" t="n">
        <v>1.82069353</v>
      </c>
      <c r="G16" s="18" t="n">
        <v>63.97543313</v>
      </c>
      <c r="H16" s="20" t="n">
        <v>1.8291505</v>
      </c>
      <c r="I16" s="18" t="s">
        <v>567</v>
      </c>
      <c r="J16" s="20" t="s">
        <v>567</v>
      </c>
      <c r="K16" s="18" t="n">
        <v>1.31288786</v>
      </c>
      <c r="L16" s="20" t="n">
        <v>0.45282013</v>
      </c>
      <c r="M16" s="18" t="n">
        <v>0</v>
      </c>
      <c r="N16" s="20" t="n">
        <v>0</v>
      </c>
      <c r="O16" s="18" t="n">
        <v>0</v>
      </c>
      <c r="P16" s="20" t="n">
        <v>0</v>
      </c>
      <c r="Q16" s="18" t="n">
        <v>1.55740505</v>
      </c>
      <c r="R16" s="20" t="n">
        <v>0.39240703</v>
      </c>
    </row>
    <row r="17" spans="1:18">
      <c r="A17" s="15" t="s">
        <v>577</v>
      </c>
      <c r="B17" s="17" t="n">
        <v>3307</v>
      </c>
      <c r="C17" s="18">
        <f>(2592.0/B17*100)</f>
        <v/>
      </c>
      <c r="D17" s="19" t="n">
        <v>715</v>
      </c>
      <c r="E17" s="18" t="n">
        <v>34.51998161</v>
      </c>
      <c r="F17" s="20" t="n">
        <v>1.87788012</v>
      </c>
      <c r="G17" s="18" t="n">
        <v>64.26810657</v>
      </c>
      <c r="H17" s="20" t="n">
        <v>1.86567612</v>
      </c>
      <c r="I17" s="18" t="s">
        <v>567</v>
      </c>
      <c r="J17" s="20" t="s">
        <v>567</v>
      </c>
      <c r="K17" s="18" t="n">
        <v>0.43198313</v>
      </c>
      <c r="L17" s="20" t="n">
        <v>0.20973451</v>
      </c>
      <c r="M17" s="18" t="n">
        <v>0</v>
      </c>
      <c r="N17" s="20" t="n">
        <v>0</v>
      </c>
      <c r="O17" s="18" t="n">
        <v>0</v>
      </c>
      <c r="P17" s="20" t="n">
        <v>0</v>
      </c>
      <c r="Q17" s="18" t="n">
        <v>0.77992869</v>
      </c>
      <c r="R17" s="20" t="n">
        <v>0.32878889</v>
      </c>
    </row>
    <row r="18" spans="1:18">
      <c r="A18" s="15" t="s">
        <v>578</v>
      </c>
      <c r="B18" s="17" t="n">
        <v>2826</v>
      </c>
      <c r="C18" s="18">
        <f>(2231.0/B18*100)</f>
        <v/>
      </c>
      <c r="D18" s="19" t="n">
        <v>595</v>
      </c>
      <c r="E18" s="18" t="n">
        <v>64.23477914</v>
      </c>
      <c r="F18" s="20" t="n">
        <v>2.46519905</v>
      </c>
      <c r="G18" s="18" t="n">
        <v>32.63533926</v>
      </c>
      <c r="H18" s="20" t="n">
        <v>2.3452984</v>
      </c>
      <c r="I18" s="18" t="s">
        <v>567</v>
      </c>
      <c r="J18" s="20" t="s">
        <v>567</v>
      </c>
      <c r="K18" s="18" t="n">
        <v>0.81683012</v>
      </c>
      <c r="L18" s="20" t="n">
        <v>0.40645066</v>
      </c>
      <c r="M18" s="18" t="n">
        <v>0</v>
      </c>
      <c r="N18" s="20" t="n">
        <v>0</v>
      </c>
      <c r="O18" s="18" t="n">
        <v>0</v>
      </c>
      <c r="P18" s="20" t="n">
        <v>0</v>
      </c>
      <c r="Q18" s="18" t="n">
        <v>2.31305147</v>
      </c>
      <c r="R18" s="20" t="n">
        <v>0.67749699</v>
      </c>
    </row>
    <row r="19" spans="1:18">
      <c r="A19" s="15" t="s">
        <v>579</v>
      </c>
      <c r="B19" s="17" t="n">
        <v>2808</v>
      </c>
      <c r="C19" s="18">
        <f>(2146.0/B19*100)</f>
        <v/>
      </c>
      <c r="D19" s="19" t="n">
        <v>662</v>
      </c>
      <c r="E19" s="18" t="n">
        <v>47.23332585</v>
      </c>
      <c r="F19" s="20" t="n">
        <v>2.81160756</v>
      </c>
      <c r="G19" s="18" t="n">
        <v>51.80173198</v>
      </c>
      <c r="H19" s="20" t="n">
        <v>2.84805153</v>
      </c>
      <c r="I19" s="18" t="s">
        <v>567</v>
      </c>
      <c r="J19" s="20" t="s">
        <v>567</v>
      </c>
      <c r="K19" s="18" t="n">
        <v>0.23152096</v>
      </c>
      <c r="L19" s="20" t="n">
        <v>0.16286725</v>
      </c>
      <c r="M19" s="18" t="n">
        <v>0</v>
      </c>
      <c r="N19" s="20" t="n">
        <v>0</v>
      </c>
      <c r="O19" s="18" t="n">
        <v>0</v>
      </c>
      <c r="P19" s="20" t="n">
        <v>0</v>
      </c>
      <c r="Q19" s="18" t="n">
        <v>0.73342121</v>
      </c>
      <c r="R19" s="20" t="n">
        <v>0.39270984</v>
      </c>
    </row>
    <row r="20" spans="1:18">
      <c r="A20" s="15" t="s">
        <v>580</v>
      </c>
      <c r="B20" s="17" t="n">
        <v>1630</v>
      </c>
      <c r="C20" s="18">
        <f>(1252.0/B20*100)</f>
        <v/>
      </c>
      <c r="D20" s="19" t="n">
        <v>378</v>
      </c>
      <c r="E20" s="18" t="n">
        <v>40.12583832</v>
      </c>
      <c r="F20" s="20" t="n">
        <v>2.30025733</v>
      </c>
      <c r="G20" s="18" t="n">
        <v>57.24811957</v>
      </c>
      <c r="H20" s="20" t="n">
        <v>2.47397907</v>
      </c>
      <c r="I20" s="18" t="s">
        <v>567</v>
      </c>
      <c r="J20" s="20" t="s">
        <v>567</v>
      </c>
      <c r="K20" s="18" t="n">
        <v>0.5857934</v>
      </c>
      <c r="L20" s="20" t="n">
        <v>0.42574231</v>
      </c>
      <c r="M20" s="18" t="n">
        <v>0</v>
      </c>
      <c r="N20" s="20" t="n">
        <v>0</v>
      </c>
      <c r="O20" s="18" t="n">
        <v>0</v>
      </c>
      <c r="P20" s="20" t="n">
        <v>0</v>
      </c>
      <c r="Q20" s="18" t="n">
        <v>2.04024872</v>
      </c>
      <c r="R20" s="20" t="n">
        <v>0.68523409</v>
      </c>
    </row>
    <row r="21" spans="1:18">
      <c r="A21" s="15" t="s">
        <v>581</v>
      </c>
      <c r="B21" s="17" t="n">
        <v>2908</v>
      </c>
      <c r="C21" s="18">
        <f>(2277.0/B21*100)</f>
        <v/>
      </c>
      <c r="D21" s="19" t="n">
        <v>631</v>
      </c>
      <c r="E21" s="18" t="n">
        <v>38.01063175</v>
      </c>
      <c r="F21" s="20" t="n">
        <v>2.37652854</v>
      </c>
      <c r="G21" s="18" t="n">
        <v>61.72178493</v>
      </c>
      <c r="H21" s="20" t="n">
        <v>2.37927568</v>
      </c>
      <c r="I21" s="18" t="s">
        <v>567</v>
      </c>
      <c r="J21" s="20" t="s">
        <v>567</v>
      </c>
      <c r="K21" s="18" t="n">
        <v>0.12608323</v>
      </c>
      <c r="L21" s="20" t="n">
        <v>0.12755381</v>
      </c>
      <c r="M21" s="18" t="n">
        <v>0</v>
      </c>
      <c r="N21" s="20" t="n">
        <v>0</v>
      </c>
      <c r="O21" s="18" t="n">
        <v>0</v>
      </c>
      <c r="P21" s="20" t="n">
        <v>0</v>
      </c>
      <c r="Q21" s="18" t="n">
        <v>0.1415001</v>
      </c>
      <c r="R21" s="20" t="n">
        <v>0.20359422</v>
      </c>
    </row>
    <row r="22" spans="1:18">
      <c r="A22" s="15" t="s">
        <v>582</v>
      </c>
      <c r="B22" s="17" t="n">
        <v>2931</v>
      </c>
      <c r="C22" s="18">
        <f>(2302.0/B22*100)</f>
        <v/>
      </c>
      <c r="D22" s="19" t="n">
        <v>629</v>
      </c>
      <c r="E22" s="18" t="n">
        <v>50.89059108</v>
      </c>
      <c r="F22" s="20" t="n">
        <v>2.32586679</v>
      </c>
      <c r="G22" s="18" t="n">
        <v>45.87476824</v>
      </c>
      <c r="H22" s="20" t="n">
        <v>2.32026898</v>
      </c>
      <c r="I22" s="18" t="s">
        <v>567</v>
      </c>
      <c r="J22" s="20" t="s">
        <v>567</v>
      </c>
      <c r="K22" s="18" t="n">
        <v>1.44070503</v>
      </c>
      <c r="L22" s="20" t="n">
        <v>0.54075448</v>
      </c>
      <c r="M22" s="18" t="n">
        <v>0</v>
      </c>
      <c r="N22" s="20" t="n">
        <v>0</v>
      </c>
      <c r="O22" s="18" t="n">
        <v>0</v>
      </c>
      <c r="P22" s="20" t="n">
        <v>0</v>
      </c>
      <c r="Q22" s="18" t="n">
        <v>1.79393565</v>
      </c>
      <c r="R22" s="20" t="n">
        <v>0.44321997</v>
      </c>
    </row>
    <row r="23" spans="1:18">
      <c r="A23" s="15" t="s">
        <v>583</v>
      </c>
      <c r="B23" s="17" t="n">
        <v>5791</v>
      </c>
      <c r="C23" s="18">
        <f>(4478.0/B23*100)</f>
        <v/>
      </c>
      <c r="D23" s="19" t="n">
        <v>1313</v>
      </c>
      <c r="E23" s="18" t="n">
        <v>51.21673931</v>
      </c>
      <c r="F23" s="20" t="n">
        <v>2.08397278</v>
      </c>
      <c r="G23" s="18" t="n">
        <v>47.71459109</v>
      </c>
      <c r="H23" s="20" t="n">
        <v>1.9488352</v>
      </c>
      <c r="I23" s="18" t="s">
        <v>567</v>
      </c>
      <c r="J23" s="20" t="s">
        <v>567</v>
      </c>
      <c r="K23" s="18" t="n">
        <v>0.16844173</v>
      </c>
      <c r="L23" s="20" t="n">
        <v>0.15736478</v>
      </c>
      <c r="M23" s="18" t="n">
        <v>0</v>
      </c>
      <c r="N23" s="20" t="n">
        <v>0</v>
      </c>
      <c r="O23" s="18" t="n">
        <v>0</v>
      </c>
      <c r="P23" s="20" t="n">
        <v>0</v>
      </c>
      <c r="Q23" s="18" t="n">
        <v>0.90022787</v>
      </c>
      <c r="R23" s="20" t="n">
        <v>0.35840857</v>
      </c>
    </row>
    <row r="24" spans="1:18">
      <c r="A24" s="15" t="s">
        <v>584</v>
      </c>
      <c r="B24" s="17" t="n">
        <v>3338</v>
      </c>
      <c r="C24" s="18">
        <f>(2615.0/B24*100)</f>
        <v/>
      </c>
      <c r="D24" s="19" t="n">
        <v>723</v>
      </c>
      <c r="E24" s="18" t="n">
        <v>23.9705873</v>
      </c>
      <c r="F24" s="20" t="n">
        <v>1.90079139</v>
      </c>
      <c r="G24" s="18" t="n">
        <v>75.59949951</v>
      </c>
      <c r="H24" s="20" t="n">
        <v>1.90486923</v>
      </c>
      <c r="I24" s="18" t="s">
        <v>567</v>
      </c>
      <c r="J24" s="20" t="s">
        <v>567</v>
      </c>
      <c r="K24" s="18" t="n">
        <v>0.13332167</v>
      </c>
      <c r="L24" s="20" t="n">
        <v>0.13253303</v>
      </c>
      <c r="M24" s="18" t="n">
        <v>0</v>
      </c>
      <c r="N24" s="20" t="n">
        <v>0</v>
      </c>
      <c r="O24" s="18" t="n">
        <v>0</v>
      </c>
      <c r="P24" s="20" t="n">
        <v>0</v>
      </c>
      <c r="Q24" s="18" t="n">
        <v>0.29659152</v>
      </c>
      <c r="R24" s="20" t="n">
        <v>0.2096832</v>
      </c>
    </row>
    <row r="25" spans="1:18">
      <c r="A25" s="15" t="s">
        <v>585</v>
      </c>
      <c r="B25" s="17" t="n">
        <v>2912</v>
      </c>
      <c r="C25" s="18">
        <f>(2243.0/B25*100)</f>
        <v/>
      </c>
      <c r="D25" s="19" t="n">
        <v>669</v>
      </c>
      <c r="E25" s="18" t="n">
        <v>39.62712948</v>
      </c>
      <c r="F25" s="20" t="n">
        <v>1.87980649</v>
      </c>
      <c r="G25" s="18" t="n">
        <v>59.33878137</v>
      </c>
      <c r="H25" s="20" t="n">
        <v>1.96019884</v>
      </c>
      <c r="I25" s="18" t="s">
        <v>567</v>
      </c>
      <c r="J25" s="20" t="s">
        <v>567</v>
      </c>
      <c r="K25" s="18" t="n">
        <v>0.43919243</v>
      </c>
      <c r="L25" s="20" t="n">
        <v>0.25117574</v>
      </c>
      <c r="M25" s="18" t="n">
        <v>0</v>
      </c>
      <c r="N25" s="20" t="n">
        <v>0</v>
      </c>
      <c r="O25" s="18" t="n">
        <v>0</v>
      </c>
      <c r="P25" s="20" t="n">
        <v>0</v>
      </c>
      <c r="Q25" s="18" t="n">
        <v>0.59489672</v>
      </c>
      <c r="R25" s="20" t="n">
        <v>0.29883755</v>
      </c>
    </row>
    <row r="26" spans="1:18">
      <c r="A26" s="15" t="s">
        <v>586</v>
      </c>
      <c r="B26" s="17" t="n">
        <v>2450</v>
      </c>
      <c r="C26" s="18">
        <f>(1912.0/B26*100)</f>
        <v/>
      </c>
      <c r="D26" s="19" t="n">
        <v>538</v>
      </c>
      <c r="E26" s="18" t="n">
        <v>55.66264564</v>
      </c>
      <c r="F26" s="20" t="n">
        <v>2.34910346</v>
      </c>
      <c r="G26" s="18" t="n">
        <v>43.88548177</v>
      </c>
      <c r="H26" s="20" t="n">
        <v>2.32003911</v>
      </c>
      <c r="I26" s="18" t="s">
        <v>567</v>
      </c>
      <c r="J26" s="20" t="s">
        <v>567</v>
      </c>
      <c r="K26" s="18" t="n">
        <v>0</v>
      </c>
      <c r="L26" s="20" t="n">
        <v>0</v>
      </c>
      <c r="M26" s="18" t="n">
        <v>0</v>
      </c>
      <c r="N26" s="20" t="n">
        <v>0</v>
      </c>
      <c r="O26" s="18" t="n">
        <v>0</v>
      </c>
      <c r="P26" s="20" t="n">
        <v>0</v>
      </c>
      <c r="Q26" s="18" t="n">
        <v>0.45187259</v>
      </c>
      <c r="R26" s="20" t="n">
        <v>0.26817803</v>
      </c>
    </row>
    <row r="27" spans="1:18">
      <c r="A27" s="15" t="s">
        <v>587</v>
      </c>
      <c r="B27" s="17" t="n">
        <v>2616</v>
      </c>
      <c r="C27" s="18">
        <f>(2044.0/B27*100)</f>
        <v/>
      </c>
      <c r="D27" s="19" t="n">
        <v>572</v>
      </c>
      <c r="E27" s="18" t="n">
        <v>46.49106684</v>
      </c>
      <c r="F27" s="20" t="n">
        <v>2.14689342</v>
      </c>
      <c r="G27" s="18" t="n">
        <v>52.09953246</v>
      </c>
      <c r="H27" s="20" t="n">
        <v>2.19023604</v>
      </c>
      <c r="I27" s="18" t="s">
        <v>567</v>
      </c>
      <c r="J27" s="20" t="s">
        <v>567</v>
      </c>
      <c r="K27" s="18" t="n">
        <v>0.34086515</v>
      </c>
      <c r="L27" s="20" t="n">
        <v>0.24085392</v>
      </c>
      <c r="M27" s="18" t="n">
        <v>0</v>
      </c>
      <c r="N27" s="20" t="n">
        <v>0</v>
      </c>
      <c r="O27" s="18" t="n">
        <v>0</v>
      </c>
      <c r="P27" s="20" t="n">
        <v>0</v>
      </c>
      <c r="Q27" s="18" t="n">
        <v>1.06853555</v>
      </c>
      <c r="R27" s="20" t="n">
        <v>0.437774</v>
      </c>
    </row>
    <row r="28" spans="1:18">
      <c r="A28" s="15" t="s">
        <v>588</v>
      </c>
      <c r="B28" s="17" t="n">
        <v>3765</v>
      </c>
      <c r="C28" s="18">
        <f>(2986.0/B28*100)</f>
        <v/>
      </c>
      <c r="D28" s="19" t="n">
        <v>779</v>
      </c>
      <c r="E28" s="18" t="n">
        <v>47.67325752</v>
      </c>
      <c r="F28" s="20" t="n">
        <v>1.84068384</v>
      </c>
      <c r="G28" s="18" t="n">
        <v>50.93233746</v>
      </c>
      <c r="H28" s="20" t="n">
        <v>1.87370778</v>
      </c>
      <c r="I28" s="18" t="s">
        <v>567</v>
      </c>
      <c r="J28" s="20" t="s">
        <v>567</v>
      </c>
      <c r="K28" s="18" t="n">
        <v>1.10569406</v>
      </c>
      <c r="L28" s="20" t="n">
        <v>0.42003744</v>
      </c>
      <c r="M28" s="18" t="n">
        <v>0</v>
      </c>
      <c r="N28" s="20" t="n">
        <v>0</v>
      </c>
      <c r="O28" s="18" t="n">
        <v>0</v>
      </c>
      <c r="P28" s="20" t="n">
        <v>0</v>
      </c>
      <c r="Q28" s="18" t="n">
        <v>0.28871096</v>
      </c>
      <c r="R28" s="20" t="n">
        <v>0.22605017</v>
      </c>
    </row>
    <row r="29" spans="1:18">
      <c r="A29" s="15" t="s">
        <v>589</v>
      </c>
      <c r="B29" s="17" t="n">
        <v>2685</v>
      </c>
      <c r="C29" s="18">
        <f>(2106.0/B29*100)</f>
        <v/>
      </c>
      <c r="D29" s="19" t="n">
        <v>579</v>
      </c>
      <c r="E29" s="18" t="n">
        <v>53.56599948</v>
      </c>
      <c r="F29" s="20" t="n">
        <v>2.20340429</v>
      </c>
      <c r="G29" s="18" t="n">
        <v>45.48812845</v>
      </c>
      <c r="H29" s="20" t="n">
        <v>2.1782524</v>
      </c>
      <c r="I29" s="18" t="s">
        <v>567</v>
      </c>
      <c r="J29" s="20" t="s">
        <v>567</v>
      </c>
      <c r="K29" s="18" t="n">
        <v>0.63425145</v>
      </c>
      <c r="L29" s="20" t="n">
        <v>0.31559316</v>
      </c>
      <c r="M29" s="18" t="n">
        <v>0</v>
      </c>
      <c r="N29" s="20" t="n">
        <v>0</v>
      </c>
      <c r="O29" s="18" t="n">
        <v>0</v>
      </c>
      <c r="P29" s="20" t="n">
        <v>0</v>
      </c>
      <c r="Q29" s="18" t="n">
        <v>0.31162061</v>
      </c>
      <c r="R29" s="20" t="n">
        <v>0.2308344</v>
      </c>
    </row>
    <row r="30" spans="1:18">
      <c r="A30" s="15" t="s">
        <v>590</v>
      </c>
      <c r="B30" s="17" t="n">
        <v>2263</v>
      </c>
      <c r="C30" s="18">
        <f>(1788.0/B30*100)</f>
        <v/>
      </c>
      <c r="D30" s="19" t="n">
        <v>475</v>
      </c>
      <c r="E30" s="18" t="n">
        <v>41.66843872</v>
      </c>
      <c r="F30" s="20" t="n">
        <v>2.17852108</v>
      </c>
      <c r="G30" s="18" t="n">
        <v>55.66008776</v>
      </c>
      <c r="H30" s="20" t="n">
        <v>2.3504506</v>
      </c>
      <c r="I30" s="18" t="s">
        <v>567</v>
      </c>
      <c r="J30" s="20" t="s">
        <v>567</v>
      </c>
      <c r="K30" s="18" t="n">
        <v>0.47834086</v>
      </c>
      <c r="L30" s="20" t="n">
        <v>0.31804102</v>
      </c>
      <c r="M30" s="18" t="n">
        <v>0</v>
      </c>
      <c r="N30" s="20" t="n">
        <v>0</v>
      </c>
      <c r="O30" s="18" t="n">
        <v>0</v>
      </c>
      <c r="P30" s="20" t="n">
        <v>0</v>
      </c>
      <c r="Q30" s="18" t="n">
        <v>2.19313266</v>
      </c>
      <c r="R30" s="20" t="n">
        <v>0.71012616</v>
      </c>
    </row>
    <row r="31" spans="1:18">
      <c r="A31" s="15" t="s">
        <v>591</v>
      </c>
      <c r="B31" s="17" t="n">
        <v>2750</v>
      </c>
      <c r="C31" s="18">
        <f>(2167.0/B31*100)</f>
        <v/>
      </c>
      <c r="D31" s="19" t="n">
        <v>583</v>
      </c>
      <c r="E31" s="18" t="n">
        <v>31.49818422</v>
      </c>
      <c r="F31" s="20" t="n">
        <v>1.94462102</v>
      </c>
      <c r="G31" s="18" t="n">
        <v>65.46139788000001</v>
      </c>
      <c r="H31" s="20" t="n">
        <v>2.13408521</v>
      </c>
      <c r="I31" s="18" t="s">
        <v>567</v>
      </c>
      <c r="J31" s="20" t="s">
        <v>567</v>
      </c>
      <c r="K31" s="18" t="n">
        <v>1.16582233</v>
      </c>
      <c r="L31" s="20" t="n">
        <v>0.48421494</v>
      </c>
      <c r="M31" s="18" t="n">
        <v>0</v>
      </c>
      <c r="N31" s="20" t="n">
        <v>0</v>
      </c>
      <c r="O31" s="18" t="n">
        <v>0</v>
      </c>
      <c r="P31" s="20" t="n">
        <v>0</v>
      </c>
      <c r="Q31" s="18" t="n">
        <v>1.87459557</v>
      </c>
      <c r="R31" s="20" t="n">
        <v>0.64654163</v>
      </c>
    </row>
    <row r="32" spans="1:18">
      <c r="A32" s="15" t="s">
        <v>592</v>
      </c>
      <c r="B32" s="17" t="n">
        <v>2269</v>
      </c>
      <c r="C32" s="18">
        <f>(1762.0/B32*100)</f>
        <v/>
      </c>
      <c r="D32" s="19" t="n">
        <v>507</v>
      </c>
      <c r="E32" s="18" t="n">
        <v>53.51820539</v>
      </c>
      <c r="F32" s="20" t="n">
        <v>2.38869462</v>
      </c>
      <c r="G32" s="18" t="n">
        <v>46.13747835</v>
      </c>
      <c r="H32" s="20" t="n">
        <v>2.39271983</v>
      </c>
      <c r="I32" s="18" t="s">
        <v>567</v>
      </c>
      <c r="J32" s="20" t="s">
        <v>567</v>
      </c>
      <c r="K32" s="18" t="n">
        <v>0.17514354</v>
      </c>
      <c r="L32" s="20" t="n">
        <v>0.17456616</v>
      </c>
      <c r="M32" s="18" t="n">
        <v>0</v>
      </c>
      <c r="N32" s="20" t="n">
        <v>0</v>
      </c>
      <c r="O32" s="18" t="n">
        <v>0</v>
      </c>
      <c r="P32" s="20" t="n">
        <v>0</v>
      </c>
      <c r="Q32" s="18" t="n">
        <v>0.16917272</v>
      </c>
      <c r="R32" s="20" t="n">
        <v>0.16883377</v>
      </c>
    </row>
    <row r="33" spans="1:18">
      <c r="A33" s="15" t="s">
        <v>593</v>
      </c>
      <c r="B33" s="17" t="n">
        <v>3674</v>
      </c>
      <c r="C33" s="18">
        <f>(2897.0/B33*100)</f>
        <v/>
      </c>
      <c r="D33" s="19" t="n">
        <v>777</v>
      </c>
      <c r="E33" s="18" t="n">
        <v>39.71146903</v>
      </c>
      <c r="F33" s="20" t="n">
        <v>2.06056195</v>
      </c>
      <c r="G33" s="18" t="n">
        <v>59.01672659</v>
      </c>
      <c r="H33" s="20" t="n">
        <v>2.04646687</v>
      </c>
      <c r="I33" s="18" t="s">
        <v>567</v>
      </c>
      <c r="J33" s="20" t="s">
        <v>567</v>
      </c>
      <c r="K33" s="18" t="n">
        <v>0.72325143</v>
      </c>
      <c r="L33" s="20" t="n">
        <v>0.3596317</v>
      </c>
      <c r="M33" s="18" t="n">
        <v>0</v>
      </c>
      <c r="N33" s="20" t="n">
        <v>0</v>
      </c>
      <c r="O33" s="18" t="n">
        <v>0</v>
      </c>
      <c r="P33" s="20" t="n">
        <v>0</v>
      </c>
      <c r="Q33" s="18" t="n">
        <v>0.54855295</v>
      </c>
      <c r="R33" s="20" t="n">
        <v>0.31950592</v>
      </c>
    </row>
    <row r="34" spans="1:18">
      <c r="A34" s="15" t="s">
        <v>594</v>
      </c>
      <c r="B34" s="17" t="n">
        <v>3315</v>
      </c>
      <c r="C34" s="18">
        <f>(2615.0/B34*100)</f>
        <v/>
      </c>
      <c r="D34" s="19" t="n">
        <v>700</v>
      </c>
      <c r="E34" s="18" t="n">
        <v>52.5331136</v>
      </c>
      <c r="F34" s="20" t="n">
        <v>2.14823928</v>
      </c>
      <c r="G34" s="18" t="n">
        <v>46.47658095</v>
      </c>
      <c r="H34" s="20" t="n">
        <v>2.18523703</v>
      </c>
      <c r="I34" s="18" t="s">
        <v>567</v>
      </c>
      <c r="J34" s="20" t="s">
        <v>567</v>
      </c>
      <c r="K34" s="18" t="n">
        <v>0.27340444</v>
      </c>
      <c r="L34" s="20" t="n">
        <v>0.22455322</v>
      </c>
      <c r="M34" s="18" t="n">
        <v>0</v>
      </c>
      <c r="N34" s="20" t="n">
        <v>0</v>
      </c>
      <c r="O34" s="18" t="n">
        <v>0</v>
      </c>
      <c r="P34" s="20" t="n">
        <v>0</v>
      </c>
      <c r="Q34" s="18" t="n">
        <v>0.7169010099999999</v>
      </c>
      <c r="R34" s="20" t="n">
        <v>0.33977258</v>
      </c>
    </row>
    <row r="35" spans="1:18">
      <c r="A35" s="15" t="s">
        <v>595</v>
      </c>
      <c r="B35" s="17" t="n">
        <v>3505</v>
      </c>
      <c r="C35" s="18">
        <f>(2746.0/B35*100)</f>
        <v/>
      </c>
      <c r="D35" s="19" t="n">
        <v>759</v>
      </c>
      <c r="E35" s="18" t="n">
        <v>36.89307885</v>
      </c>
      <c r="F35" s="20" t="n">
        <v>2.31880156</v>
      </c>
      <c r="G35" s="18" t="n">
        <v>62.06667983</v>
      </c>
      <c r="H35" s="20" t="n">
        <v>2.31720131</v>
      </c>
      <c r="I35" s="18" t="s">
        <v>567</v>
      </c>
      <c r="J35" s="20" t="s">
        <v>567</v>
      </c>
      <c r="K35" s="18" t="n">
        <v>0.78936463</v>
      </c>
      <c r="L35" s="20" t="n">
        <v>0.42580342</v>
      </c>
      <c r="M35" s="18" t="n">
        <v>0</v>
      </c>
      <c r="N35" s="20" t="n">
        <v>0</v>
      </c>
      <c r="O35" s="18" t="n">
        <v>0</v>
      </c>
      <c r="P35" s="20" t="n">
        <v>0</v>
      </c>
      <c r="Q35" s="18" t="n">
        <v>0.25087669</v>
      </c>
      <c r="R35" s="20" t="n">
        <v>0.19150492</v>
      </c>
    </row>
    <row r="36" spans="1:18">
      <c r="A36" s="15" t="s">
        <v>596</v>
      </c>
      <c r="B36" s="17" t="n">
        <v>3332</v>
      </c>
      <c r="C36" s="18">
        <f>(2562.0/B36*100)</f>
        <v/>
      </c>
      <c r="D36" s="19" t="n">
        <v>770</v>
      </c>
      <c r="E36" s="18" t="n">
        <v>33.69349505</v>
      </c>
      <c r="F36" s="20" t="n">
        <v>1.72217414</v>
      </c>
      <c r="G36" s="18" t="n">
        <v>63.93437414</v>
      </c>
      <c r="H36" s="20" t="n">
        <v>1.68274909</v>
      </c>
      <c r="I36" s="18" t="s">
        <v>567</v>
      </c>
      <c r="J36" s="20" t="s">
        <v>567</v>
      </c>
      <c r="K36" s="18" t="n">
        <v>0.7452889</v>
      </c>
      <c r="L36" s="20" t="n">
        <v>0.37970756</v>
      </c>
      <c r="M36" s="18" t="n">
        <v>0</v>
      </c>
      <c r="N36" s="20" t="n">
        <v>0</v>
      </c>
      <c r="O36" s="18" t="n">
        <v>0</v>
      </c>
      <c r="P36" s="20" t="n">
        <v>0</v>
      </c>
      <c r="Q36" s="18" t="n">
        <v>1.62684191</v>
      </c>
      <c r="R36" s="20" t="n">
        <v>0.64560879</v>
      </c>
    </row>
    <row r="37" spans="1:18">
      <c r="A37" s="15" t="s">
        <v>597</v>
      </c>
      <c r="B37" s="17" t="n">
        <v>2727</v>
      </c>
      <c r="C37" s="18">
        <f>(2146.0/B37*100)</f>
        <v/>
      </c>
      <c r="D37" s="19" t="n">
        <v>581</v>
      </c>
      <c r="E37" s="18" t="n">
        <v>36.74661775</v>
      </c>
      <c r="F37" s="20" t="n">
        <v>2.33053053</v>
      </c>
      <c r="G37" s="18" t="n">
        <v>59.54913834</v>
      </c>
      <c r="H37" s="20" t="n">
        <v>2.47655819</v>
      </c>
      <c r="I37" s="18" t="s">
        <v>567</v>
      </c>
      <c r="J37" s="20" t="s">
        <v>567</v>
      </c>
      <c r="K37" s="18" t="n">
        <v>1.34388133</v>
      </c>
      <c r="L37" s="20" t="n">
        <v>0.50697336</v>
      </c>
      <c r="M37" s="18" t="n">
        <v>0</v>
      </c>
      <c r="N37" s="20" t="n">
        <v>0</v>
      </c>
      <c r="O37" s="18" t="n">
        <v>0</v>
      </c>
      <c r="P37" s="20" t="n">
        <v>0</v>
      </c>
      <c r="Q37" s="18" t="n">
        <v>2.36036257</v>
      </c>
      <c r="R37" s="20" t="n">
        <v>0.78647808</v>
      </c>
    </row>
    <row r="38" spans="1:18">
      <c r="A38" s="15" t="s">
        <v>598</v>
      </c>
      <c r="B38" s="17" t="n">
        <v>3053</v>
      </c>
      <c r="C38" s="18">
        <f>(2386.0/B38*100)</f>
        <v/>
      </c>
      <c r="D38" s="19" t="n">
        <v>667</v>
      </c>
      <c r="E38" s="18" t="n">
        <v>35.08133789</v>
      </c>
      <c r="F38" s="20" t="n">
        <v>2.19360099</v>
      </c>
      <c r="G38" s="18" t="n">
        <v>62.85040487</v>
      </c>
      <c r="H38" s="20" t="n">
        <v>2.18821479</v>
      </c>
      <c r="I38" s="18" t="s">
        <v>567</v>
      </c>
      <c r="J38" s="20" t="s">
        <v>567</v>
      </c>
      <c r="K38" s="18" t="n">
        <v>0.7321463499999999</v>
      </c>
      <c r="L38" s="20" t="n">
        <v>0.41087607</v>
      </c>
      <c r="M38" s="18" t="n">
        <v>0</v>
      </c>
      <c r="N38" s="20" t="n">
        <v>0</v>
      </c>
      <c r="O38" s="18" t="n">
        <v>0</v>
      </c>
      <c r="P38" s="20" t="n">
        <v>0</v>
      </c>
      <c r="Q38" s="18" t="n">
        <v>1.33611089</v>
      </c>
      <c r="R38" s="20" t="n">
        <v>0.45749595</v>
      </c>
    </row>
    <row r="39" spans="1:18">
      <c r="A39" s="15" t="s">
        <v>599</v>
      </c>
      <c r="B39" s="17" t="n">
        <v>2957</v>
      </c>
      <c r="C39" s="18">
        <f>(2307.0/B39*100)</f>
        <v/>
      </c>
      <c r="D39" s="19" t="n">
        <v>650</v>
      </c>
      <c r="E39" s="18" t="n">
        <v>61.01582104</v>
      </c>
      <c r="F39" s="20" t="n">
        <v>2.27680563</v>
      </c>
      <c r="G39" s="18" t="n">
        <v>38.45465442</v>
      </c>
      <c r="H39" s="20" t="n">
        <v>2.2999677</v>
      </c>
      <c r="I39" s="18" t="s">
        <v>567</v>
      </c>
      <c r="J39" s="20" t="s">
        <v>567</v>
      </c>
      <c r="K39" s="18" t="n">
        <v>0</v>
      </c>
      <c r="L39" s="20" t="n">
        <v>0</v>
      </c>
      <c r="M39" s="18" t="n">
        <v>0</v>
      </c>
      <c r="N39" s="20" t="n">
        <v>0</v>
      </c>
      <c r="O39" s="18" t="n">
        <v>0</v>
      </c>
      <c r="P39" s="20" t="n">
        <v>0</v>
      </c>
      <c r="Q39" s="18" t="n">
        <v>0.52952454</v>
      </c>
      <c r="R39" s="20" t="n">
        <v>0.15001169</v>
      </c>
    </row>
    <row r="40" spans="1:18">
      <c r="A40" s="15" t="s">
        <v>600</v>
      </c>
      <c r="B40" s="17" t="n">
        <v>7235</v>
      </c>
      <c r="C40" s="18">
        <f>(5681.0/B40*100)</f>
        <v/>
      </c>
      <c r="D40" s="19" t="n">
        <v>1554</v>
      </c>
      <c r="E40" s="18" t="n">
        <v>45.74824778</v>
      </c>
      <c r="F40" s="20" t="n">
        <v>2.05252953</v>
      </c>
      <c r="G40" s="18" t="n">
        <v>53.05462412</v>
      </c>
      <c r="H40" s="20" t="n">
        <v>2.05833843</v>
      </c>
      <c r="I40" s="18" t="s">
        <v>567</v>
      </c>
      <c r="J40" s="20" t="s">
        <v>567</v>
      </c>
      <c r="K40" s="18" t="n">
        <v>0.30966639</v>
      </c>
      <c r="L40" s="20" t="n">
        <v>0.31470894</v>
      </c>
      <c r="M40" s="18" t="n">
        <v>0</v>
      </c>
      <c r="N40" s="20" t="n">
        <v>0</v>
      </c>
      <c r="O40" s="18" t="n">
        <v>0</v>
      </c>
      <c r="P40" s="20" t="n">
        <v>0</v>
      </c>
      <c r="Q40" s="18" t="n">
        <v>0.88746171</v>
      </c>
      <c r="R40" s="20" t="n">
        <v>0.34418376</v>
      </c>
    </row>
    <row r="41" spans="1:18">
      <c r="A41" s="15" t="s">
        <v>601</v>
      </c>
      <c r="B41" s="17" t="n">
        <v>2858</v>
      </c>
      <c r="C41" s="18">
        <f>(2222.0/B41*100)</f>
        <v/>
      </c>
      <c r="D41" s="19" t="n">
        <v>636</v>
      </c>
      <c r="E41" s="18" t="n">
        <v>43.64696507</v>
      </c>
      <c r="F41" s="20" t="n">
        <v>2.29389139</v>
      </c>
      <c r="G41" s="18" t="n">
        <v>55.7073476</v>
      </c>
      <c r="H41" s="20" t="n">
        <v>2.31039633</v>
      </c>
      <c r="I41" s="18" t="s">
        <v>567</v>
      </c>
      <c r="J41" s="20" t="s">
        <v>567</v>
      </c>
      <c r="K41" s="18" t="n">
        <v>0.19507364</v>
      </c>
      <c r="L41" s="20" t="n">
        <v>0.16669497</v>
      </c>
      <c r="M41" s="18" t="n">
        <v>0</v>
      </c>
      <c r="N41" s="20" t="n">
        <v>0</v>
      </c>
      <c r="O41" s="18" t="n">
        <v>0</v>
      </c>
      <c r="P41" s="20" t="n">
        <v>0</v>
      </c>
      <c r="Q41" s="18" t="n">
        <v>0.45061369</v>
      </c>
      <c r="R41" s="20" t="n">
        <v>0.26028072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(9188.0/B46*100)</f>
        <v/>
      </c>
      <c r="D46" s="19" t="n">
        <v>1880</v>
      </c>
      <c r="E46" s="18" t="n">
        <v>56.45533919</v>
      </c>
      <c r="F46" s="20" t="n">
        <v>1.40357621</v>
      </c>
      <c r="G46" s="18" t="n">
        <v>39.26369604</v>
      </c>
      <c r="H46" s="20" t="n">
        <v>1.35840625</v>
      </c>
      <c r="I46" s="18" t="s">
        <v>567</v>
      </c>
      <c r="J46" s="20" t="s">
        <v>567</v>
      </c>
      <c r="K46" s="18" t="n">
        <v>2.00034359</v>
      </c>
      <c r="L46" s="20" t="n">
        <v>0.47600162</v>
      </c>
      <c r="M46" s="18" t="n">
        <v>0</v>
      </c>
      <c r="N46" s="20" t="n">
        <v>0</v>
      </c>
      <c r="O46" s="18" t="n">
        <v>0</v>
      </c>
      <c r="P46" s="20" t="n">
        <v>0</v>
      </c>
      <c r="Q46" s="18" t="n">
        <v>2.28062118</v>
      </c>
      <c r="R46" s="20" t="n">
        <v>0.42544673</v>
      </c>
    </row>
    <row r="47" spans="1:18">
      <c r="A47" s="15" t="s">
        <v>607</v>
      </c>
      <c r="B47" s="17" t="n">
        <v>3105</v>
      </c>
      <c r="C47" s="18">
        <f>(2456.0/B47*100)</f>
        <v/>
      </c>
      <c r="D47" s="19" t="n">
        <v>649</v>
      </c>
      <c r="E47" s="18" t="n">
        <v>53.60562219</v>
      </c>
      <c r="F47" s="20" t="n">
        <v>1.68477341</v>
      </c>
      <c r="G47" s="18" t="n">
        <v>44.1304198</v>
      </c>
      <c r="H47" s="20" t="n">
        <v>1.67394606</v>
      </c>
      <c r="I47" s="18" t="s">
        <v>567</v>
      </c>
      <c r="J47" s="20" t="s">
        <v>567</v>
      </c>
      <c r="K47" s="18" t="n">
        <v>0.30271482</v>
      </c>
      <c r="L47" s="20" t="n">
        <v>0.23217193</v>
      </c>
      <c r="M47" s="18" t="n">
        <v>0</v>
      </c>
      <c r="N47" s="20" t="n">
        <v>0</v>
      </c>
      <c r="O47" s="18" t="n">
        <v>0</v>
      </c>
      <c r="P47" s="20" t="n">
        <v>0</v>
      </c>
      <c r="Q47" s="18" t="n">
        <v>1.9612432</v>
      </c>
      <c r="R47" s="20" t="n">
        <v>0.60716857</v>
      </c>
    </row>
    <row r="48" spans="1:18">
      <c r="A48" s="15" t="s">
        <v>608</v>
      </c>
      <c r="B48" s="17" t="n">
        <v>5159</v>
      </c>
      <c r="C48" s="18">
        <f>(4043.0/B48*100)</f>
        <v/>
      </c>
      <c r="D48" s="19" t="n">
        <v>1116</v>
      </c>
      <c r="E48" s="18" t="n">
        <v>41.72398277</v>
      </c>
      <c r="F48" s="20" t="n">
        <v>1.67682966</v>
      </c>
      <c r="G48" s="18" t="n">
        <v>57.51601712</v>
      </c>
      <c r="H48" s="20" t="n">
        <v>1.68134617</v>
      </c>
      <c r="I48" s="18" t="s">
        <v>567</v>
      </c>
      <c r="J48" s="20" t="s">
        <v>567</v>
      </c>
      <c r="K48" s="18" t="n">
        <v>0.61896737</v>
      </c>
      <c r="L48" s="20" t="n">
        <v>0.35265182</v>
      </c>
      <c r="M48" s="18" t="n">
        <v>0</v>
      </c>
      <c r="N48" s="20" t="n">
        <v>0</v>
      </c>
      <c r="O48" s="18" t="n">
        <v>0</v>
      </c>
      <c r="P48" s="20" t="n">
        <v>0</v>
      </c>
      <c r="Q48" s="18" t="n">
        <v>0.14103274</v>
      </c>
      <c r="R48" s="20" t="n">
        <v>0.13784864</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(4462.0/B50*100)</f>
        <v/>
      </c>
      <c r="D50" s="19" t="n">
        <v>1175</v>
      </c>
      <c r="E50" s="18" t="n">
        <v>51.60019115</v>
      </c>
      <c r="F50" s="20" t="n">
        <v>2.17793071</v>
      </c>
      <c r="G50" s="18" t="n">
        <v>45.62147335</v>
      </c>
      <c r="H50" s="20" t="n">
        <v>2.24546116</v>
      </c>
      <c r="I50" s="18" t="s">
        <v>567</v>
      </c>
      <c r="J50" s="20" t="s">
        <v>567</v>
      </c>
      <c r="K50" s="18" t="n">
        <v>2.30894884</v>
      </c>
      <c r="L50" s="20" t="n">
        <v>0.76264433</v>
      </c>
      <c r="M50" s="18" t="n">
        <v>0</v>
      </c>
      <c r="N50" s="20" t="n">
        <v>0</v>
      </c>
      <c r="O50" s="18" t="n">
        <v>0</v>
      </c>
      <c r="P50" s="20" t="n">
        <v>0</v>
      </c>
      <c r="Q50" s="18" t="n">
        <v>0.46938667</v>
      </c>
      <c r="R50" s="20" t="n">
        <v>0.21927796</v>
      </c>
    </row>
    <row r="51" spans="1:18">
      <c r="A51" s="15" t="s">
        <v>611</v>
      </c>
      <c r="B51" s="17" t="n">
        <v>3372</v>
      </c>
      <c r="C51" s="18">
        <f>(2753.0/B51*100)</f>
        <v/>
      </c>
      <c r="D51" s="19" t="n">
        <v>619</v>
      </c>
      <c r="E51" s="18" t="n">
        <v>49.7017212</v>
      </c>
      <c r="F51" s="20" t="n">
        <v>2.26857129</v>
      </c>
      <c r="G51" s="18" t="n">
        <v>48.67826105</v>
      </c>
      <c r="H51" s="20" t="n">
        <v>2.32727063</v>
      </c>
      <c r="I51" s="18" t="s">
        <v>567</v>
      </c>
      <c r="J51" s="20" t="s">
        <v>567</v>
      </c>
      <c r="K51" s="18" t="n">
        <v>0.74706586</v>
      </c>
      <c r="L51" s="20" t="n">
        <v>0.33806863</v>
      </c>
      <c r="M51" s="18" t="n">
        <v>0</v>
      </c>
      <c r="N51" s="20" t="n">
        <v>0</v>
      </c>
      <c r="O51" s="18" t="n">
        <v>0</v>
      </c>
      <c r="P51" s="20" t="n">
        <v>0</v>
      </c>
      <c r="Q51" s="18" t="n">
        <v>0.87295189</v>
      </c>
      <c r="R51" s="20" t="n">
        <v>0.3624599</v>
      </c>
    </row>
    <row r="52" spans="1:18">
      <c r="A52" s="15" t="s">
        <v>612</v>
      </c>
      <c r="B52" s="17" t="n">
        <v>2796</v>
      </c>
      <c r="C52" s="18">
        <f>(2180.0/B52*100)</f>
        <v/>
      </c>
      <c r="D52" s="19" t="n">
        <v>616</v>
      </c>
      <c r="E52" s="18" t="n">
        <v>59.40766341</v>
      </c>
      <c r="F52" s="20" t="n">
        <v>1.89100599</v>
      </c>
      <c r="G52" s="18" t="n">
        <v>39.70263869</v>
      </c>
      <c r="H52" s="20" t="n">
        <v>1.85850856</v>
      </c>
      <c r="I52" s="18" t="s">
        <v>567</v>
      </c>
      <c r="J52" s="20" t="s">
        <v>567</v>
      </c>
      <c r="K52" s="18" t="n">
        <v>0</v>
      </c>
      <c r="L52" s="20" t="n">
        <v>0</v>
      </c>
      <c r="M52" s="18" t="n">
        <v>0</v>
      </c>
      <c r="N52" s="20" t="n">
        <v>0</v>
      </c>
      <c r="O52" s="18" t="n">
        <v>0</v>
      </c>
      <c r="P52" s="20" t="n">
        <v>0</v>
      </c>
      <c r="Q52" s="18" t="n">
        <v>0.8896979</v>
      </c>
      <c r="R52" s="20" t="n">
        <v>0.42249088</v>
      </c>
    </row>
    <row r="53" spans="1:18">
      <c r="A53" s="15" t="s">
        <v>613</v>
      </c>
      <c r="B53" s="17" t="n">
        <v>2811</v>
      </c>
      <c r="C53" s="18">
        <f>(2190.0/B53*100)</f>
        <v/>
      </c>
      <c r="D53" s="19" t="n">
        <v>621</v>
      </c>
      <c r="E53" s="18" t="n">
        <v>59.04853535</v>
      </c>
      <c r="F53" s="20" t="n">
        <v>2.00083128</v>
      </c>
      <c r="G53" s="18" t="n">
        <v>38.85378144</v>
      </c>
      <c r="H53" s="20" t="n">
        <v>1.95551459</v>
      </c>
      <c r="I53" s="18" t="s">
        <v>567</v>
      </c>
      <c r="J53" s="20" t="s">
        <v>567</v>
      </c>
      <c r="K53" s="18" t="n">
        <v>0.35647726</v>
      </c>
      <c r="L53" s="20" t="n">
        <v>0.20610078</v>
      </c>
      <c r="M53" s="18" t="n">
        <v>0</v>
      </c>
      <c r="N53" s="20" t="n">
        <v>0</v>
      </c>
      <c r="O53" s="18" t="n">
        <v>0</v>
      </c>
      <c r="P53" s="20" t="n">
        <v>0</v>
      </c>
      <c r="Q53" s="18" t="n">
        <v>1.74120595</v>
      </c>
      <c r="R53" s="20" t="n">
        <v>0.58558322</v>
      </c>
    </row>
    <row r="54" spans="1:18">
      <c r="A54" s="15" t="s">
        <v>614</v>
      </c>
      <c r="B54" s="17" t="n">
        <v>2266</v>
      </c>
      <c r="C54" s="18">
        <f>(1764.0/B54*100)</f>
        <v/>
      </c>
      <c r="D54" s="19" t="n">
        <v>502</v>
      </c>
      <c r="E54" s="18" t="n">
        <v>61.2260509</v>
      </c>
      <c r="F54" s="20" t="n">
        <v>2.62243545</v>
      </c>
      <c r="G54" s="18" t="n">
        <v>22.52346814</v>
      </c>
      <c r="H54" s="20" t="n">
        <v>2.11432746</v>
      </c>
      <c r="I54" s="18" t="s">
        <v>567</v>
      </c>
      <c r="J54" s="20" t="s">
        <v>567</v>
      </c>
      <c r="K54" s="18" t="n">
        <v>13.55464896</v>
      </c>
      <c r="L54" s="20" t="n">
        <v>1.59614822</v>
      </c>
      <c r="M54" s="18" t="n">
        <v>0</v>
      </c>
      <c r="N54" s="20" t="n">
        <v>0</v>
      </c>
      <c r="O54" s="18" t="n">
        <v>0</v>
      </c>
      <c r="P54" s="20" t="n">
        <v>0</v>
      </c>
      <c r="Q54" s="18" t="n">
        <v>2.69583199</v>
      </c>
      <c r="R54" s="20" t="n">
        <v>0.66962351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(2080.0/B56*100)</f>
        <v/>
      </c>
      <c r="D56" s="19" t="n">
        <v>604</v>
      </c>
      <c r="E56" s="18" t="n">
        <v>29.99577687</v>
      </c>
      <c r="F56" s="20" t="n">
        <v>1.79937025</v>
      </c>
      <c r="G56" s="18" t="n">
        <v>69.48696934</v>
      </c>
      <c r="H56" s="20" t="n">
        <v>1.84653241</v>
      </c>
      <c r="I56" s="18" t="s">
        <v>567</v>
      </c>
      <c r="J56" s="20" t="s">
        <v>567</v>
      </c>
      <c r="K56" s="18" t="n">
        <v>0.32573985</v>
      </c>
      <c r="L56" s="20" t="n">
        <v>0.22970529</v>
      </c>
      <c r="M56" s="18" t="n">
        <v>0</v>
      </c>
      <c r="N56" s="20" t="n">
        <v>0</v>
      </c>
      <c r="O56" s="18" t="n">
        <v>0</v>
      </c>
      <c r="P56" s="20" t="n">
        <v>0</v>
      </c>
      <c r="Q56" s="18" t="n">
        <v>0.19151394</v>
      </c>
      <c r="R56" s="20" t="n">
        <v>0.21691856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(2587.0/B61*100)</f>
        <v/>
      </c>
      <c r="D61" s="19" t="n">
        <v>737</v>
      </c>
      <c r="E61" s="18" t="n">
        <v>56.46163826</v>
      </c>
      <c r="F61" s="20" t="n">
        <v>2.28484504</v>
      </c>
      <c r="G61" s="18" t="n">
        <v>42.55368711</v>
      </c>
      <c r="H61" s="20" t="n">
        <v>2.18501718</v>
      </c>
      <c r="I61" s="18" t="s">
        <v>567</v>
      </c>
      <c r="J61" s="20" t="s">
        <v>567</v>
      </c>
      <c r="K61" s="18" t="n">
        <v>0.49935319</v>
      </c>
      <c r="L61" s="20" t="n">
        <v>0.29683015</v>
      </c>
      <c r="M61" s="18" t="n">
        <v>0</v>
      </c>
      <c r="N61" s="20" t="n">
        <v>0</v>
      </c>
      <c r="O61" s="18" t="n">
        <v>0</v>
      </c>
      <c r="P61" s="20" t="n">
        <v>0</v>
      </c>
      <c r="Q61" s="18" t="n">
        <v>0.48532144</v>
      </c>
      <c r="R61" s="20" t="n">
        <v>0.25740713</v>
      </c>
    </row>
    <row r="62" spans="1:18">
      <c r="A62" s="15" t="s">
        <v>622</v>
      </c>
      <c r="B62" s="17" t="n">
        <v>2246</v>
      </c>
      <c r="C62" s="18">
        <f>(1746.0/B62*100)</f>
        <v/>
      </c>
      <c r="D62" s="19" t="n">
        <v>500</v>
      </c>
      <c r="E62" s="18" t="n">
        <v>30.08953436</v>
      </c>
      <c r="F62" s="20" t="n">
        <v>1.84544348</v>
      </c>
      <c r="G62" s="18" t="n">
        <v>69.91046564</v>
      </c>
      <c r="H62" s="20" t="n">
        <v>1.84544348</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(2273.0/B66*100)</f>
        <v/>
      </c>
      <c r="D66" s="19" t="n">
        <v>621</v>
      </c>
      <c r="E66" s="18" t="n">
        <v>69.67269781</v>
      </c>
      <c r="F66" s="20" t="n">
        <v>1.78623492</v>
      </c>
      <c r="G66" s="18" t="n">
        <v>25.69806767</v>
      </c>
      <c r="H66" s="20" t="n">
        <v>1.68817034</v>
      </c>
      <c r="I66" s="18" t="s">
        <v>567</v>
      </c>
      <c r="J66" s="20" t="s">
        <v>567</v>
      </c>
      <c r="K66" s="18" t="n">
        <v>0.80147422</v>
      </c>
      <c r="L66" s="20" t="n">
        <v>0.36773375</v>
      </c>
      <c r="M66" s="18" t="n">
        <v>0</v>
      </c>
      <c r="N66" s="20" t="n">
        <v>0</v>
      </c>
      <c r="O66" s="18" t="n">
        <v>0</v>
      </c>
      <c r="P66" s="20" t="n">
        <v>0</v>
      </c>
      <c r="Q66" s="18" t="n">
        <v>3.8277603</v>
      </c>
      <c r="R66" s="20" t="n">
        <v>0.78477108</v>
      </c>
    </row>
    <row r="67" spans="1:18">
      <c r="A67" s="15" t="s">
        <v>627</v>
      </c>
      <c r="B67" s="17" t="n">
        <v>3511</v>
      </c>
      <c r="C67" s="18">
        <f>(2831.0/B67*100)</f>
        <v/>
      </c>
      <c r="D67" s="19" t="n">
        <v>680</v>
      </c>
      <c r="E67" s="18" t="n">
        <v>53.79760924</v>
      </c>
      <c r="F67" s="20" t="n">
        <v>2.01818529</v>
      </c>
      <c r="G67" s="18" t="n">
        <v>45.3480293</v>
      </c>
      <c r="H67" s="20" t="n">
        <v>2.07530121</v>
      </c>
      <c r="I67" s="18" t="s">
        <v>567</v>
      </c>
      <c r="J67" s="20" t="s">
        <v>567</v>
      </c>
      <c r="K67" s="18" t="n">
        <v>0.27250463</v>
      </c>
      <c r="L67" s="20" t="n">
        <v>0.19352498</v>
      </c>
      <c r="M67" s="18" t="n">
        <v>0</v>
      </c>
      <c r="N67" s="20" t="n">
        <v>0</v>
      </c>
      <c r="O67" s="18" t="n">
        <v>0</v>
      </c>
      <c r="P67" s="20" t="n">
        <v>0</v>
      </c>
      <c r="Q67" s="18" t="n">
        <v>0.58185683</v>
      </c>
      <c r="R67" s="20" t="n">
        <v>0.29752667</v>
      </c>
    </row>
    <row r="68" spans="1:18">
      <c r="A68" s="15" t="s">
        <v>628</v>
      </c>
      <c r="B68" s="17" t="n">
        <v>6049</v>
      </c>
      <c r="C68" s="18">
        <f>(4719.0/B68*100)</f>
        <v/>
      </c>
      <c r="D68" s="19" t="n">
        <v>1330</v>
      </c>
      <c r="E68" s="18" t="n">
        <v>63.53484696</v>
      </c>
      <c r="F68" s="20" t="n">
        <v>1.44647949</v>
      </c>
      <c r="G68" s="18" t="n">
        <v>31.0748952</v>
      </c>
      <c r="H68" s="20" t="n">
        <v>1.2876779</v>
      </c>
      <c r="I68" s="18" t="s">
        <v>567</v>
      </c>
      <c r="J68" s="20" t="s">
        <v>567</v>
      </c>
      <c r="K68" s="18" t="n">
        <v>2.46960018</v>
      </c>
      <c r="L68" s="20" t="n">
        <v>0.46290433</v>
      </c>
      <c r="M68" s="18" t="n">
        <v>0</v>
      </c>
      <c r="N68" s="20" t="n">
        <v>0</v>
      </c>
      <c r="O68" s="18" t="n">
        <v>0</v>
      </c>
      <c r="P68" s="20" t="n">
        <v>0</v>
      </c>
      <c r="Q68" s="18" t="n">
        <v>2.92065767</v>
      </c>
      <c r="R68" s="20" t="n">
        <v>0.48655541</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(2312.0/B70*100)</f>
        <v/>
      </c>
      <c r="D70" s="19" t="n">
        <v>617</v>
      </c>
      <c r="E70" s="18" t="n">
        <v>58.79843843</v>
      </c>
      <c r="F70" s="20" t="n">
        <v>1.94991102</v>
      </c>
      <c r="G70" s="18" t="n">
        <v>40.06149566</v>
      </c>
      <c r="H70" s="20" t="n">
        <v>2.07380571</v>
      </c>
      <c r="I70" s="18" t="s">
        <v>567</v>
      </c>
      <c r="J70" s="20" t="s">
        <v>567</v>
      </c>
      <c r="K70" s="18" t="n">
        <v>0.66807993</v>
      </c>
      <c r="L70" s="20" t="n">
        <v>0.40490572</v>
      </c>
      <c r="M70" s="18" t="n">
        <v>0</v>
      </c>
      <c r="N70" s="20" t="n">
        <v>0</v>
      </c>
      <c r="O70" s="18" t="n">
        <v>0</v>
      </c>
      <c r="P70" s="20" t="n">
        <v>0</v>
      </c>
      <c r="Q70" s="18" t="n">
        <v>0.47198599</v>
      </c>
      <c r="R70" s="20" t="n">
        <v>0.41315713</v>
      </c>
    </row>
    <row r="71" spans="1:18">
      <c r="A71" s="15" t="s">
        <v>631</v>
      </c>
      <c r="B71" s="17" t="n">
        <v>3142</v>
      </c>
      <c r="C71" s="18">
        <f>(2450.0/B71*100)</f>
        <v/>
      </c>
      <c r="D71" s="19" t="n">
        <v>692</v>
      </c>
      <c r="E71" s="18" t="n">
        <v>26.24275876</v>
      </c>
      <c r="F71" s="20" t="n">
        <v>1.95694584</v>
      </c>
      <c r="G71" s="18" t="n">
        <v>73.4677306</v>
      </c>
      <c r="H71" s="20" t="n">
        <v>1.93689623</v>
      </c>
      <c r="I71" s="18" t="s">
        <v>567</v>
      </c>
      <c r="J71" s="20" t="s">
        <v>567</v>
      </c>
      <c r="K71" s="18" t="n">
        <v>0</v>
      </c>
      <c r="L71" s="20" t="n">
        <v>0</v>
      </c>
      <c r="M71" s="18" t="n">
        <v>0</v>
      </c>
      <c r="N71" s="20" t="n">
        <v>0</v>
      </c>
      <c r="O71" s="18" t="n">
        <v>0</v>
      </c>
      <c r="P71" s="20" t="n">
        <v>0</v>
      </c>
      <c r="Q71" s="18" t="n">
        <v>0.28951065</v>
      </c>
      <c r="R71" s="20" t="n">
        <v>0.19961748</v>
      </c>
    </row>
    <row r="72" spans="1:18">
      <c r="A72" s="15" t="s">
        <v>632</v>
      </c>
      <c r="B72" s="17" t="n">
        <v>3889</v>
      </c>
      <c r="C72" s="18">
        <f>(2990.0/B72*100)</f>
        <v/>
      </c>
      <c r="D72" s="19" t="n">
        <v>899</v>
      </c>
      <c r="E72" s="18" t="n">
        <v>27.6382712</v>
      </c>
      <c r="F72" s="20" t="n">
        <v>1.79787378</v>
      </c>
      <c r="G72" s="18" t="n">
        <v>71.87362872999999</v>
      </c>
      <c r="H72" s="20" t="n">
        <v>1.80439324</v>
      </c>
      <c r="I72" s="18" t="s">
        <v>567</v>
      </c>
      <c r="J72" s="20" t="s">
        <v>567</v>
      </c>
      <c r="K72" s="18" t="n">
        <v>0.23764626</v>
      </c>
      <c r="L72" s="20" t="n">
        <v>0.17159141</v>
      </c>
      <c r="M72" s="18" t="n">
        <v>0</v>
      </c>
      <c r="N72" s="20" t="n">
        <v>0</v>
      </c>
      <c r="O72" s="18" t="n">
        <v>0</v>
      </c>
      <c r="P72" s="20" t="n">
        <v>0</v>
      </c>
      <c r="Q72" s="18" t="n">
        <v>0.25045381</v>
      </c>
      <c r="R72" s="20" t="n">
        <v>0.13676806</v>
      </c>
    </row>
    <row r="73" spans="1:18">
      <c r="A73" s="15" t="s">
        <v>633</v>
      </c>
      <c r="B73" s="17" t="n">
        <v>3597</v>
      </c>
      <c r="C73" s="18">
        <f>(2843.0/B73*100)</f>
        <v/>
      </c>
      <c r="D73" s="19" t="n">
        <v>754</v>
      </c>
      <c r="E73" s="18" t="n">
        <v>63.40915677</v>
      </c>
      <c r="F73" s="20" t="n">
        <v>2.4609809</v>
      </c>
      <c r="G73" s="18" t="n">
        <v>36.29058148</v>
      </c>
      <c r="H73" s="20" t="n">
        <v>2.44574462</v>
      </c>
      <c r="I73" s="18" t="s">
        <v>567</v>
      </c>
      <c r="J73" s="20" t="s">
        <v>567</v>
      </c>
      <c r="K73" s="18" t="n">
        <v>0</v>
      </c>
      <c r="L73" s="20" t="n">
        <v>0</v>
      </c>
      <c r="M73" s="18" t="n">
        <v>0</v>
      </c>
      <c r="N73" s="20" t="n">
        <v>0</v>
      </c>
      <c r="O73" s="18" t="n">
        <v>0</v>
      </c>
      <c r="P73" s="20" t="n">
        <v>0</v>
      </c>
      <c r="Q73" s="18" t="n">
        <v>0.30026175</v>
      </c>
      <c r="R73" s="20" t="n">
        <v>0.2030013</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(1944.0/B75*100)</f>
        <v/>
      </c>
      <c r="D75" s="19" t="n">
        <v>462</v>
      </c>
      <c r="E75" s="18" t="n">
        <v>61.51177032</v>
      </c>
      <c r="F75" s="20" t="n">
        <v>2.21959219</v>
      </c>
      <c r="G75" s="18" t="n">
        <v>33.5425425</v>
      </c>
      <c r="H75" s="20" t="n">
        <v>2.30449071</v>
      </c>
      <c r="I75" s="18" t="s">
        <v>567</v>
      </c>
      <c r="J75" s="20" t="s">
        <v>567</v>
      </c>
      <c r="K75" s="18" t="n">
        <v>3.33705999</v>
      </c>
      <c r="L75" s="20" t="n">
        <v>1.0021696</v>
      </c>
      <c r="M75" s="18" t="n">
        <v>0</v>
      </c>
      <c r="N75" s="20" t="n">
        <v>0</v>
      </c>
      <c r="O75" s="18" t="n">
        <v>0</v>
      </c>
      <c r="P75" s="20" t="n">
        <v>0</v>
      </c>
      <c r="Q75" s="18" t="n">
        <v>1.60862719</v>
      </c>
      <c r="R75" s="20" t="n">
        <v>0.64963496</v>
      </c>
    </row>
    <row r="76" spans="1:18">
      <c r="A76" s="15" t="s">
        <v>636</v>
      </c>
      <c r="B76" s="17" t="n">
        <v>7052</v>
      </c>
      <c r="C76" s="18">
        <f>(5543.0/B76*100)</f>
        <v/>
      </c>
      <c r="D76" s="19" t="n">
        <v>1509</v>
      </c>
      <c r="E76" s="18" t="n">
        <v>57.37913233</v>
      </c>
      <c r="F76" s="20" t="n">
        <v>1.66144503</v>
      </c>
      <c r="G76" s="18" t="n">
        <v>38.96260971</v>
      </c>
      <c r="H76" s="20" t="n">
        <v>1.59744178</v>
      </c>
      <c r="I76" s="18" t="s">
        <v>567</v>
      </c>
      <c r="J76" s="20" t="s">
        <v>567</v>
      </c>
      <c r="K76" s="18" t="n">
        <v>1.86933682</v>
      </c>
      <c r="L76" s="20" t="n">
        <v>0.49498214</v>
      </c>
      <c r="M76" s="18" t="n">
        <v>0</v>
      </c>
      <c r="N76" s="20" t="n">
        <v>0</v>
      </c>
      <c r="O76" s="18" t="n">
        <v>0</v>
      </c>
      <c r="P76" s="20" t="n">
        <v>0</v>
      </c>
      <c r="Q76" s="18" t="n">
        <v>1.78892114</v>
      </c>
      <c r="R76" s="20" t="n">
        <v>0.45687235</v>
      </c>
    </row>
    <row r="77" spans="1:18">
      <c r="A77" s="15" t="s">
        <v>637</v>
      </c>
      <c r="B77" s="17" t="n">
        <v>2908</v>
      </c>
      <c r="C77" s="18">
        <f>(2308.0/B77*100)</f>
        <v/>
      </c>
      <c r="D77" s="19" t="n">
        <v>600</v>
      </c>
      <c r="E77" s="18" t="n">
        <v>57.76919432</v>
      </c>
      <c r="F77" s="20" t="n">
        <v>1.94586527</v>
      </c>
      <c r="G77" s="18" t="n">
        <v>37.52355559</v>
      </c>
      <c r="H77" s="20" t="n">
        <v>1.882039</v>
      </c>
      <c r="I77" s="18" t="s">
        <v>567</v>
      </c>
      <c r="J77" s="20" t="s">
        <v>567</v>
      </c>
      <c r="K77" s="18" t="n">
        <v>2.43086566</v>
      </c>
      <c r="L77" s="20" t="n">
        <v>0.6207292599999999</v>
      </c>
      <c r="M77" s="18" t="n">
        <v>0</v>
      </c>
      <c r="N77" s="20" t="n">
        <v>0</v>
      </c>
      <c r="O77" s="18" t="n">
        <v>0</v>
      </c>
      <c r="P77" s="20" t="n">
        <v>0</v>
      </c>
      <c r="Q77" s="18" t="n">
        <v>2.27638443</v>
      </c>
      <c r="R77" s="20" t="n">
        <v>0.60581746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(3262.0/B81*100)</f>
        <v/>
      </c>
      <c r="D81" s="19" t="n">
        <v>901</v>
      </c>
      <c r="E81" s="18" t="n">
        <v>57.35066494</v>
      </c>
      <c r="F81" s="20" t="n">
        <v>2.22190878</v>
      </c>
      <c r="G81" s="18" t="n">
        <v>42.00773346</v>
      </c>
      <c r="H81" s="20" t="n">
        <v>2.21849368</v>
      </c>
      <c r="I81" s="18" t="s">
        <v>567</v>
      </c>
      <c r="J81" s="20" t="s">
        <v>567</v>
      </c>
      <c r="K81" s="18" t="n">
        <v>0.15304863</v>
      </c>
      <c r="L81" s="20" t="n">
        <v>0.15318062</v>
      </c>
      <c r="M81" s="18" t="n">
        <v>0</v>
      </c>
      <c r="N81" s="20" t="n">
        <v>0</v>
      </c>
      <c r="O81" s="18" t="n">
        <v>0</v>
      </c>
      <c r="P81" s="20" t="n">
        <v>0</v>
      </c>
      <c r="Q81" s="18" t="n">
        <v>0.48855296</v>
      </c>
      <c r="R81" s="20" t="n">
        <v>0.2676661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(5746.0/B7*100)</f>
        <v/>
      </c>
      <c r="D7" s="19" t="n">
        <v>1621</v>
      </c>
      <c r="E7" s="18" t="n">
        <v>29.31484513</v>
      </c>
      <c r="F7" s="20" t="n">
        <v>1.23804969</v>
      </c>
      <c r="G7" s="18" t="n">
        <v>60.7097489</v>
      </c>
      <c r="H7" s="20" t="n">
        <v>1.33186468</v>
      </c>
      <c r="I7" s="18" t="s">
        <v>567</v>
      </c>
      <c r="J7" s="20" t="s">
        <v>567</v>
      </c>
      <c r="K7" s="18" t="n">
        <v>0.16213029</v>
      </c>
      <c r="L7" s="20" t="n">
        <v>0.08214465999999999</v>
      </c>
      <c r="M7" s="18" t="n">
        <v>0.11277723</v>
      </c>
      <c r="N7" s="20" t="n">
        <v>0.09561806</v>
      </c>
      <c r="O7" s="18" t="n">
        <v>0</v>
      </c>
      <c r="P7" s="20" t="n">
        <v>0</v>
      </c>
      <c r="Q7" s="18" t="n">
        <v>9.70049844</v>
      </c>
      <c r="R7" s="20" t="n">
        <v>0.75146948</v>
      </c>
    </row>
    <row r="8" spans="1:18">
      <c r="A8" s="15" t="s">
        <v>568</v>
      </c>
      <c r="B8" s="17" t="n">
        <v>3564</v>
      </c>
      <c r="C8" s="18">
        <f>(2777.0/B8*100)</f>
        <v/>
      </c>
      <c r="D8" s="19" t="n">
        <v>787</v>
      </c>
      <c r="E8" s="18" t="n">
        <v>26.98278536</v>
      </c>
      <c r="F8" s="20" t="n">
        <v>1.66885268</v>
      </c>
      <c r="G8" s="18" t="n">
        <v>54.04331131</v>
      </c>
      <c r="H8" s="20" t="n">
        <v>2.14325358</v>
      </c>
      <c r="I8" s="18" t="s">
        <v>567</v>
      </c>
      <c r="J8" s="20" t="s">
        <v>567</v>
      </c>
      <c r="K8" s="18" t="n">
        <v>0.35980031</v>
      </c>
      <c r="L8" s="20" t="n">
        <v>0.18900849</v>
      </c>
      <c r="M8" s="18" t="n">
        <v>0</v>
      </c>
      <c r="N8" s="20" t="n">
        <v>0</v>
      </c>
      <c r="O8" s="18" t="n">
        <v>0</v>
      </c>
      <c r="P8" s="20" t="n">
        <v>0</v>
      </c>
      <c r="Q8" s="18" t="n">
        <v>18.61410302</v>
      </c>
      <c r="R8" s="20" t="n">
        <v>2.05741951</v>
      </c>
    </row>
    <row r="9" spans="1:18">
      <c r="A9" s="15" t="s">
        <v>569</v>
      </c>
      <c r="B9" s="17" t="n">
        <v>4899</v>
      </c>
      <c r="C9" s="18">
        <f>(3884.0/B9*100)</f>
        <v/>
      </c>
      <c r="D9" s="19" t="n">
        <v>1015</v>
      </c>
      <c r="E9" s="18" t="n">
        <v>25.53321778</v>
      </c>
      <c r="F9" s="20" t="n">
        <v>1.57851664</v>
      </c>
      <c r="G9" s="18" t="n">
        <v>59.98366097</v>
      </c>
      <c r="H9" s="20" t="n">
        <v>1.69898866</v>
      </c>
      <c r="I9" s="18" t="s">
        <v>567</v>
      </c>
      <c r="J9" s="20" t="s">
        <v>567</v>
      </c>
      <c r="K9" s="18" t="n">
        <v>0.78167142</v>
      </c>
      <c r="L9" s="20" t="n">
        <v>0.29451027</v>
      </c>
      <c r="M9" s="18" t="n">
        <v>0.43268178</v>
      </c>
      <c r="N9" s="20" t="n">
        <v>0.22090527</v>
      </c>
      <c r="O9" s="18" t="n">
        <v>0</v>
      </c>
      <c r="P9" s="20" t="n">
        <v>0</v>
      </c>
      <c r="Q9" s="18" t="n">
        <v>13.26876804</v>
      </c>
      <c r="R9" s="20" t="n">
        <v>1.30729167</v>
      </c>
    </row>
    <row r="10" spans="1:18">
      <c r="A10" s="15" t="s">
        <v>570</v>
      </c>
      <c r="B10" s="17" t="n">
        <v>10036</v>
      </c>
      <c r="C10" s="18">
        <f>(7804.0/B10*100)</f>
        <v/>
      </c>
      <c r="D10" s="19" t="n">
        <v>2232</v>
      </c>
      <c r="E10" s="18" t="n">
        <v>24.99674885</v>
      </c>
      <c r="F10" s="20" t="n">
        <v>1.18351821</v>
      </c>
      <c r="G10" s="18" t="n">
        <v>68.85371987000001</v>
      </c>
      <c r="H10" s="20" t="n">
        <v>1.31192901</v>
      </c>
      <c r="I10" s="18" t="s">
        <v>567</v>
      </c>
      <c r="J10" s="20" t="s">
        <v>567</v>
      </c>
      <c r="K10" s="18" t="n">
        <v>0.65381121</v>
      </c>
      <c r="L10" s="20" t="n">
        <v>0.24288312</v>
      </c>
      <c r="M10" s="18" t="n">
        <v>0.01694749</v>
      </c>
      <c r="N10" s="20" t="n">
        <v>0.01706283</v>
      </c>
      <c r="O10" s="18" t="n">
        <v>0</v>
      </c>
      <c r="P10" s="20" t="n">
        <v>0</v>
      </c>
      <c r="Q10" s="18" t="n">
        <v>5.47877257</v>
      </c>
      <c r="R10" s="20" t="n">
        <v>0.6563936500000001</v>
      </c>
    </row>
    <row r="11" spans="1:18">
      <c r="A11" s="15" t="s">
        <v>571</v>
      </c>
      <c r="B11" s="17" t="n">
        <v>3553</v>
      </c>
      <c r="C11" s="18">
        <f>(2820.0/B11*100)</f>
        <v/>
      </c>
      <c r="D11" s="19" t="n">
        <v>733</v>
      </c>
      <c r="E11" s="18" t="n">
        <v>42.67634098</v>
      </c>
      <c r="F11" s="20" t="n">
        <v>2.13669169</v>
      </c>
      <c r="G11" s="18" t="n">
        <v>37.03108296</v>
      </c>
      <c r="H11" s="20" t="n">
        <v>2.17799926</v>
      </c>
      <c r="I11" s="18" t="s">
        <v>567</v>
      </c>
      <c r="J11" s="20" t="s">
        <v>567</v>
      </c>
      <c r="K11" s="18" t="n">
        <v>2.90012594</v>
      </c>
      <c r="L11" s="20" t="n">
        <v>0.97978094</v>
      </c>
      <c r="M11" s="18" t="n">
        <v>0</v>
      </c>
      <c r="N11" s="20" t="n">
        <v>0</v>
      </c>
      <c r="O11" s="18" t="n">
        <v>0</v>
      </c>
      <c r="P11" s="20" t="n">
        <v>0</v>
      </c>
      <c r="Q11" s="18" t="n">
        <v>17.39245012</v>
      </c>
      <c r="R11" s="20" t="n">
        <v>1.86025268</v>
      </c>
    </row>
    <row r="12" spans="1:18">
      <c r="A12" s="15" t="s">
        <v>572</v>
      </c>
      <c r="B12" s="17" t="n">
        <v>3472</v>
      </c>
      <c r="C12" s="18">
        <f>(2717.0/B12*100)</f>
        <v/>
      </c>
      <c r="D12" s="19" t="n">
        <v>755</v>
      </c>
      <c r="E12" s="18" t="n">
        <v>29.22915421</v>
      </c>
      <c r="F12" s="20" t="n">
        <v>1.85265687</v>
      </c>
      <c r="G12" s="18" t="n">
        <v>51.50756343</v>
      </c>
      <c r="H12" s="20" t="n">
        <v>2.24078055</v>
      </c>
      <c r="I12" s="18" t="s">
        <v>567</v>
      </c>
      <c r="J12" s="20" t="s">
        <v>567</v>
      </c>
      <c r="K12" s="18" t="n">
        <v>0.30095653</v>
      </c>
      <c r="L12" s="20" t="n">
        <v>0.18050054</v>
      </c>
      <c r="M12" s="18" t="n">
        <v>0.07788412</v>
      </c>
      <c r="N12" s="20" t="n">
        <v>0.10423009</v>
      </c>
      <c r="O12" s="18" t="n">
        <v>0</v>
      </c>
      <c r="P12" s="20" t="n">
        <v>0</v>
      </c>
      <c r="Q12" s="18" t="n">
        <v>18.88444171</v>
      </c>
      <c r="R12" s="20" t="n">
        <v>1.66196477</v>
      </c>
    </row>
    <row r="13" spans="1:18">
      <c r="A13" s="15" t="s">
        <v>573</v>
      </c>
      <c r="B13" s="17" t="n">
        <v>3559</v>
      </c>
      <c r="C13" s="18">
        <f>(2791.0/B13*100)</f>
        <v/>
      </c>
      <c r="D13" s="19" t="n">
        <v>768</v>
      </c>
      <c r="E13" s="18" t="n">
        <v>27.42037224</v>
      </c>
      <c r="F13" s="20" t="n">
        <v>1.89123768</v>
      </c>
      <c r="G13" s="18" t="n">
        <v>59.0521224</v>
      </c>
      <c r="H13" s="20" t="n">
        <v>2.28041082</v>
      </c>
      <c r="I13" s="18" t="s">
        <v>567</v>
      </c>
      <c r="J13" s="20" t="s">
        <v>567</v>
      </c>
      <c r="K13" s="18" t="n">
        <v>0.16167528</v>
      </c>
      <c r="L13" s="20" t="n">
        <v>0.10378035</v>
      </c>
      <c r="M13" s="18" t="n">
        <v>0.03645316</v>
      </c>
      <c r="N13" s="20" t="n">
        <v>0.03931877</v>
      </c>
      <c r="O13" s="18" t="n">
        <v>0</v>
      </c>
      <c r="P13" s="20" t="n">
        <v>0</v>
      </c>
      <c r="Q13" s="18" t="n">
        <v>13.32937692</v>
      </c>
      <c r="R13" s="20" t="n">
        <v>1.53456736</v>
      </c>
    </row>
    <row r="14" spans="1:18">
      <c r="A14" s="15" t="s">
        <v>574</v>
      </c>
      <c r="B14" s="17" t="n">
        <v>2799</v>
      </c>
      <c r="C14" s="18">
        <f>(2218.0/B14*100)</f>
        <v/>
      </c>
      <c r="D14" s="19" t="n">
        <v>581</v>
      </c>
      <c r="E14" s="18" t="n">
        <v>26.20046888</v>
      </c>
      <c r="F14" s="20" t="n">
        <v>2.43744403</v>
      </c>
      <c r="G14" s="18" t="n">
        <v>64.41396549</v>
      </c>
      <c r="H14" s="20" t="n">
        <v>2.66440082</v>
      </c>
      <c r="I14" s="18" t="s">
        <v>567</v>
      </c>
      <c r="J14" s="20" t="s">
        <v>567</v>
      </c>
      <c r="K14" s="18" t="n">
        <v>0.42871305</v>
      </c>
      <c r="L14" s="20" t="n">
        <v>0.25039355</v>
      </c>
      <c r="M14" s="18" t="n">
        <v>0</v>
      </c>
      <c r="N14" s="20" t="n">
        <v>0</v>
      </c>
      <c r="O14" s="18" t="n">
        <v>0</v>
      </c>
      <c r="P14" s="20" t="n">
        <v>0</v>
      </c>
      <c r="Q14" s="18" t="n">
        <v>8.95685258</v>
      </c>
      <c r="R14" s="20" t="n">
        <v>1.48536444</v>
      </c>
    </row>
    <row r="15" spans="1:18">
      <c r="A15" s="15" t="s">
        <v>575</v>
      </c>
      <c r="B15" s="17" t="n">
        <v>3019</v>
      </c>
      <c r="C15" s="18">
        <f>(2379.0/B15*100)</f>
        <v/>
      </c>
      <c r="D15" s="19" t="n">
        <v>640</v>
      </c>
      <c r="E15" s="18" t="n">
        <v>29.35040161</v>
      </c>
      <c r="F15" s="20" t="n">
        <v>1.80901716</v>
      </c>
      <c r="G15" s="18" t="n">
        <v>55.71654555</v>
      </c>
      <c r="H15" s="20" t="n">
        <v>2.2052014</v>
      </c>
      <c r="I15" s="18" t="s">
        <v>567</v>
      </c>
      <c r="J15" s="20" t="s">
        <v>567</v>
      </c>
      <c r="K15" s="18" t="n">
        <v>0.36145307</v>
      </c>
      <c r="L15" s="20" t="n">
        <v>0.27245983</v>
      </c>
      <c r="M15" s="18" t="n">
        <v>0.19087229</v>
      </c>
      <c r="N15" s="20" t="n">
        <v>0.19094352</v>
      </c>
      <c r="O15" s="18" t="n">
        <v>0</v>
      </c>
      <c r="P15" s="20" t="n">
        <v>0</v>
      </c>
      <c r="Q15" s="18" t="n">
        <v>14.38072749</v>
      </c>
      <c r="R15" s="20" t="n">
        <v>1.42096495</v>
      </c>
    </row>
    <row r="16" spans="1:18">
      <c r="A16" s="15" t="s">
        <v>576</v>
      </c>
      <c r="B16" s="17" t="n">
        <v>2997</v>
      </c>
      <c r="C16" s="18">
        <f>(2365.0/B16*100)</f>
        <v/>
      </c>
      <c r="D16" s="19" t="n">
        <v>632</v>
      </c>
      <c r="E16" s="18" t="n">
        <v>26.50834715</v>
      </c>
      <c r="F16" s="20" t="n">
        <v>1.93422093</v>
      </c>
      <c r="G16" s="18" t="n">
        <v>45.80721346</v>
      </c>
      <c r="H16" s="20" t="n">
        <v>1.89956338</v>
      </c>
      <c r="I16" s="18" t="s">
        <v>567</v>
      </c>
      <c r="J16" s="20" t="s">
        <v>567</v>
      </c>
      <c r="K16" s="18" t="n">
        <v>1.31475219</v>
      </c>
      <c r="L16" s="20" t="n">
        <v>0.45353346</v>
      </c>
      <c r="M16" s="18" t="n">
        <v>0</v>
      </c>
      <c r="N16" s="20" t="n">
        <v>0</v>
      </c>
      <c r="O16" s="18" t="n">
        <v>0</v>
      </c>
      <c r="P16" s="20" t="n">
        <v>0</v>
      </c>
      <c r="Q16" s="18" t="n">
        <v>26.36968719</v>
      </c>
      <c r="R16" s="20" t="n">
        <v>1.84876398</v>
      </c>
    </row>
    <row r="17" spans="1:18">
      <c r="A17" s="15" t="s">
        <v>577</v>
      </c>
      <c r="B17" s="17" t="n">
        <v>3307</v>
      </c>
      <c r="C17" s="18">
        <f>(2596.0/B17*100)</f>
        <v/>
      </c>
      <c r="D17" s="19" t="n">
        <v>711</v>
      </c>
      <c r="E17" s="18" t="n">
        <v>27.35574151</v>
      </c>
      <c r="F17" s="20" t="n">
        <v>1.80172463</v>
      </c>
      <c r="G17" s="18" t="n">
        <v>57.92921323</v>
      </c>
      <c r="H17" s="20" t="n">
        <v>2.0437039</v>
      </c>
      <c r="I17" s="18" t="s">
        <v>567</v>
      </c>
      <c r="J17" s="20" t="s">
        <v>567</v>
      </c>
      <c r="K17" s="18" t="n">
        <v>0.43432995</v>
      </c>
      <c r="L17" s="20" t="n">
        <v>0.21086131</v>
      </c>
      <c r="M17" s="18" t="n">
        <v>0</v>
      </c>
      <c r="N17" s="20" t="n">
        <v>0</v>
      </c>
      <c r="O17" s="18" t="n">
        <v>0</v>
      </c>
      <c r="P17" s="20" t="n">
        <v>0</v>
      </c>
      <c r="Q17" s="18" t="n">
        <v>14.28071532</v>
      </c>
      <c r="R17" s="20" t="n">
        <v>1.39053553</v>
      </c>
    </row>
    <row r="18" spans="1:18">
      <c r="A18" s="15" t="s">
        <v>578</v>
      </c>
      <c r="B18" s="17" t="n">
        <v>2826</v>
      </c>
      <c r="C18" s="18">
        <f>(2233.0/B18*100)</f>
        <v/>
      </c>
      <c r="D18" s="19" t="n">
        <v>593</v>
      </c>
      <c r="E18" s="18" t="n">
        <v>38.44919706</v>
      </c>
      <c r="F18" s="20" t="n">
        <v>2.14584857</v>
      </c>
      <c r="G18" s="18" t="n">
        <v>41.97847018</v>
      </c>
      <c r="H18" s="20" t="n">
        <v>2.65097252</v>
      </c>
      <c r="I18" s="18" t="s">
        <v>567</v>
      </c>
      <c r="J18" s="20" t="s">
        <v>567</v>
      </c>
      <c r="K18" s="18" t="n">
        <v>0.96742225</v>
      </c>
      <c r="L18" s="20" t="n">
        <v>0.43246791</v>
      </c>
      <c r="M18" s="18" t="n">
        <v>0</v>
      </c>
      <c r="N18" s="20" t="n">
        <v>0</v>
      </c>
      <c r="O18" s="18" t="n">
        <v>0</v>
      </c>
      <c r="P18" s="20" t="n">
        <v>0</v>
      </c>
      <c r="Q18" s="18" t="n">
        <v>18.60491051</v>
      </c>
      <c r="R18" s="20" t="n">
        <v>1.67349655</v>
      </c>
    </row>
    <row r="19" spans="1:18">
      <c r="A19" s="15" t="s">
        <v>579</v>
      </c>
      <c r="B19" s="17" t="n">
        <v>2808</v>
      </c>
      <c r="C19" s="18">
        <f>(2148.0/B19*100)</f>
        <v/>
      </c>
      <c r="D19" s="19" t="n">
        <v>660</v>
      </c>
      <c r="E19" s="18" t="n">
        <v>33.74676581</v>
      </c>
      <c r="F19" s="20" t="n">
        <v>1.72822401</v>
      </c>
      <c r="G19" s="18" t="n">
        <v>47.19022645</v>
      </c>
      <c r="H19" s="20" t="n">
        <v>2.25441853</v>
      </c>
      <c r="I19" s="18" t="s">
        <v>567</v>
      </c>
      <c r="J19" s="20" t="s">
        <v>567</v>
      </c>
      <c r="K19" s="18" t="n">
        <v>0.23227097</v>
      </c>
      <c r="L19" s="20" t="n">
        <v>0.16337161</v>
      </c>
      <c r="M19" s="18" t="n">
        <v>0.12950533</v>
      </c>
      <c r="N19" s="20" t="n">
        <v>0.12870603</v>
      </c>
      <c r="O19" s="18" t="n">
        <v>0</v>
      </c>
      <c r="P19" s="20" t="n">
        <v>0</v>
      </c>
      <c r="Q19" s="18" t="n">
        <v>18.70123144</v>
      </c>
      <c r="R19" s="20" t="n">
        <v>2.00361138</v>
      </c>
    </row>
    <row r="20" spans="1:18">
      <c r="A20" s="15" t="s">
        <v>580</v>
      </c>
      <c r="B20" s="17" t="n">
        <v>1630</v>
      </c>
      <c r="C20" s="18">
        <f>(1254.0/B20*100)</f>
        <v/>
      </c>
      <c r="D20" s="19" t="n">
        <v>376</v>
      </c>
      <c r="E20" s="18" t="n">
        <v>43.16024747</v>
      </c>
      <c r="F20" s="20" t="n">
        <v>3.00448346</v>
      </c>
      <c r="G20" s="18" t="n">
        <v>38.11914894</v>
      </c>
      <c r="H20" s="20" t="n">
        <v>2.60407583</v>
      </c>
      <c r="I20" s="18" t="s">
        <v>567</v>
      </c>
      <c r="J20" s="20" t="s">
        <v>567</v>
      </c>
      <c r="K20" s="18" t="n">
        <v>0.90695565</v>
      </c>
      <c r="L20" s="20" t="n">
        <v>0.52892663</v>
      </c>
      <c r="M20" s="18" t="n">
        <v>0</v>
      </c>
      <c r="N20" s="20" t="n">
        <v>0</v>
      </c>
      <c r="O20" s="18" t="n">
        <v>0</v>
      </c>
      <c r="P20" s="20" t="n">
        <v>0</v>
      </c>
      <c r="Q20" s="18" t="n">
        <v>17.81364794</v>
      </c>
      <c r="R20" s="20" t="n">
        <v>2.07886782</v>
      </c>
    </row>
    <row r="21" spans="1:18">
      <c r="A21" s="15" t="s">
        <v>581</v>
      </c>
      <c r="B21" s="17" t="n">
        <v>2908</v>
      </c>
      <c r="C21" s="18">
        <f>(2277.0/B21*100)</f>
        <v/>
      </c>
      <c r="D21" s="19" t="n">
        <v>631</v>
      </c>
      <c r="E21" s="18" t="n">
        <v>22.99950578</v>
      </c>
      <c r="F21" s="20" t="n">
        <v>2.3126422</v>
      </c>
      <c r="G21" s="18" t="n">
        <v>69.14715869</v>
      </c>
      <c r="H21" s="20" t="n">
        <v>2.31712795</v>
      </c>
      <c r="I21" s="18" t="s">
        <v>567</v>
      </c>
      <c r="J21" s="20" t="s">
        <v>567</v>
      </c>
      <c r="K21" s="18" t="n">
        <v>0.2558681</v>
      </c>
      <c r="L21" s="20" t="n">
        <v>0.15797679</v>
      </c>
      <c r="M21" s="18" t="n">
        <v>0</v>
      </c>
      <c r="N21" s="20" t="n">
        <v>0</v>
      </c>
      <c r="O21" s="18" t="n">
        <v>0</v>
      </c>
      <c r="P21" s="20" t="n">
        <v>0</v>
      </c>
      <c r="Q21" s="18" t="n">
        <v>7.59746743</v>
      </c>
      <c r="R21" s="20" t="n">
        <v>1.120048</v>
      </c>
    </row>
    <row r="22" spans="1:18">
      <c r="A22" s="15" t="s">
        <v>582</v>
      </c>
      <c r="B22" s="17" t="n">
        <v>2931</v>
      </c>
      <c r="C22" s="18">
        <f>(2304.0/B22*100)</f>
        <v/>
      </c>
      <c r="D22" s="19" t="n">
        <v>627</v>
      </c>
      <c r="E22" s="18" t="n">
        <v>38.83767359</v>
      </c>
      <c r="F22" s="20" t="n">
        <v>2.05072675</v>
      </c>
      <c r="G22" s="18" t="n">
        <v>36.79443527</v>
      </c>
      <c r="H22" s="20" t="n">
        <v>2.15037128</v>
      </c>
      <c r="I22" s="18" t="s">
        <v>567</v>
      </c>
      <c r="J22" s="20" t="s">
        <v>567</v>
      </c>
      <c r="K22" s="18" t="n">
        <v>1.73929828</v>
      </c>
      <c r="L22" s="20" t="n">
        <v>0.56927342</v>
      </c>
      <c r="M22" s="18" t="n">
        <v>0</v>
      </c>
      <c r="N22" s="20" t="n">
        <v>0</v>
      </c>
      <c r="O22" s="18" t="n">
        <v>0</v>
      </c>
      <c r="P22" s="20" t="n">
        <v>0</v>
      </c>
      <c r="Q22" s="18" t="n">
        <v>22.62859285</v>
      </c>
      <c r="R22" s="20" t="n">
        <v>2.22269721</v>
      </c>
    </row>
    <row r="23" spans="1:18">
      <c r="A23" s="15" t="s">
        <v>583</v>
      </c>
      <c r="B23" s="17" t="n">
        <v>5791</v>
      </c>
      <c r="C23" s="18">
        <f>(4482.0/B23*100)</f>
        <v/>
      </c>
      <c r="D23" s="19" t="n">
        <v>1309</v>
      </c>
      <c r="E23" s="18" t="n">
        <v>25.87600088</v>
      </c>
      <c r="F23" s="20" t="n">
        <v>1.53780985</v>
      </c>
      <c r="G23" s="18" t="n">
        <v>53.03361905</v>
      </c>
      <c r="H23" s="20" t="n">
        <v>2.10756573</v>
      </c>
      <c r="I23" s="18" t="s">
        <v>567</v>
      </c>
      <c r="J23" s="20" t="s">
        <v>567</v>
      </c>
      <c r="K23" s="18" t="n">
        <v>0.39929832</v>
      </c>
      <c r="L23" s="20" t="n">
        <v>0.20999867</v>
      </c>
      <c r="M23" s="18" t="n">
        <v>0.09625573</v>
      </c>
      <c r="N23" s="20" t="n">
        <v>0.1024198</v>
      </c>
      <c r="O23" s="18" t="n">
        <v>0</v>
      </c>
      <c r="P23" s="20" t="n">
        <v>0</v>
      </c>
      <c r="Q23" s="18" t="n">
        <v>20.59482601</v>
      </c>
      <c r="R23" s="20" t="n">
        <v>1.94521632</v>
      </c>
    </row>
    <row r="24" spans="1:18">
      <c r="A24" s="15" t="s">
        <v>584</v>
      </c>
      <c r="B24" s="17" t="n">
        <v>3338</v>
      </c>
      <c r="C24" s="18">
        <f>(2623.0/B24*100)</f>
        <v/>
      </c>
      <c r="D24" s="19" t="n">
        <v>715</v>
      </c>
      <c r="E24" s="18" t="n">
        <v>15.30548144</v>
      </c>
      <c r="F24" s="20" t="n">
        <v>1.36650147</v>
      </c>
      <c r="G24" s="18" t="n">
        <v>76.79643023</v>
      </c>
      <c r="H24" s="20" t="n">
        <v>1.727814</v>
      </c>
      <c r="I24" s="18" t="s">
        <v>567</v>
      </c>
      <c r="J24" s="20" t="s">
        <v>567</v>
      </c>
      <c r="K24" s="18" t="n">
        <v>0.13479732</v>
      </c>
      <c r="L24" s="20" t="n">
        <v>0.13399361</v>
      </c>
      <c r="M24" s="18" t="n">
        <v>0</v>
      </c>
      <c r="N24" s="20" t="n">
        <v>0</v>
      </c>
      <c r="O24" s="18" t="n">
        <v>0</v>
      </c>
      <c r="P24" s="20" t="n">
        <v>0</v>
      </c>
      <c r="Q24" s="18" t="n">
        <v>7.76329101</v>
      </c>
      <c r="R24" s="20" t="n">
        <v>1.14138544</v>
      </c>
    </row>
    <row r="25" spans="1:18">
      <c r="A25" s="15" t="s">
        <v>585</v>
      </c>
      <c r="B25" s="17" t="n">
        <v>2912</v>
      </c>
      <c r="C25" s="18">
        <f>(2243.0/B25*100)</f>
        <v/>
      </c>
      <c r="D25" s="19" t="n">
        <v>669</v>
      </c>
      <c r="E25" s="18" t="n">
        <v>27.63612997</v>
      </c>
      <c r="F25" s="20" t="n">
        <v>1.96422538</v>
      </c>
      <c r="G25" s="18" t="n">
        <v>61.98649517</v>
      </c>
      <c r="H25" s="20" t="n">
        <v>2.20344735</v>
      </c>
      <c r="I25" s="18" t="s">
        <v>567</v>
      </c>
      <c r="J25" s="20" t="s">
        <v>567</v>
      </c>
      <c r="K25" s="18" t="n">
        <v>0.58088169</v>
      </c>
      <c r="L25" s="20" t="n">
        <v>0.28781084</v>
      </c>
      <c r="M25" s="18" t="n">
        <v>0</v>
      </c>
      <c r="N25" s="20" t="n">
        <v>0</v>
      </c>
      <c r="O25" s="18" t="n">
        <v>0</v>
      </c>
      <c r="P25" s="20" t="n">
        <v>0</v>
      </c>
      <c r="Q25" s="18" t="n">
        <v>9.79649317</v>
      </c>
      <c r="R25" s="20" t="n">
        <v>1.07175045</v>
      </c>
    </row>
    <row r="26" spans="1:18">
      <c r="A26" s="15" t="s">
        <v>586</v>
      </c>
      <c r="B26" s="17" t="n">
        <v>2450</v>
      </c>
      <c r="C26" s="18">
        <f>(1913.0/B26*100)</f>
        <v/>
      </c>
      <c r="D26" s="19" t="n">
        <v>537</v>
      </c>
      <c r="E26" s="18" t="n">
        <v>53.16465266</v>
      </c>
      <c r="F26" s="20" t="n">
        <v>2.38982084</v>
      </c>
      <c r="G26" s="18" t="n">
        <v>33.50132055</v>
      </c>
      <c r="H26" s="20" t="n">
        <v>2.15659122</v>
      </c>
      <c r="I26" s="18" t="s">
        <v>567</v>
      </c>
      <c r="J26" s="20" t="s">
        <v>567</v>
      </c>
      <c r="K26" s="18" t="n">
        <v>0</v>
      </c>
      <c r="L26" s="20" t="n">
        <v>0</v>
      </c>
      <c r="M26" s="18" t="n">
        <v>0.14830545</v>
      </c>
      <c r="N26" s="20" t="n">
        <v>0.14868246</v>
      </c>
      <c r="O26" s="18" t="n">
        <v>0</v>
      </c>
      <c r="P26" s="20" t="n">
        <v>0</v>
      </c>
      <c r="Q26" s="18" t="n">
        <v>13.18572134</v>
      </c>
      <c r="R26" s="20" t="n">
        <v>1.59123147</v>
      </c>
    </row>
    <row r="27" spans="1:18">
      <c r="A27" s="15" t="s">
        <v>587</v>
      </c>
      <c r="B27" s="17" t="n">
        <v>2616</v>
      </c>
      <c r="C27" s="18">
        <f>(2050.0/B27*100)</f>
        <v/>
      </c>
      <c r="D27" s="19" t="n">
        <v>566</v>
      </c>
      <c r="E27" s="18" t="n">
        <v>33.62311414</v>
      </c>
      <c r="F27" s="20" t="n">
        <v>1.8383098</v>
      </c>
      <c r="G27" s="18" t="n">
        <v>47.11536231</v>
      </c>
      <c r="H27" s="20" t="n">
        <v>2.21239227</v>
      </c>
      <c r="I27" s="18" t="s">
        <v>567</v>
      </c>
      <c r="J27" s="20" t="s">
        <v>567</v>
      </c>
      <c r="K27" s="18" t="n">
        <v>0.34451801</v>
      </c>
      <c r="L27" s="20" t="n">
        <v>0.2438481</v>
      </c>
      <c r="M27" s="18" t="n">
        <v>0</v>
      </c>
      <c r="N27" s="20" t="n">
        <v>0</v>
      </c>
      <c r="O27" s="18" t="n">
        <v>0</v>
      </c>
      <c r="P27" s="20" t="n">
        <v>0</v>
      </c>
      <c r="Q27" s="18" t="n">
        <v>18.91700554</v>
      </c>
      <c r="R27" s="20" t="n">
        <v>1.54071508</v>
      </c>
    </row>
    <row r="28" spans="1:18">
      <c r="A28" s="15" t="s">
        <v>588</v>
      </c>
      <c r="B28" s="17" t="n">
        <v>3765</v>
      </c>
      <c r="C28" s="18">
        <f>(3000.0/B28*100)</f>
        <v/>
      </c>
      <c r="D28" s="19" t="n">
        <v>765</v>
      </c>
      <c r="E28" s="18" t="n">
        <v>59.41488051</v>
      </c>
      <c r="F28" s="20" t="n">
        <v>1.91144466</v>
      </c>
      <c r="G28" s="18" t="n">
        <v>32.77347916</v>
      </c>
      <c r="H28" s="20" t="n">
        <v>1.69240341</v>
      </c>
      <c r="I28" s="18" t="s">
        <v>567</v>
      </c>
      <c r="J28" s="20" t="s">
        <v>567</v>
      </c>
      <c r="K28" s="18" t="n">
        <v>1.12791846</v>
      </c>
      <c r="L28" s="20" t="n">
        <v>0.42838373</v>
      </c>
      <c r="M28" s="18" t="n">
        <v>0.33084482</v>
      </c>
      <c r="N28" s="20" t="n">
        <v>0.24765675</v>
      </c>
      <c r="O28" s="18" t="n">
        <v>0</v>
      </c>
      <c r="P28" s="20" t="n">
        <v>0</v>
      </c>
      <c r="Q28" s="18" t="n">
        <v>6.35287705</v>
      </c>
      <c r="R28" s="20" t="n">
        <v>1.14321692</v>
      </c>
    </row>
    <row r="29" spans="1:18">
      <c r="A29" s="15" t="s">
        <v>589</v>
      </c>
      <c r="B29" s="17" t="n">
        <v>2685</v>
      </c>
      <c r="C29" s="18">
        <f>(2106.0/B29*100)</f>
        <v/>
      </c>
      <c r="D29" s="19" t="n">
        <v>579</v>
      </c>
      <c r="E29" s="18" t="n">
        <v>33.82717677</v>
      </c>
      <c r="F29" s="20" t="n">
        <v>2.22015545</v>
      </c>
      <c r="G29" s="18" t="n">
        <v>59.63077766</v>
      </c>
      <c r="H29" s="20" t="n">
        <v>2.09853109</v>
      </c>
      <c r="I29" s="18" t="s">
        <v>567</v>
      </c>
      <c r="J29" s="20" t="s">
        <v>567</v>
      </c>
      <c r="K29" s="18" t="n">
        <v>0.63425145</v>
      </c>
      <c r="L29" s="20" t="n">
        <v>0.31559316</v>
      </c>
      <c r="M29" s="18" t="n">
        <v>0</v>
      </c>
      <c r="N29" s="20" t="n">
        <v>0</v>
      </c>
      <c r="O29" s="18" t="n">
        <v>0</v>
      </c>
      <c r="P29" s="20" t="n">
        <v>0</v>
      </c>
      <c r="Q29" s="18" t="n">
        <v>5.90779412</v>
      </c>
      <c r="R29" s="20" t="n">
        <v>1.23714648</v>
      </c>
    </row>
    <row r="30" spans="1:18">
      <c r="A30" s="15" t="s">
        <v>590</v>
      </c>
      <c r="B30" s="17" t="n">
        <v>2263</v>
      </c>
      <c r="C30" s="18">
        <f>(1792.0/B30*100)</f>
        <v/>
      </c>
      <c r="D30" s="19" t="n">
        <v>471</v>
      </c>
      <c r="E30" s="18" t="n">
        <v>26.03555154</v>
      </c>
      <c r="F30" s="20" t="n">
        <v>2.42054274</v>
      </c>
      <c r="G30" s="18" t="n">
        <v>57.57909522</v>
      </c>
      <c r="H30" s="20" t="n">
        <v>2.65758533</v>
      </c>
      <c r="I30" s="18" t="s">
        <v>567</v>
      </c>
      <c r="J30" s="20" t="s">
        <v>567</v>
      </c>
      <c r="K30" s="18" t="n">
        <v>0.6605928</v>
      </c>
      <c r="L30" s="20" t="n">
        <v>0.37196077</v>
      </c>
      <c r="M30" s="18" t="n">
        <v>0</v>
      </c>
      <c r="N30" s="20" t="n">
        <v>0</v>
      </c>
      <c r="O30" s="18" t="n">
        <v>0</v>
      </c>
      <c r="P30" s="20" t="n">
        <v>0</v>
      </c>
      <c r="Q30" s="18" t="n">
        <v>15.72476045</v>
      </c>
      <c r="R30" s="20" t="n">
        <v>1.83132088</v>
      </c>
    </row>
    <row r="31" spans="1:18">
      <c r="A31" s="15" t="s">
        <v>591</v>
      </c>
      <c r="B31" s="17" t="n">
        <v>2750</v>
      </c>
      <c r="C31" s="18">
        <f>(2175.0/B31*100)</f>
        <v/>
      </c>
      <c r="D31" s="19" t="n">
        <v>575</v>
      </c>
      <c r="E31" s="18" t="n">
        <v>30.76503348</v>
      </c>
      <c r="F31" s="20" t="n">
        <v>1.9046884</v>
      </c>
      <c r="G31" s="18" t="n">
        <v>52.17711548</v>
      </c>
      <c r="H31" s="20" t="n">
        <v>1.99296156</v>
      </c>
      <c r="I31" s="18" t="s">
        <v>567</v>
      </c>
      <c r="J31" s="20" t="s">
        <v>567</v>
      </c>
      <c r="K31" s="18" t="n">
        <v>1.34271338</v>
      </c>
      <c r="L31" s="20" t="n">
        <v>0.55153398</v>
      </c>
      <c r="M31" s="18" t="n">
        <v>0.14513299</v>
      </c>
      <c r="N31" s="20" t="n">
        <v>0.17108563</v>
      </c>
      <c r="O31" s="18" t="n">
        <v>0</v>
      </c>
      <c r="P31" s="20" t="n">
        <v>0</v>
      </c>
      <c r="Q31" s="18" t="n">
        <v>15.57000467</v>
      </c>
      <c r="R31" s="20" t="n">
        <v>1.23670192</v>
      </c>
    </row>
    <row r="32" spans="1:18">
      <c r="A32" s="15" t="s">
        <v>592</v>
      </c>
      <c r="B32" s="17" t="n">
        <v>2269</v>
      </c>
      <c r="C32" s="18">
        <f>(1764.0/B32*100)</f>
        <v/>
      </c>
      <c r="D32" s="19" t="n">
        <v>505</v>
      </c>
      <c r="E32" s="18" t="n">
        <v>24.17539699</v>
      </c>
      <c r="F32" s="20" t="n">
        <v>1.94134902</v>
      </c>
      <c r="G32" s="18" t="n">
        <v>59.44781567</v>
      </c>
      <c r="H32" s="20" t="n">
        <v>2.20035596</v>
      </c>
      <c r="I32" s="18" t="s">
        <v>567</v>
      </c>
      <c r="J32" s="20" t="s">
        <v>567</v>
      </c>
      <c r="K32" s="18" t="n">
        <v>0.56288297</v>
      </c>
      <c r="L32" s="20" t="n">
        <v>0.31828332</v>
      </c>
      <c r="M32" s="18" t="n">
        <v>0</v>
      </c>
      <c r="N32" s="20" t="n">
        <v>0</v>
      </c>
      <c r="O32" s="18" t="n">
        <v>0</v>
      </c>
      <c r="P32" s="20" t="n">
        <v>0</v>
      </c>
      <c r="Q32" s="18" t="n">
        <v>15.81390436</v>
      </c>
      <c r="R32" s="20" t="n">
        <v>1.5994496</v>
      </c>
    </row>
    <row r="33" spans="1:18">
      <c r="A33" s="15" t="s">
        <v>593</v>
      </c>
      <c r="B33" s="17" t="n">
        <v>3674</v>
      </c>
      <c r="C33" s="18">
        <f>(2918.0/B33*100)</f>
        <v/>
      </c>
      <c r="D33" s="19" t="n">
        <v>756</v>
      </c>
      <c r="E33" s="18" t="n">
        <v>27.18131079</v>
      </c>
      <c r="F33" s="20" t="n">
        <v>2.18383444</v>
      </c>
      <c r="G33" s="18" t="n">
        <v>55.63988903</v>
      </c>
      <c r="H33" s="20" t="n">
        <v>2.30466663</v>
      </c>
      <c r="I33" s="18" t="s">
        <v>567</v>
      </c>
      <c r="J33" s="20" t="s">
        <v>567</v>
      </c>
      <c r="K33" s="18" t="n">
        <v>0.76475183</v>
      </c>
      <c r="L33" s="20" t="n">
        <v>0.37412077</v>
      </c>
      <c r="M33" s="18" t="n">
        <v>0.44621118</v>
      </c>
      <c r="N33" s="20" t="n">
        <v>0.33865485</v>
      </c>
      <c r="O33" s="18" t="n">
        <v>0</v>
      </c>
      <c r="P33" s="20" t="n">
        <v>0</v>
      </c>
      <c r="Q33" s="18" t="n">
        <v>15.96783717</v>
      </c>
      <c r="R33" s="20" t="n">
        <v>1.30328687</v>
      </c>
    </row>
    <row r="34" spans="1:18">
      <c r="A34" s="15" t="s">
        <v>594</v>
      </c>
      <c r="B34" s="17" t="n">
        <v>3315</v>
      </c>
      <c r="C34" s="18">
        <f>(2618.0/B34*100)</f>
        <v/>
      </c>
      <c r="D34" s="19" t="n">
        <v>697</v>
      </c>
      <c r="E34" s="18" t="n">
        <v>41.89739995</v>
      </c>
      <c r="F34" s="20" t="n">
        <v>1.57163714</v>
      </c>
      <c r="G34" s="18" t="n">
        <v>34.84072341</v>
      </c>
      <c r="H34" s="20" t="n">
        <v>2.40075614</v>
      </c>
      <c r="I34" s="18" t="s">
        <v>567</v>
      </c>
      <c r="J34" s="20" t="s">
        <v>567</v>
      </c>
      <c r="K34" s="18" t="n">
        <v>0.27469838</v>
      </c>
      <c r="L34" s="20" t="n">
        <v>0.22561388</v>
      </c>
      <c r="M34" s="18" t="n">
        <v>0.29236656</v>
      </c>
      <c r="N34" s="20" t="n">
        <v>0.19557505</v>
      </c>
      <c r="O34" s="18" t="n">
        <v>0</v>
      </c>
      <c r="P34" s="20" t="n">
        <v>0</v>
      </c>
      <c r="Q34" s="18" t="n">
        <v>22.69481169</v>
      </c>
      <c r="R34" s="20" t="n">
        <v>1.75608387</v>
      </c>
    </row>
    <row r="35" spans="1:18">
      <c r="A35" s="15" t="s">
        <v>595</v>
      </c>
      <c r="B35" s="17" t="n">
        <v>3505</v>
      </c>
      <c r="C35" s="18">
        <f>(2749.0/B35*100)</f>
        <v/>
      </c>
      <c r="D35" s="19" t="n">
        <v>756</v>
      </c>
      <c r="E35" s="18" t="n">
        <v>22.21490077</v>
      </c>
      <c r="F35" s="20" t="n">
        <v>1.68370956</v>
      </c>
      <c r="G35" s="18" t="n">
        <v>66.55098275</v>
      </c>
      <c r="H35" s="20" t="n">
        <v>1.92394534</v>
      </c>
      <c r="I35" s="18" t="s">
        <v>567</v>
      </c>
      <c r="J35" s="20" t="s">
        <v>567</v>
      </c>
      <c r="K35" s="18" t="n">
        <v>0.96100066</v>
      </c>
      <c r="L35" s="20" t="n">
        <v>0.44380291</v>
      </c>
      <c r="M35" s="18" t="n">
        <v>0.23549024</v>
      </c>
      <c r="N35" s="20" t="n">
        <v>0.23483805</v>
      </c>
      <c r="O35" s="18" t="n">
        <v>0</v>
      </c>
      <c r="P35" s="20" t="n">
        <v>0</v>
      </c>
      <c r="Q35" s="18" t="n">
        <v>10.03762558</v>
      </c>
      <c r="R35" s="20" t="n">
        <v>0.97575008</v>
      </c>
    </row>
    <row r="36" spans="1:18">
      <c r="A36" s="15" t="s">
        <v>596</v>
      </c>
      <c r="B36" s="17" t="n">
        <v>3332</v>
      </c>
      <c r="C36" s="18">
        <f>(2573.0/B36*100)</f>
        <v/>
      </c>
      <c r="D36" s="19" t="n">
        <v>759</v>
      </c>
      <c r="E36" s="18" t="n">
        <v>32.21015463</v>
      </c>
      <c r="F36" s="20" t="n">
        <v>1.98553403</v>
      </c>
      <c r="G36" s="18" t="n">
        <v>52.22638617</v>
      </c>
      <c r="H36" s="20" t="n">
        <v>2.12362225</v>
      </c>
      <c r="I36" s="18" t="s">
        <v>567</v>
      </c>
      <c r="J36" s="20" t="s">
        <v>567</v>
      </c>
      <c r="K36" s="18" t="n">
        <v>0.75686994</v>
      </c>
      <c r="L36" s="20" t="n">
        <v>0.38547564</v>
      </c>
      <c r="M36" s="18" t="n">
        <v>0.15380407</v>
      </c>
      <c r="N36" s="20" t="n">
        <v>0.16719283</v>
      </c>
      <c r="O36" s="18" t="n">
        <v>0</v>
      </c>
      <c r="P36" s="20" t="n">
        <v>0</v>
      </c>
      <c r="Q36" s="18" t="n">
        <v>14.6527852</v>
      </c>
      <c r="R36" s="20" t="n">
        <v>1.27993101</v>
      </c>
    </row>
    <row r="37" spans="1:18">
      <c r="A37" s="15" t="s">
        <v>597</v>
      </c>
      <c r="B37" s="17" t="n">
        <v>2727</v>
      </c>
      <c r="C37" s="18">
        <f>(2152.0/B37*100)</f>
        <v/>
      </c>
      <c r="D37" s="19" t="n">
        <v>575</v>
      </c>
      <c r="E37" s="18" t="n">
        <v>18.97460589</v>
      </c>
      <c r="F37" s="20" t="n">
        <v>1.67440376</v>
      </c>
      <c r="G37" s="18" t="n">
        <v>54.98498228</v>
      </c>
      <c r="H37" s="20" t="n">
        <v>2.60071092</v>
      </c>
      <c r="I37" s="18" t="s">
        <v>567</v>
      </c>
      <c r="J37" s="20" t="s">
        <v>567</v>
      </c>
      <c r="K37" s="18" t="n">
        <v>1.51526346</v>
      </c>
      <c r="L37" s="20" t="n">
        <v>0.53483697</v>
      </c>
      <c r="M37" s="18" t="n">
        <v>0.14492922</v>
      </c>
      <c r="N37" s="20" t="n">
        <v>0.14483138</v>
      </c>
      <c r="O37" s="18" t="n">
        <v>0</v>
      </c>
      <c r="P37" s="20" t="n">
        <v>0</v>
      </c>
      <c r="Q37" s="18" t="n">
        <v>24.38021915</v>
      </c>
      <c r="R37" s="20" t="n">
        <v>2.32493456</v>
      </c>
    </row>
    <row r="38" spans="1:18">
      <c r="A38" s="15" t="s">
        <v>598</v>
      </c>
      <c r="B38" s="17" t="n">
        <v>3053</v>
      </c>
      <c r="C38" s="18">
        <f>(2386.0/B38*100)</f>
        <v/>
      </c>
      <c r="D38" s="19" t="n">
        <v>667</v>
      </c>
      <c r="E38" s="18" t="n">
        <v>29.77061208</v>
      </c>
      <c r="F38" s="20" t="n">
        <v>2.10328212</v>
      </c>
      <c r="G38" s="18" t="n">
        <v>50.35828691</v>
      </c>
      <c r="H38" s="20" t="n">
        <v>2.60768816</v>
      </c>
      <c r="I38" s="18" t="s">
        <v>567</v>
      </c>
      <c r="J38" s="20" t="s">
        <v>567</v>
      </c>
      <c r="K38" s="18" t="n">
        <v>0.75079843</v>
      </c>
      <c r="L38" s="20" t="n">
        <v>0.41147876</v>
      </c>
      <c r="M38" s="18" t="n">
        <v>1.53948651</v>
      </c>
      <c r="N38" s="20" t="n">
        <v>0.47419752</v>
      </c>
      <c r="O38" s="18" t="n">
        <v>0</v>
      </c>
      <c r="P38" s="20" t="n">
        <v>0</v>
      </c>
      <c r="Q38" s="18" t="n">
        <v>17.58081607</v>
      </c>
      <c r="R38" s="20" t="n">
        <v>2.26091076</v>
      </c>
    </row>
    <row r="39" spans="1:18">
      <c r="A39" s="15" t="s">
        <v>599</v>
      </c>
      <c r="B39" s="17" t="n">
        <v>2957</v>
      </c>
      <c r="C39" s="18">
        <f>(2305.0/B39*100)</f>
        <v/>
      </c>
      <c r="D39" s="19" t="n">
        <v>652</v>
      </c>
      <c r="E39" s="18" t="n">
        <v>34.71230846</v>
      </c>
      <c r="F39" s="20" t="n">
        <v>2.1839244</v>
      </c>
      <c r="G39" s="18" t="n">
        <v>49.90292896</v>
      </c>
      <c r="H39" s="20" t="n">
        <v>2.35428424</v>
      </c>
      <c r="I39" s="18" t="s">
        <v>567</v>
      </c>
      <c r="J39" s="20" t="s">
        <v>567</v>
      </c>
      <c r="K39" s="18" t="n">
        <v>0.19028169</v>
      </c>
      <c r="L39" s="20" t="n">
        <v>0.11938812</v>
      </c>
      <c r="M39" s="18" t="n">
        <v>0</v>
      </c>
      <c r="N39" s="20" t="n">
        <v>0</v>
      </c>
      <c r="O39" s="18" t="n">
        <v>0</v>
      </c>
      <c r="P39" s="20" t="n">
        <v>0</v>
      </c>
      <c r="Q39" s="18" t="n">
        <v>15.1944809</v>
      </c>
      <c r="R39" s="20" t="n">
        <v>1.68573036</v>
      </c>
    </row>
    <row r="40" spans="1:18">
      <c r="A40" s="15" t="s">
        <v>600</v>
      </c>
      <c r="B40" s="17" t="n">
        <v>7235</v>
      </c>
      <c r="C40" s="18">
        <f>(5683.0/B40*100)</f>
        <v/>
      </c>
      <c r="D40" s="19" t="n">
        <v>1552</v>
      </c>
      <c r="E40" s="18" t="n">
        <v>19.40948307</v>
      </c>
      <c r="F40" s="20" t="n">
        <v>1.94009468</v>
      </c>
      <c r="G40" s="18" t="n">
        <v>68.11767736</v>
      </c>
      <c r="H40" s="20" t="n">
        <v>2.00372835</v>
      </c>
      <c r="I40" s="18" t="s">
        <v>567</v>
      </c>
      <c r="J40" s="20" t="s">
        <v>567</v>
      </c>
      <c r="K40" s="18" t="n">
        <v>0.44679019</v>
      </c>
      <c r="L40" s="20" t="n">
        <v>0.34216287</v>
      </c>
      <c r="M40" s="18" t="n">
        <v>0</v>
      </c>
      <c r="N40" s="20" t="n">
        <v>0</v>
      </c>
      <c r="O40" s="18" t="n">
        <v>0</v>
      </c>
      <c r="P40" s="20" t="n">
        <v>0</v>
      </c>
      <c r="Q40" s="18" t="n">
        <v>12.02604939</v>
      </c>
      <c r="R40" s="20" t="n">
        <v>1.26456005</v>
      </c>
    </row>
    <row r="41" spans="1:18">
      <c r="A41" s="15" t="s">
        <v>601</v>
      </c>
      <c r="B41" s="17" t="n">
        <v>2858</v>
      </c>
      <c r="C41" s="18">
        <f>(2232.0/B41*100)</f>
        <v/>
      </c>
      <c r="D41" s="19" t="n">
        <v>626</v>
      </c>
      <c r="E41" s="18" t="n">
        <v>32.03499619</v>
      </c>
      <c r="F41" s="20" t="n">
        <v>2.07569373</v>
      </c>
      <c r="G41" s="18" t="n">
        <v>61.95173355</v>
      </c>
      <c r="H41" s="20" t="n">
        <v>2.24271162</v>
      </c>
      <c r="I41" s="18" t="s">
        <v>567</v>
      </c>
      <c r="J41" s="20" t="s">
        <v>567</v>
      </c>
      <c r="K41" s="18" t="n">
        <v>0.19833719</v>
      </c>
      <c r="L41" s="20" t="n">
        <v>0.1694331</v>
      </c>
      <c r="M41" s="18" t="n">
        <v>0</v>
      </c>
      <c r="N41" s="20" t="n">
        <v>0</v>
      </c>
      <c r="O41" s="18" t="n">
        <v>0</v>
      </c>
      <c r="P41" s="20" t="n">
        <v>0</v>
      </c>
      <c r="Q41" s="18" t="n">
        <v>5.81493308</v>
      </c>
      <c r="R41" s="20" t="n">
        <v>1.0504358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(9279.0/B46*100)</f>
        <v/>
      </c>
      <c r="D46" s="19" t="n">
        <v>1789</v>
      </c>
      <c r="E46" s="18" t="n">
        <v>38.82193274</v>
      </c>
      <c r="F46" s="20" t="n">
        <v>1.57745212</v>
      </c>
      <c r="G46" s="18" t="n">
        <v>32.1617715</v>
      </c>
      <c r="H46" s="20" t="n">
        <v>1.83648537</v>
      </c>
      <c r="I46" s="18" t="s">
        <v>567</v>
      </c>
      <c r="J46" s="20" t="s">
        <v>567</v>
      </c>
      <c r="K46" s="18" t="n">
        <v>2.39033289</v>
      </c>
      <c r="L46" s="20" t="n">
        <v>0.53265767</v>
      </c>
      <c r="M46" s="18" t="n">
        <v>0.27431456</v>
      </c>
      <c r="N46" s="20" t="n">
        <v>0.1168529</v>
      </c>
      <c r="O46" s="18" t="n">
        <v>0</v>
      </c>
      <c r="P46" s="20" t="n">
        <v>0</v>
      </c>
      <c r="Q46" s="18" t="n">
        <v>26.35164831</v>
      </c>
      <c r="R46" s="20" t="n">
        <v>1.37533163</v>
      </c>
    </row>
    <row r="47" spans="1:18">
      <c r="A47" s="15" t="s">
        <v>607</v>
      </c>
      <c r="B47" s="17" t="n">
        <v>3105</v>
      </c>
      <c r="C47" s="18">
        <f>(2466.0/B47*100)</f>
        <v/>
      </c>
      <c r="D47" s="19" t="n">
        <v>639</v>
      </c>
      <c r="E47" s="18" t="n">
        <v>45.10353381</v>
      </c>
      <c r="F47" s="20" t="n">
        <v>2.14407133</v>
      </c>
      <c r="G47" s="18" t="n">
        <v>25.0309732</v>
      </c>
      <c r="H47" s="20" t="n">
        <v>1.80039289</v>
      </c>
      <c r="I47" s="18" t="s">
        <v>567</v>
      </c>
      <c r="J47" s="20" t="s">
        <v>567</v>
      </c>
      <c r="K47" s="18" t="n">
        <v>0.61805611</v>
      </c>
      <c r="L47" s="20" t="n">
        <v>0.39932083</v>
      </c>
      <c r="M47" s="18" t="n">
        <v>0.1524473</v>
      </c>
      <c r="N47" s="20" t="n">
        <v>0.14992274</v>
      </c>
      <c r="O47" s="18" t="n">
        <v>0</v>
      </c>
      <c r="P47" s="20" t="n">
        <v>0</v>
      </c>
      <c r="Q47" s="18" t="n">
        <v>29.09498959</v>
      </c>
      <c r="R47" s="20" t="n">
        <v>2.01090951</v>
      </c>
    </row>
    <row r="48" spans="1:18">
      <c r="A48" s="15" t="s">
        <v>608</v>
      </c>
      <c r="B48" s="17" t="n">
        <v>5159</v>
      </c>
      <c r="C48" s="18">
        <f>(4045.0/B48*100)</f>
        <v/>
      </c>
      <c r="D48" s="19" t="n">
        <v>1114</v>
      </c>
      <c r="E48" s="18" t="n">
        <v>16.47903134</v>
      </c>
      <c r="F48" s="20" t="n">
        <v>1.44808701</v>
      </c>
      <c r="G48" s="18" t="n">
        <v>75.03031543</v>
      </c>
      <c r="H48" s="20" t="n">
        <v>2.04003833</v>
      </c>
      <c r="I48" s="18" t="s">
        <v>567</v>
      </c>
      <c r="J48" s="20" t="s">
        <v>567</v>
      </c>
      <c r="K48" s="18" t="n">
        <v>0.62087108</v>
      </c>
      <c r="L48" s="20" t="n">
        <v>0.35369106</v>
      </c>
      <c r="M48" s="18" t="n">
        <v>0</v>
      </c>
      <c r="N48" s="20" t="n">
        <v>0</v>
      </c>
      <c r="O48" s="18" t="n">
        <v>0</v>
      </c>
      <c r="P48" s="20" t="n">
        <v>0</v>
      </c>
      <c r="Q48" s="18" t="n">
        <v>7.86978215</v>
      </c>
      <c r="R48" s="20" t="n">
        <v>1.12136592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(4476.0/B50*100)</f>
        <v/>
      </c>
      <c r="D50" s="19" t="n">
        <v>1161</v>
      </c>
      <c r="E50" s="18" t="n">
        <v>61.25743255</v>
      </c>
      <c r="F50" s="20" t="n">
        <v>2.04527189</v>
      </c>
      <c r="G50" s="18" t="n">
        <v>28.1628348</v>
      </c>
      <c r="H50" s="20" t="n">
        <v>1.9144039</v>
      </c>
      <c r="I50" s="18" t="s">
        <v>567</v>
      </c>
      <c r="J50" s="20" t="s">
        <v>567</v>
      </c>
      <c r="K50" s="18" t="n">
        <v>2.57005814</v>
      </c>
      <c r="L50" s="20" t="n">
        <v>0.91731414</v>
      </c>
      <c r="M50" s="18" t="n">
        <v>0.05294939</v>
      </c>
      <c r="N50" s="20" t="n">
        <v>0.05304366</v>
      </c>
      <c r="O50" s="18" t="n">
        <v>0</v>
      </c>
      <c r="P50" s="20" t="n">
        <v>0</v>
      </c>
      <c r="Q50" s="18" t="n">
        <v>7.95672512</v>
      </c>
      <c r="R50" s="20" t="n">
        <v>1.0195953</v>
      </c>
    </row>
    <row r="51" spans="1:18">
      <c r="A51" s="15" t="s">
        <v>611</v>
      </c>
      <c r="B51" s="17" t="n">
        <v>3372</v>
      </c>
      <c r="C51" s="18">
        <f>(2763.0/B51*100)</f>
        <v/>
      </c>
      <c r="D51" s="19" t="n">
        <v>609</v>
      </c>
      <c r="E51" s="18" t="n">
        <v>61.18018615</v>
      </c>
      <c r="F51" s="20" t="n">
        <v>2.08466052</v>
      </c>
      <c r="G51" s="18" t="n">
        <v>30.21524189</v>
      </c>
      <c r="H51" s="20" t="n">
        <v>1.92017064</v>
      </c>
      <c r="I51" s="18" t="s">
        <v>567</v>
      </c>
      <c r="J51" s="20" t="s">
        <v>567</v>
      </c>
      <c r="K51" s="18" t="n">
        <v>0.7615777</v>
      </c>
      <c r="L51" s="20" t="n">
        <v>0.34430633</v>
      </c>
      <c r="M51" s="18" t="n">
        <v>0.15745291</v>
      </c>
      <c r="N51" s="20" t="n">
        <v>0.15647925</v>
      </c>
      <c r="O51" s="18" t="n">
        <v>0</v>
      </c>
      <c r="P51" s="20" t="n">
        <v>0</v>
      </c>
      <c r="Q51" s="18" t="n">
        <v>7.68554134</v>
      </c>
      <c r="R51" s="20" t="n">
        <v>1.06240179</v>
      </c>
    </row>
    <row r="52" spans="1:18">
      <c r="A52" s="15" t="s">
        <v>612</v>
      </c>
      <c r="B52" s="17" t="n">
        <v>2796</v>
      </c>
      <c r="C52" s="18">
        <f>(2181.0/B52*100)</f>
        <v/>
      </c>
      <c r="D52" s="19" t="n">
        <v>615</v>
      </c>
      <c r="E52" s="18" t="n">
        <v>36.15059882</v>
      </c>
      <c r="F52" s="20" t="n">
        <v>1.94270991</v>
      </c>
      <c r="G52" s="18" t="n">
        <v>45.63483496</v>
      </c>
      <c r="H52" s="20" t="n">
        <v>2.28130641</v>
      </c>
      <c r="I52" s="18" t="s">
        <v>567</v>
      </c>
      <c r="J52" s="20" t="s">
        <v>567</v>
      </c>
      <c r="K52" s="18" t="n">
        <v>0</v>
      </c>
      <c r="L52" s="20" t="n">
        <v>0</v>
      </c>
      <c r="M52" s="18" t="n">
        <v>0</v>
      </c>
      <c r="N52" s="20" t="n">
        <v>0</v>
      </c>
      <c r="O52" s="18" t="n">
        <v>0</v>
      </c>
      <c r="P52" s="20" t="n">
        <v>0</v>
      </c>
      <c r="Q52" s="18" t="n">
        <v>18.21456622</v>
      </c>
      <c r="R52" s="20" t="n">
        <v>1.64525106</v>
      </c>
    </row>
    <row r="53" spans="1:18">
      <c r="A53" s="15" t="s">
        <v>613</v>
      </c>
      <c r="B53" s="17" t="n">
        <v>2811</v>
      </c>
      <c r="C53" s="18">
        <f>(2190.0/B53*100)</f>
        <v/>
      </c>
      <c r="D53" s="19" t="n">
        <v>621</v>
      </c>
      <c r="E53" s="18" t="n">
        <v>35.48903182</v>
      </c>
      <c r="F53" s="20" t="n">
        <v>2.03461993</v>
      </c>
      <c r="G53" s="18" t="n">
        <v>38.61669348</v>
      </c>
      <c r="H53" s="20" t="n">
        <v>1.96144496</v>
      </c>
      <c r="I53" s="18" t="s">
        <v>567</v>
      </c>
      <c r="J53" s="20" t="s">
        <v>567</v>
      </c>
      <c r="K53" s="18" t="n">
        <v>0.47621799</v>
      </c>
      <c r="L53" s="20" t="n">
        <v>0.23707548</v>
      </c>
      <c r="M53" s="18" t="n">
        <v>0</v>
      </c>
      <c r="N53" s="20" t="n">
        <v>0</v>
      </c>
      <c r="O53" s="18" t="n">
        <v>0</v>
      </c>
      <c r="P53" s="20" t="n">
        <v>0</v>
      </c>
      <c r="Q53" s="18" t="n">
        <v>25.41805671</v>
      </c>
      <c r="R53" s="20" t="n">
        <v>1.7662218</v>
      </c>
    </row>
    <row r="54" spans="1:18">
      <c r="A54" s="15" t="s">
        <v>614</v>
      </c>
      <c r="B54" s="17" t="n">
        <v>2266</v>
      </c>
      <c r="C54" s="18">
        <f>(1764.0/B54*100)</f>
        <v/>
      </c>
      <c r="D54" s="19" t="n">
        <v>502</v>
      </c>
      <c r="E54" s="18" t="n">
        <v>51.84222853</v>
      </c>
      <c r="F54" s="20" t="n">
        <v>2.81496416</v>
      </c>
      <c r="G54" s="18" t="n">
        <v>11.45410553</v>
      </c>
      <c r="H54" s="20" t="n">
        <v>1.64186239</v>
      </c>
      <c r="I54" s="18" t="s">
        <v>567</v>
      </c>
      <c r="J54" s="20" t="s">
        <v>567</v>
      </c>
      <c r="K54" s="18" t="n">
        <v>14.47759935</v>
      </c>
      <c r="L54" s="20" t="n">
        <v>1.6443345</v>
      </c>
      <c r="M54" s="18" t="n">
        <v>0.77838886</v>
      </c>
      <c r="N54" s="20" t="n">
        <v>0.64031207</v>
      </c>
      <c r="O54" s="18" t="n">
        <v>0</v>
      </c>
      <c r="P54" s="20" t="n">
        <v>0</v>
      </c>
      <c r="Q54" s="18" t="n">
        <v>21.44767773</v>
      </c>
      <c r="R54" s="20" t="n">
        <v>2.11691357</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(2079.0/B56*100)</f>
        <v/>
      </c>
      <c r="D56" s="19" t="n">
        <v>605</v>
      </c>
      <c r="E56" s="18" t="n">
        <v>13.89380922</v>
      </c>
      <c r="F56" s="20" t="n">
        <v>1.35844619</v>
      </c>
      <c r="G56" s="18" t="n">
        <v>80.08514524</v>
      </c>
      <c r="H56" s="20" t="n">
        <v>1.70879761</v>
      </c>
      <c r="I56" s="18" t="s">
        <v>567</v>
      </c>
      <c r="J56" s="20" t="s">
        <v>567</v>
      </c>
      <c r="K56" s="18" t="n">
        <v>0.32585643</v>
      </c>
      <c r="L56" s="20" t="n">
        <v>0.22944565</v>
      </c>
      <c r="M56" s="18" t="n">
        <v>0</v>
      </c>
      <c r="N56" s="20" t="n">
        <v>0</v>
      </c>
      <c r="O56" s="18" t="n">
        <v>0</v>
      </c>
      <c r="P56" s="20" t="n">
        <v>0</v>
      </c>
      <c r="Q56" s="18" t="n">
        <v>5.6951891</v>
      </c>
      <c r="R56" s="20" t="n">
        <v>0.98939313</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(2591.0/B61*100)</f>
        <v/>
      </c>
      <c r="D61" s="19" t="n">
        <v>733</v>
      </c>
      <c r="E61" s="18" t="n">
        <v>40.23214916</v>
      </c>
      <c r="F61" s="20" t="n">
        <v>2.13630952</v>
      </c>
      <c r="G61" s="18" t="n">
        <v>42.94512586</v>
      </c>
      <c r="H61" s="20" t="n">
        <v>2.27270075</v>
      </c>
      <c r="I61" s="18" t="s">
        <v>567</v>
      </c>
      <c r="J61" s="20" t="s">
        <v>567</v>
      </c>
      <c r="K61" s="18" t="n">
        <v>0.93165958</v>
      </c>
      <c r="L61" s="20" t="n">
        <v>0.392436</v>
      </c>
      <c r="M61" s="18" t="n">
        <v>0</v>
      </c>
      <c r="N61" s="20" t="n">
        <v>0</v>
      </c>
      <c r="O61" s="18" t="n">
        <v>0</v>
      </c>
      <c r="P61" s="20" t="n">
        <v>0</v>
      </c>
      <c r="Q61" s="18" t="n">
        <v>15.8910654</v>
      </c>
      <c r="R61" s="20" t="n">
        <v>1.50786579</v>
      </c>
    </row>
    <row r="62" spans="1:18">
      <c r="A62" s="15" t="s">
        <v>622</v>
      </c>
      <c r="B62" s="17" t="n">
        <v>2246</v>
      </c>
      <c r="C62" s="18">
        <f>(1751.0/B62*100)</f>
        <v/>
      </c>
      <c r="D62" s="19" t="n">
        <v>495</v>
      </c>
      <c r="E62" s="18" t="n">
        <v>21.65340786</v>
      </c>
      <c r="F62" s="20" t="n">
        <v>1.78289959</v>
      </c>
      <c r="G62" s="18" t="n">
        <v>74.48917976</v>
      </c>
      <c r="H62" s="20" t="n">
        <v>2.00444697</v>
      </c>
      <c r="I62" s="18" t="s">
        <v>567</v>
      </c>
      <c r="J62" s="20" t="s">
        <v>567</v>
      </c>
      <c r="K62" s="18" t="n">
        <v>0</v>
      </c>
      <c r="L62" s="20" t="n">
        <v>0</v>
      </c>
      <c r="M62" s="18" t="n">
        <v>0</v>
      </c>
      <c r="N62" s="20" t="n">
        <v>0</v>
      </c>
      <c r="O62" s="18" t="n">
        <v>0</v>
      </c>
      <c r="P62" s="20" t="n">
        <v>0</v>
      </c>
      <c r="Q62" s="18" t="n">
        <v>3.85741238</v>
      </c>
      <c r="R62" s="20" t="n">
        <v>0.87314407</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(2275.0/B66*100)</f>
        <v/>
      </c>
      <c r="D66" s="19" t="n">
        <v>619</v>
      </c>
      <c r="E66" s="18" t="n">
        <v>29.41391283</v>
      </c>
      <c r="F66" s="20" t="n">
        <v>1.90224307</v>
      </c>
      <c r="G66" s="18" t="n">
        <v>26.13416026</v>
      </c>
      <c r="H66" s="20" t="n">
        <v>1.94668061</v>
      </c>
      <c r="I66" s="18" t="s">
        <v>567</v>
      </c>
      <c r="J66" s="20" t="s">
        <v>567</v>
      </c>
      <c r="K66" s="18" t="n">
        <v>1.08932632</v>
      </c>
      <c r="L66" s="20" t="n">
        <v>0.31308826</v>
      </c>
      <c r="M66" s="18" t="n">
        <v>0.27756635</v>
      </c>
      <c r="N66" s="20" t="n">
        <v>0.19549466</v>
      </c>
      <c r="O66" s="18" t="n">
        <v>0</v>
      </c>
      <c r="P66" s="20" t="n">
        <v>0</v>
      </c>
      <c r="Q66" s="18" t="n">
        <v>43.08503424</v>
      </c>
      <c r="R66" s="20" t="n">
        <v>1.9898394</v>
      </c>
    </row>
    <row r="67" spans="1:18">
      <c r="A67" s="15" t="s">
        <v>627</v>
      </c>
      <c r="B67" s="17" t="n">
        <v>3511</v>
      </c>
      <c r="C67" s="18">
        <f>(2854.0/B67*100)</f>
        <v/>
      </c>
      <c r="D67" s="19" t="n">
        <v>657</v>
      </c>
      <c r="E67" s="18" t="n">
        <v>58.4715323</v>
      </c>
      <c r="F67" s="20" t="n">
        <v>2.10764663</v>
      </c>
      <c r="G67" s="18" t="n">
        <v>30.21212762</v>
      </c>
      <c r="H67" s="20" t="n">
        <v>2.11151265</v>
      </c>
      <c r="I67" s="18" t="s">
        <v>567</v>
      </c>
      <c r="J67" s="20" t="s">
        <v>567</v>
      </c>
      <c r="K67" s="18" t="n">
        <v>0.43514317</v>
      </c>
      <c r="L67" s="20" t="n">
        <v>0.25379952</v>
      </c>
      <c r="M67" s="18" t="n">
        <v>0</v>
      </c>
      <c r="N67" s="20" t="n">
        <v>0</v>
      </c>
      <c r="O67" s="18" t="n">
        <v>0</v>
      </c>
      <c r="P67" s="20" t="n">
        <v>0</v>
      </c>
      <c r="Q67" s="18" t="n">
        <v>10.88119691</v>
      </c>
      <c r="R67" s="20" t="n">
        <v>1.20723556</v>
      </c>
    </row>
    <row r="68" spans="1:18">
      <c r="A68" s="15" t="s">
        <v>628</v>
      </c>
      <c r="B68" s="17" t="n">
        <v>6049</v>
      </c>
      <c r="C68" s="18">
        <f>(4720.0/B68*100)</f>
        <v/>
      </c>
      <c r="D68" s="19" t="n">
        <v>1329</v>
      </c>
      <c r="E68" s="18" t="n">
        <v>37.71547384</v>
      </c>
      <c r="F68" s="20" t="n">
        <v>1.46419121</v>
      </c>
      <c r="G68" s="18" t="n">
        <v>38.23431763</v>
      </c>
      <c r="H68" s="20" t="n">
        <v>1.42378869</v>
      </c>
      <c r="I68" s="18" t="s">
        <v>567</v>
      </c>
      <c r="J68" s="20" t="s">
        <v>567</v>
      </c>
      <c r="K68" s="18" t="n">
        <v>3.16003833</v>
      </c>
      <c r="L68" s="20" t="n">
        <v>0.52430613</v>
      </c>
      <c r="M68" s="18" t="n">
        <v>0</v>
      </c>
      <c r="N68" s="20" t="n">
        <v>0</v>
      </c>
      <c r="O68" s="18" t="n">
        <v>0</v>
      </c>
      <c r="P68" s="20" t="n">
        <v>0</v>
      </c>
      <c r="Q68" s="18" t="n">
        <v>20.89017021</v>
      </c>
      <c r="R68" s="20" t="n">
        <v>1.00533344</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(2319.0/B70*100)</f>
        <v/>
      </c>
      <c r="D70" s="19" t="n">
        <v>610</v>
      </c>
      <c r="E70" s="18" t="n">
        <v>31.05364554</v>
      </c>
      <c r="F70" s="20" t="n">
        <v>1.7167351</v>
      </c>
      <c r="G70" s="18" t="n">
        <v>57.26164737</v>
      </c>
      <c r="H70" s="20" t="n">
        <v>2.28050972</v>
      </c>
      <c r="I70" s="18" t="s">
        <v>567</v>
      </c>
      <c r="J70" s="20" t="s">
        <v>567</v>
      </c>
      <c r="K70" s="18" t="n">
        <v>0.80292865</v>
      </c>
      <c r="L70" s="20" t="n">
        <v>0.42762645</v>
      </c>
      <c r="M70" s="18" t="n">
        <v>0</v>
      </c>
      <c r="N70" s="20" t="n">
        <v>0</v>
      </c>
      <c r="O70" s="18" t="n">
        <v>0</v>
      </c>
      <c r="P70" s="20" t="n">
        <v>0</v>
      </c>
      <c r="Q70" s="18" t="n">
        <v>10.88177844</v>
      </c>
      <c r="R70" s="20" t="n">
        <v>1.67446652</v>
      </c>
    </row>
    <row r="71" spans="1:18">
      <c r="A71" s="15" t="s">
        <v>631</v>
      </c>
      <c r="B71" s="17" t="n">
        <v>3142</v>
      </c>
      <c r="C71" s="18">
        <f>(2451.0/B71*100)</f>
        <v/>
      </c>
      <c r="D71" s="19" t="n">
        <v>691</v>
      </c>
      <c r="E71" s="18" t="n">
        <v>11.82240657</v>
      </c>
      <c r="F71" s="20" t="n">
        <v>1.33639819</v>
      </c>
      <c r="G71" s="18" t="n">
        <v>84.3831869</v>
      </c>
      <c r="H71" s="20" t="n">
        <v>1.50127247</v>
      </c>
      <c r="I71" s="18" t="s">
        <v>567</v>
      </c>
      <c r="J71" s="20" t="s">
        <v>567</v>
      </c>
      <c r="K71" s="18" t="n">
        <v>0</v>
      </c>
      <c r="L71" s="20" t="n">
        <v>0</v>
      </c>
      <c r="M71" s="18" t="n">
        <v>0</v>
      </c>
      <c r="N71" s="20" t="n">
        <v>0</v>
      </c>
      <c r="O71" s="18" t="n">
        <v>0</v>
      </c>
      <c r="P71" s="20" t="n">
        <v>0</v>
      </c>
      <c r="Q71" s="18" t="n">
        <v>3.79440653</v>
      </c>
      <c r="R71" s="20" t="n">
        <v>0.76005448</v>
      </c>
    </row>
    <row r="72" spans="1:18">
      <c r="A72" s="15" t="s">
        <v>632</v>
      </c>
      <c r="B72" s="17" t="n">
        <v>3889</v>
      </c>
      <c r="C72" s="18">
        <f>(2990.0/B72*100)</f>
        <v/>
      </c>
      <c r="D72" s="19" t="n">
        <v>899</v>
      </c>
      <c r="E72" s="18" t="n">
        <v>18.31740436</v>
      </c>
      <c r="F72" s="20" t="n">
        <v>1.49743374</v>
      </c>
      <c r="G72" s="18" t="n">
        <v>74.47148132</v>
      </c>
      <c r="H72" s="20" t="n">
        <v>1.85384884</v>
      </c>
      <c r="I72" s="18" t="s">
        <v>567</v>
      </c>
      <c r="J72" s="20" t="s">
        <v>567</v>
      </c>
      <c r="K72" s="18" t="n">
        <v>0.23764626</v>
      </c>
      <c r="L72" s="20" t="n">
        <v>0.17159141</v>
      </c>
      <c r="M72" s="18" t="n">
        <v>0</v>
      </c>
      <c r="N72" s="20" t="n">
        <v>0</v>
      </c>
      <c r="O72" s="18" t="n">
        <v>0</v>
      </c>
      <c r="P72" s="20" t="n">
        <v>0</v>
      </c>
      <c r="Q72" s="18" t="n">
        <v>6.97346806</v>
      </c>
      <c r="R72" s="20" t="n">
        <v>0.95376063</v>
      </c>
    </row>
    <row r="73" spans="1:18">
      <c r="A73" s="15" t="s">
        <v>633</v>
      </c>
      <c r="B73" s="17" t="n">
        <v>3597</v>
      </c>
      <c r="C73" s="18">
        <f>(2854.0/B73*100)</f>
        <v/>
      </c>
      <c r="D73" s="19" t="n">
        <v>743</v>
      </c>
      <c r="E73" s="18" t="n">
        <v>58.57139926</v>
      </c>
      <c r="F73" s="20" t="n">
        <v>2.04568866</v>
      </c>
      <c r="G73" s="18" t="n">
        <v>36.06408553</v>
      </c>
      <c r="H73" s="20" t="n">
        <v>2.11686162</v>
      </c>
      <c r="I73" s="18" t="s">
        <v>567</v>
      </c>
      <c r="J73" s="20" t="s">
        <v>567</v>
      </c>
      <c r="K73" s="18" t="n">
        <v>0</v>
      </c>
      <c r="L73" s="20" t="n">
        <v>0</v>
      </c>
      <c r="M73" s="18" t="n">
        <v>0.20382915</v>
      </c>
      <c r="N73" s="20" t="n">
        <v>0.2061027</v>
      </c>
      <c r="O73" s="18" t="n">
        <v>0</v>
      </c>
      <c r="P73" s="20" t="n">
        <v>0</v>
      </c>
      <c r="Q73" s="18" t="n">
        <v>5.16068605</v>
      </c>
      <c r="R73" s="20" t="n">
        <v>0.94398835</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(1955.0/B75*100)</f>
        <v/>
      </c>
      <c r="D75" s="19" t="n">
        <v>451</v>
      </c>
      <c r="E75" s="18" t="n">
        <v>40.76622527</v>
      </c>
      <c r="F75" s="20" t="n">
        <v>2.32254973</v>
      </c>
      <c r="G75" s="18" t="n">
        <v>24.5071904</v>
      </c>
      <c r="H75" s="20" t="n">
        <v>2.21572297</v>
      </c>
      <c r="I75" s="18" t="s">
        <v>567</v>
      </c>
      <c r="J75" s="20" t="s">
        <v>567</v>
      </c>
      <c r="K75" s="18" t="n">
        <v>4.36008398</v>
      </c>
      <c r="L75" s="20" t="n">
        <v>1.20978818</v>
      </c>
      <c r="M75" s="18" t="n">
        <v>0.52384095</v>
      </c>
      <c r="N75" s="20" t="n">
        <v>0.36478962</v>
      </c>
      <c r="O75" s="18" t="n">
        <v>0</v>
      </c>
      <c r="P75" s="20" t="n">
        <v>0</v>
      </c>
      <c r="Q75" s="18" t="n">
        <v>29.8426594</v>
      </c>
      <c r="R75" s="20" t="n">
        <v>2.58392377</v>
      </c>
    </row>
    <row r="76" spans="1:18">
      <c r="A76" s="15" t="s">
        <v>636</v>
      </c>
      <c r="B76" s="17" t="n">
        <v>7052</v>
      </c>
      <c r="C76" s="18">
        <f>(5545.0/B76*100)</f>
        <v/>
      </c>
      <c r="D76" s="19" t="n">
        <v>1507</v>
      </c>
      <c r="E76" s="18" t="n">
        <v>45.66679172</v>
      </c>
      <c r="F76" s="20" t="n">
        <v>1.2829748</v>
      </c>
      <c r="G76" s="18" t="n">
        <v>38.67300364</v>
      </c>
      <c r="H76" s="20" t="n">
        <v>1.35479424</v>
      </c>
      <c r="I76" s="18" t="s">
        <v>567</v>
      </c>
      <c r="J76" s="20" t="s">
        <v>567</v>
      </c>
      <c r="K76" s="18" t="n">
        <v>2.73300345</v>
      </c>
      <c r="L76" s="20" t="n">
        <v>0.56136291</v>
      </c>
      <c r="M76" s="18" t="n">
        <v>0</v>
      </c>
      <c r="N76" s="20" t="n">
        <v>0</v>
      </c>
      <c r="O76" s="18" t="n">
        <v>0</v>
      </c>
      <c r="P76" s="20" t="n">
        <v>0</v>
      </c>
      <c r="Q76" s="18" t="n">
        <v>12.92720118</v>
      </c>
      <c r="R76" s="20" t="n">
        <v>0.98927891</v>
      </c>
    </row>
    <row r="77" spans="1:18">
      <c r="A77" s="15" t="s">
        <v>637</v>
      </c>
      <c r="B77" s="17" t="n">
        <v>2908</v>
      </c>
      <c r="C77" s="18">
        <f>(2310.0/B77*100)</f>
        <v/>
      </c>
      <c r="D77" s="19" t="n">
        <v>598</v>
      </c>
      <c r="E77" s="18" t="n">
        <v>32.50330776</v>
      </c>
      <c r="F77" s="20" t="n">
        <v>2.04224966</v>
      </c>
      <c r="G77" s="18" t="n">
        <v>32.78713031</v>
      </c>
      <c r="H77" s="20" t="n">
        <v>1.9660412</v>
      </c>
      <c r="I77" s="18" t="s">
        <v>567</v>
      </c>
      <c r="J77" s="20" t="s">
        <v>567</v>
      </c>
      <c r="K77" s="18" t="n">
        <v>2.7227498</v>
      </c>
      <c r="L77" s="20" t="n">
        <v>0.70821559</v>
      </c>
      <c r="M77" s="18" t="n">
        <v>0.13562459</v>
      </c>
      <c r="N77" s="20" t="n">
        <v>0.15087264</v>
      </c>
      <c r="O77" s="18" t="n">
        <v>0</v>
      </c>
      <c r="P77" s="20" t="n">
        <v>0</v>
      </c>
      <c r="Q77" s="18" t="n">
        <v>31.85118755</v>
      </c>
      <c r="R77" s="20" t="n">
        <v>2.15617516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(3265.0/B81*100)</f>
        <v/>
      </c>
      <c r="D81" s="19" t="n">
        <v>898</v>
      </c>
      <c r="E81" s="18" t="n">
        <v>38.91573365</v>
      </c>
      <c r="F81" s="20" t="n">
        <v>2.2974902</v>
      </c>
      <c r="G81" s="18" t="n">
        <v>55.21009662</v>
      </c>
      <c r="H81" s="20" t="n">
        <v>2.41885428</v>
      </c>
      <c r="I81" s="18" t="s">
        <v>567</v>
      </c>
      <c r="J81" s="20" t="s">
        <v>567</v>
      </c>
      <c r="K81" s="18" t="n">
        <v>0.15381305</v>
      </c>
      <c r="L81" s="20" t="n">
        <v>0.15394779</v>
      </c>
      <c r="M81" s="18" t="n">
        <v>0.16883756</v>
      </c>
      <c r="N81" s="20" t="n">
        <v>0.16480057</v>
      </c>
      <c r="O81" s="18" t="n">
        <v>0</v>
      </c>
      <c r="P81" s="20" t="n">
        <v>0</v>
      </c>
      <c r="Q81" s="18" t="n">
        <v>5.55151912</v>
      </c>
      <c r="R81" s="20" t="n">
        <v>0.8900240699999999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(5746.0/B7*100)</f>
        <v/>
      </c>
      <c r="D7" s="19" t="n">
        <v>1621</v>
      </c>
      <c r="E7" s="18" t="n">
        <v>63.71821947</v>
      </c>
      <c r="F7" s="20" t="n">
        <v>1.50015323</v>
      </c>
      <c r="G7" s="18" t="n">
        <v>26.72435318</v>
      </c>
      <c r="H7" s="20" t="n">
        <v>1.27269224</v>
      </c>
      <c r="I7" s="18" t="s">
        <v>567</v>
      </c>
      <c r="J7" s="20" t="s">
        <v>567</v>
      </c>
      <c r="K7" s="18" t="n">
        <v>0.26948878</v>
      </c>
      <c r="L7" s="20" t="n">
        <v>0.13380987</v>
      </c>
      <c r="M7" s="18" t="n">
        <v>0.11277723</v>
      </c>
      <c r="N7" s="20" t="n">
        <v>0.09561806</v>
      </c>
      <c r="O7" s="18" t="n">
        <v>0</v>
      </c>
      <c r="P7" s="20" t="n">
        <v>0</v>
      </c>
      <c r="Q7" s="18" t="n">
        <v>9.17516133</v>
      </c>
      <c r="R7" s="20" t="n">
        <v>0.91058903</v>
      </c>
    </row>
    <row r="8" spans="1:18">
      <c r="A8" s="15" t="s">
        <v>568</v>
      </c>
      <c r="B8" s="17" t="n">
        <v>3564</v>
      </c>
      <c r="C8" s="18">
        <f>(2777.0/B8*100)</f>
        <v/>
      </c>
      <c r="D8" s="19" t="n">
        <v>787</v>
      </c>
      <c r="E8" s="18" t="n">
        <v>53.77233124</v>
      </c>
      <c r="F8" s="20" t="n">
        <v>2.57063353</v>
      </c>
      <c r="G8" s="18" t="n">
        <v>29.47109896</v>
      </c>
      <c r="H8" s="20" t="n">
        <v>2.113299</v>
      </c>
      <c r="I8" s="18" t="s">
        <v>567</v>
      </c>
      <c r="J8" s="20" t="s">
        <v>567</v>
      </c>
      <c r="K8" s="18" t="n">
        <v>0.35980031</v>
      </c>
      <c r="L8" s="20" t="n">
        <v>0.18900849</v>
      </c>
      <c r="M8" s="18" t="n">
        <v>0</v>
      </c>
      <c r="N8" s="20" t="n">
        <v>0</v>
      </c>
      <c r="O8" s="18" t="n">
        <v>0</v>
      </c>
      <c r="P8" s="20" t="n">
        <v>0</v>
      </c>
      <c r="Q8" s="18" t="n">
        <v>16.39676949</v>
      </c>
      <c r="R8" s="20" t="n">
        <v>1.6834267</v>
      </c>
    </row>
    <row r="9" spans="1:18">
      <c r="A9" s="15" t="s">
        <v>569</v>
      </c>
      <c r="B9" s="17" t="n">
        <v>4899</v>
      </c>
      <c r="C9" s="18">
        <f>(3884.0/B9*100)</f>
        <v/>
      </c>
      <c r="D9" s="19" t="n">
        <v>1015</v>
      </c>
      <c r="E9" s="18" t="n">
        <v>59.94701432</v>
      </c>
      <c r="F9" s="20" t="n">
        <v>1.43511158</v>
      </c>
      <c r="G9" s="18" t="n">
        <v>27.37847413</v>
      </c>
      <c r="H9" s="20" t="n">
        <v>1.42550805</v>
      </c>
      <c r="I9" s="18" t="s">
        <v>567</v>
      </c>
      <c r="J9" s="20" t="s">
        <v>567</v>
      </c>
      <c r="K9" s="18" t="n">
        <v>0.87791234</v>
      </c>
      <c r="L9" s="20" t="n">
        <v>0.30703723</v>
      </c>
      <c r="M9" s="18" t="n">
        <v>0.51956846</v>
      </c>
      <c r="N9" s="20" t="n">
        <v>0.2386703</v>
      </c>
      <c r="O9" s="18" t="n">
        <v>0</v>
      </c>
      <c r="P9" s="20" t="n">
        <v>0</v>
      </c>
      <c r="Q9" s="18" t="n">
        <v>11.27703075</v>
      </c>
      <c r="R9" s="20" t="n">
        <v>0.9746302</v>
      </c>
    </row>
    <row r="10" spans="1:18">
      <c r="A10" s="15" t="s">
        <v>570</v>
      </c>
      <c r="B10" s="17" t="n">
        <v>10036</v>
      </c>
      <c r="C10" s="18">
        <f>(7803.0/B10*100)</f>
        <v/>
      </c>
      <c r="D10" s="19" t="n">
        <v>2233</v>
      </c>
      <c r="E10" s="18" t="n">
        <v>59.77729685</v>
      </c>
      <c r="F10" s="20" t="n">
        <v>1.64842521</v>
      </c>
      <c r="G10" s="18" t="n">
        <v>34.44813685</v>
      </c>
      <c r="H10" s="20" t="n">
        <v>1.41749462</v>
      </c>
      <c r="I10" s="18" t="s">
        <v>567</v>
      </c>
      <c r="J10" s="20" t="s">
        <v>567</v>
      </c>
      <c r="K10" s="18" t="n">
        <v>0.77241696</v>
      </c>
      <c r="L10" s="20" t="n">
        <v>0.28899973</v>
      </c>
      <c r="M10" s="18" t="n">
        <v>0</v>
      </c>
      <c r="N10" s="20" t="n">
        <v>0</v>
      </c>
      <c r="O10" s="18" t="n">
        <v>0</v>
      </c>
      <c r="P10" s="20" t="n">
        <v>0</v>
      </c>
      <c r="Q10" s="18" t="n">
        <v>5.00214934</v>
      </c>
      <c r="R10" s="20" t="n">
        <v>0.6771444599999999</v>
      </c>
    </row>
    <row r="11" spans="1:18">
      <c r="A11" s="15" t="s">
        <v>571</v>
      </c>
      <c r="B11" s="17" t="n">
        <v>3553</v>
      </c>
      <c r="C11" s="18">
        <f>(2819.0/B11*100)</f>
        <v/>
      </c>
      <c r="D11" s="19" t="n">
        <v>734</v>
      </c>
      <c r="E11" s="18" t="n">
        <v>72.69953461</v>
      </c>
      <c r="F11" s="20" t="n">
        <v>2.08271407</v>
      </c>
      <c r="G11" s="18" t="n">
        <v>7.9391125</v>
      </c>
      <c r="H11" s="20" t="n">
        <v>1.08973632</v>
      </c>
      <c r="I11" s="18" t="s">
        <v>567</v>
      </c>
      <c r="J11" s="20" t="s">
        <v>567</v>
      </c>
      <c r="K11" s="18" t="n">
        <v>3.09111941</v>
      </c>
      <c r="L11" s="20" t="n">
        <v>1.00028467</v>
      </c>
      <c r="M11" s="18" t="n">
        <v>0</v>
      </c>
      <c r="N11" s="20" t="n">
        <v>0</v>
      </c>
      <c r="O11" s="18" t="n">
        <v>0</v>
      </c>
      <c r="P11" s="20" t="n">
        <v>0</v>
      </c>
      <c r="Q11" s="18" t="n">
        <v>16.27023348</v>
      </c>
      <c r="R11" s="20" t="n">
        <v>1.61197912</v>
      </c>
    </row>
    <row r="12" spans="1:18">
      <c r="A12" s="15" t="s">
        <v>572</v>
      </c>
      <c r="B12" s="17" t="n">
        <v>3472</v>
      </c>
      <c r="C12" s="18">
        <f>(2717.0/B12*100)</f>
        <v/>
      </c>
      <c r="D12" s="19" t="n">
        <v>755</v>
      </c>
      <c r="E12" s="18" t="n">
        <v>58.27837368</v>
      </c>
      <c r="F12" s="20" t="n">
        <v>2.32075868</v>
      </c>
      <c r="G12" s="18" t="n">
        <v>21.14002994</v>
      </c>
      <c r="H12" s="20" t="n">
        <v>1.82668288</v>
      </c>
      <c r="I12" s="18" t="s">
        <v>567</v>
      </c>
      <c r="J12" s="20" t="s">
        <v>567</v>
      </c>
      <c r="K12" s="18" t="n">
        <v>0.30095653</v>
      </c>
      <c r="L12" s="20" t="n">
        <v>0.18050054</v>
      </c>
      <c r="M12" s="18" t="n">
        <v>0.07788412</v>
      </c>
      <c r="N12" s="20" t="n">
        <v>0.10423009</v>
      </c>
      <c r="O12" s="18" t="n">
        <v>0</v>
      </c>
      <c r="P12" s="20" t="n">
        <v>0</v>
      </c>
      <c r="Q12" s="18" t="n">
        <v>20.20275572</v>
      </c>
      <c r="R12" s="20" t="n">
        <v>1.79440729</v>
      </c>
    </row>
    <row r="13" spans="1:18">
      <c r="A13" s="15" t="s">
        <v>573</v>
      </c>
      <c r="B13" s="17" t="n">
        <v>3559</v>
      </c>
      <c r="C13" s="18">
        <f>(2791.0/B13*100)</f>
        <v/>
      </c>
      <c r="D13" s="19" t="n">
        <v>768</v>
      </c>
      <c r="E13" s="18" t="n">
        <v>42.09128711</v>
      </c>
      <c r="F13" s="20" t="n">
        <v>2.23960176</v>
      </c>
      <c r="G13" s="18" t="n">
        <v>47.99918129</v>
      </c>
      <c r="H13" s="20" t="n">
        <v>2.22690367</v>
      </c>
      <c r="I13" s="18" t="s">
        <v>567</v>
      </c>
      <c r="J13" s="20" t="s">
        <v>567</v>
      </c>
      <c r="K13" s="18" t="n">
        <v>0.16167528</v>
      </c>
      <c r="L13" s="20" t="n">
        <v>0.10378035</v>
      </c>
      <c r="M13" s="18" t="n">
        <v>0.03645316</v>
      </c>
      <c r="N13" s="20" t="n">
        <v>0.03931877</v>
      </c>
      <c r="O13" s="18" t="n">
        <v>0</v>
      </c>
      <c r="P13" s="20" t="n">
        <v>0</v>
      </c>
      <c r="Q13" s="18" t="n">
        <v>9.71140316</v>
      </c>
      <c r="R13" s="20" t="n">
        <v>1.3559607</v>
      </c>
    </row>
    <row r="14" spans="1:18">
      <c r="A14" s="15" t="s">
        <v>574</v>
      </c>
      <c r="B14" s="17" t="n">
        <v>2799</v>
      </c>
      <c r="C14" s="18">
        <f>(2218.0/B14*100)</f>
        <v/>
      </c>
      <c r="D14" s="19" t="n">
        <v>581</v>
      </c>
      <c r="E14" s="18" t="n">
        <v>69.41494591</v>
      </c>
      <c r="F14" s="20" t="n">
        <v>2.25887178</v>
      </c>
      <c r="G14" s="18" t="n">
        <v>20.36600255</v>
      </c>
      <c r="H14" s="20" t="n">
        <v>2.05511828</v>
      </c>
      <c r="I14" s="18" t="s">
        <v>567</v>
      </c>
      <c r="J14" s="20" t="s">
        <v>567</v>
      </c>
      <c r="K14" s="18" t="n">
        <v>0.42871305</v>
      </c>
      <c r="L14" s="20" t="n">
        <v>0.25039355</v>
      </c>
      <c r="M14" s="18" t="n">
        <v>0</v>
      </c>
      <c r="N14" s="20" t="n">
        <v>0</v>
      </c>
      <c r="O14" s="18" t="n">
        <v>0</v>
      </c>
      <c r="P14" s="20" t="n">
        <v>0</v>
      </c>
      <c r="Q14" s="18" t="n">
        <v>9.790338480000001</v>
      </c>
      <c r="R14" s="20" t="n">
        <v>1.63596797</v>
      </c>
    </row>
    <row r="15" spans="1:18">
      <c r="A15" s="15" t="s">
        <v>575</v>
      </c>
      <c r="B15" s="17" t="n">
        <v>3019</v>
      </c>
      <c r="C15" s="18">
        <f>(2379.0/B15*100)</f>
        <v/>
      </c>
      <c r="D15" s="19" t="n">
        <v>640</v>
      </c>
      <c r="E15" s="18" t="n">
        <v>47.23859732</v>
      </c>
      <c r="F15" s="20" t="n">
        <v>1.75806589</v>
      </c>
      <c r="G15" s="18" t="n">
        <v>41.24776199</v>
      </c>
      <c r="H15" s="20" t="n">
        <v>2.09849739</v>
      </c>
      <c r="I15" s="18" t="s">
        <v>567</v>
      </c>
      <c r="J15" s="20" t="s">
        <v>567</v>
      </c>
      <c r="K15" s="18" t="n">
        <v>0.36145307</v>
      </c>
      <c r="L15" s="20" t="n">
        <v>0.27245983</v>
      </c>
      <c r="M15" s="18" t="n">
        <v>0</v>
      </c>
      <c r="N15" s="20" t="n">
        <v>0</v>
      </c>
      <c r="O15" s="18" t="n">
        <v>0</v>
      </c>
      <c r="P15" s="20" t="n">
        <v>0</v>
      </c>
      <c r="Q15" s="18" t="n">
        <v>11.15218762</v>
      </c>
      <c r="R15" s="20" t="n">
        <v>1.44975567</v>
      </c>
    </row>
    <row r="16" spans="1:18">
      <c r="A16" s="15" t="s">
        <v>576</v>
      </c>
      <c r="B16" s="17" t="n">
        <v>2997</v>
      </c>
      <c r="C16" s="18">
        <f>(2365.0/B16*100)</f>
        <v/>
      </c>
      <c r="D16" s="19" t="n">
        <v>632</v>
      </c>
      <c r="E16" s="18" t="n">
        <v>55.2340076</v>
      </c>
      <c r="F16" s="20" t="n">
        <v>2.17040736</v>
      </c>
      <c r="G16" s="18" t="n">
        <v>23.08149769</v>
      </c>
      <c r="H16" s="20" t="n">
        <v>1.79587877</v>
      </c>
      <c r="I16" s="18" t="s">
        <v>567</v>
      </c>
      <c r="J16" s="20" t="s">
        <v>567</v>
      </c>
      <c r="K16" s="18" t="n">
        <v>1.31475219</v>
      </c>
      <c r="L16" s="20" t="n">
        <v>0.45353346</v>
      </c>
      <c r="M16" s="18" t="n">
        <v>0.13159305</v>
      </c>
      <c r="N16" s="20" t="n">
        <v>0.13105231</v>
      </c>
      <c r="O16" s="18" t="n">
        <v>0</v>
      </c>
      <c r="P16" s="20" t="n">
        <v>0</v>
      </c>
      <c r="Q16" s="18" t="n">
        <v>20.23814947</v>
      </c>
      <c r="R16" s="20" t="n">
        <v>1.69052512</v>
      </c>
    </row>
    <row r="17" spans="1:18">
      <c r="A17" s="15" t="s">
        <v>577</v>
      </c>
      <c r="B17" s="17" t="n">
        <v>3307</v>
      </c>
      <c r="C17" s="18">
        <f>(2597.0/B17*100)</f>
        <v/>
      </c>
      <c r="D17" s="19" t="n">
        <v>710</v>
      </c>
      <c r="E17" s="18" t="n">
        <v>60.9553046</v>
      </c>
      <c r="F17" s="20" t="n">
        <v>2.07499217</v>
      </c>
      <c r="G17" s="18" t="n">
        <v>25.55115052</v>
      </c>
      <c r="H17" s="20" t="n">
        <v>1.69737253</v>
      </c>
      <c r="I17" s="18" t="s">
        <v>567</v>
      </c>
      <c r="J17" s="20" t="s">
        <v>567</v>
      </c>
      <c r="K17" s="18" t="n">
        <v>0.43496257</v>
      </c>
      <c r="L17" s="20" t="n">
        <v>0.21115191</v>
      </c>
      <c r="M17" s="18" t="n">
        <v>0</v>
      </c>
      <c r="N17" s="20" t="n">
        <v>0</v>
      </c>
      <c r="O17" s="18" t="n">
        <v>0</v>
      </c>
      <c r="P17" s="20" t="n">
        <v>0</v>
      </c>
      <c r="Q17" s="18" t="n">
        <v>13.0585823</v>
      </c>
      <c r="R17" s="20" t="n">
        <v>1.45398144</v>
      </c>
    </row>
    <row r="18" spans="1:18">
      <c r="A18" s="15" t="s">
        <v>578</v>
      </c>
      <c r="B18" s="17" t="n">
        <v>2826</v>
      </c>
      <c r="C18" s="18">
        <f>(2233.0/B18*100)</f>
        <v/>
      </c>
      <c r="D18" s="19" t="n">
        <v>593</v>
      </c>
      <c r="E18" s="18" t="n">
        <v>66.57475696</v>
      </c>
      <c r="F18" s="20" t="n">
        <v>1.70402569</v>
      </c>
      <c r="G18" s="18" t="n">
        <v>13.09141923</v>
      </c>
      <c r="H18" s="20" t="n">
        <v>1.29198308</v>
      </c>
      <c r="I18" s="18" t="s">
        <v>567</v>
      </c>
      <c r="J18" s="20" t="s">
        <v>567</v>
      </c>
      <c r="K18" s="18" t="n">
        <v>0.96742225</v>
      </c>
      <c r="L18" s="20" t="n">
        <v>0.43246791</v>
      </c>
      <c r="M18" s="18" t="n">
        <v>0</v>
      </c>
      <c r="N18" s="20" t="n">
        <v>0</v>
      </c>
      <c r="O18" s="18" t="n">
        <v>0</v>
      </c>
      <c r="P18" s="20" t="n">
        <v>0</v>
      </c>
      <c r="Q18" s="18" t="n">
        <v>19.36640155</v>
      </c>
      <c r="R18" s="20" t="n">
        <v>1.52253942</v>
      </c>
    </row>
    <row r="19" spans="1:18">
      <c r="A19" s="15" t="s">
        <v>579</v>
      </c>
      <c r="B19" s="17" t="n">
        <v>2808</v>
      </c>
      <c r="C19" s="18">
        <f>(2148.0/B19*100)</f>
        <v/>
      </c>
      <c r="D19" s="19" t="n">
        <v>660</v>
      </c>
      <c r="E19" s="18" t="n">
        <v>68.14314675999999</v>
      </c>
      <c r="F19" s="20" t="n">
        <v>2.04769991</v>
      </c>
      <c r="G19" s="18" t="n">
        <v>15.50893121</v>
      </c>
      <c r="H19" s="20" t="n">
        <v>1.79604136</v>
      </c>
      <c r="I19" s="18" t="s">
        <v>567</v>
      </c>
      <c r="J19" s="20" t="s">
        <v>567</v>
      </c>
      <c r="K19" s="18" t="n">
        <v>0.23227097</v>
      </c>
      <c r="L19" s="20" t="n">
        <v>0.16337161</v>
      </c>
      <c r="M19" s="18" t="n">
        <v>0.12950533</v>
      </c>
      <c r="N19" s="20" t="n">
        <v>0.12870603</v>
      </c>
      <c r="O19" s="18" t="n">
        <v>0</v>
      </c>
      <c r="P19" s="20" t="n">
        <v>0</v>
      </c>
      <c r="Q19" s="18" t="n">
        <v>15.98614573</v>
      </c>
      <c r="R19" s="20" t="n">
        <v>1.93899966</v>
      </c>
    </row>
    <row r="20" spans="1:18">
      <c r="A20" s="15" t="s">
        <v>580</v>
      </c>
      <c r="B20" s="17" t="n">
        <v>1630</v>
      </c>
      <c r="C20" s="18">
        <f>(1254.0/B20*100)</f>
        <v/>
      </c>
      <c r="D20" s="19" t="n">
        <v>376</v>
      </c>
      <c r="E20" s="18" t="n">
        <v>62.46316296</v>
      </c>
      <c r="F20" s="20" t="n">
        <v>2.41110991</v>
      </c>
      <c r="G20" s="18" t="n">
        <v>20.35133644</v>
      </c>
      <c r="H20" s="20" t="n">
        <v>2.21371625</v>
      </c>
      <c r="I20" s="18" t="s">
        <v>567</v>
      </c>
      <c r="J20" s="20" t="s">
        <v>567</v>
      </c>
      <c r="K20" s="18" t="n">
        <v>1.16567195</v>
      </c>
      <c r="L20" s="20" t="n">
        <v>0.5925005</v>
      </c>
      <c r="M20" s="18" t="n">
        <v>0</v>
      </c>
      <c r="N20" s="20" t="n">
        <v>0</v>
      </c>
      <c r="O20" s="18" t="n">
        <v>0</v>
      </c>
      <c r="P20" s="20" t="n">
        <v>0</v>
      </c>
      <c r="Q20" s="18" t="n">
        <v>16.01982865</v>
      </c>
      <c r="R20" s="20" t="n">
        <v>1.85635786</v>
      </c>
    </row>
    <row r="21" spans="1:18">
      <c r="A21" s="15" t="s">
        <v>581</v>
      </c>
      <c r="B21" s="17" t="n">
        <v>2908</v>
      </c>
      <c r="C21" s="18">
        <f>(2277.0/B21*100)</f>
        <v/>
      </c>
      <c r="D21" s="19" t="n">
        <v>631</v>
      </c>
      <c r="E21" s="18" t="n">
        <v>47.11527454</v>
      </c>
      <c r="F21" s="20" t="n">
        <v>2.01960759</v>
      </c>
      <c r="G21" s="18" t="n">
        <v>45.31101093</v>
      </c>
      <c r="H21" s="20" t="n">
        <v>2.01141053</v>
      </c>
      <c r="I21" s="18" t="s">
        <v>567</v>
      </c>
      <c r="J21" s="20" t="s">
        <v>567</v>
      </c>
      <c r="K21" s="18" t="n">
        <v>0.39634073</v>
      </c>
      <c r="L21" s="20" t="n">
        <v>0.25094051</v>
      </c>
      <c r="M21" s="18" t="n">
        <v>0</v>
      </c>
      <c r="N21" s="20" t="n">
        <v>0</v>
      </c>
      <c r="O21" s="18" t="n">
        <v>0</v>
      </c>
      <c r="P21" s="20" t="n">
        <v>0</v>
      </c>
      <c r="Q21" s="18" t="n">
        <v>7.1773738</v>
      </c>
      <c r="R21" s="20" t="n">
        <v>1.05970111</v>
      </c>
    </row>
    <row r="22" spans="1:18">
      <c r="A22" s="15" t="s">
        <v>582</v>
      </c>
      <c r="B22" s="17" t="n">
        <v>2931</v>
      </c>
      <c r="C22" s="18">
        <f>(2304.0/B22*100)</f>
        <v/>
      </c>
      <c r="D22" s="19" t="n">
        <v>627</v>
      </c>
      <c r="E22" s="18" t="n">
        <v>67.64456471</v>
      </c>
      <c r="F22" s="20" t="n">
        <v>2.17556153</v>
      </c>
      <c r="G22" s="18" t="n">
        <v>8.501593959999999</v>
      </c>
      <c r="H22" s="20" t="n">
        <v>1.3247488</v>
      </c>
      <c r="I22" s="18" t="s">
        <v>567</v>
      </c>
      <c r="J22" s="20" t="s">
        <v>567</v>
      </c>
      <c r="K22" s="18" t="n">
        <v>1.73929828</v>
      </c>
      <c r="L22" s="20" t="n">
        <v>0.56927342</v>
      </c>
      <c r="M22" s="18" t="n">
        <v>0</v>
      </c>
      <c r="N22" s="20" t="n">
        <v>0</v>
      </c>
      <c r="O22" s="18" t="n">
        <v>0</v>
      </c>
      <c r="P22" s="20" t="n">
        <v>0</v>
      </c>
      <c r="Q22" s="18" t="n">
        <v>22.11454305</v>
      </c>
      <c r="R22" s="20" t="n">
        <v>2.13562682</v>
      </c>
    </row>
    <row r="23" spans="1:18">
      <c r="A23" s="15" t="s">
        <v>583</v>
      </c>
      <c r="B23" s="17" t="n">
        <v>5791</v>
      </c>
      <c r="C23" s="18">
        <f>(4482.0/B23*100)</f>
        <v/>
      </c>
      <c r="D23" s="19" t="n">
        <v>1309</v>
      </c>
      <c r="E23" s="18" t="n">
        <v>63.38321274</v>
      </c>
      <c r="F23" s="20" t="n">
        <v>2.09813583</v>
      </c>
      <c r="G23" s="18" t="n">
        <v>17.27160095</v>
      </c>
      <c r="H23" s="20" t="n">
        <v>1.66956177</v>
      </c>
      <c r="I23" s="18" t="s">
        <v>567</v>
      </c>
      <c r="J23" s="20" t="s">
        <v>567</v>
      </c>
      <c r="K23" s="18" t="n">
        <v>0.40552276</v>
      </c>
      <c r="L23" s="20" t="n">
        <v>0.21004473</v>
      </c>
      <c r="M23" s="18" t="n">
        <v>0.09625573</v>
      </c>
      <c r="N23" s="20" t="n">
        <v>0.1024198</v>
      </c>
      <c r="O23" s="18" t="n">
        <v>0</v>
      </c>
      <c r="P23" s="20" t="n">
        <v>0</v>
      </c>
      <c r="Q23" s="18" t="n">
        <v>18.84340782</v>
      </c>
      <c r="R23" s="20" t="n">
        <v>1.72169616</v>
      </c>
    </row>
    <row r="24" spans="1:18">
      <c r="A24" s="15" t="s">
        <v>584</v>
      </c>
      <c r="B24" s="17" t="n">
        <v>3338</v>
      </c>
      <c r="C24" s="18">
        <f>(2623.0/B24*100)</f>
        <v/>
      </c>
      <c r="D24" s="19" t="n">
        <v>715</v>
      </c>
      <c r="E24" s="18" t="n">
        <v>40.15211277</v>
      </c>
      <c r="F24" s="20" t="n">
        <v>2.00266294</v>
      </c>
      <c r="G24" s="18" t="n">
        <v>50.1293958</v>
      </c>
      <c r="H24" s="20" t="n">
        <v>2.21012092</v>
      </c>
      <c r="I24" s="18" t="s">
        <v>567</v>
      </c>
      <c r="J24" s="20" t="s">
        <v>567</v>
      </c>
      <c r="K24" s="18" t="n">
        <v>0.41176129</v>
      </c>
      <c r="L24" s="20" t="n">
        <v>0.30207166</v>
      </c>
      <c r="M24" s="18" t="n">
        <v>0</v>
      </c>
      <c r="N24" s="20" t="n">
        <v>0</v>
      </c>
      <c r="O24" s="18" t="n">
        <v>0</v>
      </c>
      <c r="P24" s="20" t="n">
        <v>0</v>
      </c>
      <c r="Q24" s="18" t="n">
        <v>9.30673015</v>
      </c>
      <c r="R24" s="20" t="n">
        <v>1.21847958</v>
      </c>
    </row>
    <row r="25" spans="1:18">
      <c r="A25" s="15" t="s">
        <v>585</v>
      </c>
      <c r="B25" s="17" t="n">
        <v>2912</v>
      </c>
      <c r="C25" s="18">
        <f>(2243.0/B25*100)</f>
        <v/>
      </c>
      <c r="D25" s="19" t="n">
        <v>669</v>
      </c>
      <c r="E25" s="18" t="n">
        <v>50.79112633</v>
      </c>
      <c r="F25" s="20" t="n">
        <v>2.18594476</v>
      </c>
      <c r="G25" s="18" t="n">
        <v>40.94695956</v>
      </c>
      <c r="H25" s="20" t="n">
        <v>2.12610053</v>
      </c>
      <c r="I25" s="18" t="s">
        <v>567</v>
      </c>
      <c r="J25" s="20" t="s">
        <v>567</v>
      </c>
      <c r="K25" s="18" t="n">
        <v>0.58088169</v>
      </c>
      <c r="L25" s="20" t="n">
        <v>0.28781084</v>
      </c>
      <c r="M25" s="18" t="n">
        <v>0</v>
      </c>
      <c r="N25" s="20" t="n">
        <v>0</v>
      </c>
      <c r="O25" s="18" t="n">
        <v>0</v>
      </c>
      <c r="P25" s="20" t="n">
        <v>0</v>
      </c>
      <c r="Q25" s="18" t="n">
        <v>7.68103242</v>
      </c>
      <c r="R25" s="20" t="n">
        <v>1.02904055</v>
      </c>
    </row>
    <row r="26" spans="1:18">
      <c r="A26" s="15" t="s">
        <v>586</v>
      </c>
      <c r="B26" s="17" t="n">
        <v>2450</v>
      </c>
      <c r="C26" s="18">
        <f>(1913.0/B26*100)</f>
        <v/>
      </c>
      <c r="D26" s="19" t="n">
        <v>537</v>
      </c>
      <c r="E26" s="18" t="n">
        <v>71.33615561000001</v>
      </c>
      <c r="F26" s="20" t="n">
        <v>1.93757238</v>
      </c>
      <c r="G26" s="18" t="n">
        <v>17.34091513</v>
      </c>
      <c r="H26" s="20" t="n">
        <v>1.43265337</v>
      </c>
      <c r="I26" s="18" t="s">
        <v>567</v>
      </c>
      <c r="J26" s="20" t="s">
        <v>567</v>
      </c>
      <c r="K26" s="18" t="n">
        <v>0</v>
      </c>
      <c r="L26" s="20" t="n">
        <v>0</v>
      </c>
      <c r="M26" s="18" t="n">
        <v>0.14830545</v>
      </c>
      <c r="N26" s="20" t="n">
        <v>0.14868246</v>
      </c>
      <c r="O26" s="18" t="n">
        <v>0</v>
      </c>
      <c r="P26" s="20" t="n">
        <v>0</v>
      </c>
      <c r="Q26" s="18" t="n">
        <v>11.1746238</v>
      </c>
      <c r="R26" s="20" t="n">
        <v>1.42995793</v>
      </c>
    </row>
    <row r="27" spans="1:18">
      <c r="A27" s="15" t="s">
        <v>587</v>
      </c>
      <c r="B27" s="17" t="n">
        <v>2616</v>
      </c>
      <c r="C27" s="18">
        <f>(2050.0/B27*100)</f>
        <v/>
      </c>
      <c r="D27" s="19" t="n">
        <v>566</v>
      </c>
      <c r="E27" s="18" t="n">
        <v>58.57609507</v>
      </c>
      <c r="F27" s="20" t="n">
        <v>2.15477301</v>
      </c>
      <c r="G27" s="18" t="n">
        <v>24.60258717</v>
      </c>
      <c r="H27" s="20" t="n">
        <v>1.68683301</v>
      </c>
      <c r="I27" s="18" t="s">
        <v>567</v>
      </c>
      <c r="J27" s="20" t="s">
        <v>567</v>
      </c>
      <c r="K27" s="18" t="n">
        <v>0.51655665</v>
      </c>
      <c r="L27" s="20" t="n">
        <v>0.29984115</v>
      </c>
      <c r="M27" s="18" t="n">
        <v>0</v>
      </c>
      <c r="N27" s="20" t="n">
        <v>0</v>
      </c>
      <c r="O27" s="18" t="n">
        <v>0</v>
      </c>
      <c r="P27" s="20" t="n">
        <v>0</v>
      </c>
      <c r="Q27" s="18" t="n">
        <v>16.30476111</v>
      </c>
      <c r="R27" s="20" t="n">
        <v>1.45927108</v>
      </c>
    </row>
    <row r="28" spans="1:18">
      <c r="A28" s="15" t="s">
        <v>588</v>
      </c>
      <c r="B28" s="17" t="n">
        <v>3765</v>
      </c>
      <c r="C28" s="18">
        <f>(3000.0/B28*100)</f>
        <v/>
      </c>
      <c r="D28" s="19" t="n">
        <v>765</v>
      </c>
      <c r="E28" s="18" t="n">
        <v>83.04776498</v>
      </c>
      <c r="F28" s="20" t="n">
        <v>1.56907364</v>
      </c>
      <c r="G28" s="18" t="n">
        <v>10.67417107</v>
      </c>
      <c r="H28" s="20" t="n">
        <v>1.15609095</v>
      </c>
      <c r="I28" s="18" t="s">
        <v>567</v>
      </c>
      <c r="J28" s="20" t="s">
        <v>567</v>
      </c>
      <c r="K28" s="18" t="n">
        <v>1.33451643</v>
      </c>
      <c r="L28" s="20" t="n">
        <v>0.47469534</v>
      </c>
      <c r="M28" s="18" t="n">
        <v>0.33084482</v>
      </c>
      <c r="N28" s="20" t="n">
        <v>0.24765675</v>
      </c>
      <c r="O28" s="18" t="n">
        <v>0</v>
      </c>
      <c r="P28" s="20" t="n">
        <v>0</v>
      </c>
      <c r="Q28" s="18" t="n">
        <v>4.6127027</v>
      </c>
      <c r="R28" s="20" t="n">
        <v>1.01239653</v>
      </c>
    </row>
    <row r="29" spans="1:18">
      <c r="A29" s="15" t="s">
        <v>589</v>
      </c>
      <c r="B29" s="17" t="n">
        <v>2685</v>
      </c>
      <c r="C29" s="18">
        <f>(2106.0/B29*100)</f>
        <v/>
      </c>
      <c r="D29" s="19" t="n">
        <v>579</v>
      </c>
      <c r="E29" s="18" t="n">
        <v>52.773845</v>
      </c>
      <c r="F29" s="20" t="n">
        <v>1.941579</v>
      </c>
      <c r="G29" s="18" t="n">
        <v>41.57259817</v>
      </c>
      <c r="H29" s="20" t="n">
        <v>1.79108426</v>
      </c>
      <c r="I29" s="18" t="s">
        <v>567</v>
      </c>
      <c r="J29" s="20" t="s">
        <v>567</v>
      </c>
      <c r="K29" s="18" t="n">
        <v>0.63425145</v>
      </c>
      <c r="L29" s="20" t="n">
        <v>0.31559316</v>
      </c>
      <c r="M29" s="18" t="n">
        <v>0</v>
      </c>
      <c r="N29" s="20" t="n">
        <v>0</v>
      </c>
      <c r="O29" s="18" t="n">
        <v>0</v>
      </c>
      <c r="P29" s="20" t="n">
        <v>0</v>
      </c>
      <c r="Q29" s="18" t="n">
        <v>5.01930538</v>
      </c>
      <c r="R29" s="20" t="n">
        <v>1.1088226</v>
      </c>
    </row>
    <row r="30" spans="1:18">
      <c r="A30" s="15" t="s">
        <v>590</v>
      </c>
      <c r="B30" s="17" t="n">
        <v>2263</v>
      </c>
      <c r="C30" s="18">
        <f>(1791.0/B30*100)</f>
        <v/>
      </c>
      <c r="D30" s="19" t="n">
        <v>472</v>
      </c>
      <c r="E30" s="18" t="n">
        <v>52.20418723</v>
      </c>
      <c r="F30" s="20" t="n">
        <v>2.57932807</v>
      </c>
      <c r="G30" s="18" t="n">
        <v>30.72866633</v>
      </c>
      <c r="H30" s="20" t="n">
        <v>2.25141674</v>
      </c>
      <c r="I30" s="18" t="s">
        <v>567</v>
      </c>
      <c r="J30" s="20" t="s">
        <v>567</v>
      </c>
      <c r="K30" s="18" t="n">
        <v>0.79582004</v>
      </c>
      <c r="L30" s="20" t="n">
        <v>0.39939417</v>
      </c>
      <c r="M30" s="18" t="n">
        <v>0</v>
      </c>
      <c r="N30" s="20" t="n">
        <v>0</v>
      </c>
      <c r="O30" s="18" t="n">
        <v>0</v>
      </c>
      <c r="P30" s="20" t="n">
        <v>0</v>
      </c>
      <c r="Q30" s="18" t="n">
        <v>16.27132641</v>
      </c>
      <c r="R30" s="20" t="n">
        <v>2.07428592</v>
      </c>
    </row>
    <row r="31" spans="1:18">
      <c r="A31" s="15" t="s">
        <v>591</v>
      </c>
      <c r="B31" s="17" t="n">
        <v>2750</v>
      </c>
      <c r="C31" s="18">
        <f>(2175.0/B31*100)</f>
        <v/>
      </c>
      <c r="D31" s="19" t="n">
        <v>575</v>
      </c>
      <c r="E31" s="18" t="n">
        <v>41.88611228</v>
      </c>
      <c r="F31" s="20" t="n">
        <v>2.2639285</v>
      </c>
      <c r="G31" s="18" t="n">
        <v>41.31775784</v>
      </c>
      <c r="H31" s="20" t="n">
        <v>2.17334787</v>
      </c>
      <c r="I31" s="18" t="s">
        <v>567</v>
      </c>
      <c r="J31" s="20" t="s">
        <v>567</v>
      </c>
      <c r="K31" s="18" t="n">
        <v>1.34271338</v>
      </c>
      <c r="L31" s="20" t="n">
        <v>0.55153398</v>
      </c>
      <c r="M31" s="18" t="n">
        <v>0.14513299</v>
      </c>
      <c r="N31" s="20" t="n">
        <v>0.17108563</v>
      </c>
      <c r="O31" s="18" t="n">
        <v>0</v>
      </c>
      <c r="P31" s="20" t="n">
        <v>0</v>
      </c>
      <c r="Q31" s="18" t="n">
        <v>15.30828351</v>
      </c>
      <c r="R31" s="20" t="n">
        <v>1.63505773</v>
      </c>
    </row>
    <row r="32" spans="1:18">
      <c r="A32" s="15" t="s">
        <v>592</v>
      </c>
      <c r="B32" s="17" t="n">
        <v>2269</v>
      </c>
      <c r="C32" s="18">
        <f>(1764.0/B32*100)</f>
        <v/>
      </c>
      <c r="D32" s="19" t="n">
        <v>505</v>
      </c>
      <c r="E32" s="18" t="n">
        <v>66.98502892</v>
      </c>
      <c r="F32" s="20" t="n">
        <v>2.18974167</v>
      </c>
      <c r="G32" s="18" t="n">
        <v>15.42047196</v>
      </c>
      <c r="H32" s="20" t="n">
        <v>1.8325809</v>
      </c>
      <c r="I32" s="18" t="s">
        <v>567</v>
      </c>
      <c r="J32" s="20" t="s">
        <v>567</v>
      </c>
      <c r="K32" s="18" t="n">
        <v>0.56288297</v>
      </c>
      <c r="L32" s="20" t="n">
        <v>0.31828332</v>
      </c>
      <c r="M32" s="18" t="n">
        <v>0</v>
      </c>
      <c r="N32" s="20" t="n">
        <v>0</v>
      </c>
      <c r="O32" s="18" t="n">
        <v>0</v>
      </c>
      <c r="P32" s="20" t="n">
        <v>0</v>
      </c>
      <c r="Q32" s="18" t="n">
        <v>17.03161615</v>
      </c>
      <c r="R32" s="20" t="n">
        <v>1.76547413</v>
      </c>
    </row>
    <row r="33" spans="1:18">
      <c r="A33" s="15" t="s">
        <v>593</v>
      </c>
      <c r="B33" s="17" t="n">
        <v>3674</v>
      </c>
      <c r="C33" s="18">
        <f>(2918.0/B33*100)</f>
        <v/>
      </c>
      <c r="D33" s="19" t="n">
        <v>756</v>
      </c>
      <c r="E33" s="18" t="n">
        <v>60.03138764</v>
      </c>
      <c r="F33" s="20" t="n">
        <v>2.00051819</v>
      </c>
      <c r="G33" s="18" t="n">
        <v>25.60559609</v>
      </c>
      <c r="H33" s="20" t="n">
        <v>1.97070685</v>
      </c>
      <c r="I33" s="18" t="s">
        <v>567</v>
      </c>
      <c r="J33" s="20" t="s">
        <v>567</v>
      </c>
      <c r="K33" s="18" t="n">
        <v>0.76475183</v>
      </c>
      <c r="L33" s="20" t="n">
        <v>0.37412077</v>
      </c>
      <c r="M33" s="18" t="n">
        <v>0.59349933</v>
      </c>
      <c r="N33" s="20" t="n">
        <v>0.36889664</v>
      </c>
      <c r="O33" s="18" t="n">
        <v>0</v>
      </c>
      <c r="P33" s="20" t="n">
        <v>0</v>
      </c>
      <c r="Q33" s="18" t="n">
        <v>13.00476512</v>
      </c>
      <c r="R33" s="20" t="n">
        <v>1.3126576</v>
      </c>
    </row>
    <row r="34" spans="1:18">
      <c r="A34" s="15" t="s">
        <v>594</v>
      </c>
      <c r="B34" s="17" t="n">
        <v>3315</v>
      </c>
      <c r="C34" s="18">
        <f>(2618.0/B34*100)</f>
        <v/>
      </c>
      <c r="D34" s="19" t="n">
        <v>697</v>
      </c>
      <c r="E34" s="18" t="n">
        <v>65.54615953</v>
      </c>
      <c r="F34" s="20" t="n">
        <v>1.86158429</v>
      </c>
      <c r="G34" s="18" t="n">
        <v>16.4075656</v>
      </c>
      <c r="H34" s="20" t="n">
        <v>1.79452932</v>
      </c>
      <c r="I34" s="18" t="s">
        <v>567</v>
      </c>
      <c r="J34" s="20" t="s">
        <v>567</v>
      </c>
      <c r="K34" s="18" t="n">
        <v>0.27469838</v>
      </c>
      <c r="L34" s="20" t="n">
        <v>0.22561388</v>
      </c>
      <c r="M34" s="18" t="n">
        <v>0.54037851</v>
      </c>
      <c r="N34" s="20" t="n">
        <v>0.27075712</v>
      </c>
      <c r="O34" s="18" t="n">
        <v>0</v>
      </c>
      <c r="P34" s="20" t="n">
        <v>0</v>
      </c>
      <c r="Q34" s="18" t="n">
        <v>17.23119798</v>
      </c>
      <c r="R34" s="20" t="n">
        <v>1.49984832</v>
      </c>
    </row>
    <row r="35" spans="1:18">
      <c r="A35" s="15" t="s">
        <v>595</v>
      </c>
      <c r="B35" s="17" t="n">
        <v>3505</v>
      </c>
      <c r="C35" s="18">
        <f>(2748.0/B35*100)</f>
        <v/>
      </c>
      <c r="D35" s="19" t="n">
        <v>757</v>
      </c>
      <c r="E35" s="18" t="n">
        <v>56.36922329</v>
      </c>
      <c r="F35" s="20" t="n">
        <v>1.95692245</v>
      </c>
      <c r="G35" s="18" t="n">
        <v>29.56191549</v>
      </c>
      <c r="H35" s="20" t="n">
        <v>1.78329485</v>
      </c>
      <c r="I35" s="18" t="s">
        <v>567</v>
      </c>
      <c r="J35" s="20" t="s">
        <v>567</v>
      </c>
      <c r="K35" s="18" t="n">
        <v>0.96033778</v>
      </c>
      <c r="L35" s="20" t="n">
        <v>0.44348038</v>
      </c>
      <c r="M35" s="18" t="n">
        <v>0.23532781</v>
      </c>
      <c r="N35" s="20" t="n">
        <v>0.23467275</v>
      </c>
      <c r="O35" s="18" t="n">
        <v>0</v>
      </c>
      <c r="P35" s="20" t="n">
        <v>0</v>
      </c>
      <c r="Q35" s="18" t="n">
        <v>12.87319563</v>
      </c>
      <c r="R35" s="20" t="n">
        <v>1.12499171</v>
      </c>
    </row>
    <row r="36" spans="1:18">
      <c r="A36" s="15" t="s">
        <v>596</v>
      </c>
      <c r="B36" s="17" t="n">
        <v>3332</v>
      </c>
      <c r="C36" s="18">
        <f>(2573.0/B36*100)</f>
        <v/>
      </c>
      <c r="D36" s="19" t="n">
        <v>759</v>
      </c>
      <c r="E36" s="18" t="n">
        <v>65.83342816</v>
      </c>
      <c r="F36" s="20" t="n">
        <v>1.78954897</v>
      </c>
      <c r="G36" s="18" t="n">
        <v>22.48277079</v>
      </c>
      <c r="H36" s="20" t="n">
        <v>1.47526752</v>
      </c>
      <c r="I36" s="18" t="s">
        <v>567</v>
      </c>
      <c r="J36" s="20" t="s">
        <v>567</v>
      </c>
      <c r="K36" s="18" t="n">
        <v>1.1478278</v>
      </c>
      <c r="L36" s="20" t="n">
        <v>0.46068815</v>
      </c>
      <c r="M36" s="18" t="n">
        <v>0.15380407</v>
      </c>
      <c r="N36" s="20" t="n">
        <v>0.16719283</v>
      </c>
      <c r="O36" s="18" t="n">
        <v>0</v>
      </c>
      <c r="P36" s="20" t="n">
        <v>0</v>
      </c>
      <c r="Q36" s="18" t="n">
        <v>10.38216919</v>
      </c>
      <c r="R36" s="20" t="n">
        <v>1.131554</v>
      </c>
    </row>
    <row r="37" spans="1:18">
      <c r="A37" s="15" t="s">
        <v>597</v>
      </c>
      <c r="B37" s="17" t="n">
        <v>2727</v>
      </c>
      <c r="C37" s="18">
        <f>(2152.0/B37*100)</f>
        <v/>
      </c>
      <c r="D37" s="19" t="n">
        <v>575</v>
      </c>
      <c r="E37" s="18" t="n">
        <v>37.02834014</v>
      </c>
      <c r="F37" s="20" t="n">
        <v>2.2759556</v>
      </c>
      <c r="G37" s="18" t="n">
        <v>46.6006605</v>
      </c>
      <c r="H37" s="20" t="n">
        <v>2.18013426</v>
      </c>
      <c r="I37" s="18" t="s">
        <v>567</v>
      </c>
      <c r="J37" s="20" t="s">
        <v>567</v>
      </c>
      <c r="K37" s="18" t="n">
        <v>1.51526346</v>
      </c>
      <c r="L37" s="20" t="n">
        <v>0.53483697</v>
      </c>
      <c r="M37" s="18" t="n">
        <v>0.14492922</v>
      </c>
      <c r="N37" s="20" t="n">
        <v>0.14483138</v>
      </c>
      <c r="O37" s="18" t="n">
        <v>0</v>
      </c>
      <c r="P37" s="20" t="n">
        <v>0</v>
      </c>
      <c r="Q37" s="18" t="n">
        <v>14.71080668</v>
      </c>
      <c r="R37" s="20" t="n">
        <v>2.00797217</v>
      </c>
    </row>
    <row r="38" spans="1:18">
      <c r="A38" s="15" t="s">
        <v>598</v>
      </c>
      <c r="B38" s="17" t="n">
        <v>3053</v>
      </c>
      <c r="C38" s="18">
        <f>(2386.0/B38*100)</f>
        <v/>
      </c>
      <c r="D38" s="19" t="n">
        <v>667</v>
      </c>
      <c r="E38" s="18" t="n">
        <v>61.71438536</v>
      </c>
      <c r="F38" s="20" t="n">
        <v>1.87356076</v>
      </c>
      <c r="G38" s="18" t="n">
        <v>20.7037647</v>
      </c>
      <c r="H38" s="20" t="n">
        <v>1.72604072</v>
      </c>
      <c r="I38" s="18" t="s">
        <v>567</v>
      </c>
      <c r="J38" s="20" t="s">
        <v>567</v>
      </c>
      <c r="K38" s="18" t="n">
        <v>0.86671712</v>
      </c>
      <c r="L38" s="20" t="n">
        <v>0.42805023</v>
      </c>
      <c r="M38" s="18" t="n">
        <v>2.29984068</v>
      </c>
      <c r="N38" s="20" t="n">
        <v>0.57157372</v>
      </c>
      <c r="O38" s="18" t="n">
        <v>0</v>
      </c>
      <c r="P38" s="20" t="n">
        <v>0</v>
      </c>
      <c r="Q38" s="18" t="n">
        <v>14.41529215</v>
      </c>
      <c r="R38" s="20" t="n">
        <v>1.98867078</v>
      </c>
    </row>
    <row r="39" spans="1:18">
      <c r="A39" s="15" t="s">
        <v>599</v>
      </c>
      <c r="B39" s="17" t="n">
        <v>2957</v>
      </c>
      <c r="C39" s="18">
        <f>(2305.0/B39*100)</f>
        <v/>
      </c>
      <c r="D39" s="19" t="n">
        <v>652</v>
      </c>
      <c r="E39" s="18" t="n">
        <v>81.01464761</v>
      </c>
      <c r="F39" s="20" t="n">
        <v>1.71966562</v>
      </c>
      <c r="G39" s="18" t="n">
        <v>5.25855761</v>
      </c>
      <c r="H39" s="20" t="n">
        <v>1.02158585</v>
      </c>
      <c r="I39" s="18" t="s">
        <v>567</v>
      </c>
      <c r="J39" s="20" t="s">
        <v>567</v>
      </c>
      <c r="K39" s="18" t="n">
        <v>0.30212598</v>
      </c>
      <c r="L39" s="20" t="n">
        <v>0.14284449</v>
      </c>
      <c r="M39" s="18" t="n">
        <v>0</v>
      </c>
      <c r="N39" s="20" t="n">
        <v>0</v>
      </c>
      <c r="O39" s="18" t="n">
        <v>0</v>
      </c>
      <c r="P39" s="20" t="n">
        <v>0</v>
      </c>
      <c r="Q39" s="18" t="n">
        <v>13.4246688</v>
      </c>
      <c r="R39" s="20" t="n">
        <v>1.58208684</v>
      </c>
    </row>
    <row r="40" spans="1:18">
      <c r="A40" s="15" t="s">
        <v>600</v>
      </c>
      <c r="B40" s="17" t="n">
        <v>7235</v>
      </c>
      <c r="C40" s="18">
        <f>(5683.0/B40*100)</f>
        <v/>
      </c>
      <c r="D40" s="19" t="n">
        <v>1552</v>
      </c>
      <c r="E40" s="18" t="n">
        <v>36.01912382</v>
      </c>
      <c r="F40" s="20" t="n">
        <v>2.05159554</v>
      </c>
      <c r="G40" s="18" t="n">
        <v>51.94254449</v>
      </c>
      <c r="H40" s="20" t="n">
        <v>2.20250262</v>
      </c>
      <c r="I40" s="18" t="s">
        <v>567</v>
      </c>
      <c r="J40" s="20" t="s">
        <v>567</v>
      </c>
      <c r="K40" s="18" t="n">
        <v>0.44679019</v>
      </c>
      <c r="L40" s="20" t="n">
        <v>0.34216287</v>
      </c>
      <c r="M40" s="18" t="n">
        <v>0</v>
      </c>
      <c r="N40" s="20" t="n">
        <v>0</v>
      </c>
      <c r="O40" s="18" t="n">
        <v>0</v>
      </c>
      <c r="P40" s="20" t="n">
        <v>0</v>
      </c>
      <c r="Q40" s="18" t="n">
        <v>11.59154151</v>
      </c>
      <c r="R40" s="20" t="n">
        <v>1.5183131</v>
      </c>
    </row>
    <row r="41" spans="1:18">
      <c r="A41" s="15" t="s">
        <v>601</v>
      </c>
      <c r="B41" s="17" t="n">
        <v>2858</v>
      </c>
      <c r="C41" s="18">
        <f>(2232.0/B41*100)</f>
        <v/>
      </c>
      <c r="D41" s="19" t="n">
        <v>626</v>
      </c>
      <c r="E41" s="18" t="n">
        <v>76.87181678</v>
      </c>
      <c r="F41" s="20" t="n">
        <v>1.75150156</v>
      </c>
      <c r="G41" s="18" t="n">
        <v>17.86097584</v>
      </c>
      <c r="H41" s="20" t="n">
        <v>1.49450429</v>
      </c>
      <c r="I41" s="18" t="s">
        <v>567</v>
      </c>
      <c r="J41" s="20" t="s">
        <v>567</v>
      </c>
      <c r="K41" s="18" t="n">
        <v>0.19833719</v>
      </c>
      <c r="L41" s="20" t="n">
        <v>0.1694331</v>
      </c>
      <c r="M41" s="18" t="n">
        <v>0</v>
      </c>
      <c r="N41" s="20" t="n">
        <v>0</v>
      </c>
      <c r="O41" s="18" t="n">
        <v>0</v>
      </c>
      <c r="P41" s="20" t="n">
        <v>0</v>
      </c>
      <c r="Q41" s="18" t="n">
        <v>5.0688702</v>
      </c>
      <c r="R41" s="20" t="n">
        <v>1.10459817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(9279.0/B46*100)</f>
        <v/>
      </c>
      <c r="D46" s="19" t="n">
        <v>1789</v>
      </c>
      <c r="E46" s="18" t="n">
        <v>61.08664696</v>
      </c>
      <c r="F46" s="20" t="n">
        <v>1.57031475</v>
      </c>
      <c r="G46" s="18" t="n">
        <v>14.01567316</v>
      </c>
      <c r="H46" s="20" t="n">
        <v>1.25775565</v>
      </c>
      <c r="I46" s="18" t="s">
        <v>567</v>
      </c>
      <c r="J46" s="20" t="s">
        <v>567</v>
      </c>
      <c r="K46" s="18" t="n">
        <v>2.56924466</v>
      </c>
      <c r="L46" s="20" t="n">
        <v>0.53918819</v>
      </c>
      <c r="M46" s="18" t="n">
        <v>0.27431456</v>
      </c>
      <c r="N46" s="20" t="n">
        <v>0.1168529</v>
      </c>
      <c r="O46" s="18" t="n">
        <v>0</v>
      </c>
      <c r="P46" s="20" t="n">
        <v>0</v>
      </c>
      <c r="Q46" s="18" t="n">
        <v>22.05412065</v>
      </c>
      <c r="R46" s="20" t="n">
        <v>1.51457603</v>
      </c>
    </row>
    <row r="47" spans="1:18">
      <c r="A47" s="15" t="s">
        <v>607</v>
      </c>
      <c r="B47" s="17" t="n">
        <v>3105</v>
      </c>
      <c r="C47" s="18">
        <f>(2465.0/B47*100)</f>
        <v/>
      </c>
      <c r="D47" s="19" t="n">
        <v>640</v>
      </c>
      <c r="E47" s="18" t="n">
        <v>56.41460406</v>
      </c>
      <c r="F47" s="20" t="n">
        <v>1.59818066</v>
      </c>
      <c r="G47" s="18" t="n">
        <v>14.04421296</v>
      </c>
      <c r="H47" s="20" t="n">
        <v>1.22623504</v>
      </c>
      <c r="I47" s="18" t="s">
        <v>567</v>
      </c>
      <c r="J47" s="20" t="s">
        <v>567</v>
      </c>
      <c r="K47" s="18" t="n">
        <v>0.75461218</v>
      </c>
      <c r="L47" s="20" t="n">
        <v>0.42425709</v>
      </c>
      <c r="M47" s="18" t="n">
        <v>0.15221936</v>
      </c>
      <c r="N47" s="20" t="n">
        <v>0.14970457</v>
      </c>
      <c r="O47" s="18" t="n">
        <v>0</v>
      </c>
      <c r="P47" s="20" t="n">
        <v>0</v>
      </c>
      <c r="Q47" s="18" t="n">
        <v>28.63435144</v>
      </c>
      <c r="R47" s="20" t="n">
        <v>1.93232477</v>
      </c>
    </row>
    <row r="48" spans="1:18">
      <c r="A48" s="15" t="s">
        <v>608</v>
      </c>
      <c r="B48" s="17" t="n">
        <v>5159</v>
      </c>
      <c r="C48" s="18">
        <f>(4045.0/B48*100)</f>
        <v/>
      </c>
      <c r="D48" s="19" t="n">
        <v>1114</v>
      </c>
      <c r="E48" s="18" t="n">
        <v>40.9031871</v>
      </c>
      <c r="F48" s="20" t="n">
        <v>1.94127819</v>
      </c>
      <c r="G48" s="18" t="n">
        <v>48.97902504</v>
      </c>
      <c r="H48" s="20" t="n">
        <v>2.05145858</v>
      </c>
      <c r="I48" s="18" t="s">
        <v>567</v>
      </c>
      <c r="J48" s="20" t="s">
        <v>567</v>
      </c>
      <c r="K48" s="18" t="n">
        <v>0.62087108</v>
      </c>
      <c r="L48" s="20" t="n">
        <v>0.35369106</v>
      </c>
      <c r="M48" s="18" t="n">
        <v>0</v>
      </c>
      <c r="N48" s="20" t="n">
        <v>0</v>
      </c>
      <c r="O48" s="18" t="n">
        <v>0</v>
      </c>
      <c r="P48" s="20" t="n">
        <v>0</v>
      </c>
      <c r="Q48" s="18" t="n">
        <v>9.49691677</v>
      </c>
      <c r="R48" s="20" t="n">
        <v>1.46218635</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(4476.0/B50*100)</f>
        <v/>
      </c>
      <c r="D50" s="19" t="n">
        <v>1161</v>
      </c>
      <c r="E50" s="18" t="n">
        <v>79.75000559</v>
      </c>
      <c r="F50" s="20" t="n">
        <v>1.64215972</v>
      </c>
      <c r="G50" s="18" t="n">
        <v>7.18807538</v>
      </c>
      <c r="H50" s="20" t="n">
        <v>1.09777916</v>
      </c>
      <c r="I50" s="18" t="s">
        <v>567</v>
      </c>
      <c r="J50" s="20" t="s">
        <v>567</v>
      </c>
      <c r="K50" s="18" t="n">
        <v>2.80297599</v>
      </c>
      <c r="L50" s="20" t="n">
        <v>0.93743424</v>
      </c>
      <c r="M50" s="18" t="n">
        <v>0.05294939</v>
      </c>
      <c r="N50" s="20" t="n">
        <v>0.05304366</v>
      </c>
      <c r="O50" s="18" t="n">
        <v>0</v>
      </c>
      <c r="P50" s="20" t="n">
        <v>0</v>
      </c>
      <c r="Q50" s="18" t="n">
        <v>10.20599364</v>
      </c>
      <c r="R50" s="20" t="n">
        <v>1.1975611</v>
      </c>
    </row>
    <row r="51" spans="1:18">
      <c r="A51" s="15" t="s">
        <v>611</v>
      </c>
      <c r="B51" s="17" t="n">
        <v>3372</v>
      </c>
      <c r="C51" s="18">
        <f>(2763.0/B51*100)</f>
        <v/>
      </c>
      <c r="D51" s="19" t="n">
        <v>609</v>
      </c>
      <c r="E51" s="18" t="n">
        <v>80.56139391000001</v>
      </c>
      <c r="F51" s="20" t="n">
        <v>1.6655698</v>
      </c>
      <c r="G51" s="18" t="n">
        <v>10.2395383</v>
      </c>
      <c r="H51" s="20" t="n">
        <v>1.26778502</v>
      </c>
      <c r="I51" s="18" t="s">
        <v>567</v>
      </c>
      <c r="J51" s="20" t="s">
        <v>567</v>
      </c>
      <c r="K51" s="18" t="n">
        <v>0.7615777</v>
      </c>
      <c r="L51" s="20" t="n">
        <v>0.34430633</v>
      </c>
      <c r="M51" s="18" t="n">
        <v>0.15745291</v>
      </c>
      <c r="N51" s="20" t="n">
        <v>0.15647925</v>
      </c>
      <c r="O51" s="18" t="n">
        <v>0</v>
      </c>
      <c r="P51" s="20" t="n">
        <v>0</v>
      </c>
      <c r="Q51" s="18" t="n">
        <v>8.280037180000001</v>
      </c>
      <c r="R51" s="20" t="n">
        <v>1.14280232</v>
      </c>
    </row>
    <row r="52" spans="1:18">
      <c r="A52" s="15" t="s">
        <v>612</v>
      </c>
      <c r="B52" s="17" t="n">
        <v>2796</v>
      </c>
      <c r="C52" s="18">
        <f>(2181.0/B52*100)</f>
        <v/>
      </c>
      <c r="D52" s="19" t="n">
        <v>615</v>
      </c>
      <c r="E52" s="18" t="n">
        <v>67.40890908999999</v>
      </c>
      <c r="F52" s="20" t="n">
        <v>1.79265248</v>
      </c>
      <c r="G52" s="18" t="n">
        <v>15.27864204</v>
      </c>
      <c r="H52" s="20" t="n">
        <v>1.60997681</v>
      </c>
      <c r="I52" s="18" t="s">
        <v>567</v>
      </c>
      <c r="J52" s="20" t="s">
        <v>567</v>
      </c>
      <c r="K52" s="18" t="n">
        <v>0</v>
      </c>
      <c r="L52" s="20" t="n">
        <v>0</v>
      </c>
      <c r="M52" s="18" t="n">
        <v>0</v>
      </c>
      <c r="N52" s="20" t="n">
        <v>0</v>
      </c>
      <c r="O52" s="18" t="n">
        <v>0</v>
      </c>
      <c r="P52" s="20" t="n">
        <v>0</v>
      </c>
      <c r="Q52" s="18" t="n">
        <v>17.31244888</v>
      </c>
      <c r="R52" s="20" t="n">
        <v>1.442553</v>
      </c>
    </row>
    <row r="53" spans="1:18">
      <c r="A53" s="15" t="s">
        <v>613</v>
      </c>
      <c r="B53" s="17" t="n">
        <v>2811</v>
      </c>
      <c r="C53" s="18">
        <f>(2190.0/B53*100)</f>
        <v/>
      </c>
      <c r="D53" s="19" t="n">
        <v>621</v>
      </c>
      <c r="E53" s="18" t="n">
        <v>62.92100427</v>
      </c>
      <c r="F53" s="20" t="n">
        <v>2.01882799</v>
      </c>
      <c r="G53" s="18" t="n">
        <v>12.60090007</v>
      </c>
      <c r="H53" s="20" t="n">
        <v>1.55341114</v>
      </c>
      <c r="I53" s="18" t="s">
        <v>567</v>
      </c>
      <c r="J53" s="20" t="s">
        <v>567</v>
      </c>
      <c r="K53" s="18" t="n">
        <v>0.47621799</v>
      </c>
      <c r="L53" s="20" t="n">
        <v>0.23707548</v>
      </c>
      <c r="M53" s="18" t="n">
        <v>0</v>
      </c>
      <c r="N53" s="20" t="n">
        <v>0</v>
      </c>
      <c r="O53" s="18" t="n">
        <v>0</v>
      </c>
      <c r="P53" s="20" t="n">
        <v>0</v>
      </c>
      <c r="Q53" s="18" t="n">
        <v>24.00187766</v>
      </c>
      <c r="R53" s="20" t="n">
        <v>1.70022026</v>
      </c>
    </row>
    <row r="54" spans="1:18">
      <c r="A54" s="15" t="s">
        <v>614</v>
      </c>
      <c r="B54" s="17" t="n">
        <v>2266</v>
      </c>
      <c r="C54" s="18">
        <f>(1764.0/B54*100)</f>
        <v/>
      </c>
      <c r="D54" s="19" t="n">
        <v>502</v>
      </c>
      <c r="E54" s="18" t="n">
        <v>60.31119188</v>
      </c>
      <c r="F54" s="20" t="n">
        <v>2.38631014</v>
      </c>
      <c r="G54" s="18" t="n">
        <v>2.16088849</v>
      </c>
      <c r="H54" s="20" t="n">
        <v>0.7225005799999999</v>
      </c>
      <c r="I54" s="18" t="s">
        <v>567</v>
      </c>
      <c r="J54" s="20" t="s">
        <v>567</v>
      </c>
      <c r="K54" s="18" t="n">
        <v>16.0754727</v>
      </c>
      <c r="L54" s="20" t="n">
        <v>1.88157784</v>
      </c>
      <c r="M54" s="18" t="n">
        <v>0.77838886</v>
      </c>
      <c r="N54" s="20" t="n">
        <v>0.64031207</v>
      </c>
      <c r="O54" s="18" t="n">
        <v>0</v>
      </c>
      <c r="P54" s="20" t="n">
        <v>0</v>
      </c>
      <c r="Q54" s="18" t="n">
        <v>20.67405807</v>
      </c>
      <c r="R54" s="20" t="n">
        <v>2.02300922</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(2079.0/B56*100)</f>
        <v/>
      </c>
      <c r="D56" s="19" t="n">
        <v>605</v>
      </c>
      <c r="E56" s="18" t="n">
        <v>47.35867836</v>
      </c>
      <c r="F56" s="20" t="n">
        <v>2.41045632</v>
      </c>
      <c r="G56" s="18" t="n">
        <v>47.23887141</v>
      </c>
      <c r="H56" s="20" t="n">
        <v>2.31331657</v>
      </c>
      <c r="I56" s="18" t="s">
        <v>567</v>
      </c>
      <c r="J56" s="20" t="s">
        <v>567</v>
      </c>
      <c r="K56" s="18" t="n">
        <v>0.32585643</v>
      </c>
      <c r="L56" s="20" t="n">
        <v>0.22944565</v>
      </c>
      <c r="M56" s="18" t="n">
        <v>0</v>
      </c>
      <c r="N56" s="20" t="n">
        <v>0</v>
      </c>
      <c r="O56" s="18" t="n">
        <v>0</v>
      </c>
      <c r="P56" s="20" t="n">
        <v>0</v>
      </c>
      <c r="Q56" s="18" t="n">
        <v>5.0765938</v>
      </c>
      <c r="R56" s="20" t="n">
        <v>0.91867584</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(2591.0/B61*100)</f>
        <v/>
      </c>
      <c r="D61" s="19" t="n">
        <v>733</v>
      </c>
      <c r="E61" s="18" t="n">
        <v>61.25199456</v>
      </c>
      <c r="F61" s="20" t="n">
        <v>2.05013078</v>
      </c>
      <c r="G61" s="18" t="n">
        <v>20.13440721</v>
      </c>
      <c r="H61" s="20" t="n">
        <v>1.87514972</v>
      </c>
      <c r="I61" s="18" t="s">
        <v>567</v>
      </c>
      <c r="J61" s="20" t="s">
        <v>567</v>
      </c>
      <c r="K61" s="18" t="n">
        <v>0.93165958</v>
      </c>
      <c r="L61" s="20" t="n">
        <v>0.392436</v>
      </c>
      <c r="M61" s="18" t="n">
        <v>0.09843789999999999</v>
      </c>
      <c r="N61" s="20" t="n">
        <v>0.09926327</v>
      </c>
      <c r="O61" s="18" t="n">
        <v>0</v>
      </c>
      <c r="P61" s="20" t="n">
        <v>0</v>
      </c>
      <c r="Q61" s="18" t="n">
        <v>17.58350075</v>
      </c>
      <c r="R61" s="20" t="n">
        <v>1.76187143</v>
      </c>
    </row>
    <row r="62" spans="1:18">
      <c r="A62" s="15" t="s">
        <v>622</v>
      </c>
      <c r="B62" s="17" t="n">
        <v>2246</v>
      </c>
      <c r="C62" s="18">
        <f>(1751.0/B62*100)</f>
        <v/>
      </c>
      <c r="D62" s="19" t="n">
        <v>495</v>
      </c>
      <c r="E62" s="18" t="n">
        <v>51.950064</v>
      </c>
      <c r="F62" s="20" t="n">
        <v>2.60407895</v>
      </c>
      <c r="G62" s="18" t="n">
        <v>43.79319303</v>
      </c>
      <c r="H62" s="20" t="n">
        <v>2.43578012</v>
      </c>
      <c r="I62" s="18" t="s">
        <v>567</v>
      </c>
      <c r="J62" s="20" t="s">
        <v>567</v>
      </c>
      <c r="K62" s="18" t="n">
        <v>0</v>
      </c>
      <c r="L62" s="20" t="n">
        <v>0</v>
      </c>
      <c r="M62" s="18" t="n">
        <v>0</v>
      </c>
      <c r="N62" s="20" t="n">
        <v>0</v>
      </c>
      <c r="O62" s="18" t="n">
        <v>0</v>
      </c>
      <c r="P62" s="20" t="n">
        <v>0</v>
      </c>
      <c r="Q62" s="18" t="n">
        <v>4.25674297</v>
      </c>
      <c r="R62" s="20" t="n">
        <v>1.00218116</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(2276.0/B66*100)</f>
        <v/>
      </c>
      <c r="D66" s="19" t="n">
        <v>618</v>
      </c>
      <c r="E66" s="18" t="n">
        <v>54.42607092</v>
      </c>
      <c r="F66" s="20" t="n">
        <v>1.99998721</v>
      </c>
      <c r="G66" s="18" t="n">
        <v>6.04410179</v>
      </c>
      <c r="H66" s="20" t="n">
        <v>0.99178237</v>
      </c>
      <c r="I66" s="18" t="s">
        <v>567</v>
      </c>
      <c r="J66" s="20" t="s">
        <v>567</v>
      </c>
      <c r="K66" s="18" t="n">
        <v>1.23153286</v>
      </c>
      <c r="L66" s="20" t="n">
        <v>0.34442682</v>
      </c>
      <c r="M66" s="18" t="n">
        <v>0.27795681</v>
      </c>
      <c r="N66" s="20" t="n">
        <v>0.19579358</v>
      </c>
      <c r="O66" s="18" t="n">
        <v>0</v>
      </c>
      <c r="P66" s="20" t="n">
        <v>0</v>
      </c>
      <c r="Q66" s="18" t="n">
        <v>38.02033762</v>
      </c>
      <c r="R66" s="20" t="n">
        <v>1.91688464</v>
      </c>
    </row>
    <row r="67" spans="1:18">
      <c r="A67" s="15" t="s">
        <v>627</v>
      </c>
      <c r="B67" s="17" t="n">
        <v>3511</v>
      </c>
      <c r="C67" s="18">
        <f>(2854.0/B67*100)</f>
        <v/>
      </c>
      <c r="D67" s="19" t="n">
        <v>657</v>
      </c>
      <c r="E67" s="18" t="n">
        <v>79.21223903000001</v>
      </c>
      <c r="F67" s="20" t="n">
        <v>1.61387985</v>
      </c>
      <c r="G67" s="18" t="n">
        <v>8.37349968</v>
      </c>
      <c r="H67" s="20" t="n">
        <v>1.09553974</v>
      </c>
      <c r="I67" s="18" t="s">
        <v>567</v>
      </c>
      <c r="J67" s="20" t="s">
        <v>567</v>
      </c>
      <c r="K67" s="18" t="n">
        <v>0.5761789899999999</v>
      </c>
      <c r="L67" s="20" t="n">
        <v>0.34810714</v>
      </c>
      <c r="M67" s="18" t="n">
        <v>0</v>
      </c>
      <c r="N67" s="20" t="n">
        <v>0</v>
      </c>
      <c r="O67" s="18" t="n">
        <v>0</v>
      </c>
      <c r="P67" s="20" t="n">
        <v>0</v>
      </c>
      <c r="Q67" s="18" t="n">
        <v>11.8380823</v>
      </c>
      <c r="R67" s="20" t="n">
        <v>1.41647161</v>
      </c>
    </row>
    <row r="68" spans="1:18">
      <c r="A68" s="15" t="s">
        <v>628</v>
      </c>
      <c r="B68" s="17" t="n">
        <v>6049</v>
      </c>
      <c r="C68" s="18">
        <f>(4721.0/B68*100)</f>
        <v/>
      </c>
      <c r="D68" s="19" t="n">
        <v>1328</v>
      </c>
      <c r="E68" s="18" t="n">
        <v>54.86674203</v>
      </c>
      <c r="F68" s="20" t="n">
        <v>1.32343413</v>
      </c>
      <c r="G68" s="18" t="n">
        <v>20.3179487</v>
      </c>
      <c r="H68" s="20" t="n">
        <v>1.09017403</v>
      </c>
      <c r="I68" s="18" t="s">
        <v>567</v>
      </c>
      <c r="J68" s="20" t="s">
        <v>567</v>
      </c>
      <c r="K68" s="18" t="n">
        <v>3.2325508</v>
      </c>
      <c r="L68" s="20" t="n">
        <v>0.51854064</v>
      </c>
      <c r="M68" s="18" t="n">
        <v>0</v>
      </c>
      <c r="N68" s="20" t="n">
        <v>0</v>
      </c>
      <c r="O68" s="18" t="n">
        <v>0</v>
      </c>
      <c r="P68" s="20" t="n">
        <v>0</v>
      </c>
      <c r="Q68" s="18" t="n">
        <v>21.58275847</v>
      </c>
      <c r="R68" s="20" t="n">
        <v>0.94604175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(2321.0/B70*100)</f>
        <v/>
      </c>
      <c r="D70" s="19" t="n">
        <v>608</v>
      </c>
      <c r="E70" s="18" t="n">
        <v>73.26268666</v>
      </c>
      <c r="F70" s="20" t="n">
        <v>1.9820819</v>
      </c>
      <c r="G70" s="18" t="n">
        <v>11.41260681</v>
      </c>
      <c r="H70" s="20" t="n">
        <v>1.65628856</v>
      </c>
      <c r="I70" s="18" t="s">
        <v>567</v>
      </c>
      <c r="J70" s="20" t="s">
        <v>567</v>
      </c>
      <c r="K70" s="18" t="n">
        <v>0.80512002</v>
      </c>
      <c r="L70" s="20" t="n">
        <v>0.4288508</v>
      </c>
      <c r="M70" s="18" t="n">
        <v>0</v>
      </c>
      <c r="N70" s="20" t="n">
        <v>0</v>
      </c>
      <c r="O70" s="18" t="n">
        <v>0</v>
      </c>
      <c r="P70" s="20" t="n">
        <v>0</v>
      </c>
      <c r="Q70" s="18" t="n">
        <v>14.5195865</v>
      </c>
      <c r="R70" s="20" t="n">
        <v>1.81341426</v>
      </c>
    </row>
    <row r="71" spans="1:18">
      <c r="A71" s="15" t="s">
        <v>631</v>
      </c>
      <c r="B71" s="17" t="n">
        <v>3142</v>
      </c>
      <c r="C71" s="18">
        <f>(2451.0/B71*100)</f>
        <v/>
      </c>
      <c r="D71" s="19" t="n">
        <v>691</v>
      </c>
      <c r="E71" s="18" t="n">
        <v>33.78316067</v>
      </c>
      <c r="F71" s="20" t="n">
        <v>1.68963072</v>
      </c>
      <c r="G71" s="18" t="n">
        <v>62.88053236</v>
      </c>
      <c r="H71" s="20" t="n">
        <v>1.68181965</v>
      </c>
      <c r="I71" s="18" t="s">
        <v>567</v>
      </c>
      <c r="J71" s="20" t="s">
        <v>567</v>
      </c>
      <c r="K71" s="18" t="n">
        <v>0</v>
      </c>
      <c r="L71" s="20" t="n">
        <v>0</v>
      </c>
      <c r="M71" s="18" t="n">
        <v>0</v>
      </c>
      <c r="N71" s="20" t="n">
        <v>0</v>
      </c>
      <c r="O71" s="18" t="n">
        <v>0</v>
      </c>
      <c r="P71" s="20" t="n">
        <v>0</v>
      </c>
      <c r="Q71" s="18" t="n">
        <v>3.33630697</v>
      </c>
      <c r="R71" s="20" t="n">
        <v>0.68891797</v>
      </c>
    </row>
    <row r="72" spans="1:18">
      <c r="A72" s="15" t="s">
        <v>632</v>
      </c>
      <c r="B72" s="17" t="n">
        <v>3889</v>
      </c>
      <c r="C72" s="18">
        <f>(2991.0/B72*100)</f>
        <v/>
      </c>
      <c r="D72" s="19" t="n">
        <v>898</v>
      </c>
      <c r="E72" s="18" t="n">
        <v>45.64320438</v>
      </c>
      <c r="F72" s="20" t="n">
        <v>1.77895169</v>
      </c>
      <c r="G72" s="18" t="n">
        <v>47.33518147</v>
      </c>
      <c r="H72" s="20" t="n">
        <v>1.76871972</v>
      </c>
      <c r="I72" s="18" t="s">
        <v>567</v>
      </c>
      <c r="J72" s="20" t="s">
        <v>567</v>
      </c>
      <c r="K72" s="18" t="n">
        <v>0.37050876</v>
      </c>
      <c r="L72" s="20" t="n">
        <v>0.21896638</v>
      </c>
      <c r="M72" s="18" t="n">
        <v>0</v>
      </c>
      <c r="N72" s="20" t="n">
        <v>0</v>
      </c>
      <c r="O72" s="18" t="n">
        <v>0</v>
      </c>
      <c r="P72" s="20" t="n">
        <v>0</v>
      </c>
      <c r="Q72" s="18" t="n">
        <v>6.6511054</v>
      </c>
      <c r="R72" s="20" t="n">
        <v>1.01405333</v>
      </c>
    </row>
    <row r="73" spans="1:18">
      <c r="A73" s="15" t="s">
        <v>633</v>
      </c>
      <c r="B73" s="17" t="n">
        <v>3597</v>
      </c>
      <c r="C73" s="18">
        <f>(2854.0/B73*100)</f>
        <v/>
      </c>
      <c r="D73" s="19" t="n">
        <v>743</v>
      </c>
      <c r="E73" s="18" t="n">
        <v>69.50343655</v>
      </c>
      <c r="F73" s="20" t="n">
        <v>1.96286797</v>
      </c>
      <c r="G73" s="18" t="n">
        <v>26.89297813</v>
      </c>
      <c r="H73" s="20" t="n">
        <v>1.80254</v>
      </c>
      <c r="I73" s="18" t="s">
        <v>567</v>
      </c>
      <c r="J73" s="20" t="s">
        <v>567</v>
      </c>
      <c r="K73" s="18" t="n">
        <v>0</v>
      </c>
      <c r="L73" s="20" t="n">
        <v>0</v>
      </c>
      <c r="M73" s="18" t="n">
        <v>0.20382915</v>
      </c>
      <c r="N73" s="20" t="n">
        <v>0.2061027</v>
      </c>
      <c r="O73" s="18" t="n">
        <v>0</v>
      </c>
      <c r="P73" s="20" t="n">
        <v>0</v>
      </c>
      <c r="Q73" s="18" t="n">
        <v>3.39975616</v>
      </c>
      <c r="R73" s="20" t="n">
        <v>0.9578426</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(1955.0/B75*100)</f>
        <v/>
      </c>
      <c r="D75" s="19" t="n">
        <v>451</v>
      </c>
      <c r="E75" s="18" t="n">
        <v>63.92440292</v>
      </c>
      <c r="F75" s="20" t="n">
        <v>2.51224294</v>
      </c>
      <c r="G75" s="18" t="n">
        <v>0.45203281</v>
      </c>
      <c r="H75" s="20" t="n">
        <v>0.24908264</v>
      </c>
      <c r="I75" s="18" t="s">
        <v>567</v>
      </c>
      <c r="J75" s="20" t="s">
        <v>567</v>
      </c>
      <c r="K75" s="18" t="n">
        <v>4.84451641</v>
      </c>
      <c r="L75" s="20" t="n">
        <v>1.27373913</v>
      </c>
      <c r="M75" s="18" t="n">
        <v>0.52390211</v>
      </c>
      <c r="N75" s="20" t="n">
        <v>0.36471542</v>
      </c>
      <c r="O75" s="18" t="n">
        <v>0</v>
      </c>
      <c r="P75" s="20" t="n">
        <v>0</v>
      </c>
      <c r="Q75" s="18" t="n">
        <v>30.25514575</v>
      </c>
      <c r="R75" s="20" t="n">
        <v>2.55700584</v>
      </c>
    </row>
    <row r="76" spans="1:18">
      <c r="A76" s="15" t="s">
        <v>636</v>
      </c>
      <c r="B76" s="17" t="n">
        <v>7052</v>
      </c>
      <c r="C76" s="18">
        <f>(5544.0/B76*100)</f>
        <v/>
      </c>
      <c r="D76" s="19" t="n">
        <v>1508</v>
      </c>
      <c r="E76" s="18" t="n">
        <v>64.39154524999999</v>
      </c>
      <c r="F76" s="20" t="n">
        <v>1.40432674</v>
      </c>
      <c r="G76" s="18" t="n">
        <v>20.02314019</v>
      </c>
      <c r="H76" s="20" t="n">
        <v>1.17376937</v>
      </c>
      <c r="I76" s="18" t="s">
        <v>567</v>
      </c>
      <c r="J76" s="20" t="s">
        <v>567</v>
      </c>
      <c r="K76" s="18" t="n">
        <v>2.73115374</v>
      </c>
      <c r="L76" s="20" t="n">
        <v>0.56097778</v>
      </c>
      <c r="M76" s="18" t="n">
        <v>0</v>
      </c>
      <c r="N76" s="20" t="n">
        <v>0</v>
      </c>
      <c r="O76" s="18" t="n">
        <v>0</v>
      </c>
      <c r="P76" s="20" t="n">
        <v>0</v>
      </c>
      <c r="Q76" s="18" t="n">
        <v>12.85416081</v>
      </c>
      <c r="R76" s="20" t="n">
        <v>0.94250466</v>
      </c>
    </row>
    <row r="77" spans="1:18">
      <c r="A77" s="15" t="s">
        <v>637</v>
      </c>
      <c r="B77" s="17" t="n">
        <v>2908</v>
      </c>
      <c r="C77" s="18">
        <f>(2310.0/B77*100)</f>
        <v/>
      </c>
      <c r="D77" s="19" t="n">
        <v>598</v>
      </c>
      <c r="E77" s="18" t="n">
        <v>63.77933275</v>
      </c>
      <c r="F77" s="20" t="n">
        <v>2.17654978</v>
      </c>
      <c r="G77" s="18" t="n">
        <v>7.42550853</v>
      </c>
      <c r="H77" s="20" t="n">
        <v>1.03341585</v>
      </c>
      <c r="I77" s="18" t="s">
        <v>567</v>
      </c>
      <c r="J77" s="20" t="s">
        <v>567</v>
      </c>
      <c r="K77" s="18" t="n">
        <v>2.87910535</v>
      </c>
      <c r="L77" s="20" t="n">
        <v>0.72411905</v>
      </c>
      <c r="M77" s="18" t="n">
        <v>0.13562459</v>
      </c>
      <c r="N77" s="20" t="n">
        <v>0.15087264</v>
      </c>
      <c r="O77" s="18" t="n">
        <v>0</v>
      </c>
      <c r="P77" s="20" t="n">
        <v>0</v>
      </c>
      <c r="Q77" s="18" t="n">
        <v>25.78042879</v>
      </c>
      <c r="R77" s="20" t="n">
        <v>1.94194265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(3266.0/B81*100)</f>
        <v/>
      </c>
      <c r="D81" s="19" t="n">
        <v>897</v>
      </c>
      <c r="E81" s="18" t="n">
        <v>60.68610978</v>
      </c>
      <c r="F81" s="20" t="n">
        <v>2.25030613</v>
      </c>
      <c r="G81" s="18" t="n">
        <v>34.81289927</v>
      </c>
      <c r="H81" s="20" t="n">
        <v>2.26965804</v>
      </c>
      <c r="I81" s="18" t="s">
        <v>567</v>
      </c>
      <c r="J81" s="20" t="s">
        <v>567</v>
      </c>
      <c r="K81" s="18" t="n">
        <v>0.1540627</v>
      </c>
      <c r="L81" s="20" t="n">
        <v>0.1542024</v>
      </c>
      <c r="M81" s="18" t="n">
        <v>0.16911159</v>
      </c>
      <c r="N81" s="20" t="n">
        <v>0.16506825</v>
      </c>
      <c r="O81" s="18" t="n">
        <v>0</v>
      </c>
      <c r="P81" s="20" t="n">
        <v>0</v>
      </c>
      <c r="Q81" s="18" t="n">
        <v>4.17781666</v>
      </c>
      <c r="R81" s="20" t="n">
        <v>0.72979656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(5761.0/B7*100)</f>
        <v/>
      </c>
      <c r="D7" s="19" t="n">
        <v>1606</v>
      </c>
      <c r="E7" s="18" t="n">
        <v>29.702756</v>
      </c>
      <c r="F7" s="20" t="n">
        <v>1.27681736</v>
      </c>
      <c r="G7" s="18" t="n">
        <v>68.46313411</v>
      </c>
      <c r="H7" s="20" t="n">
        <v>1.30524775</v>
      </c>
      <c r="I7" s="18" t="s">
        <v>567</v>
      </c>
      <c r="J7" s="20" t="s">
        <v>567</v>
      </c>
      <c r="K7" s="18" t="n">
        <v>0.47115102</v>
      </c>
      <c r="L7" s="20" t="n">
        <v>0.18384027</v>
      </c>
      <c r="M7" s="18" t="n">
        <v>0</v>
      </c>
      <c r="N7" s="20" t="n">
        <v>0</v>
      </c>
      <c r="O7" s="18" t="n">
        <v>0</v>
      </c>
      <c r="P7" s="20" t="n">
        <v>0</v>
      </c>
      <c r="Q7" s="18" t="n">
        <v>1.36295887</v>
      </c>
      <c r="R7" s="20" t="n">
        <v>0.34074715</v>
      </c>
    </row>
    <row r="8" spans="1:18">
      <c r="A8" s="15" t="s">
        <v>568</v>
      </c>
      <c r="B8" s="17" t="n">
        <v>3564</v>
      </c>
      <c r="C8" s="18">
        <f>(2781.0/B8*100)</f>
        <v/>
      </c>
      <c r="D8" s="19" t="n">
        <v>783</v>
      </c>
      <c r="E8" s="18" t="n">
        <v>19.7682295</v>
      </c>
      <c r="F8" s="20" t="n">
        <v>1.87163335</v>
      </c>
      <c r="G8" s="18" t="n">
        <v>77.75247057999999</v>
      </c>
      <c r="H8" s="20" t="n">
        <v>1.8494348</v>
      </c>
      <c r="I8" s="18" t="s">
        <v>567</v>
      </c>
      <c r="J8" s="20" t="s">
        <v>567</v>
      </c>
      <c r="K8" s="18" t="n">
        <v>0.59975282</v>
      </c>
      <c r="L8" s="20" t="n">
        <v>0.25328704</v>
      </c>
      <c r="M8" s="18" t="n">
        <v>0</v>
      </c>
      <c r="N8" s="20" t="n">
        <v>0</v>
      </c>
      <c r="O8" s="18" t="n">
        <v>0</v>
      </c>
      <c r="P8" s="20" t="n">
        <v>0</v>
      </c>
      <c r="Q8" s="18" t="n">
        <v>1.8795471</v>
      </c>
      <c r="R8" s="20" t="n">
        <v>0.56304954</v>
      </c>
    </row>
    <row r="9" spans="1:18">
      <c r="A9" s="15" t="s">
        <v>569</v>
      </c>
      <c r="B9" s="17" t="n">
        <v>4899</v>
      </c>
      <c r="C9" s="18">
        <f>(3896.0/B9*100)</f>
        <v/>
      </c>
      <c r="D9" s="19" t="n">
        <v>1003</v>
      </c>
      <c r="E9" s="18" t="n">
        <v>21.21600501</v>
      </c>
      <c r="F9" s="20" t="n">
        <v>1.20042981</v>
      </c>
      <c r="G9" s="18" t="n">
        <v>76.83594512000001</v>
      </c>
      <c r="H9" s="20" t="n">
        <v>1.33535778</v>
      </c>
      <c r="I9" s="18" t="s">
        <v>567</v>
      </c>
      <c r="J9" s="20" t="s">
        <v>567</v>
      </c>
      <c r="K9" s="18" t="n">
        <v>1.01588645</v>
      </c>
      <c r="L9" s="20" t="n">
        <v>0.30990838</v>
      </c>
      <c r="M9" s="18" t="n">
        <v>0</v>
      </c>
      <c r="N9" s="20" t="n">
        <v>0</v>
      </c>
      <c r="O9" s="18" t="n">
        <v>0</v>
      </c>
      <c r="P9" s="20" t="n">
        <v>0</v>
      </c>
      <c r="Q9" s="18" t="n">
        <v>0.93216342</v>
      </c>
      <c r="R9" s="20" t="n">
        <v>0.33516514</v>
      </c>
    </row>
    <row r="10" spans="1:18">
      <c r="A10" s="15" t="s">
        <v>570</v>
      </c>
      <c r="B10" s="17" t="n">
        <v>10036</v>
      </c>
      <c r="C10" s="18">
        <f>(7808.0/B10*100)</f>
        <v/>
      </c>
      <c r="D10" s="19" t="n">
        <v>2228</v>
      </c>
      <c r="E10" s="18" t="n">
        <v>20.75160736</v>
      </c>
      <c r="F10" s="20" t="n">
        <v>1.20005329</v>
      </c>
      <c r="G10" s="18" t="n">
        <v>76.86641311</v>
      </c>
      <c r="H10" s="20" t="n">
        <v>1.30369781</v>
      </c>
      <c r="I10" s="18" t="s">
        <v>567</v>
      </c>
      <c r="J10" s="20" t="s">
        <v>567</v>
      </c>
      <c r="K10" s="18" t="n">
        <v>0.84421112</v>
      </c>
      <c r="L10" s="20" t="n">
        <v>0.29675752</v>
      </c>
      <c r="M10" s="18" t="n">
        <v>0</v>
      </c>
      <c r="N10" s="20" t="n">
        <v>0</v>
      </c>
      <c r="O10" s="18" t="n">
        <v>0</v>
      </c>
      <c r="P10" s="20" t="n">
        <v>0</v>
      </c>
      <c r="Q10" s="18" t="n">
        <v>1.53776841</v>
      </c>
      <c r="R10" s="20" t="n">
        <v>0.39059366</v>
      </c>
    </row>
    <row r="11" spans="1:18">
      <c r="A11" s="15" t="s">
        <v>571</v>
      </c>
      <c r="B11" s="17" t="n">
        <v>3553</v>
      </c>
      <c r="C11" s="18">
        <f>(2826.0/B11*100)</f>
        <v/>
      </c>
      <c r="D11" s="19" t="n">
        <v>727</v>
      </c>
      <c r="E11" s="18" t="n">
        <v>23.61066054</v>
      </c>
      <c r="F11" s="20" t="n">
        <v>2.22253716</v>
      </c>
      <c r="G11" s="18" t="n">
        <v>70.47264978</v>
      </c>
      <c r="H11" s="20" t="n">
        <v>2.54582245</v>
      </c>
      <c r="I11" s="18" t="s">
        <v>567</v>
      </c>
      <c r="J11" s="20" t="s">
        <v>567</v>
      </c>
      <c r="K11" s="18" t="n">
        <v>3.31179893</v>
      </c>
      <c r="L11" s="20" t="n">
        <v>1.02823303</v>
      </c>
      <c r="M11" s="18" t="n">
        <v>0</v>
      </c>
      <c r="N11" s="20" t="n">
        <v>0</v>
      </c>
      <c r="O11" s="18" t="n">
        <v>0</v>
      </c>
      <c r="P11" s="20" t="n">
        <v>0</v>
      </c>
      <c r="Q11" s="18" t="n">
        <v>2.60489075</v>
      </c>
      <c r="R11" s="20" t="n">
        <v>0.70957478</v>
      </c>
    </row>
    <row r="12" spans="1:18">
      <c r="A12" s="15" t="s">
        <v>572</v>
      </c>
      <c r="B12" s="17" t="n">
        <v>3472</v>
      </c>
      <c r="C12" s="18">
        <f>(2718.0/B12*100)</f>
        <v/>
      </c>
      <c r="D12" s="19" t="n">
        <v>754</v>
      </c>
      <c r="E12" s="18" t="n">
        <v>19.59676344</v>
      </c>
      <c r="F12" s="20" t="n">
        <v>1.6529171</v>
      </c>
      <c r="G12" s="18" t="n">
        <v>79.72510712</v>
      </c>
      <c r="H12" s="20" t="n">
        <v>1.65126821</v>
      </c>
      <c r="I12" s="18" t="s">
        <v>567</v>
      </c>
      <c r="J12" s="20" t="s">
        <v>567</v>
      </c>
      <c r="K12" s="18" t="n">
        <v>0.30134789</v>
      </c>
      <c r="L12" s="20" t="n">
        <v>0.1807221</v>
      </c>
      <c r="M12" s="18" t="n">
        <v>0</v>
      </c>
      <c r="N12" s="20" t="n">
        <v>0</v>
      </c>
      <c r="O12" s="18" t="n">
        <v>0</v>
      </c>
      <c r="P12" s="20" t="n">
        <v>0</v>
      </c>
      <c r="Q12" s="18" t="n">
        <v>0.37678154</v>
      </c>
      <c r="R12" s="20" t="n">
        <v>0.27472229</v>
      </c>
    </row>
    <row r="13" spans="1:18">
      <c r="A13" s="15" t="s">
        <v>573</v>
      </c>
      <c r="B13" s="17" t="n">
        <v>3559</v>
      </c>
      <c r="C13" s="18">
        <f>(2794.0/B13*100)</f>
        <v/>
      </c>
      <c r="D13" s="19" t="n">
        <v>765</v>
      </c>
      <c r="E13" s="18" t="n">
        <v>27.44961108</v>
      </c>
      <c r="F13" s="20" t="n">
        <v>1.85749843</v>
      </c>
      <c r="G13" s="18" t="n">
        <v>71.13451641</v>
      </c>
      <c r="H13" s="20" t="n">
        <v>1.87036234</v>
      </c>
      <c r="I13" s="18" t="s">
        <v>567</v>
      </c>
      <c r="J13" s="20" t="s">
        <v>567</v>
      </c>
      <c r="K13" s="18" t="n">
        <v>0.16201349</v>
      </c>
      <c r="L13" s="20" t="n">
        <v>0.10399558</v>
      </c>
      <c r="M13" s="18" t="n">
        <v>0</v>
      </c>
      <c r="N13" s="20" t="n">
        <v>0</v>
      </c>
      <c r="O13" s="18" t="n">
        <v>0</v>
      </c>
      <c r="P13" s="20" t="n">
        <v>0</v>
      </c>
      <c r="Q13" s="18" t="n">
        <v>1.25385901</v>
      </c>
      <c r="R13" s="20" t="n">
        <v>0.5149877899999999</v>
      </c>
    </row>
    <row r="14" spans="1:18">
      <c r="A14" s="15" t="s">
        <v>574</v>
      </c>
      <c r="B14" s="17" t="n">
        <v>2799</v>
      </c>
      <c r="C14" s="18">
        <f>(2223.0/B14*100)</f>
        <v/>
      </c>
      <c r="D14" s="19" t="n">
        <v>576</v>
      </c>
      <c r="E14" s="18" t="n">
        <v>29.63105802</v>
      </c>
      <c r="F14" s="20" t="n">
        <v>2.27492512</v>
      </c>
      <c r="G14" s="18" t="n">
        <v>68.70449787</v>
      </c>
      <c r="H14" s="20" t="n">
        <v>2.32588259</v>
      </c>
      <c r="I14" s="18" t="s">
        <v>567</v>
      </c>
      <c r="J14" s="20" t="s">
        <v>567</v>
      </c>
      <c r="K14" s="18" t="n">
        <v>0.43321335</v>
      </c>
      <c r="L14" s="20" t="n">
        <v>0.25297815</v>
      </c>
      <c r="M14" s="18" t="n">
        <v>0</v>
      </c>
      <c r="N14" s="20" t="n">
        <v>0</v>
      </c>
      <c r="O14" s="18" t="n">
        <v>0</v>
      </c>
      <c r="P14" s="20" t="n">
        <v>0</v>
      </c>
      <c r="Q14" s="18" t="n">
        <v>1.23123075</v>
      </c>
      <c r="R14" s="20" t="n">
        <v>0.51389811</v>
      </c>
    </row>
    <row r="15" spans="1:18">
      <c r="A15" s="15" t="s">
        <v>575</v>
      </c>
      <c r="B15" s="17" t="n">
        <v>3019</v>
      </c>
      <c r="C15" s="18">
        <f>(2380.0/B15*100)</f>
        <v/>
      </c>
      <c r="D15" s="19" t="n">
        <v>639</v>
      </c>
      <c r="E15" s="18" t="n">
        <v>21.09113282</v>
      </c>
      <c r="F15" s="20" t="n">
        <v>1.82599392</v>
      </c>
      <c r="G15" s="18" t="n">
        <v>76.33917563</v>
      </c>
      <c r="H15" s="20" t="n">
        <v>1.90927263</v>
      </c>
      <c r="I15" s="18" t="s">
        <v>567</v>
      </c>
      <c r="J15" s="20" t="s">
        <v>567</v>
      </c>
      <c r="K15" s="18" t="n">
        <v>0.36198044</v>
      </c>
      <c r="L15" s="20" t="n">
        <v>0.2728532</v>
      </c>
      <c r="M15" s="18" t="n">
        <v>0</v>
      </c>
      <c r="N15" s="20" t="n">
        <v>0</v>
      </c>
      <c r="O15" s="18" t="n">
        <v>0</v>
      </c>
      <c r="P15" s="20" t="n">
        <v>0</v>
      </c>
      <c r="Q15" s="18" t="n">
        <v>2.20771111</v>
      </c>
      <c r="R15" s="20" t="n">
        <v>0.58741669</v>
      </c>
    </row>
    <row r="16" spans="1:18">
      <c r="A16" s="15" t="s">
        <v>576</v>
      </c>
      <c r="B16" s="17" t="n">
        <v>2997</v>
      </c>
      <c r="C16" s="18">
        <f>(2371.0/B16*100)</f>
        <v/>
      </c>
      <c r="D16" s="19" t="n">
        <v>626</v>
      </c>
      <c r="E16" s="18" t="n">
        <v>25.50770242</v>
      </c>
      <c r="F16" s="20" t="n">
        <v>1.78253133</v>
      </c>
      <c r="G16" s="18" t="n">
        <v>70.62288891999999</v>
      </c>
      <c r="H16" s="20" t="n">
        <v>1.8376816</v>
      </c>
      <c r="I16" s="18" t="s">
        <v>567</v>
      </c>
      <c r="J16" s="20" t="s">
        <v>567</v>
      </c>
      <c r="K16" s="18" t="n">
        <v>1.32671531</v>
      </c>
      <c r="L16" s="20" t="n">
        <v>0.45791261</v>
      </c>
      <c r="M16" s="18" t="n">
        <v>0</v>
      </c>
      <c r="N16" s="20" t="n">
        <v>0</v>
      </c>
      <c r="O16" s="18" t="n">
        <v>0</v>
      </c>
      <c r="P16" s="20" t="n">
        <v>0</v>
      </c>
      <c r="Q16" s="18" t="n">
        <v>2.54269335</v>
      </c>
      <c r="R16" s="20" t="n">
        <v>0.6527005299999999</v>
      </c>
    </row>
    <row r="17" spans="1:18">
      <c r="A17" s="15" t="s">
        <v>577</v>
      </c>
      <c r="B17" s="17" t="n">
        <v>3307</v>
      </c>
      <c r="C17" s="18">
        <f>(2603.0/B17*100)</f>
        <v/>
      </c>
      <c r="D17" s="19" t="n">
        <v>704</v>
      </c>
      <c r="E17" s="18" t="n">
        <v>17.04923741</v>
      </c>
      <c r="F17" s="20" t="n">
        <v>1.51212218</v>
      </c>
      <c r="G17" s="18" t="n">
        <v>79.45925471</v>
      </c>
      <c r="H17" s="20" t="n">
        <v>1.6434238</v>
      </c>
      <c r="I17" s="18" t="s">
        <v>567</v>
      </c>
      <c r="J17" s="20" t="s">
        <v>567</v>
      </c>
      <c r="K17" s="18" t="n">
        <v>0.53725647</v>
      </c>
      <c r="L17" s="20" t="n">
        <v>0.23521333</v>
      </c>
      <c r="M17" s="18" t="n">
        <v>0</v>
      </c>
      <c r="N17" s="20" t="n">
        <v>0</v>
      </c>
      <c r="O17" s="18" t="n">
        <v>0</v>
      </c>
      <c r="P17" s="20" t="n">
        <v>0</v>
      </c>
      <c r="Q17" s="18" t="n">
        <v>2.95425141</v>
      </c>
      <c r="R17" s="20" t="n">
        <v>0.62703633</v>
      </c>
    </row>
    <row r="18" spans="1:18">
      <c r="A18" s="15" t="s">
        <v>578</v>
      </c>
      <c r="B18" s="17" t="n">
        <v>2826</v>
      </c>
      <c r="C18" s="18">
        <f>(2237.0/B18*100)</f>
        <v/>
      </c>
      <c r="D18" s="19" t="n">
        <v>589</v>
      </c>
      <c r="E18" s="18" t="n">
        <v>22.48106223</v>
      </c>
      <c r="F18" s="20" t="n">
        <v>1.94685691</v>
      </c>
      <c r="G18" s="18" t="n">
        <v>72.78647443</v>
      </c>
      <c r="H18" s="20" t="n">
        <v>2.11203773</v>
      </c>
      <c r="I18" s="18" t="s">
        <v>567</v>
      </c>
      <c r="J18" s="20" t="s">
        <v>567</v>
      </c>
      <c r="K18" s="18" t="n">
        <v>1.22527607</v>
      </c>
      <c r="L18" s="20" t="n">
        <v>0.47300284</v>
      </c>
      <c r="M18" s="18" t="n">
        <v>0</v>
      </c>
      <c r="N18" s="20" t="n">
        <v>0</v>
      </c>
      <c r="O18" s="18" t="n">
        <v>0</v>
      </c>
      <c r="P18" s="20" t="n">
        <v>0</v>
      </c>
      <c r="Q18" s="18" t="n">
        <v>3.50718727</v>
      </c>
      <c r="R18" s="20" t="n">
        <v>0.82879826</v>
      </c>
    </row>
    <row r="19" spans="1:18">
      <c r="A19" s="15" t="s">
        <v>579</v>
      </c>
      <c r="B19" s="17" t="n">
        <v>2808</v>
      </c>
      <c r="C19" s="18">
        <f>(2150.0/B19*100)</f>
        <v/>
      </c>
      <c r="D19" s="19" t="n">
        <v>658</v>
      </c>
      <c r="E19" s="18" t="n">
        <v>31.0073939</v>
      </c>
      <c r="F19" s="20" t="n">
        <v>1.83993207</v>
      </c>
      <c r="G19" s="18" t="n">
        <v>67.15865047</v>
      </c>
      <c r="H19" s="20" t="n">
        <v>1.75718412</v>
      </c>
      <c r="I19" s="18" t="s">
        <v>567</v>
      </c>
      <c r="J19" s="20" t="s">
        <v>567</v>
      </c>
      <c r="K19" s="18" t="n">
        <v>0.23330341</v>
      </c>
      <c r="L19" s="20" t="n">
        <v>0.16409814</v>
      </c>
      <c r="M19" s="18" t="n">
        <v>0</v>
      </c>
      <c r="N19" s="20" t="n">
        <v>0</v>
      </c>
      <c r="O19" s="18" t="n">
        <v>0</v>
      </c>
      <c r="P19" s="20" t="n">
        <v>0</v>
      </c>
      <c r="Q19" s="18" t="n">
        <v>1.60065223</v>
      </c>
      <c r="R19" s="20" t="n">
        <v>0.55588472</v>
      </c>
    </row>
    <row r="20" spans="1:18">
      <c r="A20" s="15" t="s">
        <v>580</v>
      </c>
      <c r="B20" s="17" t="n">
        <v>1630</v>
      </c>
      <c r="C20" s="18">
        <f>(1256.0/B20*100)</f>
        <v/>
      </c>
      <c r="D20" s="19" t="n">
        <v>374</v>
      </c>
      <c r="E20" s="18" t="n">
        <v>17.93026836</v>
      </c>
      <c r="F20" s="20" t="n">
        <v>2.08509472</v>
      </c>
      <c r="G20" s="18" t="n">
        <v>79.42376311</v>
      </c>
      <c r="H20" s="20" t="n">
        <v>2.02467297</v>
      </c>
      <c r="I20" s="18" t="s">
        <v>567</v>
      </c>
      <c r="J20" s="20" t="s">
        <v>567</v>
      </c>
      <c r="K20" s="18" t="n">
        <v>1.17231708</v>
      </c>
      <c r="L20" s="20" t="n">
        <v>0.59588518</v>
      </c>
      <c r="M20" s="18" t="n">
        <v>0</v>
      </c>
      <c r="N20" s="20" t="n">
        <v>0</v>
      </c>
      <c r="O20" s="18" t="n">
        <v>0</v>
      </c>
      <c r="P20" s="20" t="n">
        <v>0</v>
      </c>
      <c r="Q20" s="18" t="n">
        <v>1.47365146</v>
      </c>
      <c r="R20" s="20" t="n">
        <v>0.70059074</v>
      </c>
    </row>
    <row r="21" spans="1:18">
      <c r="A21" s="15" t="s">
        <v>581</v>
      </c>
      <c r="B21" s="17" t="n">
        <v>2908</v>
      </c>
      <c r="C21" s="18">
        <f>(2277.0/B21*100)</f>
        <v/>
      </c>
      <c r="D21" s="19" t="n">
        <v>631</v>
      </c>
      <c r="E21" s="18" t="n">
        <v>40.88899239</v>
      </c>
      <c r="F21" s="20" t="n">
        <v>1.96992285</v>
      </c>
      <c r="G21" s="18" t="n">
        <v>57.43350856</v>
      </c>
      <c r="H21" s="20" t="n">
        <v>1.91966665</v>
      </c>
      <c r="I21" s="18" t="s">
        <v>567</v>
      </c>
      <c r="J21" s="20" t="s">
        <v>567</v>
      </c>
      <c r="K21" s="18" t="n">
        <v>0.39634073</v>
      </c>
      <c r="L21" s="20" t="n">
        <v>0.25094051</v>
      </c>
      <c r="M21" s="18" t="n">
        <v>0</v>
      </c>
      <c r="N21" s="20" t="n">
        <v>0</v>
      </c>
      <c r="O21" s="18" t="n">
        <v>0</v>
      </c>
      <c r="P21" s="20" t="n">
        <v>0</v>
      </c>
      <c r="Q21" s="18" t="n">
        <v>1.28115831</v>
      </c>
      <c r="R21" s="20" t="n">
        <v>0.43087712</v>
      </c>
    </row>
    <row r="22" spans="1:18">
      <c r="A22" s="15" t="s">
        <v>582</v>
      </c>
      <c r="B22" s="17" t="n">
        <v>2931</v>
      </c>
      <c r="C22" s="18">
        <f>(2306.0/B22*100)</f>
        <v/>
      </c>
      <c r="D22" s="19" t="n">
        <v>625</v>
      </c>
      <c r="E22" s="18" t="n">
        <v>38.25236454</v>
      </c>
      <c r="F22" s="20" t="n">
        <v>2.00249462</v>
      </c>
      <c r="G22" s="18" t="n">
        <v>56.77064569</v>
      </c>
      <c r="H22" s="20" t="n">
        <v>2.01784845</v>
      </c>
      <c r="I22" s="18" t="s">
        <v>567</v>
      </c>
      <c r="J22" s="20" t="s">
        <v>567</v>
      </c>
      <c r="K22" s="18" t="n">
        <v>1.74366778</v>
      </c>
      <c r="L22" s="20" t="n">
        <v>0.57062278</v>
      </c>
      <c r="M22" s="18" t="n">
        <v>0</v>
      </c>
      <c r="N22" s="20" t="n">
        <v>0</v>
      </c>
      <c r="O22" s="18" t="n">
        <v>0</v>
      </c>
      <c r="P22" s="20" t="n">
        <v>0</v>
      </c>
      <c r="Q22" s="18" t="n">
        <v>3.23332198</v>
      </c>
      <c r="R22" s="20" t="n">
        <v>0.66887808</v>
      </c>
    </row>
    <row r="23" spans="1:18">
      <c r="A23" s="15" t="s">
        <v>583</v>
      </c>
      <c r="B23" s="17" t="n">
        <v>5791</v>
      </c>
      <c r="C23" s="18">
        <f>(4491.0/B23*100)</f>
        <v/>
      </c>
      <c r="D23" s="19" t="n">
        <v>1300</v>
      </c>
      <c r="E23" s="18" t="n">
        <v>30.77278797</v>
      </c>
      <c r="F23" s="20" t="n">
        <v>1.91474049</v>
      </c>
      <c r="G23" s="18" t="n">
        <v>66.48256671</v>
      </c>
      <c r="H23" s="20" t="n">
        <v>2.15473114</v>
      </c>
      <c r="I23" s="18" t="s">
        <v>567</v>
      </c>
      <c r="J23" s="20" t="s">
        <v>567</v>
      </c>
      <c r="K23" s="18" t="n">
        <v>0.59408898</v>
      </c>
      <c r="L23" s="20" t="n">
        <v>0.24528248</v>
      </c>
      <c r="M23" s="18" t="n">
        <v>0</v>
      </c>
      <c r="N23" s="20" t="n">
        <v>0</v>
      </c>
      <c r="O23" s="18" t="n">
        <v>0</v>
      </c>
      <c r="P23" s="20" t="n">
        <v>0</v>
      </c>
      <c r="Q23" s="18" t="n">
        <v>2.15055634</v>
      </c>
      <c r="R23" s="20" t="n">
        <v>0.72901276</v>
      </c>
    </row>
    <row r="24" spans="1:18">
      <c r="A24" s="15" t="s">
        <v>584</v>
      </c>
      <c r="B24" s="17" t="n">
        <v>3338</v>
      </c>
      <c r="C24" s="18">
        <f>(2625.0/B24*100)</f>
        <v/>
      </c>
      <c r="D24" s="19" t="n">
        <v>713</v>
      </c>
      <c r="E24" s="18" t="n">
        <v>3.86086057</v>
      </c>
      <c r="F24" s="20" t="n">
        <v>0.84802224</v>
      </c>
      <c r="G24" s="18" t="n">
        <v>91.69403909</v>
      </c>
      <c r="H24" s="20" t="n">
        <v>1.11489793</v>
      </c>
      <c r="I24" s="18" t="s">
        <v>567</v>
      </c>
      <c r="J24" s="20" t="s">
        <v>567</v>
      </c>
      <c r="K24" s="18" t="n">
        <v>0.41285298</v>
      </c>
      <c r="L24" s="20" t="n">
        <v>0.30281656</v>
      </c>
      <c r="M24" s="18" t="n">
        <v>0</v>
      </c>
      <c r="N24" s="20" t="n">
        <v>0</v>
      </c>
      <c r="O24" s="18" t="n">
        <v>0</v>
      </c>
      <c r="P24" s="20" t="n">
        <v>0</v>
      </c>
      <c r="Q24" s="18" t="n">
        <v>4.03224737</v>
      </c>
      <c r="R24" s="20" t="n">
        <v>0.6962665099999999</v>
      </c>
    </row>
    <row r="25" spans="1:18">
      <c r="A25" s="15" t="s">
        <v>585</v>
      </c>
      <c r="B25" s="17" t="n">
        <v>2912</v>
      </c>
      <c r="C25" s="18">
        <f>(2243.0/B25*100)</f>
        <v/>
      </c>
      <c r="D25" s="19" t="n">
        <v>669</v>
      </c>
      <c r="E25" s="18" t="n">
        <v>7.8169313</v>
      </c>
      <c r="F25" s="20" t="n">
        <v>0.82357247</v>
      </c>
      <c r="G25" s="18" t="n">
        <v>88.32870004999999</v>
      </c>
      <c r="H25" s="20" t="n">
        <v>1.17984807</v>
      </c>
      <c r="I25" s="18" t="s">
        <v>567</v>
      </c>
      <c r="J25" s="20" t="s">
        <v>567</v>
      </c>
      <c r="K25" s="18" t="n">
        <v>0.58088169</v>
      </c>
      <c r="L25" s="20" t="n">
        <v>0.28781084</v>
      </c>
      <c r="M25" s="18" t="n">
        <v>0</v>
      </c>
      <c r="N25" s="20" t="n">
        <v>0</v>
      </c>
      <c r="O25" s="18" t="n">
        <v>0</v>
      </c>
      <c r="P25" s="20" t="n">
        <v>0</v>
      </c>
      <c r="Q25" s="18" t="n">
        <v>3.27348696</v>
      </c>
      <c r="R25" s="20" t="n">
        <v>0.74610499</v>
      </c>
    </row>
    <row r="26" spans="1:18">
      <c r="A26" s="15" t="s">
        <v>586</v>
      </c>
      <c r="B26" s="17" t="n">
        <v>2450</v>
      </c>
      <c r="C26" s="18">
        <f>(1913.0/B26*100)</f>
        <v/>
      </c>
      <c r="D26" s="19" t="n">
        <v>537</v>
      </c>
      <c r="E26" s="18" t="n">
        <v>38.58033674</v>
      </c>
      <c r="F26" s="20" t="n">
        <v>2.46767648</v>
      </c>
      <c r="G26" s="18" t="n">
        <v>60.56445796</v>
      </c>
      <c r="H26" s="20" t="n">
        <v>2.53036485</v>
      </c>
      <c r="I26" s="18" t="s">
        <v>567</v>
      </c>
      <c r="J26" s="20" t="s">
        <v>567</v>
      </c>
      <c r="K26" s="18" t="n">
        <v>0</v>
      </c>
      <c r="L26" s="20" t="n">
        <v>0</v>
      </c>
      <c r="M26" s="18" t="n">
        <v>0</v>
      </c>
      <c r="N26" s="20" t="n">
        <v>0</v>
      </c>
      <c r="O26" s="18" t="n">
        <v>0</v>
      </c>
      <c r="P26" s="20" t="n">
        <v>0</v>
      </c>
      <c r="Q26" s="18" t="n">
        <v>0.8552052999999999</v>
      </c>
      <c r="R26" s="20" t="n">
        <v>0.38558456</v>
      </c>
    </row>
    <row r="27" spans="1:18">
      <c r="A27" s="15" t="s">
        <v>587</v>
      </c>
      <c r="B27" s="17" t="n">
        <v>2616</v>
      </c>
      <c r="C27" s="18">
        <f>(2054.0/B27*100)</f>
        <v/>
      </c>
      <c r="D27" s="19" t="n">
        <v>562</v>
      </c>
      <c r="E27" s="18" t="n">
        <v>22.67168691</v>
      </c>
      <c r="F27" s="20" t="n">
        <v>1.59149994</v>
      </c>
      <c r="G27" s="18" t="n">
        <v>74.84884126</v>
      </c>
      <c r="H27" s="20" t="n">
        <v>1.64920314</v>
      </c>
      <c r="I27" s="18" t="s">
        <v>567</v>
      </c>
      <c r="J27" s="20" t="s">
        <v>567</v>
      </c>
      <c r="K27" s="18" t="n">
        <v>0.86829363</v>
      </c>
      <c r="L27" s="20" t="n">
        <v>0.39106399</v>
      </c>
      <c r="M27" s="18" t="n">
        <v>0</v>
      </c>
      <c r="N27" s="20" t="n">
        <v>0</v>
      </c>
      <c r="O27" s="18" t="n">
        <v>0</v>
      </c>
      <c r="P27" s="20" t="n">
        <v>0</v>
      </c>
      <c r="Q27" s="18" t="n">
        <v>1.61117819</v>
      </c>
      <c r="R27" s="20" t="n">
        <v>0.53249172</v>
      </c>
    </row>
    <row r="28" spans="1:18">
      <c r="A28" s="15" t="s">
        <v>588</v>
      </c>
      <c r="B28" s="17" t="n">
        <v>3765</v>
      </c>
      <c r="C28" s="18">
        <f>(3010.0/B28*100)</f>
        <v/>
      </c>
      <c r="D28" s="19" t="n">
        <v>755</v>
      </c>
      <c r="E28" s="18" t="n">
        <v>22.04800755</v>
      </c>
      <c r="F28" s="20" t="n">
        <v>1.69567025</v>
      </c>
      <c r="G28" s="18" t="n">
        <v>72.92045969999999</v>
      </c>
      <c r="H28" s="20" t="n">
        <v>1.83371491</v>
      </c>
      <c r="I28" s="18" t="s">
        <v>567</v>
      </c>
      <c r="J28" s="20" t="s">
        <v>567</v>
      </c>
      <c r="K28" s="18" t="n">
        <v>1.4689249</v>
      </c>
      <c r="L28" s="20" t="n">
        <v>0.54742907</v>
      </c>
      <c r="M28" s="18" t="n">
        <v>0</v>
      </c>
      <c r="N28" s="20" t="n">
        <v>0</v>
      </c>
      <c r="O28" s="18" t="n">
        <v>0</v>
      </c>
      <c r="P28" s="20" t="n">
        <v>0</v>
      </c>
      <c r="Q28" s="18" t="n">
        <v>3.56260785</v>
      </c>
      <c r="R28" s="20" t="n">
        <v>0.7651744</v>
      </c>
    </row>
    <row r="29" spans="1:18">
      <c r="A29" s="15" t="s">
        <v>589</v>
      </c>
      <c r="B29" s="17" t="n">
        <v>2685</v>
      </c>
      <c r="C29" s="18">
        <f>(2106.0/B29*100)</f>
        <v/>
      </c>
      <c r="D29" s="19" t="n">
        <v>579</v>
      </c>
      <c r="E29" s="18" t="n">
        <v>15.6646568</v>
      </c>
      <c r="F29" s="20" t="n">
        <v>1.59907819</v>
      </c>
      <c r="G29" s="18" t="n">
        <v>82.81848318999999</v>
      </c>
      <c r="H29" s="20" t="n">
        <v>1.71652519</v>
      </c>
      <c r="I29" s="18" t="s">
        <v>567</v>
      </c>
      <c r="J29" s="20" t="s">
        <v>567</v>
      </c>
      <c r="K29" s="18" t="n">
        <v>0.63425145</v>
      </c>
      <c r="L29" s="20" t="n">
        <v>0.31559316</v>
      </c>
      <c r="M29" s="18" t="n">
        <v>0</v>
      </c>
      <c r="N29" s="20" t="n">
        <v>0</v>
      </c>
      <c r="O29" s="18" t="n">
        <v>0</v>
      </c>
      <c r="P29" s="20" t="n">
        <v>0</v>
      </c>
      <c r="Q29" s="18" t="n">
        <v>0.88260856</v>
      </c>
      <c r="R29" s="20" t="n">
        <v>0.36991969</v>
      </c>
    </row>
    <row r="30" spans="1:18">
      <c r="A30" s="15" t="s">
        <v>590</v>
      </c>
      <c r="B30" s="17" t="n">
        <v>2263</v>
      </c>
      <c r="C30" s="18">
        <f>(1793.0/B30*100)</f>
        <v/>
      </c>
      <c r="D30" s="19" t="n">
        <v>470</v>
      </c>
      <c r="E30" s="18" t="n">
        <v>26.2187465</v>
      </c>
      <c r="F30" s="20" t="n">
        <v>1.72928937</v>
      </c>
      <c r="G30" s="18" t="n">
        <v>71.72929589</v>
      </c>
      <c r="H30" s="20" t="n">
        <v>1.76634276</v>
      </c>
      <c r="I30" s="18" t="s">
        <v>567</v>
      </c>
      <c r="J30" s="20" t="s">
        <v>567</v>
      </c>
      <c r="K30" s="18" t="n">
        <v>0.79869728</v>
      </c>
      <c r="L30" s="20" t="n">
        <v>0.40072654</v>
      </c>
      <c r="M30" s="18" t="n">
        <v>0</v>
      </c>
      <c r="N30" s="20" t="n">
        <v>0</v>
      </c>
      <c r="O30" s="18" t="n">
        <v>0</v>
      </c>
      <c r="P30" s="20" t="n">
        <v>0</v>
      </c>
      <c r="Q30" s="18" t="n">
        <v>1.25326033</v>
      </c>
      <c r="R30" s="20" t="n">
        <v>0.51433197</v>
      </c>
    </row>
    <row r="31" spans="1:18">
      <c r="A31" s="15" t="s">
        <v>591</v>
      </c>
      <c r="B31" s="17" t="n">
        <v>2750</v>
      </c>
      <c r="C31" s="18">
        <f>(2179.0/B31*100)</f>
        <v/>
      </c>
      <c r="D31" s="19" t="n">
        <v>571</v>
      </c>
      <c r="E31" s="18" t="n">
        <v>30.19176061</v>
      </c>
      <c r="F31" s="20" t="n">
        <v>1.66776183</v>
      </c>
      <c r="G31" s="18" t="n">
        <v>67.43112338</v>
      </c>
      <c r="H31" s="20" t="n">
        <v>1.81347667</v>
      </c>
      <c r="I31" s="18" t="s">
        <v>567</v>
      </c>
      <c r="J31" s="20" t="s">
        <v>567</v>
      </c>
      <c r="K31" s="18" t="n">
        <v>1.35188146</v>
      </c>
      <c r="L31" s="20" t="n">
        <v>0.5552881200000001</v>
      </c>
      <c r="M31" s="18" t="n">
        <v>0</v>
      </c>
      <c r="N31" s="20" t="n">
        <v>0</v>
      </c>
      <c r="O31" s="18" t="n">
        <v>0</v>
      </c>
      <c r="P31" s="20" t="n">
        <v>0</v>
      </c>
      <c r="Q31" s="18" t="n">
        <v>1.02523456</v>
      </c>
      <c r="R31" s="20" t="n">
        <v>0.411004</v>
      </c>
    </row>
    <row r="32" spans="1:18">
      <c r="A32" s="15" t="s">
        <v>592</v>
      </c>
      <c r="B32" s="17" t="n">
        <v>2269</v>
      </c>
      <c r="C32" s="18">
        <f>(1764.0/B32*100)</f>
        <v/>
      </c>
      <c r="D32" s="19" t="n">
        <v>505</v>
      </c>
      <c r="E32" s="18" t="n">
        <v>33.98169005</v>
      </c>
      <c r="F32" s="20" t="n">
        <v>2.00791823</v>
      </c>
      <c r="G32" s="18" t="n">
        <v>64.18231778000001</v>
      </c>
      <c r="H32" s="20" t="n">
        <v>2.06361457</v>
      </c>
      <c r="I32" s="18" t="s">
        <v>567</v>
      </c>
      <c r="J32" s="20" t="s">
        <v>567</v>
      </c>
      <c r="K32" s="18" t="n">
        <v>0.56288297</v>
      </c>
      <c r="L32" s="20" t="n">
        <v>0.31828332</v>
      </c>
      <c r="M32" s="18" t="n">
        <v>0</v>
      </c>
      <c r="N32" s="20" t="n">
        <v>0</v>
      </c>
      <c r="O32" s="18" t="n">
        <v>0</v>
      </c>
      <c r="P32" s="20" t="n">
        <v>0</v>
      </c>
      <c r="Q32" s="18" t="n">
        <v>1.27310921</v>
      </c>
      <c r="R32" s="20" t="n">
        <v>0.48223068</v>
      </c>
    </row>
    <row r="33" spans="1:18">
      <c r="A33" s="15" t="s">
        <v>593</v>
      </c>
      <c r="B33" s="17" t="n">
        <v>3674</v>
      </c>
      <c r="C33" s="18">
        <f>(2927.0/B33*100)</f>
        <v/>
      </c>
      <c r="D33" s="19" t="n">
        <v>747</v>
      </c>
      <c r="E33" s="18" t="n">
        <v>27.02790266</v>
      </c>
      <c r="F33" s="20" t="n">
        <v>1.60729817</v>
      </c>
      <c r="G33" s="18" t="n">
        <v>68.75946623999999</v>
      </c>
      <c r="H33" s="20" t="n">
        <v>1.79969447</v>
      </c>
      <c r="I33" s="18" t="s">
        <v>567</v>
      </c>
      <c r="J33" s="20" t="s">
        <v>567</v>
      </c>
      <c r="K33" s="18" t="n">
        <v>0.77793966</v>
      </c>
      <c r="L33" s="20" t="n">
        <v>0.38020261</v>
      </c>
      <c r="M33" s="18" t="n">
        <v>0</v>
      </c>
      <c r="N33" s="20" t="n">
        <v>0</v>
      </c>
      <c r="O33" s="18" t="n">
        <v>0</v>
      </c>
      <c r="P33" s="20" t="n">
        <v>0</v>
      </c>
      <c r="Q33" s="18" t="n">
        <v>3.43469144</v>
      </c>
      <c r="R33" s="20" t="n">
        <v>0.82042223</v>
      </c>
    </row>
    <row r="34" spans="1:18">
      <c r="A34" s="15" t="s">
        <v>594</v>
      </c>
      <c r="B34" s="17" t="n">
        <v>3315</v>
      </c>
      <c r="C34" s="18">
        <f>(2625.0/B34*100)</f>
        <v/>
      </c>
      <c r="D34" s="19" t="n">
        <v>690</v>
      </c>
      <c r="E34" s="18" t="n">
        <v>29.51043599</v>
      </c>
      <c r="F34" s="20" t="n">
        <v>2.15450216</v>
      </c>
      <c r="G34" s="18" t="n">
        <v>67.8217825</v>
      </c>
      <c r="H34" s="20" t="n">
        <v>2.13686705</v>
      </c>
      <c r="I34" s="18" t="s">
        <v>567</v>
      </c>
      <c r="J34" s="20" t="s">
        <v>567</v>
      </c>
      <c r="K34" s="18" t="n">
        <v>0.27749387</v>
      </c>
      <c r="L34" s="20" t="n">
        <v>0.22801236</v>
      </c>
      <c r="M34" s="18" t="n">
        <v>0</v>
      </c>
      <c r="N34" s="20" t="n">
        <v>0</v>
      </c>
      <c r="O34" s="18" t="n">
        <v>0</v>
      </c>
      <c r="P34" s="20" t="n">
        <v>0</v>
      </c>
      <c r="Q34" s="18" t="n">
        <v>2.39028765</v>
      </c>
      <c r="R34" s="20" t="n">
        <v>0.58688065</v>
      </c>
    </row>
    <row r="35" spans="1:18">
      <c r="A35" s="15" t="s">
        <v>595</v>
      </c>
      <c r="B35" s="17" t="n">
        <v>3505</v>
      </c>
      <c r="C35" s="18">
        <f>(2749.0/B35*100)</f>
        <v/>
      </c>
      <c r="D35" s="19" t="n">
        <v>756</v>
      </c>
      <c r="E35" s="18" t="n">
        <v>18.65905195</v>
      </c>
      <c r="F35" s="20" t="n">
        <v>1.68087201</v>
      </c>
      <c r="G35" s="18" t="n">
        <v>78.42876118</v>
      </c>
      <c r="H35" s="20" t="n">
        <v>1.91992174</v>
      </c>
      <c r="I35" s="18" t="s">
        <v>567</v>
      </c>
      <c r="J35" s="20" t="s">
        <v>567</v>
      </c>
      <c r="K35" s="18" t="n">
        <v>1.0222866</v>
      </c>
      <c r="L35" s="20" t="n">
        <v>0.44717566</v>
      </c>
      <c r="M35" s="18" t="n">
        <v>0</v>
      </c>
      <c r="N35" s="20" t="n">
        <v>0</v>
      </c>
      <c r="O35" s="18" t="n">
        <v>0</v>
      </c>
      <c r="P35" s="20" t="n">
        <v>0</v>
      </c>
      <c r="Q35" s="18" t="n">
        <v>1.88990027</v>
      </c>
      <c r="R35" s="20" t="n">
        <v>0.65398208</v>
      </c>
    </row>
    <row r="36" spans="1:18">
      <c r="A36" s="15" t="s">
        <v>596</v>
      </c>
      <c r="B36" s="17" t="n">
        <v>3332</v>
      </c>
      <c r="C36" s="18">
        <f>(2575.0/B36*100)</f>
        <v/>
      </c>
      <c r="D36" s="19" t="n">
        <v>757</v>
      </c>
      <c r="E36" s="18" t="n">
        <v>23.63398469</v>
      </c>
      <c r="F36" s="20" t="n">
        <v>1.74522412</v>
      </c>
      <c r="G36" s="18" t="n">
        <v>73.73515399</v>
      </c>
      <c r="H36" s="20" t="n">
        <v>1.91849504</v>
      </c>
      <c r="I36" s="18" t="s">
        <v>567</v>
      </c>
      <c r="J36" s="20" t="s">
        <v>567</v>
      </c>
      <c r="K36" s="18" t="n">
        <v>1.30626077</v>
      </c>
      <c r="L36" s="20" t="n">
        <v>0.450588</v>
      </c>
      <c r="M36" s="18" t="n">
        <v>0</v>
      </c>
      <c r="N36" s="20" t="n">
        <v>0</v>
      </c>
      <c r="O36" s="18" t="n">
        <v>0</v>
      </c>
      <c r="P36" s="20" t="n">
        <v>0</v>
      </c>
      <c r="Q36" s="18" t="n">
        <v>1.32460055</v>
      </c>
      <c r="R36" s="20" t="n">
        <v>0.516629</v>
      </c>
    </row>
    <row r="37" spans="1:18">
      <c r="A37" s="15" t="s">
        <v>597</v>
      </c>
      <c r="B37" s="17" t="n">
        <v>2727</v>
      </c>
      <c r="C37" s="18">
        <f>(2162.0/B37*100)</f>
        <v/>
      </c>
      <c r="D37" s="19" t="n">
        <v>565</v>
      </c>
      <c r="E37" s="18" t="n">
        <v>24.62667967</v>
      </c>
      <c r="F37" s="20" t="n">
        <v>1.74825045</v>
      </c>
      <c r="G37" s="18" t="n">
        <v>71.97612896</v>
      </c>
      <c r="H37" s="20" t="n">
        <v>1.88225791</v>
      </c>
      <c r="I37" s="18" t="s">
        <v>567</v>
      </c>
      <c r="J37" s="20" t="s">
        <v>567</v>
      </c>
      <c r="K37" s="18" t="n">
        <v>1.54201364</v>
      </c>
      <c r="L37" s="20" t="n">
        <v>0.5434228800000001</v>
      </c>
      <c r="M37" s="18" t="n">
        <v>0</v>
      </c>
      <c r="N37" s="20" t="n">
        <v>0</v>
      </c>
      <c r="O37" s="18" t="n">
        <v>0</v>
      </c>
      <c r="P37" s="20" t="n">
        <v>0</v>
      </c>
      <c r="Q37" s="18" t="n">
        <v>1.85517773</v>
      </c>
      <c r="R37" s="20" t="n">
        <v>0.5877026</v>
      </c>
    </row>
    <row r="38" spans="1:18">
      <c r="A38" s="15" t="s">
        <v>598</v>
      </c>
      <c r="B38" s="17" t="n">
        <v>3053</v>
      </c>
      <c r="C38" s="18">
        <f>(2390.0/B38*100)</f>
        <v/>
      </c>
      <c r="D38" s="19" t="n">
        <v>663</v>
      </c>
      <c r="E38" s="18" t="n">
        <v>21.04966178</v>
      </c>
      <c r="F38" s="20" t="n">
        <v>2.01388082</v>
      </c>
      <c r="G38" s="18" t="n">
        <v>75.97525439</v>
      </c>
      <c r="H38" s="20" t="n">
        <v>2.20856713</v>
      </c>
      <c r="I38" s="18" t="s">
        <v>567</v>
      </c>
      <c r="J38" s="20" t="s">
        <v>567</v>
      </c>
      <c r="K38" s="18" t="n">
        <v>1.10784354</v>
      </c>
      <c r="L38" s="20" t="n">
        <v>0.44128661</v>
      </c>
      <c r="M38" s="18" t="n">
        <v>0</v>
      </c>
      <c r="N38" s="20" t="n">
        <v>0</v>
      </c>
      <c r="O38" s="18" t="n">
        <v>0</v>
      </c>
      <c r="P38" s="20" t="n">
        <v>0</v>
      </c>
      <c r="Q38" s="18" t="n">
        <v>1.86724029</v>
      </c>
      <c r="R38" s="20" t="n">
        <v>0.57014336</v>
      </c>
    </row>
    <row r="39" spans="1:18">
      <c r="A39" s="15" t="s">
        <v>599</v>
      </c>
      <c r="B39" s="17" t="n">
        <v>2957</v>
      </c>
      <c r="C39" s="18">
        <f>(2309.0/B39*100)</f>
        <v/>
      </c>
      <c r="D39" s="19" t="n">
        <v>648</v>
      </c>
      <c r="E39" s="18" t="n">
        <v>51.63237117</v>
      </c>
      <c r="F39" s="20" t="n">
        <v>1.84550645</v>
      </c>
      <c r="G39" s="18" t="n">
        <v>43.45092768</v>
      </c>
      <c r="H39" s="20" t="n">
        <v>1.73595647</v>
      </c>
      <c r="I39" s="18" t="s">
        <v>567</v>
      </c>
      <c r="J39" s="20" t="s">
        <v>567</v>
      </c>
      <c r="K39" s="18" t="n">
        <v>0.4199536</v>
      </c>
      <c r="L39" s="20" t="n">
        <v>0.21888777</v>
      </c>
      <c r="M39" s="18" t="n">
        <v>0</v>
      </c>
      <c r="N39" s="20" t="n">
        <v>0</v>
      </c>
      <c r="O39" s="18" t="n">
        <v>0</v>
      </c>
      <c r="P39" s="20" t="n">
        <v>0</v>
      </c>
      <c r="Q39" s="18" t="n">
        <v>4.49674754</v>
      </c>
      <c r="R39" s="20" t="n">
        <v>0.79664537</v>
      </c>
    </row>
    <row r="40" spans="1:18">
      <c r="A40" s="15" t="s">
        <v>600</v>
      </c>
      <c r="B40" s="17" t="n">
        <v>7235</v>
      </c>
      <c r="C40" s="18">
        <f>(5688.0/B40*100)</f>
        <v/>
      </c>
      <c r="D40" s="19" t="n">
        <v>1547</v>
      </c>
      <c r="E40" s="18" t="n">
        <v>29.7481621</v>
      </c>
      <c r="F40" s="20" t="n">
        <v>1.68159849</v>
      </c>
      <c r="G40" s="18" t="n">
        <v>69.18581897</v>
      </c>
      <c r="H40" s="20" t="n">
        <v>1.67050646</v>
      </c>
      <c r="I40" s="18" t="s">
        <v>567</v>
      </c>
      <c r="J40" s="20" t="s">
        <v>567</v>
      </c>
      <c r="K40" s="18" t="n">
        <v>0.46007835</v>
      </c>
      <c r="L40" s="20" t="n">
        <v>0.34355205</v>
      </c>
      <c r="M40" s="18" t="n">
        <v>0</v>
      </c>
      <c r="N40" s="20" t="n">
        <v>0</v>
      </c>
      <c r="O40" s="18" t="n">
        <v>0</v>
      </c>
      <c r="P40" s="20" t="n">
        <v>0</v>
      </c>
      <c r="Q40" s="18" t="n">
        <v>0.60594058</v>
      </c>
      <c r="R40" s="20" t="n">
        <v>0.2613114</v>
      </c>
    </row>
    <row r="41" spans="1:18">
      <c r="A41" s="15" t="s">
        <v>601</v>
      </c>
      <c r="B41" s="17" t="n">
        <v>2858</v>
      </c>
      <c r="C41" s="18">
        <f>(2236.0/B41*100)</f>
        <v/>
      </c>
      <c r="D41" s="19" t="n">
        <v>622</v>
      </c>
      <c r="E41" s="18" t="n">
        <v>22.25113067</v>
      </c>
      <c r="F41" s="20" t="n">
        <v>1.98254611</v>
      </c>
      <c r="G41" s="18" t="n">
        <v>76.1282423</v>
      </c>
      <c r="H41" s="20" t="n">
        <v>2.01561851</v>
      </c>
      <c r="I41" s="18" t="s">
        <v>567</v>
      </c>
      <c r="J41" s="20" t="s">
        <v>567</v>
      </c>
      <c r="K41" s="18" t="n">
        <v>0.38696657</v>
      </c>
      <c r="L41" s="20" t="n">
        <v>0.25123936</v>
      </c>
      <c r="M41" s="18" t="n">
        <v>0</v>
      </c>
      <c r="N41" s="20" t="n">
        <v>0</v>
      </c>
      <c r="O41" s="18" t="n">
        <v>0</v>
      </c>
      <c r="P41" s="20" t="n">
        <v>0</v>
      </c>
      <c r="Q41" s="18" t="n">
        <v>1.23366046</v>
      </c>
      <c r="R41" s="20" t="n">
        <v>0.49290843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(9346.0/B46*100)</f>
        <v/>
      </c>
      <c r="D46" s="19" t="n">
        <v>1722</v>
      </c>
      <c r="E46" s="18" t="n">
        <v>34.004706</v>
      </c>
      <c r="F46" s="20" t="n">
        <v>1.37372241</v>
      </c>
      <c r="G46" s="18" t="n">
        <v>52.05308307</v>
      </c>
      <c r="H46" s="20" t="n">
        <v>1.48640271</v>
      </c>
      <c r="I46" s="18" t="s">
        <v>567</v>
      </c>
      <c r="J46" s="20" t="s">
        <v>567</v>
      </c>
      <c r="K46" s="18" t="n">
        <v>2.8301226</v>
      </c>
      <c r="L46" s="20" t="n">
        <v>0.58426175</v>
      </c>
      <c r="M46" s="18" t="n">
        <v>0</v>
      </c>
      <c r="N46" s="20" t="n">
        <v>0</v>
      </c>
      <c r="O46" s="18" t="n">
        <v>0</v>
      </c>
      <c r="P46" s="20" t="n">
        <v>0</v>
      </c>
      <c r="Q46" s="18" t="n">
        <v>11.11208833</v>
      </c>
      <c r="R46" s="20" t="n">
        <v>1.0098106</v>
      </c>
    </row>
    <row r="47" spans="1:18">
      <c r="A47" s="15" t="s">
        <v>607</v>
      </c>
      <c r="B47" s="17" t="n">
        <v>3105</v>
      </c>
      <c r="C47" s="18">
        <f>(2469.0/B47*100)</f>
        <v/>
      </c>
      <c r="D47" s="19" t="n">
        <v>636</v>
      </c>
      <c r="E47" s="18" t="n">
        <v>36.22848222</v>
      </c>
      <c r="F47" s="20" t="n">
        <v>2.00686131</v>
      </c>
      <c r="G47" s="18" t="n">
        <v>58.72697737</v>
      </c>
      <c r="H47" s="20" t="n">
        <v>2.08879495</v>
      </c>
      <c r="I47" s="18" t="s">
        <v>567</v>
      </c>
      <c r="J47" s="20" t="s">
        <v>567</v>
      </c>
      <c r="K47" s="18" t="n">
        <v>0.7591788900000001</v>
      </c>
      <c r="L47" s="20" t="n">
        <v>0.42682669</v>
      </c>
      <c r="M47" s="18" t="n">
        <v>0</v>
      </c>
      <c r="N47" s="20" t="n">
        <v>0</v>
      </c>
      <c r="O47" s="18" t="n">
        <v>0</v>
      </c>
      <c r="P47" s="20" t="n">
        <v>0</v>
      </c>
      <c r="Q47" s="18" t="n">
        <v>4.28536152</v>
      </c>
      <c r="R47" s="20" t="n">
        <v>0.90147717</v>
      </c>
    </row>
    <row r="48" spans="1:18">
      <c r="A48" s="15" t="s">
        <v>608</v>
      </c>
      <c r="B48" s="17" t="n">
        <v>5159</v>
      </c>
      <c r="C48" s="18">
        <f>(4047.0/B48*100)</f>
        <v/>
      </c>
      <c r="D48" s="19" t="n">
        <v>1112</v>
      </c>
      <c r="E48" s="18" t="n">
        <v>21.21657462</v>
      </c>
      <c r="F48" s="20" t="n">
        <v>1.2752447</v>
      </c>
      <c r="G48" s="18" t="n">
        <v>74.60189544000001</v>
      </c>
      <c r="H48" s="20" t="n">
        <v>1.48702116</v>
      </c>
      <c r="I48" s="18" t="s">
        <v>567</v>
      </c>
      <c r="J48" s="20" t="s">
        <v>567</v>
      </c>
      <c r="K48" s="18" t="n">
        <v>0.6225761</v>
      </c>
      <c r="L48" s="20" t="n">
        <v>0.35470066</v>
      </c>
      <c r="M48" s="18" t="n">
        <v>0</v>
      </c>
      <c r="N48" s="20" t="n">
        <v>0</v>
      </c>
      <c r="O48" s="18" t="n">
        <v>0</v>
      </c>
      <c r="P48" s="20" t="n">
        <v>0</v>
      </c>
      <c r="Q48" s="18" t="n">
        <v>3.55895384</v>
      </c>
      <c r="R48" s="20" t="n">
        <v>0.64156344</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(4485.0/B50*100)</f>
        <v/>
      </c>
      <c r="D50" s="19" t="n">
        <v>1152</v>
      </c>
      <c r="E50" s="18" t="n">
        <v>32.16119723</v>
      </c>
      <c r="F50" s="20" t="n">
        <v>1.94827381</v>
      </c>
      <c r="G50" s="18" t="n">
        <v>59.37592903</v>
      </c>
      <c r="H50" s="20" t="n">
        <v>2.15680633</v>
      </c>
      <c r="I50" s="18" t="s">
        <v>567</v>
      </c>
      <c r="J50" s="20" t="s">
        <v>567</v>
      </c>
      <c r="K50" s="18" t="n">
        <v>3.42358621</v>
      </c>
      <c r="L50" s="20" t="n">
        <v>0.89078759</v>
      </c>
      <c r="M50" s="18" t="n">
        <v>0</v>
      </c>
      <c r="N50" s="20" t="n">
        <v>0</v>
      </c>
      <c r="O50" s="18" t="n">
        <v>0</v>
      </c>
      <c r="P50" s="20" t="n">
        <v>0</v>
      </c>
      <c r="Q50" s="18" t="n">
        <v>5.03928753</v>
      </c>
      <c r="R50" s="20" t="n">
        <v>1.03823897</v>
      </c>
    </row>
    <row r="51" spans="1:18">
      <c r="A51" s="15" t="s">
        <v>611</v>
      </c>
      <c r="B51" s="17" t="n">
        <v>3372</v>
      </c>
      <c r="C51" s="18">
        <f>(2766.0/B51*100)</f>
        <v/>
      </c>
      <c r="D51" s="19" t="n">
        <v>606</v>
      </c>
      <c r="E51" s="18" t="n">
        <v>24.04724392</v>
      </c>
      <c r="F51" s="20" t="n">
        <v>1.93432131</v>
      </c>
      <c r="G51" s="18" t="n">
        <v>71.96076146999999</v>
      </c>
      <c r="H51" s="20" t="n">
        <v>2.0072074</v>
      </c>
      <c r="I51" s="18" t="s">
        <v>567</v>
      </c>
      <c r="J51" s="20" t="s">
        <v>567</v>
      </c>
      <c r="K51" s="18" t="n">
        <v>0.76492295</v>
      </c>
      <c r="L51" s="20" t="n">
        <v>0.34579383</v>
      </c>
      <c r="M51" s="18" t="n">
        <v>0</v>
      </c>
      <c r="N51" s="20" t="n">
        <v>0</v>
      </c>
      <c r="O51" s="18" t="n">
        <v>0</v>
      </c>
      <c r="P51" s="20" t="n">
        <v>0</v>
      </c>
      <c r="Q51" s="18" t="n">
        <v>3.22707167</v>
      </c>
      <c r="R51" s="20" t="n">
        <v>0.72898862</v>
      </c>
    </row>
    <row r="52" spans="1:18">
      <c r="A52" s="15" t="s">
        <v>612</v>
      </c>
      <c r="B52" s="17" t="n">
        <v>2796</v>
      </c>
      <c r="C52" s="18">
        <f>(2182.0/B52*100)</f>
        <v/>
      </c>
      <c r="D52" s="19" t="n">
        <v>614</v>
      </c>
      <c r="E52" s="18" t="n">
        <v>41.71161938</v>
      </c>
      <c r="F52" s="20" t="n">
        <v>2.22407695</v>
      </c>
      <c r="G52" s="18" t="n">
        <v>56.12757899</v>
      </c>
      <c r="H52" s="20" t="n">
        <v>2.14050723</v>
      </c>
      <c r="I52" s="18" t="s">
        <v>567</v>
      </c>
      <c r="J52" s="20" t="s">
        <v>567</v>
      </c>
      <c r="K52" s="18" t="n">
        <v>0</v>
      </c>
      <c r="L52" s="20" t="n">
        <v>0</v>
      </c>
      <c r="M52" s="18" t="n">
        <v>0</v>
      </c>
      <c r="N52" s="20" t="n">
        <v>0</v>
      </c>
      <c r="O52" s="18" t="n">
        <v>0</v>
      </c>
      <c r="P52" s="20" t="n">
        <v>0</v>
      </c>
      <c r="Q52" s="18" t="n">
        <v>2.16080163</v>
      </c>
      <c r="R52" s="20" t="n">
        <v>0.62124327</v>
      </c>
    </row>
    <row r="53" spans="1:18">
      <c r="A53" s="15" t="s">
        <v>613</v>
      </c>
      <c r="B53" s="17" t="n">
        <v>2811</v>
      </c>
      <c r="C53" s="18">
        <f>(2193.0/B53*100)</f>
        <v/>
      </c>
      <c r="D53" s="19" t="n">
        <v>618</v>
      </c>
      <c r="E53" s="18" t="n">
        <v>33.16872515</v>
      </c>
      <c r="F53" s="20" t="n">
        <v>2.13835886</v>
      </c>
      <c r="G53" s="18" t="n">
        <v>62.91726766</v>
      </c>
      <c r="H53" s="20" t="n">
        <v>2.13638299</v>
      </c>
      <c r="I53" s="18" t="s">
        <v>567</v>
      </c>
      <c r="J53" s="20" t="s">
        <v>567</v>
      </c>
      <c r="K53" s="18" t="n">
        <v>0.478467</v>
      </c>
      <c r="L53" s="20" t="n">
        <v>0.23810543</v>
      </c>
      <c r="M53" s="18" t="n">
        <v>0</v>
      </c>
      <c r="N53" s="20" t="n">
        <v>0</v>
      </c>
      <c r="O53" s="18" t="n">
        <v>0</v>
      </c>
      <c r="P53" s="20" t="n">
        <v>0</v>
      </c>
      <c r="Q53" s="18" t="n">
        <v>3.43554019</v>
      </c>
      <c r="R53" s="20" t="n">
        <v>0.78829084</v>
      </c>
    </row>
    <row r="54" spans="1:18">
      <c r="A54" s="15" t="s">
        <v>614</v>
      </c>
      <c r="B54" s="17" t="n">
        <v>2266</v>
      </c>
      <c r="C54" s="18">
        <f>(1765.0/B54*100)</f>
        <v/>
      </c>
      <c r="D54" s="19" t="n">
        <v>501</v>
      </c>
      <c r="E54" s="18" t="n">
        <v>33.53044747</v>
      </c>
      <c r="F54" s="20" t="n">
        <v>2.57235731</v>
      </c>
      <c r="G54" s="18" t="n">
        <v>38.53827131</v>
      </c>
      <c r="H54" s="20" t="n">
        <v>2.78380744</v>
      </c>
      <c r="I54" s="18" t="s">
        <v>567</v>
      </c>
      <c r="J54" s="20" t="s">
        <v>567</v>
      </c>
      <c r="K54" s="18" t="n">
        <v>18.13671117</v>
      </c>
      <c r="L54" s="20" t="n">
        <v>2.00785717</v>
      </c>
      <c r="M54" s="18" t="n">
        <v>0</v>
      </c>
      <c r="N54" s="20" t="n">
        <v>0</v>
      </c>
      <c r="O54" s="18" t="n">
        <v>0</v>
      </c>
      <c r="P54" s="20" t="n">
        <v>0</v>
      </c>
      <c r="Q54" s="18" t="n">
        <v>9.79457006</v>
      </c>
      <c r="R54" s="20" t="n">
        <v>1.60278962</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(2082.0/B56*100)</f>
        <v/>
      </c>
      <c r="D56" s="19" t="n">
        <v>602</v>
      </c>
      <c r="E56" s="18" t="n">
        <v>14.64587405</v>
      </c>
      <c r="F56" s="20" t="n">
        <v>1.38915472</v>
      </c>
      <c r="G56" s="18" t="n">
        <v>79.37667491000001</v>
      </c>
      <c r="H56" s="20" t="n">
        <v>1.56373308</v>
      </c>
      <c r="I56" s="18" t="s">
        <v>567</v>
      </c>
      <c r="J56" s="20" t="s">
        <v>567</v>
      </c>
      <c r="K56" s="18" t="n">
        <v>0.54807737</v>
      </c>
      <c r="L56" s="20" t="n">
        <v>0.31884929</v>
      </c>
      <c r="M56" s="18" t="n">
        <v>0</v>
      </c>
      <c r="N56" s="20" t="n">
        <v>0</v>
      </c>
      <c r="O56" s="18" t="n">
        <v>0</v>
      </c>
      <c r="P56" s="20" t="n">
        <v>0</v>
      </c>
      <c r="Q56" s="18" t="n">
        <v>5.42937367</v>
      </c>
      <c r="R56" s="20" t="n">
        <v>0.88452986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(2592.0/B61*100)</f>
        <v/>
      </c>
      <c r="D61" s="19" t="n">
        <v>732</v>
      </c>
      <c r="E61" s="18" t="n">
        <v>39.4833982</v>
      </c>
      <c r="F61" s="20" t="n">
        <v>1.97869285</v>
      </c>
      <c r="G61" s="18" t="n">
        <v>57.51462167</v>
      </c>
      <c r="H61" s="20" t="n">
        <v>1.96188771</v>
      </c>
      <c r="I61" s="18" t="s">
        <v>567</v>
      </c>
      <c r="J61" s="20" t="s">
        <v>567</v>
      </c>
      <c r="K61" s="18" t="n">
        <v>0.93260364</v>
      </c>
      <c r="L61" s="20" t="n">
        <v>0.39283308</v>
      </c>
      <c r="M61" s="18" t="n">
        <v>0</v>
      </c>
      <c r="N61" s="20" t="n">
        <v>0</v>
      </c>
      <c r="O61" s="18" t="n">
        <v>0</v>
      </c>
      <c r="P61" s="20" t="n">
        <v>0</v>
      </c>
      <c r="Q61" s="18" t="n">
        <v>2.06937649</v>
      </c>
      <c r="R61" s="20" t="n">
        <v>0.55480168</v>
      </c>
    </row>
    <row r="62" spans="1:18">
      <c r="A62" s="15" t="s">
        <v>622</v>
      </c>
      <c r="B62" s="17" t="n">
        <v>2246</v>
      </c>
      <c r="C62" s="18">
        <f>(1752.0/B62*100)</f>
        <v/>
      </c>
      <c r="D62" s="19" t="n">
        <v>494</v>
      </c>
      <c r="E62" s="18" t="n">
        <v>14.55233609</v>
      </c>
      <c r="F62" s="20" t="n">
        <v>1.60347357</v>
      </c>
      <c r="G62" s="18" t="n">
        <v>84.44335220000001</v>
      </c>
      <c r="H62" s="20" t="n">
        <v>1.61064767</v>
      </c>
      <c r="I62" s="18" t="s">
        <v>567</v>
      </c>
      <c r="J62" s="20" t="s">
        <v>567</v>
      </c>
      <c r="K62" s="18" t="n">
        <v>0.20086234</v>
      </c>
      <c r="L62" s="20" t="n">
        <v>0.20100911</v>
      </c>
      <c r="M62" s="18" t="n">
        <v>0</v>
      </c>
      <c r="N62" s="20" t="n">
        <v>0</v>
      </c>
      <c r="O62" s="18" t="n">
        <v>0</v>
      </c>
      <c r="P62" s="20" t="n">
        <v>0</v>
      </c>
      <c r="Q62" s="18" t="n">
        <v>0.8034493700000001</v>
      </c>
      <c r="R62" s="20" t="n">
        <v>0.39974365</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(2285.0/B66*100)</f>
        <v/>
      </c>
      <c r="D66" s="19" t="n">
        <v>609</v>
      </c>
      <c r="E66" s="18" t="n">
        <v>46.593156</v>
      </c>
      <c r="F66" s="20" t="n">
        <v>1.98859824</v>
      </c>
      <c r="G66" s="18" t="n">
        <v>44.24624688</v>
      </c>
      <c r="H66" s="20" t="n">
        <v>2.2115255</v>
      </c>
      <c r="I66" s="18" t="s">
        <v>567</v>
      </c>
      <c r="J66" s="20" t="s">
        <v>567</v>
      </c>
      <c r="K66" s="18" t="n">
        <v>1.24839421</v>
      </c>
      <c r="L66" s="20" t="n">
        <v>0.34927731</v>
      </c>
      <c r="M66" s="18" t="n">
        <v>0</v>
      </c>
      <c r="N66" s="20" t="n">
        <v>0</v>
      </c>
      <c r="O66" s="18" t="n">
        <v>0</v>
      </c>
      <c r="P66" s="20" t="n">
        <v>0</v>
      </c>
      <c r="Q66" s="18" t="n">
        <v>7.91220291</v>
      </c>
      <c r="R66" s="20" t="n">
        <v>1.14050232</v>
      </c>
    </row>
    <row r="67" spans="1:18">
      <c r="A67" s="15" t="s">
        <v>627</v>
      </c>
      <c r="B67" s="17" t="n">
        <v>3511</v>
      </c>
      <c r="C67" s="18">
        <f>(2868.0/B67*100)</f>
        <v/>
      </c>
      <c r="D67" s="19" t="n">
        <v>643</v>
      </c>
      <c r="E67" s="18" t="n">
        <v>39.27395154</v>
      </c>
      <c r="F67" s="20" t="n">
        <v>2.02110387</v>
      </c>
      <c r="G67" s="18" t="n">
        <v>56.32922038</v>
      </c>
      <c r="H67" s="20" t="n">
        <v>2.14361674</v>
      </c>
      <c r="I67" s="18" t="s">
        <v>567</v>
      </c>
      <c r="J67" s="20" t="s">
        <v>567</v>
      </c>
      <c r="K67" s="18" t="n">
        <v>0.58820523</v>
      </c>
      <c r="L67" s="20" t="n">
        <v>0.35534225</v>
      </c>
      <c r="M67" s="18" t="n">
        <v>0</v>
      </c>
      <c r="N67" s="20" t="n">
        <v>0</v>
      </c>
      <c r="O67" s="18" t="n">
        <v>0</v>
      </c>
      <c r="P67" s="20" t="n">
        <v>0</v>
      </c>
      <c r="Q67" s="18" t="n">
        <v>3.80862286</v>
      </c>
      <c r="R67" s="20" t="n">
        <v>0.75221359</v>
      </c>
    </row>
    <row r="68" spans="1:18">
      <c r="A68" s="15" t="s">
        <v>628</v>
      </c>
      <c r="B68" s="17" t="n">
        <v>6049</v>
      </c>
      <c r="C68" s="18">
        <f>(4723.0/B68*100)</f>
        <v/>
      </c>
      <c r="D68" s="19" t="n">
        <v>1326</v>
      </c>
      <c r="E68" s="18" t="n">
        <v>43.758014</v>
      </c>
      <c r="F68" s="20" t="n">
        <v>1.43204536</v>
      </c>
      <c r="G68" s="18" t="n">
        <v>47.64839874</v>
      </c>
      <c r="H68" s="20" t="n">
        <v>1.3735721</v>
      </c>
      <c r="I68" s="18" t="s">
        <v>567</v>
      </c>
      <c r="J68" s="20" t="s">
        <v>567</v>
      </c>
      <c r="K68" s="18" t="n">
        <v>3.55077618</v>
      </c>
      <c r="L68" s="20" t="n">
        <v>0.53876759</v>
      </c>
      <c r="M68" s="18" t="n">
        <v>0</v>
      </c>
      <c r="N68" s="20" t="n">
        <v>0</v>
      </c>
      <c r="O68" s="18" t="n">
        <v>0</v>
      </c>
      <c r="P68" s="20" t="n">
        <v>0</v>
      </c>
      <c r="Q68" s="18" t="n">
        <v>5.04281108</v>
      </c>
      <c r="R68" s="20" t="n">
        <v>0.52682243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(2323.0/B70*100)</f>
        <v/>
      </c>
      <c r="D70" s="19" t="n">
        <v>606</v>
      </c>
      <c r="E70" s="18" t="n">
        <v>22.41481908</v>
      </c>
      <c r="F70" s="20" t="n">
        <v>1.85565809</v>
      </c>
      <c r="G70" s="18" t="n">
        <v>71.5709526</v>
      </c>
      <c r="H70" s="20" t="n">
        <v>2.12711826</v>
      </c>
      <c r="I70" s="18" t="s">
        <v>567</v>
      </c>
      <c r="J70" s="20" t="s">
        <v>567</v>
      </c>
      <c r="K70" s="18" t="n">
        <v>0.80692217</v>
      </c>
      <c r="L70" s="20" t="n">
        <v>0.42965858</v>
      </c>
      <c r="M70" s="18" t="n">
        <v>0</v>
      </c>
      <c r="N70" s="20" t="n">
        <v>0</v>
      </c>
      <c r="O70" s="18" t="n">
        <v>0</v>
      </c>
      <c r="P70" s="20" t="n">
        <v>0</v>
      </c>
      <c r="Q70" s="18" t="n">
        <v>5.20730615</v>
      </c>
      <c r="R70" s="20" t="n">
        <v>1.11420978</v>
      </c>
    </row>
    <row r="71" spans="1:18">
      <c r="A71" s="15" t="s">
        <v>631</v>
      </c>
      <c r="B71" s="17" t="n">
        <v>3142</v>
      </c>
      <c r="C71" s="18">
        <f>(2454.0/B71*100)</f>
        <v/>
      </c>
      <c r="D71" s="19" t="n">
        <v>688</v>
      </c>
      <c r="E71" s="18" t="n">
        <v>10.68334601</v>
      </c>
      <c r="F71" s="20" t="n">
        <v>1.14661972</v>
      </c>
      <c r="G71" s="18" t="n">
        <v>88.41586581</v>
      </c>
      <c r="H71" s="20" t="n">
        <v>1.16155112</v>
      </c>
      <c r="I71" s="18" t="s">
        <v>567</v>
      </c>
      <c r="J71" s="20" t="s">
        <v>567</v>
      </c>
      <c r="K71" s="18" t="n">
        <v>0</v>
      </c>
      <c r="L71" s="20" t="n">
        <v>0</v>
      </c>
      <c r="M71" s="18" t="n">
        <v>0</v>
      </c>
      <c r="N71" s="20" t="n">
        <v>0</v>
      </c>
      <c r="O71" s="18" t="n">
        <v>0</v>
      </c>
      <c r="P71" s="20" t="n">
        <v>0</v>
      </c>
      <c r="Q71" s="18" t="n">
        <v>0.90078817</v>
      </c>
      <c r="R71" s="20" t="n">
        <v>0.34319152</v>
      </c>
    </row>
    <row r="72" spans="1:18">
      <c r="A72" s="15" t="s">
        <v>632</v>
      </c>
      <c r="B72" s="17" t="n">
        <v>3889</v>
      </c>
      <c r="C72" s="18">
        <f>(2990.0/B72*100)</f>
        <v/>
      </c>
      <c r="D72" s="19" t="n">
        <v>899</v>
      </c>
      <c r="E72" s="18" t="n">
        <v>5.69808321</v>
      </c>
      <c r="F72" s="20" t="n">
        <v>0.7630093999999999</v>
      </c>
      <c r="G72" s="18" t="n">
        <v>90.53293647</v>
      </c>
      <c r="H72" s="20" t="n">
        <v>0.81582386</v>
      </c>
      <c r="I72" s="18" t="s">
        <v>567</v>
      </c>
      <c r="J72" s="20" t="s">
        <v>567</v>
      </c>
      <c r="K72" s="18" t="n">
        <v>0.36996668</v>
      </c>
      <c r="L72" s="20" t="n">
        <v>0.2186425</v>
      </c>
      <c r="M72" s="18" t="n">
        <v>0</v>
      </c>
      <c r="N72" s="20" t="n">
        <v>0</v>
      </c>
      <c r="O72" s="18" t="n">
        <v>0</v>
      </c>
      <c r="P72" s="20" t="n">
        <v>0</v>
      </c>
      <c r="Q72" s="18" t="n">
        <v>3.39901363</v>
      </c>
      <c r="R72" s="20" t="n">
        <v>0.48096957</v>
      </c>
    </row>
    <row r="73" spans="1:18">
      <c r="A73" s="15" t="s">
        <v>633</v>
      </c>
      <c r="B73" s="17" t="n">
        <v>3597</v>
      </c>
      <c r="C73" s="18">
        <f>(2863.0/B73*100)</f>
        <v/>
      </c>
      <c r="D73" s="19" t="n">
        <v>734</v>
      </c>
      <c r="E73" s="18" t="n">
        <v>33.29155948</v>
      </c>
      <c r="F73" s="20" t="n">
        <v>2.15146149</v>
      </c>
      <c r="G73" s="18" t="n">
        <v>60.67647446</v>
      </c>
      <c r="H73" s="20" t="n">
        <v>2.19095766</v>
      </c>
      <c r="I73" s="18" t="s">
        <v>567</v>
      </c>
      <c r="J73" s="20" t="s">
        <v>567</v>
      </c>
      <c r="K73" s="18" t="n">
        <v>0</v>
      </c>
      <c r="L73" s="20" t="n">
        <v>0</v>
      </c>
      <c r="M73" s="18" t="n">
        <v>0</v>
      </c>
      <c r="N73" s="20" t="n">
        <v>0</v>
      </c>
      <c r="O73" s="18" t="n">
        <v>0</v>
      </c>
      <c r="P73" s="20" t="n">
        <v>0</v>
      </c>
      <c r="Q73" s="18" t="n">
        <v>6.03196606</v>
      </c>
      <c r="R73" s="20" t="n">
        <v>1.10372966</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(1962.0/B75*100)</f>
        <v/>
      </c>
      <c r="D75" s="19" t="n">
        <v>444</v>
      </c>
      <c r="E75" s="18" t="n">
        <v>49.53219882</v>
      </c>
      <c r="F75" s="20" t="n">
        <v>2.25513916</v>
      </c>
      <c r="G75" s="18" t="n">
        <v>40.26624068</v>
      </c>
      <c r="H75" s="20" t="n">
        <v>2.23396362</v>
      </c>
      <c r="I75" s="18" t="s">
        <v>567</v>
      </c>
      <c r="J75" s="20" t="s">
        <v>567</v>
      </c>
      <c r="K75" s="18" t="n">
        <v>5.3003501</v>
      </c>
      <c r="L75" s="20" t="n">
        <v>1.31924925</v>
      </c>
      <c r="M75" s="18" t="n">
        <v>0</v>
      </c>
      <c r="N75" s="20" t="n">
        <v>0</v>
      </c>
      <c r="O75" s="18" t="n">
        <v>0</v>
      </c>
      <c r="P75" s="20" t="n">
        <v>0</v>
      </c>
      <c r="Q75" s="18" t="n">
        <v>4.90121041</v>
      </c>
      <c r="R75" s="20" t="n">
        <v>1.05026879</v>
      </c>
    </row>
    <row r="76" spans="1:18">
      <c r="A76" s="15" t="s">
        <v>636</v>
      </c>
      <c r="B76" s="17" t="n">
        <v>7052</v>
      </c>
      <c r="C76" s="18">
        <f>(5547.0/B76*100)</f>
        <v/>
      </c>
      <c r="D76" s="19" t="n">
        <v>1505</v>
      </c>
      <c r="E76" s="18" t="n">
        <v>38.58256226</v>
      </c>
      <c r="F76" s="20" t="n">
        <v>1.67791641</v>
      </c>
      <c r="G76" s="18" t="n">
        <v>54.79511535</v>
      </c>
      <c r="H76" s="20" t="n">
        <v>1.8971384</v>
      </c>
      <c r="I76" s="18" t="s">
        <v>567</v>
      </c>
      <c r="J76" s="20" t="s">
        <v>567</v>
      </c>
      <c r="K76" s="18" t="n">
        <v>2.85044117</v>
      </c>
      <c r="L76" s="20" t="n">
        <v>0.57220636</v>
      </c>
      <c r="M76" s="18" t="n">
        <v>0</v>
      </c>
      <c r="N76" s="20" t="n">
        <v>0</v>
      </c>
      <c r="O76" s="18" t="n">
        <v>0</v>
      </c>
      <c r="P76" s="20" t="n">
        <v>0</v>
      </c>
      <c r="Q76" s="18" t="n">
        <v>3.77188121</v>
      </c>
      <c r="R76" s="20" t="n">
        <v>0.59807838</v>
      </c>
    </row>
    <row r="77" spans="1:18">
      <c r="A77" s="15" t="s">
        <v>637</v>
      </c>
      <c r="B77" s="17" t="n">
        <v>2908</v>
      </c>
      <c r="C77" s="18">
        <f>(2321.0/B77*100)</f>
        <v/>
      </c>
      <c r="D77" s="19" t="n">
        <v>587</v>
      </c>
      <c r="E77" s="18" t="n">
        <v>31.55323548</v>
      </c>
      <c r="F77" s="20" t="n">
        <v>1.92287241</v>
      </c>
      <c r="G77" s="18" t="n">
        <v>63.40647061</v>
      </c>
      <c r="H77" s="20" t="n">
        <v>1.98895236</v>
      </c>
      <c r="I77" s="18" t="s">
        <v>567</v>
      </c>
      <c r="J77" s="20" t="s">
        <v>567</v>
      </c>
      <c r="K77" s="18" t="n">
        <v>3.14093063</v>
      </c>
      <c r="L77" s="20" t="n">
        <v>0.76674939</v>
      </c>
      <c r="M77" s="18" t="n">
        <v>0</v>
      </c>
      <c r="N77" s="20" t="n">
        <v>0</v>
      </c>
      <c r="O77" s="18" t="n">
        <v>0</v>
      </c>
      <c r="P77" s="20" t="n">
        <v>0</v>
      </c>
      <c r="Q77" s="18" t="n">
        <v>1.89936328</v>
      </c>
      <c r="R77" s="20" t="n">
        <v>0.60884591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(3272.0/B81*100)</f>
        <v/>
      </c>
      <c r="D81" s="19" t="n">
        <v>891</v>
      </c>
      <c r="E81" s="18" t="n">
        <v>17.28555735</v>
      </c>
      <c r="F81" s="20" t="n">
        <v>1.65124487</v>
      </c>
      <c r="G81" s="18" t="n">
        <v>80.71474513</v>
      </c>
      <c r="H81" s="20" t="n">
        <v>1.7755151</v>
      </c>
      <c r="I81" s="18" t="s">
        <v>567</v>
      </c>
      <c r="J81" s="20" t="s">
        <v>567</v>
      </c>
      <c r="K81" s="18" t="n">
        <v>0.15550174</v>
      </c>
      <c r="L81" s="20" t="n">
        <v>0.15564761</v>
      </c>
      <c r="M81" s="18" t="n">
        <v>0</v>
      </c>
      <c r="N81" s="20" t="n">
        <v>0</v>
      </c>
      <c r="O81" s="18" t="n">
        <v>0</v>
      </c>
      <c r="P81" s="20" t="n">
        <v>0</v>
      </c>
      <c r="Q81" s="18" t="n">
        <v>1.84419577</v>
      </c>
      <c r="R81" s="20" t="n">
        <v>0.52605448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(5762.0/B7*100)</f>
        <v/>
      </c>
      <c r="D7" s="19" t="n">
        <v>1605</v>
      </c>
      <c r="E7" s="18" t="n">
        <v>52.31891512</v>
      </c>
      <c r="F7" s="20" t="n">
        <v>1.29888171</v>
      </c>
      <c r="G7" s="18" t="n">
        <v>45.01223804</v>
      </c>
      <c r="H7" s="20" t="n">
        <v>1.29743787</v>
      </c>
      <c r="I7" s="18" t="s">
        <v>567</v>
      </c>
      <c r="J7" s="20" t="s">
        <v>567</v>
      </c>
      <c r="K7" s="18" t="n">
        <v>1.44404963</v>
      </c>
      <c r="L7" s="20" t="n">
        <v>0.32700917</v>
      </c>
      <c r="M7" s="18" t="n">
        <v>0</v>
      </c>
      <c r="N7" s="20" t="n">
        <v>0</v>
      </c>
      <c r="O7" s="18" t="n">
        <v>0</v>
      </c>
      <c r="P7" s="20" t="n">
        <v>0</v>
      </c>
      <c r="Q7" s="18" t="n">
        <v>1.22479721</v>
      </c>
      <c r="R7" s="20" t="n">
        <v>0.31979381</v>
      </c>
    </row>
    <row r="8" spans="1:18">
      <c r="A8" s="15" t="s">
        <v>568</v>
      </c>
      <c r="B8" s="17" t="n">
        <v>3564</v>
      </c>
      <c r="C8" s="18">
        <f>(2782.0/B8*100)</f>
        <v/>
      </c>
      <c r="D8" s="19" t="n">
        <v>782</v>
      </c>
      <c r="E8" s="18" t="n">
        <v>59.50682541</v>
      </c>
      <c r="F8" s="20" t="n">
        <v>1.93613932</v>
      </c>
      <c r="G8" s="18" t="n">
        <v>37.85031691</v>
      </c>
      <c r="H8" s="20" t="n">
        <v>1.88391486</v>
      </c>
      <c r="I8" s="18" t="s">
        <v>567</v>
      </c>
      <c r="J8" s="20" t="s">
        <v>567</v>
      </c>
      <c r="K8" s="18" t="n">
        <v>2.24157989</v>
      </c>
      <c r="L8" s="20" t="n">
        <v>0.62220621</v>
      </c>
      <c r="M8" s="18" t="n">
        <v>0</v>
      </c>
      <c r="N8" s="20" t="n">
        <v>0</v>
      </c>
      <c r="O8" s="18" t="n">
        <v>0</v>
      </c>
      <c r="P8" s="20" t="n">
        <v>0</v>
      </c>
      <c r="Q8" s="18" t="n">
        <v>0.40127778</v>
      </c>
      <c r="R8" s="20" t="n">
        <v>0.20104644</v>
      </c>
    </row>
    <row r="9" spans="1:18">
      <c r="A9" s="15" t="s">
        <v>569</v>
      </c>
      <c r="B9" s="17" t="n">
        <v>4899</v>
      </c>
      <c r="C9" s="18">
        <f>(3899.0/B9*100)</f>
        <v/>
      </c>
      <c r="D9" s="19" t="n">
        <v>1000</v>
      </c>
      <c r="E9" s="18" t="n">
        <v>60.68817913</v>
      </c>
      <c r="F9" s="20" t="n">
        <v>1.84540348</v>
      </c>
      <c r="G9" s="18" t="n">
        <v>36.21895983</v>
      </c>
      <c r="H9" s="20" t="n">
        <v>1.82812872</v>
      </c>
      <c r="I9" s="18" t="s">
        <v>567</v>
      </c>
      <c r="J9" s="20" t="s">
        <v>567</v>
      </c>
      <c r="K9" s="18" t="n">
        <v>2.35240614</v>
      </c>
      <c r="L9" s="20" t="n">
        <v>0.46625465</v>
      </c>
      <c r="M9" s="18" t="n">
        <v>0</v>
      </c>
      <c r="N9" s="20" t="n">
        <v>0</v>
      </c>
      <c r="O9" s="18" t="n">
        <v>0</v>
      </c>
      <c r="P9" s="20" t="n">
        <v>0</v>
      </c>
      <c r="Q9" s="18" t="n">
        <v>0.7404549</v>
      </c>
      <c r="R9" s="20" t="n">
        <v>0.29915851</v>
      </c>
    </row>
    <row r="10" spans="1:18">
      <c r="A10" s="15" t="s">
        <v>570</v>
      </c>
      <c r="B10" s="17" t="n">
        <v>10036</v>
      </c>
      <c r="C10" s="18">
        <f>(7811.0/B10*100)</f>
        <v/>
      </c>
      <c r="D10" s="19" t="n">
        <v>2225</v>
      </c>
      <c r="E10" s="18" t="n">
        <v>46.96200181</v>
      </c>
      <c r="F10" s="20" t="n">
        <v>1.71054407</v>
      </c>
      <c r="G10" s="18" t="n">
        <v>50.83135554</v>
      </c>
      <c r="H10" s="20" t="n">
        <v>1.76749424</v>
      </c>
      <c r="I10" s="18" t="s">
        <v>567</v>
      </c>
      <c r="J10" s="20" t="s">
        <v>567</v>
      </c>
      <c r="K10" s="18" t="n">
        <v>1.50552003</v>
      </c>
      <c r="L10" s="20" t="n">
        <v>0.39978152</v>
      </c>
      <c r="M10" s="18" t="n">
        <v>0</v>
      </c>
      <c r="N10" s="20" t="n">
        <v>0</v>
      </c>
      <c r="O10" s="18" t="n">
        <v>0</v>
      </c>
      <c r="P10" s="20" t="n">
        <v>0</v>
      </c>
      <c r="Q10" s="18" t="n">
        <v>0.70112262</v>
      </c>
      <c r="R10" s="20" t="n">
        <v>0.20573022</v>
      </c>
    </row>
    <row r="11" spans="1:18">
      <c r="A11" s="15" t="s">
        <v>571</v>
      </c>
      <c r="B11" s="17" t="n">
        <v>3553</v>
      </c>
      <c r="C11" s="18">
        <f>(2829.0/B11*100)</f>
        <v/>
      </c>
      <c r="D11" s="19" t="n">
        <v>724</v>
      </c>
      <c r="E11" s="18" t="n">
        <v>58.49951392</v>
      </c>
      <c r="F11" s="20" t="n">
        <v>2.52567507</v>
      </c>
      <c r="G11" s="18" t="n">
        <v>35.61660898</v>
      </c>
      <c r="H11" s="20" t="n">
        <v>2.4240299</v>
      </c>
      <c r="I11" s="18" t="s">
        <v>567</v>
      </c>
      <c r="J11" s="20" t="s">
        <v>567</v>
      </c>
      <c r="K11" s="18" t="n">
        <v>4.35470826</v>
      </c>
      <c r="L11" s="20" t="n">
        <v>1.36299194</v>
      </c>
      <c r="M11" s="18" t="n">
        <v>0</v>
      </c>
      <c r="N11" s="20" t="n">
        <v>0</v>
      </c>
      <c r="O11" s="18" t="n">
        <v>0</v>
      </c>
      <c r="P11" s="20" t="n">
        <v>0</v>
      </c>
      <c r="Q11" s="18" t="n">
        <v>1.52916883</v>
      </c>
      <c r="R11" s="20" t="n">
        <v>0.47062048</v>
      </c>
    </row>
    <row r="12" spans="1:18">
      <c r="A12" s="15" t="s">
        <v>572</v>
      </c>
      <c r="B12" s="17" t="n">
        <v>3472</v>
      </c>
      <c r="C12" s="18">
        <f>(2721.0/B12*100)</f>
        <v/>
      </c>
      <c r="D12" s="19" t="n">
        <v>751</v>
      </c>
      <c r="E12" s="18" t="n">
        <v>59.04930517</v>
      </c>
      <c r="F12" s="20" t="n">
        <v>2.14140901</v>
      </c>
      <c r="G12" s="18" t="n">
        <v>37.91006115</v>
      </c>
      <c r="H12" s="20" t="n">
        <v>2.14004142</v>
      </c>
      <c r="I12" s="18" t="s">
        <v>567</v>
      </c>
      <c r="J12" s="20" t="s">
        <v>567</v>
      </c>
      <c r="K12" s="18" t="n">
        <v>0.96000281</v>
      </c>
      <c r="L12" s="20" t="n">
        <v>0.38599187</v>
      </c>
      <c r="M12" s="18" t="n">
        <v>0</v>
      </c>
      <c r="N12" s="20" t="n">
        <v>0</v>
      </c>
      <c r="O12" s="18" t="n">
        <v>0</v>
      </c>
      <c r="P12" s="20" t="n">
        <v>0</v>
      </c>
      <c r="Q12" s="18" t="n">
        <v>2.08063087</v>
      </c>
      <c r="R12" s="20" t="n">
        <v>0.5654846100000001</v>
      </c>
    </row>
    <row r="13" spans="1:18">
      <c r="A13" s="15" t="s">
        <v>573</v>
      </c>
      <c r="B13" s="17" t="n">
        <v>3559</v>
      </c>
      <c r="C13" s="18">
        <f>(2795.0/B13*100)</f>
        <v/>
      </c>
      <c r="D13" s="19" t="n">
        <v>764</v>
      </c>
      <c r="E13" s="18" t="n">
        <v>57.89238923</v>
      </c>
      <c r="F13" s="20" t="n">
        <v>2.04162954</v>
      </c>
      <c r="G13" s="18" t="n">
        <v>40.81557148</v>
      </c>
      <c r="H13" s="20" t="n">
        <v>2.05795147</v>
      </c>
      <c r="I13" s="18" t="s">
        <v>567</v>
      </c>
      <c r="J13" s="20" t="s">
        <v>567</v>
      </c>
      <c r="K13" s="18" t="n">
        <v>0.60469317</v>
      </c>
      <c r="L13" s="20" t="n">
        <v>0.24635076</v>
      </c>
      <c r="M13" s="18" t="n">
        <v>0</v>
      </c>
      <c r="N13" s="20" t="n">
        <v>0</v>
      </c>
      <c r="O13" s="18" t="n">
        <v>0</v>
      </c>
      <c r="P13" s="20" t="n">
        <v>0</v>
      </c>
      <c r="Q13" s="18" t="n">
        <v>0.6873461199999999</v>
      </c>
      <c r="R13" s="20" t="n">
        <v>0.40522179</v>
      </c>
    </row>
    <row r="14" spans="1:18">
      <c r="A14" s="15" t="s">
        <v>574</v>
      </c>
      <c r="B14" s="17" t="n">
        <v>2799</v>
      </c>
      <c r="C14" s="18">
        <f>(2223.0/B14*100)</f>
        <v/>
      </c>
      <c r="D14" s="19" t="n">
        <v>576</v>
      </c>
      <c r="E14" s="18" t="n">
        <v>58.92994535</v>
      </c>
      <c r="F14" s="20" t="n">
        <v>2.5811784</v>
      </c>
      <c r="G14" s="18" t="n">
        <v>39.35701496</v>
      </c>
      <c r="H14" s="20" t="n">
        <v>2.58864714</v>
      </c>
      <c r="I14" s="18" t="s">
        <v>567</v>
      </c>
      <c r="J14" s="20" t="s">
        <v>567</v>
      </c>
      <c r="K14" s="18" t="n">
        <v>1.25475467</v>
      </c>
      <c r="L14" s="20" t="n">
        <v>0.5379682099999999</v>
      </c>
      <c r="M14" s="18" t="n">
        <v>0</v>
      </c>
      <c r="N14" s="20" t="n">
        <v>0</v>
      </c>
      <c r="O14" s="18" t="n">
        <v>0</v>
      </c>
      <c r="P14" s="20" t="n">
        <v>0</v>
      </c>
      <c r="Q14" s="18" t="n">
        <v>0.45828503</v>
      </c>
      <c r="R14" s="20" t="n">
        <v>0.2675681</v>
      </c>
    </row>
    <row r="15" spans="1:18">
      <c r="A15" s="15" t="s">
        <v>575</v>
      </c>
      <c r="B15" s="17" t="n">
        <v>3019</v>
      </c>
      <c r="C15" s="18">
        <f>(2380.0/B15*100)</f>
        <v/>
      </c>
      <c r="D15" s="19" t="n">
        <v>639</v>
      </c>
      <c r="E15" s="18" t="n">
        <v>55.47088158</v>
      </c>
      <c r="F15" s="20" t="n">
        <v>2.08603479</v>
      </c>
      <c r="G15" s="18" t="n">
        <v>43.39172139</v>
      </c>
      <c r="H15" s="20" t="n">
        <v>2.1117552</v>
      </c>
      <c r="I15" s="18" t="s">
        <v>567</v>
      </c>
      <c r="J15" s="20" t="s">
        <v>567</v>
      </c>
      <c r="K15" s="18" t="n">
        <v>0.84042045</v>
      </c>
      <c r="L15" s="20" t="n">
        <v>0.39285698</v>
      </c>
      <c r="M15" s="18" t="n">
        <v>0</v>
      </c>
      <c r="N15" s="20" t="n">
        <v>0</v>
      </c>
      <c r="O15" s="18" t="n">
        <v>0</v>
      </c>
      <c r="P15" s="20" t="n">
        <v>0</v>
      </c>
      <c r="Q15" s="18" t="n">
        <v>0.29697658</v>
      </c>
      <c r="R15" s="20" t="n">
        <v>0.20918507</v>
      </c>
    </row>
    <row r="16" spans="1:18">
      <c r="A16" s="15" t="s">
        <v>576</v>
      </c>
      <c r="B16" s="17" t="n">
        <v>2997</v>
      </c>
      <c r="C16" s="18">
        <f>(2371.0/B16*100)</f>
        <v/>
      </c>
      <c r="D16" s="19" t="n">
        <v>626</v>
      </c>
      <c r="E16" s="18" t="n">
        <v>55.26164116</v>
      </c>
      <c r="F16" s="20" t="n">
        <v>2.0816556</v>
      </c>
      <c r="G16" s="18" t="n">
        <v>38.92266892</v>
      </c>
      <c r="H16" s="20" t="n">
        <v>1.84990451</v>
      </c>
      <c r="I16" s="18" t="s">
        <v>567</v>
      </c>
      <c r="J16" s="20" t="s">
        <v>567</v>
      </c>
      <c r="K16" s="18" t="n">
        <v>3.78377558</v>
      </c>
      <c r="L16" s="20" t="n">
        <v>0.92107458</v>
      </c>
      <c r="M16" s="18" t="n">
        <v>0</v>
      </c>
      <c r="N16" s="20" t="n">
        <v>0</v>
      </c>
      <c r="O16" s="18" t="n">
        <v>0</v>
      </c>
      <c r="P16" s="20" t="n">
        <v>0</v>
      </c>
      <c r="Q16" s="18" t="n">
        <v>2.03191434</v>
      </c>
      <c r="R16" s="20" t="n">
        <v>0.50228556</v>
      </c>
    </row>
    <row r="17" spans="1:18">
      <c r="A17" s="15" t="s">
        <v>577</v>
      </c>
      <c r="B17" s="17" t="n">
        <v>3307</v>
      </c>
      <c r="C17" s="18">
        <f>(2607.0/B17*100)</f>
        <v/>
      </c>
      <c r="D17" s="19" t="n">
        <v>700</v>
      </c>
      <c r="E17" s="18" t="n">
        <v>54.77414751</v>
      </c>
      <c r="F17" s="20" t="n">
        <v>1.581229</v>
      </c>
      <c r="G17" s="18" t="n">
        <v>42.27455954</v>
      </c>
      <c r="H17" s="20" t="n">
        <v>1.47820811</v>
      </c>
      <c r="I17" s="18" t="s">
        <v>567</v>
      </c>
      <c r="J17" s="20" t="s">
        <v>567</v>
      </c>
      <c r="K17" s="18" t="n">
        <v>1.96985392</v>
      </c>
      <c r="L17" s="20" t="n">
        <v>0.58650757</v>
      </c>
      <c r="M17" s="18" t="n">
        <v>0</v>
      </c>
      <c r="N17" s="20" t="n">
        <v>0</v>
      </c>
      <c r="O17" s="18" t="n">
        <v>0</v>
      </c>
      <c r="P17" s="20" t="n">
        <v>0</v>
      </c>
      <c r="Q17" s="18" t="n">
        <v>0.98143903</v>
      </c>
      <c r="R17" s="20" t="n">
        <v>0.48095278</v>
      </c>
    </row>
    <row r="18" spans="1:18">
      <c r="A18" s="15" t="s">
        <v>578</v>
      </c>
      <c r="B18" s="17" t="n">
        <v>2826</v>
      </c>
      <c r="C18" s="18">
        <f>(2234.0/B18*100)</f>
        <v/>
      </c>
      <c r="D18" s="19" t="n">
        <v>592</v>
      </c>
      <c r="E18" s="18" t="n">
        <v>65.43829287</v>
      </c>
      <c r="F18" s="20" t="n">
        <v>2.19624191</v>
      </c>
      <c r="G18" s="18" t="n">
        <v>30.52980649</v>
      </c>
      <c r="H18" s="20" t="n">
        <v>2.14160698</v>
      </c>
      <c r="I18" s="18" t="s">
        <v>567</v>
      </c>
      <c r="J18" s="20" t="s">
        <v>567</v>
      </c>
      <c r="K18" s="18" t="n">
        <v>2.8586706</v>
      </c>
      <c r="L18" s="20" t="n">
        <v>0.61136502</v>
      </c>
      <c r="M18" s="18" t="n">
        <v>0</v>
      </c>
      <c r="N18" s="20" t="n">
        <v>0</v>
      </c>
      <c r="O18" s="18" t="n">
        <v>0</v>
      </c>
      <c r="P18" s="20" t="n">
        <v>0</v>
      </c>
      <c r="Q18" s="18" t="n">
        <v>1.17323003</v>
      </c>
      <c r="R18" s="20" t="n">
        <v>0.61934417</v>
      </c>
    </row>
    <row r="19" spans="1:18">
      <c r="A19" s="15" t="s">
        <v>579</v>
      </c>
      <c r="B19" s="17" t="n">
        <v>2808</v>
      </c>
      <c r="C19" s="18">
        <f>(2155.0/B19*100)</f>
        <v/>
      </c>
      <c r="D19" s="19" t="n">
        <v>653</v>
      </c>
      <c r="E19" s="18" t="n">
        <v>60.8612218</v>
      </c>
      <c r="F19" s="20" t="n">
        <v>1.8074789</v>
      </c>
      <c r="G19" s="18" t="n">
        <v>36.98170316</v>
      </c>
      <c r="H19" s="20" t="n">
        <v>1.81426846</v>
      </c>
      <c r="I19" s="18" t="s">
        <v>567</v>
      </c>
      <c r="J19" s="20" t="s">
        <v>567</v>
      </c>
      <c r="K19" s="18" t="n">
        <v>1.06785763</v>
      </c>
      <c r="L19" s="20" t="n">
        <v>0.47797618</v>
      </c>
      <c r="M19" s="18" t="n">
        <v>0</v>
      </c>
      <c r="N19" s="20" t="n">
        <v>0</v>
      </c>
      <c r="O19" s="18" t="n">
        <v>0</v>
      </c>
      <c r="P19" s="20" t="n">
        <v>0</v>
      </c>
      <c r="Q19" s="18" t="n">
        <v>1.0892174</v>
      </c>
      <c r="R19" s="20" t="n">
        <v>0.40152213</v>
      </c>
    </row>
    <row r="20" spans="1:18">
      <c r="A20" s="15" t="s">
        <v>580</v>
      </c>
      <c r="B20" s="17" t="n">
        <v>1630</v>
      </c>
      <c r="C20" s="18">
        <f>(1263.0/B20*100)</f>
        <v/>
      </c>
      <c r="D20" s="19" t="n">
        <v>367</v>
      </c>
      <c r="E20" s="18" t="n">
        <v>58.09459886</v>
      </c>
      <c r="F20" s="20" t="n">
        <v>2.58484688</v>
      </c>
      <c r="G20" s="18" t="n">
        <v>38.53652902</v>
      </c>
      <c r="H20" s="20" t="n">
        <v>2.44563876</v>
      </c>
      <c r="I20" s="18" t="s">
        <v>567</v>
      </c>
      <c r="J20" s="20" t="s">
        <v>567</v>
      </c>
      <c r="K20" s="18" t="n">
        <v>2.59356492</v>
      </c>
      <c r="L20" s="20" t="n">
        <v>0.80836705</v>
      </c>
      <c r="M20" s="18" t="n">
        <v>0</v>
      </c>
      <c r="N20" s="20" t="n">
        <v>0</v>
      </c>
      <c r="O20" s="18" t="n">
        <v>0</v>
      </c>
      <c r="P20" s="20" t="n">
        <v>0</v>
      </c>
      <c r="Q20" s="18" t="n">
        <v>0.7753072</v>
      </c>
      <c r="R20" s="20" t="n">
        <v>0.47892017</v>
      </c>
    </row>
    <row r="21" spans="1:18">
      <c r="A21" s="15" t="s">
        <v>581</v>
      </c>
      <c r="B21" s="17" t="n">
        <v>2908</v>
      </c>
      <c r="C21" s="18">
        <f>(2280.0/B21*100)</f>
        <v/>
      </c>
      <c r="D21" s="19" t="n">
        <v>628</v>
      </c>
      <c r="E21" s="18" t="n">
        <v>54.65083636</v>
      </c>
      <c r="F21" s="20" t="n">
        <v>2.02012788</v>
      </c>
      <c r="G21" s="18" t="n">
        <v>43.72426317</v>
      </c>
      <c r="H21" s="20" t="n">
        <v>2.03008121</v>
      </c>
      <c r="I21" s="18" t="s">
        <v>567</v>
      </c>
      <c r="J21" s="20" t="s">
        <v>567</v>
      </c>
      <c r="K21" s="18" t="n">
        <v>0.68727134</v>
      </c>
      <c r="L21" s="20" t="n">
        <v>0.45635774</v>
      </c>
      <c r="M21" s="18" t="n">
        <v>0</v>
      </c>
      <c r="N21" s="20" t="n">
        <v>0</v>
      </c>
      <c r="O21" s="18" t="n">
        <v>0</v>
      </c>
      <c r="P21" s="20" t="n">
        <v>0</v>
      </c>
      <c r="Q21" s="18" t="n">
        <v>0.93762913</v>
      </c>
      <c r="R21" s="20" t="n">
        <v>0.38241536</v>
      </c>
    </row>
    <row r="22" spans="1:18">
      <c r="A22" s="15" t="s">
        <v>582</v>
      </c>
      <c r="B22" s="17" t="n">
        <v>2931</v>
      </c>
      <c r="C22" s="18">
        <f>(2308.0/B22*100)</f>
        <v/>
      </c>
      <c r="D22" s="19" t="n">
        <v>623</v>
      </c>
      <c r="E22" s="18" t="n">
        <v>56.29460483</v>
      </c>
      <c r="F22" s="20" t="n">
        <v>2.02351763</v>
      </c>
      <c r="G22" s="18" t="n">
        <v>39.06088833</v>
      </c>
      <c r="H22" s="20" t="n">
        <v>2.00943939</v>
      </c>
      <c r="I22" s="18" t="s">
        <v>567</v>
      </c>
      <c r="J22" s="20" t="s">
        <v>567</v>
      </c>
      <c r="K22" s="18" t="n">
        <v>3.26178649</v>
      </c>
      <c r="L22" s="20" t="n">
        <v>0.93633101</v>
      </c>
      <c r="M22" s="18" t="n">
        <v>0</v>
      </c>
      <c r="N22" s="20" t="n">
        <v>0</v>
      </c>
      <c r="O22" s="18" t="n">
        <v>0</v>
      </c>
      <c r="P22" s="20" t="n">
        <v>0</v>
      </c>
      <c r="Q22" s="18" t="n">
        <v>1.38272035</v>
      </c>
      <c r="R22" s="20" t="n">
        <v>0.52032908</v>
      </c>
    </row>
    <row r="23" spans="1:18">
      <c r="A23" s="15" t="s">
        <v>583</v>
      </c>
      <c r="B23" s="17" t="n">
        <v>5791</v>
      </c>
      <c r="C23" s="18">
        <f>(4493.0/B23*100)</f>
        <v/>
      </c>
      <c r="D23" s="19" t="n">
        <v>1298</v>
      </c>
      <c r="E23" s="18" t="n">
        <v>57.62948821</v>
      </c>
      <c r="F23" s="20" t="n">
        <v>2.10275718</v>
      </c>
      <c r="G23" s="18" t="n">
        <v>39.18596977</v>
      </c>
      <c r="H23" s="20" t="n">
        <v>1.86285988</v>
      </c>
      <c r="I23" s="18" t="s">
        <v>567</v>
      </c>
      <c r="J23" s="20" t="s">
        <v>567</v>
      </c>
      <c r="K23" s="18" t="n">
        <v>2.03581886</v>
      </c>
      <c r="L23" s="20" t="n">
        <v>0.66335903</v>
      </c>
      <c r="M23" s="18" t="n">
        <v>0</v>
      </c>
      <c r="N23" s="20" t="n">
        <v>0</v>
      </c>
      <c r="O23" s="18" t="n">
        <v>0</v>
      </c>
      <c r="P23" s="20" t="n">
        <v>0</v>
      </c>
      <c r="Q23" s="18" t="n">
        <v>1.14872316</v>
      </c>
      <c r="R23" s="20" t="n">
        <v>0.39509763</v>
      </c>
    </row>
    <row r="24" spans="1:18">
      <c r="A24" s="15" t="s">
        <v>584</v>
      </c>
      <c r="B24" s="17" t="n">
        <v>3338</v>
      </c>
      <c r="C24" s="18">
        <f>(2626.0/B24*100)</f>
        <v/>
      </c>
      <c r="D24" s="19" t="n">
        <v>712</v>
      </c>
      <c r="E24" s="18" t="n">
        <v>55.32668859</v>
      </c>
      <c r="F24" s="20" t="n">
        <v>2.04072798</v>
      </c>
      <c r="G24" s="18" t="n">
        <v>43.8582279</v>
      </c>
      <c r="H24" s="20" t="n">
        <v>2.09756971</v>
      </c>
      <c r="I24" s="18" t="s">
        <v>567</v>
      </c>
      <c r="J24" s="20" t="s">
        <v>567</v>
      </c>
      <c r="K24" s="18" t="n">
        <v>0.41347607</v>
      </c>
      <c r="L24" s="20" t="n">
        <v>0.30327764</v>
      </c>
      <c r="M24" s="18" t="n">
        <v>0</v>
      </c>
      <c r="N24" s="20" t="n">
        <v>0</v>
      </c>
      <c r="O24" s="18" t="n">
        <v>0</v>
      </c>
      <c r="P24" s="20" t="n">
        <v>0</v>
      </c>
      <c r="Q24" s="18" t="n">
        <v>0.40160744</v>
      </c>
      <c r="R24" s="20" t="n">
        <v>0.23178814</v>
      </c>
    </row>
    <row r="25" spans="1:18">
      <c r="A25" s="15" t="s">
        <v>585</v>
      </c>
      <c r="B25" s="17" t="n">
        <v>2912</v>
      </c>
      <c r="C25" s="18">
        <f>(2243.0/B25*100)</f>
        <v/>
      </c>
      <c r="D25" s="19" t="n">
        <v>669</v>
      </c>
      <c r="E25" s="18" t="n">
        <v>66.34743722</v>
      </c>
      <c r="F25" s="20" t="n">
        <v>1.97832623</v>
      </c>
      <c r="G25" s="18" t="n">
        <v>32.026034</v>
      </c>
      <c r="H25" s="20" t="n">
        <v>1.98174051</v>
      </c>
      <c r="I25" s="18" t="s">
        <v>567</v>
      </c>
      <c r="J25" s="20" t="s">
        <v>567</v>
      </c>
      <c r="K25" s="18" t="n">
        <v>0.88522327</v>
      </c>
      <c r="L25" s="20" t="n">
        <v>0.29096484</v>
      </c>
      <c r="M25" s="18" t="n">
        <v>0</v>
      </c>
      <c r="N25" s="20" t="n">
        <v>0</v>
      </c>
      <c r="O25" s="18" t="n">
        <v>0</v>
      </c>
      <c r="P25" s="20" t="n">
        <v>0</v>
      </c>
      <c r="Q25" s="18" t="n">
        <v>0.74130551</v>
      </c>
      <c r="R25" s="20" t="n">
        <v>0.32558222</v>
      </c>
    </row>
    <row r="26" spans="1:18">
      <c r="A26" s="15" t="s">
        <v>586</v>
      </c>
      <c r="B26" s="17" t="n">
        <v>2450</v>
      </c>
      <c r="C26" s="18">
        <f>(1913.0/B26*100)</f>
        <v/>
      </c>
      <c r="D26" s="19" t="n">
        <v>537</v>
      </c>
      <c r="E26" s="18" t="n">
        <v>67.64977209</v>
      </c>
      <c r="F26" s="20" t="n">
        <v>2.03544542</v>
      </c>
      <c r="G26" s="18" t="n">
        <v>31.49195007</v>
      </c>
      <c r="H26" s="20" t="n">
        <v>2.02303051</v>
      </c>
      <c r="I26" s="18" t="s">
        <v>567</v>
      </c>
      <c r="J26" s="20" t="s">
        <v>567</v>
      </c>
      <c r="K26" s="18" t="n">
        <v>0</v>
      </c>
      <c r="L26" s="20" t="n">
        <v>0</v>
      </c>
      <c r="M26" s="18" t="n">
        <v>0</v>
      </c>
      <c r="N26" s="20" t="n">
        <v>0</v>
      </c>
      <c r="O26" s="18" t="n">
        <v>0</v>
      </c>
      <c r="P26" s="20" t="n">
        <v>0</v>
      </c>
      <c r="Q26" s="18" t="n">
        <v>0.85827784</v>
      </c>
      <c r="R26" s="20" t="n">
        <v>0.46986838</v>
      </c>
    </row>
    <row r="27" spans="1:18">
      <c r="A27" s="15" t="s">
        <v>587</v>
      </c>
      <c r="B27" s="17" t="n">
        <v>2616</v>
      </c>
      <c r="C27" s="18">
        <f>(2056.0/B27*100)</f>
        <v/>
      </c>
      <c r="D27" s="19" t="n">
        <v>560</v>
      </c>
      <c r="E27" s="18" t="n">
        <v>64.04098759</v>
      </c>
      <c r="F27" s="20" t="n">
        <v>2.20059714</v>
      </c>
      <c r="G27" s="18" t="n">
        <v>33.48036814</v>
      </c>
      <c r="H27" s="20" t="n">
        <v>1.9524744</v>
      </c>
      <c r="I27" s="18" t="s">
        <v>567</v>
      </c>
      <c r="J27" s="20" t="s">
        <v>567</v>
      </c>
      <c r="K27" s="18" t="n">
        <v>1.59892198</v>
      </c>
      <c r="L27" s="20" t="n">
        <v>0.53309354</v>
      </c>
      <c r="M27" s="18" t="n">
        <v>0</v>
      </c>
      <c r="N27" s="20" t="n">
        <v>0</v>
      </c>
      <c r="O27" s="18" t="n">
        <v>0</v>
      </c>
      <c r="P27" s="20" t="n">
        <v>0</v>
      </c>
      <c r="Q27" s="18" t="n">
        <v>0.87972229</v>
      </c>
      <c r="R27" s="20" t="n">
        <v>0.37423924</v>
      </c>
    </row>
    <row r="28" spans="1:18">
      <c r="A28" s="15" t="s">
        <v>588</v>
      </c>
      <c r="B28" s="17" t="n">
        <v>3765</v>
      </c>
      <c r="C28" s="18">
        <f>(3020.0/B28*100)</f>
        <v/>
      </c>
      <c r="D28" s="19" t="n">
        <v>745</v>
      </c>
      <c r="E28" s="18" t="n">
        <v>58.55907585</v>
      </c>
      <c r="F28" s="20" t="n">
        <v>1.74489815</v>
      </c>
      <c r="G28" s="18" t="n">
        <v>38.8526529</v>
      </c>
      <c r="H28" s="20" t="n">
        <v>1.78882806</v>
      </c>
      <c r="I28" s="18" t="s">
        <v>567</v>
      </c>
      <c r="J28" s="20" t="s">
        <v>567</v>
      </c>
      <c r="K28" s="18" t="n">
        <v>1.70362298</v>
      </c>
      <c r="L28" s="20" t="n">
        <v>0.57463895</v>
      </c>
      <c r="M28" s="18" t="n">
        <v>0</v>
      </c>
      <c r="N28" s="20" t="n">
        <v>0</v>
      </c>
      <c r="O28" s="18" t="n">
        <v>0</v>
      </c>
      <c r="P28" s="20" t="n">
        <v>0</v>
      </c>
      <c r="Q28" s="18" t="n">
        <v>0.88464827</v>
      </c>
      <c r="R28" s="20" t="n">
        <v>0.36863207</v>
      </c>
    </row>
    <row r="29" spans="1:18">
      <c r="A29" s="15" t="s">
        <v>589</v>
      </c>
      <c r="B29" s="17" t="n">
        <v>2685</v>
      </c>
      <c r="C29" s="18">
        <f>(2106.0/B29*100)</f>
        <v/>
      </c>
      <c r="D29" s="19" t="n">
        <v>579</v>
      </c>
      <c r="E29" s="18" t="n">
        <v>65.57406635</v>
      </c>
      <c r="F29" s="20" t="n">
        <v>1.87160209</v>
      </c>
      <c r="G29" s="18" t="n">
        <v>33.04096942</v>
      </c>
      <c r="H29" s="20" t="n">
        <v>1.82031387</v>
      </c>
      <c r="I29" s="18" t="s">
        <v>567</v>
      </c>
      <c r="J29" s="20" t="s">
        <v>567</v>
      </c>
      <c r="K29" s="18" t="n">
        <v>1.01519662</v>
      </c>
      <c r="L29" s="20" t="n">
        <v>0.41057155</v>
      </c>
      <c r="M29" s="18" t="n">
        <v>0</v>
      </c>
      <c r="N29" s="20" t="n">
        <v>0</v>
      </c>
      <c r="O29" s="18" t="n">
        <v>0</v>
      </c>
      <c r="P29" s="20" t="n">
        <v>0</v>
      </c>
      <c r="Q29" s="18" t="n">
        <v>0.36976761</v>
      </c>
      <c r="R29" s="20" t="n">
        <v>0.22813602</v>
      </c>
    </row>
    <row r="30" spans="1:18">
      <c r="A30" s="15" t="s">
        <v>590</v>
      </c>
      <c r="B30" s="17" t="n">
        <v>2263</v>
      </c>
      <c r="C30" s="18">
        <f>(1793.0/B30*100)</f>
        <v/>
      </c>
      <c r="D30" s="19" t="n">
        <v>470</v>
      </c>
      <c r="E30" s="18" t="n">
        <v>52.96839983</v>
      </c>
      <c r="F30" s="20" t="n">
        <v>2.4767867</v>
      </c>
      <c r="G30" s="18" t="n">
        <v>43.0690029</v>
      </c>
      <c r="H30" s="20" t="n">
        <v>2.40562297</v>
      </c>
      <c r="I30" s="18" t="s">
        <v>567</v>
      </c>
      <c r="J30" s="20" t="s">
        <v>567</v>
      </c>
      <c r="K30" s="18" t="n">
        <v>3.25239651</v>
      </c>
      <c r="L30" s="20" t="n">
        <v>0.9375358</v>
      </c>
      <c r="M30" s="18" t="n">
        <v>0</v>
      </c>
      <c r="N30" s="20" t="n">
        <v>0</v>
      </c>
      <c r="O30" s="18" t="n">
        <v>0</v>
      </c>
      <c r="P30" s="20" t="n">
        <v>0</v>
      </c>
      <c r="Q30" s="18" t="n">
        <v>0.71020076</v>
      </c>
      <c r="R30" s="20" t="n">
        <v>0.34349311</v>
      </c>
    </row>
    <row r="31" spans="1:18">
      <c r="A31" s="15" t="s">
        <v>591</v>
      </c>
      <c r="B31" s="17" t="n">
        <v>2750</v>
      </c>
      <c r="C31" s="18">
        <f>(2179.0/B31*100)</f>
        <v/>
      </c>
      <c r="D31" s="19" t="n">
        <v>571</v>
      </c>
      <c r="E31" s="18" t="n">
        <v>57.37218422</v>
      </c>
      <c r="F31" s="20" t="n">
        <v>2.52043158</v>
      </c>
      <c r="G31" s="18" t="n">
        <v>38.60182704</v>
      </c>
      <c r="H31" s="20" t="n">
        <v>2.52796384</v>
      </c>
      <c r="I31" s="18" t="s">
        <v>567</v>
      </c>
      <c r="J31" s="20" t="s">
        <v>567</v>
      </c>
      <c r="K31" s="18" t="n">
        <v>3.20262908</v>
      </c>
      <c r="L31" s="20" t="n">
        <v>0.75483962</v>
      </c>
      <c r="M31" s="18" t="n">
        <v>0</v>
      </c>
      <c r="N31" s="20" t="n">
        <v>0</v>
      </c>
      <c r="O31" s="18" t="n">
        <v>0</v>
      </c>
      <c r="P31" s="20" t="n">
        <v>0</v>
      </c>
      <c r="Q31" s="18" t="n">
        <v>0.82335966</v>
      </c>
      <c r="R31" s="20" t="n">
        <v>0.35490692</v>
      </c>
    </row>
    <row r="32" spans="1:18">
      <c r="A32" s="15" t="s">
        <v>592</v>
      </c>
      <c r="B32" s="17" t="n">
        <v>2269</v>
      </c>
      <c r="C32" s="18">
        <f>(1765.0/B32*100)</f>
        <v/>
      </c>
      <c r="D32" s="19" t="n">
        <v>504</v>
      </c>
      <c r="E32" s="18" t="n">
        <v>54.19051205</v>
      </c>
      <c r="F32" s="20" t="n">
        <v>2.44574624</v>
      </c>
      <c r="G32" s="18" t="n">
        <v>45.03234415</v>
      </c>
      <c r="H32" s="20" t="n">
        <v>2.47867819</v>
      </c>
      <c r="I32" s="18" t="s">
        <v>567</v>
      </c>
      <c r="J32" s="20" t="s">
        <v>567</v>
      </c>
      <c r="K32" s="18" t="n">
        <v>0.7771438000000001</v>
      </c>
      <c r="L32" s="20" t="n">
        <v>0.3998861</v>
      </c>
      <c r="M32" s="18" t="n">
        <v>0</v>
      </c>
      <c r="N32" s="20" t="n">
        <v>0</v>
      </c>
      <c r="O32" s="18" t="n">
        <v>0</v>
      </c>
      <c r="P32" s="20" t="n">
        <v>0</v>
      </c>
      <c r="Q32" s="18" t="n">
        <v>0</v>
      </c>
      <c r="R32" s="20" t="n">
        <v>0</v>
      </c>
    </row>
    <row r="33" spans="1:18">
      <c r="A33" s="15" t="s">
        <v>593</v>
      </c>
      <c r="B33" s="17" t="n">
        <v>3674</v>
      </c>
      <c r="C33" s="18">
        <f>(2933.0/B33*100)</f>
        <v/>
      </c>
      <c r="D33" s="19" t="n">
        <v>741</v>
      </c>
      <c r="E33" s="18" t="n">
        <v>61.03955788</v>
      </c>
      <c r="F33" s="20" t="n">
        <v>2.25820269</v>
      </c>
      <c r="G33" s="18" t="n">
        <v>37.06286363</v>
      </c>
      <c r="H33" s="20" t="n">
        <v>2.23801224</v>
      </c>
      <c r="I33" s="18" t="s">
        <v>567</v>
      </c>
      <c r="J33" s="20" t="s">
        <v>567</v>
      </c>
      <c r="K33" s="18" t="n">
        <v>1.38413699</v>
      </c>
      <c r="L33" s="20" t="n">
        <v>0.46935025</v>
      </c>
      <c r="M33" s="18" t="n">
        <v>0</v>
      </c>
      <c r="N33" s="20" t="n">
        <v>0</v>
      </c>
      <c r="O33" s="18" t="n">
        <v>0</v>
      </c>
      <c r="P33" s="20" t="n">
        <v>0</v>
      </c>
      <c r="Q33" s="18" t="n">
        <v>0.5134414899999999</v>
      </c>
      <c r="R33" s="20" t="n">
        <v>0.28290323</v>
      </c>
    </row>
    <row r="34" spans="1:18">
      <c r="A34" s="15" t="s">
        <v>594</v>
      </c>
      <c r="B34" s="17" t="n">
        <v>3315</v>
      </c>
      <c r="C34" s="18">
        <f>(2627.0/B34*100)</f>
        <v/>
      </c>
      <c r="D34" s="19" t="n">
        <v>688</v>
      </c>
      <c r="E34" s="18" t="n">
        <v>62.40262444</v>
      </c>
      <c r="F34" s="20" t="n">
        <v>2.00182221</v>
      </c>
      <c r="G34" s="18" t="n">
        <v>35.08144785</v>
      </c>
      <c r="H34" s="20" t="n">
        <v>2.0534074</v>
      </c>
      <c r="I34" s="18" t="s">
        <v>567</v>
      </c>
      <c r="J34" s="20" t="s">
        <v>567</v>
      </c>
      <c r="K34" s="18" t="n">
        <v>1.00151072</v>
      </c>
      <c r="L34" s="20" t="n">
        <v>0.40576616</v>
      </c>
      <c r="M34" s="18" t="n">
        <v>0</v>
      </c>
      <c r="N34" s="20" t="n">
        <v>0</v>
      </c>
      <c r="O34" s="18" t="n">
        <v>0</v>
      </c>
      <c r="P34" s="20" t="n">
        <v>0</v>
      </c>
      <c r="Q34" s="18" t="n">
        <v>1.51441699</v>
      </c>
      <c r="R34" s="20" t="n">
        <v>0.49635704</v>
      </c>
    </row>
    <row r="35" spans="1:18">
      <c r="A35" s="15" t="s">
        <v>595</v>
      </c>
      <c r="B35" s="17" t="n">
        <v>3505</v>
      </c>
      <c r="C35" s="18">
        <f>(2750.0/B35*100)</f>
        <v/>
      </c>
      <c r="D35" s="19" t="n">
        <v>755</v>
      </c>
      <c r="E35" s="18" t="n">
        <v>60.55269533</v>
      </c>
      <c r="F35" s="20" t="n">
        <v>1.99532653</v>
      </c>
      <c r="G35" s="18" t="n">
        <v>37.30458951</v>
      </c>
      <c r="H35" s="20" t="n">
        <v>2.02676446</v>
      </c>
      <c r="I35" s="18" t="s">
        <v>567</v>
      </c>
      <c r="J35" s="20" t="s">
        <v>567</v>
      </c>
      <c r="K35" s="18" t="n">
        <v>1.55846594</v>
      </c>
      <c r="L35" s="20" t="n">
        <v>0.55236165</v>
      </c>
      <c r="M35" s="18" t="n">
        <v>0</v>
      </c>
      <c r="N35" s="20" t="n">
        <v>0</v>
      </c>
      <c r="O35" s="18" t="n">
        <v>0</v>
      </c>
      <c r="P35" s="20" t="n">
        <v>0</v>
      </c>
      <c r="Q35" s="18" t="n">
        <v>0.58424923</v>
      </c>
      <c r="R35" s="20" t="n">
        <v>0.26722023</v>
      </c>
    </row>
    <row r="36" spans="1:18">
      <c r="A36" s="15" t="s">
        <v>596</v>
      </c>
      <c r="B36" s="17" t="n">
        <v>3332</v>
      </c>
      <c r="C36" s="18">
        <f>(2578.0/B36*100)</f>
        <v/>
      </c>
      <c r="D36" s="19" t="n">
        <v>754</v>
      </c>
      <c r="E36" s="18" t="n">
        <v>58.2951125</v>
      </c>
      <c r="F36" s="20" t="n">
        <v>2.0269563</v>
      </c>
      <c r="G36" s="18" t="n">
        <v>38.82422164</v>
      </c>
      <c r="H36" s="20" t="n">
        <v>2.00411588</v>
      </c>
      <c r="I36" s="18" t="s">
        <v>567</v>
      </c>
      <c r="J36" s="20" t="s">
        <v>567</v>
      </c>
      <c r="K36" s="18" t="n">
        <v>2.24544838</v>
      </c>
      <c r="L36" s="20" t="n">
        <v>0.6075890900000001</v>
      </c>
      <c r="M36" s="18" t="n">
        <v>0</v>
      </c>
      <c r="N36" s="20" t="n">
        <v>0</v>
      </c>
      <c r="O36" s="18" t="n">
        <v>0</v>
      </c>
      <c r="P36" s="20" t="n">
        <v>0</v>
      </c>
      <c r="Q36" s="18" t="n">
        <v>0.63521748</v>
      </c>
      <c r="R36" s="20" t="n">
        <v>0.26293418</v>
      </c>
    </row>
    <row r="37" spans="1:18">
      <c r="A37" s="15" t="s">
        <v>597</v>
      </c>
      <c r="B37" s="17" t="n">
        <v>2727</v>
      </c>
      <c r="C37" s="18">
        <f>(2162.0/B37*100)</f>
        <v/>
      </c>
      <c r="D37" s="19" t="n">
        <v>565</v>
      </c>
      <c r="E37" s="18" t="n">
        <v>50.70212275</v>
      </c>
      <c r="F37" s="20" t="n">
        <v>1.95838076</v>
      </c>
      <c r="G37" s="18" t="n">
        <v>44.57462483</v>
      </c>
      <c r="H37" s="20" t="n">
        <v>2.18854211</v>
      </c>
      <c r="I37" s="18" t="s">
        <v>567</v>
      </c>
      <c r="J37" s="20" t="s">
        <v>567</v>
      </c>
      <c r="K37" s="18" t="n">
        <v>3.88851397</v>
      </c>
      <c r="L37" s="20" t="n">
        <v>0.93850069</v>
      </c>
      <c r="M37" s="18" t="n">
        <v>0</v>
      </c>
      <c r="N37" s="20" t="n">
        <v>0</v>
      </c>
      <c r="O37" s="18" t="n">
        <v>0</v>
      </c>
      <c r="P37" s="20" t="n">
        <v>0</v>
      </c>
      <c r="Q37" s="18" t="n">
        <v>0.83473844</v>
      </c>
      <c r="R37" s="20" t="n">
        <v>0.42185918</v>
      </c>
    </row>
    <row r="38" spans="1:18">
      <c r="A38" s="15" t="s">
        <v>598</v>
      </c>
      <c r="B38" s="17" t="n">
        <v>3053</v>
      </c>
      <c r="C38" s="18">
        <f>(2390.0/B38*100)</f>
        <v/>
      </c>
      <c r="D38" s="19" t="n">
        <v>663</v>
      </c>
      <c r="E38" s="18" t="n">
        <v>60.46799052</v>
      </c>
      <c r="F38" s="20" t="n">
        <v>2.92411295</v>
      </c>
      <c r="G38" s="18" t="n">
        <v>35.48762962</v>
      </c>
      <c r="H38" s="20" t="n">
        <v>2.60535449</v>
      </c>
      <c r="I38" s="18" t="s">
        <v>567</v>
      </c>
      <c r="J38" s="20" t="s">
        <v>567</v>
      </c>
      <c r="K38" s="18" t="n">
        <v>2.9160011</v>
      </c>
      <c r="L38" s="20" t="n">
        <v>0.87177923</v>
      </c>
      <c r="M38" s="18" t="n">
        <v>0</v>
      </c>
      <c r="N38" s="20" t="n">
        <v>0</v>
      </c>
      <c r="O38" s="18" t="n">
        <v>0</v>
      </c>
      <c r="P38" s="20" t="n">
        <v>0</v>
      </c>
      <c r="Q38" s="18" t="n">
        <v>1.12837876</v>
      </c>
      <c r="R38" s="20" t="n">
        <v>0.54769144</v>
      </c>
    </row>
    <row r="39" spans="1:18">
      <c r="A39" s="15" t="s">
        <v>599</v>
      </c>
      <c r="B39" s="17" t="n">
        <v>2957</v>
      </c>
      <c r="C39" s="18">
        <f>(2309.0/B39*100)</f>
        <v/>
      </c>
      <c r="D39" s="19" t="n">
        <v>648</v>
      </c>
      <c r="E39" s="18" t="n">
        <v>67.44192626</v>
      </c>
      <c r="F39" s="20" t="n">
        <v>1.72501565</v>
      </c>
      <c r="G39" s="18" t="n">
        <v>30.73566613</v>
      </c>
      <c r="H39" s="20" t="n">
        <v>1.74744547</v>
      </c>
      <c r="I39" s="18" t="s">
        <v>567</v>
      </c>
      <c r="J39" s="20" t="s">
        <v>567</v>
      </c>
      <c r="K39" s="18" t="n">
        <v>1.1547735</v>
      </c>
      <c r="L39" s="20" t="n">
        <v>0.35939745</v>
      </c>
      <c r="M39" s="18" t="n">
        <v>0</v>
      </c>
      <c r="N39" s="20" t="n">
        <v>0</v>
      </c>
      <c r="O39" s="18" t="n">
        <v>0</v>
      </c>
      <c r="P39" s="20" t="n">
        <v>0</v>
      </c>
      <c r="Q39" s="18" t="n">
        <v>0.6676341</v>
      </c>
      <c r="R39" s="20" t="n">
        <v>0.29211439</v>
      </c>
    </row>
    <row r="40" spans="1:18">
      <c r="A40" s="15" t="s">
        <v>600</v>
      </c>
      <c r="B40" s="17" t="n">
        <v>7235</v>
      </c>
      <c r="C40" s="18">
        <f>(5687.0/B40*100)</f>
        <v/>
      </c>
      <c r="D40" s="19" t="n">
        <v>1548</v>
      </c>
      <c r="E40" s="18" t="n">
        <v>60.58178374</v>
      </c>
      <c r="F40" s="20" t="n">
        <v>2.0749509</v>
      </c>
      <c r="G40" s="18" t="n">
        <v>37.46204819</v>
      </c>
      <c r="H40" s="20" t="n">
        <v>1.97137417</v>
      </c>
      <c r="I40" s="18" t="s">
        <v>567</v>
      </c>
      <c r="J40" s="20" t="s">
        <v>567</v>
      </c>
      <c r="K40" s="18" t="n">
        <v>1.06168546</v>
      </c>
      <c r="L40" s="20" t="n">
        <v>0.36045092</v>
      </c>
      <c r="M40" s="18" t="n">
        <v>0</v>
      </c>
      <c r="N40" s="20" t="n">
        <v>0</v>
      </c>
      <c r="O40" s="18" t="n">
        <v>0</v>
      </c>
      <c r="P40" s="20" t="n">
        <v>0</v>
      </c>
      <c r="Q40" s="18" t="n">
        <v>0.89448262</v>
      </c>
      <c r="R40" s="20" t="n">
        <v>0.35497525</v>
      </c>
    </row>
    <row r="41" spans="1:18">
      <c r="A41" s="15" t="s">
        <v>601</v>
      </c>
      <c r="B41" s="17" t="n">
        <v>2858</v>
      </c>
      <c r="C41" s="18">
        <f>(2237.0/B41*100)</f>
        <v/>
      </c>
      <c r="D41" s="19" t="n">
        <v>621</v>
      </c>
      <c r="E41" s="18" t="n">
        <v>55.57741744</v>
      </c>
      <c r="F41" s="20" t="n">
        <v>1.88825704</v>
      </c>
      <c r="G41" s="18" t="n">
        <v>43.24763475</v>
      </c>
      <c r="H41" s="20" t="n">
        <v>2.0233719</v>
      </c>
      <c r="I41" s="18" t="s">
        <v>567</v>
      </c>
      <c r="J41" s="20" t="s">
        <v>567</v>
      </c>
      <c r="K41" s="18" t="n">
        <v>0.6597730000000001</v>
      </c>
      <c r="L41" s="20" t="n">
        <v>0.31981127</v>
      </c>
      <c r="M41" s="18" t="n">
        <v>0</v>
      </c>
      <c r="N41" s="20" t="n">
        <v>0</v>
      </c>
      <c r="O41" s="18" t="n">
        <v>0</v>
      </c>
      <c r="P41" s="20" t="n">
        <v>0</v>
      </c>
      <c r="Q41" s="18" t="n">
        <v>0.51517481</v>
      </c>
      <c r="R41" s="20" t="n">
        <v>0.32689833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(9384.0/B46*100)</f>
        <v/>
      </c>
      <c r="D46" s="19" t="n">
        <v>1684</v>
      </c>
      <c r="E46" s="18" t="n">
        <v>64.68219275</v>
      </c>
      <c r="F46" s="20" t="n">
        <v>1.64007779</v>
      </c>
      <c r="G46" s="18" t="n">
        <v>29.98855254</v>
      </c>
      <c r="H46" s="20" t="n">
        <v>1.5070064</v>
      </c>
      <c r="I46" s="18" t="s">
        <v>567</v>
      </c>
      <c r="J46" s="20" t="s">
        <v>567</v>
      </c>
      <c r="K46" s="18" t="n">
        <v>3.85141673</v>
      </c>
      <c r="L46" s="20" t="n">
        <v>0.71853039</v>
      </c>
      <c r="M46" s="18" t="n">
        <v>0</v>
      </c>
      <c r="N46" s="20" t="n">
        <v>0</v>
      </c>
      <c r="O46" s="18" t="n">
        <v>0</v>
      </c>
      <c r="P46" s="20" t="n">
        <v>0</v>
      </c>
      <c r="Q46" s="18" t="n">
        <v>1.47783798</v>
      </c>
      <c r="R46" s="20" t="n">
        <v>0.51931717</v>
      </c>
    </row>
    <row r="47" spans="1:18">
      <c r="A47" s="15" t="s">
        <v>607</v>
      </c>
      <c r="B47" s="17" t="n">
        <v>3105</v>
      </c>
      <c r="C47" s="18">
        <f>(2470.0/B47*100)</f>
        <v/>
      </c>
      <c r="D47" s="19" t="n">
        <v>635</v>
      </c>
      <c r="E47" s="18" t="n">
        <v>70.52479581</v>
      </c>
      <c r="F47" s="20" t="n">
        <v>1.73946795</v>
      </c>
      <c r="G47" s="18" t="n">
        <v>26.86177835</v>
      </c>
      <c r="H47" s="20" t="n">
        <v>1.70702872</v>
      </c>
      <c r="I47" s="18" t="s">
        <v>567</v>
      </c>
      <c r="J47" s="20" t="s">
        <v>567</v>
      </c>
      <c r="K47" s="18" t="n">
        <v>1.70112863</v>
      </c>
      <c r="L47" s="20" t="n">
        <v>0.65678816</v>
      </c>
      <c r="M47" s="18" t="n">
        <v>0</v>
      </c>
      <c r="N47" s="20" t="n">
        <v>0</v>
      </c>
      <c r="O47" s="18" t="n">
        <v>0</v>
      </c>
      <c r="P47" s="20" t="n">
        <v>0</v>
      </c>
      <c r="Q47" s="18" t="n">
        <v>0.91229722</v>
      </c>
      <c r="R47" s="20" t="n">
        <v>0.35338147</v>
      </c>
    </row>
    <row r="48" spans="1:18">
      <c r="A48" s="15" t="s">
        <v>608</v>
      </c>
      <c r="B48" s="17" t="n">
        <v>5159</v>
      </c>
      <c r="C48" s="18">
        <f>(4048.0/B48*100)</f>
        <v/>
      </c>
      <c r="D48" s="19" t="n">
        <v>1111</v>
      </c>
      <c r="E48" s="18" t="n">
        <v>53.19582817</v>
      </c>
      <c r="F48" s="20" t="n">
        <v>1.99235999</v>
      </c>
      <c r="G48" s="18" t="n">
        <v>45.85646556</v>
      </c>
      <c r="H48" s="20" t="n">
        <v>1.90147179</v>
      </c>
      <c r="I48" s="18" t="s">
        <v>567</v>
      </c>
      <c r="J48" s="20" t="s">
        <v>567</v>
      </c>
      <c r="K48" s="18" t="n">
        <v>0.79263073</v>
      </c>
      <c r="L48" s="20" t="n">
        <v>0.36718544</v>
      </c>
      <c r="M48" s="18" t="n">
        <v>0</v>
      </c>
      <c r="N48" s="20" t="n">
        <v>0</v>
      </c>
      <c r="O48" s="18" t="n">
        <v>0</v>
      </c>
      <c r="P48" s="20" t="n">
        <v>0</v>
      </c>
      <c r="Q48" s="18" t="n">
        <v>0.15507555</v>
      </c>
      <c r="R48" s="20" t="n">
        <v>0.16384026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(4495.0/B50*100)</f>
        <v/>
      </c>
      <c r="D50" s="19" t="n">
        <v>1142</v>
      </c>
      <c r="E50" s="18" t="n">
        <v>63.6459517</v>
      </c>
      <c r="F50" s="20" t="n">
        <v>2.07250338</v>
      </c>
      <c r="G50" s="18" t="n">
        <v>31.31717772</v>
      </c>
      <c r="H50" s="20" t="n">
        <v>1.84608618</v>
      </c>
      <c r="I50" s="18" t="s">
        <v>567</v>
      </c>
      <c r="J50" s="20" t="s">
        <v>567</v>
      </c>
      <c r="K50" s="18" t="n">
        <v>4.47769252</v>
      </c>
      <c r="L50" s="20" t="n">
        <v>1.07129602</v>
      </c>
      <c r="M50" s="18" t="n">
        <v>0</v>
      </c>
      <c r="N50" s="20" t="n">
        <v>0</v>
      </c>
      <c r="O50" s="18" t="n">
        <v>0</v>
      </c>
      <c r="P50" s="20" t="n">
        <v>0</v>
      </c>
      <c r="Q50" s="18" t="n">
        <v>0.55917806</v>
      </c>
      <c r="R50" s="20" t="n">
        <v>0.17661306</v>
      </c>
    </row>
    <row r="51" spans="1:18">
      <c r="A51" s="15" t="s">
        <v>611</v>
      </c>
      <c r="B51" s="17" t="n">
        <v>3372</v>
      </c>
      <c r="C51" s="18">
        <f>(2775.0/B51*100)</f>
        <v/>
      </c>
      <c r="D51" s="19" t="n">
        <v>597</v>
      </c>
      <c r="E51" s="18" t="n">
        <v>65.9032103</v>
      </c>
      <c r="F51" s="20" t="n">
        <v>2.17238181</v>
      </c>
      <c r="G51" s="18" t="n">
        <v>31.30079611</v>
      </c>
      <c r="H51" s="20" t="n">
        <v>2.16107124</v>
      </c>
      <c r="I51" s="18" t="s">
        <v>567</v>
      </c>
      <c r="J51" s="20" t="s">
        <v>567</v>
      </c>
      <c r="K51" s="18" t="n">
        <v>1.9995654</v>
      </c>
      <c r="L51" s="20" t="n">
        <v>0.69713684</v>
      </c>
      <c r="M51" s="18" t="n">
        <v>0</v>
      </c>
      <c r="N51" s="20" t="n">
        <v>0</v>
      </c>
      <c r="O51" s="18" t="n">
        <v>0</v>
      </c>
      <c r="P51" s="20" t="n">
        <v>0</v>
      </c>
      <c r="Q51" s="18" t="n">
        <v>0.79642819</v>
      </c>
      <c r="R51" s="20" t="n">
        <v>0.35980141</v>
      </c>
    </row>
    <row r="52" spans="1:18">
      <c r="A52" s="15" t="s">
        <v>612</v>
      </c>
      <c r="B52" s="17" t="n">
        <v>2796</v>
      </c>
      <c r="C52" s="18">
        <f>(2185.0/B52*100)</f>
        <v/>
      </c>
      <c r="D52" s="19" t="n">
        <v>611</v>
      </c>
      <c r="E52" s="18" t="n">
        <v>67.33292417</v>
      </c>
      <c r="F52" s="20" t="n">
        <v>2.02497783</v>
      </c>
      <c r="G52" s="18" t="n">
        <v>31.00535225</v>
      </c>
      <c r="H52" s="20" t="n">
        <v>1.96568689</v>
      </c>
      <c r="I52" s="18" t="s">
        <v>567</v>
      </c>
      <c r="J52" s="20" t="s">
        <v>567</v>
      </c>
      <c r="K52" s="18" t="n">
        <v>0.5828743199999999</v>
      </c>
      <c r="L52" s="20" t="n">
        <v>0.20786048</v>
      </c>
      <c r="M52" s="18" t="n">
        <v>0</v>
      </c>
      <c r="N52" s="20" t="n">
        <v>0</v>
      </c>
      <c r="O52" s="18" t="n">
        <v>0</v>
      </c>
      <c r="P52" s="20" t="n">
        <v>0</v>
      </c>
      <c r="Q52" s="18" t="n">
        <v>1.07884926</v>
      </c>
      <c r="R52" s="20" t="n">
        <v>0.44750138</v>
      </c>
    </row>
    <row r="53" spans="1:18">
      <c r="A53" s="15" t="s">
        <v>613</v>
      </c>
      <c r="B53" s="17" t="n">
        <v>2811</v>
      </c>
      <c r="C53" s="18">
        <f>(2194.0/B53*100)</f>
        <v/>
      </c>
      <c r="D53" s="19" t="n">
        <v>617</v>
      </c>
      <c r="E53" s="18" t="n">
        <v>74.94403017</v>
      </c>
      <c r="F53" s="20" t="n">
        <v>2.0503775</v>
      </c>
      <c r="G53" s="18" t="n">
        <v>22.9105288</v>
      </c>
      <c r="H53" s="20" t="n">
        <v>2.03263777</v>
      </c>
      <c r="I53" s="18" t="s">
        <v>567</v>
      </c>
      <c r="J53" s="20" t="s">
        <v>567</v>
      </c>
      <c r="K53" s="18" t="n">
        <v>1.43784835</v>
      </c>
      <c r="L53" s="20" t="n">
        <v>0.42953268</v>
      </c>
      <c r="M53" s="18" t="n">
        <v>0</v>
      </c>
      <c r="N53" s="20" t="n">
        <v>0</v>
      </c>
      <c r="O53" s="18" t="n">
        <v>0</v>
      </c>
      <c r="P53" s="20" t="n">
        <v>0</v>
      </c>
      <c r="Q53" s="18" t="n">
        <v>0.70759268</v>
      </c>
      <c r="R53" s="20" t="n">
        <v>0.32396882</v>
      </c>
    </row>
    <row r="54" spans="1:18">
      <c r="A54" s="15" t="s">
        <v>614</v>
      </c>
      <c r="B54" s="17" t="n">
        <v>2266</v>
      </c>
      <c r="C54" s="18">
        <f>(1764.0/B54*100)</f>
        <v/>
      </c>
      <c r="D54" s="19" t="n">
        <v>502</v>
      </c>
      <c r="E54" s="18" t="n">
        <v>46.40250966</v>
      </c>
      <c r="F54" s="20" t="n">
        <v>2.50786503</v>
      </c>
      <c r="G54" s="18" t="n">
        <v>31.09159943</v>
      </c>
      <c r="H54" s="20" t="n">
        <v>1.92351609</v>
      </c>
      <c r="I54" s="18" t="s">
        <v>567</v>
      </c>
      <c r="J54" s="20" t="s">
        <v>567</v>
      </c>
      <c r="K54" s="18" t="n">
        <v>21.31267767</v>
      </c>
      <c r="L54" s="20" t="n">
        <v>2.04342339</v>
      </c>
      <c r="M54" s="18" t="n">
        <v>0</v>
      </c>
      <c r="N54" s="20" t="n">
        <v>0</v>
      </c>
      <c r="O54" s="18" t="n">
        <v>0</v>
      </c>
      <c r="P54" s="20" t="n">
        <v>0</v>
      </c>
      <c r="Q54" s="18" t="n">
        <v>1.19321324</v>
      </c>
      <c r="R54" s="20" t="n">
        <v>0.53725939</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(2081.0/B56*100)</f>
        <v/>
      </c>
      <c r="D56" s="19" t="n">
        <v>603</v>
      </c>
      <c r="E56" s="18" t="n">
        <v>45.20528026</v>
      </c>
      <c r="F56" s="20" t="n">
        <v>2.54953274</v>
      </c>
      <c r="G56" s="18" t="n">
        <v>53.94988436</v>
      </c>
      <c r="H56" s="20" t="n">
        <v>2.51537147</v>
      </c>
      <c r="I56" s="18" t="s">
        <v>567</v>
      </c>
      <c r="J56" s="20" t="s">
        <v>567</v>
      </c>
      <c r="K56" s="18" t="n">
        <v>0.70237243</v>
      </c>
      <c r="L56" s="20" t="n">
        <v>0.35242022</v>
      </c>
      <c r="M56" s="18" t="n">
        <v>0</v>
      </c>
      <c r="N56" s="20" t="n">
        <v>0</v>
      </c>
      <c r="O56" s="18" t="n">
        <v>0</v>
      </c>
      <c r="P56" s="20" t="n">
        <v>0</v>
      </c>
      <c r="Q56" s="18" t="n">
        <v>0.14246295</v>
      </c>
      <c r="R56" s="20" t="n">
        <v>0.14069289</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(2594.0/B61*100)</f>
        <v/>
      </c>
      <c r="D61" s="19" t="n">
        <v>730</v>
      </c>
      <c r="E61" s="18" t="n">
        <v>66.52686599</v>
      </c>
      <c r="F61" s="20" t="n">
        <v>1.90931441</v>
      </c>
      <c r="G61" s="18" t="n">
        <v>31.53862433</v>
      </c>
      <c r="H61" s="20" t="n">
        <v>1.91270465</v>
      </c>
      <c r="I61" s="18" t="s">
        <v>567</v>
      </c>
      <c r="J61" s="20" t="s">
        <v>567</v>
      </c>
      <c r="K61" s="18" t="n">
        <v>1.27660044</v>
      </c>
      <c r="L61" s="20" t="n">
        <v>0.4388541</v>
      </c>
      <c r="M61" s="18" t="n">
        <v>0</v>
      </c>
      <c r="N61" s="20" t="n">
        <v>0</v>
      </c>
      <c r="O61" s="18" t="n">
        <v>0</v>
      </c>
      <c r="P61" s="20" t="n">
        <v>0</v>
      </c>
      <c r="Q61" s="18" t="n">
        <v>0.65790924</v>
      </c>
      <c r="R61" s="20" t="n">
        <v>0.38277664</v>
      </c>
    </row>
    <row r="62" spans="1:18">
      <c r="A62" s="15" t="s">
        <v>622</v>
      </c>
      <c r="B62" s="17" t="n">
        <v>2246</v>
      </c>
      <c r="C62" s="18">
        <f>(1757.0/B62*100)</f>
        <v/>
      </c>
      <c r="D62" s="19" t="n">
        <v>489</v>
      </c>
      <c r="E62" s="18" t="n">
        <v>52.93666695</v>
      </c>
      <c r="F62" s="20" t="n">
        <v>2.50175068</v>
      </c>
      <c r="G62" s="18" t="n">
        <v>46.86039485</v>
      </c>
      <c r="H62" s="20" t="n">
        <v>2.48572596</v>
      </c>
      <c r="I62" s="18" t="s">
        <v>567</v>
      </c>
      <c r="J62" s="20" t="s">
        <v>567</v>
      </c>
      <c r="K62" s="18" t="n">
        <v>0.2029382</v>
      </c>
      <c r="L62" s="20" t="n">
        <v>0.20307018</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(2283.0/B66*100)</f>
        <v/>
      </c>
      <c r="D66" s="19" t="n">
        <v>611</v>
      </c>
      <c r="E66" s="18" t="n">
        <v>68.95883553</v>
      </c>
      <c r="F66" s="20" t="n">
        <v>1.82375358</v>
      </c>
      <c r="G66" s="18" t="n">
        <v>24.84934087</v>
      </c>
      <c r="H66" s="20" t="n">
        <v>1.78246412</v>
      </c>
      <c r="I66" s="18" t="s">
        <v>567</v>
      </c>
      <c r="J66" s="20" t="s">
        <v>567</v>
      </c>
      <c r="K66" s="18" t="n">
        <v>3.26119107</v>
      </c>
      <c r="L66" s="20" t="n">
        <v>0.59667162</v>
      </c>
      <c r="M66" s="18" t="n">
        <v>0</v>
      </c>
      <c r="N66" s="20" t="n">
        <v>0</v>
      </c>
      <c r="O66" s="18" t="n">
        <v>0</v>
      </c>
      <c r="P66" s="20" t="n">
        <v>0</v>
      </c>
      <c r="Q66" s="18" t="n">
        <v>2.93063253</v>
      </c>
      <c r="R66" s="20" t="n">
        <v>0.60113859</v>
      </c>
    </row>
    <row r="67" spans="1:18">
      <c r="A67" s="15" t="s">
        <v>627</v>
      </c>
      <c r="B67" s="17" t="n">
        <v>3511</v>
      </c>
      <c r="C67" s="18">
        <f>(2879.0/B67*100)</f>
        <v/>
      </c>
      <c r="D67" s="19" t="n">
        <v>632</v>
      </c>
      <c r="E67" s="18" t="n">
        <v>64.29807897000001</v>
      </c>
      <c r="F67" s="20" t="n">
        <v>1.90400936</v>
      </c>
      <c r="G67" s="18" t="n">
        <v>32.88615821</v>
      </c>
      <c r="H67" s="20" t="n">
        <v>1.91258812</v>
      </c>
      <c r="I67" s="18" t="s">
        <v>567</v>
      </c>
      <c r="J67" s="20" t="s">
        <v>567</v>
      </c>
      <c r="K67" s="18" t="n">
        <v>1.37948693</v>
      </c>
      <c r="L67" s="20" t="n">
        <v>0.5128222099999999</v>
      </c>
      <c r="M67" s="18" t="n">
        <v>0</v>
      </c>
      <c r="N67" s="20" t="n">
        <v>0</v>
      </c>
      <c r="O67" s="18" t="n">
        <v>0</v>
      </c>
      <c r="P67" s="20" t="n">
        <v>0</v>
      </c>
      <c r="Q67" s="18" t="n">
        <v>1.43627589</v>
      </c>
      <c r="R67" s="20" t="n">
        <v>0.4877055</v>
      </c>
    </row>
    <row r="68" spans="1:18">
      <c r="A68" s="15" t="s">
        <v>628</v>
      </c>
      <c r="B68" s="17" t="n">
        <v>6049</v>
      </c>
      <c r="C68" s="18">
        <f>(4721.0/B68*100)</f>
        <v/>
      </c>
      <c r="D68" s="19" t="n">
        <v>1328</v>
      </c>
      <c r="E68" s="18" t="n">
        <v>62.59085787</v>
      </c>
      <c r="F68" s="20" t="n">
        <v>1.26493575</v>
      </c>
      <c r="G68" s="18" t="n">
        <v>30.2349146</v>
      </c>
      <c r="H68" s="20" t="n">
        <v>1.30258354</v>
      </c>
      <c r="I68" s="18" t="s">
        <v>567</v>
      </c>
      <c r="J68" s="20" t="s">
        <v>567</v>
      </c>
      <c r="K68" s="18" t="n">
        <v>5.72545248</v>
      </c>
      <c r="L68" s="20" t="n">
        <v>0.70993746</v>
      </c>
      <c r="M68" s="18" t="n">
        <v>0</v>
      </c>
      <c r="N68" s="20" t="n">
        <v>0</v>
      </c>
      <c r="O68" s="18" t="n">
        <v>0</v>
      </c>
      <c r="P68" s="20" t="n">
        <v>0</v>
      </c>
      <c r="Q68" s="18" t="n">
        <v>1.44877506</v>
      </c>
      <c r="R68" s="20" t="n">
        <v>0.31565681</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(2326.0/B70*100)</f>
        <v/>
      </c>
      <c r="D70" s="19" t="n">
        <v>603</v>
      </c>
      <c r="E70" s="18" t="n">
        <v>59.09894423</v>
      </c>
      <c r="F70" s="20" t="n">
        <v>2.42215305</v>
      </c>
      <c r="G70" s="18" t="n">
        <v>38.78297573</v>
      </c>
      <c r="H70" s="20" t="n">
        <v>2.42457299</v>
      </c>
      <c r="I70" s="18" t="s">
        <v>567</v>
      </c>
      <c r="J70" s="20" t="s">
        <v>567</v>
      </c>
      <c r="K70" s="18" t="n">
        <v>1.19923173</v>
      </c>
      <c r="L70" s="20" t="n">
        <v>0.46664566</v>
      </c>
      <c r="M70" s="18" t="n">
        <v>0</v>
      </c>
      <c r="N70" s="20" t="n">
        <v>0</v>
      </c>
      <c r="O70" s="18" t="n">
        <v>0</v>
      </c>
      <c r="P70" s="20" t="n">
        <v>0</v>
      </c>
      <c r="Q70" s="18" t="n">
        <v>0.91884831</v>
      </c>
      <c r="R70" s="20" t="n">
        <v>0.47637812</v>
      </c>
    </row>
    <row r="71" spans="1:18">
      <c r="A71" s="15" t="s">
        <v>631</v>
      </c>
      <c r="B71" s="17" t="n">
        <v>3142</v>
      </c>
      <c r="C71" s="18">
        <f>(2455.0/B71*100)</f>
        <v/>
      </c>
      <c r="D71" s="19" t="n">
        <v>687</v>
      </c>
      <c r="E71" s="18" t="n">
        <v>45.72979407</v>
      </c>
      <c r="F71" s="20" t="n">
        <v>1.90073994</v>
      </c>
      <c r="G71" s="18" t="n">
        <v>54.10139587</v>
      </c>
      <c r="H71" s="20" t="n">
        <v>1.92050918</v>
      </c>
      <c r="I71" s="18" t="s">
        <v>567</v>
      </c>
      <c r="J71" s="20" t="s">
        <v>567</v>
      </c>
      <c r="K71" s="18" t="n">
        <v>0.16881006</v>
      </c>
      <c r="L71" s="20" t="n">
        <v>0.16920327</v>
      </c>
      <c r="M71" s="18" t="n">
        <v>0</v>
      </c>
      <c r="N71" s="20" t="n">
        <v>0</v>
      </c>
      <c r="O71" s="18" t="n">
        <v>0</v>
      </c>
      <c r="P71" s="20" t="n">
        <v>0</v>
      </c>
      <c r="Q71" s="18" t="n">
        <v>0</v>
      </c>
      <c r="R71" s="20" t="n">
        <v>0</v>
      </c>
    </row>
    <row r="72" spans="1:18">
      <c r="A72" s="15" t="s">
        <v>632</v>
      </c>
      <c r="B72" s="17" t="n">
        <v>3889</v>
      </c>
      <c r="C72" s="18">
        <f>(2990.0/B72*100)</f>
        <v/>
      </c>
      <c r="D72" s="19" t="n">
        <v>899</v>
      </c>
      <c r="E72" s="18" t="n">
        <v>33.01296946</v>
      </c>
      <c r="F72" s="20" t="n">
        <v>2.03002985</v>
      </c>
      <c r="G72" s="18" t="n">
        <v>65.74210803</v>
      </c>
      <c r="H72" s="20" t="n">
        <v>2.00404002</v>
      </c>
      <c r="I72" s="18" t="s">
        <v>567</v>
      </c>
      <c r="J72" s="20" t="s">
        <v>567</v>
      </c>
      <c r="K72" s="18" t="n">
        <v>0.59527119</v>
      </c>
      <c r="L72" s="20" t="n">
        <v>0.2711081</v>
      </c>
      <c r="M72" s="18" t="n">
        <v>0</v>
      </c>
      <c r="N72" s="20" t="n">
        <v>0</v>
      </c>
      <c r="O72" s="18" t="n">
        <v>0</v>
      </c>
      <c r="P72" s="20" t="n">
        <v>0</v>
      </c>
      <c r="Q72" s="18" t="n">
        <v>0.64965132</v>
      </c>
      <c r="R72" s="20" t="n">
        <v>0.24032906</v>
      </c>
    </row>
    <row r="73" spans="1:18">
      <c r="A73" s="15" t="s">
        <v>633</v>
      </c>
      <c r="B73" s="17" t="n">
        <v>3597</v>
      </c>
      <c r="C73" s="18">
        <f>(2867.0/B73*100)</f>
        <v/>
      </c>
      <c r="D73" s="19" t="n">
        <v>730</v>
      </c>
      <c r="E73" s="18" t="n">
        <v>55.84842091</v>
      </c>
      <c r="F73" s="20" t="n">
        <v>2.30164513</v>
      </c>
      <c r="G73" s="18" t="n">
        <v>43.22105803</v>
      </c>
      <c r="H73" s="20" t="n">
        <v>2.32156525</v>
      </c>
      <c r="I73" s="18" t="s">
        <v>567</v>
      </c>
      <c r="J73" s="20" t="s">
        <v>567</v>
      </c>
      <c r="K73" s="18" t="n">
        <v>0.06721882999999999</v>
      </c>
      <c r="L73" s="20" t="n">
        <v>0.05869931</v>
      </c>
      <c r="M73" s="18" t="n">
        <v>0</v>
      </c>
      <c r="N73" s="20" t="n">
        <v>0</v>
      </c>
      <c r="O73" s="18" t="n">
        <v>0</v>
      </c>
      <c r="P73" s="20" t="n">
        <v>0</v>
      </c>
      <c r="Q73" s="18" t="n">
        <v>0.8633022299999999</v>
      </c>
      <c r="R73" s="20" t="n">
        <v>0.36290085</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(1958.0/B75*100)</f>
        <v/>
      </c>
      <c r="D75" s="19" t="n">
        <v>448</v>
      </c>
      <c r="E75" s="18" t="n">
        <v>65.96581577000001</v>
      </c>
      <c r="F75" s="20" t="n">
        <v>2.8006905</v>
      </c>
      <c r="G75" s="18" t="n">
        <v>25.10421142</v>
      </c>
      <c r="H75" s="20" t="n">
        <v>2.49404447</v>
      </c>
      <c r="I75" s="18" t="s">
        <v>567</v>
      </c>
      <c r="J75" s="20" t="s">
        <v>567</v>
      </c>
      <c r="K75" s="18" t="n">
        <v>7.12781486</v>
      </c>
      <c r="L75" s="20" t="n">
        <v>1.50672236</v>
      </c>
      <c r="M75" s="18" t="n">
        <v>0</v>
      </c>
      <c r="N75" s="20" t="n">
        <v>0</v>
      </c>
      <c r="O75" s="18" t="n">
        <v>0</v>
      </c>
      <c r="P75" s="20" t="n">
        <v>0</v>
      </c>
      <c r="Q75" s="18" t="n">
        <v>1.80215796</v>
      </c>
      <c r="R75" s="20" t="n">
        <v>0.57358498</v>
      </c>
    </row>
    <row r="76" spans="1:18">
      <c r="A76" s="15" t="s">
        <v>636</v>
      </c>
      <c r="B76" s="17" t="n">
        <v>7052</v>
      </c>
      <c r="C76" s="18">
        <f>(5545.0/B76*100)</f>
        <v/>
      </c>
      <c r="D76" s="19" t="n">
        <v>1507</v>
      </c>
      <c r="E76" s="18" t="n">
        <v>58.32016334</v>
      </c>
      <c r="F76" s="20" t="n">
        <v>1.61666928</v>
      </c>
      <c r="G76" s="18" t="n">
        <v>36.57239658</v>
      </c>
      <c r="H76" s="20" t="n">
        <v>1.44025833</v>
      </c>
      <c r="I76" s="18" t="s">
        <v>567</v>
      </c>
      <c r="J76" s="20" t="s">
        <v>567</v>
      </c>
      <c r="K76" s="18" t="n">
        <v>4.04614629</v>
      </c>
      <c r="L76" s="20" t="n">
        <v>0.72254975</v>
      </c>
      <c r="M76" s="18" t="n">
        <v>0</v>
      </c>
      <c r="N76" s="20" t="n">
        <v>0</v>
      </c>
      <c r="O76" s="18" t="n">
        <v>0</v>
      </c>
      <c r="P76" s="20" t="n">
        <v>0</v>
      </c>
      <c r="Q76" s="18" t="n">
        <v>1.06129378</v>
      </c>
      <c r="R76" s="20" t="n">
        <v>0.27779427</v>
      </c>
    </row>
    <row r="77" spans="1:18">
      <c r="A77" s="15" t="s">
        <v>637</v>
      </c>
      <c r="B77" s="17" t="n">
        <v>2908</v>
      </c>
      <c r="C77" s="18">
        <f>(2325.0/B77*100)</f>
        <v/>
      </c>
      <c r="D77" s="19" t="n">
        <v>583</v>
      </c>
      <c r="E77" s="18" t="n">
        <v>62.58162731</v>
      </c>
      <c r="F77" s="20" t="n">
        <v>2.16941485</v>
      </c>
      <c r="G77" s="18" t="n">
        <v>29.16375295</v>
      </c>
      <c r="H77" s="20" t="n">
        <v>1.94260446</v>
      </c>
      <c r="I77" s="18" t="s">
        <v>567</v>
      </c>
      <c r="J77" s="20" t="s">
        <v>567</v>
      </c>
      <c r="K77" s="18" t="n">
        <v>6.86318305</v>
      </c>
      <c r="L77" s="20" t="n">
        <v>1.10861411</v>
      </c>
      <c r="M77" s="18" t="n">
        <v>0</v>
      </c>
      <c r="N77" s="20" t="n">
        <v>0</v>
      </c>
      <c r="O77" s="18" t="n">
        <v>0</v>
      </c>
      <c r="P77" s="20" t="n">
        <v>0</v>
      </c>
      <c r="Q77" s="18" t="n">
        <v>1.39143669</v>
      </c>
      <c r="R77" s="20" t="n">
        <v>0.53001593</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(3271.0/B81*100)</f>
        <v/>
      </c>
      <c r="D81" s="19" t="n">
        <v>892</v>
      </c>
      <c r="E81" s="18" t="n">
        <v>68.29004504</v>
      </c>
      <c r="F81" s="20" t="n">
        <v>2.02986825</v>
      </c>
      <c r="G81" s="18" t="n">
        <v>31.08598489</v>
      </c>
      <c r="H81" s="20" t="n">
        <v>1.98748899</v>
      </c>
      <c r="I81" s="18" t="s">
        <v>567</v>
      </c>
      <c r="J81" s="20" t="s">
        <v>567</v>
      </c>
      <c r="K81" s="18" t="n">
        <v>0.30085987</v>
      </c>
      <c r="L81" s="20" t="n">
        <v>0.18646975</v>
      </c>
      <c r="M81" s="18" t="n">
        <v>0</v>
      </c>
      <c r="N81" s="20" t="n">
        <v>0</v>
      </c>
      <c r="O81" s="18" t="n">
        <v>0</v>
      </c>
      <c r="P81" s="20" t="n">
        <v>0</v>
      </c>
      <c r="Q81" s="18" t="n">
        <v>0.32311019</v>
      </c>
      <c r="R81" s="20" t="n">
        <v>0.22946433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(5766.0/B7*100)</f>
        <v/>
      </c>
      <c r="D7" s="19" t="n">
        <v>1601</v>
      </c>
      <c r="E7" s="18" t="n">
        <v>45.56791957</v>
      </c>
      <c r="F7" s="20" t="n">
        <v>1.56656157</v>
      </c>
      <c r="G7" s="18" t="n">
        <v>51.91329944</v>
      </c>
      <c r="H7" s="20" t="n">
        <v>1.59678405</v>
      </c>
      <c r="I7" s="18" t="s">
        <v>567</v>
      </c>
      <c r="J7" s="20" t="s">
        <v>567</v>
      </c>
      <c r="K7" s="18" t="n">
        <v>1.85693753</v>
      </c>
      <c r="L7" s="20" t="n">
        <v>0.39833152</v>
      </c>
      <c r="M7" s="18" t="n">
        <v>0</v>
      </c>
      <c r="N7" s="20" t="n">
        <v>0</v>
      </c>
      <c r="O7" s="18" t="n">
        <v>0</v>
      </c>
      <c r="P7" s="20" t="n">
        <v>0</v>
      </c>
      <c r="Q7" s="18" t="n">
        <v>0.66184345</v>
      </c>
      <c r="R7" s="20" t="n">
        <v>0.25395329</v>
      </c>
    </row>
    <row r="8" spans="1:18">
      <c r="A8" s="15" t="s">
        <v>568</v>
      </c>
      <c r="B8" s="17" t="n">
        <v>3564</v>
      </c>
      <c r="C8" s="18">
        <f>(2783.0/B8*100)</f>
        <v/>
      </c>
      <c r="D8" s="19" t="n">
        <v>781</v>
      </c>
      <c r="E8" s="18" t="n">
        <v>48.58550522</v>
      </c>
      <c r="F8" s="20" t="n">
        <v>2.23282719</v>
      </c>
      <c r="G8" s="18" t="n">
        <v>47.21073779</v>
      </c>
      <c r="H8" s="20" t="n">
        <v>2.17781908</v>
      </c>
      <c r="I8" s="18" t="s">
        <v>567</v>
      </c>
      <c r="J8" s="20" t="s">
        <v>567</v>
      </c>
      <c r="K8" s="18" t="n">
        <v>4.02344083</v>
      </c>
      <c r="L8" s="20" t="n">
        <v>0.99254615</v>
      </c>
      <c r="M8" s="18" t="n">
        <v>0</v>
      </c>
      <c r="N8" s="20" t="n">
        <v>0</v>
      </c>
      <c r="O8" s="18" t="n">
        <v>0</v>
      </c>
      <c r="P8" s="20" t="n">
        <v>0</v>
      </c>
      <c r="Q8" s="18" t="n">
        <v>0.18031617</v>
      </c>
      <c r="R8" s="20" t="n">
        <v>0.1493068</v>
      </c>
    </row>
    <row r="9" spans="1:18">
      <c r="A9" s="15" t="s">
        <v>569</v>
      </c>
      <c r="B9" s="17" t="n">
        <v>4899</v>
      </c>
      <c r="C9" s="18">
        <f>(3906.0/B9*100)</f>
        <v/>
      </c>
      <c r="D9" s="19" t="n">
        <v>993</v>
      </c>
      <c r="E9" s="18" t="n">
        <v>46.14285248</v>
      </c>
      <c r="F9" s="20" t="n">
        <v>1.90145386</v>
      </c>
      <c r="G9" s="18" t="n">
        <v>50.02217949</v>
      </c>
      <c r="H9" s="20" t="n">
        <v>1.95736467</v>
      </c>
      <c r="I9" s="18" t="s">
        <v>567</v>
      </c>
      <c r="J9" s="20" t="s">
        <v>567</v>
      </c>
      <c r="K9" s="18" t="n">
        <v>3.27786265</v>
      </c>
      <c r="L9" s="20" t="n">
        <v>0.58986435</v>
      </c>
      <c r="M9" s="18" t="n">
        <v>0</v>
      </c>
      <c r="N9" s="20" t="n">
        <v>0</v>
      </c>
      <c r="O9" s="18" t="n">
        <v>0</v>
      </c>
      <c r="P9" s="20" t="n">
        <v>0</v>
      </c>
      <c r="Q9" s="18" t="n">
        <v>0.55710538</v>
      </c>
      <c r="R9" s="20" t="n">
        <v>0.22683778</v>
      </c>
    </row>
    <row r="10" spans="1:18">
      <c r="A10" s="15" t="s">
        <v>570</v>
      </c>
      <c r="B10" s="17" t="n">
        <v>10036</v>
      </c>
      <c r="C10" s="18">
        <f>(7816.0/B10*100)</f>
        <v/>
      </c>
      <c r="D10" s="19" t="n">
        <v>2220</v>
      </c>
      <c r="E10" s="18" t="n">
        <v>40.23933256</v>
      </c>
      <c r="F10" s="20" t="n">
        <v>1.45428386</v>
      </c>
      <c r="G10" s="18" t="n">
        <v>57.26246117</v>
      </c>
      <c r="H10" s="20" t="n">
        <v>1.56669573</v>
      </c>
      <c r="I10" s="18" t="s">
        <v>567</v>
      </c>
      <c r="J10" s="20" t="s">
        <v>567</v>
      </c>
      <c r="K10" s="18" t="n">
        <v>2.00211321</v>
      </c>
      <c r="L10" s="20" t="n">
        <v>0.40402976</v>
      </c>
      <c r="M10" s="18" t="n">
        <v>0</v>
      </c>
      <c r="N10" s="20" t="n">
        <v>0</v>
      </c>
      <c r="O10" s="18" t="n">
        <v>0</v>
      </c>
      <c r="P10" s="20" t="n">
        <v>0</v>
      </c>
      <c r="Q10" s="18" t="n">
        <v>0.49609306</v>
      </c>
      <c r="R10" s="20" t="n">
        <v>0.1987983</v>
      </c>
    </row>
    <row r="11" spans="1:18">
      <c r="A11" s="15" t="s">
        <v>571</v>
      </c>
      <c r="B11" s="17" t="n">
        <v>3553</v>
      </c>
      <c r="C11" s="18">
        <f>(2832.0/B11*100)</f>
        <v/>
      </c>
      <c r="D11" s="19" t="n">
        <v>721</v>
      </c>
      <c r="E11" s="18" t="n">
        <v>52.84180377</v>
      </c>
      <c r="F11" s="20" t="n">
        <v>2.43364032</v>
      </c>
      <c r="G11" s="18" t="n">
        <v>41.41587942</v>
      </c>
      <c r="H11" s="20" t="n">
        <v>2.22779235</v>
      </c>
      <c r="I11" s="18" t="s">
        <v>567</v>
      </c>
      <c r="J11" s="20" t="s">
        <v>567</v>
      </c>
      <c r="K11" s="18" t="n">
        <v>5.06446876</v>
      </c>
      <c r="L11" s="20" t="n">
        <v>1.42707401</v>
      </c>
      <c r="M11" s="18" t="n">
        <v>0</v>
      </c>
      <c r="N11" s="20" t="n">
        <v>0</v>
      </c>
      <c r="O11" s="18" t="n">
        <v>0</v>
      </c>
      <c r="P11" s="20" t="n">
        <v>0</v>
      </c>
      <c r="Q11" s="18" t="n">
        <v>0.67784806</v>
      </c>
      <c r="R11" s="20" t="n">
        <v>0.29450385</v>
      </c>
    </row>
    <row r="12" spans="1:18">
      <c r="A12" s="15" t="s">
        <v>572</v>
      </c>
      <c r="B12" s="17" t="n">
        <v>3472</v>
      </c>
      <c r="C12" s="18">
        <f>(2722.0/B12*100)</f>
        <v/>
      </c>
      <c r="D12" s="19" t="n">
        <v>750</v>
      </c>
      <c r="E12" s="18" t="n">
        <v>48.0184476</v>
      </c>
      <c r="F12" s="20" t="n">
        <v>2.32239202</v>
      </c>
      <c r="G12" s="18" t="n">
        <v>50.20906332</v>
      </c>
      <c r="H12" s="20" t="n">
        <v>2.27254384</v>
      </c>
      <c r="I12" s="18" t="s">
        <v>567</v>
      </c>
      <c r="J12" s="20" t="s">
        <v>567</v>
      </c>
      <c r="K12" s="18" t="n">
        <v>1.40720336</v>
      </c>
      <c r="L12" s="20" t="n">
        <v>0.43961647</v>
      </c>
      <c r="M12" s="18" t="n">
        <v>0</v>
      </c>
      <c r="N12" s="20" t="n">
        <v>0</v>
      </c>
      <c r="O12" s="18" t="n">
        <v>0</v>
      </c>
      <c r="P12" s="20" t="n">
        <v>0</v>
      </c>
      <c r="Q12" s="18" t="n">
        <v>0.36528571</v>
      </c>
      <c r="R12" s="20" t="n">
        <v>0.18690905</v>
      </c>
    </row>
    <row r="13" spans="1:18">
      <c r="A13" s="15" t="s">
        <v>573</v>
      </c>
      <c r="B13" s="17" t="n">
        <v>3559</v>
      </c>
      <c r="C13" s="18">
        <f>(2798.0/B13*100)</f>
        <v/>
      </c>
      <c r="D13" s="19" t="n">
        <v>761</v>
      </c>
      <c r="E13" s="18" t="n">
        <v>52.14361441</v>
      </c>
      <c r="F13" s="20" t="n">
        <v>2.32374337</v>
      </c>
      <c r="G13" s="18" t="n">
        <v>46.1965339</v>
      </c>
      <c r="H13" s="20" t="n">
        <v>2.33012285</v>
      </c>
      <c r="I13" s="18" t="s">
        <v>567</v>
      </c>
      <c r="J13" s="20" t="s">
        <v>567</v>
      </c>
      <c r="K13" s="18" t="n">
        <v>1.1825294</v>
      </c>
      <c r="L13" s="20" t="n">
        <v>0.38309031</v>
      </c>
      <c r="M13" s="18" t="n">
        <v>0</v>
      </c>
      <c r="N13" s="20" t="n">
        <v>0</v>
      </c>
      <c r="O13" s="18" t="n">
        <v>0</v>
      </c>
      <c r="P13" s="20" t="n">
        <v>0</v>
      </c>
      <c r="Q13" s="18" t="n">
        <v>0.47732228</v>
      </c>
      <c r="R13" s="20" t="n">
        <v>0.2460098</v>
      </c>
    </row>
    <row r="14" spans="1:18">
      <c r="A14" s="15" t="s">
        <v>574</v>
      </c>
      <c r="B14" s="17" t="n">
        <v>2799</v>
      </c>
      <c r="C14" s="18">
        <f>(2223.0/B14*100)</f>
        <v/>
      </c>
      <c r="D14" s="19" t="n">
        <v>576</v>
      </c>
      <c r="E14" s="18" t="n">
        <v>49.1101539</v>
      </c>
      <c r="F14" s="20" t="n">
        <v>2.5163058</v>
      </c>
      <c r="G14" s="18" t="n">
        <v>48.83649539</v>
      </c>
      <c r="H14" s="20" t="n">
        <v>2.42804104</v>
      </c>
      <c r="I14" s="18" t="s">
        <v>567</v>
      </c>
      <c r="J14" s="20" t="s">
        <v>567</v>
      </c>
      <c r="K14" s="18" t="n">
        <v>1.70333644</v>
      </c>
      <c r="L14" s="20" t="n">
        <v>0.56153856</v>
      </c>
      <c r="M14" s="18" t="n">
        <v>0</v>
      </c>
      <c r="N14" s="20" t="n">
        <v>0</v>
      </c>
      <c r="O14" s="18" t="n">
        <v>0</v>
      </c>
      <c r="P14" s="20" t="n">
        <v>0</v>
      </c>
      <c r="Q14" s="18" t="n">
        <v>0.35001427</v>
      </c>
      <c r="R14" s="20" t="n">
        <v>0.24717206</v>
      </c>
    </row>
    <row r="15" spans="1:18">
      <c r="A15" s="15" t="s">
        <v>575</v>
      </c>
      <c r="B15" s="17" t="n">
        <v>3019</v>
      </c>
      <c r="C15" s="18">
        <f>(2382.0/B15*100)</f>
        <v/>
      </c>
      <c r="D15" s="19" t="n">
        <v>637</v>
      </c>
      <c r="E15" s="18" t="n">
        <v>51.73246753</v>
      </c>
      <c r="F15" s="20" t="n">
        <v>2.47812224</v>
      </c>
      <c r="G15" s="18" t="n">
        <v>46.65436144</v>
      </c>
      <c r="H15" s="20" t="n">
        <v>2.39397071</v>
      </c>
      <c r="I15" s="18" t="s">
        <v>567</v>
      </c>
      <c r="J15" s="20" t="s">
        <v>567</v>
      </c>
      <c r="K15" s="18" t="n">
        <v>1.15298004</v>
      </c>
      <c r="L15" s="20" t="n">
        <v>0.37348622</v>
      </c>
      <c r="M15" s="18" t="n">
        <v>0</v>
      </c>
      <c r="N15" s="20" t="n">
        <v>0</v>
      </c>
      <c r="O15" s="18" t="n">
        <v>0</v>
      </c>
      <c r="P15" s="20" t="n">
        <v>0</v>
      </c>
      <c r="Q15" s="18" t="n">
        <v>0.460191</v>
      </c>
      <c r="R15" s="20" t="n">
        <v>0.26846665</v>
      </c>
    </row>
    <row r="16" spans="1:18">
      <c r="A16" s="15" t="s">
        <v>576</v>
      </c>
      <c r="B16" s="17" t="n">
        <v>2997</v>
      </c>
      <c r="C16" s="18">
        <f>(2374.0/B16*100)</f>
        <v/>
      </c>
      <c r="D16" s="19" t="n">
        <v>623</v>
      </c>
      <c r="E16" s="18" t="n">
        <v>48.94231542</v>
      </c>
      <c r="F16" s="20" t="n">
        <v>1.87652684</v>
      </c>
      <c r="G16" s="18" t="n">
        <v>45.31458316</v>
      </c>
      <c r="H16" s="20" t="n">
        <v>1.78484658</v>
      </c>
      <c r="I16" s="18" t="s">
        <v>567</v>
      </c>
      <c r="J16" s="20" t="s">
        <v>567</v>
      </c>
      <c r="K16" s="18" t="n">
        <v>5.23405314</v>
      </c>
      <c r="L16" s="20" t="n">
        <v>0.98683745</v>
      </c>
      <c r="M16" s="18" t="n">
        <v>0</v>
      </c>
      <c r="N16" s="20" t="n">
        <v>0</v>
      </c>
      <c r="O16" s="18" t="n">
        <v>0</v>
      </c>
      <c r="P16" s="20" t="n">
        <v>0</v>
      </c>
      <c r="Q16" s="18" t="n">
        <v>0.50904828</v>
      </c>
      <c r="R16" s="20" t="n">
        <v>0.28243278</v>
      </c>
    </row>
    <row r="17" spans="1:18">
      <c r="A17" s="15" t="s">
        <v>577</v>
      </c>
      <c r="B17" s="17" t="n">
        <v>3307</v>
      </c>
      <c r="C17" s="18">
        <f>(2610.0/B17*100)</f>
        <v/>
      </c>
      <c r="D17" s="19" t="n">
        <v>697</v>
      </c>
      <c r="E17" s="18" t="n">
        <v>44.42029023</v>
      </c>
      <c r="F17" s="20" t="n">
        <v>2.41594726</v>
      </c>
      <c r="G17" s="18" t="n">
        <v>51.89642149</v>
      </c>
      <c r="H17" s="20" t="n">
        <v>2.39454403</v>
      </c>
      <c r="I17" s="18" t="s">
        <v>567</v>
      </c>
      <c r="J17" s="20" t="s">
        <v>567</v>
      </c>
      <c r="K17" s="18" t="n">
        <v>3.46172705</v>
      </c>
      <c r="L17" s="20" t="n">
        <v>0.71579975</v>
      </c>
      <c r="M17" s="18" t="n">
        <v>0</v>
      </c>
      <c r="N17" s="20" t="n">
        <v>0</v>
      </c>
      <c r="O17" s="18" t="n">
        <v>0</v>
      </c>
      <c r="P17" s="20" t="n">
        <v>0</v>
      </c>
      <c r="Q17" s="18" t="n">
        <v>0.22156123</v>
      </c>
      <c r="R17" s="20" t="n">
        <v>0.16464805</v>
      </c>
    </row>
    <row r="18" spans="1:18">
      <c r="A18" s="15" t="s">
        <v>578</v>
      </c>
      <c r="B18" s="17" t="n">
        <v>2826</v>
      </c>
      <c r="C18" s="18">
        <f>(2234.0/B18*100)</f>
        <v/>
      </c>
      <c r="D18" s="19" t="n">
        <v>592</v>
      </c>
      <c r="E18" s="18" t="n">
        <v>54.95606195</v>
      </c>
      <c r="F18" s="20" t="n">
        <v>2.34664834</v>
      </c>
      <c r="G18" s="18" t="n">
        <v>41.06592912</v>
      </c>
      <c r="H18" s="20" t="n">
        <v>2.34897123</v>
      </c>
      <c r="I18" s="18" t="s">
        <v>567</v>
      </c>
      <c r="J18" s="20" t="s">
        <v>567</v>
      </c>
      <c r="K18" s="18" t="n">
        <v>3.46799946</v>
      </c>
      <c r="L18" s="20" t="n">
        <v>0.62964054</v>
      </c>
      <c r="M18" s="18" t="n">
        <v>0</v>
      </c>
      <c r="N18" s="20" t="n">
        <v>0</v>
      </c>
      <c r="O18" s="18" t="n">
        <v>0</v>
      </c>
      <c r="P18" s="20" t="n">
        <v>0</v>
      </c>
      <c r="Q18" s="18" t="n">
        <v>0.51000947</v>
      </c>
      <c r="R18" s="20" t="n">
        <v>0.30253491</v>
      </c>
    </row>
    <row r="19" spans="1:18">
      <c r="A19" s="15" t="s">
        <v>579</v>
      </c>
      <c r="B19" s="17" t="n">
        <v>2808</v>
      </c>
      <c r="C19" s="18">
        <f>(2158.0/B19*100)</f>
        <v/>
      </c>
      <c r="D19" s="19" t="n">
        <v>650</v>
      </c>
      <c r="E19" s="18" t="n">
        <v>56.29821376</v>
      </c>
      <c r="F19" s="20" t="n">
        <v>2.45962035</v>
      </c>
      <c r="G19" s="18" t="n">
        <v>41.41861173</v>
      </c>
      <c r="H19" s="20" t="n">
        <v>2.62181411</v>
      </c>
      <c r="I19" s="18" t="s">
        <v>567</v>
      </c>
      <c r="J19" s="20" t="s">
        <v>567</v>
      </c>
      <c r="K19" s="18" t="n">
        <v>1.74060902</v>
      </c>
      <c r="L19" s="20" t="n">
        <v>0.61291537</v>
      </c>
      <c r="M19" s="18" t="n">
        <v>0</v>
      </c>
      <c r="N19" s="20" t="n">
        <v>0</v>
      </c>
      <c r="O19" s="18" t="n">
        <v>0</v>
      </c>
      <c r="P19" s="20" t="n">
        <v>0</v>
      </c>
      <c r="Q19" s="18" t="n">
        <v>0.54256549</v>
      </c>
      <c r="R19" s="20" t="n">
        <v>0.26471614</v>
      </c>
    </row>
    <row r="20" spans="1:18">
      <c r="A20" s="15" t="s">
        <v>580</v>
      </c>
      <c r="B20" s="17" t="n">
        <v>1630</v>
      </c>
      <c r="C20" s="18">
        <f>(1264.0/B20*100)</f>
        <v/>
      </c>
      <c r="D20" s="19" t="n">
        <v>366</v>
      </c>
      <c r="E20" s="18" t="n">
        <v>47.774966</v>
      </c>
      <c r="F20" s="20" t="n">
        <v>2.91667814</v>
      </c>
      <c r="G20" s="18" t="n">
        <v>47.46644224</v>
      </c>
      <c r="H20" s="20" t="n">
        <v>2.8732827</v>
      </c>
      <c r="I20" s="18" t="s">
        <v>567</v>
      </c>
      <c r="J20" s="20" t="s">
        <v>567</v>
      </c>
      <c r="K20" s="18" t="n">
        <v>3.20188915</v>
      </c>
      <c r="L20" s="20" t="n">
        <v>0.91804477</v>
      </c>
      <c r="M20" s="18" t="n">
        <v>0</v>
      </c>
      <c r="N20" s="20" t="n">
        <v>0</v>
      </c>
      <c r="O20" s="18" t="n">
        <v>0</v>
      </c>
      <c r="P20" s="20" t="n">
        <v>0</v>
      </c>
      <c r="Q20" s="18" t="n">
        <v>1.55670262</v>
      </c>
      <c r="R20" s="20" t="n">
        <v>0.64792695</v>
      </c>
    </row>
    <row r="21" spans="1:18">
      <c r="A21" s="15" t="s">
        <v>581</v>
      </c>
      <c r="B21" s="17" t="n">
        <v>2908</v>
      </c>
      <c r="C21" s="18">
        <f>(2280.0/B21*100)</f>
        <v/>
      </c>
      <c r="D21" s="19" t="n">
        <v>628</v>
      </c>
      <c r="E21" s="18" t="n">
        <v>47.44323066</v>
      </c>
      <c r="F21" s="20" t="n">
        <v>2.17044863</v>
      </c>
      <c r="G21" s="18" t="n">
        <v>50.54891027</v>
      </c>
      <c r="H21" s="20" t="n">
        <v>2.26983262</v>
      </c>
      <c r="I21" s="18" t="s">
        <v>567</v>
      </c>
      <c r="J21" s="20" t="s">
        <v>567</v>
      </c>
      <c r="K21" s="18" t="n">
        <v>1.30220215</v>
      </c>
      <c r="L21" s="20" t="n">
        <v>0.5564486</v>
      </c>
      <c r="M21" s="18" t="n">
        <v>0</v>
      </c>
      <c r="N21" s="20" t="n">
        <v>0</v>
      </c>
      <c r="O21" s="18" t="n">
        <v>0</v>
      </c>
      <c r="P21" s="20" t="n">
        <v>0</v>
      </c>
      <c r="Q21" s="18" t="n">
        <v>0.70565693</v>
      </c>
      <c r="R21" s="20" t="n">
        <v>0.29678772</v>
      </c>
    </row>
    <row r="22" spans="1:18">
      <c r="A22" s="15" t="s">
        <v>582</v>
      </c>
      <c r="B22" s="17" t="n">
        <v>2931</v>
      </c>
      <c r="C22" s="18">
        <f>(2308.0/B22*100)</f>
        <v/>
      </c>
      <c r="D22" s="19" t="n">
        <v>623</v>
      </c>
      <c r="E22" s="18" t="n">
        <v>42.61238684</v>
      </c>
      <c r="F22" s="20" t="n">
        <v>2.08818568</v>
      </c>
      <c r="G22" s="18" t="n">
        <v>52.03614154</v>
      </c>
      <c r="H22" s="20" t="n">
        <v>2.19332307</v>
      </c>
      <c r="I22" s="18" t="s">
        <v>567</v>
      </c>
      <c r="J22" s="20" t="s">
        <v>567</v>
      </c>
      <c r="K22" s="18" t="n">
        <v>4.72906614</v>
      </c>
      <c r="L22" s="20" t="n">
        <v>0.99109876</v>
      </c>
      <c r="M22" s="18" t="n">
        <v>0</v>
      </c>
      <c r="N22" s="20" t="n">
        <v>0</v>
      </c>
      <c r="O22" s="18" t="n">
        <v>0</v>
      </c>
      <c r="P22" s="20" t="n">
        <v>0</v>
      </c>
      <c r="Q22" s="18" t="n">
        <v>0.62240549</v>
      </c>
      <c r="R22" s="20" t="n">
        <v>0.38555798</v>
      </c>
    </row>
    <row r="23" spans="1:18">
      <c r="A23" s="15" t="s">
        <v>583</v>
      </c>
      <c r="B23" s="17" t="n">
        <v>5791</v>
      </c>
      <c r="C23" s="18">
        <f>(4499.0/B23*100)</f>
        <v/>
      </c>
      <c r="D23" s="19" t="n">
        <v>1292</v>
      </c>
      <c r="E23" s="18" t="n">
        <v>49.80402579</v>
      </c>
      <c r="F23" s="20" t="n">
        <v>2.01974774</v>
      </c>
      <c r="G23" s="18" t="n">
        <v>46.06464169</v>
      </c>
      <c r="H23" s="20" t="n">
        <v>2.05781873</v>
      </c>
      <c r="I23" s="18" t="s">
        <v>567</v>
      </c>
      <c r="J23" s="20" t="s">
        <v>567</v>
      </c>
      <c r="K23" s="18" t="n">
        <v>2.9189417</v>
      </c>
      <c r="L23" s="20" t="n">
        <v>0.76758797</v>
      </c>
      <c r="M23" s="18" t="n">
        <v>0</v>
      </c>
      <c r="N23" s="20" t="n">
        <v>0</v>
      </c>
      <c r="O23" s="18" t="n">
        <v>0</v>
      </c>
      <c r="P23" s="20" t="n">
        <v>0</v>
      </c>
      <c r="Q23" s="18" t="n">
        <v>1.21239081</v>
      </c>
      <c r="R23" s="20" t="n">
        <v>0.45900934</v>
      </c>
    </row>
    <row r="24" spans="1:18">
      <c r="A24" s="15" t="s">
        <v>584</v>
      </c>
      <c r="B24" s="17" t="n">
        <v>3338</v>
      </c>
      <c r="C24" s="18">
        <f>(2629.0/B24*100)</f>
        <v/>
      </c>
      <c r="D24" s="19" t="n">
        <v>709</v>
      </c>
      <c r="E24" s="18" t="n">
        <v>31.83657096</v>
      </c>
      <c r="F24" s="20" t="n">
        <v>2.10052331</v>
      </c>
      <c r="G24" s="18" t="n">
        <v>66.34304007</v>
      </c>
      <c r="H24" s="20" t="n">
        <v>2.07089193</v>
      </c>
      <c r="I24" s="18" t="s">
        <v>567</v>
      </c>
      <c r="J24" s="20" t="s">
        <v>567</v>
      </c>
      <c r="K24" s="18" t="n">
        <v>0.84681386</v>
      </c>
      <c r="L24" s="20" t="n">
        <v>0.46985546</v>
      </c>
      <c r="M24" s="18" t="n">
        <v>0</v>
      </c>
      <c r="N24" s="20" t="n">
        <v>0</v>
      </c>
      <c r="O24" s="18" t="n">
        <v>0</v>
      </c>
      <c r="P24" s="20" t="n">
        <v>0</v>
      </c>
      <c r="Q24" s="18" t="n">
        <v>0.97357511</v>
      </c>
      <c r="R24" s="20" t="n">
        <v>0.36504227</v>
      </c>
    </row>
    <row r="25" spans="1:18">
      <c r="A25" s="15" t="s">
        <v>585</v>
      </c>
      <c r="B25" s="17" t="n">
        <v>2912</v>
      </c>
      <c r="C25" s="18">
        <f>(2243.0/B25*100)</f>
        <v/>
      </c>
      <c r="D25" s="19" t="n">
        <v>669</v>
      </c>
      <c r="E25" s="18" t="n">
        <v>43.11463368</v>
      </c>
      <c r="F25" s="20" t="n">
        <v>1.9041275</v>
      </c>
      <c r="G25" s="18" t="n">
        <v>55.23947716</v>
      </c>
      <c r="H25" s="20" t="n">
        <v>1.92069077</v>
      </c>
      <c r="I25" s="18" t="s">
        <v>567</v>
      </c>
      <c r="J25" s="20" t="s">
        <v>567</v>
      </c>
      <c r="K25" s="18" t="n">
        <v>1.21455168</v>
      </c>
      <c r="L25" s="20" t="n">
        <v>0.41082737</v>
      </c>
      <c r="M25" s="18" t="n">
        <v>0</v>
      </c>
      <c r="N25" s="20" t="n">
        <v>0</v>
      </c>
      <c r="O25" s="18" t="n">
        <v>0</v>
      </c>
      <c r="P25" s="20" t="n">
        <v>0</v>
      </c>
      <c r="Q25" s="18" t="n">
        <v>0.43133748</v>
      </c>
      <c r="R25" s="20" t="n">
        <v>0.24648517</v>
      </c>
    </row>
    <row r="26" spans="1:18">
      <c r="A26" s="15" t="s">
        <v>586</v>
      </c>
      <c r="B26" s="17" t="n">
        <v>2450</v>
      </c>
      <c r="C26" s="18">
        <f>(1913.0/B26*100)</f>
        <v/>
      </c>
      <c r="D26" s="19" t="n">
        <v>537</v>
      </c>
      <c r="E26" s="18" t="n">
        <v>60.28701501</v>
      </c>
      <c r="F26" s="20" t="n">
        <v>2.24170062</v>
      </c>
      <c r="G26" s="18" t="n">
        <v>39.24715294</v>
      </c>
      <c r="H26" s="20" t="n">
        <v>2.24961428</v>
      </c>
      <c r="I26" s="18" t="s">
        <v>567</v>
      </c>
      <c r="J26" s="20" t="s">
        <v>567</v>
      </c>
      <c r="K26" s="18" t="n">
        <v>0.46583205</v>
      </c>
      <c r="L26" s="20" t="n">
        <v>0.26546839</v>
      </c>
      <c r="M26" s="18" t="n">
        <v>0</v>
      </c>
      <c r="N26" s="20" t="n">
        <v>0</v>
      </c>
      <c r="O26" s="18" t="n">
        <v>0</v>
      </c>
      <c r="P26" s="20" t="n">
        <v>0</v>
      </c>
      <c r="Q26" s="18" t="n">
        <v>0</v>
      </c>
      <c r="R26" s="20" t="n">
        <v>0</v>
      </c>
    </row>
    <row r="27" spans="1:18">
      <c r="A27" s="15" t="s">
        <v>587</v>
      </c>
      <c r="B27" s="17" t="n">
        <v>2616</v>
      </c>
      <c r="C27" s="18">
        <f>(2064.0/B27*100)</f>
        <v/>
      </c>
      <c r="D27" s="19" t="n">
        <v>552</v>
      </c>
      <c r="E27" s="18" t="n">
        <v>51.99809844</v>
      </c>
      <c r="F27" s="20" t="n">
        <v>2.08423856</v>
      </c>
      <c r="G27" s="18" t="n">
        <v>44.74308035</v>
      </c>
      <c r="H27" s="20" t="n">
        <v>2.08777743</v>
      </c>
      <c r="I27" s="18" t="s">
        <v>567</v>
      </c>
      <c r="J27" s="20" t="s">
        <v>567</v>
      </c>
      <c r="K27" s="18" t="n">
        <v>2.52770981</v>
      </c>
      <c r="L27" s="20" t="n">
        <v>0.68336829</v>
      </c>
      <c r="M27" s="18" t="n">
        <v>0</v>
      </c>
      <c r="N27" s="20" t="n">
        <v>0</v>
      </c>
      <c r="O27" s="18" t="n">
        <v>0</v>
      </c>
      <c r="P27" s="20" t="n">
        <v>0</v>
      </c>
      <c r="Q27" s="18" t="n">
        <v>0.7311114</v>
      </c>
      <c r="R27" s="20" t="n">
        <v>0.3614404</v>
      </c>
    </row>
    <row r="28" spans="1:18">
      <c r="A28" s="15" t="s">
        <v>588</v>
      </c>
      <c r="B28" s="17" t="n">
        <v>3765</v>
      </c>
      <c r="C28" s="18">
        <f>(3025.0/B28*100)</f>
        <v/>
      </c>
      <c r="D28" s="19" t="n">
        <v>740</v>
      </c>
      <c r="E28" s="18" t="n">
        <v>63.99283977</v>
      </c>
      <c r="F28" s="20" t="n">
        <v>2.04125784</v>
      </c>
      <c r="G28" s="18" t="n">
        <v>33.33184036</v>
      </c>
      <c r="H28" s="20" t="n">
        <v>1.97815757</v>
      </c>
      <c r="I28" s="18" t="s">
        <v>567</v>
      </c>
      <c r="J28" s="20" t="s">
        <v>567</v>
      </c>
      <c r="K28" s="18" t="n">
        <v>2.42819322</v>
      </c>
      <c r="L28" s="20" t="n">
        <v>0.96324906</v>
      </c>
      <c r="M28" s="18" t="n">
        <v>0</v>
      </c>
      <c r="N28" s="20" t="n">
        <v>0</v>
      </c>
      <c r="O28" s="18" t="n">
        <v>0</v>
      </c>
      <c r="P28" s="20" t="n">
        <v>0</v>
      </c>
      <c r="Q28" s="18" t="n">
        <v>0.24712665</v>
      </c>
      <c r="R28" s="20" t="n">
        <v>0.1795484</v>
      </c>
    </row>
    <row r="29" spans="1:18">
      <c r="A29" s="15" t="s">
        <v>589</v>
      </c>
      <c r="B29" s="17" t="n">
        <v>2685</v>
      </c>
      <c r="C29" s="18">
        <f>(2106.0/B29*100)</f>
        <v/>
      </c>
      <c r="D29" s="19" t="n">
        <v>579</v>
      </c>
      <c r="E29" s="18" t="n">
        <v>54.38776627</v>
      </c>
      <c r="F29" s="20" t="n">
        <v>2.0942703</v>
      </c>
      <c r="G29" s="18" t="n">
        <v>43.8831114</v>
      </c>
      <c r="H29" s="20" t="n">
        <v>2.12838364</v>
      </c>
      <c r="I29" s="18" t="s">
        <v>567</v>
      </c>
      <c r="J29" s="20" t="s">
        <v>567</v>
      </c>
      <c r="K29" s="18" t="n">
        <v>1.51188995</v>
      </c>
      <c r="L29" s="20" t="n">
        <v>0.50205394</v>
      </c>
      <c r="M29" s="18" t="n">
        <v>0</v>
      </c>
      <c r="N29" s="20" t="n">
        <v>0</v>
      </c>
      <c r="O29" s="18" t="n">
        <v>0</v>
      </c>
      <c r="P29" s="20" t="n">
        <v>0</v>
      </c>
      <c r="Q29" s="18" t="n">
        <v>0.21723238</v>
      </c>
      <c r="R29" s="20" t="n">
        <v>0.2128427</v>
      </c>
    </row>
    <row r="30" spans="1:18">
      <c r="A30" s="15" t="s">
        <v>590</v>
      </c>
      <c r="B30" s="17" t="n">
        <v>2263</v>
      </c>
      <c r="C30" s="18">
        <f>(1794.0/B30*100)</f>
        <v/>
      </c>
      <c r="D30" s="19" t="n">
        <v>469</v>
      </c>
      <c r="E30" s="18" t="n">
        <v>45.02897594</v>
      </c>
      <c r="F30" s="20" t="n">
        <v>1.56510834</v>
      </c>
      <c r="G30" s="18" t="n">
        <v>50.67556245</v>
      </c>
      <c r="H30" s="20" t="n">
        <v>1.99325186</v>
      </c>
      <c r="I30" s="18" t="s">
        <v>567</v>
      </c>
      <c r="J30" s="20" t="s">
        <v>567</v>
      </c>
      <c r="K30" s="18" t="n">
        <v>3.49096538</v>
      </c>
      <c r="L30" s="20" t="n">
        <v>0.95583774</v>
      </c>
      <c r="M30" s="18" t="n">
        <v>0</v>
      </c>
      <c r="N30" s="20" t="n">
        <v>0</v>
      </c>
      <c r="O30" s="18" t="n">
        <v>0</v>
      </c>
      <c r="P30" s="20" t="n">
        <v>0</v>
      </c>
      <c r="Q30" s="18" t="n">
        <v>0.80449623</v>
      </c>
      <c r="R30" s="20" t="n">
        <v>0.42721149</v>
      </c>
    </row>
    <row r="31" spans="1:18">
      <c r="A31" s="15" t="s">
        <v>591</v>
      </c>
      <c r="B31" s="17" t="n">
        <v>2750</v>
      </c>
      <c r="C31" s="18">
        <f>(2180.0/B31*100)</f>
        <v/>
      </c>
      <c r="D31" s="19" t="n">
        <v>570</v>
      </c>
      <c r="E31" s="18" t="n">
        <v>50.20036365</v>
      </c>
      <c r="F31" s="20" t="n">
        <v>2.06456168</v>
      </c>
      <c r="G31" s="18" t="n">
        <v>45.42635263</v>
      </c>
      <c r="H31" s="20" t="n">
        <v>1.91432652</v>
      </c>
      <c r="I31" s="18" t="s">
        <v>567</v>
      </c>
      <c r="J31" s="20" t="s">
        <v>567</v>
      </c>
      <c r="K31" s="18" t="n">
        <v>3.74865491</v>
      </c>
      <c r="L31" s="20" t="n">
        <v>0.8875194199999999</v>
      </c>
      <c r="M31" s="18" t="n">
        <v>0</v>
      </c>
      <c r="N31" s="20" t="n">
        <v>0</v>
      </c>
      <c r="O31" s="18" t="n">
        <v>0</v>
      </c>
      <c r="P31" s="20" t="n">
        <v>0</v>
      </c>
      <c r="Q31" s="18" t="n">
        <v>0.62462882</v>
      </c>
      <c r="R31" s="20" t="n">
        <v>0.31056643</v>
      </c>
    </row>
    <row r="32" spans="1:18">
      <c r="A32" s="15" t="s">
        <v>592</v>
      </c>
      <c r="B32" s="17" t="n">
        <v>2269</v>
      </c>
      <c r="C32" s="18">
        <f>(1765.0/B32*100)</f>
        <v/>
      </c>
      <c r="D32" s="19" t="n">
        <v>504</v>
      </c>
      <c r="E32" s="18" t="n">
        <v>46.74432807</v>
      </c>
      <c r="F32" s="20" t="n">
        <v>2.35016849</v>
      </c>
      <c r="G32" s="18" t="n">
        <v>52.05273058</v>
      </c>
      <c r="H32" s="20" t="n">
        <v>2.33343539</v>
      </c>
      <c r="I32" s="18" t="s">
        <v>567</v>
      </c>
      <c r="J32" s="20" t="s">
        <v>567</v>
      </c>
      <c r="K32" s="18" t="n">
        <v>0.98036377</v>
      </c>
      <c r="L32" s="20" t="n">
        <v>0.32629887</v>
      </c>
      <c r="M32" s="18" t="n">
        <v>0</v>
      </c>
      <c r="N32" s="20" t="n">
        <v>0</v>
      </c>
      <c r="O32" s="18" t="n">
        <v>0</v>
      </c>
      <c r="P32" s="20" t="n">
        <v>0</v>
      </c>
      <c r="Q32" s="18" t="n">
        <v>0.22257758</v>
      </c>
      <c r="R32" s="20" t="n">
        <v>0.22286044</v>
      </c>
    </row>
    <row r="33" spans="1:18">
      <c r="A33" s="15" t="s">
        <v>593</v>
      </c>
      <c r="B33" s="17" t="n">
        <v>3674</v>
      </c>
      <c r="C33" s="18">
        <f>(2937.0/B33*100)</f>
        <v/>
      </c>
      <c r="D33" s="19" t="n">
        <v>737</v>
      </c>
      <c r="E33" s="18" t="n">
        <v>51.8286908</v>
      </c>
      <c r="F33" s="20" t="n">
        <v>2.27773385</v>
      </c>
      <c r="G33" s="18" t="n">
        <v>45.61259469</v>
      </c>
      <c r="H33" s="20" t="n">
        <v>2.20255607</v>
      </c>
      <c r="I33" s="18" t="s">
        <v>567</v>
      </c>
      <c r="J33" s="20" t="s">
        <v>567</v>
      </c>
      <c r="K33" s="18" t="n">
        <v>1.99652439</v>
      </c>
      <c r="L33" s="20" t="n">
        <v>0.57128179</v>
      </c>
      <c r="M33" s="18" t="n">
        <v>0</v>
      </c>
      <c r="N33" s="20" t="n">
        <v>0</v>
      </c>
      <c r="O33" s="18" t="n">
        <v>0</v>
      </c>
      <c r="P33" s="20" t="n">
        <v>0</v>
      </c>
      <c r="Q33" s="18" t="n">
        <v>0.56219013</v>
      </c>
      <c r="R33" s="20" t="n">
        <v>0.36802412</v>
      </c>
    </row>
    <row r="34" spans="1:18">
      <c r="A34" s="15" t="s">
        <v>594</v>
      </c>
      <c r="B34" s="17" t="n">
        <v>3315</v>
      </c>
      <c r="C34" s="18">
        <f>(2630.0/B34*100)</f>
        <v/>
      </c>
      <c r="D34" s="19" t="n">
        <v>685</v>
      </c>
      <c r="E34" s="18" t="n">
        <v>57.17476997</v>
      </c>
      <c r="F34" s="20" t="n">
        <v>1.99575322</v>
      </c>
      <c r="G34" s="18" t="n">
        <v>40.54257523</v>
      </c>
      <c r="H34" s="20" t="n">
        <v>2.07496421</v>
      </c>
      <c r="I34" s="18" t="s">
        <v>567</v>
      </c>
      <c r="J34" s="20" t="s">
        <v>567</v>
      </c>
      <c r="K34" s="18" t="n">
        <v>1.88349464</v>
      </c>
      <c r="L34" s="20" t="n">
        <v>0.54038307</v>
      </c>
      <c r="M34" s="18" t="n">
        <v>0</v>
      </c>
      <c r="N34" s="20" t="n">
        <v>0</v>
      </c>
      <c r="O34" s="18" t="n">
        <v>0</v>
      </c>
      <c r="P34" s="20" t="n">
        <v>0</v>
      </c>
      <c r="Q34" s="18" t="n">
        <v>0.39916016</v>
      </c>
      <c r="R34" s="20" t="n">
        <v>0.29120806</v>
      </c>
    </row>
    <row r="35" spans="1:18">
      <c r="A35" s="15" t="s">
        <v>595</v>
      </c>
      <c r="B35" s="17" t="n">
        <v>3505</v>
      </c>
      <c r="C35" s="18">
        <f>(2751.0/B35*100)</f>
        <v/>
      </c>
      <c r="D35" s="19" t="n">
        <v>754</v>
      </c>
      <c r="E35" s="18" t="n">
        <v>51.48724967</v>
      </c>
      <c r="F35" s="20" t="n">
        <v>2.14687236</v>
      </c>
      <c r="G35" s="18" t="n">
        <v>45.78560635</v>
      </c>
      <c r="H35" s="20" t="n">
        <v>2.23038389</v>
      </c>
      <c r="I35" s="18" t="s">
        <v>567</v>
      </c>
      <c r="J35" s="20" t="s">
        <v>567</v>
      </c>
      <c r="K35" s="18" t="n">
        <v>2.16452107</v>
      </c>
      <c r="L35" s="20" t="n">
        <v>0.65052467</v>
      </c>
      <c r="M35" s="18" t="n">
        <v>0</v>
      </c>
      <c r="N35" s="20" t="n">
        <v>0</v>
      </c>
      <c r="O35" s="18" t="n">
        <v>0</v>
      </c>
      <c r="P35" s="20" t="n">
        <v>0</v>
      </c>
      <c r="Q35" s="18" t="n">
        <v>0.56262291</v>
      </c>
      <c r="R35" s="20" t="n">
        <v>0.26529639</v>
      </c>
    </row>
    <row r="36" spans="1:18">
      <c r="A36" s="15" t="s">
        <v>596</v>
      </c>
      <c r="B36" s="17" t="n">
        <v>3332</v>
      </c>
      <c r="C36" s="18">
        <f>(2583.0/B36*100)</f>
        <v/>
      </c>
      <c r="D36" s="19" t="n">
        <v>749</v>
      </c>
      <c r="E36" s="18" t="n">
        <v>47.31675015</v>
      </c>
      <c r="F36" s="20" t="n">
        <v>1.83130885</v>
      </c>
      <c r="G36" s="18" t="n">
        <v>49.55046973</v>
      </c>
      <c r="H36" s="20" t="n">
        <v>1.89200889</v>
      </c>
      <c r="I36" s="18" t="s">
        <v>567</v>
      </c>
      <c r="J36" s="20" t="s">
        <v>567</v>
      </c>
      <c r="K36" s="18" t="n">
        <v>2.96892083</v>
      </c>
      <c r="L36" s="20" t="n">
        <v>0.64791586</v>
      </c>
      <c r="M36" s="18" t="n">
        <v>0</v>
      </c>
      <c r="N36" s="20" t="n">
        <v>0</v>
      </c>
      <c r="O36" s="18" t="n">
        <v>0</v>
      </c>
      <c r="P36" s="20" t="n">
        <v>0</v>
      </c>
      <c r="Q36" s="18" t="n">
        <v>0.16385929</v>
      </c>
      <c r="R36" s="20" t="n">
        <v>0.14784229</v>
      </c>
    </row>
    <row r="37" spans="1:18">
      <c r="A37" s="15" t="s">
        <v>597</v>
      </c>
      <c r="B37" s="17" t="n">
        <v>2727</v>
      </c>
      <c r="C37" s="18">
        <f>(2165.0/B37*100)</f>
        <v/>
      </c>
      <c r="D37" s="19" t="n">
        <v>562</v>
      </c>
      <c r="E37" s="18" t="n">
        <v>54.16998074</v>
      </c>
      <c r="F37" s="20" t="n">
        <v>2.22330519</v>
      </c>
      <c r="G37" s="18" t="n">
        <v>39.74449726</v>
      </c>
      <c r="H37" s="20" t="n">
        <v>2.34111089</v>
      </c>
      <c r="I37" s="18" t="s">
        <v>567</v>
      </c>
      <c r="J37" s="20" t="s">
        <v>567</v>
      </c>
      <c r="K37" s="18" t="n">
        <v>5.13067611</v>
      </c>
      <c r="L37" s="20" t="n">
        <v>1.05820861</v>
      </c>
      <c r="M37" s="18" t="n">
        <v>0</v>
      </c>
      <c r="N37" s="20" t="n">
        <v>0</v>
      </c>
      <c r="O37" s="18" t="n">
        <v>0</v>
      </c>
      <c r="P37" s="20" t="n">
        <v>0</v>
      </c>
      <c r="Q37" s="18" t="n">
        <v>0.95484588</v>
      </c>
      <c r="R37" s="20" t="n">
        <v>0.39733269</v>
      </c>
    </row>
    <row r="38" spans="1:18">
      <c r="A38" s="15" t="s">
        <v>598</v>
      </c>
      <c r="B38" s="17" t="n">
        <v>3053</v>
      </c>
      <c r="C38" s="18">
        <f>(2391.0/B38*100)</f>
        <v/>
      </c>
      <c r="D38" s="19" t="n">
        <v>662</v>
      </c>
      <c r="E38" s="18" t="n">
        <v>48.51063145</v>
      </c>
      <c r="F38" s="20" t="n">
        <v>2.49524105</v>
      </c>
      <c r="G38" s="18" t="n">
        <v>47.14641851</v>
      </c>
      <c r="H38" s="20" t="n">
        <v>2.36742563</v>
      </c>
      <c r="I38" s="18" t="s">
        <v>567</v>
      </c>
      <c r="J38" s="20" t="s">
        <v>567</v>
      </c>
      <c r="K38" s="18" t="n">
        <v>3.5957963</v>
      </c>
      <c r="L38" s="20" t="n">
        <v>0.8730803499999999</v>
      </c>
      <c r="M38" s="18" t="n">
        <v>0</v>
      </c>
      <c r="N38" s="20" t="n">
        <v>0</v>
      </c>
      <c r="O38" s="18" t="n">
        <v>0</v>
      </c>
      <c r="P38" s="20" t="n">
        <v>0</v>
      </c>
      <c r="Q38" s="18" t="n">
        <v>0.74715374</v>
      </c>
      <c r="R38" s="20" t="n">
        <v>0.3908997</v>
      </c>
    </row>
    <row r="39" spans="1:18">
      <c r="A39" s="15" t="s">
        <v>599</v>
      </c>
      <c r="B39" s="17" t="n">
        <v>2957</v>
      </c>
      <c r="C39" s="18">
        <f>(2309.0/B39*100)</f>
        <v/>
      </c>
      <c r="D39" s="19" t="n">
        <v>648</v>
      </c>
      <c r="E39" s="18" t="n">
        <v>63.6503111</v>
      </c>
      <c r="F39" s="20" t="n">
        <v>2.31391548</v>
      </c>
      <c r="G39" s="18" t="n">
        <v>32.70730991</v>
      </c>
      <c r="H39" s="20" t="n">
        <v>2.29450787</v>
      </c>
      <c r="I39" s="18" t="s">
        <v>567</v>
      </c>
      <c r="J39" s="20" t="s">
        <v>567</v>
      </c>
      <c r="K39" s="18" t="n">
        <v>1.9721309</v>
      </c>
      <c r="L39" s="20" t="n">
        <v>0.47676486</v>
      </c>
      <c r="M39" s="18" t="n">
        <v>0</v>
      </c>
      <c r="N39" s="20" t="n">
        <v>0</v>
      </c>
      <c r="O39" s="18" t="n">
        <v>0</v>
      </c>
      <c r="P39" s="20" t="n">
        <v>0</v>
      </c>
      <c r="Q39" s="18" t="n">
        <v>1.67024809</v>
      </c>
      <c r="R39" s="20" t="n">
        <v>0.59675939</v>
      </c>
    </row>
    <row r="40" spans="1:18">
      <c r="A40" s="15" t="s">
        <v>600</v>
      </c>
      <c r="B40" s="17" t="n">
        <v>7235</v>
      </c>
      <c r="C40" s="18">
        <f>(5687.0/B40*100)</f>
        <v/>
      </c>
      <c r="D40" s="19" t="n">
        <v>1548</v>
      </c>
      <c r="E40" s="18" t="n">
        <v>50.0967078</v>
      </c>
      <c r="F40" s="20" t="n">
        <v>1.96729027</v>
      </c>
      <c r="G40" s="18" t="n">
        <v>47.33091262</v>
      </c>
      <c r="H40" s="20" t="n">
        <v>2.01567481</v>
      </c>
      <c r="I40" s="18" t="s">
        <v>567</v>
      </c>
      <c r="J40" s="20" t="s">
        <v>567</v>
      </c>
      <c r="K40" s="18" t="n">
        <v>1.60423406</v>
      </c>
      <c r="L40" s="20" t="n">
        <v>0.43585354</v>
      </c>
      <c r="M40" s="18" t="n">
        <v>0</v>
      </c>
      <c r="N40" s="20" t="n">
        <v>0</v>
      </c>
      <c r="O40" s="18" t="n">
        <v>0</v>
      </c>
      <c r="P40" s="20" t="n">
        <v>0</v>
      </c>
      <c r="Q40" s="18" t="n">
        <v>0.96814552</v>
      </c>
      <c r="R40" s="20" t="n">
        <v>0.35533465</v>
      </c>
    </row>
    <row r="41" spans="1:18">
      <c r="A41" s="15" t="s">
        <v>601</v>
      </c>
      <c r="B41" s="17" t="n">
        <v>2858</v>
      </c>
      <c r="C41" s="18">
        <f>(2238.0/B41*100)</f>
        <v/>
      </c>
      <c r="D41" s="19" t="n">
        <v>620</v>
      </c>
      <c r="E41" s="18" t="n">
        <v>47.30539194</v>
      </c>
      <c r="F41" s="20" t="n">
        <v>2.63412424</v>
      </c>
      <c r="G41" s="18" t="n">
        <v>51.17832411</v>
      </c>
      <c r="H41" s="20" t="n">
        <v>2.59566394</v>
      </c>
      <c r="I41" s="18" t="s">
        <v>567</v>
      </c>
      <c r="J41" s="20" t="s">
        <v>567</v>
      </c>
      <c r="K41" s="18" t="n">
        <v>0.6609842500000001</v>
      </c>
      <c r="L41" s="20" t="n">
        <v>0.3203957</v>
      </c>
      <c r="M41" s="18" t="n">
        <v>0</v>
      </c>
      <c r="N41" s="20" t="n">
        <v>0</v>
      </c>
      <c r="O41" s="18" t="n">
        <v>0</v>
      </c>
      <c r="P41" s="20" t="n">
        <v>0</v>
      </c>
      <c r="Q41" s="18" t="n">
        <v>0.8552997</v>
      </c>
      <c r="R41" s="20" t="n">
        <v>0.37855528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(9417.0/B46*100)</f>
        <v/>
      </c>
      <c r="D46" s="19" t="n">
        <v>1651</v>
      </c>
      <c r="E46" s="18" t="n">
        <v>63.30683288</v>
      </c>
      <c r="F46" s="20" t="n">
        <v>1.84604276</v>
      </c>
      <c r="G46" s="18" t="n">
        <v>30.81773929</v>
      </c>
      <c r="H46" s="20" t="n">
        <v>1.66364684</v>
      </c>
      <c r="I46" s="18" t="s">
        <v>567</v>
      </c>
      <c r="J46" s="20" t="s">
        <v>567</v>
      </c>
      <c r="K46" s="18" t="n">
        <v>5.18360447</v>
      </c>
      <c r="L46" s="20" t="n">
        <v>0.80134097</v>
      </c>
      <c r="M46" s="18" t="n">
        <v>0</v>
      </c>
      <c r="N46" s="20" t="n">
        <v>0</v>
      </c>
      <c r="O46" s="18" t="n">
        <v>0</v>
      </c>
      <c r="P46" s="20" t="n">
        <v>0</v>
      </c>
      <c r="Q46" s="18" t="n">
        <v>0.6918233499999999</v>
      </c>
      <c r="R46" s="20" t="n">
        <v>0.23215528</v>
      </c>
    </row>
    <row r="47" spans="1:18">
      <c r="A47" s="15" t="s">
        <v>607</v>
      </c>
      <c r="B47" s="17" t="n">
        <v>3105</v>
      </c>
      <c r="C47" s="18">
        <f>(2471.0/B47*100)</f>
        <v/>
      </c>
      <c r="D47" s="19" t="n">
        <v>634</v>
      </c>
      <c r="E47" s="18" t="n">
        <v>64.4691667</v>
      </c>
      <c r="F47" s="20" t="n">
        <v>2.36199097</v>
      </c>
      <c r="G47" s="18" t="n">
        <v>32.74367711</v>
      </c>
      <c r="H47" s="20" t="n">
        <v>2.37890582</v>
      </c>
      <c r="I47" s="18" t="s">
        <v>567</v>
      </c>
      <c r="J47" s="20" t="s">
        <v>567</v>
      </c>
      <c r="K47" s="18" t="n">
        <v>2.47493934</v>
      </c>
      <c r="L47" s="20" t="n">
        <v>0.73492565</v>
      </c>
      <c r="M47" s="18" t="n">
        <v>0</v>
      </c>
      <c r="N47" s="20" t="n">
        <v>0</v>
      </c>
      <c r="O47" s="18" t="n">
        <v>0</v>
      </c>
      <c r="P47" s="20" t="n">
        <v>0</v>
      </c>
      <c r="Q47" s="18" t="n">
        <v>0.31221684</v>
      </c>
      <c r="R47" s="20" t="n">
        <v>0.22283397</v>
      </c>
    </row>
    <row r="48" spans="1:18">
      <c r="A48" s="15" t="s">
        <v>608</v>
      </c>
      <c r="B48" s="17" t="n">
        <v>5159</v>
      </c>
      <c r="C48" s="18">
        <f>(4049.0/B48*100)</f>
        <v/>
      </c>
      <c r="D48" s="19" t="n">
        <v>1110</v>
      </c>
      <c r="E48" s="18" t="n">
        <v>42.03048113</v>
      </c>
      <c r="F48" s="20" t="n">
        <v>2.86169785</v>
      </c>
      <c r="G48" s="18" t="n">
        <v>56.98863059</v>
      </c>
      <c r="H48" s="20" t="n">
        <v>2.7954327</v>
      </c>
      <c r="I48" s="18" t="s">
        <v>567</v>
      </c>
      <c r="J48" s="20" t="s">
        <v>567</v>
      </c>
      <c r="K48" s="18" t="n">
        <v>0.7945459499999999</v>
      </c>
      <c r="L48" s="20" t="n">
        <v>0.36762921</v>
      </c>
      <c r="M48" s="18" t="n">
        <v>0</v>
      </c>
      <c r="N48" s="20" t="n">
        <v>0</v>
      </c>
      <c r="O48" s="18" t="n">
        <v>0</v>
      </c>
      <c r="P48" s="20" t="n">
        <v>0</v>
      </c>
      <c r="Q48" s="18" t="n">
        <v>0.18634233</v>
      </c>
      <c r="R48" s="20" t="n">
        <v>0.158809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(4500.0/B50*100)</f>
        <v/>
      </c>
      <c r="D50" s="19" t="n">
        <v>1137</v>
      </c>
      <c r="E50" s="18" t="n">
        <v>60.94949039</v>
      </c>
      <c r="F50" s="20" t="n">
        <v>2.01776834</v>
      </c>
      <c r="G50" s="18" t="n">
        <v>33.49176251</v>
      </c>
      <c r="H50" s="20" t="n">
        <v>1.89332296</v>
      </c>
      <c r="I50" s="18" t="s">
        <v>567</v>
      </c>
      <c r="J50" s="20" t="s">
        <v>567</v>
      </c>
      <c r="K50" s="18" t="n">
        <v>4.9183299</v>
      </c>
      <c r="L50" s="20" t="n">
        <v>1.09618853</v>
      </c>
      <c r="M50" s="18" t="n">
        <v>0</v>
      </c>
      <c r="N50" s="20" t="n">
        <v>0</v>
      </c>
      <c r="O50" s="18" t="n">
        <v>0</v>
      </c>
      <c r="P50" s="20" t="n">
        <v>0</v>
      </c>
      <c r="Q50" s="18" t="n">
        <v>0.6404172</v>
      </c>
      <c r="R50" s="20" t="n">
        <v>0.28748392</v>
      </c>
    </row>
    <row r="51" spans="1:18">
      <c r="A51" s="15" t="s">
        <v>611</v>
      </c>
      <c r="B51" s="17" t="n">
        <v>3372</v>
      </c>
      <c r="C51" s="18">
        <f>(2781.0/B51*100)</f>
        <v/>
      </c>
      <c r="D51" s="19" t="n">
        <v>591</v>
      </c>
      <c r="E51" s="18" t="n">
        <v>60.30847281</v>
      </c>
      <c r="F51" s="20" t="n">
        <v>2.55606865</v>
      </c>
      <c r="G51" s="18" t="n">
        <v>36.4460572</v>
      </c>
      <c r="H51" s="20" t="n">
        <v>2.34252777</v>
      </c>
      <c r="I51" s="18" t="s">
        <v>567</v>
      </c>
      <c r="J51" s="20" t="s">
        <v>567</v>
      </c>
      <c r="K51" s="18" t="n">
        <v>2.4728615</v>
      </c>
      <c r="L51" s="20" t="n">
        <v>0.76178503</v>
      </c>
      <c r="M51" s="18" t="n">
        <v>0</v>
      </c>
      <c r="N51" s="20" t="n">
        <v>0</v>
      </c>
      <c r="O51" s="18" t="n">
        <v>0</v>
      </c>
      <c r="P51" s="20" t="n">
        <v>0</v>
      </c>
      <c r="Q51" s="18" t="n">
        <v>0.77260849</v>
      </c>
      <c r="R51" s="20" t="n">
        <v>0.31166248</v>
      </c>
    </row>
    <row r="52" spans="1:18">
      <c r="A52" s="15" t="s">
        <v>612</v>
      </c>
      <c r="B52" s="17" t="n">
        <v>2796</v>
      </c>
      <c r="C52" s="18">
        <f>(2188.0/B52*100)</f>
        <v/>
      </c>
      <c r="D52" s="19" t="n">
        <v>608</v>
      </c>
      <c r="E52" s="18" t="n">
        <v>52.56491567</v>
      </c>
      <c r="F52" s="20" t="n">
        <v>2.19143351</v>
      </c>
      <c r="G52" s="18" t="n">
        <v>45.02223638</v>
      </c>
      <c r="H52" s="20" t="n">
        <v>2.3161217</v>
      </c>
      <c r="I52" s="18" t="s">
        <v>567</v>
      </c>
      <c r="J52" s="20" t="s">
        <v>567</v>
      </c>
      <c r="K52" s="18" t="n">
        <v>1.89001087</v>
      </c>
      <c r="L52" s="20" t="n">
        <v>0.4732572</v>
      </c>
      <c r="M52" s="18" t="n">
        <v>0</v>
      </c>
      <c r="N52" s="20" t="n">
        <v>0</v>
      </c>
      <c r="O52" s="18" t="n">
        <v>0</v>
      </c>
      <c r="P52" s="20" t="n">
        <v>0</v>
      </c>
      <c r="Q52" s="18" t="n">
        <v>0.52283707</v>
      </c>
      <c r="R52" s="20" t="n">
        <v>0.30335034</v>
      </c>
    </row>
    <row r="53" spans="1:18">
      <c r="A53" s="15" t="s">
        <v>613</v>
      </c>
      <c r="B53" s="17" t="n">
        <v>2811</v>
      </c>
      <c r="C53" s="18">
        <f>(2193.0/B53*100)</f>
        <v/>
      </c>
      <c r="D53" s="19" t="n">
        <v>618</v>
      </c>
      <c r="E53" s="18" t="n">
        <v>64.91891645</v>
      </c>
      <c r="F53" s="20" t="n">
        <v>1.98924264</v>
      </c>
      <c r="G53" s="18" t="n">
        <v>31.92569278</v>
      </c>
      <c r="H53" s="20" t="n">
        <v>1.90688749</v>
      </c>
      <c r="I53" s="18" t="s">
        <v>567</v>
      </c>
      <c r="J53" s="20" t="s">
        <v>567</v>
      </c>
      <c r="K53" s="18" t="n">
        <v>2.60372217</v>
      </c>
      <c r="L53" s="20" t="n">
        <v>0.64968443</v>
      </c>
      <c r="M53" s="18" t="n">
        <v>0</v>
      </c>
      <c r="N53" s="20" t="n">
        <v>0</v>
      </c>
      <c r="O53" s="18" t="n">
        <v>0</v>
      </c>
      <c r="P53" s="20" t="n">
        <v>0</v>
      </c>
      <c r="Q53" s="18" t="n">
        <v>0.55166861</v>
      </c>
      <c r="R53" s="20" t="n">
        <v>0.27748827</v>
      </c>
    </row>
    <row r="54" spans="1:18">
      <c r="A54" s="15" t="s">
        <v>614</v>
      </c>
      <c r="B54" s="17" t="n">
        <v>2266</v>
      </c>
      <c r="C54" s="18">
        <f>(1764.0/B54*100)</f>
        <v/>
      </c>
      <c r="D54" s="19" t="n">
        <v>502</v>
      </c>
      <c r="E54" s="18" t="n">
        <v>57.65999035</v>
      </c>
      <c r="F54" s="20" t="n">
        <v>2.55683802</v>
      </c>
      <c r="G54" s="18" t="n">
        <v>17.0118114</v>
      </c>
      <c r="H54" s="20" t="n">
        <v>1.92838518</v>
      </c>
      <c r="I54" s="18" t="s">
        <v>567</v>
      </c>
      <c r="J54" s="20" t="s">
        <v>567</v>
      </c>
      <c r="K54" s="18" t="n">
        <v>24.85419924</v>
      </c>
      <c r="L54" s="20" t="n">
        <v>2.12087739</v>
      </c>
      <c r="M54" s="18" t="n">
        <v>0</v>
      </c>
      <c r="N54" s="20" t="n">
        <v>0</v>
      </c>
      <c r="O54" s="18" t="n">
        <v>0</v>
      </c>
      <c r="P54" s="20" t="n">
        <v>0</v>
      </c>
      <c r="Q54" s="18" t="n">
        <v>0.47399902</v>
      </c>
      <c r="R54" s="20" t="n">
        <v>0.26546971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(2082.0/B56*100)</f>
        <v/>
      </c>
      <c r="D56" s="19" t="n">
        <v>602</v>
      </c>
      <c r="E56" s="18" t="n">
        <v>43.82079557</v>
      </c>
      <c r="F56" s="20" t="n">
        <v>2.32213716</v>
      </c>
      <c r="G56" s="18" t="n">
        <v>54.50468613</v>
      </c>
      <c r="H56" s="20" t="n">
        <v>2.36629365</v>
      </c>
      <c r="I56" s="18" t="s">
        <v>567</v>
      </c>
      <c r="J56" s="20" t="s">
        <v>567</v>
      </c>
      <c r="K56" s="18" t="n">
        <v>1.21891466</v>
      </c>
      <c r="L56" s="20" t="n">
        <v>0.51324548</v>
      </c>
      <c r="M56" s="18" t="n">
        <v>0</v>
      </c>
      <c r="N56" s="20" t="n">
        <v>0</v>
      </c>
      <c r="O56" s="18" t="n">
        <v>0</v>
      </c>
      <c r="P56" s="20" t="n">
        <v>0</v>
      </c>
      <c r="Q56" s="18" t="n">
        <v>0.45560365</v>
      </c>
      <c r="R56" s="20" t="n">
        <v>0.25504798</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(2594.0/B61*100)</f>
        <v/>
      </c>
      <c r="D61" s="19" t="n">
        <v>730</v>
      </c>
      <c r="E61" s="18" t="n">
        <v>59.93232164</v>
      </c>
      <c r="F61" s="20" t="n">
        <v>1.77467341</v>
      </c>
      <c r="G61" s="18" t="n">
        <v>36.98450623</v>
      </c>
      <c r="H61" s="20" t="n">
        <v>1.8695996</v>
      </c>
      <c r="I61" s="18" t="s">
        <v>567</v>
      </c>
      <c r="J61" s="20" t="s">
        <v>567</v>
      </c>
      <c r="K61" s="18" t="n">
        <v>2.08070238</v>
      </c>
      <c r="L61" s="20" t="n">
        <v>0.57372866</v>
      </c>
      <c r="M61" s="18" t="n">
        <v>0</v>
      </c>
      <c r="N61" s="20" t="n">
        <v>0</v>
      </c>
      <c r="O61" s="18" t="n">
        <v>0</v>
      </c>
      <c r="P61" s="20" t="n">
        <v>0</v>
      </c>
      <c r="Q61" s="18" t="n">
        <v>1.00246976</v>
      </c>
      <c r="R61" s="20" t="n">
        <v>0.52502476</v>
      </c>
    </row>
    <row r="62" spans="1:18">
      <c r="A62" s="15" t="s">
        <v>622</v>
      </c>
      <c r="B62" s="17" t="n">
        <v>2246</v>
      </c>
      <c r="C62" s="18">
        <f>(1760.0/B62*100)</f>
        <v/>
      </c>
      <c r="D62" s="19" t="n">
        <v>486</v>
      </c>
      <c r="E62" s="18" t="n">
        <v>42.95335575</v>
      </c>
      <c r="F62" s="20" t="n">
        <v>2.26589153</v>
      </c>
      <c r="G62" s="18" t="n">
        <v>56.84245853</v>
      </c>
      <c r="H62" s="20" t="n">
        <v>2.24672646</v>
      </c>
      <c r="I62" s="18" t="s">
        <v>567</v>
      </c>
      <c r="J62" s="20" t="s">
        <v>567</v>
      </c>
      <c r="K62" s="18" t="n">
        <v>0.20418572</v>
      </c>
      <c r="L62" s="20" t="n">
        <v>0.20430504</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(2290.0/B66*100)</f>
        <v/>
      </c>
      <c r="D66" s="19" t="n">
        <v>604</v>
      </c>
      <c r="E66" s="18" t="n">
        <v>66.96622081</v>
      </c>
      <c r="F66" s="20" t="n">
        <v>2.07397534</v>
      </c>
      <c r="G66" s="18" t="n">
        <v>26.5762837</v>
      </c>
      <c r="H66" s="20" t="n">
        <v>2.01055298</v>
      </c>
      <c r="I66" s="18" t="s">
        <v>567</v>
      </c>
      <c r="J66" s="20" t="s">
        <v>567</v>
      </c>
      <c r="K66" s="18" t="n">
        <v>5.64676737</v>
      </c>
      <c r="L66" s="20" t="n">
        <v>0.8080323700000001</v>
      </c>
      <c r="M66" s="18" t="n">
        <v>0</v>
      </c>
      <c r="N66" s="20" t="n">
        <v>0</v>
      </c>
      <c r="O66" s="18" t="n">
        <v>0</v>
      </c>
      <c r="P66" s="20" t="n">
        <v>0</v>
      </c>
      <c r="Q66" s="18" t="n">
        <v>0.8107281200000001</v>
      </c>
      <c r="R66" s="20" t="n">
        <v>0.37162778</v>
      </c>
    </row>
    <row r="67" spans="1:18">
      <c r="A67" s="15" t="s">
        <v>627</v>
      </c>
      <c r="B67" s="17" t="n">
        <v>3511</v>
      </c>
      <c r="C67" s="18">
        <f>(2892.0/B67*100)</f>
        <v/>
      </c>
      <c r="D67" s="19" t="n">
        <v>619</v>
      </c>
      <c r="E67" s="18" t="n">
        <v>59.75463499</v>
      </c>
      <c r="F67" s="20" t="n">
        <v>2.15593407</v>
      </c>
      <c r="G67" s="18" t="n">
        <v>37.09122862</v>
      </c>
      <c r="H67" s="20" t="n">
        <v>2.13692122</v>
      </c>
      <c r="I67" s="18" t="s">
        <v>567</v>
      </c>
      <c r="J67" s="20" t="s">
        <v>567</v>
      </c>
      <c r="K67" s="18" t="n">
        <v>2.4462787</v>
      </c>
      <c r="L67" s="20" t="n">
        <v>0.65976165</v>
      </c>
      <c r="M67" s="18" t="n">
        <v>0</v>
      </c>
      <c r="N67" s="20" t="n">
        <v>0</v>
      </c>
      <c r="O67" s="18" t="n">
        <v>0</v>
      </c>
      <c r="P67" s="20" t="n">
        <v>0</v>
      </c>
      <c r="Q67" s="18" t="n">
        <v>0.70785768</v>
      </c>
      <c r="R67" s="20" t="n">
        <v>0.40114782</v>
      </c>
    </row>
    <row r="68" spans="1:18">
      <c r="A68" s="15" t="s">
        <v>628</v>
      </c>
      <c r="B68" s="17" t="n">
        <v>6049</v>
      </c>
      <c r="C68" s="18">
        <f>(4722.0/B68*100)</f>
        <v/>
      </c>
      <c r="D68" s="19" t="n">
        <v>1327</v>
      </c>
      <c r="E68" s="18" t="n">
        <v>59.84498833</v>
      </c>
      <c r="F68" s="20" t="n">
        <v>1.33426316</v>
      </c>
      <c r="G68" s="18" t="n">
        <v>32.26134797</v>
      </c>
      <c r="H68" s="20" t="n">
        <v>1.41992513</v>
      </c>
      <c r="I68" s="18" t="s">
        <v>567</v>
      </c>
      <c r="J68" s="20" t="s">
        <v>567</v>
      </c>
      <c r="K68" s="18" t="n">
        <v>7.08382741</v>
      </c>
      <c r="L68" s="20" t="n">
        <v>0.75851971</v>
      </c>
      <c r="M68" s="18" t="n">
        <v>0</v>
      </c>
      <c r="N68" s="20" t="n">
        <v>0</v>
      </c>
      <c r="O68" s="18" t="n">
        <v>0</v>
      </c>
      <c r="P68" s="20" t="n">
        <v>0</v>
      </c>
      <c r="Q68" s="18" t="n">
        <v>0.80983629</v>
      </c>
      <c r="R68" s="20" t="n">
        <v>0.28287836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(2329.0/B70*100)</f>
        <v/>
      </c>
      <c r="D70" s="19" t="n">
        <v>600</v>
      </c>
      <c r="E70" s="18" t="n">
        <v>61.41408822</v>
      </c>
      <c r="F70" s="20" t="n">
        <v>2.4725752</v>
      </c>
      <c r="G70" s="18" t="n">
        <v>35.75283746</v>
      </c>
      <c r="H70" s="20" t="n">
        <v>2.49991115</v>
      </c>
      <c r="I70" s="18" t="s">
        <v>567</v>
      </c>
      <c r="J70" s="20" t="s">
        <v>567</v>
      </c>
      <c r="K70" s="18" t="n">
        <v>2.44801894</v>
      </c>
      <c r="L70" s="20" t="n">
        <v>0.64963666</v>
      </c>
      <c r="M70" s="18" t="n">
        <v>0</v>
      </c>
      <c r="N70" s="20" t="n">
        <v>0</v>
      </c>
      <c r="O70" s="18" t="n">
        <v>0</v>
      </c>
      <c r="P70" s="20" t="n">
        <v>0</v>
      </c>
      <c r="Q70" s="18" t="n">
        <v>0.38505539</v>
      </c>
      <c r="R70" s="20" t="n">
        <v>0.38390465</v>
      </c>
    </row>
    <row r="71" spans="1:18">
      <c r="A71" s="15" t="s">
        <v>631</v>
      </c>
      <c r="B71" s="17" t="n">
        <v>3142</v>
      </c>
      <c r="C71" s="18">
        <f>(2456.0/B71*100)</f>
        <v/>
      </c>
      <c r="D71" s="19" t="n">
        <v>686</v>
      </c>
      <c r="E71" s="18" t="n">
        <v>34.00059123</v>
      </c>
      <c r="F71" s="20" t="n">
        <v>1.94967912</v>
      </c>
      <c r="G71" s="18" t="n">
        <v>65.55751404</v>
      </c>
      <c r="H71" s="20" t="n">
        <v>1.96323491</v>
      </c>
      <c r="I71" s="18" t="s">
        <v>567</v>
      </c>
      <c r="J71" s="20" t="s">
        <v>567</v>
      </c>
      <c r="K71" s="18" t="n">
        <v>0.32480411</v>
      </c>
      <c r="L71" s="20" t="n">
        <v>0.22780225</v>
      </c>
      <c r="M71" s="18" t="n">
        <v>0</v>
      </c>
      <c r="N71" s="20" t="n">
        <v>0</v>
      </c>
      <c r="O71" s="18" t="n">
        <v>0</v>
      </c>
      <c r="P71" s="20" t="n">
        <v>0</v>
      </c>
      <c r="Q71" s="18" t="n">
        <v>0.11709062</v>
      </c>
      <c r="R71" s="20" t="n">
        <v>0.11730454</v>
      </c>
    </row>
    <row r="72" spans="1:18">
      <c r="A72" s="15" t="s">
        <v>632</v>
      </c>
      <c r="B72" s="17" t="n">
        <v>3889</v>
      </c>
      <c r="C72" s="18">
        <f>(2991.0/B72*100)</f>
        <v/>
      </c>
      <c r="D72" s="19" t="n">
        <v>898</v>
      </c>
      <c r="E72" s="18" t="n">
        <v>39.51894753</v>
      </c>
      <c r="F72" s="20" t="n">
        <v>2.00465819</v>
      </c>
      <c r="G72" s="18" t="n">
        <v>59.2574982</v>
      </c>
      <c r="H72" s="20" t="n">
        <v>2.00411418</v>
      </c>
      <c r="I72" s="18" t="s">
        <v>567</v>
      </c>
      <c r="J72" s="20" t="s">
        <v>567</v>
      </c>
      <c r="K72" s="18" t="n">
        <v>0.71957006</v>
      </c>
      <c r="L72" s="20" t="n">
        <v>0.29997415</v>
      </c>
      <c r="M72" s="18" t="n">
        <v>0</v>
      </c>
      <c r="N72" s="20" t="n">
        <v>0</v>
      </c>
      <c r="O72" s="18" t="n">
        <v>0</v>
      </c>
      <c r="P72" s="20" t="n">
        <v>0</v>
      </c>
      <c r="Q72" s="18" t="n">
        <v>0.50398421</v>
      </c>
      <c r="R72" s="20" t="n">
        <v>0.25509776</v>
      </c>
    </row>
    <row r="73" spans="1:18">
      <c r="A73" s="15" t="s">
        <v>633</v>
      </c>
      <c r="B73" s="17" t="n">
        <v>3597</v>
      </c>
      <c r="C73" s="18">
        <f>(2872.0/B73*100)</f>
        <v/>
      </c>
      <c r="D73" s="19" t="n">
        <v>725</v>
      </c>
      <c r="E73" s="18" t="n">
        <v>66.1160174</v>
      </c>
      <c r="F73" s="20" t="n">
        <v>2.23344216</v>
      </c>
      <c r="G73" s="18" t="n">
        <v>32.37835103</v>
      </c>
      <c r="H73" s="20" t="n">
        <v>2.07786723</v>
      </c>
      <c r="I73" s="18" t="s">
        <v>567</v>
      </c>
      <c r="J73" s="20" t="s">
        <v>567</v>
      </c>
      <c r="K73" s="18" t="n">
        <v>0.2750094</v>
      </c>
      <c r="L73" s="20" t="n">
        <v>0.21595544</v>
      </c>
      <c r="M73" s="18" t="n">
        <v>0</v>
      </c>
      <c r="N73" s="20" t="n">
        <v>0</v>
      </c>
      <c r="O73" s="18" t="n">
        <v>0</v>
      </c>
      <c r="P73" s="20" t="n">
        <v>0</v>
      </c>
      <c r="Q73" s="18" t="n">
        <v>1.23062216</v>
      </c>
      <c r="R73" s="20" t="n">
        <v>0.49860464</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(1960.0/B75*100)</f>
        <v/>
      </c>
      <c r="D75" s="19" t="n">
        <v>446</v>
      </c>
      <c r="E75" s="18" t="n">
        <v>63.22406361</v>
      </c>
      <c r="F75" s="20" t="n">
        <v>2.50624392</v>
      </c>
      <c r="G75" s="18" t="n">
        <v>26.05641797</v>
      </c>
      <c r="H75" s="20" t="n">
        <v>2.10239057</v>
      </c>
      <c r="I75" s="18" t="s">
        <v>567</v>
      </c>
      <c r="J75" s="20" t="s">
        <v>567</v>
      </c>
      <c r="K75" s="18" t="n">
        <v>9.24700414</v>
      </c>
      <c r="L75" s="20" t="n">
        <v>1.60404635</v>
      </c>
      <c r="M75" s="18" t="n">
        <v>0</v>
      </c>
      <c r="N75" s="20" t="n">
        <v>0</v>
      </c>
      <c r="O75" s="18" t="n">
        <v>0</v>
      </c>
      <c r="P75" s="20" t="n">
        <v>0</v>
      </c>
      <c r="Q75" s="18" t="n">
        <v>1.47251428</v>
      </c>
      <c r="R75" s="20" t="n">
        <v>0.59027618</v>
      </c>
    </row>
    <row r="76" spans="1:18">
      <c r="A76" s="15" t="s">
        <v>636</v>
      </c>
      <c r="B76" s="17" t="n">
        <v>7052</v>
      </c>
      <c r="C76" s="18">
        <f>(5548.0/B76*100)</f>
        <v/>
      </c>
      <c r="D76" s="19" t="n">
        <v>1504</v>
      </c>
      <c r="E76" s="18" t="n">
        <v>56.63031322</v>
      </c>
      <c r="F76" s="20" t="n">
        <v>1.91440387</v>
      </c>
      <c r="G76" s="18" t="n">
        <v>37.76298292</v>
      </c>
      <c r="H76" s="20" t="n">
        <v>1.85092131</v>
      </c>
      <c r="I76" s="18" t="s">
        <v>567</v>
      </c>
      <c r="J76" s="20" t="s">
        <v>567</v>
      </c>
      <c r="K76" s="18" t="n">
        <v>4.8989691</v>
      </c>
      <c r="L76" s="20" t="n">
        <v>0.76187172</v>
      </c>
      <c r="M76" s="18" t="n">
        <v>0</v>
      </c>
      <c r="N76" s="20" t="n">
        <v>0</v>
      </c>
      <c r="O76" s="18" t="n">
        <v>0</v>
      </c>
      <c r="P76" s="20" t="n">
        <v>0</v>
      </c>
      <c r="Q76" s="18" t="n">
        <v>0.70773476</v>
      </c>
      <c r="R76" s="20" t="n">
        <v>0.22813607</v>
      </c>
    </row>
    <row r="77" spans="1:18">
      <c r="A77" s="15" t="s">
        <v>637</v>
      </c>
      <c r="B77" s="17" t="n">
        <v>2908</v>
      </c>
      <c r="C77" s="18">
        <f>(2325.0/B77*100)</f>
        <v/>
      </c>
      <c r="D77" s="19" t="n">
        <v>583</v>
      </c>
      <c r="E77" s="18" t="n">
        <v>55.19389946</v>
      </c>
      <c r="F77" s="20" t="n">
        <v>2.15956723</v>
      </c>
      <c r="G77" s="18" t="n">
        <v>34.91511849</v>
      </c>
      <c r="H77" s="20" t="n">
        <v>2.3495909</v>
      </c>
      <c r="I77" s="18" t="s">
        <v>567</v>
      </c>
      <c r="J77" s="20" t="s">
        <v>567</v>
      </c>
      <c r="K77" s="18" t="n">
        <v>9.890982040000001</v>
      </c>
      <c r="L77" s="20" t="n">
        <v>1.41257478</v>
      </c>
      <c r="M77" s="18" t="n">
        <v>0</v>
      </c>
      <c r="N77" s="20" t="n">
        <v>0</v>
      </c>
      <c r="O77" s="18" t="n">
        <v>0</v>
      </c>
      <c r="P77" s="20" t="n">
        <v>0</v>
      </c>
      <c r="Q77" s="18" t="n">
        <v>0</v>
      </c>
      <c r="R77" s="20" t="n">
        <v>0</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(3272.0/B81*100)</f>
        <v/>
      </c>
      <c r="D81" s="19" t="n">
        <v>891</v>
      </c>
      <c r="E81" s="18" t="n">
        <v>54.133779</v>
      </c>
      <c r="F81" s="20" t="n">
        <v>2.31610475</v>
      </c>
      <c r="G81" s="18" t="n">
        <v>45.24602774</v>
      </c>
      <c r="H81" s="20" t="n">
        <v>2.33691144</v>
      </c>
      <c r="I81" s="18" t="s">
        <v>567</v>
      </c>
      <c r="J81" s="20" t="s">
        <v>567</v>
      </c>
      <c r="K81" s="18" t="n">
        <v>0.45602526</v>
      </c>
      <c r="L81" s="20" t="n">
        <v>0.2418026</v>
      </c>
      <c r="M81" s="18" t="n">
        <v>0</v>
      </c>
      <c r="N81" s="20" t="n">
        <v>0</v>
      </c>
      <c r="O81" s="18" t="n">
        <v>0</v>
      </c>
      <c r="P81" s="20" t="n">
        <v>0</v>
      </c>
      <c r="Q81" s="18" t="n">
        <v>0.16416801</v>
      </c>
      <c r="R81" s="20" t="n">
        <v>0.15605482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816</v>
      </c>
    </row>
    <row customHeight="1" ht="30" r="4" spans="1:22">
      <c r="A4" s="6" t="n"/>
      <c r="B4" s="7" t="s">
        <v>551</v>
      </c>
      <c r="C4" s="7" t="s">
        <v>552</v>
      </c>
      <c r="D4" s="8" t="s">
        <v>551</v>
      </c>
      <c r="E4" s="9" t="s">
        <v>657</v>
      </c>
      <c r="F4" s="10" t="n"/>
      <c r="G4" s="9" t="s">
        <v>817</v>
      </c>
      <c r="H4" s="10" t="n"/>
      <c r="I4" s="9" t="s">
        <v>818</v>
      </c>
      <c r="J4" s="10" t="n"/>
      <c r="K4" s="9" t="s">
        <v>819</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row>
    <row r="6" spans="1:22">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566</v>
      </c>
      <c r="B7" s="17" t="n">
        <v>7367</v>
      </c>
      <c r="C7" s="18">
        <f>(5772.0/B7*100)</f>
        <v/>
      </c>
      <c r="D7" s="19" t="n">
        <v>1595</v>
      </c>
      <c r="E7" s="18" t="n">
        <v>41.79875347</v>
      </c>
      <c r="F7" s="20" t="n">
        <v>1.65112008</v>
      </c>
      <c r="G7" s="18" t="n">
        <v>14.4334268</v>
      </c>
      <c r="H7" s="20" t="n">
        <v>1.17935696</v>
      </c>
      <c r="I7" s="18" t="n">
        <v>9.42169329</v>
      </c>
      <c r="J7" s="20" t="n">
        <v>0.88000919</v>
      </c>
      <c r="K7" s="18" t="n">
        <v>19.26499092</v>
      </c>
      <c r="L7" s="20" t="n">
        <v>1.2542209</v>
      </c>
      <c r="M7" s="18" t="s">
        <v>567</v>
      </c>
      <c r="N7" s="20" t="s">
        <v>567</v>
      </c>
      <c r="O7" s="18" t="n">
        <v>14.90886963</v>
      </c>
      <c r="P7" s="20" t="n">
        <v>1.08125512</v>
      </c>
      <c r="Q7" s="18" t="n">
        <v>0.17226589</v>
      </c>
      <c r="R7" s="20" t="n">
        <v>0.11153932</v>
      </c>
      <c r="S7" s="18" t="n">
        <v>0</v>
      </c>
      <c r="T7" s="20" t="n">
        <v>0</v>
      </c>
      <c r="U7" s="18" t="n">
        <v>0</v>
      </c>
      <c r="V7" s="20" t="n">
        <v>0</v>
      </c>
    </row>
    <row r="8" spans="1:22">
      <c r="A8" s="15" t="s">
        <v>568</v>
      </c>
      <c r="B8" s="17" t="n">
        <v>3564</v>
      </c>
      <c r="C8" s="18">
        <f>(2785.0/B8*100)</f>
        <v/>
      </c>
      <c r="D8" s="19" t="n">
        <v>779</v>
      </c>
      <c r="E8" s="18" t="n">
        <v>37.57377124</v>
      </c>
      <c r="F8" s="20" t="n">
        <v>1.82133076</v>
      </c>
      <c r="G8" s="18" t="n">
        <v>14.04251942</v>
      </c>
      <c r="H8" s="20" t="n">
        <v>1.50778458</v>
      </c>
      <c r="I8" s="18" t="n">
        <v>7.57578439</v>
      </c>
      <c r="J8" s="20" t="n">
        <v>1.02118928</v>
      </c>
      <c r="K8" s="18" t="n">
        <v>11.13240807</v>
      </c>
      <c r="L8" s="20" t="n">
        <v>1.39086826</v>
      </c>
      <c r="M8" s="18" t="s">
        <v>567</v>
      </c>
      <c r="N8" s="20" t="s">
        <v>567</v>
      </c>
      <c r="O8" s="18" t="n">
        <v>29.67551689</v>
      </c>
      <c r="P8" s="20" t="n">
        <v>2.34446821</v>
      </c>
      <c r="Q8" s="18" t="n">
        <v>0</v>
      </c>
      <c r="R8" s="20" t="n">
        <v>0</v>
      </c>
      <c r="S8" s="18" t="n">
        <v>0</v>
      </c>
      <c r="T8" s="20" t="n">
        <v>0</v>
      </c>
      <c r="U8" s="18" t="n">
        <v>0</v>
      </c>
      <c r="V8" s="20" t="n">
        <v>0</v>
      </c>
    </row>
    <row r="9" spans="1:22">
      <c r="A9" s="15" t="s">
        <v>569</v>
      </c>
      <c r="B9" s="17" t="n">
        <v>4899</v>
      </c>
      <c r="C9" s="18">
        <f>(3915.0/B9*100)</f>
        <v/>
      </c>
      <c r="D9" s="19" t="n">
        <v>984</v>
      </c>
      <c r="E9" s="18" t="n">
        <v>45.92371495</v>
      </c>
      <c r="F9" s="20" t="n">
        <v>1.74518147</v>
      </c>
      <c r="G9" s="18" t="n">
        <v>14.02141146</v>
      </c>
      <c r="H9" s="20" t="n">
        <v>1.13321791</v>
      </c>
      <c r="I9" s="18" t="n">
        <v>8.731899139999999</v>
      </c>
      <c r="J9" s="20" t="n">
        <v>0.90926339</v>
      </c>
      <c r="K9" s="18" t="n">
        <v>8.66281633</v>
      </c>
      <c r="L9" s="20" t="n">
        <v>0.66239263</v>
      </c>
      <c r="M9" s="18" t="s">
        <v>567</v>
      </c>
      <c r="N9" s="20" t="s">
        <v>567</v>
      </c>
      <c r="O9" s="18" t="n">
        <v>22.35603337</v>
      </c>
      <c r="P9" s="20" t="n">
        <v>1.34403249</v>
      </c>
      <c r="Q9" s="18" t="n">
        <v>0.30412474</v>
      </c>
      <c r="R9" s="20" t="n">
        <v>0.17576734</v>
      </c>
      <c r="S9" s="18" t="n">
        <v>0</v>
      </c>
      <c r="T9" s="20" t="n">
        <v>0</v>
      </c>
      <c r="U9" s="18" t="n">
        <v>0</v>
      </c>
      <c r="V9" s="20" t="n">
        <v>0</v>
      </c>
    </row>
    <row r="10" spans="1:22">
      <c r="A10" s="15" t="s">
        <v>570</v>
      </c>
      <c r="B10" s="17" t="n">
        <v>10036</v>
      </c>
      <c r="C10" s="18">
        <f>(7819.0/B10*100)</f>
        <v/>
      </c>
      <c r="D10" s="19" t="n">
        <v>2217</v>
      </c>
      <c r="E10" s="18" t="n">
        <v>39.46787073</v>
      </c>
      <c r="F10" s="20" t="n">
        <v>1.53512959</v>
      </c>
      <c r="G10" s="18" t="n">
        <v>23.96817535</v>
      </c>
      <c r="H10" s="20" t="n">
        <v>1.21662953</v>
      </c>
      <c r="I10" s="18" t="n">
        <v>5.15792938</v>
      </c>
      <c r="J10" s="20" t="n">
        <v>0.6499733</v>
      </c>
      <c r="K10" s="18" t="n">
        <v>21.20065891</v>
      </c>
      <c r="L10" s="20" t="n">
        <v>1.38143224</v>
      </c>
      <c r="M10" s="18" t="s">
        <v>567</v>
      </c>
      <c r="N10" s="20" t="s">
        <v>567</v>
      </c>
      <c r="O10" s="18" t="n">
        <v>10.20536564</v>
      </c>
      <c r="P10" s="20" t="n">
        <v>0.9919802599999999</v>
      </c>
      <c r="Q10" s="18" t="n">
        <v>0</v>
      </c>
      <c r="R10" s="20" t="n">
        <v>0</v>
      </c>
      <c r="S10" s="18" t="n">
        <v>0</v>
      </c>
      <c r="T10" s="20" t="n">
        <v>0</v>
      </c>
      <c r="U10" s="18" t="n">
        <v>0</v>
      </c>
      <c r="V10" s="20" t="n">
        <v>0</v>
      </c>
    </row>
    <row r="11" spans="1:22">
      <c r="A11" s="15" t="s">
        <v>571</v>
      </c>
      <c r="B11" s="17" t="n">
        <v>3553</v>
      </c>
      <c r="C11" s="18">
        <f>(2839.0/B11*100)</f>
        <v/>
      </c>
      <c r="D11" s="19" t="n">
        <v>714</v>
      </c>
      <c r="E11" s="18" t="n">
        <v>39.23433326</v>
      </c>
      <c r="F11" s="20" t="n">
        <v>2.11583424</v>
      </c>
      <c r="G11" s="18" t="n">
        <v>8.7584479</v>
      </c>
      <c r="H11" s="20" t="n">
        <v>1.30874696</v>
      </c>
      <c r="I11" s="18" t="n">
        <v>10.32460452</v>
      </c>
      <c r="J11" s="20" t="n">
        <v>1.19803619</v>
      </c>
      <c r="K11" s="18" t="n">
        <v>9.32336231</v>
      </c>
      <c r="L11" s="20" t="n">
        <v>1.35750957</v>
      </c>
      <c r="M11" s="18" t="s">
        <v>567</v>
      </c>
      <c r="N11" s="20" t="s">
        <v>567</v>
      </c>
      <c r="O11" s="18" t="n">
        <v>32.35925201</v>
      </c>
      <c r="P11" s="20" t="n">
        <v>2.3899016</v>
      </c>
      <c r="Q11" s="18" t="n">
        <v>0</v>
      </c>
      <c r="R11" s="20" t="n">
        <v>0</v>
      </c>
      <c r="S11" s="18" t="n">
        <v>0</v>
      </c>
      <c r="T11" s="20" t="n">
        <v>0</v>
      </c>
      <c r="U11" s="18" t="n">
        <v>0</v>
      </c>
      <c r="V11" s="20" t="n">
        <v>0</v>
      </c>
    </row>
    <row r="12" spans="1:22">
      <c r="A12" s="15" t="s">
        <v>572</v>
      </c>
      <c r="B12" s="17" t="n">
        <v>3472</v>
      </c>
      <c r="C12" s="18">
        <f>(2724.0/B12*100)</f>
        <v/>
      </c>
      <c r="D12" s="19" t="n">
        <v>748</v>
      </c>
      <c r="E12" s="18" t="n">
        <v>26.53722646</v>
      </c>
      <c r="F12" s="20" t="n">
        <v>1.92389137</v>
      </c>
      <c r="G12" s="18" t="n">
        <v>3.87935722</v>
      </c>
      <c r="H12" s="20" t="n">
        <v>0.81448497</v>
      </c>
      <c r="I12" s="18" t="n">
        <v>20.32260114</v>
      </c>
      <c r="J12" s="20" t="n">
        <v>1.80087056</v>
      </c>
      <c r="K12" s="18" t="n">
        <v>19.04445531</v>
      </c>
      <c r="L12" s="20" t="n">
        <v>1.48262789</v>
      </c>
      <c r="M12" s="18" t="s">
        <v>567</v>
      </c>
      <c r="N12" s="20" t="s">
        <v>567</v>
      </c>
      <c r="O12" s="18" t="n">
        <v>30.13779398</v>
      </c>
      <c r="P12" s="20" t="n">
        <v>1.90923663</v>
      </c>
      <c r="Q12" s="18" t="n">
        <v>0.07856589</v>
      </c>
      <c r="R12" s="20" t="n">
        <v>0.10511954</v>
      </c>
      <c r="S12" s="18" t="n">
        <v>0</v>
      </c>
      <c r="T12" s="20" t="n">
        <v>0</v>
      </c>
      <c r="U12" s="18" t="n">
        <v>0</v>
      </c>
      <c r="V12" s="20" t="n">
        <v>0</v>
      </c>
    </row>
    <row r="13" spans="1:22">
      <c r="A13" s="15" t="s">
        <v>573</v>
      </c>
      <c r="B13" s="17" t="n">
        <v>3559</v>
      </c>
      <c r="C13" s="18">
        <f>(2801.0/B13*100)</f>
        <v/>
      </c>
      <c r="D13" s="19" t="n">
        <v>758</v>
      </c>
      <c r="E13" s="18" t="n">
        <v>42.97150293</v>
      </c>
      <c r="F13" s="20" t="n">
        <v>2.16304225</v>
      </c>
      <c r="G13" s="18" t="n">
        <v>21.71408135</v>
      </c>
      <c r="H13" s="20" t="n">
        <v>1.55991518</v>
      </c>
      <c r="I13" s="18" t="n">
        <v>4.24925728</v>
      </c>
      <c r="J13" s="20" t="n">
        <v>0.90805683</v>
      </c>
      <c r="K13" s="18" t="n">
        <v>13.70495215</v>
      </c>
      <c r="L13" s="20" t="n">
        <v>1.53218912</v>
      </c>
      <c r="M13" s="18" t="s">
        <v>567</v>
      </c>
      <c r="N13" s="20" t="s">
        <v>567</v>
      </c>
      <c r="O13" s="18" t="n">
        <v>17.32305872</v>
      </c>
      <c r="P13" s="20" t="n">
        <v>1.58375421</v>
      </c>
      <c r="Q13" s="18" t="n">
        <v>0.03714757</v>
      </c>
      <c r="R13" s="20" t="n">
        <v>0.04007177</v>
      </c>
      <c r="S13" s="18" t="n">
        <v>0</v>
      </c>
      <c r="T13" s="20" t="n">
        <v>0</v>
      </c>
      <c r="U13" s="18" t="n">
        <v>0</v>
      </c>
      <c r="V13" s="20" t="n">
        <v>0</v>
      </c>
    </row>
    <row r="14" spans="1:22">
      <c r="A14" s="15" t="s">
        <v>574</v>
      </c>
      <c r="B14" s="17" t="n">
        <v>2799</v>
      </c>
      <c r="C14" s="18">
        <f>(2226.0/B14*100)</f>
        <v/>
      </c>
      <c r="D14" s="19" t="n">
        <v>573</v>
      </c>
      <c r="E14" s="18" t="n">
        <v>27.03385813</v>
      </c>
      <c r="F14" s="20" t="n">
        <v>2.64680951</v>
      </c>
      <c r="G14" s="18" t="n">
        <v>15.20113929</v>
      </c>
      <c r="H14" s="20" t="n">
        <v>1.54666807</v>
      </c>
      <c r="I14" s="18" t="n">
        <v>8.591190080000001</v>
      </c>
      <c r="J14" s="20" t="n">
        <v>1.03846858</v>
      </c>
      <c r="K14" s="18" t="n">
        <v>35.80104774</v>
      </c>
      <c r="L14" s="20" t="n">
        <v>2.4785224</v>
      </c>
      <c r="M14" s="18" t="s">
        <v>567</v>
      </c>
      <c r="N14" s="20" t="s">
        <v>567</v>
      </c>
      <c r="O14" s="18" t="n">
        <v>13.37276476</v>
      </c>
      <c r="P14" s="20" t="n">
        <v>1.76965698</v>
      </c>
      <c r="Q14" s="18" t="n">
        <v>0</v>
      </c>
      <c r="R14" s="20" t="n">
        <v>0</v>
      </c>
      <c r="S14" s="18" t="n">
        <v>0</v>
      </c>
      <c r="T14" s="20" t="n">
        <v>0</v>
      </c>
      <c r="U14" s="18" t="n">
        <v>0</v>
      </c>
      <c r="V14" s="20" t="n">
        <v>0</v>
      </c>
    </row>
    <row r="15" spans="1:22">
      <c r="A15" s="15" t="s">
        <v>575</v>
      </c>
      <c r="B15" s="17" t="n">
        <v>3019</v>
      </c>
      <c r="C15" s="18">
        <f>(2386.0/B15*100)</f>
        <v/>
      </c>
      <c r="D15" s="19" t="n">
        <v>633</v>
      </c>
      <c r="E15" s="18" t="n">
        <v>47.64965996</v>
      </c>
      <c r="F15" s="20" t="n">
        <v>1.92859168</v>
      </c>
      <c r="G15" s="18" t="n">
        <v>7.91561354</v>
      </c>
      <c r="H15" s="20" t="n">
        <v>1.0829454</v>
      </c>
      <c r="I15" s="18" t="n">
        <v>13.50194297</v>
      </c>
      <c r="J15" s="20" t="n">
        <v>1.40158025</v>
      </c>
      <c r="K15" s="18" t="n">
        <v>11.41806821</v>
      </c>
      <c r="L15" s="20" t="n">
        <v>1.35025587</v>
      </c>
      <c r="M15" s="18" t="s">
        <v>567</v>
      </c>
      <c r="N15" s="20" t="s">
        <v>567</v>
      </c>
      <c r="O15" s="18" t="n">
        <v>19.51471533</v>
      </c>
      <c r="P15" s="20" t="n">
        <v>1.87929211</v>
      </c>
      <c r="Q15" s="18" t="n">
        <v>0</v>
      </c>
      <c r="R15" s="20" t="n">
        <v>0</v>
      </c>
      <c r="S15" s="18" t="n">
        <v>0</v>
      </c>
      <c r="T15" s="20" t="n">
        <v>0</v>
      </c>
      <c r="U15" s="18" t="n">
        <v>0</v>
      </c>
      <c r="V15" s="20" t="n">
        <v>0</v>
      </c>
    </row>
    <row r="16" spans="1:22">
      <c r="A16" s="15" t="s">
        <v>576</v>
      </c>
      <c r="B16" s="17" t="n">
        <v>2997</v>
      </c>
      <c r="C16" s="18">
        <f>(2378.0/B16*100)</f>
        <v/>
      </c>
      <c r="D16" s="19" t="n">
        <v>619</v>
      </c>
      <c r="E16" s="18" t="n">
        <v>41.19997829</v>
      </c>
      <c r="F16" s="20" t="n">
        <v>2.00593748</v>
      </c>
      <c r="G16" s="18" t="n">
        <v>13.66043184</v>
      </c>
      <c r="H16" s="20" t="n">
        <v>1.45117444</v>
      </c>
      <c r="I16" s="18" t="n">
        <v>6.76435506</v>
      </c>
      <c r="J16" s="20" t="n">
        <v>1.09422118</v>
      </c>
      <c r="K16" s="18" t="n">
        <v>5.2526472</v>
      </c>
      <c r="L16" s="20" t="n">
        <v>0.8744433700000001</v>
      </c>
      <c r="M16" s="18" t="s">
        <v>567</v>
      </c>
      <c r="N16" s="20" t="s">
        <v>567</v>
      </c>
      <c r="O16" s="18" t="n">
        <v>32.98833997</v>
      </c>
      <c r="P16" s="20" t="n">
        <v>1.9545379</v>
      </c>
      <c r="Q16" s="18" t="n">
        <v>0.13424764</v>
      </c>
      <c r="R16" s="20" t="n">
        <v>0.13367903</v>
      </c>
      <c r="S16" s="18" t="n">
        <v>0</v>
      </c>
      <c r="T16" s="20" t="n">
        <v>0</v>
      </c>
      <c r="U16" s="18" t="n">
        <v>0</v>
      </c>
      <c r="V16" s="20" t="n">
        <v>0</v>
      </c>
    </row>
    <row r="17" spans="1:22">
      <c r="A17" s="15" t="s">
        <v>577</v>
      </c>
      <c r="B17" s="17" t="n">
        <v>3307</v>
      </c>
      <c r="C17" s="18">
        <f>(2614.0/B17*100)</f>
        <v/>
      </c>
      <c r="D17" s="19" t="n">
        <v>693</v>
      </c>
      <c r="E17" s="18" t="n">
        <v>32.25548031</v>
      </c>
      <c r="F17" s="20" t="n">
        <v>1.71489625</v>
      </c>
      <c r="G17" s="18" t="n">
        <v>9.328845490000001</v>
      </c>
      <c r="H17" s="20" t="n">
        <v>1.26526023</v>
      </c>
      <c r="I17" s="18" t="n">
        <v>15.88842642</v>
      </c>
      <c r="J17" s="20" t="n">
        <v>1.41785474</v>
      </c>
      <c r="K17" s="18" t="n">
        <v>13.63927672</v>
      </c>
      <c r="L17" s="20" t="n">
        <v>1.54414382</v>
      </c>
      <c r="M17" s="18" t="s">
        <v>567</v>
      </c>
      <c r="N17" s="20" t="s">
        <v>567</v>
      </c>
      <c r="O17" s="18" t="n">
        <v>28.88797107</v>
      </c>
      <c r="P17" s="20" t="n">
        <v>1.74944932</v>
      </c>
      <c r="Q17" s="18" t="n">
        <v>0</v>
      </c>
      <c r="R17" s="20" t="n">
        <v>0</v>
      </c>
      <c r="S17" s="18" t="n">
        <v>0</v>
      </c>
      <c r="T17" s="20" t="n">
        <v>0</v>
      </c>
      <c r="U17" s="18" t="n">
        <v>0</v>
      </c>
      <c r="V17" s="20" t="n">
        <v>0</v>
      </c>
    </row>
    <row r="18" spans="1:22">
      <c r="A18" s="15" t="s">
        <v>578</v>
      </c>
      <c r="B18" s="17" t="n">
        <v>2826</v>
      </c>
      <c r="C18" s="18">
        <f>(2237.0/B18*100)</f>
        <v/>
      </c>
      <c r="D18" s="19" t="n">
        <v>589</v>
      </c>
      <c r="E18" s="18" t="n">
        <v>44.51978646</v>
      </c>
      <c r="F18" s="20" t="n">
        <v>1.83283466</v>
      </c>
      <c r="G18" s="18" t="n">
        <v>17.08170588</v>
      </c>
      <c r="H18" s="20" t="n">
        <v>1.71492023</v>
      </c>
      <c r="I18" s="18" t="n">
        <v>3.84760606</v>
      </c>
      <c r="J18" s="20" t="n">
        <v>0.84441645</v>
      </c>
      <c r="K18" s="18" t="n">
        <v>6.57747845</v>
      </c>
      <c r="L18" s="20" t="n">
        <v>1.04362747</v>
      </c>
      <c r="M18" s="18" t="s">
        <v>567</v>
      </c>
      <c r="N18" s="20" t="s">
        <v>567</v>
      </c>
      <c r="O18" s="18" t="n">
        <v>27.97342315</v>
      </c>
      <c r="P18" s="20" t="n">
        <v>1.96935604</v>
      </c>
      <c r="Q18" s="18" t="n">
        <v>0</v>
      </c>
      <c r="R18" s="20" t="n">
        <v>0</v>
      </c>
      <c r="S18" s="18" t="n">
        <v>0</v>
      </c>
      <c r="T18" s="20" t="n">
        <v>0</v>
      </c>
      <c r="U18" s="18" t="n">
        <v>0</v>
      </c>
      <c r="V18" s="20" t="n">
        <v>0</v>
      </c>
    </row>
    <row r="19" spans="1:22">
      <c r="A19" s="15" t="s">
        <v>579</v>
      </c>
      <c r="B19" s="17" t="n">
        <v>2808</v>
      </c>
      <c r="C19" s="18">
        <f>(2159.0/B19*100)</f>
        <v/>
      </c>
      <c r="D19" s="19" t="n">
        <v>649</v>
      </c>
      <c r="E19" s="18" t="n">
        <v>43.95232351</v>
      </c>
      <c r="F19" s="20" t="n">
        <v>2.36807755</v>
      </c>
      <c r="G19" s="18" t="n">
        <v>18.74918911</v>
      </c>
      <c r="H19" s="20" t="n">
        <v>1.66642614</v>
      </c>
      <c r="I19" s="18" t="n">
        <v>2.22471063</v>
      </c>
      <c r="J19" s="20" t="n">
        <v>0.60000672</v>
      </c>
      <c r="K19" s="18" t="n">
        <v>6.8164281</v>
      </c>
      <c r="L19" s="20" t="n">
        <v>1.00602721</v>
      </c>
      <c r="M19" s="18" t="s">
        <v>567</v>
      </c>
      <c r="N19" s="20" t="s">
        <v>567</v>
      </c>
      <c r="O19" s="18" t="n">
        <v>28.25734865</v>
      </c>
      <c r="P19" s="20" t="n">
        <v>2.13987168</v>
      </c>
      <c r="Q19" s="18" t="n">
        <v>0</v>
      </c>
      <c r="R19" s="20" t="n">
        <v>0</v>
      </c>
      <c r="S19" s="18" t="n">
        <v>0</v>
      </c>
      <c r="T19" s="20" t="n">
        <v>0</v>
      </c>
      <c r="U19" s="18" t="n">
        <v>0</v>
      </c>
      <c r="V19" s="20" t="n">
        <v>0</v>
      </c>
    </row>
    <row r="20" spans="1:22">
      <c r="A20" s="15" t="s">
        <v>580</v>
      </c>
      <c r="B20" s="17" t="n">
        <v>1630</v>
      </c>
      <c r="C20" s="18">
        <f>(1264.0/B20*100)</f>
        <v/>
      </c>
      <c r="D20" s="19" t="n">
        <v>366</v>
      </c>
      <c r="E20" s="18" t="n">
        <v>49.82997081</v>
      </c>
      <c r="F20" s="20" t="n">
        <v>2.79365634</v>
      </c>
      <c r="G20" s="18" t="n">
        <v>13.98958075</v>
      </c>
      <c r="H20" s="20" t="n">
        <v>1.77552825</v>
      </c>
      <c r="I20" s="18" t="n">
        <v>5.94972824</v>
      </c>
      <c r="J20" s="20" t="n">
        <v>1.38528578</v>
      </c>
      <c r="K20" s="18" t="n">
        <v>7.74494896</v>
      </c>
      <c r="L20" s="20" t="n">
        <v>1.35500038</v>
      </c>
      <c r="M20" s="18" t="s">
        <v>567</v>
      </c>
      <c r="N20" s="20" t="s">
        <v>567</v>
      </c>
      <c r="O20" s="18" t="n">
        <v>22.48577124</v>
      </c>
      <c r="P20" s="20" t="n">
        <v>2.4019593</v>
      </c>
      <c r="Q20" s="18" t="n">
        <v>0</v>
      </c>
      <c r="R20" s="20" t="n">
        <v>0</v>
      </c>
      <c r="S20" s="18" t="n">
        <v>0</v>
      </c>
      <c r="T20" s="20" t="n">
        <v>0</v>
      </c>
      <c r="U20" s="18" t="n">
        <v>0</v>
      </c>
      <c r="V20" s="20" t="n">
        <v>0</v>
      </c>
    </row>
    <row r="21" spans="1:22">
      <c r="A21" s="15" t="s">
        <v>581</v>
      </c>
      <c r="B21" s="17" t="n">
        <v>2908</v>
      </c>
      <c r="C21" s="18">
        <f>(2284.0/B21*100)</f>
        <v/>
      </c>
      <c r="D21" s="19" t="n">
        <v>624</v>
      </c>
      <c r="E21" s="18" t="n">
        <v>41.93200683</v>
      </c>
      <c r="F21" s="20" t="n">
        <v>1.88478723</v>
      </c>
      <c r="G21" s="18" t="n">
        <v>16.68296038</v>
      </c>
      <c r="H21" s="20" t="n">
        <v>1.45772778</v>
      </c>
      <c r="I21" s="18" t="n">
        <v>8.148157299999999</v>
      </c>
      <c r="J21" s="20" t="n">
        <v>1.00571375</v>
      </c>
      <c r="K21" s="18" t="n">
        <v>14.68570227</v>
      </c>
      <c r="L21" s="20" t="n">
        <v>1.05128216</v>
      </c>
      <c r="M21" s="18" t="s">
        <v>567</v>
      </c>
      <c r="N21" s="20" t="s">
        <v>567</v>
      </c>
      <c r="O21" s="18" t="n">
        <v>18.55117323</v>
      </c>
      <c r="P21" s="20" t="n">
        <v>1.62658503</v>
      </c>
      <c r="Q21" s="18" t="n">
        <v>0</v>
      </c>
      <c r="R21" s="20" t="n">
        <v>0</v>
      </c>
      <c r="S21" s="18" t="n">
        <v>0</v>
      </c>
      <c r="T21" s="20" t="n">
        <v>0</v>
      </c>
      <c r="U21" s="18" t="n">
        <v>0</v>
      </c>
      <c r="V21" s="20" t="n">
        <v>0</v>
      </c>
    </row>
    <row r="22" spans="1:22">
      <c r="A22" s="15" t="s">
        <v>582</v>
      </c>
      <c r="B22" s="17" t="n">
        <v>2931</v>
      </c>
      <c r="C22" s="18">
        <f>(2316.0/B22*100)</f>
        <v/>
      </c>
      <c r="D22" s="19" t="n">
        <v>615</v>
      </c>
      <c r="E22" s="18" t="n">
        <v>42.15762046</v>
      </c>
      <c r="F22" s="20" t="n">
        <v>2.27291121</v>
      </c>
      <c r="G22" s="18" t="n">
        <v>17.39580868</v>
      </c>
      <c r="H22" s="20" t="n">
        <v>1.45548982</v>
      </c>
      <c r="I22" s="18" t="n">
        <v>2.98424157</v>
      </c>
      <c r="J22" s="20" t="n">
        <v>0.74018655</v>
      </c>
      <c r="K22" s="18" t="n">
        <v>8.9064958</v>
      </c>
      <c r="L22" s="20" t="n">
        <v>1.31276759</v>
      </c>
      <c r="M22" s="18" t="s">
        <v>567</v>
      </c>
      <c r="N22" s="20" t="s">
        <v>567</v>
      </c>
      <c r="O22" s="18" t="n">
        <v>28.55583349</v>
      </c>
      <c r="P22" s="20" t="n">
        <v>2.19614837</v>
      </c>
      <c r="Q22" s="18" t="n">
        <v>0</v>
      </c>
      <c r="R22" s="20" t="n">
        <v>0</v>
      </c>
      <c r="S22" s="18" t="n">
        <v>0</v>
      </c>
      <c r="T22" s="20" t="n">
        <v>0</v>
      </c>
      <c r="U22" s="18" t="n">
        <v>0</v>
      </c>
      <c r="V22" s="20" t="n">
        <v>0</v>
      </c>
    </row>
    <row r="23" spans="1:22">
      <c r="A23" s="15" t="s">
        <v>583</v>
      </c>
      <c r="B23" s="17" t="n">
        <v>5791</v>
      </c>
      <c r="C23" s="18">
        <f>(4504.0/B23*100)</f>
        <v/>
      </c>
      <c r="D23" s="19" t="n">
        <v>1287</v>
      </c>
      <c r="E23" s="18" t="n">
        <v>51.76998847</v>
      </c>
      <c r="F23" s="20" t="n">
        <v>2.3491743</v>
      </c>
      <c r="G23" s="18" t="n">
        <v>10.20394883</v>
      </c>
      <c r="H23" s="20" t="n">
        <v>1.21963969</v>
      </c>
      <c r="I23" s="18" t="n">
        <v>5.63106587</v>
      </c>
      <c r="J23" s="20" t="n">
        <v>0.75979925</v>
      </c>
      <c r="K23" s="18" t="n">
        <v>3.26378255</v>
      </c>
      <c r="L23" s="20" t="n">
        <v>0.58473879</v>
      </c>
      <c r="M23" s="18" t="s">
        <v>567</v>
      </c>
      <c r="N23" s="20" t="s">
        <v>567</v>
      </c>
      <c r="O23" s="18" t="n">
        <v>29.03332359</v>
      </c>
      <c r="P23" s="20" t="n">
        <v>2.40618994</v>
      </c>
      <c r="Q23" s="18" t="n">
        <v>0.09789067999999999</v>
      </c>
      <c r="R23" s="20" t="n">
        <v>0.10414955</v>
      </c>
      <c r="S23" s="18" t="n">
        <v>0</v>
      </c>
      <c r="T23" s="20" t="n">
        <v>0</v>
      </c>
      <c r="U23" s="18" t="n">
        <v>0</v>
      </c>
      <c r="V23" s="20" t="n">
        <v>0</v>
      </c>
    </row>
    <row r="24" spans="1:22">
      <c r="A24" s="15" t="s">
        <v>584</v>
      </c>
      <c r="B24" s="17" t="n">
        <v>3338</v>
      </c>
      <c r="C24" s="18">
        <f>(2634.0/B24*100)</f>
        <v/>
      </c>
      <c r="D24" s="19" t="n">
        <v>704</v>
      </c>
      <c r="E24" s="18" t="n">
        <v>48.20445857</v>
      </c>
      <c r="F24" s="20" t="n">
        <v>1.95847313</v>
      </c>
      <c r="G24" s="18" t="n">
        <v>16.13649119</v>
      </c>
      <c r="H24" s="20" t="n">
        <v>1.7085563</v>
      </c>
      <c r="I24" s="18" t="n">
        <v>12.92046662</v>
      </c>
      <c r="J24" s="20" t="n">
        <v>1.13076956</v>
      </c>
      <c r="K24" s="18" t="n">
        <v>6.29750472</v>
      </c>
      <c r="L24" s="20" t="n">
        <v>0.79371549</v>
      </c>
      <c r="M24" s="18" t="s">
        <v>567</v>
      </c>
      <c r="N24" s="20" t="s">
        <v>567</v>
      </c>
      <c r="O24" s="18" t="n">
        <v>16.4410789</v>
      </c>
      <c r="P24" s="20" t="n">
        <v>1.75404226</v>
      </c>
      <c r="Q24" s="18" t="n">
        <v>0</v>
      </c>
      <c r="R24" s="20" t="n">
        <v>0</v>
      </c>
      <c r="S24" s="18" t="n">
        <v>0</v>
      </c>
      <c r="T24" s="20" t="n">
        <v>0</v>
      </c>
      <c r="U24" s="18" t="n">
        <v>0</v>
      </c>
      <c r="V24" s="20" t="n">
        <v>0</v>
      </c>
    </row>
    <row r="25" spans="1:22">
      <c r="A25" s="15" t="s">
        <v>585</v>
      </c>
      <c r="B25" s="17" t="n">
        <v>2912</v>
      </c>
      <c r="C25" s="18">
        <f>(2243.0/B25*100)</f>
        <v/>
      </c>
      <c r="D25" s="19" t="n">
        <v>669</v>
      </c>
      <c r="E25" s="18" t="n">
        <v>56.59566494</v>
      </c>
      <c r="F25" s="20" t="n">
        <v>1.84131245</v>
      </c>
      <c r="G25" s="18" t="n">
        <v>19.74355205</v>
      </c>
      <c r="H25" s="20" t="n">
        <v>1.72591248</v>
      </c>
      <c r="I25" s="18" t="n">
        <v>3.57452565</v>
      </c>
      <c r="J25" s="20" t="n">
        <v>0.62652231</v>
      </c>
      <c r="K25" s="18" t="n">
        <v>4.42645286</v>
      </c>
      <c r="L25" s="20" t="n">
        <v>0.76229334</v>
      </c>
      <c r="M25" s="18" t="s">
        <v>567</v>
      </c>
      <c r="N25" s="20" t="s">
        <v>567</v>
      </c>
      <c r="O25" s="18" t="n">
        <v>15.6598045</v>
      </c>
      <c r="P25" s="20" t="n">
        <v>1.43208366</v>
      </c>
      <c r="Q25" s="18" t="n">
        <v>0</v>
      </c>
      <c r="R25" s="20" t="n">
        <v>0</v>
      </c>
      <c r="S25" s="18" t="n">
        <v>0</v>
      </c>
      <c r="T25" s="20" t="n">
        <v>0</v>
      </c>
      <c r="U25" s="18" t="n">
        <v>0</v>
      </c>
      <c r="V25" s="20" t="n">
        <v>0</v>
      </c>
    </row>
    <row r="26" spans="1:22">
      <c r="A26" s="15" t="s">
        <v>586</v>
      </c>
      <c r="B26" s="17" t="n">
        <v>2450</v>
      </c>
      <c r="C26" s="18">
        <f>(1914.0/B26*100)</f>
        <v/>
      </c>
      <c r="D26" s="19" t="n">
        <v>536</v>
      </c>
      <c r="E26" s="18" t="n">
        <v>48.0202104</v>
      </c>
      <c r="F26" s="20" t="n">
        <v>2.00628616</v>
      </c>
      <c r="G26" s="18" t="n">
        <v>7.56576444</v>
      </c>
      <c r="H26" s="20" t="n">
        <v>1.31670756</v>
      </c>
      <c r="I26" s="18" t="n">
        <v>7.69732864</v>
      </c>
      <c r="J26" s="20" t="n">
        <v>1.10583594</v>
      </c>
      <c r="K26" s="18" t="n">
        <v>15.65685582</v>
      </c>
      <c r="L26" s="20" t="n">
        <v>1.75554109</v>
      </c>
      <c r="M26" s="18" t="s">
        <v>567</v>
      </c>
      <c r="N26" s="20" t="s">
        <v>567</v>
      </c>
      <c r="O26" s="18" t="n">
        <v>20.91124058</v>
      </c>
      <c r="P26" s="20" t="n">
        <v>1.8802831</v>
      </c>
      <c r="Q26" s="18" t="n">
        <v>0.14860013</v>
      </c>
      <c r="R26" s="20" t="n">
        <v>0.1489751</v>
      </c>
      <c r="S26" s="18" t="n">
        <v>0</v>
      </c>
      <c r="T26" s="20" t="n">
        <v>0</v>
      </c>
      <c r="U26" s="18" t="n">
        <v>0</v>
      </c>
      <c r="V26" s="20" t="n">
        <v>0</v>
      </c>
    </row>
    <row r="27" spans="1:22">
      <c r="A27" s="15" t="s">
        <v>587</v>
      </c>
      <c r="B27" s="17" t="n">
        <v>2616</v>
      </c>
      <c r="C27" s="18">
        <f>(2070.0/B27*100)</f>
        <v/>
      </c>
      <c r="D27" s="19" t="n">
        <v>546</v>
      </c>
      <c r="E27" s="18" t="n">
        <v>36.41310708</v>
      </c>
      <c r="F27" s="20" t="n">
        <v>2.10515883</v>
      </c>
      <c r="G27" s="18" t="n">
        <v>10.54703599</v>
      </c>
      <c r="H27" s="20" t="n">
        <v>1.32692612</v>
      </c>
      <c r="I27" s="18" t="n">
        <v>7.75837824</v>
      </c>
      <c r="J27" s="20" t="n">
        <v>1.2648993</v>
      </c>
      <c r="K27" s="18" t="n">
        <v>12.83066127</v>
      </c>
      <c r="L27" s="20" t="n">
        <v>1.25836605</v>
      </c>
      <c r="M27" s="18" t="s">
        <v>567</v>
      </c>
      <c r="N27" s="20" t="s">
        <v>567</v>
      </c>
      <c r="O27" s="18" t="n">
        <v>32.45081742</v>
      </c>
      <c r="P27" s="20" t="n">
        <v>2.08967238</v>
      </c>
      <c r="Q27" s="18" t="n">
        <v>0</v>
      </c>
      <c r="R27" s="20" t="n">
        <v>0</v>
      </c>
      <c r="S27" s="18" t="n">
        <v>0</v>
      </c>
      <c r="T27" s="20" t="n">
        <v>0</v>
      </c>
      <c r="U27" s="18" t="n">
        <v>0</v>
      </c>
      <c r="V27" s="20" t="n">
        <v>0</v>
      </c>
    </row>
    <row r="28" spans="1:22">
      <c r="A28" s="15" t="s">
        <v>588</v>
      </c>
      <c r="B28" s="17" t="n">
        <v>3765</v>
      </c>
      <c r="C28" s="18">
        <f>(3038.0/B28*100)</f>
        <v/>
      </c>
      <c r="D28" s="19" t="n">
        <v>727</v>
      </c>
      <c r="E28" s="18" t="n">
        <v>69.78668668</v>
      </c>
      <c r="F28" s="20" t="n">
        <v>2.12286955</v>
      </c>
      <c r="G28" s="18" t="n">
        <v>7.75827137</v>
      </c>
      <c r="H28" s="20" t="n">
        <v>0.96563205</v>
      </c>
      <c r="I28" s="18" t="n">
        <v>9.3859095</v>
      </c>
      <c r="J28" s="20" t="n">
        <v>1.13241925</v>
      </c>
      <c r="K28" s="18" t="n">
        <v>3.03538913</v>
      </c>
      <c r="L28" s="20" t="n">
        <v>0.69557412</v>
      </c>
      <c r="M28" s="18" t="s">
        <v>567</v>
      </c>
      <c r="N28" s="20" t="s">
        <v>567</v>
      </c>
      <c r="O28" s="18" t="n">
        <v>9.68291325</v>
      </c>
      <c r="P28" s="20" t="n">
        <v>1.3990222</v>
      </c>
      <c r="Q28" s="18" t="n">
        <v>0.35083006</v>
      </c>
      <c r="R28" s="20" t="n">
        <v>0.26250691</v>
      </c>
      <c r="S28" s="18" t="n">
        <v>0</v>
      </c>
      <c r="T28" s="20" t="n">
        <v>0</v>
      </c>
      <c r="U28" s="18" t="n">
        <v>0</v>
      </c>
      <c r="V28" s="20" t="n">
        <v>0</v>
      </c>
    </row>
    <row r="29" spans="1:22">
      <c r="A29" s="15" t="s">
        <v>589</v>
      </c>
      <c r="B29" s="17" t="n">
        <v>2685</v>
      </c>
      <c r="C29" s="18">
        <f>(2106.0/B29*100)</f>
        <v/>
      </c>
      <c r="D29" s="19" t="n">
        <v>579</v>
      </c>
      <c r="E29" s="18" t="n">
        <v>54.06229353</v>
      </c>
      <c r="F29" s="20" t="n">
        <v>2.27321299</v>
      </c>
      <c r="G29" s="18" t="n">
        <v>9.13524539</v>
      </c>
      <c r="H29" s="20" t="n">
        <v>1.01469916</v>
      </c>
      <c r="I29" s="18" t="n">
        <v>12.78729771</v>
      </c>
      <c r="J29" s="20" t="n">
        <v>1.41777078</v>
      </c>
      <c r="K29" s="18" t="n">
        <v>10.17426809</v>
      </c>
      <c r="L29" s="20" t="n">
        <v>1.37555627</v>
      </c>
      <c r="M29" s="18" t="s">
        <v>567</v>
      </c>
      <c r="N29" s="20" t="s">
        <v>567</v>
      </c>
      <c r="O29" s="18" t="n">
        <v>13.84089529</v>
      </c>
      <c r="P29" s="20" t="n">
        <v>1.64795892</v>
      </c>
      <c r="Q29" s="18" t="n">
        <v>0</v>
      </c>
      <c r="R29" s="20" t="n">
        <v>0</v>
      </c>
      <c r="S29" s="18" t="n">
        <v>0</v>
      </c>
      <c r="T29" s="20" t="n">
        <v>0</v>
      </c>
      <c r="U29" s="18" t="n">
        <v>0</v>
      </c>
      <c r="V29" s="20" t="n">
        <v>0</v>
      </c>
    </row>
    <row r="30" spans="1:22">
      <c r="A30" s="15" t="s">
        <v>590</v>
      </c>
      <c r="B30" s="17" t="n">
        <v>2263</v>
      </c>
      <c r="C30" s="18">
        <f>(1797.0/B30*100)</f>
        <v/>
      </c>
      <c r="D30" s="19" t="n">
        <v>466</v>
      </c>
      <c r="E30" s="18" t="n">
        <v>33.04999724</v>
      </c>
      <c r="F30" s="20" t="n">
        <v>2.16524314</v>
      </c>
      <c r="G30" s="18" t="n">
        <v>13.36881165</v>
      </c>
      <c r="H30" s="20" t="n">
        <v>1.61265986</v>
      </c>
      <c r="I30" s="18" t="n">
        <v>15.04379636</v>
      </c>
      <c r="J30" s="20" t="n">
        <v>1.75693844</v>
      </c>
      <c r="K30" s="18" t="n">
        <v>18.50433455</v>
      </c>
      <c r="L30" s="20" t="n">
        <v>1.93154648</v>
      </c>
      <c r="M30" s="18" t="s">
        <v>567</v>
      </c>
      <c r="N30" s="20" t="s">
        <v>567</v>
      </c>
      <c r="O30" s="18" t="n">
        <v>20.0330602</v>
      </c>
      <c r="P30" s="20" t="n">
        <v>1.99806797</v>
      </c>
      <c r="Q30" s="18" t="n">
        <v>0</v>
      </c>
      <c r="R30" s="20" t="n">
        <v>0</v>
      </c>
      <c r="S30" s="18" t="n">
        <v>0</v>
      </c>
      <c r="T30" s="20" t="n">
        <v>0</v>
      </c>
      <c r="U30" s="18" t="n">
        <v>0</v>
      </c>
      <c r="V30" s="20" t="n">
        <v>0</v>
      </c>
    </row>
    <row r="31" spans="1:22">
      <c r="A31" s="15" t="s">
        <v>591</v>
      </c>
      <c r="B31" s="17" t="n">
        <v>2750</v>
      </c>
      <c r="C31" s="18">
        <f>(2182.0/B31*100)</f>
        <v/>
      </c>
      <c r="D31" s="19" t="n">
        <v>568</v>
      </c>
      <c r="E31" s="18" t="n">
        <v>36.83037516</v>
      </c>
      <c r="F31" s="20" t="n">
        <v>2.18903329</v>
      </c>
      <c r="G31" s="18" t="n">
        <v>9.6754234</v>
      </c>
      <c r="H31" s="20" t="n">
        <v>1.45013691</v>
      </c>
      <c r="I31" s="18" t="n">
        <v>11.37387443</v>
      </c>
      <c r="J31" s="20" t="n">
        <v>1.35283753</v>
      </c>
      <c r="K31" s="18" t="n">
        <v>15.8703806</v>
      </c>
      <c r="L31" s="20" t="n">
        <v>1.78174365</v>
      </c>
      <c r="M31" s="18" t="s">
        <v>567</v>
      </c>
      <c r="N31" s="20" t="s">
        <v>567</v>
      </c>
      <c r="O31" s="18" t="n">
        <v>26.10302252</v>
      </c>
      <c r="P31" s="20" t="n">
        <v>2.01422</v>
      </c>
      <c r="Q31" s="18" t="n">
        <v>0.14692389</v>
      </c>
      <c r="R31" s="20" t="n">
        <v>0.17320658</v>
      </c>
      <c r="S31" s="18" t="n">
        <v>0</v>
      </c>
      <c r="T31" s="20" t="n">
        <v>0</v>
      </c>
      <c r="U31" s="18" t="n">
        <v>0</v>
      </c>
      <c r="V31" s="20" t="n">
        <v>0</v>
      </c>
    </row>
    <row r="32" spans="1:22">
      <c r="A32" s="15" t="s">
        <v>592</v>
      </c>
      <c r="B32" s="17" t="n">
        <v>2269</v>
      </c>
      <c r="C32" s="18">
        <f>(1769.0/B32*100)</f>
        <v/>
      </c>
      <c r="D32" s="19" t="n">
        <v>500</v>
      </c>
      <c r="E32" s="18" t="n">
        <v>32.03749665</v>
      </c>
      <c r="F32" s="20" t="n">
        <v>2.00003121</v>
      </c>
      <c r="G32" s="18" t="n">
        <v>9.41596052</v>
      </c>
      <c r="H32" s="20" t="n">
        <v>1.18461826</v>
      </c>
      <c r="I32" s="18" t="n">
        <v>10.9142814</v>
      </c>
      <c r="J32" s="20" t="n">
        <v>1.35614168</v>
      </c>
      <c r="K32" s="18" t="n">
        <v>19.62700044</v>
      </c>
      <c r="L32" s="20" t="n">
        <v>2.19396749</v>
      </c>
      <c r="M32" s="18" t="s">
        <v>567</v>
      </c>
      <c r="N32" s="20" t="s">
        <v>567</v>
      </c>
      <c r="O32" s="18" t="n">
        <v>28.00526099</v>
      </c>
      <c r="P32" s="20" t="n">
        <v>2.24526885</v>
      </c>
      <c r="Q32" s="18" t="n">
        <v>0</v>
      </c>
      <c r="R32" s="20" t="n">
        <v>0</v>
      </c>
      <c r="S32" s="18" t="n">
        <v>0</v>
      </c>
      <c r="T32" s="20" t="n">
        <v>0</v>
      </c>
      <c r="U32" s="18" t="n">
        <v>0</v>
      </c>
      <c r="V32" s="20" t="n">
        <v>0</v>
      </c>
    </row>
    <row r="33" spans="1:22">
      <c r="A33" s="15" t="s">
        <v>593</v>
      </c>
      <c r="B33" s="17" t="n">
        <v>3674</v>
      </c>
      <c r="C33" s="18">
        <f>(2943.0/B33*100)</f>
        <v/>
      </c>
      <c r="D33" s="19" t="n">
        <v>731</v>
      </c>
      <c r="E33" s="18" t="n">
        <v>44.63702061</v>
      </c>
      <c r="F33" s="20" t="n">
        <v>2.2705336</v>
      </c>
      <c r="G33" s="18" t="n">
        <v>10.10886542</v>
      </c>
      <c r="H33" s="20" t="n">
        <v>1.40280212</v>
      </c>
      <c r="I33" s="18" t="n">
        <v>9.573485160000001</v>
      </c>
      <c r="J33" s="20" t="n">
        <v>1.16067497</v>
      </c>
      <c r="K33" s="18" t="n">
        <v>10.4038996</v>
      </c>
      <c r="L33" s="20" t="n">
        <v>1.24982126</v>
      </c>
      <c r="M33" s="18" t="s">
        <v>567</v>
      </c>
      <c r="N33" s="20" t="s">
        <v>567</v>
      </c>
      <c r="O33" s="18" t="n">
        <v>25.2767292</v>
      </c>
      <c r="P33" s="20" t="n">
        <v>2.15605146</v>
      </c>
      <c r="Q33" s="18" t="n">
        <v>0</v>
      </c>
      <c r="R33" s="20" t="n">
        <v>0</v>
      </c>
      <c r="S33" s="18" t="n">
        <v>0</v>
      </c>
      <c r="T33" s="20" t="n">
        <v>0</v>
      </c>
      <c r="U33" s="18" t="n">
        <v>0</v>
      </c>
      <c r="V33" s="20" t="n">
        <v>0</v>
      </c>
    </row>
    <row r="34" spans="1:22">
      <c r="A34" s="15" t="s">
        <v>594</v>
      </c>
      <c r="B34" s="17" t="n">
        <v>3315</v>
      </c>
      <c r="C34" s="18">
        <f>(2633.0/B34*100)</f>
        <v/>
      </c>
      <c r="D34" s="19" t="n">
        <v>682</v>
      </c>
      <c r="E34" s="18" t="n">
        <v>42.10748568</v>
      </c>
      <c r="F34" s="20" t="n">
        <v>1.99729534</v>
      </c>
      <c r="G34" s="18" t="n">
        <v>3.49252457</v>
      </c>
      <c r="H34" s="20" t="n">
        <v>0.82981472</v>
      </c>
      <c r="I34" s="18" t="n">
        <v>13.77230025</v>
      </c>
      <c r="J34" s="20" t="n">
        <v>1.29376261</v>
      </c>
      <c r="K34" s="18" t="n">
        <v>11.79571563</v>
      </c>
      <c r="L34" s="20" t="n">
        <v>1.43289968</v>
      </c>
      <c r="M34" s="18" t="s">
        <v>567</v>
      </c>
      <c r="N34" s="20" t="s">
        <v>567</v>
      </c>
      <c r="O34" s="18" t="n">
        <v>28.39184073</v>
      </c>
      <c r="P34" s="20" t="n">
        <v>1.91195764</v>
      </c>
      <c r="Q34" s="18" t="n">
        <v>0.44013314</v>
      </c>
      <c r="R34" s="20" t="n">
        <v>0.32418788</v>
      </c>
      <c r="S34" s="18" t="n">
        <v>0</v>
      </c>
      <c r="T34" s="20" t="n">
        <v>0</v>
      </c>
      <c r="U34" s="18" t="n">
        <v>0</v>
      </c>
      <c r="V34" s="20" t="n">
        <v>0</v>
      </c>
    </row>
    <row r="35" spans="1:22">
      <c r="A35" s="15" t="s">
        <v>595</v>
      </c>
      <c r="B35" s="17" t="n">
        <v>3505</v>
      </c>
      <c r="C35" s="18">
        <f>(2753.0/B35*100)</f>
        <v/>
      </c>
      <c r="D35" s="19" t="n">
        <v>752</v>
      </c>
      <c r="E35" s="18" t="n">
        <v>40.1885943</v>
      </c>
      <c r="F35" s="20" t="n">
        <v>1.98733482</v>
      </c>
      <c r="G35" s="18" t="n">
        <v>20.53213297</v>
      </c>
      <c r="H35" s="20" t="n">
        <v>1.76455707</v>
      </c>
      <c r="I35" s="18" t="n">
        <v>4.23512699</v>
      </c>
      <c r="J35" s="20" t="n">
        <v>0.7336929599999999</v>
      </c>
      <c r="K35" s="18" t="n">
        <v>7.80984423</v>
      </c>
      <c r="L35" s="20" t="n">
        <v>1.21380051</v>
      </c>
      <c r="M35" s="18" t="s">
        <v>567</v>
      </c>
      <c r="N35" s="20" t="s">
        <v>567</v>
      </c>
      <c r="O35" s="18" t="n">
        <v>26.99714569</v>
      </c>
      <c r="P35" s="20" t="n">
        <v>1.65566971</v>
      </c>
      <c r="Q35" s="18" t="n">
        <v>0.23715582</v>
      </c>
      <c r="R35" s="20" t="n">
        <v>0.2364845</v>
      </c>
      <c r="S35" s="18" t="n">
        <v>0</v>
      </c>
      <c r="T35" s="20" t="n">
        <v>0</v>
      </c>
      <c r="U35" s="18" t="n">
        <v>0</v>
      </c>
      <c r="V35" s="20" t="n">
        <v>0</v>
      </c>
    </row>
    <row r="36" spans="1:22">
      <c r="A36" s="15" t="s">
        <v>596</v>
      </c>
      <c r="B36" s="17" t="n">
        <v>3332</v>
      </c>
      <c r="C36" s="18">
        <f>(2590.0/B36*100)</f>
        <v/>
      </c>
      <c r="D36" s="19" t="n">
        <v>742</v>
      </c>
      <c r="E36" s="18" t="n">
        <v>37.58007969</v>
      </c>
      <c r="F36" s="20" t="n">
        <v>1.89665204</v>
      </c>
      <c r="G36" s="18" t="n">
        <v>9.780065329999999</v>
      </c>
      <c r="H36" s="20" t="n">
        <v>1.08846324</v>
      </c>
      <c r="I36" s="18" t="n">
        <v>18.04847688</v>
      </c>
      <c r="J36" s="20" t="n">
        <v>1.55456852</v>
      </c>
      <c r="K36" s="18" t="n">
        <v>14.87214916</v>
      </c>
      <c r="L36" s="20" t="n">
        <v>1.26246221</v>
      </c>
      <c r="M36" s="18" t="s">
        <v>567</v>
      </c>
      <c r="N36" s="20" t="s">
        <v>567</v>
      </c>
      <c r="O36" s="18" t="n">
        <v>19.56205202</v>
      </c>
      <c r="P36" s="20" t="n">
        <v>1.56105137</v>
      </c>
      <c r="Q36" s="18" t="n">
        <v>0.15717691</v>
      </c>
      <c r="R36" s="20" t="n">
        <v>0.17103066</v>
      </c>
      <c r="S36" s="18" t="n">
        <v>0</v>
      </c>
      <c r="T36" s="20" t="n">
        <v>0</v>
      </c>
      <c r="U36" s="18" t="n">
        <v>0</v>
      </c>
      <c r="V36" s="20" t="n">
        <v>0</v>
      </c>
    </row>
    <row r="37" spans="1:22">
      <c r="A37" s="15" t="s">
        <v>597</v>
      </c>
      <c r="B37" s="17" t="n">
        <v>2727</v>
      </c>
      <c r="C37" s="18">
        <f>(2170.0/B37*100)</f>
        <v/>
      </c>
      <c r="D37" s="19" t="n">
        <v>557</v>
      </c>
      <c r="E37" s="18" t="n">
        <v>44.33394886</v>
      </c>
      <c r="F37" s="20" t="n">
        <v>2.46760056</v>
      </c>
      <c r="G37" s="18" t="n">
        <v>14.83078762</v>
      </c>
      <c r="H37" s="20" t="n">
        <v>1.56919534</v>
      </c>
      <c r="I37" s="18" t="n">
        <v>3.44797458</v>
      </c>
      <c r="J37" s="20" t="n">
        <v>1.01685048</v>
      </c>
      <c r="K37" s="18" t="n">
        <v>7.95267042</v>
      </c>
      <c r="L37" s="20" t="n">
        <v>1.39284334</v>
      </c>
      <c r="M37" s="18" t="s">
        <v>567</v>
      </c>
      <c r="N37" s="20" t="s">
        <v>567</v>
      </c>
      <c r="O37" s="18" t="n">
        <v>29.43461852</v>
      </c>
      <c r="P37" s="20" t="n">
        <v>2.47937628</v>
      </c>
      <c r="Q37" s="18" t="n">
        <v>0</v>
      </c>
      <c r="R37" s="20" t="n">
        <v>0</v>
      </c>
      <c r="S37" s="18" t="n">
        <v>0</v>
      </c>
      <c r="T37" s="20" t="n">
        <v>0</v>
      </c>
      <c r="U37" s="18" t="n">
        <v>0</v>
      </c>
      <c r="V37" s="20" t="n">
        <v>0</v>
      </c>
    </row>
    <row r="38" spans="1:22">
      <c r="A38" s="15" t="s">
        <v>598</v>
      </c>
      <c r="B38" s="17" t="n">
        <v>3053</v>
      </c>
      <c r="C38" s="18">
        <f>(2393.0/B38*100)</f>
        <v/>
      </c>
      <c r="D38" s="19" t="n">
        <v>660</v>
      </c>
      <c r="E38" s="18" t="n">
        <v>33.19028084</v>
      </c>
      <c r="F38" s="20" t="n">
        <v>2.13983239</v>
      </c>
      <c r="G38" s="18" t="n">
        <v>11.73387056</v>
      </c>
      <c r="H38" s="20" t="n">
        <v>1.28763726</v>
      </c>
      <c r="I38" s="18" t="n">
        <v>10.96674585</v>
      </c>
      <c r="J38" s="20" t="n">
        <v>1.46174045</v>
      </c>
      <c r="K38" s="18" t="n">
        <v>14.28250057</v>
      </c>
      <c r="L38" s="20" t="n">
        <v>1.58924476</v>
      </c>
      <c r="M38" s="18" t="s">
        <v>567</v>
      </c>
      <c r="N38" s="20" t="s">
        <v>567</v>
      </c>
      <c r="O38" s="18" t="n">
        <v>28.69579347</v>
      </c>
      <c r="P38" s="20" t="n">
        <v>1.99210052</v>
      </c>
      <c r="Q38" s="18" t="n">
        <v>1.13080871</v>
      </c>
      <c r="R38" s="20" t="n">
        <v>0.4129305</v>
      </c>
      <c r="S38" s="18" t="n">
        <v>0</v>
      </c>
      <c r="T38" s="20" t="n">
        <v>0</v>
      </c>
      <c r="U38" s="18" t="n">
        <v>0</v>
      </c>
      <c r="V38" s="20" t="n">
        <v>0</v>
      </c>
    </row>
    <row r="39" spans="1:22">
      <c r="A39" s="15" t="s">
        <v>599</v>
      </c>
      <c r="B39" s="17" t="n">
        <v>2957</v>
      </c>
      <c r="C39" s="18">
        <f>(2307.0/B39*100)</f>
        <v/>
      </c>
      <c r="D39" s="19" t="n">
        <v>650</v>
      </c>
      <c r="E39" s="18" t="n">
        <v>60.61148826</v>
      </c>
      <c r="F39" s="20" t="n">
        <v>2.14978868</v>
      </c>
      <c r="G39" s="18" t="n">
        <v>9.09109612</v>
      </c>
      <c r="H39" s="20" t="n">
        <v>1.49251512</v>
      </c>
      <c r="I39" s="18" t="n">
        <v>2.84290213</v>
      </c>
      <c r="J39" s="20" t="n">
        <v>0.7424643</v>
      </c>
      <c r="K39" s="18" t="n">
        <v>4.89135078</v>
      </c>
      <c r="L39" s="20" t="n">
        <v>1.03535678</v>
      </c>
      <c r="M39" s="18" t="s">
        <v>567</v>
      </c>
      <c r="N39" s="20" t="s">
        <v>567</v>
      </c>
      <c r="O39" s="18" t="n">
        <v>22.56316271</v>
      </c>
      <c r="P39" s="20" t="n">
        <v>1.7580234</v>
      </c>
      <c r="Q39" s="18" t="n">
        <v>0</v>
      </c>
      <c r="R39" s="20" t="n">
        <v>0</v>
      </c>
      <c r="S39" s="18" t="n">
        <v>0</v>
      </c>
      <c r="T39" s="20" t="n">
        <v>0</v>
      </c>
      <c r="U39" s="18" t="n">
        <v>0</v>
      </c>
      <c r="V39" s="20" t="n">
        <v>0</v>
      </c>
    </row>
    <row r="40" spans="1:22">
      <c r="A40" s="15" t="s">
        <v>600</v>
      </c>
      <c r="B40" s="17" t="n">
        <v>7235</v>
      </c>
      <c r="C40" s="18">
        <f>(5688.0/B40*100)</f>
        <v/>
      </c>
      <c r="D40" s="19" t="n">
        <v>1547</v>
      </c>
      <c r="E40" s="18" t="n">
        <v>35.57228676</v>
      </c>
      <c r="F40" s="20" t="n">
        <v>2.20581671</v>
      </c>
      <c r="G40" s="18" t="n">
        <v>17.03030533</v>
      </c>
      <c r="H40" s="20" t="n">
        <v>1.5906553</v>
      </c>
      <c r="I40" s="18" t="n">
        <v>6.49337953</v>
      </c>
      <c r="J40" s="20" t="n">
        <v>1.07562645</v>
      </c>
      <c r="K40" s="18" t="n">
        <v>16.86895746</v>
      </c>
      <c r="L40" s="20" t="n">
        <v>1.60599563</v>
      </c>
      <c r="M40" s="18" t="s">
        <v>567</v>
      </c>
      <c r="N40" s="20" t="s">
        <v>567</v>
      </c>
      <c r="O40" s="18" t="n">
        <v>24.03507091</v>
      </c>
      <c r="P40" s="20" t="n">
        <v>1.62830975</v>
      </c>
      <c r="Q40" s="18" t="n">
        <v>0</v>
      </c>
      <c r="R40" s="20" t="n">
        <v>0</v>
      </c>
      <c r="S40" s="18" t="n">
        <v>0</v>
      </c>
      <c r="T40" s="20" t="n">
        <v>0</v>
      </c>
      <c r="U40" s="18" t="n">
        <v>0</v>
      </c>
      <c r="V40" s="20" t="n">
        <v>0</v>
      </c>
    </row>
    <row r="41" spans="1:22">
      <c r="A41" s="15" t="s">
        <v>601</v>
      </c>
      <c r="B41" s="17" t="n">
        <v>2858</v>
      </c>
      <c r="C41" s="18">
        <f>(2240.0/B41*100)</f>
        <v/>
      </c>
      <c r="D41" s="19" t="n">
        <v>618</v>
      </c>
      <c r="E41" s="18" t="n">
        <v>51.82145858</v>
      </c>
      <c r="F41" s="20" t="n">
        <v>2.40106557</v>
      </c>
      <c r="G41" s="18" t="n">
        <v>18.62717085</v>
      </c>
      <c r="H41" s="20" t="n">
        <v>1.54780759</v>
      </c>
      <c r="I41" s="18" t="n">
        <v>5.81681279</v>
      </c>
      <c r="J41" s="20" t="n">
        <v>0.88481154</v>
      </c>
      <c r="K41" s="18" t="n">
        <v>17.62663408</v>
      </c>
      <c r="L41" s="20" t="n">
        <v>1.7254326</v>
      </c>
      <c r="M41" s="18" t="s">
        <v>567</v>
      </c>
      <c r="N41" s="20" t="s">
        <v>567</v>
      </c>
      <c r="O41" s="18" t="n">
        <v>6.10792371</v>
      </c>
      <c r="P41" s="20" t="n">
        <v>1.19838181</v>
      </c>
      <c r="Q41" s="18" t="n">
        <v>0</v>
      </c>
      <c r="R41" s="20" t="n">
        <v>0</v>
      </c>
      <c r="S41" s="18" t="n">
        <v>0</v>
      </c>
      <c r="T41" s="20" t="n">
        <v>0</v>
      </c>
      <c r="U41" s="18" t="n">
        <v>0</v>
      </c>
      <c r="V41" s="20" t="n">
        <v>0</v>
      </c>
    </row>
    <row r="42" spans="1:22">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c r="U44" s="18" t="s">
        <v>567</v>
      </c>
      <c r="V44" s="20" t="s">
        <v>567</v>
      </c>
    </row>
    <row r="45" spans="1:22">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c r="U45" s="18" t="s">
        <v>567</v>
      </c>
      <c r="V45" s="20" t="s">
        <v>567</v>
      </c>
    </row>
    <row r="46" spans="1:22">
      <c r="A46" s="15" t="s">
        <v>606</v>
      </c>
      <c r="B46" s="17" t="n">
        <v>11068</v>
      </c>
      <c r="C46" s="18">
        <f>(9454.0/B46*100)</f>
        <v/>
      </c>
      <c r="D46" s="19" t="n">
        <v>1614</v>
      </c>
      <c r="E46" s="18" t="n">
        <v>44.31015761</v>
      </c>
      <c r="F46" s="20" t="n">
        <v>1.71198105</v>
      </c>
      <c r="G46" s="18" t="n">
        <v>8.195220109999999</v>
      </c>
      <c r="H46" s="20" t="n">
        <v>0.80029807</v>
      </c>
      <c r="I46" s="18" t="n">
        <v>2.80057308</v>
      </c>
      <c r="J46" s="20" t="n">
        <v>0.58385025</v>
      </c>
      <c r="K46" s="18" t="n">
        <v>11.94537644</v>
      </c>
      <c r="L46" s="20" t="n">
        <v>1.1314207</v>
      </c>
      <c r="M46" s="18" t="s">
        <v>567</v>
      </c>
      <c r="N46" s="20" t="s">
        <v>567</v>
      </c>
      <c r="O46" s="18" t="n">
        <v>32.47447621</v>
      </c>
      <c r="P46" s="20" t="n">
        <v>1.68670309</v>
      </c>
      <c r="Q46" s="18" t="n">
        <v>0.27419655</v>
      </c>
      <c r="R46" s="20" t="n">
        <v>0.12432405</v>
      </c>
      <c r="S46" s="18" t="n">
        <v>0</v>
      </c>
      <c r="T46" s="20" t="n">
        <v>0</v>
      </c>
      <c r="U46" s="18" t="n">
        <v>0</v>
      </c>
      <c r="V46" s="20" t="n">
        <v>0</v>
      </c>
    </row>
    <row r="47" spans="1:22">
      <c r="A47" s="15" t="s">
        <v>607</v>
      </c>
      <c r="B47" s="17" t="n">
        <v>3105</v>
      </c>
      <c r="C47" s="18">
        <f>(2475.0/B47*100)</f>
        <v/>
      </c>
      <c r="D47" s="19" t="n">
        <v>630</v>
      </c>
      <c r="E47" s="18" t="n">
        <v>35.7652019</v>
      </c>
      <c r="F47" s="20" t="n">
        <v>1.71459471</v>
      </c>
      <c r="G47" s="18" t="n">
        <v>8.09388291</v>
      </c>
      <c r="H47" s="20" t="n">
        <v>1.03877725</v>
      </c>
      <c r="I47" s="18" t="n">
        <v>3.61736448</v>
      </c>
      <c r="J47" s="20" t="n">
        <v>0.86150366</v>
      </c>
      <c r="K47" s="18" t="n">
        <v>5.98159401</v>
      </c>
      <c r="L47" s="20" t="n">
        <v>0.99518945</v>
      </c>
      <c r="M47" s="18" t="s">
        <v>567</v>
      </c>
      <c r="N47" s="20" t="s">
        <v>567</v>
      </c>
      <c r="O47" s="18" t="n">
        <v>46.38741828</v>
      </c>
      <c r="P47" s="20" t="n">
        <v>1.950669</v>
      </c>
      <c r="Q47" s="18" t="n">
        <v>0.15453842</v>
      </c>
      <c r="R47" s="20" t="n">
        <v>0.15194019</v>
      </c>
      <c r="S47" s="18" t="n">
        <v>0</v>
      </c>
      <c r="T47" s="20" t="n">
        <v>0</v>
      </c>
      <c r="U47" s="18" t="n">
        <v>0</v>
      </c>
      <c r="V47" s="20" t="n">
        <v>0</v>
      </c>
    </row>
    <row r="48" spans="1:22">
      <c r="A48" s="15" t="s">
        <v>608</v>
      </c>
      <c r="B48" s="17" t="n">
        <v>5159</v>
      </c>
      <c r="C48" s="18">
        <f>(4056.0/B48*100)</f>
        <v/>
      </c>
      <c r="D48" s="19" t="n">
        <v>1103</v>
      </c>
      <c r="E48" s="18" t="n">
        <v>42.44634154</v>
      </c>
      <c r="F48" s="20" t="n">
        <v>2.01114381</v>
      </c>
      <c r="G48" s="18" t="n">
        <v>23.7795187</v>
      </c>
      <c r="H48" s="20" t="n">
        <v>1.57797356</v>
      </c>
      <c r="I48" s="18" t="n">
        <v>10.88653917</v>
      </c>
      <c r="J48" s="20" t="n">
        <v>1.2068012</v>
      </c>
      <c r="K48" s="18" t="n">
        <v>11.36609194</v>
      </c>
      <c r="L48" s="20" t="n">
        <v>1.25519308</v>
      </c>
      <c r="M48" s="18" t="s">
        <v>567</v>
      </c>
      <c r="N48" s="20" t="s">
        <v>567</v>
      </c>
      <c r="O48" s="18" t="n">
        <v>11.52150865</v>
      </c>
      <c r="P48" s="20" t="n">
        <v>1.35024255</v>
      </c>
      <c r="Q48" s="18" t="n">
        <v>0</v>
      </c>
      <c r="R48" s="20" t="n">
        <v>0</v>
      </c>
      <c r="S48" s="18" t="n">
        <v>0</v>
      </c>
      <c r="T48" s="20" t="n">
        <v>0</v>
      </c>
      <c r="U48" s="18" t="n">
        <v>0</v>
      </c>
      <c r="V48" s="20" t="n">
        <v>0</v>
      </c>
    </row>
    <row r="49" spans="1:22">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c r="U49" s="18" t="s">
        <v>567</v>
      </c>
      <c r="V49" s="20" t="s">
        <v>567</v>
      </c>
    </row>
    <row r="50" spans="1:22">
      <c r="A50" s="15" t="s">
        <v>610</v>
      </c>
      <c r="B50" s="17" t="n">
        <v>5637</v>
      </c>
      <c r="C50" s="18">
        <f>(4509.0/B50*100)</f>
        <v/>
      </c>
      <c r="D50" s="19" t="n">
        <v>1128</v>
      </c>
      <c r="E50" s="18" t="n">
        <v>60.14587714</v>
      </c>
      <c r="F50" s="20" t="n">
        <v>2.18217865</v>
      </c>
      <c r="G50" s="18" t="n">
        <v>7.2124238</v>
      </c>
      <c r="H50" s="20" t="n">
        <v>1.16409112</v>
      </c>
      <c r="I50" s="18" t="n">
        <v>8.064105</v>
      </c>
      <c r="J50" s="20" t="n">
        <v>0.96447636</v>
      </c>
      <c r="K50" s="18" t="n">
        <v>6.32762672</v>
      </c>
      <c r="L50" s="20" t="n">
        <v>0.8921111900000001</v>
      </c>
      <c r="M50" s="18" t="s">
        <v>567</v>
      </c>
      <c r="N50" s="20" t="s">
        <v>567</v>
      </c>
      <c r="O50" s="18" t="n">
        <v>18.22282519</v>
      </c>
      <c r="P50" s="20" t="n">
        <v>1.74428446</v>
      </c>
      <c r="Q50" s="18" t="n">
        <v>0.02714215</v>
      </c>
      <c r="R50" s="20" t="n">
        <v>0.02720034</v>
      </c>
      <c r="S50" s="18" t="n">
        <v>0</v>
      </c>
      <c r="T50" s="20" t="n">
        <v>0</v>
      </c>
      <c r="U50" s="18" t="n">
        <v>0</v>
      </c>
      <c r="V50" s="20" t="n">
        <v>0</v>
      </c>
    </row>
    <row r="51" spans="1:22">
      <c r="A51" s="15" t="s">
        <v>611</v>
      </c>
      <c r="B51" s="17" t="n">
        <v>3372</v>
      </c>
      <c r="C51" s="18">
        <f>(2793.0/B51*100)</f>
        <v/>
      </c>
      <c r="D51" s="19" t="n">
        <v>579</v>
      </c>
      <c r="E51" s="18" t="n">
        <v>58.43468737</v>
      </c>
      <c r="F51" s="20" t="n">
        <v>1.71466214</v>
      </c>
      <c r="G51" s="18" t="n">
        <v>8.708660549999999</v>
      </c>
      <c r="H51" s="20" t="n">
        <v>1.09561859</v>
      </c>
      <c r="I51" s="18" t="n">
        <v>7.88277776</v>
      </c>
      <c r="J51" s="20" t="n">
        <v>1.11356099</v>
      </c>
      <c r="K51" s="18" t="n">
        <v>9.932662090000001</v>
      </c>
      <c r="L51" s="20" t="n">
        <v>1.29894977</v>
      </c>
      <c r="M51" s="18" t="s">
        <v>567</v>
      </c>
      <c r="N51" s="20" t="s">
        <v>567</v>
      </c>
      <c r="O51" s="18" t="n">
        <v>14.875131</v>
      </c>
      <c r="P51" s="20" t="n">
        <v>1.61568837</v>
      </c>
      <c r="Q51" s="18" t="n">
        <v>0.16608124</v>
      </c>
      <c r="R51" s="20" t="n">
        <v>0.16496796</v>
      </c>
      <c r="S51" s="18" t="n">
        <v>0</v>
      </c>
      <c r="T51" s="20" t="n">
        <v>0</v>
      </c>
      <c r="U51" s="18" t="n">
        <v>0</v>
      </c>
      <c r="V51" s="20" t="n">
        <v>0</v>
      </c>
    </row>
    <row r="52" spans="1:22">
      <c r="A52" s="15" t="s">
        <v>612</v>
      </c>
      <c r="B52" s="17" t="n">
        <v>2796</v>
      </c>
      <c r="C52" s="18">
        <f>(2192.0/B52*100)</f>
        <v/>
      </c>
      <c r="D52" s="19" t="n">
        <v>604</v>
      </c>
      <c r="E52" s="18" t="n">
        <v>52.55275732</v>
      </c>
      <c r="F52" s="20" t="n">
        <v>1.90101359</v>
      </c>
      <c r="G52" s="18" t="n">
        <v>5.39779396</v>
      </c>
      <c r="H52" s="20" t="n">
        <v>0.9015673199999999</v>
      </c>
      <c r="I52" s="18" t="n">
        <v>10.24469786</v>
      </c>
      <c r="J52" s="20" t="n">
        <v>1.12428395</v>
      </c>
      <c r="K52" s="18" t="n">
        <v>4.37666352</v>
      </c>
      <c r="L52" s="20" t="n">
        <v>0.88494182</v>
      </c>
      <c r="M52" s="18" t="s">
        <v>567</v>
      </c>
      <c r="N52" s="20" t="s">
        <v>567</v>
      </c>
      <c r="O52" s="18" t="n">
        <v>27.42808733</v>
      </c>
      <c r="P52" s="20" t="n">
        <v>1.93448112</v>
      </c>
      <c r="Q52" s="18" t="n">
        <v>0</v>
      </c>
      <c r="R52" s="20" t="n">
        <v>0</v>
      </c>
      <c r="S52" s="18" t="n">
        <v>0</v>
      </c>
      <c r="T52" s="20" t="n">
        <v>0</v>
      </c>
      <c r="U52" s="18" t="n">
        <v>0</v>
      </c>
      <c r="V52" s="20" t="n">
        <v>0</v>
      </c>
    </row>
    <row r="53" spans="1:22">
      <c r="A53" s="15" t="s">
        <v>613</v>
      </c>
      <c r="B53" s="17" t="n">
        <v>2811</v>
      </c>
      <c r="C53" s="18">
        <f>(2194.0/B53*100)</f>
        <v/>
      </c>
      <c r="D53" s="19" t="n">
        <v>617</v>
      </c>
      <c r="E53" s="18" t="n">
        <v>53.06539156</v>
      </c>
      <c r="F53" s="20" t="n">
        <v>1.82479831</v>
      </c>
      <c r="G53" s="18" t="n">
        <v>5.47762432</v>
      </c>
      <c r="H53" s="20" t="n">
        <v>1.01322928</v>
      </c>
      <c r="I53" s="18" t="n">
        <v>1.52365771</v>
      </c>
      <c r="J53" s="20" t="n">
        <v>0.56650414</v>
      </c>
      <c r="K53" s="18" t="n">
        <v>2.54708108</v>
      </c>
      <c r="L53" s="20" t="n">
        <v>0.69725315</v>
      </c>
      <c r="M53" s="18" t="s">
        <v>567</v>
      </c>
      <c r="N53" s="20" t="s">
        <v>567</v>
      </c>
      <c r="O53" s="18" t="n">
        <v>37.38624533</v>
      </c>
      <c r="P53" s="20" t="n">
        <v>1.83509068</v>
      </c>
      <c r="Q53" s="18" t="n">
        <v>0</v>
      </c>
      <c r="R53" s="20" t="n">
        <v>0</v>
      </c>
      <c r="S53" s="18" t="n">
        <v>0</v>
      </c>
      <c r="T53" s="20" t="n">
        <v>0</v>
      </c>
      <c r="U53" s="18" t="n">
        <v>0</v>
      </c>
      <c r="V53" s="20" t="n">
        <v>0</v>
      </c>
    </row>
    <row r="54" spans="1:22">
      <c r="A54" s="15" t="s">
        <v>614</v>
      </c>
      <c r="B54" s="17" t="n">
        <v>2266</v>
      </c>
      <c r="C54" s="18">
        <f>(1765.0/B54*100)</f>
        <v/>
      </c>
      <c r="D54" s="19" t="n">
        <v>501</v>
      </c>
      <c r="E54" s="18" t="n">
        <v>40.82303299</v>
      </c>
      <c r="F54" s="20" t="n">
        <v>2.95503999</v>
      </c>
      <c r="G54" s="18" t="n">
        <v>2.32770139</v>
      </c>
      <c r="H54" s="20" t="n">
        <v>1.04647527</v>
      </c>
      <c r="I54" s="18" t="n">
        <v>1.41955878</v>
      </c>
      <c r="J54" s="20" t="n">
        <v>0.59498713</v>
      </c>
      <c r="K54" s="18" t="n">
        <v>1.01112514</v>
      </c>
      <c r="L54" s="20" t="n">
        <v>0.46837285</v>
      </c>
      <c r="M54" s="18" t="s">
        <v>567</v>
      </c>
      <c r="N54" s="20" t="s">
        <v>567</v>
      </c>
      <c r="O54" s="18" t="n">
        <v>53.63833353</v>
      </c>
      <c r="P54" s="20" t="n">
        <v>2.77400904</v>
      </c>
      <c r="Q54" s="18" t="n">
        <v>0.78024816</v>
      </c>
      <c r="R54" s="20" t="n">
        <v>0.64189475</v>
      </c>
      <c r="S54" s="18" t="n">
        <v>0</v>
      </c>
      <c r="T54" s="20" t="n">
        <v>0</v>
      </c>
      <c r="U54" s="18" t="n">
        <v>0</v>
      </c>
      <c r="V54" s="20" t="n">
        <v>0</v>
      </c>
    </row>
    <row r="55" spans="1:22">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c r="U55" s="18" t="s">
        <v>567</v>
      </c>
      <c r="V55" s="20" t="s">
        <v>567</v>
      </c>
    </row>
    <row r="56" spans="1:22">
      <c r="A56" s="15" t="s">
        <v>616</v>
      </c>
      <c r="B56" s="17" t="n">
        <v>2684</v>
      </c>
      <c r="C56" s="18">
        <f>(2085.0/B56*100)</f>
        <v/>
      </c>
      <c r="D56" s="19" t="n">
        <v>599</v>
      </c>
      <c r="E56" s="18" t="n">
        <v>52.87558196</v>
      </c>
      <c r="F56" s="20" t="n">
        <v>2.14861585</v>
      </c>
      <c r="G56" s="18" t="n">
        <v>20.59323541</v>
      </c>
      <c r="H56" s="20" t="n">
        <v>1.66442259</v>
      </c>
      <c r="I56" s="18" t="n">
        <v>7.2558051</v>
      </c>
      <c r="J56" s="20" t="n">
        <v>1.12430342</v>
      </c>
      <c r="K56" s="18" t="n">
        <v>8.99989474</v>
      </c>
      <c r="L56" s="20" t="n">
        <v>1.30801377</v>
      </c>
      <c r="M56" s="18" t="s">
        <v>567</v>
      </c>
      <c r="N56" s="20" t="s">
        <v>567</v>
      </c>
      <c r="O56" s="18" t="n">
        <v>10.27548278</v>
      </c>
      <c r="P56" s="20" t="n">
        <v>1.06368459</v>
      </c>
      <c r="Q56" s="18" t="n">
        <v>0</v>
      </c>
      <c r="R56" s="20" t="n">
        <v>0</v>
      </c>
      <c r="S56" s="18" t="n">
        <v>0</v>
      </c>
      <c r="T56" s="20" t="n">
        <v>0</v>
      </c>
      <c r="U56" s="18" t="n">
        <v>0</v>
      </c>
      <c r="V56" s="20" t="n">
        <v>0</v>
      </c>
    </row>
    <row r="57" spans="1:22">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c r="U57" s="18" t="s">
        <v>567</v>
      </c>
      <c r="V57" s="20" t="s">
        <v>567</v>
      </c>
    </row>
    <row r="58" spans="1:22">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c r="U58" s="18" t="s">
        <v>567</v>
      </c>
      <c r="V58" s="20" t="s">
        <v>567</v>
      </c>
    </row>
    <row r="59" spans="1:22">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c r="U59" s="18" t="s">
        <v>567</v>
      </c>
      <c r="V59" s="20" t="s">
        <v>567</v>
      </c>
    </row>
    <row r="60" spans="1:22">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c r="U60" s="18" t="s">
        <v>567</v>
      </c>
      <c r="V60" s="20" t="s">
        <v>567</v>
      </c>
    </row>
    <row r="61" spans="1:22">
      <c r="A61" s="15" t="s">
        <v>621</v>
      </c>
      <c r="B61" s="17" t="n">
        <v>3324</v>
      </c>
      <c r="C61" s="18">
        <f>(2599.0/B61*100)</f>
        <v/>
      </c>
      <c r="D61" s="19" t="n">
        <v>725</v>
      </c>
      <c r="E61" s="18" t="n">
        <v>42.91552646</v>
      </c>
      <c r="F61" s="20" t="n">
        <v>2.0075877</v>
      </c>
      <c r="G61" s="18" t="n">
        <v>6.21187391</v>
      </c>
      <c r="H61" s="20" t="n">
        <v>0.79548334</v>
      </c>
      <c r="I61" s="18" t="n">
        <v>7.60506165</v>
      </c>
      <c r="J61" s="20" t="n">
        <v>1.04158849</v>
      </c>
      <c r="K61" s="18" t="n">
        <v>9.07989725</v>
      </c>
      <c r="L61" s="20" t="n">
        <v>1.08696503</v>
      </c>
      <c r="M61" s="18" t="s">
        <v>567</v>
      </c>
      <c r="N61" s="20" t="s">
        <v>567</v>
      </c>
      <c r="O61" s="18" t="n">
        <v>34.08849568</v>
      </c>
      <c r="P61" s="20" t="n">
        <v>1.69536844</v>
      </c>
      <c r="Q61" s="18" t="n">
        <v>0.09914505</v>
      </c>
      <c r="R61" s="20" t="n">
        <v>0.0999828</v>
      </c>
      <c r="S61" s="18" t="n">
        <v>0</v>
      </c>
      <c r="T61" s="20" t="n">
        <v>0</v>
      </c>
      <c r="U61" s="18" t="n">
        <v>0</v>
      </c>
      <c r="V61" s="20" t="n">
        <v>0</v>
      </c>
    </row>
    <row r="62" spans="1:22">
      <c r="A62" s="15" t="s">
        <v>622</v>
      </c>
      <c r="B62" s="17" t="n">
        <v>2246</v>
      </c>
      <c r="C62" s="18">
        <f>(1775.0/B62*100)</f>
        <v/>
      </c>
      <c r="D62" s="19" t="n">
        <v>471</v>
      </c>
      <c r="E62" s="18" t="n">
        <v>66.34112</v>
      </c>
      <c r="F62" s="20" t="n">
        <v>2.19829543</v>
      </c>
      <c r="G62" s="18" t="n">
        <v>15.5135757</v>
      </c>
      <c r="H62" s="20" t="n">
        <v>1.50118649</v>
      </c>
      <c r="I62" s="18" t="n">
        <v>4.67295263</v>
      </c>
      <c r="J62" s="20" t="n">
        <v>0.99050349</v>
      </c>
      <c r="K62" s="18" t="n">
        <v>6.22684901</v>
      </c>
      <c r="L62" s="20" t="n">
        <v>1.12002651</v>
      </c>
      <c r="M62" s="18" t="s">
        <v>567</v>
      </c>
      <c r="N62" s="20" t="s">
        <v>567</v>
      </c>
      <c r="O62" s="18" t="n">
        <v>7.24550266</v>
      </c>
      <c r="P62" s="20" t="n">
        <v>1.16872352</v>
      </c>
      <c r="Q62" s="18" t="n">
        <v>0</v>
      </c>
      <c r="R62" s="20" t="n">
        <v>0</v>
      </c>
      <c r="S62" s="18" t="n">
        <v>0</v>
      </c>
      <c r="T62" s="20" t="n">
        <v>0</v>
      </c>
      <c r="U62" s="18" t="n">
        <v>0</v>
      </c>
      <c r="V62" s="20" t="n">
        <v>0</v>
      </c>
    </row>
    <row r="63" spans="1:22">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c r="U63" s="18" t="s">
        <v>567</v>
      </c>
      <c r="V63" s="20" t="s">
        <v>567</v>
      </c>
    </row>
    <row r="64" spans="1:22">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c r="U64" s="18" t="s">
        <v>567</v>
      </c>
      <c r="V64" s="20" t="s">
        <v>567</v>
      </c>
    </row>
    <row r="65" spans="1:22">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c r="U65" s="18" t="s">
        <v>567</v>
      </c>
      <c r="V65" s="20" t="s">
        <v>567</v>
      </c>
    </row>
    <row r="66" spans="1:22">
      <c r="A66" s="15" t="s">
        <v>626</v>
      </c>
      <c r="B66" s="17" t="n">
        <v>2894</v>
      </c>
      <c r="C66" s="18">
        <f>(2294.0/B66*100)</f>
        <v/>
      </c>
      <c r="D66" s="19" t="n">
        <v>600</v>
      </c>
      <c r="E66" s="18" t="n">
        <v>31.68436744</v>
      </c>
      <c r="F66" s="20" t="n">
        <v>1.80494228</v>
      </c>
      <c r="G66" s="18" t="n">
        <v>3.72268201</v>
      </c>
      <c r="H66" s="20" t="n">
        <v>0.78009205</v>
      </c>
      <c r="I66" s="18" t="n">
        <v>4.00811983</v>
      </c>
      <c r="J66" s="20" t="n">
        <v>0.7972181699999999</v>
      </c>
      <c r="K66" s="18" t="n">
        <v>6.1034782</v>
      </c>
      <c r="L66" s="20" t="n">
        <v>1.02565768</v>
      </c>
      <c r="M66" s="18" t="s">
        <v>567</v>
      </c>
      <c r="N66" s="20" t="s">
        <v>567</v>
      </c>
      <c r="O66" s="18" t="n">
        <v>54.19415775</v>
      </c>
      <c r="P66" s="20" t="n">
        <v>1.90348419</v>
      </c>
      <c r="Q66" s="18" t="n">
        <v>0.28719477</v>
      </c>
      <c r="R66" s="20" t="n">
        <v>0.20232487</v>
      </c>
      <c r="S66" s="18" t="n">
        <v>0</v>
      </c>
      <c r="T66" s="20" t="n">
        <v>0</v>
      </c>
      <c r="U66" s="18" t="n">
        <v>0</v>
      </c>
      <c r="V66" s="20" t="n">
        <v>0</v>
      </c>
    </row>
    <row r="67" spans="1:22">
      <c r="A67" s="15" t="s">
        <v>627</v>
      </c>
      <c r="B67" s="17" t="n">
        <v>3511</v>
      </c>
      <c r="C67" s="18">
        <f>(2910.0/B67*100)</f>
        <v/>
      </c>
      <c r="D67" s="19" t="n">
        <v>601</v>
      </c>
      <c r="E67" s="18" t="n">
        <v>65.15795602999999</v>
      </c>
      <c r="F67" s="20" t="n">
        <v>2.25945788</v>
      </c>
      <c r="G67" s="18" t="n">
        <v>3.64488332</v>
      </c>
      <c r="H67" s="20" t="n">
        <v>0.82571439</v>
      </c>
      <c r="I67" s="18" t="n">
        <v>6.76566403</v>
      </c>
      <c r="J67" s="20" t="n">
        <v>1.19848176</v>
      </c>
      <c r="K67" s="18" t="n">
        <v>2.83046038</v>
      </c>
      <c r="L67" s="20" t="n">
        <v>0.76479332</v>
      </c>
      <c r="M67" s="18" t="s">
        <v>567</v>
      </c>
      <c r="N67" s="20" t="s">
        <v>567</v>
      </c>
      <c r="O67" s="18" t="n">
        <v>21.60103623</v>
      </c>
      <c r="P67" s="20" t="n">
        <v>1.7599681</v>
      </c>
      <c r="Q67" s="18" t="n">
        <v>0</v>
      </c>
      <c r="R67" s="20" t="n">
        <v>0</v>
      </c>
      <c r="S67" s="18" t="n">
        <v>0</v>
      </c>
      <c r="T67" s="20" t="n">
        <v>0</v>
      </c>
      <c r="U67" s="18" t="n">
        <v>0</v>
      </c>
      <c r="V67" s="20" t="n">
        <v>0</v>
      </c>
    </row>
    <row r="68" spans="1:22">
      <c r="A68" s="15" t="s">
        <v>628</v>
      </c>
      <c r="B68" s="17" t="n">
        <v>6049</v>
      </c>
      <c r="C68" s="18">
        <f>(4722.0/B68*100)</f>
        <v/>
      </c>
      <c r="D68" s="19" t="n">
        <v>1327</v>
      </c>
      <c r="E68" s="18" t="n">
        <v>51.06670208</v>
      </c>
      <c r="F68" s="20" t="n">
        <v>1.44030031</v>
      </c>
      <c r="G68" s="18" t="n">
        <v>10.10107199</v>
      </c>
      <c r="H68" s="20" t="n">
        <v>0.91287991</v>
      </c>
      <c r="I68" s="18" t="n">
        <v>3.13955181</v>
      </c>
      <c r="J68" s="20" t="n">
        <v>0.49349266</v>
      </c>
      <c r="K68" s="18" t="n">
        <v>3.93559834</v>
      </c>
      <c r="L68" s="20" t="n">
        <v>0.51656564</v>
      </c>
      <c r="M68" s="18" t="s">
        <v>567</v>
      </c>
      <c r="N68" s="20" t="s">
        <v>567</v>
      </c>
      <c r="O68" s="18" t="n">
        <v>31.75707578</v>
      </c>
      <c r="P68" s="20" t="n">
        <v>1.26493652</v>
      </c>
      <c r="Q68" s="18" t="n">
        <v>0</v>
      </c>
      <c r="R68" s="20" t="n">
        <v>0</v>
      </c>
      <c r="S68" s="18" t="n">
        <v>0</v>
      </c>
      <c r="T68" s="20" t="n">
        <v>0</v>
      </c>
      <c r="U68" s="18" t="n">
        <v>0</v>
      </c>
      <c r="V68" s="20" t="n">
        <v>0</v>
      </c>
    </row>
    <row r="69" spans="1:22">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c r="U69" s="18" t="s">
        <v>567</v>
      </c>
      <c r="V69" s="20" t="s">
        <v>567</v>
      </c>
    </row>
    <row r="70" spans="1:22">
      <c r="A70" s="15" t="s">
        <v>630</v>
      </c>
      <c r="B70" s="17" t="n">
        <v>2929</v>
      </c>
      <c r="C70" s="18">
        <f>(2334.0/B70*100)</f>
        <v/>
      </c>
      <c r="D70" s="19" t="n">
        <v>595</v>
      </c>
      <c r="E70" s="18" t="n">
        <v>39.8856971</v>
      </c>
      <c r="F70" s="20" t="n">
        <v>1.9875954</v>
      </c>
      <c r="G70" s="18" t="n">
        <v>6.72496661</v>
      </c>
      <c r="H70" s="20" t="n">
        <v>1.1880002</v>
      </c>
      <c r="I70" s="18" t="n">
        <v>12.4826185</v>
      </c>
      <c r="J70" s="20" t="n">
        <v>1.55943742</v>
      </c>
      <c r="K70" s="18" t="n">
        <v>8.871356840000001</v>
      </c>
      <c r="L70" s="20" t="n">
        <v>1.44513587</v>
      </c>
      <c r="M70" s="18" t="s">
        <v>567</v>
      </c>
      <c r="N70" s="20" t="s">
        <v>567</v>
      </c>
      <c r="O70" s="18" t="n">
        <v>32.03536095</v>
      </c>
      <c r="P70" s="20" t="n">
        <v>2.6476101</v>
      </c>
      <c r="Q70" s="18" t="n">
        <v>0</v>
      </c>
      <c r="R70" s="20" t="n">
        <v>0</v>
      </c>
      <c r="S70" s="18" t="n">
        <v>0</v>
      </c>
      <c r="T70" s="20" t="n">
        <v>0</v>
      </c>
      <c r="U70" s="18" t="n">
        <v>0</v>
      </c>
      <c r="V70" s="20" t="n">
        <v>0</v>
      </c>
    </row>
    <row r="71" spans="1:22">
      <c r="A71" s="15" t="s">
        <v>631</v>
      </c>
      <c r="B71" s="17" t="n">
        <v>3142</v>
      </c>
      <c r="C71" s="18">
        <f>(2460.0/B71*100)</f>
        <v/>
      </c>
      <c r="D71" s="19" t="n">
        <v>682</v>
      </c>
      <c r="E71" s="18" t="n">
        <v>62.14636534</v>
      </c>
      <c r="F71" s="20" t="n">
        <v>1.8823263</v>
      </c>
      <c r="G71" s="18" t="n">
        <v>16.77163669</v>
      </c>
      <c r="H71" s="20" t="n">
        <v>1.53912242</v>
      </c>
      <c r="I71" s="18" t="n">
        <v>7.15547137</v>
      </c>
      <c r="J71" s="20" t="n">
        <v>0.87322789</v>
      </c>
      <c r="K71" s="18" t="n">
        <v>8.01305305</v>
      </c>
      <c r="L71" s="20" t="n">
        <v>1.14138114</v>
      </c>
      <c r="M71" s="18" t="s">
        <v>567</v>
      </c>
      <c r="N71" s="20" t="s">
        <v>567</v>
      </c>
      <c r="O71" s="18" t="n">
        <v>5.91347354</v>
      </c>
      <c r="P71" s="20" t="n">
        <v>0.91967291</v>
      </c>
      <c r="Q71" s="18" t="n">
        <v>0</v>
      </c>
      <c r="R71" s="20" t="n">
        <v>0</v>
      </c>
      <c r="S71" s="18" t="n">
        <v>0</v>
      </c>
      <c r="T71" s="20" t="n">
        <v>0</v>
      </c>
      <c r="U71" s="18" t="n">
        <v>0</v>
      </c>
      <c r="V71" s="20" t="n">
        <v>0</v>
      </c>
    </row>
    <row r="72" spans="1:22">
      <c r="A72" s="15" t="s">
        <v>632</v>
      </c>
      <c r="B72" s="17" t="n">
        <v>3889</v>
      </c>
      <c r="C72" s="18">
        <f>(2993.0/B72*100)</f>
        <v/>
      </c>
      <c r="D72" s="19" t="n">
        <v>896</v>
      </c>
      <c r="E72" s="18" t="n">
        <v>30.91472415</v>
      </c>
      <c r="F72" s="20" t="n">
        <v>1.7143357</v>
      </c>
      <c r="G72" s="18" t="n">
        <v>20.76341357</v>
      </c>
      <c r="H72" s="20" t="n">
        <v>1.63159131</v>
      </c>
      <c r="I72" s="18" t="n">
        <v>15.02613913</v>
      </c>
      <c r="J72" s="20" t="n">
        <v>1.28879335</v>
      </c>
      <c r="K72" s="18" t="n">
        <v>23.28629325</v>
      </c>
      <c r="L72" s="20" t="n">
        <v>1.86822989</v>
      </c>
      <c r="M72" s="18" t="s">
        <v>567</v>
      </c>
      <c r="N72" s="20" t="s">
        <v>567</v>
      </c>
      <c r="O72" s="18" t="n">
        <v>10.00942991</v>
      </c>
      <c r="P72" s="20" t="n">
        <v>1.19703626</v>
      </c>
      <c r="Q72" s="18" t="n">
        <v>0</v>
      </c>
      <c r="R72" s="20" t="n">
        <v>0</v>
      </c>
      <c r="S72" s="18" t="n">
        <v>0</v>
      </c>
      <c r="T72" s="20" t="n">
        <v>0</v>
      </c>
      <c r="U72" s="18" t="n">
        <v>0</v>
      </c>
      <c r="V72" s="20" t="n">
        <v>0</v>
      </c>
    </row>
    <row r="73" spans="1:22">
      <c r="A73" s="15" t="s">
        <v>633</v>
      </c>
      <c r="B73" s="17" t="n">
        <v>3597</v>
      </c>
      <c r="C73" s="18">
        <f>(2874.0/B73*100)</f>
        <v/>
      </c>
      <c r="D73" s="19" t="n">
        <v>723</v>
      </c>
      <c r="E73" s="18" t="n">
        <v>78.87683914</v>
      </c>
      <c r="F73" s="20" t="n">
        <v>1.83388535</v>
      </c>
      <c r="G73" s="18" t="n">
        <v>10.32416499</v>
      </c>
      <c r="H73" s="20" t="n">
        <v>1.52369906</v>
      </c>
      <c r="I73" s="18" t="n">
        <v>1.56821326</v>
      </c>
      <c r="J73" s="20" t="n">
        <v>0.58756232</v>
      </c>
      <c r="K73" s="18" t="n">
        <v>2.89072083</v>
      </c>
      <c r="L73" s="20" t="n">
        <v>0.73368466</v>
      </c>
      <c r="M73" s="18" t="s">
        <v>567</v>
      </c>
      <c r="N73" s="20" t="s">
        <v>567</v>
      </c>
      <c r="O73" s="18" t="n">
        <v>6.13117974</v>
      </c>
      <c r="P73" s="20" t="n">
        <v>1.09752211</v>
      </c>
      <c r="Q73" s="18" t="n">
        <v>0.20888204</v>
      </c>
      <c r="R73" s="20" t="n">
        <v>0.21077222</v>
      </c>
      <c r="S73" s="18" t="n">
        <v>0</v>
      </c>
      <c r="T73" s="20" t="n">
        <v>0</v>
      </c>
      <c r="U73" s="18" t="n">
        <v>0</v>
      </c>
      <c r="V73" s="20" t="n">
        <v>0</v>
      </c>
    </row>
    <row r="74" spans="1:22">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c r="U74" s="18" t="s">
        <v>567</v>
      </c>
      <c r="V74" s="20" t="s">
        <v>567</v>
      </c>
    </row>
    <row r="75" spans="1:22">
      <c r="A75" s="15" t="s">
        <v>635</v>
      </c>
      <c r="B75" s="17" t="n">
        <v>2406</v>
      </c>
      <c r="C75" s="18">
        <f>(1962.0/B75*100)</f>
        <v/>
      </c>
      <c r="D75" s="19" t="n">
        <v>444</v>
      </c>
      <c r="E75" s="18" t="n">
        <v>53.433742</v>
      </c>
      <c r="F75" s="20" t="n">
        <v>2.87748022</v>
      </c>
      <c r="G75" s="18" t="n">
        <v>2.3389386</v>
      </c>
      <c r="H75" s="20" t="n">
        <v>0.72101176</v>
      </c>
      <c r="I75" s="18" t="n">
        <v>0.35817317</v>
      </c>
      <c r="J75" s="20" t="n">
        <v>0.24657422</v>
      </c>
      <c r="K75" s="18" t="n">
        <v>0.24770296</v>
      </c>
      <c r="L75" s="20" t="n">
        <v>0.21911446</v>
      </c>
      <c r="M75" s="18" t="s">
        <v>567</v>
      </c>
      <c r="N75" s="20" t="s">
        <v>567</v>
      </c>
      <c r="O75" s="18" t="n">
        <v>43.3605718</v>
      </c>
      <c r="P75" s="20" t="n">
        <v>3.01235513</v>
      </c>
      <c r="Q75" s="18" t="n">
        <v>0.26087147</v>
      </c>
      <c r="R75" s="20" t="n">
        <v>0.25839712</v>
      </c>
      <c r="S75" s="18" t="n">
        <v>0</v>
      </c>
      <c r="T75" s="20" t="n">
        <v>0</v>
      </c>
      <c r="U75" s="18" t="n">
        <v>0</v>
      </c>
      <c r="V75" s="20" t="n">
        <v>0</v>
      </c>
    </row>
    <row r="76" spans="1:22">
      <c r="A76" s="15" t="s">
        <v>636</v>
      </c>
      <c r="B76" s="17" t="n">
        <v>7052</v>
      </c>
      <c r="C76" s="18">
        <f>(5548.0/B76*100)</f>
        <v/>
      </c>
      <c r="D76" s="19" t="n">
        <v>1504</v>
      </c>
      <c r="E76" s="18" t="n">
        <v>64.31489347999999</v>
      </c>
      <c r="F76" s="20" t="n">
        <v>1.84657496</v>
      </c>
      <c r="G76" s="18" t="n">
        <v>6.67634625</v>
      </c>
      <c r="H76" s="20" t="n">
        <v>0.81234915</v>
      </c>
      <c r="I76" s="18" t="n">
        <v>4.11011924</v>
      </c>
      <c r="J76" s="20" t="n">
        <v>0.62846515</v>
      </c>
      <c r="K76" s="18" t="n">
        <v>3.4263625</v>
      </c>
      <c r="L76" s="20" t="n">
        <v>0.67193571</v>
      </c>
      <c r="M76" s="18" t="s">
        <v>567</v>
      </c>
      <c r="N76" s="20" t="s">
        <v>567</v>
      </c>
      <c r="O76" s="18" t="n">
        <v>21.43856215</v>
      </c>
      <c r="P76" s="20" t="n">
        <v>1.57077414</v>
      </c>
      <c r="Q76" s="18" t="n">
        <v>0.03371638</v>
      </c>
      <c r="R76" s="20" t="n">
        <v>0.03395133</v>
      </c>
      <c r="S76" s="18" t="n">
        <v>0</v>
      </c>
      <c r="T76" s="20" t="n">
        <v>0</v>
      </c>
      <c r="U76" s="18" t="n">
        <v>0</v>
      </c>
      <c r="V76" s="20" t="n">
        <v>0</v>
      </c>
    </row>
    <row r="77" spans="1:22">
      <c r="A77" s="15" t="s">
        <v>637</v>
      </c>
      <c r="B77" s="17" t="n">
        <v>2908</v>
      </c>
      <c r="C77" s="18">
        <f>(2328.0/B77*100)</f>
        <v/>
      </c>
      <c r="D77" s="19" t="n">
        <v>580</v>
      </c>
      <c r="E77" s="18" t="n">
        <v>37.95300028</v>
      </c>
      <c r="F77" s="20" t="n">
        <v>2.08134</v>
      </c>
      <c r="G77" s="18" t="n">
        <v>10.53851464</v>
      </c>
      <c r="H77" s="20" t="n">
        <v>1.2259819</v>
      </c>
      <c r="I77" s="18" t="n">
        <v>4.09259973</v>
      </c>
      <c r="J77" s="20" t="n">
        <v>0.86055428</v>
      </c>
      <c r="K77" s="18" t="n">
        <v>4.90396926</v>
      </c>
      <c r="L77" s="20" t="n">
        <v>1.03450916</v>
      </c>
      <c r="M77" s="18" t="s">
        <v>567</v>
      </c>
      <c r="N77" s="20" t="s">
        <v>567</v>
      </c>
      <c r="O77" s="18" t="n">
        <v>42.37237203</v>
      </c>
      <c r="P77" s="20" t="n">
        <v>2.66910044</v>
      </c>
      <c r="Q77" s="18" t="n">
        <v>0.13954406</v>
      </c>
      <c r="R77" s="20" t="n">
        <v>0.1552613</v>
      </c>
      <c r="S77" s="18" t="n">
        <v>0</v>
      </c>
      <c r="T77" s="20" t="n">
        <v>0</v>
      </c>
      <c r="U77" s="18" t="n">
        <v>0</v>
      </c>
      <c r="V77" s="20" t="n">
        <v>0</v>
      </c>
    </row>
    <row r="78" spans="1:22">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c r="U78" s="18" t="s">
        <v>567</v>
      </c>
      <c r="V78" s="20" t="s">
        <v>567</v>
      </c>
    </row>
    <row customHeight="1" ht="25" r="79" spans="1:22">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c r="U79" s="18" t="s">
        <v>567</v>
      </c>
      <c r="V79" s="20" t="s">
        <v>567</v>
      </c>
    </row>
    <row r="80" spans="1:22">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row>
    <row r="81" spans="1:22">
      <c r="A81" s="21" t="s">
        <v>641</v>
      </c>
      <c r="B81" s="17" t="n">
        <v>4163</v>
      </c>
      <c r="C81" s="18">
        <f>(3277.0/B81*100)</f>
        <v/>
      </c>
      <c r="D81" s="19" t="n">
        <v>886</v>
      </c>
      <c r="E81" s="18" t="n">
        <v>86.45859779</v>
      </c>
      <c r="F81" s="20" t="n">
        <v>1.52659338</v>
      </c>
      <c r="G81" s="18" t="n">
        <v>4.89820148</v>
      </c>
      <c r="H81" s="20" t="n">
        <v>0.9184685299999999</v>
      </c>
      <c r="I81" s="18" t="n">
        <v>2.56812066</v>
      </c>
      <c r="J81" s="20" t="n">
        <v>0.64424146</v>
      </c>
      <c r="K81" s="18" t="n">
        <v>0.67552115</v>
      </c>
      <c r="L81" s="20" t="n">
        <v>0.29331792</v>
      </c>
      <c r="M81" s="18" t="s">
        <v>567</v>
      </c>
      <c r="N81" s="20" t="s">
        <v>567</v>
      </c>
      <c r="O81" s="18" t="n">
        <v>5.39955892</v>
      </c>
      <c r="P81" s="20" t="n">
        <v>1.05299632</v>
      </c>
      <c r="Q81" s="18" t="n">
        <v>0</v>
      </c>
      <c r="R81" s="20" t="n">
        <v>0</v>
      </c>
      <c r="S81" s="18" t="n">
        <v>0</v>
      </c>
      <c r="T81" s="20" t="n">
        <v>0</v>
      </c>
      <c r="U81" s="18" t="n">
        <v>0</v>
      </c>
      <c r="V81" s="20" t="n">
        <v>0</v>
      </c>
    </row>
    <row r="82" spans="1:22">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row>
    <row r="83" spans="1:22">
      <c r="A83" s="3" t="s">
        <v>643</v>
      </c>
    </row>
    <row r="84" spans="1:22">
      <c r="A84" s="23" t="s">
        <v>644</v>
      </c>
    </row>
    <row r="85" spans="1:22">
      <c r="A85" s="23" t="s">
        <v>645</v>
      </c>
    </row>
    <row customHeight="1" ht="30" r="86" spans="1:22">
      <c r="A86" s="23" t="s">
        <v>646</v>
      </c>
    </row>
    <row customHeight="1" ht="30" r="87" spans="1:22">
      <c r="A87" s="23" t="s">
        <v>642</v>
      </c>
    </row>
    <row customHeight="1" ht="30" r="88" spans="1:22">
      <c r="A88" s="23" t="s">
        <v>647</v>
      </c>
    </row>
    <row customHeight="1" ht="30" r="89" spans="1:22">
      <c r="A89" s="23" t="s">
        <v>648</v>
      </c>
    </row>
    <row customHeight="1" ht="30" r="90" spans="1:22">
      <c r="A90" s="23" t="s">
        <v>649</v>
      </c>
    </row>
    <row customHeight="1" ht="30" r="91" spans="1:22">
      <c r="A91" s="23" t="s">
        <v>650</v>
      </c>
    </row>
    <row customHeight="1" ht="30" r="92" spans="1:22">
      <c r="A92" s="23" t="s">
        <v>651</v>
      </c>
    </row>
    <row customHeight="1" ht="30" r="93" spans="1:22">
      <c r="A93" s="23" t="s">
        <v>652</v>
      </c>
    </row>
    <row customHeight="1" ht="30" r="94" spans="1:22">
      <c r="A94" s="23" t="s">
        <v>653</v>
      </c>
    </row>
    <row customHeight="1" ht="30" r="95" spans="1:22">
      <c r="A95" s="23" t="s">
        <v>654</v>
      </c>
    </row>
    <row customHeight="1" ht="30" r="96" spans="1:22">
      <c r="A96" s="23" t="s">
        <v>655</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(5737.0/B7*100)</f>
        <v/>
      </c>
      <c r="D7" s="19" t="n">
        <v>1630</v>
      </c>
      <c r="E7" s="18" t="n">
        <v>37.48482838</v>
      </c>
      <c r="F7" s="20" t="n">
        <v>1.34065909</v>
      </c>
      <c r="G7" s="18" t="n">
        <v>61.48549167</v>
      </c>
      <c r="H7" s="20" t="n">
        <v>1.38991558</v>
      </c>
      <c r="I7" s="18" t="s">
        <v>567</v>
      </c>
      <c r="J7" s="20" t="s">
        <v>567</v>
      </c>
      <c r="K7" s="18" t="n">
        <v>0.09141249</v>
      </c>
      <c r="L7" s="20" t="n">
        <v>0.06818718999999999</v>
      </c>
      <c r="M7" s="18" t="n">
        <v>0</v>
      </c>
      <c r="N7" s="20" t="n">
        <v>0</v>
      </c>
      <c r="O7" s="18" t="n">
        <v>0</v>
      </c>
      <c r="P7" s="20" t="n">
        <v>0</v>
      </c>
      <c r="Q7" s="18" t="n">
        <v>0.9382674600000001</v>
      </c>
      <c r="R7" s="20" t="n">
        <v>0.28214392</v>
      </c>
    </row>
    <row r="8" spans="1:18">
      <c r="A8" s="15" t="s">
        <v>568</v>
      </c>
      <c r="B8" s="17" t="n">
        <v>3564</v>
      </c>
      <c r="C8" s="18">
        <f>(2789.0/B8*100)</f>
        <v/>
      </c>
      <c r="D8" s="19" t="n">
        <v>775</v>
      </c>
      <c r="E8" s="18" t="n">
        <v>46.29863589</v>
      </c>
      <c r="F8" s="20" t="n">
        <v>1.82775303</v>
      </c>
      <c r="G8" s="18" t="n">
        <v>52.7510568</v>
      </c>
      <c r="H8" s="20" t="n">
        <v>1.80659135</v>
      </c>
      <c r="I8" s="18" t="s">
        <v>567</v>
      </c>
      <c r="J8" s="20" t="s">
        <v>567</v>
      </c>
      <c r="K8" s="18" t="n">
        <v>0.10297722</v>
      </c>
      <c r="L8" s="20" t="n">
        <v>0.17484086</v>
      </c>
      <c r="M8" s="18" t="n">
        <v>0</v>
      </c>
      <c r="N8" s="20" t="n">
        <v>0</v>
      </c>
      <c r="O8" s="18" t="n">
        <v>0</v>
      </c>
      <c r="P8" s="20" t="n">
        <v>0</v>
      </c>
      <c r="Q8" s="18" t="n">
        <v>0.84733009</v>
      </c>
      <c r="R8" s="20" t="n">
        <v>0.34090497</v>
      </c>
    </row>
    <row r="9" spans="1:18">
      <c r="A9" s="15" t="s">
        <v>569</v>
      </c>
      <c r="B9" s="17" t="n">
        <v>4899</v>
      </c>
      <c r="C9" s="18">
        <f>(3849.0/B9*100)</f>
        <v/>
      </c>
      <c r="D9" s="19" t="n">
        <v>1050</v>
      </c>
      <c r="E9" s="18" t="n">
        <v>35.77971994</v>
      </c>
      <c r="F9" s="20" t="n">
        <v>1.70722295</v>
      </c>
      <c r="G9" s="18" t="n">
        <v>63.47242337</v>
      </c>
      <c r="H9" s="20" t="n">
        <v>1.69760175</v>
      </c>
      <c r="I9" s="18" t="s">
        <v>567</v>
      </c>
      <c r="J9" s="20" t="s">
        <v>567</v>
      </c>
      <c r="K9" s="18" t="n">
        <v>0.12974211</v>
      </c>
      <c r="L9" s="20" t="n">
        <v>0.07268652</v>
      </c>
      <c r="M9" s="18" t="n">
        <v>0</v>
      </c>
      <c r="N9" s="20" t="n">
        <v>0</v>
      </c>
      <c r="O9" s="18" t="n">
        <v>0</v>
      </c>
      <c r="P9" s="20" t="n">
        <v>0</v>
      </c>
      <c r="Q9" s="18" t="n">
        <v>0.61811459</v>
      </c>
      <c r="R9" s="20" t="n">
        <v>0.25793753</v>
      </c>
    </row>
    <row r="10" spans="1:18">
      <c r="A10" s="15" t="s">
        <v>570</v>
      </c>
      <c r="B10" s="17" t="n">
        <v>10036</v>
      </c>
      <c r="C10" s="18">
        <f>(7854.0/B10*100)</f>
        <v/>
      </c>
      <c r="D10" s="19" t="n">
        <v>2182</v>
      </c>
      <c r="E10" s="18" t="n">
        <v>39.93540692</v>
      </c>
      <c r="F10" s="20" t="n">
        <v>1.70882235</v>
      </c>
      <c r="G10" s="18" t="n">
        <v>59.55119561</v>
      </c>
      <c r="H10" s="20" t="n">
        <v>1.71546881</v>
      </c>
      <c r="I10" s="18" t="s">
        <v>567</v>
      </c>
      <c r="J10" s="20" t="s">
        <v>567</v>
      </c>
      <c r="K10" s="18" t="n">
        <v>0</v>
      </c>
      <c r="L10" s="20" t="n">
        <v>0</v>
      </c>
      <c r="M10" s="18" t="n">
        <v>0</v>
      </c>
      <c r="N10" s="20" t="n">
        <v>0</v>
      </c>
      <c r="O10" s="18" t="n">
        <v>0</v>
      </c>
      <c r="P10" s="20" t="n">
        <v>0</v>
      </c>
      <c r="Q10" s="18" t="n">
        <v>0.51339748</v>
      </c>
      <c r="R10" s="20" t="n">
        <v>0.20483754</v>
      </c>
    </row>
    <row r="11" spans="1:18">
      <c r="A11" s="15" t="s">
        <v>571</v>
      </c>
      <c r="B11" s="17" t="n">
        <v>3553</v>
      </c>
      <c r="C11" s="18">
        <f>(2769.0/B11*100)</f>
        <v/>
      </c>
      <c r="D11" s="19" t="n">
        <v>784</v>
      </c>
      <c r="E11" s="18" t="n">
        <v>49.54905027</v>
      </c>
      <c r="F11" s="20" t="n">
        <v>2.06012759</v>
      </c>
      <c r="G11" s="18" t="n">
        <v>49.16386918</v>
      </c>
      <c r="H11" s="20" t="n">
        <v>2.01041137</v>
      </c>
      <c r="I11" s="18" t="s">
        <v>567</v>
      </c>
      <c r="J11" s="20" t="s">
        <v>567</v>
      </c>
      <c r="K11" s="18" t="n">
        <v>0.25891783</v>
      </c>
      <c r="L11" s="20" t="n">
        <v>0.18322928</v>
      </c>
      <c r="M11" s="18" t="n">
        <v>0</v>
      </c>
      <c r="N11" s="20" t="n">
        <v>0</v>
      </c>
      <c r="O11" s="18" t="n">
        <v>0</v>
      </c>
      <c r="P11" s="20" t="n">
        <v>0</v>
      </c>
      <c r="Q11" s="18" t="n">
        <v>1.02816271</v>
      </c>
      <c r="R11" s="20" t="n">
        <v>0.39751468</v>
      </c>
    </row>
    <row r="12" spans="1:18">
      <c r="A12" s="15" t="s">
        <v>572</v>
      </c>
      <c r="B12" s="17" t="n">
        <v>3472</v>
      </c>
      <c r="C12" s="18">
        <f>(2724.0/B12*100)</f>
        <v/>
      </c>
      <c r="D12" s="19" t="n">
        <v>748</v>
      </c>
      <c r="E12" s="18" t="n">
        <v>43.29866158</v>
      </c>
      <c r="F12" s="20" t="n">
        <v>1.88412446</v>
      </c>
      <c r="G12" s="18" t="n">
        <v>55.90277422</v>
      </c>
      <c r="H12" s="20" t="n">
        <v>1.90966302</v>
      </c>
      <c r="I12" s="18" t="s">
        <v>567</v>
      </c>
      <c r="J12" s="20" t="s">
        <v>567</v>
      </c>
      <c r="K12" s="18" t="n">
        <v>0.24345347</v>
      </c>
      <c r="L12" s="20" t="n">
        <v>0.21384727</v>
      </c>
      <c r="M12" s="18" t="n">
        <v>0</v>
      </c>
      <c r="N12" s="20" t="n">
        <v>0</v>
      </c>
      <c r="O12" s="18" t="n">
        <v>0</v>
      </c>
      <c r="P12" s="20" t="n">
        <v>0</v>
      </c>
      <c r="Q12" s="18" t="n">
        <v>0.55511073</v>
      </c>
      <c r="R12" s="20" t="n">
        <v>0.19138976</v>
      </c>
    </row>
    <row r="13" spans="1:18">
      <c r="A13" s="15" t="s">
        <v>573</v>
      </c>
      <c r="B13" s="17" t="n">
        <v>3559</v>
      </c>
      <c r="C13" s="18">
        <f>(2817.0/B13*100)</f>
        <v/>
      </c>
      <c r="D13" s="19" t="n">
        <v>742</v>
      </c>
      <c r="E13" s="18" t="n">
        <v>43.77450745</v>
      </c>
      <c r="F13" s="20" t="n">
        <v>2.26984312</v>
      </c>
      <c r="G13" s="18" t="n">
        <v>55.42271889</v>
      </c>
      <c r="H13" s="20" t="n">
        <v>2.23622033</v>
      </c>
      <c r="I13" s="18" t="s">
        <v>567</v>
      </c>
      <c r="J13" s="20" t="s">
        <v>567</v>
      </c>
      <c r="K13" s="18" t="n">
        <v>0.25223727</v>
      </c>
      <c r="L13" s="20" t="n">
        <v>0.19077457</v>
      </c>
      <c r="M13" s="18" t="n">
        <v>0</v>
      </c>
      <c r="N13" s="20" t="n">
        <v>0</v>
      </c>
      <c r="O13" s="18" t="n">
        <v>0</v>
      </c>
      <c r="P13" s="20" t="n">
        <v>0</v>
      </c>
      <c r="Q13" s="18" t="n">
        <v>0.55053639</v>
      </c>
      <c r="R13" s="20" t="n">
        <v>0.21498244</v>
      </c>
    </row>
    <row r="14" spans="1:18">
      <c r="A14" s="15" t="s">
        <v>574</v>
      </c>
      <c r="B14" s="17" t="n">
        <v>2799</v>
      </c>
      <c r="C14" s="18">
        <f>(2175.0/B14*100)</f>
        <v/>
      </c>
      <c r="D14" s="19" t="n">
        <v>624</v>
      </c>
      <c r="E14" s="18" t="n">
        <v>28.44384352</v>
      </c>
      <c r="F14" s="20" t="n">
        <v>1.95844455</v>
      </c>
      <c r="G14" s="18" t="n">
        <v>71.55615648</v>
      </c>
      <c r="H14" s="20" t="n">
        <v>1.95844455</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(2400.0/B15*100)</f>
        <v/>
      </c>
      <c r="D15" s="19" t="n">
        <v>619</v>
      </c>
      <c r="E15" s="18" t="n">
        <v>42.05874138</v>
      </c>
      <c r="F15" s="20" t="n">
        <v>1.57734246</v>
      </c>
      <c r="G15" s="18" t="n">
        <v>57.16271937</v>
      </c>
      <c r="H15" s="20" t="n">
        <v>1.61206255</v>
      </c>
      <c r="I15" s="18" t="s">
        <v>567</v>
      </c>
      <c r="J15" s="20" t="s">
        <v>567</v>
      </c>
      <c r="K15" s="18" t="n">
        <v>0.15747216</v>
      </c>
      <c r="L15" s="20" t="n">
        <v>0.158072</v>
      </c>
      <c r="M15" s="18" t="n">
        <v>0</v>
      </c>
      <c r="N15" s="20" t="n">
        <v>0</v>
      </c>
      <c r="O15" s="18" t="n">
        <v>0</v>
      </c>
      <c r="P15" s="20" t="n">
        <v>0</v>
      </c>
      <c r="Q15" s="18" t="n">
        <v>0.62106709</v>
      </c>
      <c r="R15" s="20" t="n">
        <v>0.31466805</v>
      </c>
    </row>
    <row r="16" spans="1:18">
      <c r="A16" s="15" t="s">
        <v>576</v>
      </c>
      <c r="B16" s="17" t="n">
        <v>2997</v>
      </c>
      <c r="C16" s="18">
        <f>(2347.0/B16*100)</f>
        <v/>
      </c>
      <c r="D16" s="19" t="n">
        <v>650</v>
      </c>
      <c r="E16" s="18" t="n">
        <v>46.60165846</v>
      </c>
      <c r="F16" s="20" t="n">
        <v>2.00887439</v>
      </c>
      <c r="G16" s="18" t="n">
        <v>50.77586856</v>
      </c>
      <c r="H16" s="20" t="n">
        <v>2.01734473</v>
      </c>
      <c r="I16" s="18" t="s">
        <v>567</v>
      </c>
      <c r="J16" s="20" t="s">
        <v>567</v>
      </c>
      <c r="K16" s="18" t="n">
        <v>0.44995084</v>
      </c>
      <c r="L16" s="20" t="n">
        <v>0.23720407</v>
      </c>
      <c r="M16" s="18" t="n">
        <v>0</v>
      </c>
      <c r="N16" s="20" t="n">
        <v>0</v>
      </c>
      <c r="O16" s="18" t="n">
        <v>0</v>
      </c>
      <c r="P16" s="20" t="n">
        <v>0</v>
      </c>
      <c r="Q16" s="18" t="n">
        <v>2.17252214</v>
      </c>
      <c r="R16" s="20" t="n">
        <v>0.74946495</v>
      </c>
    </row>
    <row r="17" spans="1:18">
      <c r="A17" s="15" t="s">
        <v>577</v>
      </c>
      <c r="B17" s="17" t="n">
        <v>3307</v>
      </c>
      <c r="C17" s="18">
        <f>(2584.0/B17*100)</f>
        <v/>
      </c>
      <c r="D17" s="19" t="n">
        <v>723</v>
      </c>
      <c r="E17" s="18" t="n">
        <v>43.01114607</v>
      </c>
      <c r="F17" s="20" t="n">
        <v>2.10175723</v>
      </c>
      <c r="G17" s="18" t="n">
        <v>56.33939332</v>
      </c>
      <c r="H17" s="20" t="n">
        <v>2.09055425</v>
      </c>
      <c r="I17" s="18" t="s">
        <v>567</v>
      </c>
      <c r="J17" s="20" t="s">
        <v>567</v>
      </c>
      <c r="K17" s="18" t="n">
        <v>0</v>
      </c>
      <c r="L17" s="20" t="n">
        <v>0</v>
      </c>
      <c r="M17" s="18" t="n">
        <v>0</v>
      </c>
      <c r="N17" s="20" t="n">
        <v>0</v>
      </c>
      <c r="O17" s="18" t="n">
        <v>0</v>
      </c>
      <c r="P17" s="20" t="n">
        <v>0</v>
      </c>
      <c r="Q17" s="18" t="n">
        <v>0.64946062</v>
      </c>
      <c r="R17" s="20" t="n">
        <v>0.28979828</v>
      </c>
    </row>
    <row r="18" spans="1:18">
      <c r="A18" s="15" t="s">
        <v>578</v>
      </c>
      <c r="B18" s="17" t="n">
        <v>2826</v>
      </c>
      <c r="C18" s="18">
        <f>(2214.0/B18*100)</f>
        <v/>
      </c>
      <c r="D18" s="19" t="n">
        <v>612</v>
      </c>
      <c r="E18" s="18" t="n">
        <v>48.87263591</v>
      </c>
      <c r="F18" s="20" t="n">
        <v>2.43546927</v>
      </c>
      <c r="G18" s="18" t="n">
        <v>50.20128315</v>
      </c>
      <c r="H18" s="20" t="n">
        <v>2.39417611</v>
      </c>
      <c r="I18" s="18" t="s">
        <v>567</v>
      </c>
      <c r="J18" s="20" t="s">
        <v>567</v>
      </c>
      <c r="K18" s="18" t="n">
        <v>0</v>
      </c>
      <c r="L18" s="20" t="n">
        <v>0</v>
      </c>
      <c r="M18" s="18" t="n">
        <v>0</v>
      </c>
      <c r="N18" s="20" t="n">
        <v>0</v>
      </c>
      <c r="O18" s="18" t="n">
        <v>0</v>
      </c>
      <c r="P18" s="20" t="n">
        <v>0</v>
      </c>
      <c r="Q18" s="18" t="n">
        <v>0.92608094</v>
      </c>
      <c r="R18" s="20" t="n">
        <v>0.41810231</v>
      </c>
    </row>
    <row r="19" spans="1:18">
      <c r="A19" s="15" t="s">
        <v>579</v>
      </c>
      <c r="B19" s="17" t="n">
        <v>2808</v>
      </c>
      <c r="C19" s="18">
        <f>(2200.0/B19*100)</f>
        <v/>
      </c>
      <c r="D19" s="19" t="n">
        <v>608</v>
      </c>
      <c r="E19" s="18" t="n">
        <v>43.8706554</v>
      </c>
      <c r="F19" s="20" t="n">
        <v>2.19103033</v>
      </c>
      <c r="G19" s="18" t="n">
        <v>55.02768501</v>
      </c>
      <c r="H19" s="20" t="n">
        <v>2.16561159</v>
      </c>
      <c r="I19" s="18" t="s">
        <v>567</v>
      </c>
      <c r="J19" s="20" t="s">
        <v>567</v>
      </c>
      <c r="K19" s="18" t="n">
        <v>0.11340656</v>
      </c>
      <c r="L19" s="20" t="n">
        <v>0.11330074</v>
      </c>
      <c r="M19" s="18" t="n">
        <v>0</v>
      </c>
      <c r="N19" s="20" t="n">
        <v>0</v>
      </c>
      <c r="O19" s="18" t="n">
        <v>0</v>
      </c>
      <c r="P19" s="20" t="n">
        <v>0</v>
      </c>
      <c r="Q19" s="18" t="n">
        <v>0.98825303</v>
      </c>
      <c r="R19" s="20" t="n">
        <v>0.40537206</v>
      </c>
    </row>
    <row r="20" spans="1:18">
      <c r="A20" s="15" t="s">
        <v>580</v>
      </c>
      <c r="B20" s="17" t="n">
        <v>1630</v>
      </c>
      <c r="C20" s="18">
        <f>(1267.0/B20*100)</f>
        <v/>
      </c>
      <c r="D20" s="19" t="n">
        <v>363</v>
      </c>
      <c r="E20" s="18" t="n">
        <v>38.75949029</v>
      </c>
      <c r="F20" s="20" t="n">
        <v>2.72173127</v>
      </c>
      <c r="G20" s="18" t="n">
        <v>59.89929258</v>
      </c>
      <c r="H20" s="20" t="n">
        <v>2.73874061</v>
      </c>
      <c r="I20" s="18" t="s">
        <v>567</v>
      </c>
      <c r="J20" s="20" t="s">
        <v>567</v>
      </c>
      <c r="K20" s="18" t="n">
        <v>0</v>
      </c>
      <c r="L20" s="20" t="n">
        <v>0</v>
      </c>
      <c r="M20" s="18" t="n">
        <v>0</v>
      </c>
      <c r="N20" s="20" t="n">
        <v>0</v>
      </c>
      <c r="O20" s="18" t="n">
        <v>0</v>
      </c>
      <c r="P20" s="20" t="n">
        <v>0</v>
      </c>
      <c r="Q20" s="18" t="n">
        <v>1.34121713</v>
      </c>
      <c r="R20" s="20" t="n">
        <v>0.5996800799999999</v>
      </c>
    </row>
    <row r="21" spans="1:18">
      <c r="A21" s="15" t="s">
        <v>581</v>
      </c>
      <c r="B21" s="17" t="n">
        <v>2908</v>
      </c>
      <c r="C21" s="18">
        <f>(2246.0/B21*100)</f>
        <v/>
      </c>
      <c r="D21" s="19" t="n">
        <v>662</v>
      </c>
      <c r="E21" s="18" t="n">
        <v>42.70971218</v>
      </c>
      <c r="F21" s="20" t="n">
        <v>1.77775858</v>
      </c>
      <c r="G21" s="18" t="n">
        <v>55.78301107</v>
      </c>
      <c r="H21" s="20" t="n">
        <v>1.80550252</v>
      </c>
      <c r="I21" s="18" t="s">
        <v>567</v>
      </c>
      <c r="J21" s="20" t="s">
        <v>567</v>
      </c>
      <c r="K21" s="18" t="n">
        <v>0</v>
      </c>
      <c r="L21" s="20" t="n">
        <v>0</v>
      </c>
      <c r="M21" s="18" t="n">
        <v>0</v>
      </c>
      <c r="N21" s="20" t="n">
        <v>0</v>
      </c>
      <c r="O21" s="18" t="n">
        <v>0</v>
      </c>
      <c r="P21" s="20" t="n">
        <v>0</v>
      </c>
      <c r="Q21" s="18" t="n">
        <v>1.50727675</v>
      </c>
      <c r="R21" s="20" t="n">
        <v>0.50403969</v>
      </c>
    </row>
    <row r="22" spans="1:18">
      <c r="A22" s="15" t="s">
        <v>582</v>
      </c>
      <c r="B22" s="17" t="n">
        <v>2931</v>
      </c>
      <c r="C22" s="18">
        <f>(2286.0/B22*100)</f>
        <v/>
      </c>
      <c r="D22" s="19" t="n">
        <v>645</v>
      </c>
      <c r="E22" s="18" t="n">
        <v>38.66274096</v>
      </c>
      <c r="F22" s="20" t="n">
        <v>2.54844132</v>
      </c>
      <c r="G22" s="18" t="n">
        <v>58.83310367</v>
      </c>
      <c r="H22" s="20" t="n">
        <v>2.62258468</v>
      </c>
      <c r="I22" s="18" t="s">
        <v>567</v>
      </c>
      <c r="J22" s="20" t="s">
        <v>567</v>
      </c>
      <c r="K22" s="18" t="n">
        <v>0.32198089</v>
      </c>
      <c r="L22" s="20" t="n">
        <v>0.27658148</v>
      </c>
      <c r="M22" s="18" t="n">
        <v>0</v>
      </c>
      <c r="N22" s="20" t="n">
        <v>0</v>
      </c>
      <c r="O22" s="18" t="n">
        <v>0</v>
      </c>
      <c r="P22" s="20" t="n">
        <v>0</v>
      </c>
      <c r="Q22" s="18" t="n">
        <v>2.18217448</v>
      </c>
      <c r="R22" s="20" t="n">
        <v>0.62721626</v>
      </c>
    </row>
    <row r="23" spans="1:18">
      <c r="A23" s="15" t="s">
        <v>583</v>
      </c>
      <c r="B23" s="17" t="n">
        <v>5791</v>
      </c>
      <c r="C23" s="18">
        <f>(4511.0/B23*100)</f>
        <v/>
      </c>
      <c r="D23" s="19" t="n">
        <v>1280</v>
      </c>
      <c r="E23" s="18" t="n">
        <v>35.94967482</v>
      </c>
      <c r="F23" s="20" t="n">
        <v>1.92845109</v>
      </c>
      <c r="G23" s="18" t="n">
        <v>63.53897799</v>
      </c>
      <c r="H23" s="20" t="n">
        <v>1.97048112</v>
      </c>
      <c r="I23" s="18" t="s">
        <v>567</v>
      </c>
      <c r="J23" s="20" t="s">
        <v>567</v>
      </c>
      <c r="K23" s="18" t="n">
        <v>0.10438645</v>
      </c>
      <c r="L23" s="20" t="n">
        <v>0.08783607</v>
      </c>
      <c r="M23" s="18" t="n">
        <v>0</v>
      </c>
      <c r="N23" s="20" t="n">
        <v>0</v>
      </c>
      <c r="O23" s="18" t="n">
        <v>0</v>
      </c>
      <c r="P23" s="20" t="n">
        <v>0</v>
      </c>
      <c r="Q23" s="18" t="n">
        <v>0.40696073</v>
      </c>
      <c r="R23" s="20" t="n">
        <v>0.32264421</v>
      </c>
    </row>
    <row r="24" spans="1:18">
      <c r="A24" s="15" t="s">
        <v>584</v>
      </c>
      <c r="B24" s="17" t="n">
        <v>3338</v>
      </c>
      <c r="C24" s="18">
        <f>(2605.0/B24*100)</f>
        <v/>
      </c>
      <c r="D24" s="19" t="n">
        <v>733</v>
      </c>
      <c r="E24" s="18" t="n">
        <v>29.46283961</v>
      </c>
      <c r="F24" s="20" t="n">
        <v>1.51983425</v>
      </c>
      <c r="G24" s="18" t="n">
        <v>69.3796883</v>
      </c>
      <c r="H24" s="20" t="n">
        <v>1.5882974</v>
      </c>
      <c r="I24" s="18" t="s">
        <v>567</v>
      </c>
      <c r="J24" s="20" t="s">
        <v>567</v>
      </c>
      <c r="K24" s="18" t="n">
        <v>0.22672467</v>
      </c>
      <c r="L24" s="20" t="n">
        <v>0.16091716</v>
      </c>
      <c r="M24" s="18" t="n">
        <v>0</v>
      </c>
      <c r="N24" s="20" t="n">
        <v>0</v>
      </c>
      <c r="O24" s="18" t="n">
        <v>0</v>
      </c>
      <c r="P24" s="20" t="n">
        <v>0</v>
      </c>
      <c r="Q24" s="18" t="n">
        <v>0.93074743</v>
      </c>
      <c r="R24" s="20" t="n">
        <v>0.35326696</v>
      </c>
    </row>
    <row r="25" spans="1:18">
      <c r="A25" s="15" t="s">
        <v>585</v>
      </c>
      <c r="B25" s="17" t="n">
        <v>2912</v>
      </c>
      <c r="C25" s="18">
        <f>(2252.0/B25*100)</f>
        <v/>
      </c>
      <c r="D25" s="19" t="n">
        <v>660</v>
      </c>
      <c r="E25" s="18" t="n">
        <v>40.80231962</v>
      </c>
      <c r="F25" s="20" t="n">
        <v>2.33537249</v>
      </c>
      <c r="G25" s="18" t="n">
        <v>58.75789259</v>
      </c>
      <c r="H25" s="20" t="n">
        <v>2.34600459</v>
      </c>
      <c r="I25" s="18" t="s">
        <v>567</v>
      </c>
      <c r="J25" s="20" t="s">
        <v>567</v>
      </c>
      <c r="K25" s="18" t="n">
        <v>0</v>
      </c>
      <c r="L25" s="20" t="n">
        <v>0</v>
      </c>
      <c r="M25" s="18" t="n">
        <v>0</v>
      </c>
      <c r="N25" s="20" t="n">
        <v>0</v>
      </c>
      <c r="O25" s="18" t="n">
        <v>0</v>
      </c>
      <c r="P25" s="20" t="n">
        <v>0</v>
      </c>
      <c r="Q25" s="18" t="n">
        <v>0.43978779</v>
      </c>
      <c r="R25" s="20" t="n">
        <v>0.2532949</v>
      </c>
    </row>
    <row r="26" spans="1:18">
      <c r="A26" s="15" t="s">
        <v>586</v>
      </c>
      <c r="B26" s="17" t="n">
        <v>2450</v>
      </c>
      <c r="C26" s="18">
        <f>(1931.0/B26*100)</f>
        <v/>
      </c>
      <c r="D26" s="19" t="n">
        <v>519</v>
      </c>
      <c r="E26" s="18" t="n">
        <v>40.81775105</v>
      </c>
      <c r="F26" s="20" t="n">
        <v>2.1738124</v>
      </c>
      <c r="G26" s="18" t="n">
        <v>59.02551703</v>
      </c>
      <c r="H26" s="20" t="n">
        <v>2.15819044</v>
      </c>
      <c r="I26" s="18" t="s">
        <v>567</v>
      </c>
      <c r="J26" s="20" t="s">
        <v>567</v>
      </c>
      <c r="K26" s="18" t="n">
        <v>0</v>
      </c>
      <c r="L26" s="20" t="n">
        <v>0</v>
      </c>
      <c r="M26" s="18" t="n">
        <v>0</v>
      </c>
      <c r="N26" s="20" t="n">
        <v>0</v>
      </c>
      <c r="O26" s="18" t="n">
        <v>0</v>
      </c>
      <c r="P26" s="20" t="n">
        <v>0</v>
      </c>
      <c r="Q26" s="18" t="n">
        <v>0.15673192</v>
      </c>
      <c r="R26" s="20" t="n">
        <v>0.13881184</v>
      </c>
    </row>
    <row r="27" spans="1:18">
      <c r="A27" s="15" t="s">
        <v>587</v>
      </c>
      <c r="B27" s="17" t="n">
        <v>2616</v>
      </c>
      <c r="C27" s="18">
        <f>(2039.0/B27*100)</f>
        <v/>
      </c>
      <c r="D27" s="19" t="n">
        <v>577</v>
      </c>
      <c r="E27" s="18" t="n">
        <v>47.9287229</v>
      </c>
      <c r="F27" s="20" t="n">
        <v>1.95195157</v>
      </c>
      <c r="G27" s="18" t="n">
        <v>50.35537221</v>
      </c>
      <c r="H27" s="20" t="n">
        <v>1.96294631</v>
      </c>
      <c r="I27" s="18" t="s">
        <v>567</v>
      </c>
      <c r="J27" s="20" t="s">
        <v>567</v>
      </c>
      <c r="K27" s="18" t="n">
        <v>0</v>
      </c>
      <c r="L27" s="20" t="n">
        <v>0</v>
      </c>
      <c r="M27" s="18" t="n">
        <v>0</v>
      </c>
      <c r="N27" s="20" t="n">
        <v>0</v>
      </c>
      <c r="O27" s="18" t="n">
        <v>0</v>
      </c>
      <c r="P27" s="20" t="n">
        <v>0</v>
      </c>
      <c r="Q27" s="18" t="n">
        <v>1.71590489</v>
      </c>
      <c r="R27" s="20" t="n">
        <v>0.54108152</v>
      </c>
    </row>
    <row r="28" spans="1:18">
      <c r="A28" s="15" t="s">
        <v>588</v>
      </c>
      <c r="B28" s="17" t="n">
        <v>3765</v>
      </c>
      <c r="C28" s="18">
        <f>(2978.0/B28*100)</f>
        <v/>
      </c>
      <c r="D28" s="19" t="n">
        <v>787</v>
      </c>
      <c r="E28" s="18" t="n">
        <v>58.84624049</v>
      </c>
      <c r="F28" s="20" t="n">
        <v>2.10295076</v>
      </c>
      <c r="G28" s="18" t="n">
        <v>39.61986949</v>
      </c>
      <c r="H28" s="20" t="n">
        <v>2.06701184</v>
      </c>
      <c r="I28" s="18" t="s">
        <v>567</v>
      </c>
      <c r="J28" s="20" t="s">
        <v>567</v>
      </c>
      <c r="K28" s="18" t="n">
        <v>0.17099781</v>
      </c>
      <c r="L28" s="20" t="n">
        <v>0.19520433</v>
      </c>
      <c r="M28" s="18" t="n">
        <v>0</v>
      </c>
      <c r="N28" s="20" t="n">
        <v>0</v>
      </c>
      <c r="O28" s="18" t="n">
        <v>0</v>
      </c>
      <c r="P28" s="20" t="n">
        <v>0</v>
      </c>
      <c r="Q28" s="18" t="n">
        <v>1.36289221</v>
      </c>
      <c r="R28" s="20" t="n">
        <v>0.46903471</v>
      </c>
    </row>
    <row r="29" spans="1:18">
      <c r="A29" s="15" t="s">
        <v>589</v>
      </c>
      <c r="B29" s="17" t="n">
        <v>2685</v>
      </c>
      <c r="C29" s="18">
        <f>(2094.0/B29*100)</f>
        <v/>
      </c>
      <c r="D29" s="19" t="n">
        <v>591</v>
      </c>
      <c r="E29" s="18" t="n">
        <v>33.41237663</v>
      </c>
      <c r="F29" s="20" t="n">
        <v>2.23310812</v>
      </c>
      <c r="G29" s="18" t="n">
        <v>66.01338432</v>
      </c>
      <c r="H29" s="20" t="n">
        <v>2.28734339</v>
      </c>
      <c r="I29" s="18" t="s">
        <v>567</v>
      </c>
      <c r="J29" s="20" t="s">
        <v>567</v>
      </c>
      <c r="K29" s="18" t="n">
        <v>0</v>
      </c>
      <c r="L29" s="20" t="n">
        <v>0</v>
      </c>
      <c r="M29" s="18" t="n">
        <v>0</v>
      </c>
      <c r="N29" s="20" t="n">
        <v>0</v>
      </c>
      <c r="O29" s="18" t="n">
        <v>0</v>
      </c>
      <c r="P29" s="20" t="n">
        <v>0</v>
      </c>
      <c r="Q29" s="18" t="n">
        <v>0.57423905</v>
      </c>
      <c r="R29" s="20" t="n">
        <v>0.34783894</v>
      </c>
    </row>
    <row r="30" spans="1:18">
      <c r="A30" s="15" t="s">
        <v>590</v>
      </c>
      <c r="B30" s="17" t="n">
        <v>2263</v>
      </c>
      <c r="C30" s="18">
        <f>(1772.0/B30*100)</f>
        <v/>
      </c>
      <c r="D30" s="19" t="n">
        <v>491</v>
      </c>
      <c r="E30" s="18" t="n">
        <v>39.20341993</v>
      </c>
      <c r="F30" s="20" t="n">
        <v>2.15797594</v>
      </c>
      <c r="G30" s="18" t="n">
        <v>59.27889527</v>
      </c>
      <c r="H30" s="20" t="n">
        <v>2.38554306</v>
      </c>
      <c r="I30" s="18" t="s">
        <v>567</v>
      </c>
      <c r="J30" s="20" t="s">
        <v>567</v>
      </c>
      <c r="K30" s="18" t="n">
        <v>0</v>
      </c>
      <c r="L30" s="20" t="n">
        <v>0</v>
      </c>
      <c r="M30" s="18" t="n">
        <v>0</v>
      </c>
      <c r="N30" s="20" t="n">
        <v>0</v>
      </c>
      <c r="O30" s="18" t="n">
        <v>0</v>
      </c>
      <c r="P30" s="20" t="n">
        <v>0</v>
      </c>
      <c r="Q30" s="18" t="n">
        <v>1.5176848</v>
      </c>
      <c r="R30" s="20" t="n">
        <v>0.8416207</v>
      </c>
    </row>
    <row r="31" spans="1:18">
      <c r="A31" s="15" t="s">
        <v>591</v>
      </c>
      <c r="B31" s="17" t="n">
        <v>2750</v>
      </c>
      <c r="C31" s="18">
        <f>(2126.0/B31*100)</f>
        <v/>
      </c>
      <c r="D31" s="19" t="n">
        <v>624</v>
      </c>
      <c r="E31" s="18" t="n">
        <v>46.72071122</v>
      </c>
      <c r="F31" s="20" t="n">
        <v>2.1244483</v>
      </c>
      <c r="G31" s="18" t="n">
        <v>52.36129559</v>
      </c>
      <c r="H31" s="20" t="n">
        <v>2.15753163</v>
      </c>
      <c r="I31" s="18" t="s">
        <v>567</v>
      </c>
      <c r="J31" s="20" t="s">
        <v>567</v>
      </c>
      <c r="K31" s="18" t="n">
        <v>0.14317699</v>
      </c>
      <c r="L31" s="20" t="n">
        <v>0.14355896</v>
      </c>
      <c r="M31" s="18" t="n">
        <v>0</v>
      </c>
      <c r="N31" s="20" t="n">
        <v>0</v>
      </c>
      <c r="O31" s="18" t="n">
        <v>0</v>
      </c>
      <c r="P31" s="20" t="n">
        <v>0</v>
      </c>
      <c r="Q31" s="18" t="n">
        <v>0.7748162</v>
      </c>
      <c r="R31" s="20" t="n">
        <v>0.35744845</v>
      </c>
    </row>
    <row r="32" spans="1:18">
      <c r="A32" s="15" t="s">
        <v>592</v>
      </c>
      <c r="B32" s="17" t="n">
        <v>2269</v>
      </c>
      <c r="C32" s="18">
        <f>(1772.0/B32*100)</f>
        <v/>
      </c>
      <c r="D32" s="19" t="n">
        <v>497</v>
      </c>
      <c r="E32" s="18" t="n">
        <v>43.74514951</v>
      </c>
      <c r="F32" s="20" t="n">
        <v>2.36350315</v>
      </c>
      <c r="G32" s="18" t="n">
        <v>55.3364985</v>
      </c>
      <c r="H32" s="20" t="n">
        <v>2.43363338</v>
      </c>
      <c r="I32" s="18" t="s">
        <v>567</v>
      </c>
      <c r="J32" s="20" t="s">
        <v>567</v>
      </c>
      <c r="K32" s="18" t="n">
        <v>0</v>
      </c>
      <c r="L32" s="20" t="n">
        <v>0</v>
      </c>
      <c r="M32" s="18" t="n">
        <v>0</v>
      </c>
      <c r="N32" s="20" t="n">
        <v>0</v>
      </c>
      <c r="O32" s="18" t="n">
        <v>0</v>
      </c>
      <c r="P32" s="20" t="n">
        <v>0</v>
      </c>
      <c r="Q32" s="18" t="n">
        <v>0.91835199</v>
      </c>
      <c r="R32" s="20" t="n">
        <v>0.43668205</v>
      </c>
    </row>
    <row r="33" spans="1:18">
      <c r="A33" s="15" t="s">
        <v>593</v>
      </c>
      <c r="B33" s="17" t="n">
        <v>3674</v>
      </c>
      <c r="C33" s="18">
        <f>(2841.0/B33*100)</f>
        <v/>
      </c>
      <c r="D33" s="19" t="n">
        <v>833</v>
      </c>
      <c r="E33" s="18" t="n">
        <v>40.18171695</v>
      </c>
      <c r="F33" s="20" t="n">
        <v>2.11468974</v>
      </c>
      <c r="G33" s="18" t="n">
        <v>58.96789702</v>
      </c>
      <c r="H33" s="20" t="n">
        <v>2.19538112</v>
      </c>
      <c r="I33" s="18" t="s">
        <v>567</v>
      </c>
      <c r="J33" s="20" t="s">
        <v>567</v>
      </c>
      <c r="K33" s="18" t="n">
        <v>0.46525337</v>
      </c>
      <c r="L33" s="20" t="n">
        <v>0.30788393</v>
      </c>
      <c r="M33" s="18" t="n">
        <v>0</v>
      </c>
      <c r="N33" s="20" t="n">
        <v>0</v>
      </c>
      <c r="O33" s="18" t="n">
        <v>0</v>
      </c>
      <c r="P33" s="20" t="n">
        <v>0</v>
      </c>
      <c r="Q33" s="18" t="n">
        <v>0.38513266</v>
      </c>
      <c r="R33" s="20" t="n">
        <v>0.22445665</v>
      </c>
    </row>
    <row r="34" spans="1:18">
      <c r="A34" s="15" t="s">
        <v>594</v>
      </c>
      <c r="B34" s="17" t="n">
        <v>3315</v>
      </c>
      <c r="C34" s="18">
        <f>(2610.0/B34*100)</f>
        <v/>
      </c>
      <c r="D34" s="19" t="n">
        <v>705</v>
      </c>
      <c r="E34" s="18" t="n">
        <v>52.31901546</v>
      </c>
      <c r="F34" s="20" t="n">
        <v>2.02109618</v>
      </c>
      <c r="G34" s="18" t="n">
        <v>47.30565135</v>
      </c>
      <c r="H34" s="20" t="n">
        <v>2.05558379</v>
      </c>
      <c r="I34" s="18" t="s">
        <v>567</v>
      </c>
      <c r="J34" s="20" t="s">
        <v>567</v>
      </c>
      <c r="K34" s="18" t="n">
        <v>0</v>
      </c>
      <c r="L34" s="20" t="n">
        <v>0</v>
      </c>
      <c r="M34" s="18" t="n">
        <v>0</v>
      </c>
      <c r="N34" s="20" t="n">
        <v>0</v>
      </c>
      <c r="O34" s="18" t="n">
        <v>0</v>
      </c>
      <c r="P34" s="20" t="n">
        <v>0</v>
      </c>
      <c r="Q34" s="18" t="n">
        <v>0.37533319</v>
      </c>
      <c r="R34" s="20" t="n">
        <v>0.27617024</v>
      </c>
    </row>
    <row r="35" spans="1:18">
      <c r="A35" s="15" t="s">
        <v>595</v>
      </c>
      <c r="B35" s="17" t="n">
        <v>3505</v>
      </c>
      <c r="C35" s="18">
        <f>(2783.0/B35*100)</f>
        <v/>
      </c>
      <c r="D35" s="19" t="n">
        <v>722</v>
      </c>
      <c r="E35" s="18" t="n">
        <v>38.4381972</v>
      </c>
      <c r="F35" s="20" t="n">
        <v>2.12221666</v>
      </c>
      <c r="G35" s="18" t="n">
        <v>60.61013965</v>
      </c>
      <c r="H35" s="20" t="n">
        <v>2.26990796</v>
      </c>
      <c r="I35" s="18" t="s">
        <v>567</v>
      </c>
      <c r="J35" s="20" t="s">
        <v>567</v>
      </c>
      <c r="K35" s="18" t="n">
        <v>0.82407408</v>
      </c>
      <c r="L35" s="20" t="n">
        <v>0.74621352</v>
      </c>
      <c r="M35" s="18" t="n">
        <v>0</v>
      </c>
      <c r="N35" s="20" t="n">
        <v>0</v>
      </c>
      <c r="O35" s="18" t="n">
        <v>0</v>
      </c>
      <c r="P35" s="20" t="n">
        <v>0</v>
      </c>
      <c r="Q35" s="18" t="n">
        <v>0.12758907</v>
      </c>
      <c r="R35" s="20" t="n">
        <v>0.08981051</v>
      </c>
    </row>
    <row r="36" spans="1:18">
      <c r="A36" s="15" t="s">
        <v>596</v>
      </c>
      <c r="B36" s="17" t="n">
        <v>3332</v>
      </c>
      <c r="C36" s="18">
        <f>(2602.0/B36*100)</f>
        <v/>
      </c>
      <c r="D36" s="19" t="n">
        <v>730</v>
      </c>
      <c r="E36" s="18" t="n">
        <v>42.14299691</v>
      </c>
      <c r="F36" s="20" t="n">
        <v>2.15241701</v>
      </c>
      <c r="G36" s="18" t="n">
        <v>57.23590898</v>
      </c>
      <c r="H36" s="20" t="n">
        <v>2.20317741</v>
      </c>
      <c r="I36" s="18" t="s">
        <v>567</v>
      </c>
      <c r="J36" s="20" t="s">
        <v>567</v>
      </c>
      <c r="K36" s="18" t="n">
        <v>0</v>
      </c>
      <c r="L36" s="20" t="n">
        <v>0</v>
      </c>
      <c r="M36" s="18" t="n">
        <v>0</v>
      </c>
      <c r="N36" s="20" t="n">
        <v>0</v>
      </c>
      <c r="O36" s="18" t="n">
        <v>0</v>
      </c>
      <c r="P36" s="20" t="n">
        <v>0</v>
      </c>
      <c r="Q36" s="18" t="n">
        <v>0.62109411</v>
      </c>
      <c r="R36" s="20" t="n">
        <v>0.280189</v>
      </c>
    </row>
    <row r="37" spans="1:18">
      <c r="A37" s="15" t="s">
        <v>597</v>
      </c>
      <c r="B37" s="17" t="n">
        <v>2727</v>
      </c>
      <c r="C37" s="18">
        <f>(2124.0/B37*100)</f>
        <v/>
      </c>
      <c r="D37" s="19" t="n">
        <v>603</v>
      </c>
      <c r="E37" s="18" t="n">
        <v>44.41123651</v>
      </c>
      <c r="F37" s="20" t="n">
        <v>2.01246727</v>
      </c>
      <c r="G37" s="18" t="n">
        <v>54.26359577</v>
      </c>
      <c r="H37" s="20" t="n">
        <v>1.99049262</v>
      </c>
      <c r="I37" s="18" t="s">
        <v>567</v>
      </c>
      <c r="J37" s="20" t="s">
        <v>567</v>
      </c>
      <c r="K37" s="18" t="n">
        <v>0.3141726</v>
      </c>
      <c r="L37" s="20" t="n">
        <v>0.22397253</v>
      </c>
      <c r="M37" s="18" t="n">
        <v>0</v>
      </c>
      <c r="N37" s="20" t="n">
        <v>0</v>
      </c>
      <c r="O37" s="18" t="n">
        <v>0</v>
      </c>
      <c r="P37" s="20" t="n">
        <v>0</v>
      </c>
      <c r="Q37" s="18" t="n">
        <v>1.01099512</v>
      </c>
      <c r="R37" s="20" t="n">
        <v>0.41955646</v>
      </c>
    </row>
    <row r="38" spans="1:18">
      <c r="A38" s="15" t="s">
        <v>598</v>
      </c>
      <c r="B38" s="17" t="n">
        <v>3053</v>
      </c>
      <c r="C38" s="18">
        <f>(2395.0/B38*100)</f>
        <v/>
      </c>
      <c r="D38" s="19" t="n">
        <v>658</v>
      </c>
      <c r="E38" s="18" t="n">
        <v>47.32612076</v>
      </c>
      <c r="F38" s="20" t="n">
        <v>2.69617134</v>
      </c>
      <c r="G38" s="18" t="n">
        <v>51.66526313</v>
      </c>
      <c r="H38" s="20" t="n">
        <v>2.65912352</v>
      </c>
      <c r="I38" s="18" t="s">
        <v>567</v>
      </c>
      <c r="J38" s="20" t="s">
        <v>567</v>
      </c>
      <c r="K38" s="18" t="n">
        <v>0</v>
      </c>
      <c r="L38" s="20" t="n">
        <v>0</v>
      </c>
      <c r="M38" s="18" t="n">
        <v>0</v>
      </c>
      <c r="N38" s="20" t="n">
        <v>0</v>
      </c>
      <c r="O38" s="18" t="n">
        <v>0</v>
      </c>
      <c r="P38" s="20" t="n">
        <v>0</v>
      </c>
      <c r="Q38" s="18" t="n">
        <v>1.0086161</v>
      </c>
      <c r="R38" s="20" t="n">
        <v>0.35074501</v>
      </c>
    </row>
    <row r="39" spans="1:18">
      <c r="A39" s="15" t="s">
        <v>599</v>
      </c>
      <c r="B39" s="17" t="n">
        <v>2957</v>
      </c>
      <c r="C39" s="18">
        <f>(2304.0/B39*100)</f>
        <v/>
      </c>
      <c r="D39" s="19" t="n">
        <v>653</v>
      </c>
      <c r="E39" s="18" t="n">
        <v>55.58084026</v>
      </c>
      <c r="F39" s="20" t="n">
        <v>2.18850487</v>
      </c>
      <c r="G39" s="18" t="n">
        <v>42.47628662</v>
      </c>
      <c r="H39" s="20" t="n">
        <v>2.1543456</v>
      </c>
      <c r="I39" s="18" t="s">
        <v>567</v>
      </c>
      <c r="J39" s="20" t="s">
        <v>567</v>
      </c>
      <c r="K39" s="18" t="n">
        <v>0.19751752</v>
      </c>
      <c r="L39" s="20" t="n">
        <v>0.14032492</v>
      </c>
      <c r="M39" s="18" t="n">
        <v>0</v>
      </c>
      <c r="N39" s="20" t="n">
        <v>0</v>
      </c>
      <c r="O39" s="18" t="n">
        <v>0</v>
      </c>
      <c r="P39" s="20" t="n">
        <v>0</v>
      </c>
      <c r="Q39" s="18" t="n">
        <v>1.74535559</v>
      </c>
      <c r="R39" s="20" t="n">
        <v>0.4864106</v>
      </c>
    </row>
    <row r="40" spans="1:18">
      <c r="A40" s="15" t="s">
        <v>600</v>
      </c>
      <c r="B40" s="17" t="n">
        <v>7235</v>
      </c>
      <c r="C40" s="18">
        <f>(5610.0/B40*100)</f>
        <v/>
      </c>
      <c r="D40" s="19" t="n">
        <v>1625</v>
      </c>
      <c r="E40" s="18" t="n">
        <v>40.86258057</v>
      </c>
      <c r="F40" s="20" t="n">
        <v>1.87956423</v>
      </c>
      <c r="G40" s="18" t="n">
        <v>58.33755713</v>
      </c>
      <c r="H40" s="20" t="n">
        <v>1.82140698</v>
      </c>
      <c r="I40" s="18" t="s">
        <v>567</v>
      </c>
      <c r="J40" s="20" t="s">
        <v>567</v>
      </c>
      <c r="K40" s="18" t="n">
        <v>0.01053867</v>
      </c>
      <c r="L40" s="20" t="n">
        <v>0.01070487</v>
      </c>
      <c r="M40" s="18" t="n">
        <v>0</v>
      </c>
      <c r="N40" s="20" t="n">
        <v>0</v>
      </c>
      <c r="O40" s="18" t="n">
        <v>0</v>
      </c>
      <c r="P40" s="20" t="n">
        <v>0</v>
      </c>
      <c r="Q40" s="18" t="n">
        <v>0.7893236300000001</v>
      </c>
      <c r="R40" s="20" t="n">
        <v>0.3325417</v>
      </c>
    </row>
    <row r="41" spans="1:18">
      <c r="A41" s="15" t="s">
        <v>601</v>
      </c>
      <c r="B41" s="17" t="n">
        <v>2858</v>
      </c>
      <c r="C41" s="18">
        <f>(2208.0/B41*100)</f>
        <v/>
      </c>
      <c r="D41" s="19" t="n">
        <v>650</v>
      </c>
      <c r="E41" s="18" t="n">
        <v>38.65236688</v>
      </c>
      <c r="F41" s="20" t="n">
        <v>1.86176046</v>
      </c>
      <c r="G41" s="18" t="n">
        <v>60.71484512</v>
      </c>
      <c r="H41" s="20" t="n">
        <v>1.87435671</v>
      </c>
      <c r="I41" s="18" t="s">
        <v>567</v>
      </c>
      <c r="J41" s="20" t="s">
        <v>567</v>
      </c>
      <c r="K41" s="18" t="n">
        <v>0</v>
      </c>
      <c r="L41" s="20" t="n">
        <v>0</v>
      </c>
      <c r="M41" s="18" t="n">
        <v>0</v>
      </c>
      <c r="N41" s="20" t="n">
        <v>0</v>
      </c>
      <c r="O41" s="18" t="n">
        <v>0</v>
      </c>
      <c r="P41" s="20" t="n">
        <v>0</v>
      </c>
      <c r="Q41" s="18" t="n">
        <v>0.632788</v>
      </c>
      <c r="R41" s="20" t="n">
        <v>0.28068319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(8771.0/B46*100)</f>
        <v/>
      </c>
      <c r="D46" s="19" t="n">
        <v>2297</v>
      </c>
      <c r="E46" s="18" t="n">
        <v>60.13992052</v>
      </c>
      <c r="F46" s="20" t="n">
        <v>1.51713643</v>
      </c>
      <c r="G46" s="18" t="n">
        <v>36.87023573</v>
      </c>
      <c r="H46" s="20" t="n">
        <v>1.5400826</v>
      </c>
      <c r="I46" s="18" t="s">
        <v>567</v>
      </c>
      <c r="J46" s="20" t="s">
        <v>567</v>
      </c>
      <c r="K46" s="18" t="n">
        <v>0.39847726</v>
      </c>
      <c r="L46" s="20" t="n">
        <v>0.18335097</v>
      </c>
      <c r="M46" s="18" t="n">
        <v>0</v>
      </c>
      <c r="N46" s="20" t="n">
        <v>0</v>
      </c>
      <c r="O46" s="18" t="n">
        <v>0</v>
      </c>
      <c r="P46" s="20" t="n">
        <v>0</v>
      </c>
      <c r="Q46" s="18" t="n">
        <v>2.59136649</v>
      </c>
      <c r="R46" s="20" t="n">
        <v>0.4738688</v>
      </c>
    </row>
    <row r="47" spans="1:18">
      <c r="A47" s="15" t="s">
        <v>607</v>
      </c>
      <c r="B47" s="17" t="n">
        <v>3105</v>
      </c>
      <c r="C47" s="18">
        <f>(2425.0/B47*100)</f>
        <v/>
      </c>
      <c r="D47" s="19" t="n">
        <v>680</v>
      </c>
      <c r="E47" s="18" t="n">
        <v>45.17829849</v>
      </c>
      <c r="F47" s="20" t="n">
        <v>1.95954498</v>
      </c>
      <c r="G47" s="18" t="n">
        <v>53.31167095</v>
      </c>
      <c r="H47" s="20" t="n">
        <v>2.02131962</v>
      </c>
      <c r="I47" s="18" t="s">
        <v>567</v>
      </c>
      <c r="J47" s="20" t="s">
        <v>567</v>
      </c>
      <c r="K47" s="18" t="n">
        <v>0</v>
      </c>
      <c r="L47" s="20" t="n">
        <v>0</v>
      </c>
      <c r="M47" s="18" t="n">
        <v>0</v>
      </c>
      <c r="N47" s="20" t="n">
        <v>0</v>
      </c>
      <c r="O47" s="18" t="n">
        <v>0</v>
      </c>
      <c r="P47" s="20" t="n">
        <v>0</v>
      </c>
      <c r="Q47" s="18" t="n">
        <v>1.51003057</v>
      </c>
      <c r="R47" s="20" t="n">
        <v>0.49219477</v>
      </c>
    </row>
    <row r="48" spans="1:18">
      <c r="A48" s="15" t="s">
        <v>608</v>
      </c>
      <c r="B48" s="17" t="n">
        <v>5159</v>
      </c>
      <c r="C48" s="18">
        <f>(4021.0/B48*100)</f>
        <v/>
      </c>
      <c r="D48" s="19" t="n">
        <v>1138</v>
      </c>
      <c r="E48" s="18" t="n">
        <v>38.74065814</v>
      </c>
      <c r="F48" s="20" t="n">
        <v>2.1406957</v>
      </c>
      <c r="G48" s="18" t="n">
        <v>60.90587133</v>
      </c>
      <c r="H48" s="20" t="n">
        <v>2.15520686</v>
      </c>
      <c r="I48" s="18" t="s">
        <v>567</v>
      </c>
      <c r="J48" s="20" t="s">
        <v>567</v>
      </c>
      <c r="K48" s="18" t="n">
        <v>0.19582541</v>
      </c>
      <c r="L48" s="20" t="n">
        <v>0.16101875</v>
      </c>
      <c r="M48" s="18" t="n">
        <v>0</v>
      </c>
      <c r="N48" s="20" t="n">
        <v>0</v>
      </c>
      <c r="O48" s="18" t="n">
        <v>0</v>
      </c>
      <c r="P48" s="20" t="n">
        <v>0</v>
      </c>
      <c r="Q48" s="18" t="n">
        <v>0.15764512</v>
      </c>
      <c r="R48" s="20" t="n">
        <v>0.1524472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(4360.0/B50*100)</f>
        <v/>
      </c>
      <c r="D50" s="19" t="n">
        <v>1277</v>
      </c>
      <c r="E50" s="18" t="n">
        <v>54.63893441</v>
      </c>
      <c r="F50" s="20" t="n">
        <v>1.79540272</v>
      </c>
      <c r="G50" s="18" t="n">
        <v>44.54671655</v>
      </c>
      <c r="H50" s="20" t="n">
        <v>1.86693654</v>
      </c>
      <c r="I50" s="18" t="s">
        <v>567</v>
      </c>
      <c r="J50" s="20" t="s">
        <v>567</v>
      </c>
      <c r="K50" s="18" t="n">
        <v>0.46469231</v>
      </c>
      <c r="L50" s="20" t="n">
        <v>0.17835645</v>
      </c>
      <c r="M50" s="18" t="n">
        <v>0</v>
      </c>
      <c r="N50" s="20" t="n">
        <v>0</v>
      </c>
      <c r="O50" s="18" t="n">
        <v>0</v>
      </c>
      <c r="P50" s="20" t="n">
        <v>0</v>
      </c>
      <c r="Q50" s="18" t="n">
        <v>0.34965673</v>
      </c>
      <c r="R50" s="20" t="n">
        <v>0.2438002</v>
      </c>
    </row>
    <row r="51" spans="1:18">
      <c r="A51" s="15" t="s">
        <v>611</v>
      </c>
      <c r="B51" s="17" t="n">
        <v>3372</v>
      </c>
      <c r="C51" s="18">
        <f>(2703.0/B51*100)</f>
        <v/>
      </c>
      <c r="D51" s="19" t="n">
        <v>669</v>
      </c>
      <c r="E51" s="18" t="n">
        <v>56.72672084</v>
      </c>
      <c r="F51" s="20" t="n">
        <v>2.21645832</v>
      </c>
      <c r="G51" s="18" t="n">
        <v>42.23968256</v>
      </c>
      <c r="H51" s="20" t="n">
        <v>2.26768591</v>
      </c>
      <c r="I51" s="18" t="s">
        <v>567</v>
      </c>
      <c r="J51" s="20" t="s">
        <v>567</v>
      </c>
      <c r="K51" s="18" t="n">
        <v>0.21609545</v>
      </c>
      <c r="L51" s="20" t="n">
        <v>0.19414212</v>
      </c>
      <c r="M51" s="18" t="n">
        <v>0</v>
      </c>
      <c r="N51" s="20" t="n">
        <v>0</v>
      </c>
      <c r="O51" s="18" t="n">
        <v>0</v>
      </c>
      <c r="P51" s="20" t="n">
        <v>0</v>
      </c>
      <c r="Q51" s="18" t="n">
        <v>0.81750115</v>
      </c>
      <c r="R51" s="20" t="n">
        <v>0.35431564</v>
      </c>
    </row>
    <row r="52" spans="1:18">
      <c r="A52" s="15" t="s">
        <v>612</v>
      </c>
      <c r="B52" s="17" t="n">
        <v>2796</v>
      </c>
      <c r="C52" s="18">
        <f>(2156.0/B52*100)</f>
        <v/>
      </c>
      <c r="D52" s="19" t="n">
        <v>640</v>
      </c>
      <c r="E52" s="18" t="n">
        <v>44.44113846</v>
      </c>
      <c r="F52" s="20" t="n">
        <v>2.03069699</v>
      </c>
      <c r="G52" s="18" t="n">
        <v>54.15771679</v>
      </c>
      <c r="H52" s="20" t="n">
        <v>2.01274378</v>
      </c>
      <c r="I52" s="18" t="s">
        <v>567</v>
      </c>
      <c r="J52" s="20" t="s">
        <v>567</v>
      </c>
      <c r="K52" s="18" t="n">
        <v>0</v>
      </c>
      <c r="L52" s="20" t="n">
        <v>0</v>
      </c>
      <c r="M52" s="18" t="n">
        <v>0</v>
      </c>
      <c r="N52" s="20" t="n">
        <v>0</v>
      </c>
      <c r="O52" s="18" t="n">
        <v>0</v>
      </c>
      <c r="P52" s="20" t="n">
        <v>0</v>
      </c>
      <c r="Q52" s="18" t="n">
        <v>1.40114474</v>
      </c>
      <c r="R52" s="20" t="n">
        <v>0.43893604</v>
      </c>
    </row>
    <row r="53" spans="1:18">
      <c r="A53" s="15" t="s">
        <v>613</v>
      </c>
      <c r="B53" s="17" t="n">
        <v>2811</v>
      </c>
      <c r="C53" s="18">
        <f>(2165.0/B53*100)</f>
        <v/>
      </c>
      <c r="D53" s="19" t="n">
        <v>646</v>
      </c>
      <c r="E53" s="18" t="n">
        <v>59.3087765</v>
      </c>
      <c r="F53" s="20" t="n">
        <v>1.93846857</v>
      </c>
      <c r="G53" s="18" t="n">
        <v>39.07764546</v>
      </c>
      <c r="H53" s="20" t="n">
        <v>1.84974629</v>
      </c>
      <c r="I53" s="18" t="s">
        <v>567</v>
      </c>
      <c r="J53" s="20" t="s">
        <v>567</v>
      </c>
      <c r="K53" s="18" t="n">
        <v>0.19879612</v>
      </c>
      <c r="L53" s="20" t="n">
        <v>0.20016566</v>
      </c>
      <c r="M53" s="18" t="n">
        <v>0</v>
      </c>
      <c r="N53" s="20" t="n">
        <v>0</v>
      </c>
      <c r="O53" s="18" t="n">
        <v>0</v>
      </c>
      <c r="P53" s="20" t="n">
        <v>0</v>
      </c>
      <c r="Q53" s="18" t="n">
        <v>1.41478192</v>
      </c>
      <c r="R53" s="20" t="n">
        <v>0.49600338</v>
      </c>
    </row>
    <row r="54" spans="1:18">
      <c r="A54" s="15" t="s">
        <v>614</v>
      </c>
      <c r="B54" s="17" t="n">
        <v>2266</v>
      </c>
      <c r="C54" s="18">
        <f>(1778.0/B54*100)</f>
        <v/>
      </c>
      <c r="D54" s="19" t="n">
        <v>488</v>
      </c>
      <c r="E54" s="18" t="n">
        <v>60.53463421</v>
      </c>
      <c r="F54" s="20" t="n">
        <v>2.55804647</v>
      </c>
      <c r="G54" s="18" t="n">
        <v>32.76263684</v>
      </c>
      <c r="H54" s="20" t="n">
        <v>2.65241748</v>
      </c>
      <c r="I54" s="18" t="s">
        <v>567</v>
      </c>
      <c r="J54" s="20" t="s">
        <v>567</v>
      </c>
      <c r="K54" s="18" t="n">
        <v>4.76808785</v>
      </c>
      <c r="L54" s="20" t="n">
        <v>1.17203922</v>
      </c>
      <c r="M54" s="18" t="n">
        <v>0</v>
      </c>
      <c r="N54" s="20" t="n">
        <v>0</v>
      </c>
      <c r="O54" s="18" t="n">
        <v>0</v>
      </c>
      <c r="P54" s="20" t="n">
        <v>0</v>
      </c>
      <c r="Q54" s="18" t="n">
        <v>1.9346411</v>
      </c>
      <c r="R54" s="20" t="n">
        <v>0.67841451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(2093.0/B56*100)</f>
        <v/>
      </c>
      <c r="D56" s="19" t="n">
        <v>591</v>
      </c>
      <c r="E56" s="18" t="n">
        <v>48.61610004</v>
      </c>
      <c r="F56" s="20" t="n">
        <v>2.40685969</v>
      </c>
      <c r="G56" s="18" t="n">
        <v>51.23709148</v>
      </c>
      <c r="H56" s="20" t="n">
        <v>2.40415129</v>
      </c>
      <c r="I56" s="18" t="s">
        <v>567</v>
      </c>
      <c r="J56" s="20" t="s">
        <v>567</v>
      </c>
      <c r="K56" s="18" t="n">
        <v>0.14680849</v>
      </c>
      <c r="L56" s="20" t="n">
        <v>0.14734671</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(2561.0/B61*100)</f>
        <v/>
      </c>
      <c r="D61" s="19" t="n">
        <v>763</v>
      </c>
      <c r="E61" s="18" t="n">
        <v>37.31965507</v>
      </c>
      <c r="F61" s="20" t="n">
        <v>2.13001139</v>
      </c>
      <c r="G61" s="18" t="n">
        <v>61.87362106</v>
      </c>
      <c r="H61" s="20" t="n">
        <v>2.21935019</v>
      </c>
      <c r="I61" s="18" t="s">
        <v>567</v>
      </c>
      <c r="J61" s="20" t="s">
        <v>567</v>
      </c>
      <c r="K61" s="18" t="n">
        <v>0.04920202</v>
      </c>
      <c r="L61" s="20" t="n">
        <v>0.04979918</v>
      </c>
      <c r="M61" s="18" t="n">
        <v>0</v>
      </c>
      <c r="N61" s="20" t="n">
        <v>0</v>
      </c>
      <c r="O61" s="18" t="n">
        <v>0</v>
      </c>
      <c r="P61" s="20" t="n">
        <v>0</v>
      </c>
      <c r="Q61" s="18" t="n">
        <v>0.7575218500000001</v>
      </c>
      <c r="R61" s="20" t="n">
        <v>0.50895293</v>
      </c>
    </row>
    <row r="62" spans="1:18">
      <c r="A62" s="15" t="s">
        <v>622</v>
      </c>
      <c r="B62" s="17" t="n">
        <v>2246</v>
      </c>
      <c r="C62" s="18">
        <f>(1773.0/B62*100)</f>
        <v/>
      </c>
      <c r="D62" s="19" t="n">
        <v>473</v>
      </c>
      <c r="E62" s="18" t="n">
        <v>45.04558139</v>
      </c>
      <c r="F62" s="20" t="n">
        <v>2.01218368</v>
      </c>
      <c r="G62" s="18" t="n">
        <v>54.53477676</v>
      </c>
      <c r="H62" s="20" t="n">
        <v>2.01652714</v>
      </c>
      <c r="I62" s="18" t="s">
        <v>567</v>
      </c>
      <c r="J62" s="20" t="s">
        <v>567</v>
      </c>
      <c r="K62" s="18" t="n">
        <v>0</v>
      </c>
      <c r="L62" s="20" t="n">
        <v>0</v>
      </c>
      <c r="M62" s="18" t="n">
        <v>0</v>
      </c>
      <c r="N62" s="20" t="n">
        <v>0</v>
      </c>
      <c r="O62" s="18" t="n">
        <v>0</v>
      </c>
      <c r="P62" s="20" t="n">
        <v>0</v>
      </c>
      <c r="Q62" s="18" t="n">
        <v>0.41964185</v>
      </c>
      <c r="R62" s="20" t="n">
        <v>0.29956647</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(2260.0/B66*100)</f>
        <v/>
      </c>
      <c r="D66" s="19" t="n">
        <v>634</v>
      </c>
      <c r="E66" s="18" t="n">
        <v>61.71326743</v>
      </c>
      <c r="F66" s="20" t="n">
        <v>2.29019174</v>
      </c>
      <c r="G66" s="18" t="n">
        <v>34.76079436</v>
      </c>
      <c r="H66" s="20" t="n">
        <v>2.2467898</v>
      </c>
      <c r="I66" s="18" t="s">
        <v>567</v>
      </c>
      <c r="J66" s="20" t="s">
        <v>567</v>
      </c>
      <c r="K66" s="18" t="n">
        <v>0.15479548</v>
      </c>
      <c r="L66" s="20" t="n">
        <v>0.15504898</v>
      </c>
      <c r="M66" s="18" t="n">
        <v>0</v>
      </c>
      <c r="N66" s="20" t="n">
        <v>0</v>
      </c>
      <c r="O66" s="18" t="n">
        <v>0</v>
      </c>
      <c r="P66" s="20" t="n">
        <v>0</v>
      </c>
      <c r="Q66" s="18" t="n">
        <v>3.37114273</v>
      </c>
      <c r="R66" s="20" t="n">
        <v>0.8798192500000001</v>
      </c>
    </row>
    <row r="67" spans="1:18">
      <c r="A67" s="15" t="s">
        <v>627</v>
      </c>
      <c r="B67" s="17" t="n">
        <v>3511</v>
      </c>
      <c r="C67" s="18">
        <f>(2743.0/B67*100)</f>
        <v/>
      </c>
      <c r="D67" s="19" t="n">
        <v>768</v>
      </c>
      <c r="E67" s="18" t="n">
        <v>62.08042246</v>
      </c>
      <c r="F67" s="20" t="n">
        <v>1.78407255</v>
      </c>
      <c r="G67" s="18" t="n">
        <v>37.02156045</v>
      </c>
      <c r="H67" s="20" t="n">
        <v>1.7444428</v>
      </c>
      <c r="I67" s="18" t="s">
        <v>567</v>
      </c>
      <c r="J67" s="20" t="s">
        <v>567</v>
      </c>
      <c r="K67" s="18" t="n">
        <v>0</v>
      </c>
      <c r="L67" s="20" t="n">
        <v>0</v>
      </c>
      <c r="M67" s="18" t="n">
        <v>0</v>
      </c>
      <c r="N67" s="20" t="n">
        <v>0</v>
      </c>
      <c r="O67" s="18" t="n">
        <v>0</v>
      </c>
      <c r="P67" s="20" t="n">
        <v>0</v>
      </c>
      <c r="Q67" s="18" t="n">
        <v>0.89801709</v>
      </c>
      <c r="R67" s="20" t="n">
        <v>0.37508841</v>
      </c>
    </row>
    <row r="68" spans="1:18">
      <c r="A68" s="15" t="s">
        <v>628</v>
      </c>
      <c r="B68" s="17" t="n">
        <v>6049</v>
      </c>
      <c r="C68" s="18">
        <f>(4730.0/B68*100)</f>
        <v/>
      </c>
      <c r="D68" s="19" t="n">
        <v>1319</v>
      </c>
      <c r="E68" s="18" t="n">
        <v>60.83383567</v>
      </c>
      <c r="F68" s="20" t="n">
        <v>1.3339886</v>
      </c>
      <c r="G68" s="18" t="n">
        <v>36.09118968</v>
      </c>
      <c r="H68" s="20" t="n">
        <v>1.36310021</v>
      </c>
      <c r="I68" s="18" t="s">
        <v>567</v>
      </c>
      <c r="J68" s="20" t="s">
        <v>567</v>
      </c>
      <c r="K68" s="18" t="n">
        <v>0.88608865</v>
      </c>
      <c r="L68" s="20" t="n">
        <v>0.2568678</v>
      </c>
      <c r="M68" s="18" t="n">
        <v>0</v>
      </c>
      <c r="N68" s="20" t="n">
        <v>0</v>
      </c>
      <c r="O68" s="18" t="n">
        <v>0</v>
      </c>
      <c r="P68" s="20" t="n">
        <v>0</v>
      </c>
      <c r="Q68" s="18" t="n">
        <v>2.188886</v>
      </c>
      <c r="R68" s="20" t="n">
        <v>0.39789881</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(2267.0/B70*100)</f>
        <v/>
      </c>
      <c r="D70" s="19" t="n">
        <v>662</v>
      </c>
      <c r="E70" s="18" t="n">
        <v>31.59639234</v>
      </c>
      <c r="F70" s="20" t="n">
        <v>2.48519397</v>
      </c>
      <c r="G70" s="18" t="n">
        <v>67.91432003</v>
      </c>
      <c r="H70" s="20" t="n">
        <v>2.49713801</v>
      </c>
      <c r="I70" s="18" t="s">
        <v>567</v>
      </c>
      <c r="J70" s="20" t="s">
        <v>567</v>
      </c>
      <c r="K70" s="18" t="n">
        <v>0.16667323</v>
      </c>
      <c r="L70" s="20" t="n">
        <v>0.1067673</v>
      </c>
      <c r="M70" s="18" t="n">
        <v>0</v>
      </c>
      <c r="N70" s="20" t="n">
        <v>0</v>
      </c>
      <c r="O70" s="18" t="n">
        <v>0</v>
      </c>
      <c r="P70" s="20" t="n">
        <v>0</v>
      </c>
      <c r="Q70" s="18" t="n">
        <v>0.3226144</v>
      </c>
      <c r="R70" s="20" t="n">
        <v>0.22731571</v>
      </c>
    </row>
    <row r="71" spans="1:18">
      <c r="A71" s="15" t="s">
        <v>631</v>
      </c>
      <c r="B71" s="17" t="n">
        <v>3142</v>
      </c>
      <c r="C71" s="18">
        <f>(2435.0/B71*100)</f>
        <v/>
      </c>
      <c r="D71" s="19" t="n">
        <v>707</v>
      </c>
      <c r="E71" s="18" t="n">
        <v>30.484174</v>
      </c>
      <c r="F71" s="20" t="n">
        <v>1.79856448</v>
      </c>
      <c r="G71" s="18" t="n">
        <v>68.83593352</v>
      </c>
      <c r="H71" s="20" t="n">
        <v>1.83967611</v>
      </c>
      <c r="I71" s="18" t="s">
        <v>567</v>
      </c>
      <c r="J71" s="20" t="s">
        <v>567</v>
      </c>
      <c r="K71" s="18" t="n">
        <v>0.15123528</v>
      </c>
      <c r="L71" s="20" t="n">
        <v>0.14422725</v>
      </c>
      <c r="M71" s="18" t="n">
        <v>0</v>
      </c>
      <c r="N71" s="20" t="n">
        <v>0</v>
      </c>
      <c r="O71" s="18" t="n">
        <v>0</v>
      </c>
      <c r="P71" s="20" t="n">
        <v>0</v>
      </c>
      <c r="Q71" s="18" t="n">
        <v>0.5286572</v>
      </c>
      <c r="R71" s="20" t="n">
        <v>0.25277495</v>
      </c>
    </row>
    <row r="72" spans="1:18">
      <c r="A72" s="15" t="s">
        <v>632</v>
      </c>
      <c r="B72" s="17" t="n">
        <v>3889</v>
      </c>
      <c r="C72" s="18">
        <f>(3019.0/B72*100)</f>
        <v/>
      </c>
      <c r="D72" s="19" t="n">
        <v>870</v>
      </c>
      <c r="E72" s="18" t="n">
        <v>47.54122694</v>
      </c>
      <c r="F72" s="20" t="n">
        <v>2.06763335</v>
      </c>
      <c r="G72" s="18" t="n">
        <v>51.46594219</v>
      </c>
      <c r="H72" s="20" t="n">
        <v>2.11453119</v>
      </c>
      <c r="I72" s="18" t="s">
        <v>567</v>
      </c>
      <c r="J72" s="20" t="s">
        <v>567</v>
      </c>
      <c r="K72" s="18" t="n">
        <v>0.14865981</v>
      </c>
      <c r="L72" s="20" t="n">
        <v>0.14840937</v>
      </c>
      <c r="M72" s="18" t="n">
        <v>0</v>
      </c>
      <c r="N72" s="20" t="n">
        <v>0</v>
      </c>
      <c r="O72" s="18" t="n">
        <v>0</v>
      </c>
      <c r="P72" s="20" t="n">
        <v>0</v>
      </c>
      <c r="Q72" s="18" t="n">
        <v>0.84417106</v>
      </c>
      <c r="R72" s="20" t="n">
        <v>0.33037817</v>
      </c>
    </row>
    <row r="73" spans="1:18">
      <c r="A73" s="15" t="s">
        <v>633</v>
      </c>
      <c r="B73" s="17" t="n">
        <v>3597</v>
      </c>
      <c r="C73" s="18">
        <f>(2820.0/B73*100)</f>
        <v/>
      </c>
      <c r="D73" s="19" t="n">
        <v>777</v>
      </c>
      <c r="E73" s="18" t="n">
        <v>62.18411517</v>
      </c>
      <c r="F73" s="20" t="n">
        <v>2.18617022</v>
      </c>
      <c r="G73" s="18" t="n">
        <v>37.24661124</v>
      </c>
      <c r="H73" s="20" t="n">
        <v>2.22732458</v>
      </c>
      <c r="I73" s="18" t="s">
        <v>567</v>
      </c>
      <c r="J73" s="20" t="s">
        <v>567</v>
      </c>
      <c r="K73" s="18" t="n">
        <v>0</v>
      </c>
      <c r="L73" s="20" t="n">
        <v>0</v>
      </c>
      <c r="M73" s="18" t="n">
        <v>0</v>
      </c>
      <c r="N73" s="20" t="n">
        <v>0</v>
      </c>
      <c r="O73" s="18" t="n">
        <v>0</v>
      </c>
      <c r="P73" s="20" t="n">
        <v>0</v>
      </c>
      <c r="Q73" s="18" t="n">
        <v>0.56927359</v>
      </c>
      <c r="R73" s="20" t="n">
        <v>0.31693524</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(1898.0/B75*100)</f>
        <v/>
      </c>
      <c r="D75" s="19" t="n">
        <v>508</v>
      </c>
      <c r="E75" s="18" t="n">
        <v>61.55114051</v>
      </c>
      <c r="F75" s="20" t="n">
        <v>2.04616888</v>
      </c>
      <c r="G75" s="18" t="n">
        <v>36.31898964</v>
      </c>
      <c r="H75" s="20" t="n">
        <v>2.21001273</v>
      </c>
      <c r="I75" s="18" t="s">
        <v>567</v>
      </c>
      <c r="J75" s="20" t="s">
        <v>567</v>
      </c>
      <c r="K75" s="18" t="n">
        <v>0.61988518</v>
      </c>
      <c r="L75" s="20" t="n">
        <v>0.29759978</v>
      </c>
      <c r="M75" s="18" t="n">
        <v>0</v>
      </c>
      <c r="N75" s="20" t="n">
        <v>0</v>
      </c>
      <c r="O75" s="18" t="n">
        <v>0</v>
      </c>
      <c r="P75" s="20" t="n">
        <v>0</v>
      </c>
      <c r="Q75" s="18" t="n">
        <v>1.50998466</v>
      </c>
      <c r="R75" s="20" t="n">
        <v>0.54278195</v>
      </c>
    </row>
    <row r="76" spans="1:18">
      <c r="A76" s="15" t="s">
        <v>636</v>
      </c>
      <c r="B76" s="17" t="n">
        <v>7052</v>
      </c>
      <c r="C76" s="18">
        <f>(5495.0/B76*100)</f>
        <v/>
      </c>
      <c r="D76" s="19" t="n">
        <v>1557</v>
      </c>
      <c r="E76" s="18" t="n">
        <v>54.3831451</v>
      </c>
      <c r="F76" s="20" t="n">
        <v>1.73919218</v>
      </c>
      <c r="G76" s="18" t="n">
        <v>43.50142995</v>
      </c>
      <c r="H76" s="20" t="n">
        <v>1.66192585</v>
      </c>
      <c r="I76" s="18" t="s">
        <v>567</v>
      </c>
      <c r="J76" s="20" t="s">
        <v>567</v>
      </c>
      <c r="K76" s="18" t="n">
        <v>0.19140769</v>
      </c>
      <c r="L76" s="20" t="n">
        <v>0.10823378</v>
      </c>
      <c r="M76" s="18" t="n">
        <v>0</v>
      </c>
      <c r="N76" s="20" t="n">
        <v>0</v>
      </c>
      <c r="O76" s="18" t="n">
        <v>0</v>
      </c>
      <c r="P76" s="20" t="n">
        <v>0</v>
      </c>
      <c r="Q76" s="18" t="n">
        <v>1.92401726</v>
      </c>
      <c r="R76" s="20" t="n">
        <v>0.68873573</v>
      </c>
    </row>
    <row r="77" spans="1:18">
      <c r="A77" s="15" t="s">
        <v>637</v>
      </c>
      <c r="B77" s="17" t="n">
        <v>2908</v>
      </c>
      <c r="C77" s="18">
        <f>(2236.0/B77*100)</f>
        <v/>
      </c>
      <c r="D77" s="19" t="n">
        <v>672</v>
      </c>
      <c r="E77" s="18" t="n">
        <v>53.25091272</v>
      </c>
      <c r="F77" s="20" t="n">
        <v>2.26302273</v>
      </c>
      <c r="G77" s="18" t="n">
        <v>45.37767669</v>
      </c>
      <c r="H77" s="20" t="n">
        <v>2.20703847</v>
      </c>
      <c r="I77" s="18" t="s">
        <v>567</v>
      </c>
      <c r="J77" s="20" t="s">
        <v>567</v>
      </c>
      <c r="K77" s="18" t="n">
        <v>0.15291353</v>
      </c>
      <c r="L77" s="20" t="n">
        <v>0.168944</v>
      </c>
      <c r="M77" s="18" t="n">
        <v>0</v>
      </c>
      <c r="N77" s="20" t="n">
        <v>0</v>
      </c>
      <c r="O77" s="18" t="n">
        <v>0</v>
      </c>
      <c r="P77" s="20" t="n">
        <v>0</v>
      </c>
      <c r="Q77" s="18" t="n">
        <v>1.21849706</v>
      </c>
      <c r="R77" s="20" t="n">
        <v>0.41316186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(3220.0/B81*100)</f>
        <v/>
      </c>
      <c r="D81" s="19" t="n">
        <v>943</v>
      </c>
      <c r="E81" s="18" t="n">
        <v>70.88796932</v>
      </c>
      <c r="F81" s="20" t="n">
        <v>2.17052356</v>
      </c>
      <c r="G81" s="18" t="n">
        <v>28.03338231</v>
      </c>
      <c r="H81" s="20" t="n">
        <v>2.14562808</v>
      </c>
      <c r="I81" s="18" t="s">
        <v>567</v>
      </c>
      <c r="J81" s="20" t="s">
        <v>567</v>
      </c>
      <c r="K81" s="18" t="n">
        <v>0</v>
      </c>
      <c r="L81" s="20" t="n">
        <v>0</v>
      </c>
      <c r="M81" s="18" t="n">
        <v>0</v>
      </c>
      <c r="N81" s="20" t="n">
        <v>0</v>
      </c>
      <c r="O81" s="18" t="n">
        <v>0</v>
      </c>
      <c r="P81" s="20" t="n">
        <v>0</v>
      </c>
      <c r="Q81" s="18" t="n">
        <v>1.07864836</v>
      </c>
      <c r="R81" s="20" t="n">
        <v>0.57866186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(5736.0/B7*100)</f>
        <v/>
      </c>
      <c r="D7" s="19" t="n">
        <v>1631</v>
      </c>
      <c r="E7" s="18" t="n">
        <v>45.05399481</v>
      </c>
      <c r="F7" s="20" t="n">
        <v>1.45637328</v>
      </c>
      <c r="G7" s="18" t="n">
        <v>43.36771473</v>
      </c>
      <c r="H7" s="20" t="n">
        <v>1.51700458</v>
      </c>
      <c r="I7" s="18" t="s">
        <v>567</v>
      </c>
      <c r="J7" s="20" t="s">
        <v>567</v>
      </c>
      <c r="K7" s="18" t="n">
        <v>0.09151075</v>
      </c>
      <c r="L7" s="20" t="n">
        <v>0.06826275</v>
      </c>
      <c r="M7" s="18" t="n">
        <v>0.00829674</v>
      </c>
      <c r="N7" s="20" t="n">
        <v>0.00841152</v>
      </c>
      <c r="O7" s="18" t="n">
        <v>0</v>
      </c>
      <c r="P7" s="20" t="n">
        <v>0</v>
      </c>
      <c r="Q7" s="18" t="n">
        <v>11.47848298</v>
      </c>
      <c r="R7" s="20" t="n">
        <v>0.87538064</v>
      </c>
    </row>
    <row r="8" spans="1:18">
      <c r="A8" s="15" t="s">
        <v>568</v>
      </c>
      <c r="B8" s="17" t="n">
        <v>3564</v>
      </c>
      <c r="C8" s="18">
        <f>(2790.0/B8*100)</f>
        <v/>
      </c>
      <c r="D8" s="19" t="n">
        <v>774</v>
      </c>
      <c r="E8" s="18" t="n">
        <v>31.41946423</v>
      </c>
      <c r="F8" s="20" t="n">
        <v>2.15046523</v>
      </c>
      <c r="G8" s="18" t="n">
        <v>44.18050487</v>
      </c>
      <c r="H8" s="20" t="n">
        <v>2.2537163</v>
      </c>
      <c r="I8" s="18" t="s">
        <v>567</v>
      </c>
      <c r="J8" s="20" t="s">
        <v>567</v>
      </c>
      <c r="K8" s="18" t="n">
        <v>0.10302818</v>
      </c>
      <c r="L8" s="20" t="n">
        <v>0.17493028</v>
      </c>
      <c r="M8" s="18" t="n">
        <v>0</v>
      </c>
      <c r="N8" s="20" t="n">
        <v>0</v>
      </c>
      <c r="O8" s="18" t="n">
        <v>0</v>
      </c>
      <c r="P8" s="20" t="n">
        <v>0</v>
      </c>
      <c r="Q8" s="18" t="n">
        <v>24.29700273</v>
      </c>
      <c r="R8" s="20" t="n">
        <v>2.16951398</v>
      </c>
    </row>
    <row r="9" spans="1:18">
      <c r="A9" s="15" t="s">
        <v>569</v>
      </c>
      <c r="B9" s="17" t="n">
        <v>4899</v>
      </c>
      <c r="C9" s="18">
        <f>(3850.0/B9*100)</f>
        <v/>
      </c>
      <c r="D9" s="19" t="n">
        <v>1049</v>
      </c>
      <c r="E9" s="18" t="n">
        <v>41.42144521</v>
      </c>
      <c r="F9" s="20" t="n">
        <v>1.70908438</v>
      </c>
      <c r="G9" s="18" t="n">
        <v>39.54966689</v>
      </c>
      <c r="H9" s="20" t="n">
        <v>1.70176035</v>
      </c>
      <c r="I9" s="18" t="s">
        <v>567</v>
      </c>
      <c r="J9" s="20" t="s">
        <v>567</v>
      </c>
      <c r="K9" s="18" t="n">
        <v>0.12991349</v>
      </c>
      <c r="L9" s="20" t="n">
        <v>0.07278419999999999</v>
      </c>
      <c r="M9" s="18" t="n">
        <v>0.29924639</v>
      </c>
      <c r="N9" s="20" t="n">
        <v>0.17843074</v>
      </c>
      <c r="O9" s="18" t="n">
        <v>0</v>
      </c>
      <c r="P9" s="20" t="n">
        <v>0</v>
      </c>
      <c r="Q9" s="18" t="n">
        <v>18.59972801</v>
      </c>
      <c r="R9" s="20" t="n">
        <v>1.41177875</v>
      </c>
    </row>
    <row r="10" spans="1:18">
      <c r="A10" s="15" t="s">
        <v>570</v>
      </c>
      <c r="B10" s="17" t="n">
        <v>10036</v>
      </c>
      <c r="C10" s="18">
        <f>(7858.0/B10*100)</f>
        <v/>
      </c>
      <c r="D10" s="19" t="n">
        <v>2178</v>
      </c>
      <c r="E10" s="18" t="n">
        <v>46.77759168</v>
      </c>
      <c r="F10" s="20" t="n">
        <v>1.52134507</v>
      </c>
      <c r="G10" s="18" t="n">
        <v>45.51111608</v>
      </c>
      <c r="H10" s="20" t="n">
        <v>1.56190973</v>
      </c>
      <c r="I10" s="18" t="s">
        <v>567</v>
      </c>
      <c r="J10" s="20" t="s">
        <v>567</v>
      </c>
      <c r="K10" s="18" t="n">
        <v>0</v>
      </c>
      <c r="L10" s="20" t="n">
        <v>0</v>
      </c>
      <c r="M10" s="18" t="n">
        <v>0.04087992</v>
      </c>
      <c r="N10" s="20" t="n">
        <v>0.02887898</v>
      </c>
      <c r="O10" s="18" t="n">
        <v>0</v>
      </c>
      <c r="P10" s="20" t="n">
        <v>0</v>
      </c>
      <c r="Q10" s="18" t="n">
        <v>7.67041232</v>
      </c>
      <c r="R10" s="20" t="n">
        <v>0.57110666</v>
      </c>
    </row>
    <row r="11" spans="1:18">
      <c r="A11" s="15" t="s">
        <v>571</v>
      </c>
      <c r="B11" s="17" t="n">
        <v>3553</v>
      </c>
      <c r="C11" s="18">
        <f>(2772.0/B11*100)</f>
        <v/>
      </c>
      <c r="D11" s="19" t="n">
        <v>781</v>
      </c>
      <c r="E11" s="18" t="n">
        <v>62.80519929</v>
      </c>
      <c r="F11" s="20" t="n">
        <v>2.04123355</v>
      </c>
      <c r="G11" s="18" t="n">
        <v>7.89155157</v>
      </c>
      <c r="H11" s="20" t="n">
        <v>1.0734242</v>
      </c>
      <c r="I11" s="18" t="s">
        <v>567</v>
      </c>
      <c r="J11" s="20" t="s">
        <v>567</v>
      </c>
      <c r="K11" s="18" t="n">
        <v>0.25967848</v>
      </c>
      <c r="L11" s="20" t="n">
        <v>0.18379185</v>
      </c>
      <c r="M11" s="18" t="n">
        <v>0</v>
      </c>
      <c r="N11" s="20" t="n">
        <v>0</v>
      </c>
      <c r="O11" s="18" t="n">
        <v>0</v>
      </c>
      <c r="P11" s="20" t="n">
        <v>0</v>
      </c>
      <c r="Q11" s="18" t="n">
        <v>29.04357067</v>
      </c>
      <c r="R11" s="20" t="n">
        <v>2.22495446</v>
      </c>
    </row>
    <row r="12" spans="1:18">
      <c r="A12" s="15" t="s">
        <v>572</v>
      </c>
      <c r="B12" s="17" t="n">
        <v>3472</v>
      </c>
      <c r="C12" s="18">
        <f>(2724.0/B12*100)</f>
        <v/>
      </c>
      <c r="D12" s="19" t="n">
        <v>748</v>
      </c>
      <c r="E12" s="18" t="n">
        <v>47.3141871</v>
      </c>
      <c r="F12" s="20" t="n">
        <v>2.14108098</v>
      </c>
      <c r="G12" s="18" t="n">
        <v>16.95800536</v>
      </c>
      <c r="H12" s="20" t="n">
        <v>1.25964186</v>
      </c>
      <c r="I12" s="18" t="s">
        <v>567</v>
      </c>
      <c r="J12" s="20" t="s">
        <v>567</v>
      </c>
      <c r="K12" s="18" t="n">
        <v>0.24345347</v>
      </c>
      <c r="L12" s="20" t="n">
        <v>0.21384727</v>
      </c>
      <c r="M12" s="18" t="n">
        <v>0</v>
      </c>
      <c r="N12" s="20" t="n">
        <v>0</v>
      </c>
      <c r="O12" s="18" t="n">
        <v>0</v>
      </c>
      <c r="P12" s="20" t="n">
        <v>0</v>
      </c>
      <c r="Q12" s="18" t="n">
        <v>35.48435407</v>
      </c>
      <c r="R12" s="20" t="n">
        <v>1.86469914</v>
      </c>
    </row>
    <row r="13" spans="1:18">
      <c r="A13" s="15" t="s">
        <v>573</v>
      </c>
      <c r="B13" s="17" t="n">
        <v>3559</v>
      </c>
      <c r="C13" s="18">
        <f>(2817.0/B13*100)</f>
        <v/>
      </c>
      <c r="D13" s="19" t="n">
        <v>742</v>
      </c>
      <c r="E13" s="18" t="n">
        <v>51.8061971</v>
      </c>
      <c r="F13" s="20" t="n">
        <v>2.29156054</v>
      </c>
      <c r="G13" s="18" t="n">
        <v>25.36307033</v>
      </c>
      <c r="H13" s="20" t="n">
        <v>1.90158835</v>
      </c>
      <c r="I13" s="18" t="s">
        <v>567</v>
      </c>
      <c r="J13" s="20" t="s">
        <v>567</v>
      </c>
      <c r="K13" s="18" t="n">
        <v>0.25226421</v>
      </c>
      <c r="L13" s="20" t="n">
        <v>0.19079166</v>
      </c>
      <c r="M13" s="18" t="n">
        <v>0.02755835</v>
      </c>
      <c r="N13" s="20" t="n">
        <v>0.02733756</v>
      </c>
      <c r="O13" s="18" t="n">
        <v>0</v>
      </c>
      <c r="P13" s="20" t="n">
        <v>0</v>
      </c>
      <c r="Q13" s="18" t="n">
        <v>22.55091002</v>
      </c>
      <c r="R13" s="20" t="n">
        <v>1.94338421</v>
      </c>
    </row>
    <row r="14" spans="1:18">
      <c r="A14" s="15" t="s">
        <v>574</v>
      </c>
      <c r="B14" s="17" t="n">
        <v>2799</v>
      </c>
      <c r="C14" s="18">
        <f>(2175.0/B14*100)</f>
        <v/>
      </c>
      <c r="D14" s="19" t="n">
        <v>624</v>
      </c>
      <c r="E14" s="18" t="n">
        <v>58.52250694</v>
      </c>
      <c r="F14" s="20" t="n">
        <v>2.24364483</v>
      </c>
      <c r="G14" s="18" t="n">
        <v>27.6573791</v>
      </c>
      <c r="H14" s="20" t="n">
        <v>2.03074685</v>
      </c>
      <c r="I14" s="18" t="s">
        <v>567</v>
      </c>
      <c r="J14" s="20" t="s">
        <v>567</v>
      </c>
      <c r="K14" s="18" t="n">
        <v>0</v>
      </c>
      <c r="L14" s="20" t="n">
        <v>0</v>
      </c>
      <c r="M14" s="18" t="n">
        <v>0</v>
      </c>
      <c r="N14" s="20" t="n">
        <v>0</v>
      </c>
      <c r="O14" s="18" t="n">
        <v>0</v>
      </c>
      <c r="P14" s="20" t="n">
        <v>0</v>
      </c>
      <c r="Q14" s="18" t="n">
        <v>13.82011397</v>
      </c>
      <c r="R14" s="20" t="n">
        <v>1.36771287</v>
      </c>
    </row>
    <row r="15" spans="1:18">
      <c r="A15" s="15" t="s">
        <v>575</v>
      </c>
      <c r="B15" s="17" t="n">
        <v>3019</v>
      </c>
      <c r="C15" s="18">
        <f>(2400.0/B15*100)</f>
        <v/>
      </c>
      <c r="D15" s="19" t="n">
        <v>619</v>
      </c>
      <c r="E15" s="18" t="n">
        <v>44.49558814</v>
      </c>
      <c r="F15" s="20" t="n">
        <v>2.15919223</v>
      </c>
      <c r="G15" s="18" t="n">
        <v>40.18731678</v>
      </c>
      <c r="H15" s="20" t="n">
        <v>2.09268019</v>
      </c>
      <c r="I15" s="18" t="s">
        <v>567</v>
      </c>
      <c r="J15" s="20" t="s">
        <v>567</v>
      </c>
      <c r="K15" s="18" t="n">
        <v>0.15747216</v>
      </c>
      <c r="L15" s="20" t="n">
        <v>0.158072</v>
      </c>
      <c r="M15" s="18" t="n">
        <v>0</v>
      </c>
      <c r="N15" s="20" t="n">
        <v>0</v>
      </c>
      <c r="O15" s="18" t="n">
        <v>0</v>
      </c>
      <c r="P15" s="20" t="n">
        <v>0</v>
      </c>
      <c r="Q15" s="18" t="n">
        <v>15.15962292</v>
      </c>
      <c r="R15" s="20" t="n">
        <v>1.47810282</v>
      </c>
    </row>
    <row r="16" spans="1:18">
      <c r="A16" s="15" t="s">
        <v>576</v>
      </c>
      <c r="B16" s="17" t="n">
        <v>2997</v>
      </c>
      <c r="C16" s="18">
        <f>(2348.0/B16*100)</f>
        <v/>
      </c>
      <c r="D16" s="19" t="n">
        <v>649</v>
      </c>
      <c r="E16" s="18" t="n">
        <v>46.62762655</v>
      </c>
      <c r="F16" s="20" t="n">
        <v>1.86104633</v>
      </c>
      <c r="G16" s="18" t="n">
        <v>27.25738846</v>
      </c>
      <c r="H16" s="20" t="n">
        <v>1.90236536</v>
      </c>
      <c r="I16" s="18" t="s">
        <v>567</v>
      </c>
      <c r="J16" s="20" t="s">
        <v>567</v>
      </c>
      <c r="K16" s="18" t="n">
        <v>0.63986931</v>
      </c>
      <c r="L16" s="20" t="n">
        <v>0.27617762</v>
      </c>
      <c r="M16" s="18" t="n">
        <v>0</v>
      </c>
      <c r="N16" s="20" t="n">
        <v>0</v>
      </c>
      <c r="O16" s="18" t="n">
        <v>0</v>
      </c>
      <c r="P16" s="20" t="n">
        <v>0</v>
      </c>
      <c r="Q16" s="18" t="n">
        <v>25.47511567</v>
      </c>
      <c r="R16" s="20" t="n">
        <v>1.72709853</v>
      </c>
    </row>
    <row r="17" spans="1:18">
      <c r="A17" s="15" t="s">
        <v>577</v>
      </c>
      <c r="B17" s="17" t="n">
        <v>3307</v>
      </c>
      <c r="C17" s="18">
        <f>(2585.0/B17*100)</f>
        <v/>
      </c>
      <c r="D17" s="19" t="n">
        <v>722</v>
      </c>
      <c r="E17" s="18" t="n">
        <v>35.14376134</v>
      </c>
      <c r="F17" s="20" t="n">
        <v>1.73351811</v>
      </c>
      <c r="G17" s="18" t="n">
        <v>41.09598138</v>
      </c>
      <c r="H17" s="20" t="n">
        <v>1.97953872</v>
      </c>
      <c r="I17" s="18" t="s">
        <v>567</v>
      </c>
      <c r="J17" s="20" t="s">
        <v>567</v>
      </c>
      <c r="K17" s="18" t="n">
        <v>0</v>
      </c>
      <c r="L17" s="20" t="n">
        <v>0</v>
      </c>
      <c r="M17" s="18" t="n">
        <v>0</v>
      </c>
      <c r="N17" s="20" t="n">
        <v>0</v>
      </c>
      <c r="O17" s="18" t="n">
        <v>0</v>
      </c>
      <c r="P17" s="20" t="n">
        <v>0</v>
      </c>
      <c r="Q17" s="18" t="n">
        <v>23.76025728</v>
      </c>
      <c r="R17" s="20" t="n">
        <v>1.81788581</v>
      </c>
    </row>
    <row r="18" spans="1:18">
      <c r="A18" s="15" t="s">
        <v>578</v>
      </c>
      <c r="B18" s="17" t="n">
        <v>2826</v>
      </c>
      <c r="C18" s="18">
        <f>(2214.0/B18*100)</f>
        <v/>
      </c>
      <c r="D18" s="19" t="n">
        <v>612</v>
      </c>
      <c r="E18" s="18" t="n">
        <v>36.6975154</v>
      </c>
      <c r="F18" s="20" t="n">
        <v>2.26194601</v>
      </c>
      <c r="G18" s="18" t="n">
        <v>39.32919344</v>
      </c>
      <c r="H18" s="20" t="n">
        <v>2.0390344</v>
      </c>
      <c r="I18" s="18" t="s">
        <v>567</v>
      </c>
      <c r="J18" s="20" t="s">
        <v>567</v>
      </c>
      <c r="K18" s="18" t="n">
        <v>0.22095395</v>
      </c>
      <c r="L18" s="20" t="n">
        <v>0.17758188</v>
      </c>
      <c r="M18" s="18" t="n">
        <v>0</v>
      </c>
      <c r="N18" s="20" t="n">
        <v>0</v>
      </c>
      <c r="O18" s="18" t="n">
        <v>0</v>
      </c>
      <c r="P18" s="20" t="n">
        <v>0</v>
      </c>
      <c r="Q18" s="18" t="n">
        <v>23.75233721</v>
      </c>
      <c r="R18" s="20" t="n">
        <v>2.07643626</v>
      </c>
    </row>
    <row r="19" spans="1:18">
      <c r="A19" s="15" t="s">
        <v>579</v>
      </c>
      <c r="B19" s="17" t="n">
        <v>2808</v>
      </c>
      <c r="C19" s="18">
        <f>(2200.0/B19*100)</f>
        <v/>
      </c>
      <c r="D19" s="19" t="n">
        <v>608</v>
      </c>
      <c r="E19" s="18" t="n">
        <v>41.21497889</v>
      </c>
      <c r="F19" s="20" t="n">
        <v>2.50125441</v>
      </c>
      <c r="G19" s="18" t="n">
        <v>27.06266792</v>
      </c>
      <c r="H19" s="20" t="n">
        <v>1.989099</v>
      </c>
      <c r="I19" s="18" t="s">
        <v>567</v>
      </c>
      <c r="J19" s="20" t="s">
        <v>567</v>
      </c>
      <c r="K19" s="18" t="n">
        <v>0.11340656</v>
      </c>
      <c r="L19" s="20" t="n">
        <v>0.11330074</v>
      </c>
      <c r="M19" s="18" t="n">
        <v>0</v>
      </c>
      <c r="N19" s="20" t="n">
        <v>0</v>
      </c>
      <c r="O19" s="18" t="n">
        <v>0</v>
      </c>
      <c r="P19" s="20" t="n">
        <v>0</v>
      </c>
      <c r="Q19" s="18" t="n">
        <v>31.60894664</v>
      </c>
      <c r="R19" s="20" t="n">
        <v>1.94185882</v>
      </c>
    </row>
    <row r="20" spans="1:18">
      <c r="A20" s="15" t="s">
        <v>580</v>
      </c>
      <c r="B20" s="17" t="n">
        <v>1630</v>
      </c>
      <c r="C20" s="18">
        <f>(1267.0/B20*100)</f>
        <v/>
      </c>
      <c r="D20" s="19" t="n">
        <v>363</v>
      </c>
      <c r="E20" s="18" t="n">
        <v>54.51084232</v>
      </c>
      <c r="F20" s="20" t="n">
        <v>2.91548994</v>
      </c>
      <c r="G20" s="18" t="n">
        <v>22.5075638</v>
      </c>
      <c r="H20" s="20" t="n">
        <v>2.3174921</v>
      </c>
      <c r="I20" s="18" t="s">
        <v>567</v>
      </c>
      <c r="J20" s="20" t="s">
        <v>567</v>
      </c>
      <c r="K20" s="18" t="n">
        <v>0</v>
      </c>
      <c r="L20" s="20" t="n">
        <v>0</v>
      </c>
      <c r="M20" s="18" t="n">
        <v>1.09971592</v>
      </c>
      <c r="N20" s="20" t="n">
        <v>0.36452583</v>
      </c>
      <c r="O20" s="18" t="n">
        <v>0</v>
      </c>
      <c r="P20" s="20" t="n">
        <v>0</v>
      </c>
      <c r="Q20" s="18" t="n">
        <v>21.88187796</v>
      </c>
      <c r="R20" s="20" t="n">
        <v>2.34709438</v>
      </c>
    </row>
    <row r="21" spans="1:18">
      <c r="A21" s="15" t="s">
        <v>581</v>
      </c>
      <c r="B21" s="17" t="n">
        <v>2908</v>
      </c>
      <c r="C21" s="18">
        <f>(2246.0/B21*100)</f>
        <v/>
      </c>
      <c r="D21" s="19" t="n">
        <v>662</v>
      </c>
      <c r="E21" s="18" t="n">
        <v>46.40435254</v>
      </c>
      <c r="F21" s="20" t="n">
        <v>1.95241687</v>
      </c>
      <c r="G21" s="18" t="n">
        <v>39.10370309</v>
      </c>
      <c r="H21" s="20" t="n">
        <v>1.83053573</v>
      </c>
      <c r="I21" s="18" t="s">
        <v>567</v>
      </c>
      <c r="J21" s="20" t="s">
        <v>567</v>
      </c>
      <c r="K21" s="18" t="n">
        <v>0</v>
      </c>
      <c r="L21" s="20" t="n">
        <v>0</v>
      </c>
      <c r="M21" s="18" t="n">
        <v>0</v>
      </c>
      <c r="N21" s="20" t="n">
        <v>0</v>
      </c>
      <c r="O21" s="18" t="n">
        <v>0</v>
      </c>
      <c r="P21" s="20" t="n">
        <v>0</v>
      </c>
      <c r="Q21" s="18" t="n">
        <v>14.49194437</v>
      </c>
      <c r="R21" s="20" t="n">
        <v>1.6867594</v>
      </c>
    </row>
    <row r="22" spans="1:18">
      <c r="A22" s="15" t="s">
        <v>582</v>
      </c>
      <c r="B22" s="17" t="n">
        <v>2931</v>
      </c>
      <c r="C22" s="18">
        <f>(2286.0/B22*100)</f>
        <v/>
      </c>
      <c r="D22" s="19" t="n">
        <v>645</v>
      </c>
      <c r="E22" s="18" t="n">
        <v>54.51992075</v>
      </c>
      <c r="F22" s="20" t="n">
        <v>3.2428274</v>
      </c>
      <c r="G22" s="18" t="n">
        <v>28.88352898</v>
      </c>
      <c r="H22" s="20" t="n">
        <v>2.55163681</v>
      </c>
      <c r="I22" s="18" t="s">
        <v>567</v>
      </c>
      <c r="J22" s="20" t="s">
        <v>567</v>
      </c>
      <c r="K22" s="18" t="n">
        <v>0.32198089</v>
      </c>
      <c r="L22" s="20" t="n">
        <v>0.27658148</v>
      </c>
      <c r="M22" s="18" t="n">
        <v>0</v>
      </c>
      <c r="N22" s="20" t="n">
        <v>0</v>
      </c>
      <c r="O22" s="18" t="n">
        <v>0</v>
      </c>
      <c r="P22" s="20" t="n">
        <v>0</v>
      </c>
      <c r="Q22" s="18" t="n">
        <v>16.27456938</v>
      </c>
      <c r="R22" s="20" t="n">
        <v>1.84906138</v>
      </c>
    </row>
    <row r="23" spans="1:18">
      <c r="A23" s="15" t="s">
        <v>583</v>
      </c>
      <c r="B23" s="17" t="n">
        <v>5791</v>
      </c>
      <c r="C23" s="18">
        <f>(4511.0/B23*100)</f>
        <v/>
      </c>
      <c r="D23" s="19" t="n">
        <v>1280</v>
      </c>
      <c r="E23" s="18" t="n">
        <v>53.19105165</v>
      </c>
      <c r="F23" s="20" t="n">
        <v>2.00893504</v>
      </c>
      <c r="G23" s="18" t="n">
        <v>19.62242174</v>
      </c>
      <c r="H23" s="20" t="n">
        <v>1.57652504</v>
      </c>
      <c r="I23" s="18" t="s">
        <v>567</v>
      </c>
      <c r="J23" s="20" t="s">
        <v>567</v>
      </c>
      <c r="K23" s="18" t="n">
        <v>0.27763626</v>
      </c>
      <c r="L23" s="20" t="n">
        <v>0.2565801</v>
      </c>
      <c r="M23" s="18" t="n">
        <v>0</v>
      </c>
      <c r="N23" s="20" t="n">
        <v>0</v>
      </c>
      <c r="O23" s="18" t="n">
        <v>0</v>
      </c>
      <c r="P23" s="20" t="n">
        <v>0</v>
      </c>
      <c r="Q23" s="18" t="n">
        <v>26.90889035</v>
      </c>
      <c r="R23" s="20" t="n">
        <v>2.08991121</v>
      </c>
    </row>
    <row r="24" spans="1:18">
      <c r="A24" s="15" t="s">
        <v>584</v>
      </c>
      <c r="B24" s="17" t="n">
        <v>3338</v>
      </c>
      <c r="C24" s="18">
        <f>(2605.0/B24*100)</f>
        <v/>
      </c>
      <c r="D24" s="19" t="n">
        <v>733</v>
      </c>
      <c r="E24" s="18" t="n">
        <v>41.0213996</v>
      </c>
      <c r="F24" s="20" t="n">
        <v>1.96310696</v>
      </c>
      <c r="G24" s="18" t="n">
        <v>39.58946714</v>
      </c>
      <c r="H24" s="20" t="n">
        <v>2.04756456</v>
      </c>
      <c r="I24" s="18" t="s">
        <v>567</v>
      </c>
      <c r="J24" s="20" t="s">
        <v>567</v>
      </c>
      <c r="K24" s="18" t="n">
        <v>0.22672467</v>
      </c>
      <c r="L24" s="20" t="n">
        <v>0.16091716</v>
      </c>
      <c r="M24" s="18" t="n">
        <v>0</v>
      </c>
      <c r="N24" s="20" t="n">
        <v>0</v>
      </c>
      <c r="O24" s="18" t="n">
        <v>0</v>
      </c>
      <c r="P24" s="20" t="n">
        <v>0</v>
      </c>
      <c r="Q24" s="18" t="n">
        <v>19.16240858</v>
      </c>
      <c r="R24" s="20" t="n">
        <v>1.48604106</v>
      </c>
    </row>
    <row r="25" spans="1:18">
      <c r="A25" s="15" t="s">
        <v>585</v>
      </c>
      <c r="B25" s="17" t="n">
        <v>2912</v>
      </c>
      <c r="C25" s="18">
        <f>(2253.0/B25*100)</f>
        <v/>
      </c>
      <c r="D25" s="19" t="n">
        <v>659</v>
      </c>
      <c r="E25" s="18" t="n">
        <v>54.42821239</v>
      </c>
      <c r="F25" s="20" t="n">
        <v>1.73969898</v>
      </c>
      <c r="G25" s="18" t="n">
        <v>25.59077677</v>
      </c>
      <c r="H25" s="20" t="n">
        <v>1.88472092</v>
      </c>
      <c r="I25" s="18" t="s">
        <v>567</v>
      </c>
      <c r="J25" s="20" t="s">
        <v>567</v>
      </c>
      <c r="K25" s="18" t="n">
        <v>0.15505798</v>
      </c>
      <c r="L25" s="20" t="n">
        <v>0.15529895</v>
      </c>
      <c r="M25" s="18" t="n">
        <v>0</v>
      </c>
      <c r="N25" s="20" t="n">
        <v>0</v>
      </c>
      <c r="O25" s="18" t="n">
        <v>0</v>
      </c>
      <c r="P25" s="20" t="n">
        <v>0</v>
      </c>
      <c r="Q25" s="18" t="n">
        <v>19.82595286</v>
      </c>
      <c r="R25" s="20" t="n">
        <v>1.77589848</v>
      </c>
    </row>
    <row r="26" spans="1:18">
      <c r="A26" s="15" t="s">
        <v>586</v>
      </c>
      <c r="B26" s="17" t="n">
        <v>2450</v>
      </c>
      <c r="C26" s="18">
        <f>(1932.0/B26*100)</f>
        <v/>
      </c>
      <c r="D26" s="19" t="n">
        <v>518</v>
      </c>
      <c r="E26" s="18" t="n">
        <v>62.04295574</v>
      </c>
      <c r="F26" s="20" t="n">
        <v>2.45512601</v>
      </c>
      <c r="G26" s="18" t="n">
        <v>21.21541491</v>
      </c>
      <c r="H26" s="20" t="n">
        <v>1.75853399</v>
      </c>
      <c r="I26" s="18" t="s">
        <v>567</v>
      </c>
      <c r="J26" s="20" t="s">
        <v>567</v>
      </c>
      <c r="K26" s="18" t="n">
        <v>0</v>
      </c>
      <c r="L26" s="20" t="n">
        <v>0</v>
      </c>
      <c r="M26" s="18" t="n">
        <v>0.36582518</v>
      </c>
      <c r="N26" s="20" t="n">
        <v>0.28950374</v>
      </c>
      <c r="O26" s="18" t="n">
        <v>0</v>
      </c>
      <c r="P26" s="20" t="n">
        <v>0</v>
      </c>
      <c r="Q26" s="18" t="n">
        <v>16.37580416</v>
      </c>
      <c r="R26" s="20" t="n">
        <v>1.68224506</v>
      </c>
    </row>
    <row r="27" spans="1:18">
      <c r="A27" s="15" t="s">
        <v>587</v>
      </c>
      <c r="B27" s="17" t="n">
        <v>2616</v>
      </c>
      <c r="C27" s="18">
        <f>(2040.0/B27*100)</f>
        <v/>
      </c>
      <c r="D27" s="19" t="n">
        <v>576</v>
      </c>
      <c r="E27" s="18" t="n">
        <v>38.71642747</v>
      </c>
      <c r="F27" s="20" t="n">
        <v>1.95506632</v>
      </c>
      <c r="G27" s="18" t="n">
        <v>33.18355114</v>
      </c>
      <c r="H27" s="20" t="n">
        <v>1.96829371</v>
      </c>
      <c r="I27" s="18" t="s">
        <v>567</v>
      </c>
      <c r="J27" s="20" t="s">
        <v>567</v>
      </c>
      <c r="K27" s="18" t="n">
        <v>0</v>
      </c>
      <c r="L27" s="20" t="n">
        <v>0</v>
      </c>
      <c r="M27" s="18" t="n">
        <v>0</v>
      </c>
      <c r="N27" s="20" t="n">
        <v>0</v>
      </c>
      <c r="O27" s="18" t="n">
        <v>0</v>
      </c>
      <c r="P27" s="20" t="n">
        <v>0</v>
      </c>
      <c r="Q27" s="18" t="n">
        <v>28.10002138</v>
      </c>
      <c r="R27" s="20" t="n">
        <v>2.06982769</v>
      </c>
    </row>
    <row r="28" spans="1:18">
      <c r="A28" s="15" t="s">
        <v>588</v>
      </c>
      <c r="B28" s="17" t="n">
        <v>3765</v>
      </c>
      <c r="C28" s="18">
        <f>(2983.0/B28*100)</f>
        <v/>
      </c>
      <c r="D28" s="19" t="n">
        <v>782</v>
      </c>
      <c r="E28" s="18" t="n">
        <v>76.55505676</v>
      </c>
      <c r="F28" s="20" t="n">
        <v>1.69498877</v>
      </c>
      <c r="G28" s="18" t="n">
        <v>12.79723768</v>
      </c>
      <c r="H28" s="20" t="n">
        <v>1.28044901</v>
      </c>
      <c r="I28" s="18" t="s">
        <v>567</v>
      </c>
      <c r="J28" s="20" t="s">
        <v>567</v>
      </c>
      <c r="K28" s="18" t="n">
        <v>0.1727025</v>
      </c>
      <c r="L28" s="20" t="n">
        <v>0.19718606</v>
      </c>
      <c r="M28" s="18" t="n">
        <v>0.09986239</v>
      </c>
      <c r="N28" s="20" t="n">
        <v>0.09940784</v>
      </c>
      <c r="O28" s="18" t="n">
        <v>0</v>
      </c>
      <c r="P28" s="20" t="n">
        <v>0</v>
      </c>
      <c r="Q28" s="18" t="n">
        <v>10.37514067</v>
      </c>
      <c r="R28" s="20" t="n">
        <v>1.04419834</v>
      </c>
    </row>
    <row r="29" spans="1:18">
      <c r="A29" s="15" t="s">
        <v>589</v>
      </c>
      <c r="B29" s="17" t="n">
        <v>2685</v>
      </c>
      <c r="C29" s="18">
        <f>(2094.0/B29*100)</f>
        <v/>
      </c>
      <c r="D29" s="19" t="n">
        <v>591</v>
      </c>
      <c r="E29" s="18" t="n">
        <v>49.71674967</v>
      </c>
      <c r="F29" s="20" t="n">
        <v>2.66715113</v>
      </c>
      <c r="G29" s="18" t="n">
        <v>39.4566254</v>
      </c>
      <c r="H29" s="20" t="n">
        <v>2.42241936</v>
      </c>
      <c r="I29" s="18" t="s">
        <v>567</v>
      </c>
      <c r="J29" s="20" t="s">
        <v>567</v>
      </c>
      <c r="K29" s="18" t="n">
        <v>0.15976781</v>
      </c>
      <c r="L29" s="20" t="n">
        <v>0.17323204</v>
      </c>
      <c r="M29" s="18" t="n">
        <v>0</v>
      </c>
      <c r="N29" s="20" t="n">
        <v>0</v>
      </c>
      <c r="O29" s="18" t="n">
        <v>0</v>
      </c>
      <c r="P29" s="20" t="n">
        <v>0</v>
      </c>
      <c r="Q29" s="18" t="n">
        <v>10.66685713</v>
      </c>
      <c r="R29" s="20" t="n">
        <v>1.41592543</v>
      </c>
    </row>
    <row r="30" spans="1:18">
      <c r="A30" s="15" t="s">
        <v>590</v>
      </c>
      <c r="B30" s="17" t="n">
        <v>2263</v>
      </c>
      <c r="C30" s="18">
        <f>(1773.0/B30*100)</f>
        <v/>
      </c>
      <c r="D30" s="19" t="n">
        <v>490</v>
      </c>
      <c r="E30" s="18" t="n">
        <v>42.12413596</v>
      </c>
      <c r="F30" s="20" t="n">
        <v>2.5345102</v>
      </c>
      <c r="G30" s="18" t="n">
        <v>44.85532619</v>
      </c>
      <c r="H30" s="20" t="n">
        <v>2.63022973</v>
      </c>
      <c r="I30" s="18" t="s">
        <v>567</v>
      </c>
      <c r="J30" s="20" t="s">
        <v>567</v>
      </c>
      <c r="K30" s="18" t="n">
        <v>0</v>
      </c>
      <c r="L30" s="20" t="n">
        <v>0</v>
      </c>
      <c r="M30" s="18" t="n">
        <v>0.18748202</v>
      </c>
      <c r="N30" s="20" t="n">
        <v>0.19098188</v>
      </c>
      <c r="O30" s="18" t="n">
        <v>0</v>
      </c>
      <c r="P30" s="20" t="n">
        <v>0</v>
      </c>
      <c r="Q30" s="18" t="n">
        <v>12.83305584</v>
      </c>
      <c r="R30" s="20" t="n">
        <v>1.5761647</v>
      </c>
    </row>
    <row r="31" spans="1:18">
      <c r="A31" s="15" t="s">
        <v>591</v>
      </c>
      <c r="B31" s="17" t="n">
        <v>2750</v>
      </c>
      <c r="C31" s="18">
        <f>(2127.0/B31*100)</f>
        <v/>
      </c>
      <c r="D31" s="19" t="n">
        <v>623</v>
      </c>
      <c r="E31" s="18" t="n">
        <v>38.35410266</v>
      </c>
      <c r="F31" s="20" t="n">
        <v>2.01497545</v>
      </c>
      <c r="G31" s="18" t="n">
        <v>45.1899984</v>
      </c>
      <c r="H31" s="20" t="n">
        <v>1.82654514</v>
      </c>
      <c r="I31" s="18" t="s">
        <v>567</v>
      </c>
      <c r="J31" s="20" t="s">
        <v>567</v>
      </c>
      <c r="K31" s="18" t="n">
        <v>0.14340016</v>
      </c>
      <c r="L31" s="20" t="n">
        <v>0.14378396</v>
      </c>
      <c r="M31" s="18" t="n">
        <v>0.16705566</v>
      </c>
      <c r="N31" s="20" t="n">
        <v>0.18163977</v>
      </c>
      <c r="O31" s="18" t="n">
        <v>0</v>
      </c>
      <c r="P31" s="20" t="n">
        <v>0</v>
      </c>
      <c r="Q31" s="18" t="n">
        <v>16.14544312</v>
      </c>
      <c r="R31" s="20" t="n">
        <v>1.35696055</v>
      </c>
    </row>
    <row r="32" spans="1:18">
      <c r="A32" s="15" t="s">
        <v>592</v>
      </c>
      <c r="B32" s="17" t="n">
        <v>2269</v>
      </c>
      <c r="C32" s="18">
        <f>(1772.0/B32*100)</f>
        <v/>
      </c>
      <c r="D32" s="19" t="n">
        <v>497</v>
      </c>
      <c r="E32" s="18" t="n">
        <v>44.74504868</v>
      </c>
      <c r="F32" s="20" t="n">
        <v>2.30505823</v>
      </c>
      <c r="G32" s="18" t="n">
        <v>32.54855421</v>
      </c>
      <c r="H32" s="20" t="n">
        <v>2.01300739</v>
      </c>
      <c r="I32" s="18" t="s">
        <v>567</v>
      </c>
      <c r="J32" s="20" t="s">
        <v>567</v>
      </c>
      <c r="K32" s="18" t="n">
        <v>0</v>
      </c>
      <c r="L32" s="20" t="n">
        <v>0</v>
      </c>
      <c r="M32" s="18" t="n">
        <v>0</v>
      </c>
      <c r="N32" s="20" t="n">
        <v>0</v>
      </c>
      <c r="O32" s="18" t="n">
        <v>0</v>
      </c>
      <c r="P32" s="20" t="n">
        <v>0</v>
      </c>
      <c r="Q32" s="18" t="n">
        <v>22.70639711</v>
      </c>
      <c r="R32" s="20" t="n">
        <v>1.87374679</v>
      </c>
    </row>
    <row r="33" spans="1:18">
      <c r="A33" s="15" t="s">
        <v>593</v>
      </c>
      <c r="B33" s="17" t="n">
        <v>3674</v>
      </c>
      <c r="C33" s="18">
        <f>(2844.0/B33*100)</f>
        <v/>
      </c>
      <c r="D33" s="19" t="n">
        <v>830</v>
      </c>
      <c r="E33" s="18" t="n">
        <v>45.24194779</v>
      </c>
      <c r="F33" s="20" t="n">
        <v>1.76418072</v>
      </c>
      <c r="G33" s="18" t="n">
        <v>31.26904181</v>
      </c>
      <c r="H33" s="20" t="n">
        <v>2.00103771</v>
      </c>
      <c r="I33" s="18" t="s">
        <v>567</v>
      </c>
      <c r="J33" s="20" t="s">
        <v>567</v>
      </c>
      <c r="K33" s="18" t="n">
        <v>0.46605598</v>
      </c>
      <c r="L33" s="20" t="n">
        <v>0.30841143</v>
      </c>
      <c r="M33" s="18" t="n">
        <v>0.42075943</v>
      </c>
      <c r="N33" s="20" t="n">
        <v>0.30965472</v>
      </c>
      <c r="O33" s="18" t="n">
        <v>0</v>
      </c>
      <c r="P33" s="20" t="n">
        <v>0</v>
      </c>
      <c r="Q33" s="18" t="n">
        <v>22.60219499</v>
      </c>
      <c r="R33" s="20" t="n">
        <v>1.54493067</v>
      </c>
    </row>
    <row r="34" spans="1:18">
      <c r="A34" s="15" t="s">
        <v>594</v>
      </c>
      <c r="B34" s="17" t="n">
        <v>3315</v>
      </c>
      <c r="C34" s="18">
        <f>(2609.0/B34*100)</f>
        <v/>
      </c>
      <c r="D34" s="19" t="n">
        <v>706</v>
      </c>
      <c r="E34" s="18" t="n">
        <v>48.10920445</v>
      </c>
      <c r="F34" s="20" t="n">
        <v>2.20957054</v>
      </c>
      <c r="G34" s="18" t="n">
        <v>26.19305891</v>
      </c>
      <c r="H34" s="20" t="n">
        <v>1.96044783</v>
      </c>
      <c r="I34" s="18" t="s">
        <v>567</v>
      </c>
      <c r="J34" s="20" t="s">
        <v>567</v>
      </c>
      <c r="K34" s="18" t="n">
        <v>0</v>
      </c>
      <c r="L34" s="20" t="n">
        <v>0</v>
      </c>
      <c r="M34" s="18" t="n">
        <v>0.22527025</v>
      </c>
      <c r="N34" s="20" t="n">
        <v>0.19201305</v>
      </c>
      <c r="O34" s="18" t="n">
        <v>0</v>
      </c>
      <c r="P34" s="20" t="n">
        <v>0</v>
      </c>
      <c r="Q34" s="18" t="n">
        <v>25.47246639</v>
      </c>
      <c r="R34" s="20" t="n">
        <v>1.70995977</v>
      </c>
    </row>
    <row r="35" spans="1:18">
      <c r="A35" s="15" t="s">
        <v>595</v>
      </c>
      <c r="B35" s="17" t="n">
        <v>3505</v>
      </c>
      <c r="C35" s="18">
        <f>(2782.0/B35*100)</f>
        <v/>
      </c>
      <c r="D35" s="19" t="n">
        <v>723</v>
      </c>
      <c r="E35" s="18" t="n">
        <v>33.8616096</v>
      </c>
      <c r="F35" s="20" t="n">
        <v>1.9427215</v>
      </c>
      <c r="G35" s="18" t="n">
        <v>43.07626827</v>
      </c>
      <c r="H35" s="20" t="n">
        <v>2.37267449</v>
      </c>
      <c r="I35" s="18" t="s">
        <v>567</v>
      </c>
      <c r="J35" s="20" t="s">
        <v>567</v>
      </c>
      <c r="K35" s="18" t="n">
        <v>0.82252856</v>
      </c>
      <c r="L35" s="20" t="n">
        <v>0.7448193</v>
      </c>
      <c r="M35" s="18" t="n">
        <v>0.24981469</v>
      </c>
      <c r="N35" s="20" t="n">
        <v>0.25129638</v>
      </c>
      <c r="O35" s="18" t="n">
        <v>0</v>
      </c>
      <c r="P35" s="20" t="n">
        <v>0</v>
      </c>
      <c r="Q35" s="18" t="n">
        <v>21.98977889</v>
      </c>
      <c r="R35" s="20" t="n">
        <v>1.87471824</v>
      </c>
    </row>
    <row r="36" spans="1:18">
      <c r="A36" s="15" t="s">
        <v>596</v>
      </c>
      <c r="B36" s="17" t="n">
        <v>3332</v>
      </c>
      <c r="C36" s="18">
        <f>(2601.0/B36*100)</f>
        <v/>
      </c>
      <c r="D36" s="19" t="n">
        <v>731</v>
      </c>
      <c r="E36" s="18" t="n">
        <v>49.55266491</v>
      </c>
      <c r="F36" s="20" t="n">
        <v>1.96737399</v>
      </c>
      <c r="G36" s="18" t="n">
        <v>28.07204107</v>
      </c>
      <c r="H36" s="20" t="n">
        <v>1.61627718</v>
      </c>
      <c r="I36" s="18" t="s">
        <v>567</v>
      </c>
      <c r="J36" s="20" t="s">
        <v>567</v>
      </c>
      <c r="K36" s="18" t="n">
        <v>0.23470893</v>
      </c>
      <c r="L36" s="20" t="n">
        <v>0.26938357</v>
      </c>
      <c r="M36" s="18" t="n">
        <v>0</v>
      </c>
      <c r="N36" s="20" t="n">
        <v>0</v>
      </c>
      <c r="O36" s="18" t="n">
        <v>0</v>
      </c>
      <c r="P36" s="20" t="n">
        <v>0</v>
      </c>
      <c r="Q36" s="18" t="n">
        <v>22.14058508</v>
      </c>
      <c r="R36" s="20" t="n">
        <v>1.69748656</v>
      </c>
    </row>
    <row r="37" spans="1:18">
      <c r="A37" s="15" t="s">
        <v>597</v>
      </c>
      <c r="B37" s="17" t="n">
        <v>2727</v>
      </c>
      <c r="C37" s="18">
        <f>(2127.0/B37*100)</f>
        <v/>
      </c>
      <c r="D37" s="19" t="n">
        <v>600</v>
      </c>
      <c r="E37" s="18" t="n">
        <v>43.32633012</v>
      </c>
      <c r="F37" s="20" t="n">
        <v>2.10696341</v>
      </c>
      <c r="G37" s="18" t="n">
        <v>27.21306787</v>
      </c>
      <c r="H37" s="20" t="n">
        <v>1.87022375</v>
      </c>
      <c r="I37" s="18" t="s">
        <v>567</v>
      </c>
      <c r="J37" s="20" t="s">
        <v>567</v>
      </c>
      <c r="K37" s="18" t="n">
        <v>0.31564322</v>
      </c>
      <c r="L37" s="20" t="n">
        <v>0.22500731</v>
      </c>
      <c r="M37" s="18" t="n">
        <v>0.15296873</v>
      </c>
      <c r="N37" s="20" t="n">
        <v>0.15300221</v>
      </c>
      <c r="O37" s="18" t="n">
        <v>0</v>
      </c>
      <c r="P37" s="20" t="n">
        <v>0</v>
      </c>
      <c r="Q37" s="18" t="n">
        <v>28.99199006</v>
      </c>
      <c r="R37" s="20" t="n">
        <v>1.70672564</v>
      </c>
    </row>
    <row r="38" spans="1:18">
      <c r="A38" s="15" t="s">
        <v>598</v>
      </c>
      <c r="B38" s="17" t="n">
        <v>3053</v>
      </c>
      <c r="C38" s="18">
        <f>(2395.0/B38*100)</f>
        <v/>
      </c>
      <c r="D38" s="19" t="n">
        <v>658</v>
      </c>
      <c r="E38" s="18" t="n">
        <v>39.00523825</v>
      </c>
      <c r="F38" s="20" t="n">
        <v>2.30356678</v>
      </c>
      <c r="G38" s="18" t="n">
        <v>36.91227272</v>
      </c>
      <c r="H38" s="20" t="n">
        <v>2.42070076</v>
      </c>
      <c r="I38" s="18" t="s">
        <v>567</v>
      </c>
      <c r="J38" s="20" t="s">
        <v>567</v>
      </c>
      <c r="K38" s="18" t="n">
        <v>0</v>
      </c>
      <c r="L38" s="20" t="n">
        <v>0</v>
      </c>
      <c r="M38" s="18" t="n">
        <v>2.53042856</v>
      </c>
      <c r="N38" s="20" t="n">
        <v>0.6826839099999999</v>
      </c>
      <c r="O38" s="18" t="n">
        <v>0</v>
      </c>
      <c r="P38" s="20" t="n">
        <v>0</v>
      </c>
      <c r="Q38" s="18" t="n">
        <v>21.55206047</v>
      </c>
      <c r="R38" s="20" t="n">
        <v>1.57822033</v>
      </c>
    </row>
    <row r="39" spans="1:18">
      <c r="A39" s="15" t="s">
        <v>599</v>
      </c>
      <c r="B39" s="17" t="n">
        <v>2957</v>
      </c>
      <c r="C39" s="18">
        <f>(2304.0/B39*100)</f>
        <v/>
      </c>
      <c r="D39" s="19" t="n">
        <v>653</v>
      </c>
      <c r="E39" s="18" t="n">
        <v>50.26208638</v>
      </c>
      <c r="F39" s="20" t="n">
        <v>2.17235925</v>
      </c>
      <c r="G39" s="18" t="n">
        <v>29.41823343</v>
      </c>
      <c r="H39" s="20" t="n">
        <v>2.34220437</v>
      </c>
      <c r="I39" s="18" t="s">
        <v>567</v>
      </c>
      <c r="J39" s="20" t="s">
        <v>567</v>
      </c>
      <c r="K39" s="18" t="n">
        <v>0.19751752</v>
      </c>
      <c r="L39" s="20" t="n">
        <v>0.14032492</v>
      </c>
      <c r="M39" s="18" t="n">
        <v>0</v>
      </c>
      <c r="N39" s="20" t="n">
        <v>0</v>
      </c>
      <c r="O39" s="18" t="n">
        <v>0</v>
      </c>
      <c r="P39" s="20" t="n">
        <v>0</v>
      </c>
      <c r="Q39" s="18" t="n">
        <v>20.12216266</v>
      </c>
      <c r="R39" s="20" t="n">
        <v>1.63687944</v>
      </c>
    </row>
    <row r="40" spans="1:18">
      <c r="A40" s="15" t="s">
        <v>600</v>
      </c>
      <c r="B40" s="17" t="n">
        <v>7235</v>
      </c>
      <c r="C40" s="18">
        <f>(5610.0/B40*100)</f>
        <v/>
      </c>
      <c r="D40" s="19" t="n">
        <v>1625</v>
      </c>
      <c r="E40" s="18" t="n">
        <v>35.01669149</v>
      </c>
      <c r="F40" s="20" t="n">
        <v>1.83582217</v>
      </c>
      <c r="G40" s="18" t="n">
        <v>48.56027018</v>
      </c>
      <c r="H40" s="20" t="n">
        <v>1.78982493</v>
      </c>
      <c r="I40" s="18" t="s">
        <v>567</v>
      </c>
      <c r="J40" s="20" t="s">
        <v>567</v>
      </c>
      <c r="K40" s="18" t="n">
        <v>0.15928501</v>
      </c>
      <c r="L40" s="20" t="n">
        <v>0.15355661</v>
      </c>
      <c r="M40" s="18" t="n">
        <v>0</v>
      </c>
      <c r="N40" s="20" t="n">
        <v>0</v>
      </c>
      <c r="O40" s="18" t="n">
        <v>0</v>
      </c>
      <c r="P40" s="20" t="n">
        <v>0</v>
      </c>
      <c r="Q40" s="18" t="n">
        <v>16.26375332</v>
      </c>
      <c r="R40" s="20" t="n">
        <v>1.30112237</v>
      </c>
    </row>
    <row r="41" spans="1:18">
      <c r="A41" s="15" t="s">
        <v>601</v>
      </c>
      <c r="B41" s="17" t="n">
        <v>2858</v>
      </c>
      <c r="C41" s="18">
        <f>(2210.0/B41*100)</f>
        <v/>
      </c>
      <c r="D41" s="19" t="n">
        <v>648</v>
      </c>
      <c r="E41" s="18" t="n">
        <v>52.23186425</v>
      </c>
      <c r="F41" s="20" t="n">
        <v>2.33948556</v>
      </c>
      <c r="G41" s="18" t="n">
        <v>40.18334852</v>
      </c>
      <c r="H41" s="20" t="n">
        <v>2.43074522</v>
      </c>
      <c r="I41" s="18" t="s">
        <v>567</v>
      </c>
      <c r="J41" s="20" t="s">
        <v>567</v>
      </c>
      <c r="K41" s="18" t="n">
        <v>0</v>
      </c>
      <c r="L41" s="20" t="n">
        <v>0</v>
      </c>
      <c r="M41" s="18" t="n">
        <v>0</v>
      </c>
      <c r="N41" s="20" t="n">
        <v>0</v>
      </c>
      <c r="O41" s="18" t="n">
        <v>0</v>
      </c>
      <c r="P41" s="20" t="n">
        <v>0</v>
      </c>
      <c r="Q41" s="18" t="n">
        <v>7.58478723</v>
      </c>
      <c r="R41" s="20" t="n">
        <v>1.12954528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(8829.0/B46*100)</f>
        <v/>
      </c>
      <c r="D46" s="19" t="n">
        <v>2239</v>
      </c>
      <c r="E46" s="18" t="n">
        <v>62.15456053</v>
      </c>
      <c r="F46" s="20" t="n">
        <v>1.51624241</v>
      </c>
      <c r="G46" s="18" t="n">
        <v>11.30894724</v>
      </c>
      <c r="H46" s="20" t="n">
        <v>1.02061043</v>
      </c>
      <c r="I46" s="18" t="s">
        <v>567</v>
      </c>
      <c r="J46" s="20" t="s">
        <v>567</v>
      </c>
      <c r="K46" s="18" t="n">
        <v>0.46367609</v>
      </c>
      <c r="L46" s="20" t="n">
        <v>0.19700001</v>
      </c>
      <c r="M46" s="18" t="n">
        <v>0.73821764</v>
      </c>
      <c r="N46" s="20" t="n">
        <v>0.25444284</v>
      </c>
      <c r="O46" s="18" t="n">
        <v>0</v>
      </c>
      <c r="P46" s="20" t="n">
        <v>0</v>
      </c>
      <c r="Q46" s="18" t="n">
        <v>25.33459849</v>
      </c>
      <c r="R46" s="20" t="n">
        <v>1.28439719</v>
      </c>
    </row>
    <row r="47" spans="1:18">
      <c r="A47" s="15" t="s">
        <v>607</v>
      </c>
      <c r="B47" s="17" t="n">
        <v>3105</v>
      </c>
      <c r="C47" s="18">
        <f>(2425.0/B47*100)</f>
        <v/>
      </c>
      <c r="D47" s="19" t="n">
        <v>680</v>
      </c>
      <c r="E47" s="18" t="n">
        <v>38.98260293</v>
      </c>
      <c r="F47" s="20" t="n">
        <v>1.97105062</v>
      </c>
      <c r="G47" s="18" t="n">
        <v>23.15312947</v>
      </c>
      <c r="H47" s="20" t="n">
        <v>1.75570168</v>
      </c>
      <c r="I47" s="18" t="s">
        <v>567</v>
      </c>
      <c r="J47" s="20" t="s">
        <v>567</v>
      </c>
      <c r="K47" s="18" t="n">
        <v>0</v>
      </c>
      <c r="L47" s="20" t="n">
        <v>0</v>
      </c>
      <c r="M47" s="18" t="n">
        <v>0</v>
      </c>
      <c r="N47" s="20" t="n">
        <v>0</v>
      </c>
      <c r="O47" s="18" t="n">
        <v>0</v>
      </c>
      <c r="P47" s="20" t="n">
        <v>0</v>
      </c>
      <c r="Q47" s="18" t="n">
        <v>37.8642676</v>
      </c>
      <c r="R47" s="20" t="n">
        <v>2.21976781</v>
      </c>
    </row>
    <row r="48" spans="1:18">
      <c r="A48" s="15" t="s">
        <v>608</v>
      </c>
      <c r="B48" s="17" t="n">
        <v>5159</v>
      </c>
      <c r="C48" s="18">
        <f>(4020.0/B48*100)</f>
        <v/>
      </c>
      <c r="D48" s="19" t="n">
        <v>1139</v>
      </c>
      <c r="E48" s="18" t="n">
        <v>56.18604019</v>
      </c>
      <c r="F48" s="20" t="n">
        <v>1.75772358</v>
      </c>
      <c r="G48" s="18" t="n">
        <v>31.71612651</v>
      </c>
      <c r="H48" s="20" t="n">
        <v>1.75167192</v>
      </c>
      <c r="I48" s="18" t="s">
        <v>567</v>
      </c>
      <c r="J48" s="20" t="s">
        <v>567</v>
      </c>
      <c r="K48" s="18" t="n">
        <v>0.19569274</v>
      </c>
      <c r="L48" s="20" t="n">
        <v>0.16090956</v>
      </c>
      <c r="M48" s="18" t="n">
        <v>0</v>
      </c>
      <c r="N48" s="20" t="n">
        <v>0</v>
      </c>
      <c r="O48" s="18" t="n">
        <v>0</v>
      </c>
      <c r="P48" s="20" t="n">
        <v>0</v>
      </c>
      <c r="Q48" s="18" t="n">
        <v>11.90214056</v>
      </c>
      <c r="R48" s="20" t="n">
        <v>1.27063519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(4366.0/B50*100)</f>
        <v/>
      </c>
      <c r="D50" s="19" t="n">
        <v>1271</v>
      </c>
      <c r="E50" s="18" t="n">
        <v>79.20202566</v>
      </c>
      <c r="F50" s="20" t="n">
        <v>1.52891219</v>
      </c>
      <c r="G50" s="18" t="n">
        <v>5.480988</v>
      </c>
      <c r="H50" s="20" t="n">
        <v>0.94332193</v>
      </c>
      <c r="I50" s="18" t="s">
        <v>567</v>
      </c>
      <c r="J50" s="20" t="s">
        <v>567</v>
      </c>
      <c r="K50" s="18" t="n">
        <v>0.46716189</v>
      </c>
      <c r="L50" s="20" t="n">
        <v>0.17932404</v>
      </c>
      <c r="M50" s="18" t="n">
        <v>0.36190873</v>
      </c>
      <c r="N50" s="20" t="n">
        <v>0.191851</v>
      </c>
      <c r="O50" s="18" t="n">
        <v>0</v>
      </c>
      <c r="P50" s="20" t="n">
        <v>0</v>
      </c>
      <c r="Q50" s="18" t="n">
        <v>14.48791573</v>
      </c>
      <c r="R50" s="20" t="n">
        <v>1.33515934</v>
      </c>
    </row>
    <row r="51" spans="1:18">
      <c r="A51" s="15" t="s">
        <v>611</v>
      </c>
      <c r="B51" s="17" t="n">
        <v>3372</v>
      </c>
      <c r="C51" s="18">
        <f>(2705.0/B51*100)</f>
        <v/>
      </c>
      <c r="D51" s="19" t="n">
        <v>667</v>
      </c>
      <c r="E51" s="18" t="n">
        <v>68.85323572999999</v>
      </c>
      <c r="F51" s="20" t="n">
        <v>2.04254984</v>
      </c>
      <c r="G51" s="18" t="n">
        <v>9.27042333</v>
      </c>
      <c r="H51" s="20" t="n">
        <v>1.5212976</v>
      </c>
      <c r="I51" s="18" t="s">
        <v>567</v>
      </c>
      <c r="J51" s="20" t="s">
        <v>567</v>
      </c>
      <c r="K51" s="18" t="n">
        <v>0.21681356</v>
      </c>
      <c r="L51" s="20" t="n">
        <v>0.1947745</v>
      </c>
      <c r="M51" s="18" t="n">
        <v>0</v>
      </c>
      <c r="N51" s="20" t="n">
        <v>0</v>
      </c>
      <c r="O51" s="18" t="n">
        <v>0</v>
      </c>
      <c r="P51" s="20" t="n">
        <v>0</v>
      </c>
      <c r="Q51" s="18" t="n">
        <v>21.65952738</v>
      </c>
      <c r="R51" s="20" t="n">
        <v>2.00849848</v>
      </c>
    </row>
    <row r="52" spans="1:18">
      <c r="A52" s="15" t="s">
        <v>612</v>
      </c>
      <c r="B52" s="17" t="n">
        <v>2796</v>
      </c>
      <c r="C52" s="18">
        <f>(2157.0/B52*100)</f>
        <v/>
      </c>
      <c r="D52" s="19" t="n">
        <v>639</v>
      </c>
      <c r="E52" s="18" t="n">
        <v>41.47698106</v>
      </c>
      <c r="F52" s="20" t="n">
        <v>1.52262493</v>
      </c>
      <c r="G52" s="18" t="n">
        <v>28.80145521</v>
      </c>
      <c r="H52" s="20" t="n">
        <v>1.77759758</v>
      </c>
      <c r="I52" s="18" t="s">
        <v>567</v>
      </c>
      <c r="J52" s="20" t="s">
        <v>567</v>
      </c>
      <c r="K52" s="18" t="n">
        <v>0</v>
      </c>
      <c r="L52" s="20" t="n">
        <v>0</v>
      </c>
      <c r="M52" s="18" t="n">
        <v>0</v>
      </c>
      <c r="N52" s="20" t="n">
        <v>0</v>
      </c>
      <c r="O52" s="18" t="n">
        <v>0</v>
      </c>
      <c r="P52" s="20" t="n">
        <v>0</v>
      </c>
      <c r="Q52" s="18" t="n">
        <v>29.72156373</v>
      </c>
      <c r="R52" s="20" t="n">
        <v>1.71055192</v>
      </c>
    </row>
    <row r="53" spans="1:18">
      <c r="A53" s="15" t="s">
        <v>613</v>
      </c>
      <c r="B53" s="17" t="n">
        <v>2811</v>
      </c>
      <c r="C53" s="18">
        <f>(2166.0/B53*100)</f>
        <v/>
      </c>
      <c r="D53" s="19" t="n">
        <v>645</v>
      </c>
      <c r="E53" s="18" t="n">
        <v>58.69248551</v>
      </c>
      <c r="F53" s="20" t="n">
        <v>2.06256379</v>
      </c>
      <c r="G53" s="18" t="n">
        <v>10.73525186</v>
      </c>
      <c r="H53" s="20" t="n">
        <v>1.18922535</v>
      </c>
      <c r="I53" s="18" t="s">
        <v>567</v>
      </c>
      <c r="J53" s="20" t="s">
        <v>567</v>
      </c>
      <c r="K53" s="18" t="n">
        <v>0.19914709</v>
      </c>
      <c r="L53" s="20" t="n">
        <v>0.20051344</v>
      </c>
      <c r="M53" s="18" t="n">
        <v>0</v>
      </c>
      <c r="N53" s="20" t="n">
        <v>0</v>
      </c>
      <c r="O53" s="18" t="n">
        <v>0</v>
      </c>
      <c r="P53" s="20" t="n">
        <v>0</v>
      </c>
      <c r="Q53" s="18" t="n">
        <v>30.37311554</v>
      </c>
      <c r="R53" s="20" t="n">
        <v>1.77467093</v>
      </c>
    </row>
    <row r="54" spans="1:18">
      <c r="A54" s="15" t="s">
        <v>614</v>
      </c>
      <c r="B54" s="17" t="n">
        <v>2266</v>
      </c>
      <c r="C54" s="18">
        <f>(1779.0/B54*100)</f>
        <v/>
      </c>
      <c r="D54" s="19" t="n">
        <v>487</v>
      </c>
      <c r="E54" s="18" t="n">
        <v>56.53982913</v>
      </c>
      <c r="F54" s="20" t="n">
        <v>2.81750929</v>
      </c>
      <c r="G54" s="18" t="n">
        <v>1.72439648</v>
      </c>
      <c r="H54" s="20" t="n">
        <v>0.63437509</v>
      </c>
      <c r="I54" s="18" t="s">
        <v>567</v>
      </c>
      <c r="J54" s="20" t="s">
        <v>567</v>
      </c>
      <c r="K54" s="18" t="n">
        <v>7.18314811</v>
      </c>
      <c r="L54" s="20" t="n">
        <v>1.59466158</v>
      </c>
      <c r="M54" s="18" t="n">
        <v>0.40672869</v>
      </c>
      <c r="N54" s="20" t="n">
        <v>0.39061028</v>
      </c>
      <c r="O54" s="18" t="n">
        <v>0</v>
      </c>
      <c r="P54" s="20" t="n">
        <v>0</v>
      </c>
      <c r="Q54" s="18" t="n">
        <v>34.14589759</v>
      </c>
      <c r="R54" s="20" t="n">
        <v>2.62740667</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(2093.0/B56*100)</f>
        <v/>
      </c>
      <c r="D56" s="19" t="n">
        <v>591</v>
      </c>
      <c r="E56" s="18" t="n">
        <v>58.27408107</v>
      </c>
      <c r="F56" s="20" t="n">
        <v>2.52117105</v>
      </c>
      <c r="G56" s="18" t="n">
        <v>35.68584186</v>
      </c>
      <c r="H56" s="20" t="n">
        <v>2.34668591</v>
      </c>
      <c r="I56" s="18" t="s">
        <v>567</v>
      </c>
      <c r="J56" s="20" t="s">
        <v>567</v>
      </c>
      <c r="K56" s="18" t="n">
        <v>0.14680849</v>
      </c>
      <c r="L56" s="20" t="n">
        <v>0.14734671</v>
      </c>
      <c r="M56" s="18" t="n">
        <v>0</v>
      </c>
      <c r="N56" s="20" t="n">
        <v>0</v>
      </c>
      <c r="O56" s="18" t="n">
        <v>0</v>
      </c>
      <c r="P56" s="20" t="n">
        <v>0</v>
      </c>
      <c r="Q56" s="18" t="n">
        <v>5.89326858</v>
      </c>
      <c r="R56" s="20" t="n">
        <v>1.09021411</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(2561.0/B61*100)</f>
        <v/>
      </c>
      <c r="D61" s="19" t="n">
        <v>763</v>
      </c>
      <c r="E61" s="18" t="n">
        <v>52.02672736</v>
      </c>
      <c r="F61" s="20" t="n">
        <v>1.86908399</v>
      </c>
      <c r="G61" s="18" t="n">
        <v>29.45572968</v>
      </c>
      <c r="H61" s="20" t="n">
        <v>1.88474646</v>
      </c>
      <c r="I61" s="18" t="s">
        <v>567</v>
      </c>
      <c r="J61" s="20" t="s">
        <v>567</v>
      </c>
      <c r="K61" s="18" t="n">
        <v>0.20914614</v>
      </c>
      <c r="L61" s="20" t="n">
        <v>0.17351063</v>
      </c>
      <c r="M61" s="18" t="n">
        <v>0</v>
      </c>
      <c r="N61" s="20" t="n">
        <v>0</v>
      </c>
      <c r="O61" s="18" t="n">
        <v>0</v>
      </c>
      <c r="P61" s="20" t="n">
        <v>0</v>
      </c>
      <c r="Q61" s="18" t="n">
        <v>18.30839682</v>
      </c>
      <c r="R61" s="20" t="n">
        <v>1.7690916</v>
      </c>
    </row>
    <row r="62" spans="1:18">
      <c r="A62" s="15" t="s">
        <v>622</v>
      </c>
      <c r="B62" s="17" t="n">
        <v>2246</v>
      </c>
      <c r="C62" s="18">
        <f>(1773.0/B62*100)</f>
        <v/>
      </c>
      <c r="D62" s="19" t="n">
        <v>473</v>
      </c>
      <c r="E62" s="18" t="n">
        <v>65.26978386</v>
      </c>
      <c r="F62" s="20" t="n">
        <v>2.17495547</v>
      </c>
      <c r="G62" s="18" t="n">
        <v>28.12530313</v>
      </c>
      <c r="H62" s="20" t="n">
        <v>1.99780523</v>
      </c>
      <c r="I62" s="18" t="s">
        <v>567</v>
      </c>
      <c r="J62" s="20" t="s">
        <v>567</v>
      </c>
      <c r="K62" s="18" t="n">
        <v>0</v>
      </c>
      <c r="L62" s="20" t="n">
        <v>0</v>
      </c>
      <c r="M62" s="18" t="n">
        <v>0</v>
      </c>
      <c r="N62" s="20" t="n">
        <v>0</v>
      </c>
      <c r="O62" s="18" t="n">
        <v>0</v>
      </c>
      <c r="P62" s="20" t="n">
        <v>0</v>
      </c>
      <c r="Q62" s="18" t="n">
        <v>6.60491301</v>
      </c>
      <c r="R62" s="20" t="n">
        <v>1.2523402</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(2262.0/B66*100)</f>
        <v/>
      </c>
      <c r="D66" s="19" t="n">
        <v>632</v>
      </c>
      <c r="E66" s="18" t="n">
        <v>33.08662842</v>
      </c>
      <c r="F66" s="20" t="n">
        <v>1.81353932</v>
      </c>
      <c r="G66" s="18" t="n">
        <v>25.74235817</v>
      </c>
      <c r="H66" s="20" t="n">
        <v>1.77692158</v>
      </c>
      <c r="I66" s="18" t="s">
        <v>567</v>
      </c>
      <c r="J66" s="20" t="s">
        <v>567</v>
      </c>
      <c r="K66" s="18" t="n">
        <v>0.48532171</v>
      </c>
      <c r="L66" s="20" t="n">
        <v>0.28374293</v>
      </c>
      <c r="M66" s="18" t="n">
        <v>0.7812861800000001</v>
      </c>
      <c r="N66" s="20" t="n">
        <v>0.33608159</v>
      </c>
      <c r="O66" s="18" t="n">
        <v>0</v>
      </c>
      <c r="P66" s="20" t="n">
        <v>0</v>
      </c>
      <c r="Q66" s="18" t="n">
        <v>39.90440552</v>
      </c>
      <c r="R66" s="20" t="n">
        <v>1.81834167</v>
      </c>
    </row>
    <row r="67" spans="1:18">
      <c r="A67" s="15" t="s">
        <v>627</v>
      </c>
      <c r="B67" s="17" t="n">
        <v>3511</v>
      </c>
      <c r="C67" s="18">
        <f>(2746.0/B67*100)</f>
        <v/>
      </c>
      <c r="D67" s="19" t="n">
        <v>765</v>
      </c>
      <c r="E67" s="18" t="n">
        <v>76.45040435</v>
      </c>
      <c r="F67" s="20" t="n">
        <v>1.5175914</v>
      </c>
      <c r="G67" s="18" t="n">
        <v>2.13182262</v>
      </c>
      <c r="H67" s="20" t="n">
        <v>0.52173196</v>
      </c>
      <c r="I67" s="18" t="s">
        <v>567</v>
      </c>
      <c r="J67" s="20" t="s">
        <v>567</v>
      </c>
      <c r="K67" s="18" t="n">
        <v>0</v>
      </c>
      <c r="L67" s="20" t="n">
        <v>0</v>
      </c>
      <c r="M67" s="18" t="n">
        <v>0.24871947</v>
      </c>
      <c r="N67" s="20" t="n">
        <v>0.17906565</v>
      </c>
      <c r="O67" s="18" t="n">
        <v>0</v>
      </c>
      <c r="P67" s="20" t="n">
        <v>0</v>
      </c>
      <c r="Q67" s="18" t="n">
        <v>21.16905356</v>
      </c>
      <c r="R67" s="20" t="n">
        <v>1.40891801</v>
      </c>
    </row>
    <row r="68" spans="1:18">
      <c r="A68" s="15" t="s">
        <v>628</v>
      </c>
      <c r="B68" s="17" t="n">
        <v>6049</v>
      </c>
      <c r="C68" s="18">
        <f>(4728.0/B68*100)</f>
        <v/>
      </c>
      <c r="D68" s="19" t="n">
        <v>1321</v>
      </c>
      <c r="E68" s="18" t="n">
        <v>69.55954963000001</v>
      </c>
      <c r="F68" s="20" t="n">
        <v>1.18557603</v>
      </c>
      <c r="G68" s="18" t="n">
        <v>11.56055287</v>
      </c>
      <c r="H68" s="20" t="n">
        <v>0.9224542100000001</v>
      </c>
      <c r="I68" s="18" t="s">
        <v>567</v>
      </c>
      <c r="J68" s="20" t="s">
        <v>567</v>
      </c>
      <c r="K68" s="18" t="n">
        <v>0.95889818</v>
      </c>
      <c r="L68" s="20" t="n">
        <v>0.26659495</v>
      </c>
      <c r="M68" s="18" t="n">
        <v>0.07173864000000001</v>
      </c>
      <c r="N68" s="20" t="n">
        <v>0.07189179</v>
      </c>
      <c r="O68" s="18" t="n">
        <v>0</v>
      </c>
      <c r="P68" s="20" t="n">
        <v>0</v>
      </c>
      <c r="Q68" s="18" t="n">
        <v>17.84926068</v>
      </c>
      <c r="R68" s="20" t="n">
        <v>1.07117799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(2268.0/B70*100)</f>
        <v/>
      </c>
      <c r="D70" s="19" t="n">
        <v>661</v>
      </c>
      <c r="E70" s="18" t="n">
        <v>56.38543866</v>
      </c>
      <c r="F70" s="20" t="n">
        <v>2.27585173</v>
      </c>
      <c r="G70" s="18" t="n">
        <v>22.33369866</v>
      </c>
      <c r="H70" s="20" t="n">
        <v>1.83813472</v>
      </c>
      <c r="I70" s="18" t="s">
        <v>567</v>
      </c>
      <c r="J70" s="20" t="s">
        <v>567</v>
      </c>
      <c r="K70" s="18" t="n">
        <v>0.16727186</v>
      </c>
      <c r="L70" s="20" t="n">
        <v>0.10715441</v>
      </c>
      <c r="M70" s="18" t="n">
        <v>0.10218499</v>
      </c>
      <c r="N70" s="20" t="n">
        <v>0.07254691000000001</v>
      </c>
      <c r="O70" s="18" t="n">
        <v>0</v>
      </c>
      <c r="P70" s="20" t="n">
        <v>0</v>
      </c>
      <c r="Q70" s="18" t="n">
        <v>21.01140583</v>
      </c>
      <c r="R70" s="20" t="n">
        <v>2.22779855</v>
      </c>
    </row>
    <row r="71" spans="1:18">
      <c r="A71" s="15" t="s">
        <v>631</v>
      </c>
      <c r="B71" s="17" t="n">
        <v>3142</v>
      </c>
      <c r="C71" s="18">
        <f>(2435.0/B71*100)</f>
        <v/>
      </c>
      <c r="D71" s="19" t="n">
        <v>707</v>
      </c>
      <c r="E71" s="18" t="n">
        <v>46.0936966</v>
      </c>
      <c r="F71" s="20" t="n">
        <v>1.8534843</v>
      </c>
      <c r="G71" s="18" t="n">
        <v>48.66739072</v>
      </c>
      <c r="H71" s="20" t="n">
        <v>1.97049891</v>
      </c>
      <c r="I71" s="18" t="s">
        <v>567</v>
      </c>
      <c r="J71" s="20" t="s">
        <v>567</v>
      </c>
      <c r="K71" s="18" t="n">
        <v>0.15123528</v>
      </c>
      <c r="L71" s="20" t="n">
        <v>0.14422725</v>
      </c>
      <c r="M71" s="18" t="n">
        <v>0</v>
      </c>
      <c r="N71" s="20" t="n">
        <v>0</v>
      </c>
      <c r="O71" s="18" t="n">
        <v>0</v>
      </c>
      <c r="P71" s="20" t="n">
        <v>0</v>
      </c>
      <c r="Q71" s="18" t="n">
        <v>5.0876774</v>
      </c>
      <c r="R71" s="20" t="n">
        <v>0.88440758</v>
      </c>
    </row>
    <row r="72" spans="1:18">
      <c r="A72" s="15" t="s">
        <v>632</v>
      </c>
      <c r="B72" s="17" t="n">
        <v>3889</v>
      </c>
      <c r="C72" s="18">
        <f>(3019.0/B72*100)</f>
        <v/>
      </c>
      <c r="D72" s="19" t="n">
        <v>870</v>
      </c>
      <c r="E72" s="18" t="n">
        <v>70.14179343000001</v>
      </c>
      <c r="F72" s="20" t="n">
        <v>1.41237657</v>
      </c>
      <c r="G72" s="18" t="n">
        <v>17.86704062</v>
      </c>
      <c r="H72" s="20" t="n">
        <v>1.2968711</v>
      </c>
      <c r="I72" s="18" t="s">
        <v>567</v>
      </c>
      <c r="J72" s="20" t="s">
        <v>567</v>
      </c>
      <c r="K72" s="18" t="n">
        <v>0.14865981</v>
      </c>
      <c r="L72" s="20" t="n">
        <v>0.14840937</v>
      </c>
      <c r="M72" s="18" t="n">
        <v>0</v>
      </c>
      <c r="N72" s="20" t="n">
        <v>0</v>
      </c>
      <c r="O72" s="18" t="n">
        <v>0</v>
      </c>
      <c r="P72" s="20" t="n">
        <v>0</v>
      </c>
      <c r="Q72" s="18" t="n">
        <v>11.84250614</v>
      </c>
      <c r="R72" s="20" t="n">
        <v>1.15391367</v>
      </c>
    </row>
    <row r="73" spans="1:18">
      <c r="A73" s="15" t="s">
        <v>633</v>
      </c>
      <c r="B73" s="17" t="n">
        <v>3597</v>
      </c>
      <c r="C73" s="18">
        <f>(2823.0/B73*100)</f>
        <v/>
      </c>
      <c r="D73" s="19" t="n">
        <v>774</v>
      </c>
      <c r="E73" s="18" t="n">
        <v>92.86292975000001</v>
      </c>
      <c r="F73" s="20" t="n">
        <v>1.168229</v>
      </c>
      <c r="G73" s="18" t="n">
        <v>2.94015357</v>
      </c>
      <c r="H73" s="20" t="n">
        <v>0.7941613199999999</v>
      </c>
      <c r="I73" s="18" t="s">
        <v>567</v>
      </c>
      <c r="J73" s="20" t="s">
        <v>567</v>
      </c>
      <c r="K73" s="18" t="n">
        <v>0</v>
      </c>
      <c r="L73" s="20" t="n">
        <v>0</v>
      </c>
      <c r="M73" s="18" t="n">
        <v>0.08358761000000001</v>
      </c>
      <c r="N73" s="20" t="n">
        <v>0.07684988</v>
      </c>
      <c r="O73" s="18" t="n">
        <v>0</v>
      </c>
      <c r="P73" s="20" t="n">
        <v>0</v>
      </c>
      <c r="Q73" s="18" t="n">
        <v>4.11332907</v>
      </c>
      <c r="R73" s="20" t="n">
        <v>0.82495777</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(1899.0/B75*100)</f>
        <v/>
      </c>
      <c r="D75" s="19" t="n">
        <v>507</v>
      </c>
      <c r="E75" s="18" t="n">
        <v>56.33237967</v>
      </c>
      <c r="F75" s="20" t="n">
        <v>2.35775203</v>
      </c>
      <c r="G75" s="18" t="n">
        <v>8.86313679</v>
      </c>
      <c r="H75" s="20" t="n">
        <v>1.195043</v>
      </c>
      <c r="I75" s="18" t="s">
        <v>567</v>
      </c>
      <c r="J75" s="20" t="s">
        <v>567</v>
      </c>
      <c r="K75" s="18" t="n">
        <v>0.81662841</v>
      </c>
      <c r="L75" s="20" t="n">
        <v>0.34560924</v>
      </c>
      <c r="M75" s="18" t="n">
        <v>0.80017761</v>
      </c>
      <c r="N75" s="20" t="n">
        <v>0.38586634</v>
      </c>
      <c r="O75" s="18" t="n">
        <v>0</v>
      </c>
      <c r="P75" s="20" t="n">
        <v>0</v>
      </c>
      <c r="Q75" s="18" t="n">
        <v>33.18767752</v>
      </c>
      <c r="R75" s="20" t="n">
        <v>2.32685069</v>
      </c>
    </row>
    <row r="76" spans="1:18">
      <c r="A76" s="15" t="s">
        <v>636</v>
      </c>
      <c r="B76" s="17" t="n">
        <v>7052</v>
      </c>
      <c r="C76" s="18">
        <f>(5492.0/B76*100)</f>
        <v/>
      </c>
      <c r="D76" s="19" t="n">
        <v>1560</v>
      </c>
      <c r="E76" s="18" t="n">
        <v>71.53300814000001</v>
      </c>
      <c r="F76" s="20" t="n">
        <v>1.42547681</v>
      </c>
      <c r="G76" s="18" t="n">
        <v>16.75392461</v>
      </c>
      <c r="H76" s="20" t="n">
        <v>1.33148624</v>
      </c>
      <c r="I76" s="18" t="s">
        <v>567</v>
      </c>
      <c r="J76" s="20" t="s">
        <v>567</v>
      </c>
      <c r="K76" s="18" t="n">
        <v>0.26362665</v>
      </c>
      <c r="L76" s="20" t="n">
        <v>0.14356351</v>
      </c>
      <c r="M76" s="18" t="n">
        <v>0.35251229</v>
      </c>
      <c r="N76" s="20" t="n">
        <v>0.17011839</v>
      </c>
      <c r="O76" s="18" t="n">
        <v>0</v>
      </c>
      <c r="P76" s="20" t="n">
        <v>0</v>
      </c>
      <c r="Q76" s="18" t="n">
        <v>11.09692831</v>
      </c>
      <c r="R76" s="20" t="n">
        <v>0.94184528</v>
      </c>
    </row>
    <row r="77" spans="1:18">
      <c r="A77" s="15" t="s">
        <v>637</v>
      </c>
      <c r="B77" s="17" t="n">
        <v>2908</v>
      </c>
      <c r="C77" s="18">
        <f>(2236.0/B77*100)</f>
        <v/>
      </c>
      <c r="D77" s="19" t="n">
        <v>672</v>
      </c>
      <c r="E77" s="18" t="n">
        <v>43.88719267</v>
      </c>
      <c r="F77" s="20" t="n">
        <v>1.8431078</v>
      </c>
      <c r="G77" s="18" t="n">
        <v>11.36165115</v>
      </c>
      <c r="H77" s="20" t="n">
        <v>1.21595731</v>
      </c>
      <c r="I77" s="18" t="s">
        <v>567</v>
      </c>
      <c r="J77" s="20" t="s">
        <v>567</v>
      </c>
      <c r="K77" s="18" t="n">
        <v>0.31307405</v>
      </c>
      <c r="L77" s="20" t="n">
        <v>0.21300502</v>
      </c>
      <c r="M77" s="18" t="n">
        <v>0</v>
      </c>
      <c r="N77" s="20" t="n">
        <v>0</v>
      </c>
      <c r="O77" s="18" t="n">
        <v>0</v>
      </c>
      <c r="P77" s="20" t="n">
        <v>0</v>
      </c>
      <c r="Q77" s="18" t="n">
        <v>44.43808213</v>
      </c>
      <c r="R77" s="20" t="n">
        <v>1.80102297</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(3220.0/B81*100)</f>
        <v/>
      </c>
      <c r="D81" s="19" t="n">
        <v>943</v>
      </c>
      <c r="E81" s="18" t="n">
        <v>73.12340829999999</v>
      </c>
      <c r="F81" s="20" t="n">
        <v>1.62949464</v>
      </c>
      <c r="G81" s="18" t="n">
        <v>22.26470366</v>
      </c>
      <c r="H81" s="20" t="n">
        <v>1.54450323</v>
      </c>
      <c r="I81" s="18" t="s">
        <v>567</v>
      </c>
      <c r="J81" s="20" t="s">
        <v>567</v>
      </c>
      <c r="K81" s="18" t="n">
        <v>0</v>
      </c>
      <c r="L81" s="20" t="n">
        <v>0</v>
      </c>
      <c r="M81" s="18" t="n">
        <v>0</v>
      </c>
      <c r="N81" s="20" t="n">
        <v>0</v>
      </c>
      <c r="O81" s="18" t="n">
        <v>0</v>
      </c>
      <c r="P81" s="20" t="n">
        <v>0</v>
      </c>
      <c r="Q81" s="18" t="n">
        <v>4.61188803</v>
      </c>
      <c r="R81" s="20" t="n">
        <v>1.00643756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(5739.0/B7*100)</f>
        <v/>
      </c>
      <c r="D7" s="19" t="n">
        <v>1628</v>
      </c>
      <c r="E7" s="18" t="n">
        <v>65.32361471</v>
      </c>
      <c r="F7" s="20" t="n">
        <v>1.48523196</v>
      </c>
      <c r="G7" s="18" t="n">
        <v>33.51253537</v>
      </c>
      <c r="H7" s="20" t="n">
        <v>1.48878578</v>
      </c>
      <c r="I7" s="18" t="s">
        <v>567</v>
      </c>
      <c r="J7" s="20" t="s">
        <v>567</v>
      </c>
      <c r="K7" s="18" t="n">
        <v>0.09153114</v>
      </c>
      <c r="L7" s="20" t="n">
        <v>0.06827817</v>
      </c>
      <c r="M7" s="18" t="n">
        <v>0</v>
      </c>
      <c r="N7" s="20" t="n">
        <v>0</v>
      </c>
      <c r="O7" s="18" t="n">
        <v>0</v>
      </c>
      <c r="P7" s="20" t="n">
        <v>0</v>
      </c>
      <c r="Q7" s="18" t="n">
        <v>1.07231878</v>
      </c>
      <c r="R7" s="20" t="n">
        <v>0.30935925</v>
      </c>
    </row>
    <row r="8" spans="1:18">
      <c r="A8" s="15" t="s">
        <v>568</v>
      </c>
      <c r="B8" s="17" t="n">
        <v>3564</v>
      </c>
      <c r="C8" s="18">
        <f>(2790.0/B8*100)</f>
        <v/>
      </c>
      <c r="D8" s="19" t="n">
        <v>774</v>
      </c>
      <c r="E8" s="18" t="n">
        <v>49.46724415</v>
      </c>
      <c r="F8" s="20" t="n">
        <v>2.27495697</v>
      </c>
      <c r="G8" s="18" t="n">
        <v>48.87403032</v>
      </c>
      <c r="H8" s="20" t="n">
        <v>2.23513049</v>
      </c>
      <c r="I8" s="18" t="s">
        <v>567</v>
      </c>
      <c r="J8" s="20" t="s">
        <v>567</v>
      </c>
      <c r="K8" s="18" t="n">
        <v>0.10302818</v>
      </c>
      <c r="L8" s="20" t="n">
        <v>0.17493028</v>
      </c>
      <c r="M8" s="18" t="n">
        <v>0</v>
      </c>
      <c r="N8" s="20" t="n">
        <v>0</v>
      </c>
      <c r="O8" s="18" t="n">
        <v>0</v>
      </c>
      <c r="P8" s="20" t="n">
        <v>0</v>
      </c>
      <c r="Q8" s="18" t="n">
        <v>1.55569736</v>
      </c>
      <c r="R8" s="20" t="n">
        <v>0.50544385</v>
      </c>
    </row>
    <row r="9" spans="1:18">
      <c r="A9" s="15" t="s">
        <v>569</v>
      </c>
      <c r="B9" s="17" t="n">
        <v>4899</v>
      </c>
      <c r="C9" s="18">
        <f>(3851.0/B9*100)</f>
        <v/>
      </c>
      <c r="D9" s="19" t="n">
        <v>1048</v>
      </c>
      <c r="E9" s="18" t="n">
        <v>51.54242292</v>
      </c>
      <c r="F9" s="20" t="n">
        <v>1.58566005</v>
      </c>
      <c r="G9" s="18" t="n">
        <v>47.20158828</v>
      </c>
      <c r="H9" s="20" t="n">
        <v>1.63664995</v>
      </c>
      <c r="I9" s="18" t="s">
        <v>567</v>
      </c>
      <c r="J9" s="20" t="s">
        <v>567</v>
      </c>
      <c r="K9" s="18" t="n">
        <v>0.12999819</v>
      </c>
      <c r="L9" s="20" t="n">
        <v>0.07282991</v>
      </c>
      <c r="M9" s="18" t="n">
        <v>0</v>
      </c>
      <c r="N9" s="20" t="n">
        <v>0</v>
      </c>
      <c r="O9" s="18" t="n">
        <v>0</v>
      </c>
      <c r="P9" s="20" t="n">
        <v>0</v>
      </c>
      <c r="Q9" s="18" t="n">
        <v>1.12599061</v>
      </c>
      <c r="R9" s="20" t="n">
        <v>0.31397445</v>
      </c>
    </row>
    <row r="10" spans="1:18">
      <c r="A10" s="15" t="s">
        <v>570</v>
      </c>
      <c r="B10" s="17" t="n">
        <v>10036</v>
      </c>
      <c r="C10" s="18">
        <f>(7858.0/B10*100)</f>
        <v/>
      </c>
      <c r="D10" s="19" t="n">
        <v>2178</v>
      </c>
      <c r="E10" s="18" t="n">
        <v>53.49568945</v>
      </c>
      <c r="F10" s="20" t="n">
        <v>1.47200659</v>
      </c>
      <c r="G10" s="18" t="n">
        <v>45.63849422</v>
      </c>
      <c r="H10" s="20" t="n">
        <v>1.46193495</v>
      </c>
      <c r="I10" s="18" t="s">
        <v>567</v>
      </c>
      <c r="J10" s="20" t="s">
        <v>567</v>
      </c>
      <c r="K10" s="18" t="n">
        <v>0</v>
      </c>
      <c r="L10" s="20" t="n">
        <v>0</v>
      </c>
      <c r="M10" s="18" t="n">
        <v>0</v>
      </c>
      <c r="N10" s="20" t="n">
        <v>0</v>
      </c>
      <c r="O10" s="18" t="n">
        <v>0</v>
      </c>
      <c r="P10" s="20" t="n">
        <v>0</v>
      </c>
      <c r="Q10" s="18" t="n">
        <v>0.86581633</v>
      </c>
      <c r="R10" s="20" t="n">
        <v>0.29538073</v>
      </c>
    </row>
    <row r="11" spans="1:18">
      <c r="A11" s="15" t="s">
        <v>571</v>
      </c>
      <c r="B11" s="17" t="n">
        <v>3553</v>
      </c>
      <c r="C11" s="18">
        <f>(2771.0/B11*100)</f>
        <v/>
      </c>
      <c r="D11" s="19" t="n">
        <v>782</v>
      </c>
      <c r="E11" s="18" t="n">
        <v>66.15827594</v>
      </c>
      <c r="F11" s="20" t="n">
        <v>2.25088114</v>
      </c>
      <c r="G11" s="18" t="n">
        <v>31.00324035</v>
      </c>
      <c r="H11" s="20" t="n">
        <v>2.10547223</v>
      </c>
      <c r="I11" s="18" t="s">
        <v>567</v>
      </c>
      <c r="J11" s="20" t="s">
        <v>567</v>
      </c>
      <c r="K11" s="18" t="n">
        <v>0.42929989</v>
      </c>
      <c r="L11" s="20" t="n">
        <v>0.24744579</v>
      </c>
      <c r="M11" s="18" t="n">
        <v>0</v>
      </c>
      <c r="N11" s="20" t="n">
        <v>0</v>
      </c>
      <c r="O11" s="18" t="n">
        <v>0</v>
      </c>
      <c r="P11" s="20" t="n">
        <v>0</v>
      </c>
      <c r="Q11" s="18" t="n">
        <v>2.40918382</v>
      </c>
      <c r="R11" s="20" t="n">
        <v>0.72537357</v>
      </c>
    </row>
    <row r="12" spans="1:18">
      <c r="A12" s="15" t="s">
        <v>572</v>
      </c>
      <c r="B12" s="17" t="n">
        <v>3472</v>
      </c>
      <c r="C12" s="18">
        <f>(2724.0/B12*100)</f>
        <v/>
      </c>
      <c r="D12" s="19" t="n">
        <v>748</v>
      </c>
      <c r="E12" s="18" t="n">
        <v>48.41738404</v>
      </c>
      <c r="F12" s="20" t="n">
        <v>1.90542506</v>
      </c>
      <c r="G12" s="18" t="n">
        <v>50.46591267</v>
      </c>
      <c r="H12" s="20" t="n">
        <v>1.89178513</v>
      </c>
      <c r="I12" s="18" t="s">
        <v>567</v>
      </c>
      <c r="J12" s="20" t="s">
        <v>567</v>
      </c>
      <c r="K12" s="18" t="n">
        <v>0.24345347</v>
      </c>
      <c r="L12" s="20" t="n">
        <v>0.21384727</v>
      </c>
      <c r="M12" s="18" t="n">
        <v>0</v>
      </c>
      <c r="N12" s="20" t="n">
        <v>0</v>
      </c>
      <c r="O12" s="18" t="n">
        <v>0</v>
      </c>
      <c r="P12" s="20" t="n">
        <v>0</v>
      </c>
      <c r="Q12" s="18" t="n">
        <v>0.87324982</v>
      </c>
      <c r="R12" s="20" t="n">
        <v>0.31788685</v>
      </c>
    </row>
    <row r="13" spans="1:18">
      <c r="A13" s="15" t="s">
        <v>573</v>
      </c>
      <c r="B13" s="17" t="n">
        <v>3559</v>
      </c>
      <c r="C13" s="18">
        <f>(2817.0/B13*100)</f>
        <v/>
      </c>
      <c r="D13" s="19" t="n">
        <v>742</v>
      </c>
      <c r="E13" s="18" t="n">
        <v>50.52239623</v>
      </c>
      <c r="F13" s="20" t="n">
        <v>2.09883505</v>
      </c>
      <c r="G13" s="18" t="n">
        <v>47.64702956</v>
      </c>
      <c r="H13" s="20" t="n">
        <v>2.055985</v>
      </c>
      <c r="I13" s="18" t="s">
        <v>567</v>
      </c>
      <c r="J13" s="20" t="s">
        <v>567</v>
      </c>
      <c r="K13" s="18" t="n">
        <v>0.25226421</v>
      </c>
      <c r="L13" s="20" t="n">
        <v>0.19079166</v>
      </c>
      <c r="M13" s="18" t="n">
        <v>0</v>
      </c>
      <c r="N13" s="20" t="n">
        <v>0</v>
      </c>
      <c r="O13" s="18" t="n">
        <v>0</v>
      </c>
      <c r="P13" s="20" t="n">
        <v>0</v>
      </c>
      <c r="Q13" s="18" t="n">
        <v>1.57831</v>
      </c>
      <c r="R13" s="20" t="n">
        <v>0.42046172</v>
      </c>
    </row>
    <row r="14" spans="1:18">
      <c r="A14" s="15" t="s">
        <v>574</v>
      </c>
      <c r="B14" s="17" t="n">
        <v>2799</v>
      </c>
      <c r="C14" s="18">
        <f>(2175.0/B14*100)</f>
        <v/>
      </c>
      <c r="D14" s="19" t="n">
        <v>624</v>
      </c>
      <c r="E14" s="18" t="n">
        <v>51.50284581</v>
      </c>
      <c r="F14" s="20" t="n">
        <v>2.11197666</v>
      </c>
      <c r="G14" s="18" t="n">
        <v>48.38001278</v>
      </c>
      <c r="H14" s="20" t="n">
        <v>2.12683589</v>
      </c>
      <c r="I14" s="18" t="s">
        <v>567</v>
      </c>
      <c r="J14" s="20" t="s">
        <v>567</v>
      </c>
      <c r="K14" s="18" t="n">
        <v>0</v>
      </c>
      <c r="L14" s="20" t="n">
        <v>0</v>
      </c>
      <c r="M14" s="18" t="n">
        <v>0</v>
      </c>
      <c r="N14" s="20" t="n">
        <v>0</v>
      </c>
      <c r="O14" s="18" t="n">
        <v>0</v>
      </c>
      <c r="P14" s="20" t="n">
        <v>0</v>
      </c>
      <c r="Q14" s="18" t="n">
        <v>0.11714142</v>
      </c>
      <c r="R14" s="20" t="n">
        <v>0.11650091</v>
      </c>
    </row>
    <row r="15" spans="1:18">
      <c r="A15" s="15" t="s">
        <v>575</v>
      </c>
      <c r="B15" s="17" t="n">
        <v>3019</v>
      </c>
      <c r="C15" s="18">
        <f>(2400.0/B15*100)</f>
        <v/>
      </c>
      <c r="D15" s="19" t="n">
        <v>619</v>
      </c>
      <c r="E15" s="18" t="n">
        <v>53.77066278</v>
      </c>
      <c r="F15" s="20" t="n">
        <v>2.02246965</v>
      </c>
      <c r="G15" s="18" t="n">
        <v>44.88907285</v>
      </c>
      <c r="H15" s="20" t="n">
        <v>2.08210552</v>
      </c>
      <c r="I15" s="18" t="s">
        <v>567</v>
      </c>
      <c r="J15" s="20" t="s">
        <v>567</v>
      </c>
      <c r="K15" s="18" t="n">
        <v>0.15747216</v>
      </c>
      <c r="L15" s="20" t="n">
        <v>0.158072</v>
      </c>
      <c r="M15" s="18" t="n">
        <v>0</v>
      </c>
      <c r="N15" s="20" t="n">
        <v>0</v>
      </c>
      <c r="O15" s="18" t="n">
        <v>0</v>
      </c>
      <c r="P15" s="20" t="n">
        <v>0</v>
      </c>
      <c r="Q15" s="18" t="n">
        <v>1.18279221</v>
      </c>
      <c r="R15" s="20" t="n">
        <v>0.41794299</v>
      </c>
    </row>
    <row r="16" spans="1:18">
      <c r="A16" s="15" t="s">
        <v>576</v>
      </c>
      <c r="B16" s="17" t="n">
        <v>2997</v>
      </c>
      <c r="C16" s="18">
        <f>(2347.0/B16*100)</f>
        <v/>
      </c>
      <c r="D16" s="19" t="n">
        <v>650</v>
      </c>
      <c r="E16" s="18" t="n">
        <v>44.78825288</v>
      </c>
      <c r="F16" s="20" t="n">
        <v>2.18076167</v>
      </c>
      <c r="G16" s="18" t="n">
        <v>51.35407465</v>
      </c>
      <c r="H16" s="20" t="n">
        <v>1.99812701</v>
      </c>
      <c r="I16" s="18" t="s">
        <v>567</v>
      </c>
      <c r="J16" s="20" t="s">
        <v>567</v>
      </c>
      <c r="K16" s="18" t="n">
        <v>0.63914618</v>
      </c>
      <c r="L16" s="20" t="n">
        <v>0.27572668</v>
      </c>
      <c r="M16" s="18" t="n">
        <v>0</v>
      </c>
      <c r="N16" s="20" t="n">
        <v>0</v>
      </c>
      <c r="O16" s="18" t="n">
        <v>0</v>
      </c>
      <c r="P16" s="20" t="n">
        <v>0</v>
      </c>
      <c r="Q16" s="18" t="n">
        <v>3.2185263</v>
      </c>
      <c r="R16" s="20" t="n">
        <v>0.69925127</v>
      </c>
    </row>
    <row r="17" spans="1:18">
      <c r="A17" s="15" t="s">
        <v>577</v>
      </c>
      <c r="B17" s="17" t="n">
        <v>3307</v>
      </c>
      <c r="C17" s="18">
        <f>(2585.0/B17*100)</f>
        <v/>
      </c>
      <c r="D17" s="19" t="n">
        <v>722</v>
      </c>
      <c r="E17" s="18" t="n">
        <v>44.82570865</v>
      </c>
      <c r="F17" s="20" t="n">
        <v>2.18419499</v>
      </c>
      <c r="G17" s="18" t="n">
        <v>53.05668758</v>
      </c>
      <c r="H17" s="20" t="n">
        <v>2.15164564</v>
      </c>
      <c r="I17" s="18" t="s">
        <v>567</v>
      </c>
      <c r="J17" s="20" t="s">
        <v>567</v>
      </c>
      <c r="K17" s="18" t="n">
        <v>0</v>
      </c>
      <c r="L17" s="20" t="n">
        <v>0</v>
      </c>
      <c r="M17" s="18" t="n">
        <v>0</v>
      </c>
      <c r="N17" s="20" t="n">
        <v>0</v>
      </c>
      <c r="O17" s="18" t="n">
        <v>0</v>
      </c>
      <c r="P17" s="20" t="n">
        <v>0</v>
      </c>
      <c r="Q17" s="18" t="n">
        <v>2.11760378</v>
      </c>
      <c r="R17" s="20" t="n">
        <v>0.60238899</v>
      </c>
    </row>
    <row r="18" spans="1:18">
      <c r="A18" s="15" t="s">
        <v>578</v>
      </c>
      <c r="B18" s="17" t="n">
        <v>2826</v>
      </c>
      <c r="C18" s="18">
        <f>(2214.0/B18*100)</f>
        <v/>
      </c>
      <c r="D18" s="19" t="n">
        <v>612</v>
      </c>
      <c r="E18" s="18" t="n">
        <v>68.78766487999999</v>
      </c>
      <c r="F18" s="20" t="n">
        <v>2.40037478</v>
      </c>
      <c r="G18" s="18" t="n">
        <v>29.72665365</v>
      </c>
      <c r="H18" s="20" t="n">
        <v>2.26657102</v>
      </c>
      <c r="I18" s="18" t="s">
        <v>567</v>
      </c>
      <c r="J18" s="20" t="s">
        <v>567</v>
      </c>
      <c r="K18" s="18" t="n">
        <v>0.22095395</v>
      </c>
      <c r="L18" s="20" t="n">
        <v>0.17758188</v>
      </c>
      <c r="M18" s="18" t="n">
        <v>0</v>
      </c>
      <c r="N18" s="20" t="n">
        <v>0</v>
      </c>
      <c r="O18" s="18" t="n">
        <v>0</v>
      </c>
      <c r="P18" s="20" t="n">
        <v>0</v>
      </c>
      <c r="Q18" s="18" t="n">
        <v>1.26472752</v>
      </c>
      <c r="R18" s="20" t="n">
        <v>0.51921252</v>
      </c>
    </row>
    <row r="19" spans="1:18">
      <c r="A19" s="15" t="s">
        <v>579</v>
      </c>
      <c r="B19" s="17" t="n">
        <v>2808</v>
      </c>
      <c r="C19" s="18">
        <f>(2200.0/B19*100)</f>
        <v/>
      </c>
      <c r="D19" s="19" t="n">
        <v>608</v>
      </c>
      <c r="E19" s="18" t="n">
        <v>74.86366146</v>
      </c>
      <c r="F19" s="20" t="n">
        <v>1.38320363</v>
      </c>
      <c r="G19" s="18" t="n">
        <v>24.01122046</v>
      </c>
      <c r="H19" s="20" t="n">
        <v>1.37645953</v>
      </c>
      <c r="I19" s="18" t="s">
        <v>567</v>
      </c>
      <c r="J19" s="20" t="s">
        <v>567</v>
      </c>
      <c r="K19" s="18" t="n">
        <v>0.11340656</v>
      </c>
      <c r="L19" s="20" t="n">
        <v>0.11330074</v>
      </c>
      <c r="M19" s="18" t="n">
        <v>0</v>
      </c>
      <c r="N19" s="20" t="n">
        <v>0</v>
      </c>
      <c r="O19" s="18" t="n">
        <v>0</v>
      </c>
      <c r="P19" s="20" t="n">
        <v>0</v>
      </c>
      <c r="Q19" s="18" t="n">
        <v>1.01171152</v>
      </c>
      <c r="R19" s="20" t="n">
        <v>0.37578054</v>
      </c>
    </row>
    <row r="20" spans="1:18">
      <c r="A20" s="15" t="s">
        <v>580</v>
      </c>
      <c r="B20" s="17" t="n">
        <v>1630</v>
      </c>
      <c r="C20" s="18">
        <f>(1267.0/B20*100)</f>
        <v/>
      </c>
      <c r="D20" s="19" t="n">
        <v>363</v>
      </c>
      <c r="E20" s="18" t="n">
        <v>74.54783243</v>
      </c>
      <c r="F20" s="20" t="n">
        <v>2.18834704</v>
      </c>
      <c r="G20" s="18" t="n">
        <v>22.09394244</v>
      </c>
      <c r="H20" s="20" t="n">
        <v>2.14218788</v>
      </c>
      <c r="I20" s="18" t="s">
        <v>567</v>
      </c>
      <c r="J20" s="20" t="s">
        <v>567</v>
      </c>
      <c r="K20" s="18" t="n">
        <v>0</v>
      </c>
      <c r="L20" s="20" t="n">
        <v>0</v>
      </c>
      <c r="M20" s="18" t="n">
        <v>0</v>
      </c>
      <c r="N20" s="20" t="n">
        <v>0</v>
      </c>
      <c r="O20" s="18" t="n">
        <v>0</v>
      </c>
      <c r="P20" s="20" t="n">
        <v>0</v>
      </c>
      <c r="Q20" s="18" t="n">
        <v>3.35822513</v>
      </c>
      <c r="R20" s="20" t="n">
        <v>1.09080246</v>
      </c>
    </row>
    <row r="21" spans="1:18">
      <c r="A21" s="15" t="s">
        <v>581</v>
      </c>
      <c r="B21" s="17" t="n">
        <v>2908</v>
      </c>
      <c r="C21" s="18">
        <f>(2246.0/B21*100)</f>
        <v/>
      </c>
      <c r="D21" s="19" t="n">
        <v>662</v>
      </c>
      <c r="E21" s="18" t="n">
        <v>65.27991514</v>
      </c>
      <c r="F21" s="20" t="n">
        <v>1.52435259</v>
      </c>
      <c r="G21" s="18" t="n">
        <v>33.8928029</v>
      </c>
      <c r="H21" s="20" t="n">
        <v>1.54292206</v>
      </c>
      <c r="I21" s="18" t="s">
        <v>567</v>
      </c>
      <c r="J21" s="20" t="s">
        <v>567</v>
      </c>
      <c r="K21" s="18" t="n">
        <v>0</v>
      </c>
      <c r="L21" s="20" t="n">
        <v>0</v>
      </c>
      <c r="M21" s="18" t="n">
        <v>0</v>
      </c>
      <c r="N21" s="20" t="n">
        <v>0</v>
      </c>
      <c r="O21" s="18" t="n">
        <v>0</v>
      </c>
      <c r="P21" s="20" t="n">
        <v>0</v>
      </c>
      <c r="Q21" s="18" t="n">
        <v>0.82728196</v>
      </c>
      <c r="R21" s="20" t="n">
        <v>0.37057201</v>
      </c>
    </row>
    <row r="22" spans="1:18">
      <c r="A22" s="15" t="s">
        <v>582</v>
      </c>
      <c r="B22" s="17" t="n">
        <v>2931</v>
      </c>
      <c r="C22" s="18">
        <f>(2286.0/B22*100)</f>
        <v/>
      </c>
      <c r="D22" s="19" t="n">
        <v>645</v>
      </c>
      <c r="E22" s="18" t="n">
        <v>67.58229839000001</v>
      </c>
      <c r="F22" s="20" t="n">
        <v>2.73187849</v>
      </c>
      <c r="G22" s="18" t="n">
        <v>29.09663664</v>
      </c>
      <c r="H22" s="20" t="n">
        <v>2.6534926</v>
      </c>
      <c r="I22" s="18" t="s">
        <v>567</v>
      </c>
      <c r="J22" s="20" t="s">
        <v>567</v>
      </c>
      <c r="K22" s="18" t="n">
        <v>0.32198089</v>
      </c>
      <c r="L22" s="20" t="n">
        <v>0.27658148</v>
      </c>
      <c r="M22" s="18" t="n">
        <v>0</v>
      </c>
      <c r="N22" s="20" t="n">
        <v>0</v>
      </c>
      <c r="O22" s="18" t="n">
        <v>0</v>
      </c>
      <c r="P22" s="20" t="n">
        <v>0</v>
      </c>
      <c r="Q22" s="18" t="n">
        <v>2.99908408</v>
      </c>
      <c r="R22" s="20" t="n">
        <v>0.77626839</v>
      </c>
    </row>
    <row r="23" spans="1:18">
      <c r="A23" s="15" t="s">
        <v>583</v>
      </c>
      <c r="B23" s="17" t="n">
        <v>5791</v>
      </c>
      <c r="C23" s="18">
        <f>(4511.0/B23*100)</f>
        <v/>
      </c>
      <c r="D23" s="19" t="n">
        <v>1280</v>
      </c>
      <c r="E23" s="18" t="n">
        <v>54.70951682</v>
      </c>
      <c r="F23" s="20" t="n">
        <v>1.94296558</v>
      </c>
      <c r="G23" s="18" t="n">
        <v>44.37074251</v>
      </c>
      <c r="H23" s="20" t="n">
        <v>1.94484864</v>
      </c>
      <c r="I23" s="18" t="s">
        <v>567</v>
      </c>
      <c r="J23" s="20" t="s">
        <v>567</v>
      </c>
      <c r="K23" s="18" t="n">
        <v>0.27763626</v>
      </c>
      <c r="L23" s="20" t="n">
        <v>0.2565801</v>
      </c>
      <c r="M23" s="18" t="n">
        <v>0</v>
      </c>
      <c r="N23" s="20" t="n">
        <v>0</v>
      </c>
      <c r="O23" s="18" t="n">
        <v>0</v>
      </c>
      <c r="P23" s="20" t="n">
        <v>0</v>
      </c>
      <c r="Q23" s="18" t="n">
        <v>0.64210441</v>
      </c>
      <c r="R23" s="20" t="n">
        <v>0.29225659</v>
      </c>
    </row>
    <row r="24" spans="1:18">
      <c r="A24" s="15" t="s">
        <v>584</v>
      </c>
      <c r="B24" s="17" t="n">
        <v>3338</v>
      </c>
      <c r="C24" s="18">
        <f>(2605.0/B24*100)</f>
        <v/>
      </c>
      <c r="D24" s="19" t="n">
        <v>733</v>
      </c>
      <c r="E24" s="18" t="n">
        <v>44.83407209</v>
      </c>
      <c r="F24" s="20" t="n">
        <v>1.92292463</v>
      </c>
      <c r="G24" s="18" t="n">
        <v>54.0329216</v>
      </c>
      <c r="H24" s="20" t="n">
        <v>1.9710518</v>
      </c>
      <c r="I24" s="18" t="s">
        <v>567</v>
      </c>
      <c r="J24" s="20" t="s">
        <v>567</v>
      </c>
      <c r="K24" s="18" t="n">
        <v>0.22672467</v>
      </c>
      <c r="L24" s="20" t="n">
        <v>0.16091716</v>
      </c>
      <c r="M24" s="18" t="n">
        <v>0</v>
      </c>
      <c r="N24" s="20" t="n">
        <v>0</v>
      </c>
      <c r="O24" s="18" t="n">
        <v>0</v>
      </c>
      <c r="P24" s="20" t="n">
        <v>0</v>
      </c>
      <c r="Q24" s="18" t="n">
        <v>0.90628164</v>
      </c>
      <c r="R24" s="20" t="n">
        <v>0.343027</v>
      </c>
    </row>
    <row r="25" spans="1:18">
      <c r="A25" s="15" t="s">
        <v>585</v>
      </c>
      <c r="B25" s="17" t="n">
        <v>2912</v>
      </c>
      <c r="C25" s="18">
        <f>(2253.0/B25*100)</f>
        <v/>
      </c>
      <c r="D25" s="19" t="n">
        <v>659</v>
      </c>
      <c r="E25" s="18" t="n">
        <v>57.52076962</v>
      </c>
      <c r="F25" s="20" t="n">
        <v>2.11535418</v>
      </c>
      <c r="G25" s="18" t="n">
        <v>41.30821032</v>
      </c>
      <c r="H25" s="20" t="n">
        <v>2.15445827</v>
      </c>
      <c r="I25" s="18" t="s">
        <v>567</v>
      </c>
      <c r="J25" s="20" t="s">
        <v>567</v>
      </c>
      <c r="K25" s="18" t="n">
        <v>0.15505798</v>
      </c>
      <c r="L25" s="20" t="n">
        <v>0.15529895</v>
      </c>
      <c r="M25" s="18" t="n">
        <v>0</v>
      </c>
      <c r="N25" s="20" t="n">
        <v>0</v>
      </c>
      <c r="O25" s="18" t="n">
        <v>0</v>
      </c>
      <c r="P25" s="20" t="n">
        <v>0</v>
      </c>
      <c r="Q25" s="18" t="n">
        <v>1.01596209</v>
      </c>
      <c r="R25" s="20" t="n">
        <v>0.38562254</v>
      </c>
    </row>
    <row r="26" spans="1:18">
      <c r="A26" s="15" t="s">
        <v>586</v>
      </c>
      <c r="B26" s="17" t="n">
        <v>2450</v>
      </c>
      <c r="C26" s="18">
        <f>(1932.0/B26*100)</f>
        <v/>
      </c>
      <c r="D26" s="19" t="n">
        <v>518</v>
      </c>
      <c r="E26" s="18" t="n">
        <v>59.72655771</v>
      </c>
      <c r="F26" s="20" t="n">
        <v>2.33794759</v>
      </c>
      <c r="G26" s="18" t="n">
        <v>39.61895919</v>
      </c>
      <c r="H26" s="20" t="n">
        <v>2.30118916</v>
      </c>
      <c r="I26" s="18" t="s">
        <v>567</v>
      </c>
      <c r="J26" s="20" t="s">
        <v>567</v>
      </c>
      <c r="K26" s="18" t="n">
        <v>0</v>
      </c>
      <c r="L26" s="20" t="n">
        <v>0</v>
      </c>
      <c r="M26" s="18" t="n">
        <v>0</v>
      </c>
      <c r="N26" s="20" t="n">
        <v>0</v>
      </c>
      <c r="O26" s="18" t="n">
        <v>0</v>
      </c>
      <c r="P26" s="20" t="n">
        <v>0</v>
      </c>
      <c r="Q26" s="18" t="n">
        <v>0.6544831</v>
      </c>
      <c r="R26" s="20" t="n">
        <v>0.31150579</v>
      </c>
    </row>
    <row r="27" spans="1:18">
      <c r="A27" s="15" t="s">
        <v>587</v>
      </c>
      <c r="B27" s="17" t="n">
        <v>2616</v>
      </c>
      <c r="C27" s="18">
        <f>(2039.0/B27*100)</f>
        <v/>
      </c>
      <c r="D27" s="19" t="n">
        <v>577</v>
      </c>
      <c r="E27" s="18" t="n">
        <v>58.64122079</v>
      </c>
      <c r="F27" s="20" t="n">
        <v>1.84842155</v>
      </c>
      <c r="G27" s="18" t="n">
        <v>39.7945843</v>
      </c>
      <c r="H27" s="20" t="n">
        <v>1.93339397</v>
      </c>
      <c r="I27" s="18" t="s">
        <v>567</v>
      </c>
      <c r="J27" s="20" t="s">
        <v>567</v>
      </c>
      <c r="K27" s="18" t="n">
        <v>0</v>
      </c>
      <c r="L27" s="20" t="n">
        <v>0</v>
      </c>
      <c r="M27" s="18" t="n">
        <v>0</v>
      </c>
      <c r="N27" s="20" t="n">
        <v>0</v>
      </c>
      <c r="O27" s="18" t="n">
        <v>0</v>
      </c>
      <c r="P27" s="20" t="n">
        <v>0</v>
      </c>
      <c r="Q27" s="18" t="n">
        <v>1.56419491</v>
      </c>
      <c r="R27" s="20" t="n">
        <v>0.50406713</v>
      </c>
    </row>
    <row r="28" spans="1:18">
      <c r="A28" s="15" t="s">
        <v>588</v>
      </c>
      <c r="B28" s="17" t="n">
        <v>3765</v>
      </c>
      <c r="C28" s="18">
        <f>(2983.0/B28*100)</f>
        <v/>
      </c>
      <c r="D28" s="19" t="n">
        <v>782</v>
      </c>
      <c r="E28" s="18" t="n">
        <v>74.23037275999999</v>
      </c>
      <c r="F28" s="20" t="n">
        <v>1.52171966</v>
      </c>
      <c r="G28" s="18" t="n">
        <v>24.47784314</v>
      </c>
      <c r="H28" s="20" t="n">
        <v>1.52702298</v>
      </c>
      <c r="I28" s="18" t="s">
        <v>567</v>
      </c>
      <c r="J28" s="20" t="s">
        <v>567</v>
      </c>
      <c r="K28" s="18" t="n">
        <v>0.1727025</v>
      </c>
      <c r="L28" s="20" t="n">
        <v>0.19718606</v>
      </c>
      <c r="M28" s="18" t="n">
        <v>0</v>
      </c>
      <c r="N28" s="20" t="n">
        <v>0</v>
      </c>
      <c r="O28" s="18" t="n">
        <v>0</v>
      </c>
      <c r="P28" s="20" t="n">
        <v>0</v>
      </c>
      <c r="Q28" s="18" t="n">
        <v>1.1190816</v>
      </c>
      <c r="R28" s="20" t="n">
        <v>0.38180732</v>
      </c>
    </row>
    <row r="29" spans="1:18">
      <c r="A29" s="15" t="s">
        <v>589</v>
      </c>
      <c r="B29" s="17" t="n">
        <v>2685</v>
      </c>
      <c r="C29" s="18">
        <f>(2094.0/B29*100)</f>
        <v/>
      </c>
      <c r="D29" s="19" t="n">
        <v>591</v>
      </c>
      <c r="E29" s="18" t="n">
        <v>46.09935407</v>
      </c>
      <c r="F29" s="20" t="n">
        <v>2.21658018</v>
      </c>
      <c r="G29" s="18" t="n">
        <v>53.23550748</v>
      </c>
      <c r="H29" s="20" t="n">
        <v>2.34070485</v>
      </c>
      <c r="I29" s="18" t="s">
        <v>567</v>
      </c>
      <c r="J29" s="20" t="s">
        <v>567</v>
      </c>
      <c r="K29" s="18" t="n">
        <v>0.15976781</v>
      </c>
      <c r="L29" s="20" t="n">
        <v>0.17323204</v>
      </c>
      <c r="M29" s="18" t="n">
        <v>0</v>
      </c>
      <c r="N29" s="20" t="n">
        <v>0</v>
      </c>
      <c r="O29" s="18" t="n">
        <v>0</v>
      </c>
      <c r="P29" s="20" t="n">
        <v>0</v>
      </c>
      <c r="Q29" s="18" t="n">
        <v>0.50537064</v>
      </c>
      <c r="R29" s="20" t="n">
        <v>0.3853505</v>
      </c>
    </row>
    <row r="30" spans="1:18">
      <c r="A30" s="15" t="s">
        <v>590</v>
      </c>
      <c r="B30" s="17" t="n">
        <v>2263</v>
      </c>
      <c r="C30" s="18">
        <f>(1773.0/B30*100)</f>
        <v/>
      </c>
      <c r="D30" s="19" t="n">
        <v>490</v>
      </c>
      <c r="E30" s="18" t="n">
        <v>64.30158432</v>
      </c>
      <c r="F30" s="20" t="n">
        <v>2.14421483</v>
      </c>
      <c r="G30" s="18" t="n">
        <v>33.84832057</v>
      </c>
      <c r="H30" s="20" t="n">
        <v>2.23851416</v>
      </c>
      <c r="I30" s="18" t="s">
        <v>567</v>
      </c>
      <c r="J30" s="20" t="s">
        <v>567</v>
      </c>
      <c r="K30" s="18" t="n">
        <v>0</v>
      </c>
      <c r="L30" s="20" t="n">
        <v>0</v>
      </c>
      <c r="M30" s="18" t="n">
        <v>0</v>
      </c>
      <c r="N30" s="20" t="n">
        <v>0</v>
      </c>
      <c r="O30" s="18" t="n">
        <v>0</v>
      </c>
      <c r="P30" s="20" t="n">
        <v>0</v>
      </c>
      <c r="Q30" s="18" t="n">
        <v>1.85009511</v>
      </c>
      <c r="R30" s="20" t="n">
        <v>0.70522406</v>
      </c>
    </row>
    <row r="31" spans="1:18">
      <c r="A31" s="15" t="s">
        <v>591</v>
      </c>
      <c r="B31" s="17" t="n">
        <v>2750</v>
      </c>
      <c r="C31" s="18">
        <f>(2127.0/B31*100)</f>
        <v/>
      </c>
      <c r="D31" s="19" t="n">
        <v>623</v>
      </c>
      <c r="E31" s="18" t="n">
        <v>60.57026104</v>
      </c>
      <c r="F31" s="20" t="n">
        <v>1.98433599</v>
      </c>
      <c r="G31" s="18" t="n">
        <v>37.27625049</v>
      </c>
      <c r="H31" s="20" t="n">
        <v>1.96591537</v>
      </c>
      <c r="I31" s="18" t="s">
        <v>567</v>
      </c>
      <c r="J31" s="20" t="s">
        <v>567</v>
      </c>
      <c r="K31" s="18" t="n">
        <v>0.14340016</v>
      </c>
      <c r="L31" s="20" t="n">
        <v>0.14378396</v>
      </c>
      <c r="M31" s="18" t="n">
        <v>0</v>
      </c>
      <c r="N31" s="20" t="n">
        <v>0</v>
      </c>
      <c r="O31" s="18" t="n">
        <v>0</v>
      </c>
      <c r="P31" s="20" t="n">
        <v>0</v>
      </c>
      <c r="Q31" s="18" t="n">
        <v>2.01008831</v>
      </c>
      <c r="R31" s="20" t="n">
        <v>0.56584168</v>
      </c>
    </row>
    <row r="32" spans="1:18">
      <c r="A32" s="15" t="s">
        <v>592</v>
      </c>
      <c r="B32" s="17" t="n">
        <v>2269</v>
      </c>
      <c r="C32" s="18">
        <f>(1772.0/B32*100)</f>
        <v/>
      </c>
      <c r="D32" s="19" t="n">
        <v>497</v>
      </c>
      <c r="E32" s="18" t="n">
        <v>56.50344765</v>
      </c>
      <c r="F32" s="20" t="n">
        <v>2.23717189</v>
      </c>
      <c r="G32" s="18" t="n">
        <v>41.88214277</v>
      </c>
      <c r="H32" s="20" t="n">
        <v>2.23182945</v>
      </c>
      <c r="I32" s="18" t="s">
        <v>567</v>
      </c>
      <c r="J32" s="20" t="s">
        <v>567</v>
      </c>
      <c r="K32" s="18" t="n">
        <v>0</v>
      </c>
      <c r="L32" s="20" t="n">
        <v>0</v>
      </c>
      <c r="M32" s="18" t="n">
        <v>0</v>
      </c>
      <c r="N32" s="20" t="n">
        <v>0</v>
      </c>
      <c r="O32" s="18" t="n">
        <v>0</v>
      </c>
      <c r="P32" s="20" t="n">
        <v>0</v>
      </c>
      <c r="Q32" s="18" t="n">
        <v>1.61440958</v>
      </c>
      <c r="R32" s="20" t="n">
        <v>0.60797786</v>
      </c>
    </row>
    <row r="33" spans="1:18">
      <c r="A33" s="15" t="s">
        <v>593</v>
      </c>
      <c r="B33" s="17" t="n">
        <v>3674</v>
      </c>
      <c r="C33" s="18">
        <f>(2844.0/B33*100)</f>
        <v/>
      </c>
      <c r="D33" s="19" t="n">
        <v>830</v>
      </c>
      <c r="E33" s="18" t="n">
        <v>56.32664064</v>
      </c>
      <c r="F33" s="20" t="n">
        <v>1.75876502</v>
      </c>
      <c r="G33" s="18" t="n">
        <v>42.74239347</v>
      </c>
      <c r="H33" s="20" t="n">
        <v>1.73751476</v>
      </c>
      <c r="I33" s="18" t="s">
        <v>567</v>
      </c>
      <c r="J33" s="20" t="s">
        <v>567</v>
      </c>
      <c r="K33" s="18" t="n">
        <v>0.46605598</v>
      </c>
      <c r="L33" s="20" t="n">
        <v>0.30841143</v>
      </c>
      <c r="M33" s="18" t="n">
        <v>0</v>
      </c>
      <c r="N33" s="20" t="n">
        <v>0</v>
      </c>
      <c r="O33" s="18" t="n">
        <v>0</v>
      </c>
      <c r="P33" s="20" t="n">
        <v>0</v>
      </c>
      <c r="Q33" s="18" t="n">
        <v>0.46490991</v>
      </c>
      <c r="R33" s="20" t="n">
        <v>0.22310703</v>
      </c>
    </row>
    <row r="34" spans="1:18">
      <c r="A34" s="15" t="s">
        <v>594</v>
      </c>
      <c r="B34" s="17" t="n">
        <v>3315</v>
      </c>
      <c r="C34" s="18">
        <f>(2609.0/B34*100)</f>
        <v/>
      </c>
      <c r="D34" s="19" t="n">
        <v>706</v>
      </c>
      <c r="E34" s="18" t="n">
        <v>65.53579182999999</v>
      </c>
      <c r="F34" s="20" t="n">
        <v>1.8274037</v>
      </c>
      <c r="G34" s="18" t="n">
        <v>33.71862918</v>
      </c>
      <c r="H34" s="20" t="n">
        <v>1.83985891</v>
      </c>
      <c r="I34" s="18" t="s">
        <v>567</v>
      </c>
      <c r="J34" s="20" t="s">
        <v>567</v>
      </c>
      <c r="K34" s="18" t="n">
        <v>0</v>
      </c>
      <c r="L34" s="20" t="n">
        <v>0</v>
      </c>
      <c r="M34" s="18" t="n">
        <v>0</v>
      </c>
      <c r="N34" s="20" t="n">
        <v>0</v>
      </c>
      <c r="O34" s="18" t="n">
        <v>0</v>
      </c>
      <c r="P34" s="20" t="n">
        <v>0</v>
      </c>
      <c r="Q34" s="18" t="n">
        <v>0.7455789900000001</v>
      </c>
      <c r="R34" s="20" t="n">
        <v>0.3645644</v>
      </c>
    </row>
    <row r="35" spans="1:18">
      <c r="A35" s="15" t="s">
        <v>595</v>
      </c>
      <c r="B35" s="17" t="n">
        <v>3505</v>
      </c>
      <c r="C35" s="18">
        <f>(2782.0/B35*100)</f>
        <v/>
      </c>
      <c r="D35" s="19" t="n">
        <v>723</v>
      </c>
      <c r="E35" s="18" t="n">
        <v>44.11561376</v>
      </c>
      <c r="F35" s="20" t="n">
        <v>2.54112716</v>
      </c>
      <c r="G35" s="18" t="n">
        <v>54.55935118</v>
      </c>
      <c r="H35" s="20" t="n">
        <v>2.60081404</v>
      </c>
      <c r="I35" s="18" t="s">
        <v>567</v>
      </c>
      <c r="J35" s="20" t="s">
        <v>567</v>
      </c>
      <c r="K35" s="18" t="n">
        <v>0.82252856</v>
      </c>
      <c r="L35" s="20" t="n">
        <v>0.7448193</v>
      </c>
      <c r="M35" s="18" t="n">
        <v>0</v>
      </c>
      <c r="N35" s="20" t="n">
        <v>0</v>
      </c>
      <c r="O35" s="18" t="n">
        <v>0</v>
      </c>
      <c r="P35" s="20" t="n">
        <v>0</v>
      </c>
      <c r="Q35" s="18" t="n">
        <v>0.5025065</v>
      </c>
      <c r="R35" s="20" t="n">
        <v>0.32875993</v>
      </c>
    </row>
    <row r="36" spans="1:18">
      <c r="A36" s="15" t="s">
        <v>596</v>
      </c>
      <c r="B36" s="17" t="n">
        <v>3332</v>
      </c>
      <c r="C36" s="18">
        <f>(2601.0/B36*100)</f>
        <v/>
      </c>
      <c r="D36" s="19" t="n">
        <v>731</v>
      </c>
      <c r="E36" s="18" t="n">
        <v>56.94370106</v>
      </c>
      <c r="F36" s="20" t="n">
        <v>1.86638197</v>
      </c>
      <c r="G36" s="18" t="n">
        <v>41.46378347</v>
      </c>
      <c r="H36" s="20" t="n">
        <v>1.88219668</v>
      </c>
      <c r="I36" s="18" t="s">
        <v>567</v>
      </c>
      <c r="J36" s="20" t="s">
        <v>567</v>
      </c>
      <c r="K36" s="18" t="n">
        <v>0.23470893</v>
      </c>
      <c r="L36" s="20" t="n">
        <v>0.26938357</v>
      </c>
      <c r="M36" s="18" t="n">
        <v>0</v>
      </c>
      <c r="N36" s="20" t="n">
        <v>0</v>
      </c>
      <c r="O36" s="18" t="n">
        <v>0</v>
      </c>
      <c r="P36" s="20" t="n">
        <v>0</v>
      </c>
      <c r="Q36" s="18" t="n">
        <v>1.35780654</v>
      </c>
      <c r="R36" s="20" t="n">
        <v>0.44968298</v>
      </c>
    </row>
    <row r="37" spans="1:18">
      <c r="A37" s="15" t="s">
        <v>597</v>
      </c>
      <c r="B37" s="17" t="n">
        <v>2727</v>
      </c>
      <c r="C37" s="18">
        <f>(2127.0/B37*100)</f>
        <v/>
      </c>
      <c r="D37" s="19" t="n">
        <v>600</v>
      </c>
      <c r="E37" s="18" t="n">
        <v>58.10281776</v>
      </c>
      <c r="F37" s="20" t="n">
        <v>2.44628681</v>
      </c>
      <c r="G37" s="18" t="n">
        <v>39.98005256</v>
      </c>
      <c r="H37" s="20" t="n">
        <v>2.50754183</v>
      </c>
      <c r="I37" s="18" t="s">
        <v>567</v>
      </c>
      <c r="J37" s="20" t="s">
        <v>567</v>
      </c>
      <c r="K37" s="18" t="n">
        <v>0.31564322</v>
      </c>
      <c r="L37" s="20" t="n">
        <v>0.22500731</v>
      </c>
      <c r="M37" s="18" t="n">
        <v>0</v>
      </c>
      <c r="N37" s="20" t="n">
        <v>0</v>
      </c>
      <c r="O37" s="18" t="n">
        <v>0</v>
      </c>
      <c r="P37" s="20" t="n">
        <v>0</v>
      </c>
      <c r="Q37" s="18" t="n">
        <v>1.60148645</v>
      </c>
      <c r="R37" s="20" t="n">
        <v>0.51598794</v>
      </c>
    </row>
    <row r="38" spans="1:18">
      <c r="A38" s="15" t="s">
        <v>598</v>
      </c>
      <c r="B38" s="17" t="n">
        <v>3053</v>
      </c>
      <c r="C38" s="18">
        <f>(2395.0/B38*100)</f>
        <v/>
      </c>
      <c r="D38" s="19" t="n">
        <v>658</v>
      </c>
      <c r="E38" s="18" t="n">
        <v>52.2574858</v>
      </c>
      <c r="F38" s="20" t="n">
        <v>2.21867467</v>
      </c>
      <c r="G38" s="18" t="n">
        <v>45.71954024</v>
      </c>
      <c r="H38" s="20" t="n">
        <v>2.24320915</v>
      </c>
      <c r="I38" s="18" t="s">
        <v>567</v>
      </c>
      <c r="J38" s="20" t="s">
        <v>567</v>
      </c>
      <c r="K38" s="18" t="n">
        <v>0</v>
      </c>
      <c r="L38" s="20" t="n">
        <v>0</v>
      </c>
      <c r="M38" s="18" t="n">
        <v>0</v>
      </c>
      <c r="N38" s="20" t="n">
        <v>0</v>
      </c>
      <c r="O38" s="18" t="n">
        <v>0</v>
      </c>
      <c r="P38" s="20" t="n">
        <v>0</v>
      </c>
      <c r="Q38" s="18" t="n">
        <v>2.02297396</v>
      </c>
      <c r="R38" s="20" t="n">
        <v>0.56873686</v>
      </c>
    </row>
    <row r="39" spans="1:18">
      <c r="A39" s="15" t="s">
        <v>599</v>
      </c>
      <c r="B39" s="17" t="n">
        <v>2957</v>
      </c>
      <c r="C39" s="18">
        <f>(2304.0/B39*100)</f>
        <v/>
      </c>
      <c r="D39" s="19" t="n">
        <v>653</v>
      </c>
      <c r="E39" s="18" t="n">
        <v>76.00213223</v>
      </c>
      <c r="F39" s="20" t="n">
        <v>1.94030775</v>
      </c>
      <c r="G39" s="18" t="n">
        <v>23.10937681</v>
      </c>
      <c r="H39" s="20" t="n">
        <v>1.97390595</v>
      </c>
      <c r="I39" s="18" t="s">
        <v>567</v>
      </c>
      <c r="J39" s="20" t="s">
        <v>567</v>
      </c>
      <c r="K39" s="18" t="n">
        <v>0.19751752</v>
      </c>
      <c r="L39" s="20" t="n">
        <v>0.14032492</v>
      </c>
      <c r="M39" s="18" t="n">
        <v>0</v>
      </c>
      <c r="N39" s="20" t="n">
        <v>0</v>
      </c>
      <c r="O39" s="18" t="n">
        <v>0</v>
      </c>
      <c r="P39" s="20" t="n">
        <v>0</v>
      </c>
      <c r="Q39" s="18" t="n">
        <v>0.69097343</v>
      </c>
      <c r="R39" s="20" t="n">
        <v>0.29977996</v>
      </c>
    </row>
    <row r="40" spans="1:18">
      <c r="A40" s="15" t="s">
        <v>600</v>
      </c>
      <c r="B40" s="17" t="n">
        <v>7235</v>
      </c>
      <c r="C40" s="18">
        <f>(5610.0/B40*100)</f>
        <v/>
      </c>
      <c r="D40" s="19" t="n">
        <v>1625</v>
      </c>
      <c r="E40" s="18" t="n">
        <v>67.36727906</v>
      </c>
      <c r="F40" s="20" t="n">
        <v>1.84994629</v>
      </c>
      <c r="G40" s="18" t="n">
        <v>30.93457072</v>
      </c>
      <c r="H40" s="20" t="n">
        <v>1.74258481</v>
      </c>
      <c r="I40" s="18" t="s">
        <v>567</v>
      </c>
      <c r="J40" s="20" t="s">
        <v>567</v>
      </c>
      <c r="K40" s="18" t="n">
        <v>0.15928501</v>
      </c>
      <c r="L40" s="20" t="n">
        <v>0.15355661</v>
      </c>
      <c r="M40" s="18" t="n">
        <v>0</v>
      </c>
      <c r="N40" s="20" t="n">
        <v>0</v>
      </c>
      <c r="O40" s="18" t="n">
        <v>0</v>
      </c>
      <c r="P40" s="20" t="n">
        <v>0</v>
      </c>
      <c r="Q40" s="18" t="n">
        <v>1.53886521</v>
      </c>
      <c r="R40" s="20" t="n">
        <v>0.47492498</v>
      </c>
    </row>
    <row r="41" spans="1:18">
      <c r="A41" s="15" t="s">
        <v>601</v>
      </c>
      <c r="B41" s="17" t="n">
        <v>2858</v>
      </c>
      <c r="C41" s="18">
        <f>(2210.0/B41*100)</f>
        <v/>
      </c>
      <c r="D41" s="19" t="n">
        <v>648</v>
      </c>
      <c r="E41" s="18" t="n">
        <v>58.37120503</v>
      </c>
      <c r="F41" s="20" t="n">
        <v>2.37713261</v>
      </c>
      <c r="G41" s="18" t="n">
        <v>41.23714548</v>
      </c>
      <c r="H41" s="20" t="n">
        <v>2.39055178</v>
      </c>
      <c r="I41" s="18" t="s">
        <v>567</v>
      </c>
      <c r="J41" s="20" t="s">
        <v>567</v>
      </c>
      <c r="K41" s="18" t="n">
        <v>0</v>
      </c>
      <c r="L41" s="20" t="n">
        <v>0</v>
      </c>
      <c r="M41" s="18" t="n">
        <v>0</v>
      </c>
      <c r="N41" s="20" t="n">
        <v>0</v>
      </c>
      <c r="O41" s="18" t="n">
        <v>0</v>
      </c>
      <c r="P41" s="20" t="n">
        <v>0</v>
      </c>
      <c r="Q41" s="18" t="n">
        <v>0.39164949</v>
      </c>
      <c r="R41" s="20" t="n">
        <v>0.22791589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(8828.0/B46*100)</f>
        <v/>
      </c>
      <c r="D46" s="19" t="n">
        <v>2240</v>
      </c>
      <c r="E46" s="18" t="n">
        <v>79.80043526</v>
      </c>
      <c r="F46" s="20" t="n">
        <v>1.13576706</v>
      </c>
      <c r="G46" s="18" t="n">
        <v>17.2349739</v>
      </c>
      <c r="H46" s="20" t="n">
        <v>1.11386819</v>
      </c>
      <c r="I46" s="18" t="s">
        <v>567</v>
      </c>
      <c r="J46" s="20" t="s">
        <v>567</v>
      </c>
      <c r="K46" s="18" t="n">
        <v>0.56016285</v>
      </c>
      <c r="L46" s="20" t="n">
        <v>0.21094518</v>
      </c>
      <c r="M46" s="18" t="n">
        <v>0</v>
      </c>
      <c r="N46" s="20" t="n">
        <v>0</v>
      </c>
      <c r="O46" s="18" t="n">
        <v>0</v>
      </c>
      <c r="P46" s="20" t="n">
        <v>0</v>
      </c>
      <c r="Q46" s="18" t="n">
        <v>2.40442799</v>
      </c>
      <c r="R46" s="20" t="n">
        <v>0.43860371</v>
      </c>
    </row>
    <row r="47" spans="1:18">
      <c r="A47" s="15" t="s">
        <v>607</v>
      </c>
      <c r="B47" s="17" t="n">
        <v>3105</v>
      </c>
      <c r="C47" s="18">
        <f>(2425.0/B47*100)</f>
        <v/>
      </c>
      <c r="D47" s="19" t="n">
        <v>680</v>
      </c>
      <c r="E47" s="18" t="n">
        <v>65.13601430999999</v>
      </c>
      <c r="F47" s="20" t="n">
        <v>1.95040949</v>
      </c>
      <c r="G47" s="18" t="n">
        <v>33.54708034</v>
      </c>
      <c r="H47" s="20" t="n">
        <v>1.96004868</v>
      </c>
      <c r="I47" s="18" t="s">
        <v>567</v>
      </c>
      <c r="J47" s="20" t="s">
        <v>567</v>
      </c>
      <c r="K47" s="18" t="n">
        <v>0</v>
      </c>
      <c r="L47" s="20" t="n">
        <v>0</v>
      </c>
      <c r="M47" s="18" t="n">
        <v>0</v>
      </c>
      <c r="N47" s="20" t="n">
        <v>0</v>
      </c>
      <c r="O47" s="18" t="n">
        <v>0</v>
      </c>
      <c r="P47" s="20" t="n">
        <v>0</v>
      </c>
      <c r="Q47" s="18" t="n">
        <v>1.31690535</v>
      </c>
      <c r="R47" s="20" t="n">
        <v>0.45505554</v>
      </c>
    </row>
    <row r="48" spans="1:18">
      <c r="A48" s="15" t="s">
        <v>608</v>
      </c>
      <c r="B48" s="17" t="n">
        <v>5159</v>
      </c>
      <c r="C48" s="18">
        <f>(4021.0/B48*100)</f>
        <v/>
      </c>
      <c r="D48" s="19" t="n">
        <v>1138</v>
      </c>
      <c r="E48" s="18" t="n">
        <v>58.67127404</v>
      </c>
      <c r="F48" s="20" t="n">
        <v>1.88343278</v>
      </c>
      <c r="G48" s="18" t="n">
        <v>40.84594055</v>
      </c>
      <c r="H48" s="20" t="n">
        <v>1.84283039</v>
      </c>
      <c r="I48" s="18" t="s">
        <v>567</v>
      </c>
      <c r="J48" s="20" t="s">
        <v>567</v>
      </c>
      <c r="K48" s="18" t="n">
        <v>0.19582541</v>
      </c>
      <c r="L48" s="20" t="n">
        <v>0.16101875</v>
      </c>
      <c r="M48" s="18" t="n">
        <v>0</v>
      </c>
      <c r="N48" s="20" t="n">
        <v>0</v>
      </c>
      <c r="O48" s="18" t="n">
        <v>0</v>
      </c>
      <c r="P48" s="20" t="n">
        <v>0</v>
      </c>
      <c r="Q48" s="18" t="n">
        <v>0.28695999</v>
      </c>
      <c r="R48" s="20" t="n">
        <v>0.19059107</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(4365.0/B50*100)</f>
        <v/>
      </c>
      <c r="D50" s="19" t="n">
        <v>1272</v>
      </c>
      <c r="E50" s="18" t="n">
        <v>74.51324164</v>
      </c>
      <c r="F50" s="20" t="n">
        <v>1.66177345</v>
      </c>
      <c r="G50" s="18" t="n">
        <v>24.00755113</v>
      </c>
      <c r="H50" s="20" t="n">
        <v>1.6615122</v>
      </c>
      <c r="I50" s="18" t="s">
        <v>567</v>
      </c>
      <c r="J50" s="20" t="s">
        <v>567</v>
      </c>
      <c r="K50" s="18" t="n">
        <v>0.46704325</v>
      </c>
      <c r="L50" s="20" t="n">
        <v>0.17927845</v>
      </c>
      <c r="M50" s="18" t="n">
        <v>0</v>
      </c>
      <c r="N50" s="20" t="n">
        <v>0</v>
      </c>
      <c r="O50" s="18" t="n">
        <v>0</v>
      </c>
      <c r="P50" s="20" t="n">
        <v>0</v>
      </c>
      <c r="Q50" s="18" t="n">
        <v>1.01216398</v>
      </c>
      <c r="R50" s="20" t="n">
        <v>0.40829705</v>
      </c>
    </row>
    <row r="51" spans="1:18">
      <c r="A51" s="15" t="s">
        <v>611</v>
      </c>
      <c r="B51" s="17" t="n">
        <v>3372</v>
      </c>
      <c r="C51" s="18">
        <f>(2705.0/B51*100)</f>
        <v/>
      </c>
      <c r="D51" s="19" t="n">
        <v>667</v>
      </c>
      <c r="E51" s="18" t="n">
        <v>73.00575696</v>
      </c>
      <c r="F51" s="20" t="n">
        <v>2.01564403</v>
      </c>
      <c r="G51" s="18" t="n">
        <v>25.02033823</v>
      </c>
      <c r="H51" s="20" t="n">
        <v>1.88028598</v>
      </c>
      <c r="I51" s="18" t="s">
        <v>567</v>
      </c>
      <c r="J51" s="20" t="s">
        <v>567</v>
      </c>
      <c r="K51" s="18" t="n">
        <v>0.21681356</v>
      </c>
      <c r="L51" s="20" t="n">
        <v>0.1947745</v>
      </c>
      <c r="M51" s="18" t="n">
        <v>0</v>
      </c>
      <c r="N51" s="20" t="n">
        <v>0</v>
      </c>
      <c r="O51" s="18" t="n">
        <v>0</v>
      </c>
      <c r="P51" s="20" t="n">
        <v>0</v>
      </c>
      <c r="Q51" s="18" t="n">
        <v>1.75709125</v>
      </c>
      <c r="R51" s="20" t="n">
        <v>0.59451886</v>
      </c>
    </row>
    <row r="52" spans="1:18">
      <c r="A52" s="15" t="s">
        <v>612</v>
      </c>
      <c r="B52" s="17" t="n">
        <v>2796</v>
      </c>
      <c r="C52" s="18">
        <f>(2157.0/B52*100)</f>
        <v/>
      </c>
      <c r="D52" s="19" t="n">
        <v>639</v>
      </c>
      <c r="E52" s="18" t="n">
        <v>57.91813494</v>
      </c>
      <c r="F52" s="20" t="n">
        <v>2.28633526</v>
      </c>
      <c r="G52" s="18" t="n">
        <v>40.1519271</v>
      </c>
      <c r="H52" s="20" t="n">
        <v>2.33272966</v>
      </c>
      <c r="I52" s="18" t="s">
        <v>567</v>
      </c>
      <c r="J52" s="20" t="s">
        <v>567</v>
      </c>
      <c r="K52" s="18" t="n">
        <v>0</v>
      </c>
      <c r="L52" s="20" t="n">
        <v>0</v>
      </c>
      <c r="M52" s="18" t="n">
        <v>0</v>
      </c>
      <c r="N52" s="20" t="n">
        <v>0</v>
      </c>
      <c r="O52" s="18" t="n">
        <v>0</v>
      </c>
      <c r="P52" s="20" t="n">
        <v>0</v>
      </c>
      <c r="Q52" s="18" t="n">
        <v>1.92993796</v>
      </c>
      <c r="R52" s="20" t="n">
        <v>0.54546653</v>
      </c>
    </row>
    <row r="53" spans="1:18">
      <c r="A53" s="15" t="s">
        <v>613</v>
      </c>
      <c r="B53" s="17" t="n">
        <v>2811</v>
      </c>
      <c r="C53" s="18">
        <f>(2166.0/B53*100)</f>
        <v/>
      </c>
      <c r="D53" s="19" t="n">
        <v>645</v>
      </c>
      <c r="E53" s="18" t="n">
        <v>71.59854476</v>
      </c>
      <c r="F53" s="20" t="n">
        <v>2.0640982</v>
      </c>
      <c r="G53" s="18" t="n">
        <v>26.61772468</v>
      </c>
      <c r="H53" s="20" t="n">
        <v>1.97729644</v>
      </c>
      <c r="I53" s="18" t="s">
        <v>567</v>
      </c>
      <c r="J53" s="20" t="s">
        <v>567</v>
      </c>
      <c r="K53" s="18" t="n">
        <v>0.19914709</v>
      </c>
      <c r="L53" s="20" t="n">
        <v>0.20051344</v>
      </c>
      <c r="M53" s="18" t="n">
        <v>0</v>
      </c>
      <c r="N53" s="20" t="n">
        <v>0</v>
      </c>
      <c r="O53" s="18" t="n">
        <v>0</v>
      </c>
      <c r="P53" s="20" t="n">
        <v>0</v>
      </c>
      <c r="Q53" s="18" t="n">
        <v>1.58458347</v>
      </c>
      <c r="R53" s="20" t="n">
        <v>0.47131639</v>
      </c>
    </row>
    <row r="54" spans="1:18">
      <c r="A54" s="15" t="s">
        <v>614</v>
      </c>
      <c r="B54" s="17" t="n">
        <v>2266</v>
      </c>
      <c r="C54" s="18">
        <f>(1779.0/B54*100)</f>
        <v/>
      </c>
      <c r="D54" s="19" t="n">
        <v>487</v>
      </c>
      <c r="E54" s="18" t="n">
        <v>80.08357959999999</v>
      </c>
      <c r="F54" s="20" t="n">
        <v>2.07956465</v>
      </c>
      <c r="G54" s="18" t="n">
        <v>8.827770579999999</v>
      </c>
      <c r="H54" s="20" t="n">
        <v>1.15435032</v>
      </c>
      <c r="I54" s="18" t="s">
        <v>567</v>
      </c>
      <c r="J54" s="20" t="s">
        <v>567</v>
      </c>
      <c r="K54" s="18" t="n">
        <v>8.23076826</v>
      </c>
      <c r="L54" s="20" t="n">
        <v>1.72080021</v>
      </c>
      <c r="M54" s="18" t="n">
        <v>0</v>
      </c>
      <c r="N54" s="20" t="n">
        <v>0</v>
      </c>
      <c r="O54" s="18" t="n">
        <v>0</v>
      </c>
      <c r="P54" s="20" t="n">
        <v>0</v>
      </c>
      <c r="Q54" s="18" t="n">
        <v>2.85788157</v>
      </c>
      <c r="R54" s="20" t="n">
        <v>0.7433762900000001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(2093.0/B56*100)</f>
        <v/>
      </c>
      <c r="D56" s="19" t="n">
        <v>591</v>
      </c>
      <c r="E56" s="18" t="n">
        <v>63.94664334</v>
      </c>
      <c r="F56" s="20" t="n">
        <v>2.30866841</v>
      </c>
      <c r="G56" s="18" t="n">
        <v>35.62773156</v>
      </c>
      <c r="H56" s="20" t="n">
        <v>2.32279592</v>
      </c>
      <c r="I56" s="18" t="s">
        <v>567</v>
      </c>
      <c r="J56" s="20" t="s">
        <v>567</v>
      </c>
      <c r="K56" s="18" t="n">
        <v>0.14680849</v>
      </c>
      <c r="L56" s="20" t="n">
        <v>0.14734671</v>
      </c>
      <c r="M56" s="18" t="n">
        <v>0</v>
      </c>
      <c r="N56" s="20" t="n">
        <v>0</v>
      </c>
      <c r="O56" s="18" t="n">
        <v>0</v>
      </c>
      <c r="P56" s="20" t="n">
        <v>0</v>
      </c>
      <c r="Q56" s="18" t="n">
        <v>0.27881661</v>
      </c>
      <c r="R56" s="20" t="n">
        <v>0.20596261</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(2561.0/B61*100)</f>
        <v/>
      </c>
      <c r="D61" s="19" t="n">
        <v>763</v>
      </c>
      <c r="E61" s="18" t="n">
        <v>62.84464845</v>
      </c>
      <c r="F61" s="20" t="n">
        <v>2.09118194</v>
      </c>
      <c r="G61" s="18" t="n">
        <v>36.28090777</v>
      </c>
      <c r="H61" s="20" t="n">
        <v>2.08427732</v>
      </c>
      <c r="I61" s="18" t="s">
        <v>567</v>
      </c>
      <c r="J61" s="20" t="s">
        <v>567</v>
      </c>
      <c r="K61" s="18" t="n">
        <v>0.20914614</v>
      </c>
      <c r="L61" s="20" t="n">
        <v>0.17351063</v>
      </c>
      <c r="M61" s="18" t="n">
        <v>0</v>
      </c>
      <c r="N61" s="20" t="n">
        <v>0</v>
      </c>
      <c r="O61" s="18" t="n">
        <v>0</v>
      </c>
      <c r="P61" s="20" t="n">
        <v>0</v>
      </c>
      <c r="Q61" s="18" t="n">
        <v>0.66529763</v>
      </c>
      <c r="R61" s="20" t="n">
        <v>0.32589074</v>
      </c>
    </row>
    <row r="62" spans="1:18">
      <c r="A62" s="15" t="s">
        <v>622</v>
      </c>
      <c r="B62" s="17" t="n">
        <v>2246</v>
      </c>
      <c r="C62" s="18">
        <f>(1773.0/B62*100)</f>
        <v/>
      </c>
      <c r="D62" s="19" t="n">
        <v>473</v>
      </c>
      <c r="E62" s="18" t="n">
        <v>56.01851703</v>
      </c>
      <c r="F62" s="20" t="n">
        <v>2.13235477</v>
      </c>
      <c r="G62" s="18" t="n">
        <v>43.98148297</v>
      </c>
      <c r="H62" s="20" t="n">
        <v>2.13235477</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(2262.0/B66*100)</f>
        <v/>
      </c>
      <c r="D66" s="19" t="n">
        <v>632</v>
      </c>
      <c r="E66" s="18" t="n">
        <v>71.3295349</v>
      </c>
      <c r="F66" s="20" t="n">
        <v>1.6887015</v>
      </c>
      <c r="G66" s="18" t="n">
        <v>24.50344183</v>
      </c>
      <c r="H66" s="20" t="n">
        <v>1.79353796</v>
      </c>
      <c r="I66" s="18" t="s">
        <v>567</v>
      </c>
      <c r="J66" s="20" t="s">
        <v>567</v>
      </c>
      <c r="K66" s="18" t="n">
        <v>0.48532171</v>
      </c>
      <c r="L66" s="20" t="n">
        <v>0.28374293</v>
      </c>
      <c r="M66" s="18" t="n">
        <v>0</v>
      </c>
      <c r="N66" s="20" t="n">
        <v>0</v>
      </c>
      <c r="O66" s="18" t="n">
        <v>0</v>
      </c>
      <c r="P66" s="20" t="n">
        <v>0</v>
      </c>
      <c r="Q66" s="18" t="n">
        <v>3.68170157</v>
      </c>
      <c r="R66" s="20" t="n">
        <v>0.7498644</v>
      </c>
    </row>
    <row r="67" spans="1:18">
      <c r="A67" s="15" t="s">
        <v>627</v>
      </c>
      <c r="B67" s="17" t="n">
        <v>3511</v>
      </c>
      <c r="C67" s="18">
        <f>(2746.0/B67*100)</f>
        <v/>
      </c>
      <c r="D67" s="19" t="n">
        <v>765</v>
      </c>
      <c r="E67" s="18" t="n">
        <v>80.8725293</v>
      </c>
      <c r="F67" s="20" t="n">
        <v>1.48349373</v>
      </c>
      <c r="G67" s="18" t="n">
        <v>17.70244608</v>
      </c>
      <c r="H67" s="20" t="n">
        <v>1.41611624</v>
      </c>
      <c r="I67" s="18" t="s">
        <v>567</v>
      </c>
      <c r="J67" s="20" t="s">
        <v>567</v>
      </c>
      <c r="K67" s="18" t="n">
        <v>0</v>
      </c>
      <c r="L67" s="20" t="n">
        <v>0</v>
      </c>
      <c r="M67" s="18" t="n">
        <v>0</v>
      </c>
      <c r="N67" s="20" t="n">
        <v>0</v>
      </c>
      <c r="O67" s="18" t="n">
        <v>0</v>
      </c>
      <c r="P67" s="20" t="n">
        <v>0</v>
      </c>
      <c r="Q67" s="18" t="n">
        <v>1.42502461</v>
      </c>
      <c r="R67" s="20" t="n">
        <v>0.47970092</v>
      </c>
    </row>
    <row r="68" spans="1:18">
      <c r="A68" s="15" t="s">
        <v>628</v>
      </c>
      <c r="B68" s="17" t="n">
        <v>6049</v>
      </c>
      <c r="C68" s="18">
        <f>(4731.0/B68*100)</f>
        <v/>
      </c>
      <c r="D68" s="19" t="n">
        <v>1318</v>
      </c>
      <c r="E68" s="18" t="n">
        <v>73.98097098</v>
      </c>
      <c r="F68" s="20" t="n">
        <v>1.24152629</v>
      </c>
      <c r="G68" s="18" t="n">
        <v>21.96810925</v>
      </c>
      <c r="H68" s="20" t="n">
        <v>1.21143173</v>
      </c>
      <c r="I68" s="18" t="s">
        <v>567</v>
      </c>
      <c r="J68" s="20" t="s">
        <v>567</v>
      </c>
      <c r="K68" s="18" t="n">
        <v>0.96105422</v>
      </c>
      <c r="L68" s="20" t="n">
        <v>0.2671585</v>
      </c>
      <c r="M68" s="18" t="n">
        <v>0</v>
      </c>
      <c r="N68" s="20" t="n">
        <v>0</v>
      </c>
      <c r="O68" s="18" t="n">
        <v>0</v>
      </c>
      <c r="P68" s="20" t="n">
        <v>0</v>
      </c>
      <c r="Q68" s="18" t="n">
        <v>3.08986555</v>
      </c>
      <c r="R68" s="20" t="n">
        <v>0.46238376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(2268.0/B70*100)</f>
        <v/>
      </c>
      <c r="D70" s="19" t="n">
        <v>661</v>
      </c>
      <c r="E70" s="18" t="n">
        <v>59.5851178</v>
      </c>
      <c r="F70" s="20" t="n">
        <v>1.90069163</v>
      </c>
      <c r="G70" s="18" t="n">
        <v>39.90862518</v>
      </c>
      <c r="H70" s="20" t="n">
        <v>1.88739596</v>
      </c>
      <c r="I70" s="18" t="s">
        <v>567</v>
      </c>
      <c r="J70" s="20" t="s">
        <v>567</v>
      </c>
      <c r="K70" s="18" t="n">
        <v>0.16727186</v>
      </c>
      <c r="L70" s="20" t="n">
        <v>0.10715441</v>
      </c>
      <c r="M70" s="18" t="n">
        <v>0</v>
      </c>
      <c r="N70" s="20" t="n">
        <v>0</v>
      </c>
      <c r="O70" s="18" t="n">
        <v>0</v>
      </c>
      <c r="P70" s="20" t="n">
        <v>0</v>
      </c>
      <c r="Q70" s="18" t="n">
        <v>0.33898516</v>
      </c>
      <c r="R70" s="20" t="n">
        <v>0.15317827</v>
      </c>
    </row>
    <row r="71" spans="1:18">
      <c r="A71" s="15" t="s">
        <v>631</v>
      </c>
      <c r="B71" s="17" t="n">
        <v>3142</v>
      </c>
      <c r="C71" s="18">
        <f>(2435.0/B71*100)</f>
        <v/>
      </c>
      <c r="D71" s="19" t="n">
        <v>707</v>
      </c>
      <c r="E71" s="18" t="n">
        <v>59.52485874</v>
      </c>
      <c r="F71" s="20" t="n">
        <v>1.94499184</v>
      </c>
      <c r="G71" s="18" t="n">
        <v>39.62454914</v>
      </c>
      <c r="H71" s="20" t="n">
        <v>1.95044308</v>
      </c>
      <c r="I71" s="18" t="s">
        <v>567</v>
      </c>
      <c r="J71" s="20" t="s">
        <v>567</v>
      </c>
      <c r="K71" s="18" t="n">
        <v>0.15123528</v>
      </c>
      <c r="L71" s="20" t="n">
        <v>0.14422725</v>
      </c>
      <c r="M71" s="18" t="n">
        <v>0</v>
      </c>
      <c r="N71" s="20" t="n">
        <v>0</v>
      </c>
      <c r="O71" s="18" t="n">
        <v>0</v>
      </c>
      <c r="P71" s="20" t="n">
        <v>0</v>
      </c>
      <c r="Q71" s="18" t="n">
        <v>0.69935684</v>
      </c>
      <c r="R71" s="20" t="n">
        <v>0.30078647</v>
      </c>
    </row>
    <row r="72" spans="1:18">
      <c r="A72" s="15" t="s">
        <v>632</v>
      </c>
      <c r="B72" s="17" t="n">
        <v>3889</v>
      </c>
      <c r="C72" s="18">
        <f>(3019.0/B72*100)</f>
        <v/>
      </c>
      <c r="D72" s="19" t="n">
        <v>870</v>
      </c>
      <c r="E72" s="18" t="n">
        <v>52.42566763</v>
      </c>
      <c r="F72" s="20" t="n">
        <v>2.12286248</v>
      </c>
      <c r="G72" s="18" t="n">
        <v>46.67594016</v>
      </c>
      <c r="H72" s="20" t="n">
        <v>2.10039923</v>
      </c>
      <c r="I72" s="18" t="s">
        <v>567</v>
      </c>
      <c r="J72" s="20" t="s">
        <v>567</v>
      </c>
      <c r="K72" s="18" t="n">
        <v>0.14865981</v>
      </c>
      <c r="L72" s="20" t="n">
        <v>0.14840937</v>
      </c>
      <c r="M72" s="18" t="n">
        <v>0</v>
      </c>
      <c r="N72" s="20" t="n">
        <v>0</v>
      </c>
      <c r="O72" s="18" t="n">
        <v>0</v>
      </c>
      <c r="P72" s="20" t="n">
        <v>0</v>
      </c>
      <c r="Q72" s="18" t="n">
        <v>0.7497324</v>
      </c>
      <c r="R72" s="20" t="n">
        <v>0.29635791</v>
      </c>
    </row>
    <row r="73" spans="1:18">
      <c r="A73" s="15" t="s">
        <v>633</v>
      </c>
      <c r="B73" s="17" t="n">
        <v>3597</v>
      </c>
      <c r="C73" s="18">
        <f>(2823.0/B73*100)</f>
        <v/>
      </c>
      <c r="D73" s="19" t="n">
        <v>774</v>
      </c>
      <c r="E73" s="18" t="n">
        <v>82.7030092</v>
      </c>
      <c r="F73" s="20" t="n">
        <v>1.82230873</v>
      </c>
      <c r="G73" s="18" t="n">
        <v>16.35082965</v>
      </c>
      <c r="H73" s="20" t="n">
        <v>1.79167071</v>
      </c>
      <c r="I73" s="18" t="s">
        <v>567</v>
      </c>
      <c r="J73" s="20" t="s">
        <v>567</v>
      </c>
      <c r="K73" s="18" t="n">
        <v>0</v>
      </c>
      <c r="L73" s="20" t="n">
        <v>0</v>
      </c>
      <c r="M73" s="18" t="n">
        <v>0</v>
      </c>
      <c r="N73" s="20" t="n">
        <v>0</v>
      </c>
      <c r="O73" s="18" t="n">
        <v>0</v>
      </c>
      <c r="P73" s="20" t="n">
        <v>0</v>
      </c>
      <c r="Q73" s="18" t="n">
        <v>0.94616115</v>
      </c>
      <c r="R73" s="20" t="n">
        <v>0.44915414</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(1899.0/B75*100)</f>
        <v/>
      </c>
      <c r="D75" s="19" t="n">
        <v>507</v>
      </c>
      <c r="E75" s="18" t="n">
        <v>72.38047330000001</v>
      </c>
      <c r="F75" s="20" t="n">
        <v>2.32264779</v>
      </c>
      <c r="G75" s="18" t="n">
        <v>23.5524502</v>
      </c>
      <c r="H75" s="20" t="n">
        <v>2.22781203</v>
      </c>
      <c r="I75" s="18" t="s">
        <v>567</v>
      </c>
      <c r="J75" s="20" t="s">
        <v>567</v>
      </c>
      <c r="K75" s="18" t="n">
        <v>0.81662841</v>
      </c>
      <c r="L75" s="20" t="n">
        <v>0.34560924</v>
      </c>
      <c r="M75" s="18" t="n">
        <v>0</v>
      </c>
      <c r="N75" s="20" t="n">
        <v>0</v>
      </c>
      <c r="O75" s="18" t="n">
        <v>0</v>
      </c>
      <c r="P75" s="20" t="n">
        <v>0</v>
      </c>
      <c r="Q75" s="18" t="n">
        <v>3.25044809</v>
      </c>
      <c r="R75" s="20" t="n">
        <v>0.91570436</v>
      </c>
    </row>
    <row r="76" spans="1:18">
      <c r="A76" s="15" t="s">
        <v>636</v>
      </c>
      <c r="B76" s="17" t="n">
        <v>7052</v>
      </c>
      <c r="C76" s="18">
        <f>(5493.0/B76*100)</f>
        <v/>
      </c>
      <c r="D76" s="19" t="n">
        <v>1559</v>
      </c>
      <c r="E76" s="18" t="n">
        <v>76.28043418</v>
      </c>
      <c r="F76" s="20" t="n">
        <v>1.5236258</v>
      </c>
      <c r="G76" s="18" t="n">
        <v>21.31600829</v>
      </c>
      <c r="H76" s="20" t="n">
        <v>1.5355754</v>
      </c>
      <c r="I76" s="18" t="s">
        <v>567</v>
      </c>
      <c r="J76" s="20" t="s">
        <v>567</v>
      </c>
      <c r="K76" s="18" t="n">
        <v>0.26370303</v>
      </c>
      <c r="L76" s="20" t="n">
        <v>0.14360543</v>
      </c>
      <c r="M76" s="18" t="n">
        <v>0</v>
      </c>
      <c r="N76" s="20" t="n">
        <v>0</v>
      </c>
      <c r="O76" s="18" t="n">
        <v>0</v>
      </c>
      <c r="P76" s="20" t="n">
        <v>0</v>
      </c>
      <c r="Q76" s="18" t="n">
        <v>2.1398545</v>
      </c>
      <c r="R76" s="20" t="n">
        <v>0.4535251</v>
      </c>
    </row>
    <row r="77" spans="1:18">
      <c r="A77" s="15" t="s">
        <v>637</v>
      </c>
      <c r="B77" s="17" t="n">
        <v>2908</v>
      </c>
      <c r="C77" s="18">
        <f>(2236.0/B77*100)</f>
        <v/>
      </c>
      <c r="D77" s="19" t="n">
        <v>672</v>
      </c>
      <c r="E77" s="18" t="n">
        <v>67.5020145</v>
      </c>
      <c r="F77" s="20" t="n">
        <v>1.89815174</v>
      </c>
      <c r="G77" s="18" t="n">
        <v>29.8227439</v>
      </c>
      <c r="H77" s="20" t="n">
        <v>1.85576305</v>
      </c>
      <c r="I77" s="18" t="s">
        <v>567</v>
      </c>
      <c r="J77" s="20" t="s">
        <v>567</v>
      </c>
      <c r="K77" s="18" t="n">
        <v>0.31307405</v>
      </c>
      <c r="L77" s="20" t="n">
        <v>0.21300502</v>
      </c>
      <c r="M77" s="18" t="n">
        <v>0</v>
      </c>
      <c r="N77" s="20" t="n">
        <v>0</v>
      </c>
      <c r="O77" s="18" t="n">
        <v>0</v>
      </c>
      <c r="P77" s="20" t="n">
        <v>0</v>
      </c>
      <c r="Q77" s="18" t="n">
        <v>2.36216755</v>
      </c>
      <c r="R77" s="20" t="n">
        <v>0.62437368</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(3220.0/B81*100)</f>
        <v/>
      </c>
      <c r="D81" s="19" t="n">
        <v>943</v>
      </c>
      <c r="E81" s="18" t="n">
        <v>78.97644390000001</v>
      </c>
      <c r="F81" s="20" t="n">
        <v>1.69831249</v>
      </c>
      <c r="G81" s="18" t="n">
        <v>20.44226326</v>
      </c>
      <c r="H81" s="20" t="n">
        <v>1.69447255</v>
      </c>
      <c r="I81" s="18" t="s">
        <v>567</v>
      </c>
      <c r="J81" s="20" t="s">
        <v>567</v>
      </c>
      <c r="K81" s="18" t="n">
        <v>0</v>
      </c>
      <c r="L81" s="20" t="n">
        <v>0</v>
      </c>
      <c r="M81" s="18" t="n">
        <v>0</v>
      </c>
      <c r="N81" s="20" t="n">
        <v>0</v>
      </c>
      <c r="O81" s="18" t="n">
        <v>0</v>
      </c>
      <c r="P81" s="20" t="n">
        <v>0</v>
      </c>
      <c r="Q81" s="18" t="n">
        <v>0.58129284</v>
      </c>
      <c r="R81" s="20" t="n">
        <v>0.5074924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(5760.0/B7*100)</f>
        <v/>
      </c>
      <c r="D7" s="19" t="n">
        <v>1607</v>
      </c>
      <c r="E7" s="18" t="n">
        <v>53.63020333</v>
      </c>
      <c r="F7" s="20" t="n">
        <v>1.51614372</v>
      </c>
      <c r="G7" s="18" t="n">
        <v>34.09911042</v>
      </c>
      <c r="H7" s="20" t="n">
        <v>1.49311735</v>
      </c>
      <c r="I7" s="18" t="s">
        <v>567</v>
      </c>
      <c r="J7" s="20" t="s">
        <v>567</v>
      </c>
      <c r="K7" s="18" t="n">
        <v>0.0922982</v>
      </c>
      <c r="L7" s="20" t="n">
        <v>0.06893778</v>
      </c>
      <c r="M7" s="18" t="n">
        <v>0.00836813</v>
      </c>
      <c r="N7" s="20" t="n">
        <v>0.00848322</v>
      </c>
      <c r="O7" s="18" t="n">
        <v>0</v>
      </c>
      <c r="P7" s="20" t="n">
        <v>0</v>
      </c>
      <c r="Q7" s="18" t="n">
        <v>12.17001991</v>
      </c>
      <c r="R7" s="20" t="n">
        <v>0.87625516</v>
      </c>
    </row>
    <row r="8" spans="1:18">
      <c r="A8" s="15" t="s">
        <v>568</v>
      </c>
      <c r="B8" s="17" t="n">
        <v>3564</v>
      </c>
      <c r="C8" s="18">
        <f>(2793.0/B8*100)</f>
        <v/>
      </c>
      <c r="D8" s="19" t="n">
        <v>771</v>
      </c>
      <c r="E8" s="18" t="n">
        <v>36.38221637</v>
      </c>
      <c r="F8" s="20" t="n">
        <v>1.8914697</v>
      </c>
      <c r="G8" s="18" t="n">
        <v>49.21301601</v>
      </c>
      <c r="H8" s="20" t="n">
        <v>2.17146022</v>
      </c>
      <c r="I8" s="18" t="s">
        <v>567</v>
      </c>
      <c r="J8" s="20" t="s">
        <v>567</v>
      </c>
      <c r="K8" s="18" t="n">
        <v>0.10338717</v>
      </c>
      <c r="L8" s="20" t="n">
        <v>0.17554504</v>
      </c>
      <c r="M8" s="18" t="n">
        <v>0</v>
      </c>
      <c r="N8" s="20" t="n">
        <v>0</v>
      </c>
      <c r="O8" s="18" t="n">
        <v>0</v>
      </c>
      <c r="P8" s="20" t="n">
        <v>0</v>
      </c>
      <c r="Q8" s="18" t="n">
        <v>14.30138045</v>
      </c>
      <c r="R8" s="20" t="n">
        <v>1.34538749</v>
      </c>
    </row>
    <row r="9" spans="1:18">
      <c r="A9" s="15" t="s">
        <v>569</v>
      </c>
      <c r="B9" s="17" t="n">
        <v>4899</v>
      </c>
      <c r="C9" s="18">
        <f>(3863.0/B9*100)</f>
        <v/>
      </c>
      <c r="D9" s="19" t="n">
        <v>1036</v>
      </c>
      <c r="E9" s="18" t="n">
        <v>40.21339763</v>
      </c>
      <c r="F9" s="20" t="n">
        <v>1.56310534</v>
      </c>
      <c r="G9" s="18" t="n">
        <v>49.00655318</v>
      </c>
      <c r="H9" s="20" t="n">
        <v>1.55247974</v>
      </c>
      <c r="I9" s="18" t="s">
        <v>567</v>
      </c>
      <c r="J9" s="20" t="s">
        <v>567</v>
      </c>
      <c r="K9" s="18" t="n">
        <v>0.13156695</v>
      </c>
      <c r="L9" s="20" t="n">
        <v>0.07371548</v>
      </c>
      <c r="M9" s="18" t="n">
        <v>0.30305502</v>
      </c>
      <c r="N9" s="20" t="n">
        <v>0.18068284</v>
      </c>
      <c r="O9" s="18" t="n">
        <v>0</v>
      </c>
      <c r="P9" s="20" t="n">
        <v>0</v>
      </c>
      <c r="Q9" s="18" t="n">
        <v>10.34542721</v>
      </c>
      <c r="R9" s="20" t="n">
        <v>1.12380833</v>
      </c>
    </row>
    <row r="10" spans="1:18">
      <c r="A10" s="15" t="s">
        <v>570</v>
      </c>
      <c r="B10" s="17" t="n">
        <v>10036</v>
      </c>
      <c r="C10" s="18">
        <f>(7866.0/B10*100)</f>
        <v/>
      </c>
      <c r="D10" s="19" t="n">
        <v>2170</v>
      </c>
      <c r="E10" s="18" t="n">
        <v>48.9126052</v>
      </c>
      <c r="F10" s="20" t="n">
        <v>1.61812135</v>
      </c>
      <c r="G10" s="18" t="n">
        <v>44.18741953</v>
      </c>
      <c r="H10" s="20" t="n">
        <v>1.71280306</v>
      </c>
      <c r="I10" s="18" t="s">
        <v>567</v>
      </c>
      <c r="J10" s="20" t="s">
        <v>567</v>
      </c>
      <c r="K10" s="18" t="n">
        <v>0</v>
      </c>
      <c r="L10" s="20" t="n">
        <v>0</v>
      </c>
      <c r="M10" s="18" t="n">
        <v>0.04113645</v>
      </c>
      <c r="N10" s="20" t="n">
        <v>0.02905952</v>
      </c>
      <c r="O10" s="18" t="n">
        <v>0</v>
      </c>
      <c r="P10" s="20" t="n">
        <v>0</v>
      </c>
      <c r="Q10" s="18" t="n">
        <v>6.85883882</v>
      </c>
      <c r="R10" s="20" t="n">
        <v>0.62408576</v>
      </c>
    </row>
    <row r="11" spans="1:18">
      <c r="A11" s="15" t="s">
        <v>571</v>
      </c>
      <c r="B11" s="17" t="n">
        <v>3553</v>
      </c>
      <c r="C11" s="18">
        <f>(2789.0/B11*100)</f>
        <v/>
      </c>
      <c r="D11" s="19" t="n">
        <v>764</v>
      </c>
      <c r="E11" s="18" t="n">
        <v>66.16031461999999</v>
      </c>
      <c r="F11" s="20" t="n">
        <v>2.21340286</v>
      </c>
      <c r="G11" s="18" t="n">
        <v>13.84755896</v>
      </c>
      <c r="H11" s="20" t="n">
        <v>2.03728179</v>
      </c>
      <c r="I11" s="18" t="s">
        <v>567</v>
      </c>
      <c r="J11" s="20" t="s">
        <v>567</v>
      </c>
      <c r="K11" s="18" t="n">
        <v>0.77627679</v>
      </c>
      <c r="L11" s="20" t="n">
        <v>0.35145865</v>
      </c>
      <c r="M11" s="18" t="n">
        <v>0</v>
      </c>
      <c r="N11" s="20" t="n">
        <v>0</v>
      </c>
      <c r="O11" s="18" t="n">
        <v>0</v>
      </c>
      <c r="P11" s="20" t="n">
        <v>0</v>
      </c>
      <c r="Q11" s="18" t="n">
        <v>19.21584963</v>
      </c>
      <c r="R11" s="20" t="n">
        <v>1.79325195</v>
      </c>
    </row>
    <row r="12" spans="1:18">
      <c r="A12" s="15" t="s">
        <v>572</v>
      </c>
      <c r="B12" s="17" t="n">
        <v>3472</v>
      </c>
      <c r="C12" s="18">
        <f>(2730.0/B12*100)</f>
        <v/>
      </c>
      <c r="D12" s="19" t="n">
        <v>742</v>
      </c>
      <c r="E12" s="18" t="n">
        <v>41.31297276</v>
      </c>
      <c r="F12" s="20" t="n">
        <v>2.31937537</v>
      </c>
      <c r="G12" s="18" t="n">
        <v>41.73857688</v>
      </c>
      <c r="H12" s="20" t="n">
        <v>1.96241056</v>
      </c>
      <c r="I12" s="18" t="s">
        <v>567</v>
      </c>
      <c r="J12" s="20" t="s">
        <v>567</v>
      </c>
      <c r="K12" s="18" t="n">
        <v>0.24600211</v>
      </c>
      <c r="L12" s="20" t="n">
        <v>0.21607476</v>
      </c>
      <c r="M12" s="18" t="n">
        <v>0</v>
      </c>
      <c r="N12" s="20" t="n">
        <v>0</v>
      </c>
      <c r="O12" s="18" t="n">
        <v>0</v>
      </c>
      <c r="P12" s="20" t="n">
        <v>0</v>
      </c>
      <c r="Q12" s="18" t="n">
        <v>16.70244826</v>
      </c>
      <c r="R12" s="20" t="n">
        <v>1.55992181</v>
      </c>
    </row>
    <row r="13" spans="1:18">
      <c r="A13" s="15" t="s">
        <v>573</v>
      </c>
      <c r="B13" s="17" t="n">
        <v>3559</v>
      </c>
      <c r="C13" s="18">
        <f>(2822.0/B13*100)</f>
        <v/>
      </c>
      <c r="D13" s="19" t="n">
        <v>737</v>
      </c>
      <c r="E13" s="18" t="n">
        <v>55.70440916</v>
      </c>
      <c r="F13" s="20" t="n">
        <v>2.31687703</v>
      </c>
      <c r="G13" s="18" t="n">
        <v>33.25531335</v>
      </c>
      <c r="H13" s="20" t="n">
        <v>2.36207719</v>
      </c>
      <c r="I13" s="18" t="s">
        <v>567</v>
      </c>
      <c r="J13" s="20" t="s">
        <v>567</v>
      </c>
      <c r="K13" s="18" t="n">
        <v>0.25440056</v>
      </c>
      <c r="L13" s="20" t="n">
        <v>0.1924447</v>
      </c>
      <c r="M13" s="18" t="n">
        <v>0.02779173</v>
      </c>
      <c r="N13" s="20" t="n">
        <v>0.02756254</v>
      </c>
      <c r="O13" s="18" t="n">
        <v>0</v>
      </c>
      <c r="P13" s="20" t="n">
        <v>0</v>
      </c>
      <c r="Q13" s="18" t="n">
        <v>10.75808519</v>
      </c>
      <c r="R13" s="20" t="n">
        <v>1.2060092</v>
      </c>
    </row>
    <row r="14" spans="1:18">
      <c r="A14" s="15" t="s">
        <v>574</v>
      </c>
      <c r="B14" s="17" t="n">
        <v>2799</v>
      </c>
      <c r="C14" s="18">
        <f>(2179.0/B14*100)</f>
        <v/>
      </c>
      <c r="D14" s="19" t="n">
        <v>620</v>
      </c>
      <c r="E14" s="18" t="n">
        <v>51.01107619</v>
      </c>
      <c r="F14" s="20" t="n">
        <v>2.45232565</v>
      </c>
      <c r="G14" s="18" t="n">
        <v>36.69840399</v>
      </c>
      <c r="H14" s="20" t="n">
        <v>2.42587728</v>
      </c>
      <c r="I14" s="18" t="s">
        <v>567</v>
      </c>
      <c r="J14" s="20" t="s">
        <v>567</v>
      </c>
      <c r="K14" s="18" t="n">
        <v>0</v>
      </c>
      <c r="L14" s="20" t="n">
        <v>0</v>
      </c>
      <c r="M14" s="18" t="n">
        <v>0</v>
      </c>
      <c r="N14" s="20" t="n">
        <v>0</v>
      </c>
      <c r="O14" s="18" t="n">
        <v>0</v>
      </c>
      <c r="P14" s="20" t="n">
        <v>0</v>
      </c>
      <c r="Q14" s="18" t="n">
        <v>12.29051982</v>
      </c>
      <c r="R14" s="20" t="n">
        <v>1.41172588</v>
      </c>
    </row>
    <row r="15" spans="1:18">
      <c r="A15" s="15" t="s">
        <v>575</v>
      </c>
      <c r="B15" s="17" t="n">
        <v>3019</v>
      </c>
      <c r="C15" s="18">
        <f>(2400.0/B15*100)</f>
        <v/>
      </c>
      <c r="D15" s="19" t="n">
        <v>619</v>
      </c>
      <c r="E15" s="18" t="n">
        <v>43.29149909</v>
      </c>
      <c r="F15" s="20" t="n">
        <v>2.57252542</v>
      </c>
      <c r="G15" s="18" t="n">
        <v>48.89541528</v>
      </c>
      <c r="H15" s="20" t="n">
        <v>2.67669783</v>
      </c>
      <c r="I15" s="18" t="s">
        <v>567</v>
      </c>
      <c r="J15" s="20" t="s">
        <v>567</v>
      </c>
      <c r="K15" s="18" t="n">
        <v>0.15747216</v>
      </c>
      <c r="L15" s="20" t="n">
        <v>0.158072</v>
      </c>
      <c r="M15" s="18" t="n">
        <v>0</v>
      </c>
      <c r="N15" s="20" t="n">
        <v>0</v>
      </c>
      <c r="O15" s="18" t="n">
        <v>0</v>
      </c>
      <c r="P15" s="20" t="n">
        <v>0</v>
      </c>
      <c r="Q15" s="18" t="n">
        <v>7.65561346</v>
      </c>
      <c r="R15" s="20" t="n">
        <v>1.3027139</v>
      </c>
    </row>
    <row r="16" spans="1:18">
      <c r="A16" s="15" t="s">
        <v>576</v>
      </c>
      <c r="B16" s="17" t="n">
        <v>2997</v>
      </c>
      <c r="C16" s="18">
        <f>(2350.0/B16*100)</f>
        <v/>
      </c>
      <c r="D16" s="19" t="n">
        <v>647</v>
      </c>
      <c r="E16" s="18" t="n">
        <v>49.73351121</v>
      </c>
      <c r="F16" s="20" t="n">
        <v>1.7526363</v>
      </c>
      <c r="G16" s="18" t="n">
        <v>30.31472789</v>
      </c>
      <c r="H16" s="20" t="n">
        <v>1.71935546</v>
      </c>
      <c r="I16" s="18" t="s">
        <v>567</v>
      </c>
      <c r="J16" s="20" t="s">
        <v>567</v>
      </c>
      <c r="K16" s="18" t="n">
        <v>0.7828738200000001</v>
      </c>
      <c r="L16" s="20" t="n">
        <v>0.31105139</v>
      </c>
      <c r="M16" s="18" t="n">
        <v>0</v>
      </c>
      <c r="N16" s="20" t="n">
        <v>0</v>
      </c>
      <c r="O16" s="18" t="n">
        <v>0</v>
      </c>
      <c r="P16" s="20" t="n">
        <v>0</v>
      </c>
      <c r="Q16" s="18" t="n">
        <v>19.16888708</v>
      </c>
      <c r="R16" s="20" t="n">
        <v>1.63049089</v>
      </c>
    </row>
    <row r="17" spans="1:18">
      <c r="A17" s="15" t="s">
        <v>577</v>
      </c>
      <c r="B17" s="17" t="n">
        <v>3307</v>
      </c>
      <c r="C17" s="18">
        <f>(2588.0/B17*100)</f>
        <v/>
      </c>
      <c r="D17" s="19" t="n">
        <v>719</v>
      </c>
      <c r="E17" s="18" t="n">
        <v>37.49974715</v>
      </c>
      <c r="F17" s="20" t="n">
        <v>1.8622547</v>
      </c>
      <c r="G17" s="18" t="n">
        <v>45.91931912</v>
      </c>
      <c r="H17" s="20" t="n">
        <v>2.2235919</v>
      </c>
      <c r="I17" s="18" t="s">
        <v>567</v>
      </c>
      <c r="J17" s="20" t="s">
        <v>567</v>
      </c>
      <c r="K17" s="18" t="n">
        <v>0.13484364</v>
      </c>
      <c r="L17" s="20" t="n">
        <v>0.14077629</v>
      </c>
      <c r="M17" s="18" t="n">
        <v>0</v>
      </c>
      <c r="N17" s="20" t="n">
        <v>0</v>
      </c>
      <c r="O17" s="18" t="n">
        <v>0</v>
      </c>
      <c r="P17" s="20" t="n">
        <v>0</v>
      </c>
      <c r="Q17" s="18" t="n">
        <v>16.44609009</v>
      </c>
      <c r="R17" s="20" t="n">
        <v>1.69336974</v>
      </c>
    </row>
    <row r="18" spans="1:18">
      <c r="A18" s="15" t="s">
        <v>578</v>
      </c>
      <c r="B18" s="17" t="n">
        <v>2826</v>
      </c>
      <c r="C18" s="18">
        <f>(2216.0/B18*100)</f>
        <v/>
      </c>
      <c r="D18" s="19" t="n">
        <v>610</v>
      </c>
      <c r="E18" s="18" t="n">
        <v>49.9860304</v>
      </c>
      <c r="F18" s="20" t="n">
        <v>2.23547182</v>
      </c>
      <c r="G18" s="18" t="n">
        <v>31.99571439</v>
      </c>
      <c r="H18" s="20" t="n">
        <v>2.15124716</v>
      </c>
      <c r="I18" s="18" t="s">
        <v>567</v>
      </c>
      <c r="J18" s="20" t="s">
        <v>567</v>
      </c>
      <c r="K18" s="18" t="n">
        <v>0.221584</v>
      </c>
      <c r="L18" s="20" t="n">
        <v>0.17809065</v>
      </c>
      <c r="M18" s="18" t="n">
        <v>0</v>
      </c>
      <c r="N18" s="20" t="n">
        <v>0</v>
      </c>
      <c r="O18" s="18" t="n">
        <v>0</v>
      </c>
      <c r="P18" s="20" t="n">
        <v>0</v>
      </c>
      <c r="Q18" s="18" t="n">
        <v>17.79667121</v>
      </c>
      <c r="R18" s="20" t="n">
        <v>1.8312376</v>
      </c>
    </row>
    <row r="19" spans="1:18">
      <c r="A19" s="15" t="s">
        <v>579</v>
      </c>
      <c r="B19" s="17" t="n">
        <v>2808</v>
      </c>
      <c r="C19" s="18">
        <f>(2205.0/B19*100)</f>
        <v/>
      </c>
      <c r="D19" s="19" t="n">
        <v>603</v>
      </c>
      <c r="E19" s="18" t="n">
        <v>54.26488396</v>
      </c>
      <c r="F19" s="20" t="n">
        <v>2.14804719</v>
      </c>
      <c r="G19" s="18" t="n">
        <v>28.02135145</v>
      </c>
      <c r="H19" s="20" t="n">
        <v>2.33862738</v>
      </c>
      <c r="I19" s="18" t="s">
        <v>567</v>
      </c>
      <c r="J19" s="20" t="s">
        <v>567</v>
      </c>
      <c r="K19" s="18" t="n">
        <v>0.11425528</v>
      </c>
      <c r="L19" s="20" t="n">
        <v>0.11415831</v>
      </c>
      <c r="M19" s="18" t="n">
        <v>0</v>
      </c>
      <c r="N19" s="20" t="n">
        <v>0</v>
      </c>
      <c r="O19" s="18" t="n">
        <v>0</v>
      </c>
      <c r="P19" s="20" t="n">
        <v>0</v>
      </c>
      <c r="Q19" s="18" t="n">
        <v>17.59950932</v>
      </c>
      <c r="R19" s="20" t="n">
        <v>1.86561654</v>
      </c>
    </row>
    <row r="20" spans="1:18">
      <c r="A20" s="15" t="s">
        <v>580</v>
      </c>
      <c r="B20" s="17" t="n">
        <v>1630</v>
      </c>
      <c r="C20" s="18">
        <f>(1270.0/B20*100)</f>
        <v/>
      </c>
      <c r="D20" s="19" t="n">
        <v>360</v>
      </c>
      <c r="E20" s="18" t="n">
        <v>68.32941243</v>
      </c>
      <c r="F20" s="20" t="n">
        <v>2.36456693</v>
      </c>
      <c r="G20" s="18" t="n">
        <v>14.52577769</v>
      </c>
      <c r="H20" s="20" t="n">
        <v>1.72982202</v>
      </c>
      <c r="I20" s="18" t="s">
        <v>567</v>
      </c>
      <c r="J20" s="20" t="s">
        <v>567</v>
      </c>
      <c r="K20" s="18" t="n">
        <v>0</v>
      </c>
      <c r="L20" s="20" t="n">
        <v>0</v>
      </c>
      <c r="M20" s="18" t="n">
        <v>1.10908262</v>
      </c>
      <c r="N20" s="20" t="n">
        <v>0.36750867</v>
      </c>
      <c r="O20" s="18" t="n">
        <v>0</v>
      </c>
      <c r="P20" s="20" t="n">
        <v>0</v>
      </c>
      <c r="Q20" s="18" t="n">
        <v>16.03572725</v>
      </c>
      <c r="R20" s="20" t="n">
        <v>2.02747568</v>
      </c>
    </row>
    <row r="21" spans="1:18">
      <c r="A21" s="15" t="s">
        <v>581</v>
      </c>
      <c r="B21" s="17" t="n">
        <v>2908</v>
      </c>
      <c r="C21" s="18">
        <f>(2249.0/B21*100)</f>
        <v/>
      </c>
      <c r="D21" s="19" t="n">
        <v>659</v>
      </c>
      <c r="E21" s="18" t="n">
        <v>58.66319526</v>
      </c>
      <c r="F21" s="20" t="n">
        <v>1.96494538</v>
      </c>
      <c r="G21" s="18" t="n">
        <v>29.35496666</v>
      </c>
      <c r="H21" s="20" t="n">
        <v>2.11431644</v>
      </c>
      <c r="I21" s="18" t="s">
        <v>567</v>
      </c>
      <c r="J21" s="20" t="s">
        <v>567</v>
      </c>
      <c r="K21" s="18" t="n">
        <v>0</v>
      </c>
      <c r="L21" s="20" t="n">
        <v>0</v>
      </c>
      <c r="M21" s="18" t="n">
        <v>0</v>
      </c>
      <c r="N21" s="20" t="n">
        <v>0</v>
      </c>
      <c r="O21" s="18" t="n">
        <v>0</v>
      </c>
      <c r="P21" s="20" t="n">
        <v>0</v>
      </c>
      <c r="Q21" s="18" t="n">
        <v>11.98183808</v>
      </c>
      <c r="R21" s="20" t="n">
        <v>1.46259421</v>
      </c>
    </row>
    <row r="22" spans="1:18">
      <c r="A22" s="15" t="s">
        <v>582</v>
      </c>
      <c r="B22" s="17" t="n">
        <v>2931</v>
      </c>
      <c r="C22" s="18">
        <f>(2270.0/B22*100)</f>
        <v/>
      </c>
      <c r="D22" s="19" t="n">
        <v>661</v>
      </c>
      <c r="E22" s="18" t="n">
        <v>48.95891318</v>
      </c>
      <c r="F22" s="20" t="n">
        <v>1.93009506</v>
      </c>
      <c r="G22" s="18" t="n">
        <v>34.96371617</v>
      </c>
      <c r="H22" s="20" t="n">
        <v>2.17257358</v>
      </c>
      <c r="I22" s="18" t="s">
        <v>567</v>
      </c>
      <c r="J22" s="20" t="s">
        <v>567</v>
      </c>
      <c r="K22" s="18" t="n">
        <v>0.30535506</v>
      </c>
      <c r="L22" s="20" t="n">
        <v>0.26138847</v>
      </c>
      <c r="M22" s="18" t="n">
        <v>0</v>
      </c>
      <c r="N22" s="20" t="n">
        <v>0</v>
      </c>
      <c r="O22" s="18" t="n">
        <v>0</v>
      </c>
      <c r="P22" s="20" t="n">
        <v>0</v>
      </c>
      <c r="Q22" s="18" t="n">
        <v>15.77201559</v>
      </c>
      <c r="R22" s="20" t="n">
        <v>1.8143128</v>
      </c>
    </row>
    <row r="23" spans="1:18">
      <c r="A23" s="15" t="s">
        <v>583</v>
      </c>
      <c r="B23" s="17" t="n">
        <v>5791</v>
      </c>
      <c r="C23" s="18">
        <f>(4528.0/B23*100)</f>
        <v/>
      </c>
      <c r="D23" s="19" t="n">
        <v>1263</v>
      </c>
      <c r="E23" s="18" t="n">
        <v>55.0167102</v>
      </c>
      <c r="F23" s="20" t="n">
        <v>2.10261902</v>
      </c>
      <c r="G23" s="18" t="n">
        <v>30.81022599</v>
      </c>
      <c r="H23" s="20" t="n">
        <v>1.95766169</v>
      </c>
      <c r="I23" s="18" t="s">
        <v>567</v>
      </c>
      <c r="J23" s="20" t="s">
        <v>567</v>
      </c>
      <c r="K23" s="18" t="n">
        <v>0.28349578</v>
      </c>
      <c r="L23" s="20" t="n">
        <v>0.26192649</v>
      </c>
      <c r="M23" s="18" t="n">
        <v>0</v>
      </c>
      <c r="N23" s="20" t="n">
        <v>0</v>
      </c>
      <c r="O23" s="18" t="n">
        <v>0</v>
      </c>
      <c r="P23" s="20" t="n">
        <v>0</v>
      </c>
      <c r="Q23" s="18" t="n">
        <v>13.88956802</v>
      </c>
      <c r="R23" s="20" t="n">
        <v>1.54909287</v>
      </c>
    </row>
    <row r="24" spans="1:18">
      <c r="A24" s="15" t="s">
        <v>584</v>
      </c>
      <c r="B24" s="17" t="n">
        <v>3338</v>
      </c>
      <c r="C24" s="18">
        <f>(2610.0/B24*100)</f>
        <v/>
      </c>
      <c r="D24" s="19" t="n">
        <v>728</v>
      </c>
      <c r="E24" s="18" t="n">
        <v>34.16813873</v>
      </c>
      <c r="F24" s="20" t="n">
        <v>1.89754697</v>
      </c>
      <c r="G24" s="18" t="n">
        <v>56.57016032</v>
      </c>
      <c r="H24" s="20" t="n">
        <v>2.06540421</v>
      </c>
      <c r="I24" s="18" t="s">
        <v>567</v>
      </c>
      <c r="J24" s="20" t="s">
        <v>567</v>
      </c>
      <c r="K24" s="18" t="n">
        <v>0.53883131</v>
      </c>
      <c r="L24" s="20" t="n">
        <v>0.2718255</v>
      </c>
      <c r="M24" s="18" t="n">
        <v>0</v>
      </c>
      <c r="N24" s="20" t="n">
        <v>0</v>
      </c>
      <c r="O24" s="18" t="n">
        <v>0</v>
      </c>
      <c r="P24" s="20" t="n">
        <v>0</v>
      </c>
      <c r="Q24" s="18" t="n">
        <v>8.722869640000001</v>
      </c>
      <c r="R24" s="20" t="n">
        <v>1.09065778</v>
      </c>
    </row>
    <row r="25" spans="1:18">
      <c r="A25" s="15" t="s">
        <v>585</v>
      </c>
      <c r="B25" s="17" t="n">
        <v>2912</v>
      </c>
      <c r="C25" s="18">
        <f>(2253.0/B25*100)</f>
        <v/>
      </c>
      <c r="D25" s="19" t="n">
        <v>659</v>
      </c>
      <c r="E25" s="18" t="n">
        <v>54.79913021</v>
      </c>
      <c r="F25" s="20" t="n">
        <v>2.40225221</v>
      </c>
      <c r="G25" s="18" t="n">
        <v>28.79758554</v>
      </c>
      <c r="H25" s="20" t="n">
        <v>2.5236069</v>
      </c>
      <c r="I25" s="18" t="s">
        <v>567</v>
      </c>
      <c r="J25" s="20" t="s">
        <v>567</v>
      </c>
      <c r="K25" s="18" t="n">
        <v>0.28178802</v>
      </c>
      <c r="L25" s="20" t="n">
        <v>0.20065946</v>
      </c>
      <c r="M25" s="18" t="n">
        <v>0</v>
      </c>
      <c r="N25" s="20" t="n">
        <v>0</v>
      </c>
      <c r="O25" s="18" t="n">
        <v>0</v>
      </c>
      <c r="P25" s="20" t="n">
        <v>0</v>
      </c>
      <c r="Q25" s="18" t="n">
        <v>16.12149623</v>
      </c>
      <c r="R25" s="20" t="n">
        <v>1.63156091</v>
      </c>
    </row>
    <row r="26" spans="1:18">
      <c r="A26" s="15" t="s">
        <v>586</v>
      </c>
      <c r="B26" s="17" t="n">
        <v>2450</v>
      </c>
      <c r="C26" s="18">
        <f>(1933.0/B26*100)</f>
        <v/>
      </c>
      <c r="D26" s="19" t="n">
        <v>517</v>
      </c>
      <c r="E26" s="18" t="n">
        <v>64.85947079</v>
      </c>
      <c r="F26" s="20" t="n">
        <v>2.03422892</v>
      </c>
      <c r="G26" s="18" t="n">
        <v>22.43103503</v>
      </c>
      <c r="H26" s="20" t="n">
        <v>1.89316332</v>
      </c>
      <c r="I26" s="18" t="s">
        <v>567</v>
      </c>
      <c r="J26" s="20" t="s">
        <v>567</v>
      </c>
      <c r="K26" s="18" t="n">
        <v>0</v>
      </c>
      <c r="L26" s="20" t="n">
        <v>0</v>
      </c>
      <c r="M26" s="18" t="n">
        <v>0.36652232</v>
      </c>
      <c r="N26" s="20" t="n">
        <v>0.29008552</v>
      </c>
      <c r="O26" s="18" t="n">
        <v>0</v>
      </c>
      <c r="P26" s="20" t="n">
        <v>0</v>
      </c>
      <c r="Q26" s="18" t="n">
        <v>12.34297186</v>
      </c>
      <c r="R26" s="20" t="n">
        <v>1.76702492</v>
      </c>
    </row>
    <row r="27" spans="1:18">
      <c r="A27" s="15" t="s">
        <v>587</v>
      </c>
      <c r="B27" s="17" t="n">
        <v>2616</v>
      </c>
      <c r="C27" s="18">
        <f>(2041.0/B27*100)</f>
        <v/>
      </c>
      <c r="D27" s="19" t="n">
        <v>575</v>
      </c>
      <c r="E27" s="18" t="n">
        <v>49.39201916</v>
      </c>
      <c r="F27" s="20" t="n">
        <v>2.12046725</v>
      </c>
      <c r="G27" s="18" t="n">
        <v>31.31760543</v>
      </c>
      <c r="H27" s="20" t="n">
        <v>1.6951449</v>
      </c>
      <c r="I27" s="18" t="s">
        <v>567</v>
      </c>
      <c r="J27" s="20" t="s">
        <v>567</v>
      </c>
      <c r="K27" s="18" t="n">
        <v>0</v>
      </c>
      <c r="L27" s="20" t="n">
        <v>0</v>
      </c>
      <c r="M27" s="18" t="n">
        <v>0</v>
      </c>
      <c r="N27" s="20" t="n">
        <v>0</v>
      </c>
      <c r="O27" s="18" t="n">
        <v>0</v>
      </c>
      <c r="P27" s="20" t="n">
        <v>0</v>
      </c>
      <c r="Q27" s="18" t="n">
        <v>19.29037541</v>
      </c>
      <c r="R27" s="20" t="n">
        <v>1.69661344</v>
      </c>
    </row>
    <row r="28" spans="1:18">
      <c r="A28" s="15" t="s">
        <v>588</v>
      </c>
      <c r="B28" s="17" t="n">
        <v>3765</v>
      </c>
      <c r="C28" s="18">
        <f>(3020.0/B28*100)</f>
        <v/>
      </c>
      <c r="D28" s="19" t="n">
        <v>745</v>
      </c>
      <c r="E28" s="18" t="n">
        <v>85.24387814000001</v>
      </c>
      <c r="F28" s="20" t="n">
        <v>1.27164693</v>
      </c>
      <c r="G28" s="18" t="n">
        <v>9.29775843</v>
      </c>
      <c r="H28" s="20" t="n">
        <v>0.95851973</v>
      </c>
      <c r="I28" s="18" t="s">
        <v>567</v>
      </c>
      <c r="J28" s="20" t="s">
        <v>567</v>
      </c>
      <c r="K28" s="18" t="n">
        <v>0.1822223</v>
      </c>
      <c r="L28" s="20" t="n">
        <v>0.20806315</v>
      </c>
      <c r="M28" s="18" t="n">
        <v>0.10536705</v>
      </c>
      <c r="N28" s="20" t="n">
        <v>0.10487287</v>
      </c>
      <c r="O28" s="18" t="n">
        <v>0</v>
      </c>
      <c r="P28" s="20" t="n">
        <v>0</v>
      </c>
      <c r="Q28" s="18" t="n">
        <v>5.17077407</v>
      </c>
      <c r="R28" s="20" t="n">
        <v>0.75903436</v>
      </c>
    </row>
    <row r="29" spans="1:18">
      <c r="A29" s="15" t="s">
        <v>589</v>
      </c>
      <c r="B29" s="17" t="n">
        <v>2685</v>
      </c>
      <c r="C29" s="18">
        <f>(2094.0/B29*100)</f>
        <v/>
      </c>
      <c r="D29" s="19" t="n">
        <v>591</v>
      </c>
      <c r="E29" s="18" t="n">
        <v>45.65646643</v>
      </c>
      <c r="F29" s="20" t="n">
        <v>2.38378607</v>
      </c>
      <c r="G29" s="18" t="n">
        <v>50.22578291</v>
      </c>
      <c r="H29" s="20" t="n">
        <v>2.4708496</v>
      </c>
      <c r="I29" s="18" t="s">
        <v>567</v>
      </c>
      <c r="J29" s="20" t="s">
        <v>567</v>
      </c>
      <c r="K29" s="18" t="n">
        <v>0.15976781</v>
      </c>
      <c r="L29" s="20" t="n">
        <v>0.17323204</v>
      </c>
      <c r="M29" s="18" t="n">
        <v>0</v>
      </c>
      <c r="N29" s="20" t="n">
        <v>0</v>
      </c>
      <c r="O29" s="18" t="n">
        <v>0</v>
      </c>
      <c r="P29" s="20" t="n">
        <v>0</v>
      </c>
      <c r="Q29" s="18" t="n">
        <v>3.95798285</v>
      </c>
      <c r="R29" s="20" t="n">
        <v>0.76125592</v>
      </c>
    </row>
    <row r="30" spans="1:18">
      <c r="A30" s="15" t="s">
        <v>590</v>
      </c>
      <c r="B30" s="17" t="n">
        <v>2263</v>
      </c>
      <c r="C30" s="18">
        <f>(1781.0/B30*100)</f>
        <v/>
      </c>
      <c r="D30" s="19" t="n">
        <v>482</v>
      </c>
      <c r="E30" s="18" t="n">
        <v>35.34033852</v>
      </c>
      <c r="F30" s="20" t="n">
        <v>2.28745879</v>
      </c>
      <c r="G30" s="18" t="n">
        <v>50.70990643</v>
      </c>
      <c r="H30" s="20" t="n">
        <v>2.07328062</v>
      </c>
      <c r="I30" s="18" t="s">
        <v>567</v>
      </c>
      <c r="J30" s="20" t="s">
        <v>567</v>
      </c>
      <c r="K30" s="18" t="n">
        <v>0.34514411</v>
      </c>
      <c r="L30" s="20" t="n">
        <v>0.34953799</v>
      </c>
      <c r="M30" s="18" t="n">
        <v>0.19059436</v>
      </c>
      <c r="N30" s="20" t="n">
        <v>0.19412732</v>
      </c>
      <c r="O30" s="18" t="n">
        <v>0</v>
      </c>
      <c r="P30" s="20" t="n">
        <v>0</v>
      </c>
      <c r="Q30" s="18" t="n">
        <v>13.41401658</v>
      </c>
      <c r="R30" s="20" t="n">
        <v>1.68022041</v>
      </c>
    </row>
    <row r="31" spans="1:18">
      <c r="A31" s="15" t="s">
        <v>591</v>
      </c>
      <c r="B31" s="17" t="n">
        <v>2750</v>
      </c>
      <c r="C31" s="18">
        <f>(2130.0/B31*100)</f>
        <v/>
      </c>
      <c r="D31" s="19" t="n">
        <v>620</v>
      </c>
      <c r="E31" s="18" t="n">
        <v>51.88531674</v>
      </c>
      <c r="F31" s="20" t="n">
        <v>1.95474562</v>
      </c>
      <c r="G31" s="18" t="n">
        <v>35.64503393</v>
      </c>
      <c r="H31" s="20" t="n">
        <v>1.9207941</v>
      </c>
      <c r="I31" s="18" t="s">
        <v>567</v>
      </c>
      <c r="J31" s="20" t="s">
        <v>567</v>
      </c>
      <c r="K31" s="18" t="n">
        <v>0.1441154</v>
      </c>
      <c r="L31" s="20" t="n">
        <v>0.14450281</v>
      </c>
      <c r="M31" s="18" t="n">
        <v>0.16788889</v>
      </c>
      <c r="N31" s="20" t="n">
        <v>0.18254799</v>
      </c>
      <c r="O31" s="18" t="n">
        <v>0</v>
      </c>
      <c r="P31" s="20" t="n">
        <v>0</v>
      </c>
      <c r="Q31" s="18" t="n">
        <v>12.15764505</v>
      </c>
      <c r="R31" s="20" t="n">
        <v>1.30826818</v>
      </c>
    </row>
    <row r="32" spans="1:18">
      <c r="A32" s="15" t="s">
        <v>592</v>
      </c>
      <c r="B32" s="17" t="n">
        <v>2269</v>
      </c>
      <c r="C32" s="18">
        <f>(1776.0/B32*100)</f>
        <v/>
      </c>
      <c r="D32" s="19" t="n">
        <v>493</v>
      </c>
      <c r="E32" s="18" t="n">
        <v>49.66700075</v>
      </c>
      <c r="F32" s="20" t="n">
        <v>2.52288044</v>
      </c>
      <c r="G32" s="18" t="n">
        <v>29.17691655</v>
      </c>
      <c r="H32" s="20" t="n">
        <v>2.35687025</v>
      </c>
      <c r="I32" s="18" t="s">
        <v>567</v>
      </c>
      <c r="J32" s="20" t="s">
        <v>567</v>
      </c>
      <c r="K32" s="18" t="n">
        <v>0</v>
      </c>
      <c r="L32" s="20" t="n">
        <v>0</v>
      </c>
      <c r="M32" s="18" t="n">
        <v>0</v>
      </c>
      <c r="N32" s="20" t="n">
        <v>0</v>
      </c>
      <c r="O32" s="18" t="n">
        <v>0</v>
      </c>
      <c r="P32" s="20" t="n">
        <v>0</v>
      </c>
      <c r="Q32" s="18" t="n">
        <v>21.1560827</v>
      </c>
      <c r="R32" s="20" t="n">
        <v>1.8200475</v>
      </c>
    </row>
    <row r="33" spans="1:18">
      <c r="A33" s="15" t="s">
        <v>593</v>
      </c>
      <c r="B33" s="17" t="n">
        <v>3674</v>
      </c>
      <c r="C33" s="18">
        <f>(2859.0/B33*100)</f>
        <v/>
      </c>
      <c r="D33" s="19" t="n">
        <v>815</v>
      </c>
      <c r="E33" s="18" t="n">
        <v>45.13769506</v>
      </c>
      <c r="F33" s="20" t="n">
        <v>1.92081449</v>
      </c>
      <c r="G33" s="18" t="n">
        <v>35.40977288</v>
      </c>
      <c r="H33" s="20" t="n">
        <v>1.91843695</v>
      </c>
      <c r="I33" s="18" t="s">
        <v>567</v>
      </c>
      <c r="J33" s="20" t="s">
        <v>567</v>
      </c>
      <c r="K33" s="18" t="n">
        <v>0.71516727</v>
      </c>
      <c r="L33" s="20" t="n">
        <v>0.37860992</v>
      </c>
      <c r="M33" s="18" t="n">
        <v>0.15173168</v>
      </c>
      <c r="N33" s="20" t="n">
        <v>0.15371898</v>
      </c>
      <c r="O33" s="18" t="n">
        <v>0</v>
      </c>
      <c r="P33" s="20" t="n">
        <v>0</v>
      </c>
      <c r="Q33" s="18" t="n">
        <v>18.5856331</v>
      </c>
      <c r="R33" s="20" t="n">
        <v>1.58529164</v>
      </c>
    </row>
    <row r="34" spans="1:18">
      <c r="A34" s="15" t="s">
        <v>594</v>
      </c>
      <c r="B34" s="17" t="n">
        <v>3315</v>
      </c>
      <c r="C34" s="18">
        <f>(2614.0/B34*100)</f>
        <v/>
      </c>
      <c r="D34" s="19" t="n">
        <v>701</v>
      </c>
      <c r="E34" s="18" t="n">
        <v>52.71146811</v>
      </c>
      <c r="F34" s="20" t="n">
        <v>1.69806541</v>
      </c>
      <c r="G34" s="18" t="n">
        <v>27.69890897</v>
      </c>
      <c r="H34" s="20" t="n">
        <v>1.74261892</v>
      </c>
      <c r="I34" s="18" t="s">
        <v>567</v>
      </c>
      <c r="J34" s="20" t="s">
        <v>567</v>
      </c>
      <c r="K34" s="18" t="n">
        <v>0.0454486</v>
      </c>
      <c r="L34" s="20" t="n">
        <v>0.04571523</v>
      </c>
      <c r="M34" s="18" t="n">
        <v>6.40021792</v>
      </c>
      <c r="N34" s="20" t="n">
        <v>1.22833101</v>
      </c>
      <c r="O34" s="18" t="n">
        <v>0</v>
      </c>
      <c r="P34" s="20" t="n">
        <v>0</v>
      </c>
      <c r="Q34" s="18" t="n">
        <v>13.1439564</v>
      </c>
      <c r="R34" s="20" t="n">
        <v>1.08158233</v>
      </c>
    </row>
    <row r="35" spans="1:18">
      <c r="A35" s="15" t="s">
        <v>595</v>
      </c>
      <c r="B35" s="17" t="n">
        <v>3505</v>
      </c>
      <c r="C35" s="18">
        <f>(2782.0/B35*100)</f>
        <v/>
      </c>
      <c r="D35" s="19" t="n">
        <v>723</v>
      </c>
      <c r="E35" s="18" t="n">
        <v>54.91867556</v>
      </c>
      <c r="F35" s="20" t="n">
        <v>2.55086637</v>
      </c>
      <c r="G35" s="18" t="n">
        <v>34.4027972</v>
      </c>
      <c r="H35" s="20" t="n">
        <v>2.13528329</v>
      </c>
      <c r="I35" s="18" t="s">
        <v>567</v>
      </c>
      <c r="J35" s="20" t="s">
        <v>567</v>
      </c>
      <c r="K35" s="18" t="n">
        <v>0.82252856</v>
      </c>
      <c r="L35" s="20" t="n">
        <v>0.7448193</v>
      </c>
      <c r="M35" s="18" t="n">
        <v>0.24981469</v>
      </c>
      <c r="N35" s="20" t="n">
        <v>0.25129638</v>
      </c>
      <c r="O35" s="18" t="n">
        <v>0</v>
      </c>
      <c r="P35" s="20" t="n">
        <v>0</v>
      </c>
      <c r="Q35" s="18" t="n">
        <v>9.606184000000001</v>
      </c>
      <c r="R35" s="20" t="n">
        <v>1.37492747</v>
      </c>
    </row>
    <row r="36" spans="1:18">
      <c r="A36" s="15" t="s">
        <v>596</v>
      </c>
      <c r="B36" s="17" t="n">
        <v>3332</v>
      </c>
      <c r="C36" s="18">
        <f>(2611.0/B36*100)</f>
        <v/>
      </c>
      <c r="D36" s="19" t="n">
        <v>721</v>
      </c>
      <c r="E36" s="18" t="n">
        <v>59.39780624</v>
      </c>
      <c r="F36" s="20" t="n">
        <v>1.96303915</v>
      </c>
      <c r="G36" s="18" t="n">
        <v>29.36207346</v>
      </c>
      <c r="H36" s="20" t="n">
        <v>1.95029793</v>
      </c>
      <c r="I36" s="18" t="s">
        <v>567</v>
      </c>
      <c r="J36" s="20" t="s">
        <v>567</v>
      </c>
      <c r="K36" s="18" t="n">
        <v>0.23761588</v>
      </c>
      <c r="L36" s="20" t="n">
        <v>0.27270507</v>
      </c>
      <c r="M36" s="18" t="n">
        <v>0</v>
      </c>
      <c r="N36" s="20" t="n">
        <v>0</v>
      </c>
      <c r="O36" s="18" t="n">
        <v>0</v>
      </c>
      <c r="P36" s="20" t="n">
        <v>0</v>
      </c>
      <c r="Q36" s="18" t="n">
        <v>11.00250442</v>
      </c>
      <c r="R36" s="20" t="n">
        <v>1.26216599</v>
      </c>
    </row>
    <row r="37" spans="1:18">
      <c r="A37" s="15" t="s">
        <v>597</v>
      </c>
      <c r="B37" s="17" t="n">
        <v>2727</v>
      </c>
      <c r="C37" s="18">
        <f>(2137.0/B37*100)</f>
        <v/>
      </c>
      <c r="D37" s="19" t="n">
        <v>590</v>
      </c>
      <c r="E37" s="18" t="n">
        <v>44.32969274</v>
      </c>
      <c r="F37" s="20" t="n">
        <v>2.19324553</v>
      </c>
      <c r="G37" s="18" t="n">
        <v>38.72458525</v>
      </c>
      <c r="H37" s="20" t="n">
        <v>2.3289502</v>
      </c>
      <c r="I37" s="18" t="s">
        <v>567</v>
      </c>
      <c r="J37" s="20" t="s">
        <v>567</v>
      </c>
      <c r="K37" s="18" t="n">
        <v>0.32053352</v>
      </c>
      <c r="L37" s="20" t="n">
        <v>0.22833266</v>
      </c>
      <c r="M37" s="18" t="n">
        <v>0.1553387</v>
      </c>
      <c r="N37" s="20" t="n">
        <v>0.15512487</v>
      </c>
      <c r="O37" s="18" t="n">
        <v>0</v>
      </c>
      <c r="P37" s="20" t="n">
        <v>0</v>
      </c>
      <c r="Q37" s="18" t="n">
        <v>16.46984979</v>
      </c>
      <c r="R37" s="20" t="n">
        <v>1.49544918</v>
      </c>
    </row>
    <row r="38" spans="1:18">
      <c r="A38" s="15" t="s">
        <v>598</v>
      </c>
      <c r="B38" s="17" t="n">
        <v>3053</v>
      </c>
      <c r="C38" s="18">
        <f>(2400.0/B38*100)</f>
        <v/>
      </c>
      <c r="D38" s="19" t="n">
        <v>653</v>
      </c>
      <c r="E38" s="18" t="n">
        <v>55.96080487</v>
      </c>
      <c r="F38" s="20" t="n">
        <v>2.24075987</v>
      </c>
      <c r="G38" s="18" t="n">
        <v>30.78653319</v>
      </c>
      <c r="H38" s="20" t="n">
        <v>2.04266481</v>
      </c>
      <c r="I38" s="18" t="s">
        <v>567</v>
      </c>
      <c r="J38" s="20" t="s">
        <v>567</v>
      </c>
      <c r="K38" s="18" t="n">
        <v>0</v>
      </c>
      <c r="L38" s="20" t="n">
        <v>0</v>
      </c>
      <c r="M38" s="18" t="n">
        <v>2.23749225</v>
      </c>
      <c r="N38" s="20" t="n">
        <v>0.60363662</v>
      </c>
      <c r="O38" s="18" t="n">
        <v>0</v>
      </c>
      <c r="P38" s="20" t="n">
        <v>0</v>
      </c>
      <c r="Q38" s="18" t="n">
        <v>11.01516969</v>
      </c>
      <c r="R38" s="20" t="n">
        <v>1.47794952</v>
      </c>
    </row>
    <row r="39" spans="1:18">
      <c r="A39" s="15" t="s">
        <v>599</v>
      </c>
      <c r="B39" s="17" t="n">
        <v>2957</v>
      </c>
      <c r="C39" s="18">
        <f>(2304.0/B39*100)</f>
        <v/>
      </c>
      <c r="D39" s="19" t="n">
        <v>653</v>
      </c>
      <c r="E39" s="18" t="n">
        <v>59.511496</v>
      </c>
      <c r="F39" s="20" t="n">
        <v>2.64392553</v>
      </c>
      <c r="G39" s="18" t="n">
        <v>28.87106286</v>
      </c>
      <c r="H39" s="20" t="n">
        <v>2.80505633</v>
      </c>
      <c r="I39" s="18" t="s">
        <v>567</v>
      </c>
      <c r="J39" s="20" t="s">
        <v>567</v>
      </c>
      <c r="K39" s="18" t="n">
        <v>0.42150293</v>
      </c>
      <c r="L39" s="20" t="n">
        <v>0.26378318</v>
      </c>
      <c r="M39" s="18" t="n">
        <v>0</v>
      </c>
      <c r="N39" s="20" t="n">
        <v>0</v>
      </c>
      <c r="O39" s="18" t="n">
        <v>0</v>
      </c>
      <c r="P39" s="20" t="n">
        <v>0</v>
      </c>
      <c r="Q39" s="18" t="n">
        <v>11.19593822</v>
      </c>
      <c r="R39" s="20" t="n">
        <v>1.23644727</v>
      </c>
    </row>
    <row r="40" spans="1:18">
      <c r="A40" s="15" t="s">
        <v>600</v>
      </c>
      <c r="B40" s="17" t="n">
        <v>7235</v>
      </c>
      <c r="C40" s="18">
        <f>(5613.0/B40*100)</f>
        <v/>
      </c>
      <c r="D40" s="19" t="n">
        <v>1622</v>
      </c>
      <c r="E40" s="18" t="n">
        <v>29.74812275</v>
      </c>
      <c r="F40" s="20" t="n">
        <v>1.84365167</v>
      </c>
      <c r="G40" s="18" t="n">
        <v>59.6186743</v>
      </c>
      <c r="H40" s="20" t="n">
        <v>1.97761126</v>
      </c>
      <c r="I40" s="18" t="s">
        <v>567</v>
      </c>
      <c r="J40" s="20" t="s">
        <v>567</v>
      </c>
      <c r="K40" s="18" t="n">
        <v>0.15935871</v>
      </c>
      <c r="L40" s="20" t="n">
        <v>0.1536292</v>
      </c>
      <c r="M40" s="18" t="n">
        <v>0</v>
      </c>
      <c r="N40" s="20" t="n">
        <v>0</v>
      </c>
      <c r="O40" s="18" t="n">
        <v>0</v>
      </c>
      <c r="P40" s="20" t="n">
        <v>0</v>
      </c>
      <c r="Q40" s="18" t="n">
        <v>10.47384424</v>
      </c>
      <c r="R40" s="20" t="n">
        <v>1.05239059</v>
      </c>
    </row>
    <row r="41" spans="1:18">
      <c r="A41" s="15" t="s">
        <v>601</v>
      </c>
      <c r="B41" s="17" t="n">
        <v>2858</v>
      </c>
      <c r="C41" s="18">
        <f>(2219.0/B41*100)</f>
        <v/>
      </c>
      <c r="D41" s="19" t="n">
        <v>639</v>
      </c>
      <c r="E41" s="18" t="n">
        <v>68.54472568</v>
      </c>
      <c r="F41" s="20" t="n">
        <v>1.94175385</v>
      </c>
      <c r="G41" s="18" t="n">
        <v>25.62879168</v>
      </c>
      <c r="H41" s="20" t="n">
        <v>2.10035527</v>
      </c>
      <c r="I41" s="18" t="s">
        <v>567</v>
      </c>
      <c r="J41" s="20" t="s">
        <v>567</v>
      </c>
      <c r="K41" s="18" t="n">
        <v>0.16343216</v>
      </c>
      <c r="L41" s="20" t="n">
        <v>0.15667913</v>
      </c>
      <c r="M41" s="18" t="n">
        <v>0</v>
      </c>
      <c r="N41" s="20" t="n">
        <v>0</v>
      </c>
      <c r="O41" s="18" t="n">
        <v>0</v>
      </c>
      <c r="P41" s="20" t="n">
        <v>0</v>
      </c>
      <c r="Q41" s="18" t="n">
        <v>5.66305048</v>
      </c>
      <c r="R41" s="20" t="n">
        <v>1.06998148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(9095.0/B46*100)</f>
        <v/>
      </c>
      <c r="D46" s="19" t="n">
        <v>1973</v>
      </c>
      <c r="E46" s="18" t="n">
        <v>66.87801967</v>
      </c>
      <c r="F46" s="20" t="n">
        <v>1.49723203</v>
      </c>
      <c r="G46" s="18" t="n">
        <v>8.32612104</v>
      </c>
      <c r="H46" s="20" t="n">
        <v>0.8658876</v>
      </c>
      <c r="I46" s="18" t="s">
        <v>567</v>
      </c>
      <c r="J46" s="20" t="s">
        <v>567</v>
      </c>
      <c r="K46" s="18" t="n">
        <v>0.89330552</v>
      </c>
      <c r="L46" s="20" t="n">
        <v>0.28209582</v>
      </c>
      <c r="M46" s="18" t="n">
        <v>0.68894578</v>
      </c>
      <c r="N46" s="20" t="n">
        <v>0.24723476</v>
      </c>
      <c r="O46" s="18" t="n">
        <v>0</v>
      </c>
      <c r="P46" s="20" t="n">
        <v>0</v>
      </c>
      <c r="Q46" s="18" t="n">
        <v>23.21360799</v>
      </c>
      <c r="R46" s="20" t="n">
        <v>1.45389504</v>
      </c>
    </row>
    <row r="47" spans="1:18">
      <c r="A47" s="15" t="s">
        <v>607</v>
      </c>
      <c r="B47" s="17" t="n">
        <v>3105</v>
      </c>
      <c r="C47" s="18">
        <f>(2436.0/B47*100)</f>
        <v/>
      </c>
      <c r="D47" s="19" t="n">
        <v>669</v>
      </c>
      <c r="E47" s="18" t="n">
        <v>51.80947862</v>
      </c>
      <c r="F47" s="20" t="n">
        <v>1.98229453</v>
      </c>
      <c r="G47" s="18" t="n">
        <v>21.85123321</v>
      </c>
      <c r="H47" s="20" t="n">
        <v>1.67154776</v>
      </c>
      <c r="I47" s="18" t="s">
        <v>567</v>
      </c>
      <c r="J47" s="20" t="s">
        <v>567</v>
      </c>
      <c r="K47" s="18" t="n">
        <v>0</v>
      </c>
      <c r="L47" s="20" t="n">
        <v>0</v>
      </c>
      <c r="M47" s="18" t="n">
        <v>0</v>
      </c>
      <c r="N47" s="20" t="n">
        <v>0</v>
      </c>
      <c r="O47" s="18" t="n">
        <v>0</v>
      </c>
      <c r="P47" s="20" t="n">
        <v>0</v>
      </c>
      <c r="Q47" s="18" t="n">
        <v>26.33928817</v>
      </c>
      <c r="R47" s="20" t="n">
        <v>1.79296843</v>
      </c>
    </row>
    <row r="48" spans="1:18">
      <c r="A48" s="15" t="s">
        <v>608</v>
      </c>
      <c r="B48" s="17" t="n">
        <v>5159</v>
      </c>
      <c r="C48" s="18">
        <f>(4026.0/B48*100)</f>
        <v/>
      </c>
      <c r="D48" s="19" t="n">
        <v>1133</v>
      </c>
      <c r="E48" s="18" t="n">
        <v>40.3960876</v>
      </c>
      <c r="F48" s="20" t="n">
        <v>2.28071036</v>
      </c>
      <c r="G48" s="18" t="n">
        <v>49.22475761</v>
      </c>
      <c r="H48" s="20" t="n">
        <v>2.60729586</v>
      </c>
      <c r="I48" s="18" t="s">
        <v>567</v>
      </c>
      <c r="J48" s="20" t="s">
        <v>567</v>
      </c>
      <c r="K48" s="18" t="n">
        <v>0.196893</v>
      </c>
      <c r="L48" s="20" t="n">
        <v>0.16190458</v>
      </c>
      <c r="M48" s="18" t="n">
        <v>0</v>
      </c>
      <c r="N48" s="20" t="n">
        <v>0</v>
      </c>
      <c r="O48" s="18" t="n">
        <v>0</v>
      </c>
      <c r="P48" s="20" t="n">
        <v>0</v>
      </c>
      <c r="Q48" s="18" t="n">
        <v>10.1822618</v>
      </c>
      <c r="R48" s="20" t="n">
        <v>1.27060033</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(4401.0/B50*100)</f>
        <v/>
      </c>
      <c r="D50" s="19" t="n">
        <v>1236</v>
      </c>
      <c r="E50" s="18" t="n">
        <v>83.11614116</v>
      </c>
      <c r="F50" s="20" t="n">
        <v>1.32026735</v>
      </c>
      <c r="G50" s="18" t="n">
        <v>9.729369370000001</v>
      </c>
      <c r="H50" s="20" t="n">
        <v>1.00565994</v>
      </c>
      <c r="I50" s="18" t="s">
        <v>567</v>
      </c>
      <c r="J50" s="20" t="s">
        <v>567</v>
      </c>
      <c r="K50" s="18" t="n">
        <v>0.59307758</v>
      </c>
      <c r="L50" s="20" t="n">
        <v>0.19919781</v>
      </c>
      <c r="M50" s="18" t="n">
        <v>0.34305236</v>
      </c>
      <c r="N50" s="20" t="n">
        <v>0.19197191</v>
      </c>
      <c r="O50" s="18" t="n">
        <v>0</v>
      </c>
      <c r="P50" s="20" t="n">
        <v>0</v>
      </c>
      <c r="Q50" s="18" t="n">
        <v>6.21835953</v>
      </c>
      <c r="R50" s="20" t="n">
        <v>0.74025447</v>
      </c>
    </row>
    <row r="51" spans="1:18">
      <c r="A51" s="15" t="s">
        <v>611</v>
      </c>
      <c r="B51" s="17" t="n">
        <v>3372</v>
      </c>
      <c r="C51" s="18">
        <f>(2727.0/B51*100)</f>
        <v/>
      </c>
      <c r="D51" s="19" t="n">
        <v>645</v>
      </c>
      <c r="E51" s="18" t="n">
        <v>82.47728658</v>
      </c>
      <c r="F51" s="20" t="n">
        <v>1.7712921</v>
      </c>
      <c r="G51" s="18" t="n">
        <v>5.08620326</v>
      </c>
      <c r="H51" s="20" t="n">
        <v>1.08665915</v>
      </c>
      <c r="I51" s="18" t="s">
        <v>567</v>
      </c>
      <c r="J51" s="20" t="s">
        <v>567</v>
      </c>
      <c r="K51" s="18" t="n">
        <v>0.30325095</v>
      </c>
      <c r="L51" s="20" t="n">
        <v>0.2187473</v>
      </c>
      <c r="M51" s="18" t="n">
        <v>0</v>
      </c>
      <c r="N51" s="20" t="n">
        <v>0</v>
      </c>
      <c r="O51" s="18" t="n">
        <v>0</v>
      </c>
      <c r="P51" s="20" t="n">
        <v>0</v>
      </c>
      <c r="Q51" s="18" t="n">
        <v>12.1332592</v>
      </c>
      <c r="R51" s="20" t="n">
        <v>1.45969052</v>
      </c>
    </row>
    <row r="52" spans="1:18">
      <c r="A52" s="15" t="s">
        <v>612</v>
      </c>
      <c r="B52" s="17" t="n">
        <v>2796</v>
      </c>
      <c r="C52" s="18">
        <f>(2158.0/B52*100)</f>
        <v/>
      </c>
      <c r="D52" s="19" t="n">
        <v>638</v>
      </c>
      <c r="E52" s="18" t="n">
        <v>36.90103184</v>
      </c>
      <c r="F52" s="20" t="n">
        <v>1.75888152</v>
      </c>
      <c r="G52" s="18" t="n">
        <v>45.38262323</v>
      </c>
      <c r="H52" s="20" t="n">
        <v>2.00534928</v>
      </c>
      <c r="I52" s="18" t="s">
        <v>567</v>
      </c>
      <c r="J52" s="20" t="s">
        <v>567</v>
      </c>
      <c r="K52" s="18" t="n">
        <v>0</v>
      </c>
      <c r="L52" s="20" t="n">
        <v>0</v>
      </c>
      <c r="M52" s="18" t="n">
        <v>0</v>
      </c>
      <c r="N52" s="20" t="n">
        <v>0</v>
      </c>
      <c r="O52" s="18" t="n">
        <v>0</v>
      </c>
      <c r="P52" s="20" t="n">
        <v>0</v>
      </c>
      <c r="Q52" s="18" t="n">
        <v>17.71634493</v>
      </c>
      <c r="R52" s="20" t="n">
        <v>1.54125855</v>
      </c>
    </row>
    <row r="53" spans="1:18">
      <c r="A53" s="15" t="s">
        <v>613</v>
      </c>
      <c r="B53" s="17" t="n">
        <v>2811</v>
      </c>
      <c r="C53" s="18">
        <f>(2172.0/B53*100)</f>
        <v/>
      </c>
      <c r="D53" s="19" t="n">
        <v>639</v>
      </c>
      <c r="E53" s="18" t="n">
        <v>59.01374741</v>
      </c>
      <c r="F53" s="20" t="n">
        <v>1.96938958</v>
      </c>
      <c r="G53" s="18" t="n">
        <v>18.74536306</v>
      </c>
      <c r="H53" s="20" t="n">
        <v>1.42497798</v>
      </c>
      <c r="I53" s="18" t="s">
        <v>567</v>
      </c>
      <c r="J53" s="20" t="s">
        <v>567</v>
      </c>
      <c r="K53" s="18" t="n">
        <v>0.20106298</v>
      </c>
      <c r="L53" s="20" t="n">
        <v>0.20246109</v>
      </c>
      <c r="M53" s="18" t="n">
        <v>0</v>
      </c>
      <c r="N53" s="20" t="n">
        <v>0</v>
      </c>
      <c r="O53" s="18" t="n">
        <v>0</v>
      </c>
      <c r="P53" s="20" t="n">
        <v>0</v>
      </c>
      <c r="Q53" s="18" t="n">
        <v>22.03982655</v>
      </c>
      <c r="R53" s="20" t="n">
        <v>1.75320197</v>
      </c>
    </row>
    <row r="54" spans="1:18">
      <c r="A54" s="15" t="s">
        <v>614</v>
      </c>
      <c r="B54" s="17" t="n">
        <v>2266</v>
      </c>
      <c r="C54" s="18">
        <f>(1784.0/B54*100)</f>
        <v/>
      </c>
      <c r="D54" s="19" t="n">
        <v>482</v>
      </c>
      <c r="E54" s="18" t="n">
        <v>71.14751797</v>
      </c>
      <c r="F54" s="20" t="n">
        <v>2.2297865</v>
      </c>
      <c r="G54" s="18" t="n">
        <v>2.15569092</v>
      </c>
      <c r="H54" s="20" t="n">
        <v>0.89806352</v>
      </c>
      <c r="I54" s="18" t="s">
        <v>567</v>
      </c>
      <c r="J54" s="20" t="s">
        <v>567</v>
      </c>
      <c r="K54" s="18" t="n">
        <v>9.19551002</v>
      </c>
      <c r="L54" s="20" t="n">
        <v>1.72151297</v>
      </c>
      <c r="M54" s="18" t="n">
        <v>0.41061866</v>
      </c>
      <c r="N54" s="20" t="n">
        <v>0.39425651</v>
      </c>
      <c r="O54" s="18" t="n">
        <v>0</v>
      </c>
      <c r="P54" s="20" t="n">
        <v>0</v>
      </c>
      <c r="Q54" s="18" t="n">
        <v>17.09066244</v>
      </c>
      <c r="R54" s="20" t="n">
        <v>1.77402657</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(2095.0/B56*100)</f>
        <v/>
      </c>
      <c r="D56" s="19" t="n">
        <v>589</v>
      </c>
      <c r="E56" s="18" t="n">
        <v>37.58185558</v>
      </c>
      <c r="F56" s="20" t="n">
        <v>2.38965844</v>
      </c>
      <c r="G56" s="18" t="n">
        <v>55.11087364</v>
      </c>
      <c r="H56" s="20" t="n">
        <v>2.29246209</v>
      </c>
      <c r="I56" s="18" t="s">
        <v>567</v>
      </c>
      <c r="J56" s="20" t="s">
        <v>567</v>
      </c>
      <c r="K56" s="18" t="n">
        <v>0.14725035</v>
      </c>
      <c r="L56" s="20" t="n">
        <v>0.14778619</v>
      </c>
      <c r="M56" s="18" t="n">
        <v>0</v>
      </c>
      <c r="N56" s="20" t="n">
        <v>0</v>
      </c>
      <c r="O56" s="18" t="n">
        <v>0</v>
      </c>
      <c r="P56" s="20" t="n">
        <v>0</v>
      </c>
      <c r="Q56" s="18" t="n">
        <v>7.16002042</v>
      </c>
      <c r="R56" s="20" t="n">
        <v>1.06502982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(2562.0/B61*100)</f>
        <v/>
      </c>
      <c r="D61" s="19" t="n">
        <v>762</v>
      </c>
      <c r="E61" s="18" t="n">
        <v>44.52603396</v>
      </c>
      <c r="F61" s="20" t="n">
        <v>2.21766802</v>
      </c>
      <c r="G61" s="18" t="n">
        <v>42.29993919</v>
      </c>
      <c r="H61" s="20" t="n">
        <v>2.15229997</v>
      </c>
      <c r="I61" s="18" t="s">
        <v>567</v>
      </c>
      <c r="J61" s="20" t="s">
        <v>567</v>
      </c>
      <c r="K61" s="18" t="n">
        <v>0.20921218</v>
      </c>
      <c r="L61" s="20" t="n">
        <v>0.17356672</v>
      </c>
      <c r="M61" s="18" t="n">
        <v>0</v>
      </c>
      <c r="N61" s="20" t="n">
        <v>0</v>
      </c>
      <c r="O61" s="18" t="n">
        <v>0</v>
      </c>
      <c r="P61" s="20" t="n">
        <v>0</v>
      </c>
      <c r="Q61" s="18" t="n">
        <v>12.96481466</v>
      </c>
      <c r="R61" s="20" t="n">
        <v>1.47998921</v>
      </c>
    </row>
    <row r="62" spans="1:18">
      <c r="A62" s="15" t="s">
        <v>622</v>
      </c>
      <c r="B62" s="17" t="n">
        <v>2246</v>
      </c>
      <c r="C62" s="18">
        <f>(1777.0/B62*100)</f>
        <v/>
      </c>
      <c r="D62" s="19" t="n">
        <v>469</v>
      </c>
      <c r="E62" s="18" t="n">
        <v>47.19597499</v>
      </c>
      <c r="F62" s="20" t="n">
        <v>2.1488567</v>
      </c>
      <c r="G62" s="18" t="n">
        <v>47.23377464</v>
      </c>
      <c r="H62" s="20" t="n">
        <v>2.10298419</v>
      </c>
      <c r="I62" s="18" t="s">
        <v>567</v>
      </c>
      <c r="J62" s="20" t="s">
        <v>567</v>
      </c>
      <c r="K62" s="18" t="n">
        <v>0</v>
      </c>
      <c r="L62" s="20" t="n">
        <v>0</v>
      </c>
      <c r="M62" s="18" t="n">
        <v>0</v>
      </c>
      <c r="N62" s="20" t="n">
        <v>0</v>
      </c>
      <c r="O62" s="18" t="n">
        <v>0</v>
      </c>
      <c r="P62" s="20" t="n">
        <v>0</v>
      </c>
      <c r="Q62" s="18" t="n">
        <v>5.57025037</v>
      </c>
      <c r="R62" s="20" t="n">
        <v>1.10581128</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(2277.0/B66*100)</f>
        <v/>
      </c>
      <c r="D66" s="19" t="n">
        <v>617</v>
      </c>
      <c r="E66" s="18" t="n">
        <v>26.51104757</v>
      </c>
      <c r="F66" s="20" t="n">
        <v>1.62955064</v>
      </c>
      <c r="G66" s="18" t="n">
        <v>14.47469412</v>
      </c>
      <c r="H66" s="20" t="n">
        <v>1.47515673</v>
      </c>
      <c r="I66" s="18" t="s">
        <v>567</v>
      </c>
      <c r="J66" s="20" t="s">
        <v>567</v>
      </c>
      <c r="K66" s="18" t="n">
        <v>0.64894984</v>
      </c>
      <c r="L66" s="20" t="n">
        <v>0.33112916</v>
      </c>
      <c r="M66" s="18" t="n">
        <v>32.05234602</v>
      </c>
      <c r="N66" s="20" t="n">
        <v>2.07673065</v>
      </c>
      <c r="O66" s="18" t="n">
        <v>0</v>
      </c>
      <c r="P66" s="20" t="n">
        <v>0</v>
      </c>
      <c r="Q66" s="18" t="n">
        <v>26.31296244</v>
      </c>
      <c r="R66" s="20" t="n">
        <v>1.62811489</v>
      </c>
    </row>
    <row r="67" spans="1:18">
      <c r="A67" s="15" t="s">
        <v>627</v>
      </c>
      <c r="B67" s="17" t="n">
        <v>3511</v>
      </c>
      <c r="C67" s="18">
        <f>(2812.0/B67*100)</f>
        <v/>
      </c>
      <c r="D67" s="19" t="n">
        <v>699</v>
      </c>
      <c r="E67" s="18" t="n">
        <v>82.38473481</v>
      </c>
      <c r="F67" s="20" t="n">
        <v>1.54431865</v>
      </c>
      <c r="G67" s="18" t="n">
        <v>4.01910548</v>
      </c>
      <c r="H67" s="20" t="n">
        <v>0.75082852</v>
      </c>
      <c r="I67" s="18" t="s">
        <v>567</v>
      </c>
      <c r="J67" s="20" t="s">
        <v>567</v>
      </c>
      <c r="K67" s="18" t="n">
        <v>0</v>
      </c>
      <c r="L67" s="20" t="n">
        <v>0</v>
      </c>
      <c r="M67" s="18" t="n">
        <v>0.27147115</v>
      </c>
      <c r="N67" s="20" t="n">
        <v>0.19634651</v>
      </c>
      <c r="O67" s="18" t="n">
        <v>0</v>
      </c>
      <c r="P67" s="20" t="n">
        <v>0</v>
      </c>
      <c r="Q67" s="18" t="n">
        <v>13.32468855</v>
      </c>
      <c r="R67" s="20" t="n">
        <v>1.3805381</v>
      </c>
    </row>
    <row r="68" spans="1:18">
      <c r="A68" s="15" t="s">
        <v>628</v>
      </c>
      <c r="B68" s="17" t="n">
        <v>6049</v>
      </c>
      <c r="C68" s="18">
        <f>(4732.0/B68*100)</f>
        <v/>
      </c>
      <c r="D68" s="19" t="n">
        <v>1317</v>
      </c>
      <c r="E68" s="18" t="n">
        <v>62.33926674</v>
      </c>
      <c r="F68" s="20" t="n">
        <v>1.17274764</v>
      </c>
      <c r="G68" s="18" t="n">
        <v>22.10287568</v>
      </c>
      <c r="H68" s="20" t="n">
        <v>1.19710234</v>
      </c>
      <c r="I68" s="18" t="s">
        <v>567</v>
      </c>
      <c r="J68" s="20" t="s">
        <v>567</v>
      </c>
      <c r="K68" s="18" t="n">
        <v>1.1795017</v>
      </c>
      <c r="L68" s="20" t="n">
        <v>0.29530591</v>
      </c>
      <c r="M68" s="18" t="n">
        <v>0.0719486</v>
      </c>
      <c r="N68" s="20" t="n">
        <v>0.07210003</v>
      </c>
      <c r="O68" s="18" t="n">
        <v>0</v>
      </c>
      <c r="P68" s="20" t="n">
        <v>0</v>
      </c>
      <c r="Q68" s="18" t="n">
        <v>14.30640728</v>
      </c>
      <c r="R68" s="20" t="n">
        <v>0.87942119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(2284.0/B70*100)</f>
        <v/>
      </c>
      <c r="D70" s="19" t="n">
        <v>645</v>
      </c>
      <c r="E70" s="18" t="n">
        <v>48.80911641</v>
      </c>
      <c r="F70" s="20" t="n">
        <v>2.07715557</v>
      </c>
      <c r="G70" s="18" t="n">
        <v>35.56998672</v>
      </c>
      <c r="H70" s="20" t="n">
        <v>2.16825982</v>
      </c>
      <c r="I70" s="18" t="s">
        <v>567</v>
      </c>
      <c r="J70" s="20" t="s">
        <v>567</v>
      </c>
      <c r="K70" s="18" t="n">
        <v>0.17232252</v>
      </c>
      <c r="L70" s="20" t="n">
        <v>0.11048342</v>
      </c>
      <c r="M70" s="18" t="n">
        <v>0.1052704</v>
      </c>
      <c r="N70" s="20" t="n">
        <v>0.07474356</v>
      </c>
      <c r="O70" s="18" t="n">
        <v>0</v>
      </c>
      <c r="P70" s="20" t="n">
        <v>0</v>
      </c>
      <c r="Q70" s="18" t="n">
        <v>15.34330395</v>
      </c>
      <c r="R70" s="20" t="n">
        <v>2.07250128</v>
      </c>
    </row>
    <row r="71" spans="1:18">
      <c r="A71" s="15" t="s">
        <v>631</v>
      </c>
      <c r="B71" s="17" t="n">
        <v>3142</v>
      </c>
      <c r="C71" s="18">
        <f>(2438.0/B71*100)</f>
        <v/>
      </c>
      <c r="D71" s="19" t="n">
        <v>704</v>
      </c>
      <c r="E71" s="18" t="n">
        <v>32.33533878</v>
      </c>
      <c r="F71" s="20" t="n">
        <v>1.69520223</v>
      </c>
      <c r="G71" s="18" t="n">
        <v>63.85833416</v>
      </c>
      <c r="H71" s="20" t="n">
        <v>1.69365441</v>
      </c>
      <c r="I71" s="18" t="s">
        <v>567</v>
      </c>
      <c r="J71" s="20" t="s">
        <v>567</v>
      </c>
      <c r="K71" s="18" t="n">
        <v>0.15187756</v>
      </c>
      <c r="L71" s="20" t="n">
        <v>0.14482878</v>
      </c>
      <c r="M71" s="18" t="n">
        <v>0</v>
      </c>
      <c r="N71" s="20" t="n">
        <v>0</v>
      </c>
      <c r="O71" s="18" t="n">
        <v>0</v>
      </c>
      <c r="P71" s="20" t="n">
        <v>0</v>
      </c>
      <c r="Q71" s="18" t="n">
        <v>3.65444951</v>
      </c>
      <c r="R71" s="20" t="n">
        <v>0.65467963</v>
      </c>
    </row>
    <row r="72" spans="1:18">
      <c r="A72" s="15" t="s">
        <v>632</v>
      </c>
      <c r="B72" s="17" t="n">
        <v>3889</v>
      </c>
      <c r="C72" s="18">
        <f>(3019.0/B72*100)</f>
        <v/>
      </c>
      <c r="D72" s="19" t="n">
        <v>870</v>
      </c>
      <c r="E72" s="18" t="n">
        <v>51.83480087</v>
      </c>
      <c r="F72" s="20" t="n">
        <v>2.09770936</v>
      </c>
      <c r="G72" s="18" t="n">
        <v>39.69889331</v>
      </c>
      <c r="H72" s="20" t="n">
        <v>2.28395076</v>
      </c>
      <c r="I72" s="18" t="s">
        <v>567</v>
      </c>
      <c r="J72" s="20" t="s">
        <v>567</v>
      </c>
      <c r="K72" s="18" t="n">
        <v>0.14865981</v>
      </c>
      <c r="L72" s="20" t="n">
        <v>0.14840937</v>
      </c>
      <c r="M72" s="18" t="n">
        <v>0</v>
      </c>
      <c r="N72" s="20" t="n">
        <v>0</v>
      </c>
      <c r="O72" s="18" t="n">
        <v>0</v>
      </c>
      <c r="P72" s="20" t="n">
        <v>0</v>
      </c>
      <c r="Q72" s="18" t="n">
        <v>8.317646010000001</v>
      </c>
      <c r="R72" s="20" t="n">
        <v>0.9374270099999999</v>
      </c>
    </row>
    <row r="73" spans="1:18">
      <c r="A73" s="15" t="s">
        <v>633</v>
      </c>
      <c r="B73" s="17" t="n">
        <v>3597</v>
      </c>
      <c r="C73" s="18">
        <f>(2843.0/B73*100)</f>
        <v/>
      </c>
      <c r="D73" s="19" t="n">
        <v>754</v>
      </c>
      <c r="E73" s="18" t="n">
        <v>87.72025542999999</v>
      </c>
      <c r="F73" s="20" t="n">
        <v>1.44492124</v>
      </c>
      <c r="G73" s="18" t="n">
        <v>8.062471439999999</v>
      </c>
      <c r="H73" s="20" t="n">
        <v>1.19087921</v>
      </c>
      <c r="I73" s="18" t="s">
        <v>567</v>
      </c>
      <c r="J73" s="20" t="s">
        <v>567</v>
      </c>
      <c r="K73" s="18" t="n">
        <v>0</v>
      </c>
      <c r="L73" s="20" t="n">
        <v>0</v>
      </c>
      <c r="M73" s="18" t="n">
        <v>0.08566782000000001</v>
      </c>
      <c r="N73" s="20" t="n">
        <v>0.07876263</v>
      </c>
      <c r="O73" s="18" t="n">
        <v>0</v>
      </c>
      <c r="P73" s="20" t="n">
        <v>0</v>
      </c>
      <c r="Q73" s="18" t="n">
        <v>4.13160531</v>
      </c>
      <c r="R73" s="20" t="n">
        <v>0.8126842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(1909.0/B75*100)</f>
        <v/>
      </c>
      <c r="D75" s="19" t="n">
        <v>497</v>
      </c>
      <c r="E75" s="18" t="n">
        <v>56.16116297</v>
      </c>
      <c r="F75" s="20" t="n">
        <v>2.58793508</v>
      </c>
      <c r="G75" s="18" t="n">
        <v>12.75382107</v>
      </c>
      <c r="H75" s="20" t="n">
        <v>1.58549451</v>
      </c>
      <c r="I75" s="18" t="s">
        <v>567</v>
      </c>
      <c r="J75" s="20" t="s">
        <v>567</v>
      </c>
      <c r="K75" s="18" t="n">
        <v>1.27167337</v>
      </c>
      <c r="L75" s="20" t="n">
        <v>0.6022912</v>
      </c>
      <c r="M75" s="18" t="n">
        <v>0.81619777</v>
      </c>
      <c r="N75" s="20" t="n">
        <v>0.39431819</v>
      </c>
      <c r="O75" s="18" t="n">
        <v>0</v>
      </c>
      <c r="P75" s="20" t="n">
        <v>0</v>
      </c>
      <c r="Q75" s="18" t="n">
        <v>28.99714482</v>
      </c>
      <c r="R75" s="20" t="n">
        <v>2.4311788</v>
      </c>
    </row>
    <row r="76" spans="1:18">
      <c r="A76" s="15" t="s">
        <v>636</v>
      </c>
      <c r="B76" s="17" t="n">
        <v>7052</v>
      </c>
      <c r="C76" s="18">
        <f>(5497.0/B76*100)</f>
        <v/>
      </c>
      <c r="D76" s="19" t="n">
        <v>1555</v>
      </c>
      <c r="E76" s="18" t="n">
        <v>64.21244231</v>
      </c>
      <c r="F76" s="20" t="n">
        <v>1.64769047</v>
      </c>
      <c r="G76" s="18" t="n">
        <v>26.67488202</v>
      </c>
      <c r="H76" s="20" t="n">
        <v>1.5932033</v>
      </c>
      <c r="I76" s="18" t="s">
        <v>567</v>
      </c>
      <c r="J76" s="20" t="s">
        <v>567</v>
      </c>
      <c r="K76" s="18" t="n">
        <v>0.26412295</v>
      </c>
      <c r="L76" s="20" t="n">
        <v>0.14369622</v>
      </c>
      <c r="M76" s="18" t="n">
        <v>0.24342416</v>
      </c>
      <c r="N76" s="20" t="n">
        <v>0.13678066</v>
      </c>
      <c r="O76" s="18" t="n">
        <v>0</v>
      </c>
      <c r="P76" s="20" t="n">
        <v>0</v>
      </c>
      <c r="Q76" s="18" t="n">
        <v>8.605128560000001</v>
      </c>
      <c r="R76" s="20" t="n">
        <v>0.90394248</v>
      </c>
    </row>
    <row r="77" spans="1:18">
      <c r="A77" s="15" t="s">
        <v>637</v>
      </c>
      <c r="B77" s="17" t="n">
        <v>2908</v>
      </c>
      <c r="C77" s="18">
        <f>(2251.0/B77*100)</f>
        <v/>
      </c>
      <c r="D77" s="19" t="n">
        <v>657</v>
      </c>
      <c r="E77" s="18" t="n">
        <v>53.91352228</v>
      </c>
      <c r="F77" s="20" t="n">
        <v>1.81817602</v>
      </c>
      <c r="G77" s="18" t="n">
        <v>17.84374277</v>
      </c>
      <c r="H77" s="20" t="n">
        <v>1.7436895</v>
      </c>
      <c r="I77" s="18" t="s">
        <v>567</v>
      </c>
      <c r="J77" s="20" t="s">
        <v>567</v>
      </c>
      <c r="K77" s="18" t="n">
        <v>0.44558744</v>
      </c>
      <c r="L77" s="20" t="n">
        <v>0.25134996</v>
      </c>
      <c r="M77" s="18" t="n">
        <v>0</v>
      </c>
      <c r="N77" s="20" t="n">
        <v>0</v>
      </c>
      <c r="O77" s="18" t="n">
        <v>0</v>
      </c>
      <c r="P77" s="20" t="n">
        <v>0</v>
      </c>
      <c r="Q77" s="18" t="n">
        <v>27.79714751</v>
      </c>
      <c r="R77" s="20" t="n">
        <v>1.64255082</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(3231.0/B81*100)</f>
        <v/>
      </c>
      <c r="D81" s="19" t="n">
        <v>932</v>
      </c>
      <c r="E81" s="18" t="n">
        <v>83.17969023000001</v>
      </c>
      <c r="F81" s="20" t="n">
        <v>1.64451231</v>
      </c>
      <c r="G81" s="18" t="n">
        <v>12.57901242</v>
      </c>
      <c r="H81" s="20" t="n">
        <v>1.44619268</v>
      </c>
      <c r="I81" s="18" t="s">
        <v>567</v>
      </c>
      <c r="J81" s="20" t="s">
        <v>567</v>
      </c>
      <c r="K81" s="18" t="n">
        <v>0</v>
      </c>
      <c r="L81" s="20" t="n">
        <v>0</v>
      </c>
      <c r="M81" s="18" t="n">
        <v>0</v>
      </c>
      <c r="N81" s="20" t="n">
        <v>0</v>
      </c>
      <c r="O81" s="18" t="n">
        <v>0</v>
      </c>
      <c r="P81" s="20" t="n">
        <v>0</v>
      </c>
      <c r="Q81" s="18" t="n">
        <v>4.24129735</v>
      </c>
      <c r="R81" s="20" t="n">
        <v>0.92889098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(5743.0/B7*100)</f>
        <v/>
      </c>
      <c r="D7" s="19" t="n">
        <v>1624</v>
      </c>
      <c r="E7" s="18" t="n">
        <v>21.01455217</v>
      </c>
      <c r="F7" s="20" t="n">
        <v>1.23735097</v>
      </c>
      <c r="G7" s="18" t="n">
        <v>76.00482133</v>
      </c>
      <c r="H7" s="20" t="n">
        <v>1.26574511</v>
      </c>
      <c r="I7" s="18" t="s">
        <v>567</v>
      </c>
      <c r="J7" s="20" t="s">
        <v>567</v>
      </c>
      <c r="K7" s="18" t="n">
        <v>0.09159196999999999</v>
      </c>
      <c r="L7" s="20" t="n">
        <v>0.06832145000000001</v>
      </c>
      <c r="M7" s="18" t="n">
        <v>0</v>
      </c>
      <c r="N7" s="20" t="n">
        <v>0</v>
      </c>
      <c r="O7" s="18" t="n">
        <v>0</v>
      </c>
      <c r="P7" s="20" t="n">
        <v>0</v>
      </c>
      <c r="Q7" s="18" t="n">
        <v>2.88903452</v>
      </c>
      <c r="R7" s="20" t="n">
        <v>0.48786094</v>
      </c>
    </row>
    <row r="8" spans="1:18">
      <c r="A8" s="15" t="s">
        <v>568</v>
      </c>
      <c r="B8" s="17" t="n">
        <v>3564</v>
      </c>
      <c r="C8" s="18">
        <f>(2791.0/B8*100)</f>
        <v/>
      </c>
      <c r="D8" s="19" t="n">
        <v>773</v>
      </c>
      <c r="E8" s="18" t="n">
        <v>21.4745909</v>
      </c>
      <c r="F8" s="20" t="n">
        <v>1.64738911</v>
      </c>
      <c r="G8" s="18" t="n">
        <v>75.04684115000001</v>
      </c>
      <c r="H8" s="20" t="n">
        <v>1.69565353</v>
      </c>
      <c r="I8" s="18" t="s">
        <v>567</v>
      </c>
      <c r="J8" s="20" t="s">
        <v>567</v>
      </c>
      <c r="K8" s="18" t="n">
        <v>0.10321325</v>
      </c>
      <c r="L8" s="20" t="n">
        <v>0.17524385</v>
      </c>
      <c r="M8" s="18" t="n">
        <v>0</v>
      </c>
      <c r="N8" s="20" t="n">
        <v>0</v>
      </c>
      <c r="O8" s="18" t="n">
        <v>0</v>
      </c>
      <c r="P8" s="20" t="n">
        <v>0</v>
      </c>
      <c r="Q8" s="18" t="n">
        <v>3.3753547</v>
      </c>
      <c r="R8" s="20" t="n">
        <v>0.64684355</v>
      </c>
    </row>
    <row r="9" spans="1:18">
      <c r="A9" s="15" t="s">
        <v>569</v>
      </c>
      <c r="B9" s="17" t="n">
        <v>4899</v>
      </c>
      <c r="C9" s="18">
        <f>(3854.0/B9*100)</f>
        <v/>
      </c>
      <c r="D9" s="19" t="n">
        <v>1045</v>
      </c>
      <c r="E9" s="18" t="n">
        <v>23.73217975</v>
      </c>
      <c r="F9" s="20" t="n">
        <v>1.27903396</v>
      </c>
      <c r="G9" s="18" t="n">
        <v>72.20548513</v>
      </c>
      <c r="H9" s="20" t="n">
        <v>1.54008137</v>
      </c>
      <c r="I9" s="18" t="s">
        <v>567</v>
      </c>
      <c r="J9" s="20" t="s">
        <v>567</v>
      </c>
      <c r="K9" s="18" t="n">
        <v>0.13041807</v>
      </c>
      <c r="L9" s="20" t="n">
        <v>0.07306022</v>
      </c>
      <c r="M9" s="18" t="n">
        <v>0</v>
      </c>
      <c r="N9" s="20" t="n">
        <v>0</v>
      </c>
      <c r="O9" s="18" t="n">
        <v>0</v>
      </c>
      <c r="P9" s="20" t="n">
        <v>0</v>
      </c>
      <c r="Q9" s="18" t="n">
        <v>3.93191705</v>
      </c>
      <c r="R9" s="20" t="n">
        <v>0.74586691</v>
      </c>
    </row>
    <row r="10" spans="1:18">
      <c r="A10" s="15" t="s">
        <v>570</v>
      </c>
      <c r="B10" s="17" t="n">
        <v>10036</v>
      </c>
      <c r="C10" s="18">
        <f>(7858.0/B10*100)</f>
        <v/>
      </c>
      <c r="D10" s="19" t="n">
        <v>2178</v>
      </c>
      <c r="E10" s="18" t="n">
        <v>16.94994082</v>
      </c>
      <c r="F10" s="20" t="n">
        <v>1.13571944</v>
      </c>
      <c r="G10" s="18" t="n">
        <v>80.63839394999999</v>
      </c>
      <c r="H10" s="20" t="n">
        <v>1.31272014</v>
      </c>
      <c r="I10" s="18" t="s">
        <v>567</v>
      </c>
      <c r="J10" s="20" t="s">
        <v>567</v>
      </c>
      <c r="K10" s="18" t="n">
        <v>0</v>
      </c>
      <c r="L10" s="20" t="n">
        <v>0</v>
      </c>
      <c r="M10" s="18" t="n">
        <v>0</v>
      </c>
      <c r="N10" s="20" t="n">
        <v>0</v>
      </c>
      <c r="O10" s="18" t="n">
        <v>0</v>
      </c>
      <c r="P10" s="20" t="n">
        <v>0</v>
      </c>
      <c r="Q10" s="18" t="n">
        <v>2.41166524</v>
      </c>
      <c r="R10" s="20" t="n">
        <v>0.51758865</v>
      </c>
    </row>
    <row r="11" spans="1:18">
      <c r="A11" s="15" t="s">
        <v>571</v>
      </c>
      <c r="B11" s="17" t="n">
        <v>3553</v>
      </c>
      <c r="C11" s="18">
        <f>(2774.0/B11*100)</f>
        <v/>
      </c>
      <c r="D11" s="19" t="n">
        <v>779</v>
      </c>
      <c r="E11" s="18" t="n">
        <v>35.22603878</v>
      </c>
      <c r="F11" s="20" t="n">
        <v>2.24430794</v>
      </c>
      <c r="G11" s="18" t="n">
        <v>59.09667336</v>
      </c>
      <c r="H11" s="20" t="n">
        <v>2.25472808</v>
      </c>
      <c r="I11" s="18" t="s">
        <v>567</v>
      </c>
      <c r="J11" s="20" t="s">
        <v>567</v>
      </c>
      <c r="K11" s="18" t="n">
        <v>0.92430435</v>
      </c>
      <c r="L11" s="20" t="n">
        <v>0.38338533</v>
      </c>
      <c r="M11" s="18" t="n">
        <v>0</v>
      </c>
      <c r="N11" s="20" t="n">
        <v>0</v>
      </c>
      <c r="O11" s="18" t="n">
        <v>0</v>
      </c>
      <c r="P11" s="20" t="n">
        <v>0</v>
      </c>
      <c r="Q11" s="18" t="n">
        <v>4.75298351</v>
      </c>
      <c r="R11" s="20" t="n">
        <v>0.88474435</v>
      </c>
    </row>
    <row r="12" spans="1:18">
      <c r="A12" s="15" t="s">
        <v>572</v>
      </c>
      <c r="B12" s="17" t="n">
        <v>3472</v>
      </c>
      <c r="C12" s="18">
        <f>(2727.0/B12*100)</f>
        <v/>
      </c>
      <c r="D12" s="19" t="n">
        <v>745</v>
      </c>
      <c r="E12" s="18" t="n">
        <v>24.63094623</v>
      </c>
      <c r="F12" s="20" t="n">
        <v>1.9288748</v>
      </c>
      <c r="G12" s="18" t="n">
        <v>71.11062244999999</v>
      </c>
      <c r="H12" s="20" t="n">
        <v>1.9249984</v>
      </c>
      <c r="I12" s="18" t="s">
        <v>567</v>
      </c>
      <c r="J12" s="20" t="s">
        <v>567</v>
      </c>
      <c r="K12" s="18" t="n">
        <v>0.24507611</v>
      </c>
      <c r="L12" s="20" t="n">
        <v>0.21525567</v>
      </c>
      <c r="M12" s="18" t="n">
        <v>0</v>
      </c>
      <c r="N12" s="20" t="n">
        <v>0</v>
      </c>
      <c r="O12" s="18" t="n">
        <v>0</v>
      </c>
      <c r="P12" s="20" t="n">
        <v>0</v>
      </c>
      <c r="Q12" s="18" t="n">
        <v>4.01335521</v>
      </c>
      <c r="R12" s="20" t="n">
        <v>0.93834084</v>
      </c>
    </row>
    <row r="13" spans="1:18">
      <c r="A13" s="15" t="s">
        <v>573</v>
      </c>
      <c r="B13" s="17" t="n">
        <v>3559</v>
      </c>
      <c r="C13" s="18">
        <f>(2817.0/B13*100)</f>
        <v/>
      </c>
      <c r="D13" s="19" t="n">
        <v>742</v>
      </c>
      <c r="E13" s="18" t="n">
        <v>21.97036622</v>
      </c>
      <c r="F13" s="20" t="n">
        <v>1.85905883</v>
      </c>
      <c r="G13" s="18" t="n">
        <v>74.19697868999999</v>
      </c>
      <c r="H13" s="20" t="n">
        <v>1.93697123</v>
      </c>
      <c r="I13" s="18" t="s">
        <v>567</v>
      </c>
      <c r="J13" s="20" t="s">
        <v>567</v>
      </c>
      <c r="K13" s="18" t="n">
        <v>0.25226421</v>
      </c>
      <c r="L13" s="20" t="n">
        <v>0.19079166</v>
      </c>
      <c r="M13" s="18" t="n">
        <v>0</v>
      </c>
      <c r="N13" s="20" t="n">
        <v>0</v>
      </c>
      <c r="O13" s="18" t="n">
        <v>0</v>
      </c>
      <c r="P13" s="20" t="n">
        <v>0</v>
      </c>
      <c r="Q13" s="18" t="n">
        <v>3.58039088</v>
      </c>
      <c r="R13" s="20" t="n">
        <v>0.7826992</v>
      </c>
    </row>
    <row r="14" spans="1:18">
      <c r="A14" s="15" t="s">
        <v>574</v>
      </c>
      <c r="B14" s="17" t="n">
        <v>2799</v>
      </c>
      <c r="C14" s="18">
        <f>(2176.0/B14*100)</f>
        <v/>
      </c>
      <c r="D14" s="19" t="n">
        <v>623</v>
      </c>
      <c r="E14" s="18" t="n">
        <v>18.65236921</v>
      </c>
      <c r="F14" s="20" t="n">
        <v>1.79764928</v>
      </c>
      <c r="G14" s="18" t="n">
        <v>79.50904728</v>
      </c>
      <c r="H14" s="20" t="n">
        <v>1.9025774</v>
      </c>
      <c r="I14" s="18" t="s">
        <v>567</v>
      </c>
      <c r="J14" s="20" t="s">
        <v>567</v>
      </c>
      <c r="K14" s="18" t="n">
        <v>0</v>
      </c>
      <c r="L14" s="20" t="n">
        <v>0</v>
      </c>
      <c r="M14" s="18" t="n">
        <v>0</v>
      </c>
      <c r="N14" s="20" t="n">
        <v>0</v>
      </c>
      <c r="O14" s="18" t="n">
        <v>0</v>
      </c>
      <c r="P14" s="20" t="n">
        <v>0</v>
      </c>
      <c r="Q14" s="18" t="n">
        <v>1.8385835</v>
      </c>
      <c r="R14" s="20" t="n">
        <v>0.59534571</v>
      </c>
    </row>
    <row r="15" spans="1:18">
      <c r="A15" s="15" t="s">
        <v>575</v>
      </c>
      <c r="B15" s="17" t="n">
        <v>3019</v>
      </c>
      <c r="C15" s="18">
        <f>(2400.0/B15*100)</f>
        <v/>
      </c>
      <c r="D15" s="19" t="n">
        <v>619</v>
      </c>
      <c r="E15" s="18" t="n">
        <v>21.79942608</v>
      </c>
      <c r="F15" s="20" t="n">
        <v>1.72134626</v>
      </c>
      <c r="G15" s="18" t="n">
        <v>75.49551341</v>
      </c>
      <c r="H15" s="20" t="n">
        <v>1.84968678</v>
      </c>
      <c r="I15" s="18" t="s">
        <v>567</v>
      </c>
      <c r="J15" s="20" t="s">
        <v>567</v>
      </c>
      <c r="K15" s="18" t="n">
        <v>0.15747216</v>
      </c>
      <c r="L15" s="20" t="n">
        <v>0.158072</v>
      </c>
      <c r="M15" s="18" t="n">
        <v>0</v>
      </c>
      <c r="N15" s="20" t="n">
        <v>0</v>
      </c>
      <c r="O15" s="18" t="n">
        <v>0</v>
      </c>
      <c r="P15" s="20" t="n">
        <v>0</v>
      </c>
      <c r="Q15" s="18" t="n">
        <v>2.54758835</v>
      </c>
      <c r="R15" s="20" t="n">
        <v>0.58997444</v>
      </c>
    </row>
    <row r="16" spans="1:18">
      <c r="A16" s="15" t="s">
        <v>576</v>
      </c>
      <c r="B16" s="17" t="n">
        <v>2997</v>
      </c>
      <c r="C16" s="18">
        <f>(2348.0/B16*100)</f>
        <v/>
      </c>
      <c r="D16" s="19" t="n">
        <v>649</v>
      </c>
      <c r="E16" s="18" t="n">
        <v>23.47071032</v>
      </c>
      <c r="F16" s="20" t="n">
        <v>1.97966855</v>
      </c>
      <c r="G16" s="18" t="n">
        <v>71.25941489</v>
      </c>
      <c r="H16" s="20" t="n">
        <v>2.10597748</v>
      </c>
      <c r="I16" s="18" t="s">
        <v>567</v>
      </c>
      <c r="J16" s="20" t="s">
        <v>567</v>
      </c>
      <c r="K16" s="18" t="n">
        <v>0.78070917</v>
      </c>
      <c r="L16" s="20" t="n">
        <v>0.31020112</v>
      </c>
      <c r="M16" s="18" t="n">
        <v>0</v>
      </c>
      <c r="N16" s="20" t="n">
        <v>0</v>
      </c>
      <c r="O16" s="18" t="n">
        <v>0</v>
      </c>
      <c r="P16" s="20" t="n">
        <v>0</v>
      </c>
      <c r="Q16" s="18" t="n">
        <v>4.48916562</v>
      </c>
      <c r="R16" s="20" t="n">
        <v>0.83872789</v>
      </c>
    </row>
    <row r="17" spans="1:18">
      <c r="A17" s="15" t="s">
        <v>577</v>
      </c>
      <c r="B17" s="17" t="n">
        <v>3307</v>
      </c>
      <c r="C17" s="18">
        <f>(2585.0/B17*100)</f>
        <v/>
      </c>
      <c r="D17" s="19" t="n">
        <v>722</v>
      </c>
      <c r="E17" s="18" t="n">
        <v>19.33403267</v>
      </c>
      <c r="F17" s="20" t="n">
        <v>1.80904803</v>
      </c>
      <c r="G17" s="18" t="n">
        <v>77.31871807</v>
      </c>
      <c r="H17" s="20" t="n">
        <v>1.77152546</v>
      </c>
      <c r="I17" s="18" t="s">
        <v>567</v>
      </c>
      <c r="J17" s="20" t="s">
        <v>567</v>
      </c>
      <c r="K17" s="18" t="n">
        <v>0.13436893</v>
      </c>
      <c r="L17" s="20" t="n">
        <v>0.14028382</v>
      </c>
      <c r="M17" s="18" t="n">
        <v>0</v>
      </c>
      <c r="N17" s="20" t="n">
        <v>0</v>
      </c>
      <c r="O17" s="18" t="n">
        <v>0</v>
      </c>
      <c r="P17" s="20" t="n">
        <v>0</v>
      </c>
      <c r="Q17" s="18" t="n">
        <v>3.21288033</v>
      </c>
      <c r="R17" s="20" t="n">
        <v>0.70078666</v>
      </c>
    </row>
    <row r="18" spans="1:18">
      <c r="A18" s="15" t="s">
        <v>578</v>
      </c>
      <c r="B18" s="17" t="n">
        <v>2826</v>
      </c>
      <c r="C18" s="18">
        <f>(2216.0/B18*100)</f>
        <v/>
      </c>
      <c r="D18" s="19" t="n">
        <v>610</v>
      </c>
      <c r="E18" s="18" t="n">
        <v>38.33423575</v>
      </c>
      <c r="F18" s="20" t="n">
        <v>2.23157152</v>
      </c>
      <c r="G18" s="18" t="n">
        <v>56.16140977</v>
      </c>
      <c r="H18" s="20" t="n">
        <v>2.32953541</v>
      </c>
      <c r="I18" s="18" t="s">
        <v>567</v>
      </c>
      <c r="J18" s="20" t="s">
        <v>567</v>
      </c>
      <c r="K18" s="18" t="n">
        <v>0.221584</v>
      </c>
      <c r="L18" s="20" t="n">
        <v>0.17809065</v>
      </c>
      <c r="M18" s="18" t="n">
        <v>0</v>
      </c>
      <c r="N18" s="20" t="n">
        <v>0</v>
      </c>
      <c r="O18" s="18" t="n">
        <v>0</v>
      </c>
      <c r="P18" s="20" t="n">
        <v>0</v>
      </c>
      <c r="Q18" s="18" t="n">
        <v>5.28277049</v>
      </c>
      <c r="R18" s="20" t="n">
        <v>1.03953399</v>
      </c>
    </row>
    <row r="19" spans="1:18">
      <c r="A19" s="15" t="s">
        <v>579</v>
      </c>
      <c r="B19" s="17" t="n">
        <v>2808</v>
      </c>
      <c r="C19" s="18">
        <f>(2202.0/B19*100)</f>
        <v/>
      </c>
      <c r="D19" s="19" t="n">
        <v>606</v>
      </c>
      <c r="E19" s="18" t="n">
        <v>32.464949</v>
      </c>
      <c r="F19" s="20" t="n">
        <v>2.1639169</v>
      </c>
      <c r="G19" s="18" t="n">
        <v>63.01398491</v>
      </c>
      <c r="H19" s="20" t="n">
        <v>2.29173197</v>
      </c>
      <c r="I19" s="18" t="s">
        <v>567</v>
      </c>
      <c r="J19" s="20" t="s">
        <v>567</v>
      </c>
      <c r="K19" s="18" t="n">
        <v>0.11373144</v>
      </c>
      <c r="L19" s="20" t="n">
        <v>0.11362607</v>
      </c>
      <c r="M19" s="18" t="n">
        <v>0</v>
      </c>
      <c r="N19" s="20" t="n">
        <v>0</v>
      </c>
      <c r="O19" s="18" t="n">
        <v>0</v>
      </c>
      <c r="P19" s="20" t="n">
        <v>0</v>
      </c>
      <c r="Q19" s="18" t="n">
        <v>4.40733465</v>
      </c>
      <c r="R19" s="20" t="n">
        <v>1.11435708</v>
      </c>
    </row>
    <row r="20" spans="1:18">
      <c r="A20" s="15" t="s">
        <v>580</v>
      </c>
      <c r="B20" s="17" t="n">
        <v>1630</v>
      </c>
      <c r="C20" s="18">
        <f>(1268.0/B20*100)</f>
        <v/>
      </c>
      <c r="D20" s="19" t="n">
        <v>362</v>
      </c>
      <c r="E20" s="18" t="n">
        <v>24.75851915</v>
      </c>
      <c r="F20" s="20" t="n">
        <v>2.17600757</v>
      </c>
      <c r="G20" s="18" t="n">
        <v>69.75682223</v>
      </c>
      <c r="H20" s="20" t="n">
        <v>2.42432798</v>
      </c>
      <c r="I20" s="18" t="s">
        <v>567</v>
      </c>
      <c r="J20" s="20" t="s">
        <v>567</v>
      </c>
      <c r="K20" s="18" t="n">
        <v>0</v>
      </c>
      <c r="L20" s="20" t="n">
        <v>0</v>
      </c>
      <c r="M20" s="18" t="n">
        <v>0</v>
      </c>
      <c r="N20" s="20" t="n">
        <v>0</v>
      </c>
      <c r="O20" s="18" t="n">
        <v>0</v>
      </c>
      <c r="P20" s="20" t="n">
        <v>0</v>
      </c>
      <c r="Q20" s="18" t="n">
        <v>5.48465862</v>
      </c>
      <c r="R20" s="20" t="n">
        <v>1.27946304</v>
      </c>
    </row>
    <row r="21" spans="1:18">
      <c r="A21" s="15" t="s">
        <v>581</v>
      </c>
      <c r="B21" s="17" t="n">
        <v>2908</v>
      </c>
      <c r="C21" s="18">
        <f>(2247.0/B21*100)</f>
        <v/>
      </c>
      <c r="D21" s="19" t="n">
        <v>661</v>
      </c>
      <c r="E21" s="18" t="n">
        <v>23.67194839</v>
      </c>
      <c r="F21" s="20" t="n">
        <v>1.86704398</v>
      </c>
      <c r="G21" s="18" t="n">
        <v>70.28737063</v>
      </c>
      <c r="H21" s="20" t="n">
        <v>2.15285226</v>
      </c>
      <c r="I21" s="18" t="s">
        <v>567</v>
      </c>
      <c r="J21" s="20" t="s">
        <v>567</v>
      </c>
      <c r="K21" s="18" t="n">
        <v>0.13083031</v>
      </c>
      <c r="L21" s="20" t="n">
        <v>0.0923291</v>
      </c>
      <c r="M21" s="18" t="n">
        <v>0</v>
      </c>
      <c r="N21" s="20" t="n">
        <v>0</v>
      </c>
      <c r="O21" s="18" t="n">
        <v>0</v>
      </c>
      <c r="P21" s="20" t="n">
        <v>0</v>
      </c>
      <c r="Q21" s="18" t="n">
        <v>5.90985068</v>
      </c>
      <c r="R21" s="20" t="n">
        <v>0.9712276399999999</v>
      </c>
    </row>
    <row r="22" spans="1:18">
      <c r="A22" s="15" t="s">
        <v>582</v>
      </c>
      <c r="B22" s="17" t="n">
        <v>2931</v>
      </c>
      <c r="C22" s="18">
        <f>(2268.0/B22*100)</f>
        <v/>
      </c>
      <c r="D22" s="19" t="n">
        <v>663</v>
      </c>
      <c r="E22" s="18" t="n">
        <v>27.25231419</v>
      </c>
      <c r="F22" s="20" t="n">
        <v>2.01000445</v>
      </c>
      <c r="G22" s="18" t="n">
        <v>65.04623279</v>
      </c>
      <c r="H22" s="20" t="n">
        <v>2.32592869</v>
      </c>
      <c r="I22" s="18" t="s">
        <v>567</v>
      </c>
      <c r="J22" s="20" t="s">
        <v>567</v>
      </c>
      <c r="K22" s="18" t="n">
        <v>0.45711749</v>
      </c>
      <c r="L22" s="20" t="n">
        <v>0.44427213</v>
      </c>
      <c r="M22" s="18" t="n">
        <v>0</v>
      </c>
      <c r="N22" s="20" t="n">
        <v>0</v>
      </c>
      <c r="O22" s="18" t="n">
        <v>0</v>
      </c>
      <c r="P22" s="20" t="n">
        <v>0</v>
      </c>
      <c r="Q22" s="18" t="n">
        <v>7.24433552</v>
      </c>
      <c r="R22" s="20" t="n">
        <v>1.10236654</v>
      </c>
    </row>
    <row r="23" spans="1:18">
      <c r="A23" s="15" t="s">
        <v>583</v>
      </c>
      <c r="B23" s="17" t="n">
        <v>5791</v>
      </c>
      <c r="C23" s="18">
        <f>(4517.0/B23*100)</f>
        <v/>
      </c>
      <c r="D23" s="19" t="n">
        <v>1274</v>
      </c>
      <c r="E23" s="18" t="n">
        <v>27.38904921</v>
      </c>
      <c r="F23" s="20" t="n">
        <v>2.2870783</v>
      </c>
      <c r="G23" s="18" t="n">
        <v>69.84078719999999</v>
      </c>
      <c r="H23" s="20" t="n">
        <v>2.32223364</v>
      </c>
      <c r="I23" s="18" t="s">
        <v>567</v>
      </c>
      <c r="J23" s="20" t="s">
        <v>567</v>
      </c>
      <c r="K23" s="18" t="n">
        <v>0.28024418</v>
      </c>
      <c r="L23" s="20" t="n">
        <v>0.25893237</v>
      </c>
      <c r="M23" s="18" t="n">
        <v>0</v>
      </c>
      <c r="N23" s="20" t="n">
        <v>0</v>
      </c>
      <c r="O23" s="18" t="n">
        <v>0</v>
      </c>
      <c r="P23" s="20" t="n">
        <v>0</v>
      </c>
      <c r="Q23" s="18" t="n">
        <v>2.48991942</v>
      </c>
      <c r="R23" s="20" t="n">
        <v>0.49345076</v>
      </c>
    </row>
    <row r="24" spans="1:18">
      <c r="A24" s="15" t="s">
        <v>584</v>
      </c>
      <c r="B24" s="17" t="n">
        <v>3338</v>
      </c>
      <c r="C24" s="18">
        <f>(2607.0/B24*100)</f>
        <v/>
      </c>
      <c r="D24" s="19" t="n">
        <v>731</v>
      </c>
      <c r="E24" s="18" t="n">
        <v>14.68794321</v>
      </c>
      <c r="F24" s="20" t="n">
        <v>1.35171442</v>
      </c>
      <c r="G24" s="18" t="n">
        <v>82.91399095</v>
      </c>
      <c r="H24" s="20" t="n">
        <v>1.56263289</v>
      </c>
      <c r="I24" s="18" t="s">
        <v>567</v>
      </c>
      <c r="J24" s="20" t="s">
        <v>567</v>
      </c>
      <c r="K24" s="18" t="n">
        <v>0.53675154</v>
      </c>
      <c r="L24" s="20" t="n">
        <v>0.27065859</v>
      </c>
      <c r="M24" s="18" t="n">
        <v>0</v>
      </c>
      <c r="N24" s="20" t="n">
        <v>0</v>
      </c>
      <c r="O24" s="18" t="n">
        <v>0</v>
      </c>
      <c r="P24" s="20" t="n">
        <v>0</v>
      </c>
      <c r="Q24" s="18" t="n">
        <v>1.8613143</v>
      </c>
      <c r="R24" s="20" t="n">
        <v>0.48781337</v>
      </c>
    </row>
    <row r="25" spans="1:18">
      <c r="A25" s="15" t="s">
        <v>585</v>
      </c>
      <c r="B25" s="17" t="n">
        <v>2912</v>
      </c>
      <c r="C25" s="18">
        <f>(2253.0/B25*100)</f>
        <v/>
      </c>
      <c r="D25" s="19" t="n">
        <v>659</v>
      </c>
      <c r="E25" s="18" t="n">
        <v>19.21574819</v>
      </c>
      <c r="F25" s="20" t="n">
        <v>1.48664859</v>
      </c>
      <c r="G25" s="18" t="n">
        <v>78.83568461</v>
      </c>
      <c r="H25" s="20" t="n">
        <v>1.51761551</v>
      </c>
      <c r="I25" s="18" t="s">
        <v>567</v>
      </c>
      <c r="J25" s="20" t="s">
        <v>567</v>
      </c>
      <c r="K25" s="18" t="n">
        <v>0.28178802</v>
      </c>
      <c r="L25" s="20" t="n">
        <v>0.20065946</v>
      </c>
      <c r="M25" s="18" t="n">
        <v>0</v>
      </c>
      <c r="N25" s="20" t="n">
        <v>0</v>
      </c>
      <c r="O25" s="18" t="n">
        <v>0</v>
      </c>
      <c r="P25" s="20" t="n">
        <v>0</v>
      </c>
      <c r="Q25" s="18" t="n">
        <v>1.66677918</v>
      </c>
      <c r="R25" s="20" t="n">
        <v>0.44263466</v>
      </c>
    </row>
    <row r="26" spans="1:18">
      <c r="A26" s="15" t="s">
        <v>586</v>
      </c>
      <c r="B26" s="17" t="n">
        <v>2450</v>
      </c>
      <c r="C26" s="18">
        <f>(1932.0/B26*100)</f>
        <v/>
      </c>
      <c r="D26" s="19" t="n">
        <v>518</v>
      </c>
      <c r="E26" s="18" t="n">
        <v>29.86923933</v>
      </c>
      <c r="F26" s="20" t="n">
        <v>2.35600888</v>
      </c>
      <c r="G26" s="18" t="n">
        <v>68.31549443999999</v>
      </c>
      <c r="H26" s="20" t="n">
        <v>2.41422976</v>
      </c>
      <c r="I26" s="18" t="s">
        <v>567</v>
      </c>
      <c r="J26" s="20" t="s">
        <v>567</v>
      </c>
      <c r="K26" s="18" t="n">
        <v>0</v>
      </c>
      <c r="L26" s="20" t="n">
        <v>0</v>
      </c>
      <c r="M26" s="18" t="n">
        <v>0</v>
      </c>
      <c r="N26" s="20" t="n">
        <v>0</v>
      </c>
      <c r="O26" s="18" t="n">
        <v>0</v>
      </c>
      <c r="P26" s="20" t="n">
        <v>0</v>
      </c>
      <c r="Q26" s="18" t="n">
        <v>1.81526623</v>
      </c>
      <c r="R26" s="20" t="n">
        <v>0.62834534</v>
      </c>
    </row>
    <row r="27" spans="1:18">
      <c r="A27" s="15" t="s">
        <v>587</v>
      </c>
      <c r="B27" s="17" t="n">
        <v>2616</v>
      </c>
      <c r="C27" s="18">
        <f>(2040.0/B27*100)</f>
        <v/>
      </c>
      <c r="D27" s="19" t="n">
        <v>576</v>
      </c>
      <c r="E27" s="18" t="n">
        <v>27.31998983</v>
      </c>
      <c r="F27" s="20" t="n">
        <v>1.91156438</v>
      </c>
      <c r="G27" s="18" t="n">
        <v>69.44716886</v>
      </c>
      <c r="H27" s="20" t="n">
        <v>1.79327686</v>
      </c>
      <c r="I27" s="18" t="s">
        <v>567</v>
      </c>
      <c r="J27" s="20" t="s">
        <v>567</v>
      </c>
      <c r="K27" s="18" t="n">
        <v>0</v>
      </c>
      <c r="L27" s="20" t="n">
        <v>0</v>
      </c>
      <c r="M27" s="18" t="n">
        <v>0</v>
      </c>
      <c r="N27" s="20" t="n">
        <v>0</v>
      </c>
      <c r="O27" s="18" t="n">
        <v>0</v>
      </c>
      <c r="P27" s="20" t="n">
        <v>0</v>
      </c>
      <c r="Q27" s="18" t="n">
        <v>3.23284131</v>
      </c>
      <c r="R27" s="20" t="n">
        <v>0.8200395</v>
      </c>
    </row>
    <row r="28" spans="1:18">
      <c r="A28" s="15" t="s">
        <v>588</v>
      </c>
      <c r="B28" s="17" t="n">
        <v>3765</v>
      </c>
      <c r="C28" s="18">
        <f>(2994.0/B28*100)</f>
        <v/>
      </c>
      <c r="D28" s="19" t="n">
        <v>771</v>
      </c>
      <c r="E28" s="18" t="n">
        <v>48.68282148</v>
      </c>
      <c r="F28" s="20" t="n">
        <v>2.27191184</v>
      </c>
      <c r="G28" s="18" t="n">
        <v>48.99993741</v>
      </c>
      <c r="H28" s="20" t="n">
        <v>2.21462304</v>
      </c>
      <c r="I28" s="18" t="s">
        <v>567</v>
      </c>
      <c r="J28" s="20" t="s">
        <v>567</v>
      </c>
      <c r="K28" s="18" t="n">
        <v>0.246669</v>
      </c>
      <c r="L28" s="20" t="n">
        <v>0.21255321</v>
      </c>
      <c r="M28" s="18" t="n">
        <v>0</v>
      </c>
      <c r="N28" s="20" t="n">
        <v>0</v>
      </c>
      <c r="O28" s="18" t="n">
        <v>0</v>
      </c>
      <c r="P28" s="20" t="n">
        <v>0</v>
      </c>
      <c r="Q28" s="18" t="n">
        <v>2.0705721</v>
      </c>
      <c r="R28" s="20" t="n">
        <v>0.50759512</v>
      </c>
    </row>
    <row r="29" spans="1:18">
      <c r="A29" s="15" t="s">
        <v>589</v>
      </c>
      <c r="B29" s="17" t="n">
        <v>2685</v>
      </c>
      <c r="C29" s="18">
        <f>(2094.0/B29*100)</f>
        <v/>
      </c>
      <c r="D29" s="19" t="n">
        <v>591</v>
      </c>
      <c r="E29" s="18" t="n">
        <v>23.55542978</v>
      </c>
      <c r="F29" s="20" t="n">
        <v>2.03788887</v>
      </c>
      <c r="G29" s="18" t="n">
        <v>73.09092307</v>
      </c>
      <c r="H29" s="20" t="n">
        <v>2.23204174</v>
      </c>
      <c r="I29" s="18" t="s">
        <v>567</v>
      </c>
      <c r="J29" s="20" t="s">
        <v>567</v>
      </c>
      <c r="K29" s="18" t="n">
        <v>0.15976781</v>
      </c>
      <c r="L29" s="20" t="n">
        <v>0.17323204</v>
      </c>
      <c r="M29" s="18" t="n">
        <v>0</v>
      </c>
      <c r="N29" s="20" t="n">
        <v>0</v>
      </c>
      <c r="O29" s="18" t="n">
        <v>0</v>
      </c>
      <c r="P29" s="20" t="n">
        <v>0</v>
      </c>
      <c r="Q29" s="18" t="n">
        <v>3.19387934</v>
      </c>
      <c r="R29" s="20" t="n">
        <v>0.73512182</v>
      </c>
    </row>
    <row r="30" spans="1:18">
      <c r="A30" s="15" t="s">
        <v>590</v>
      </c>
      <c r="B30" s="17" t="n">
        <v>2263</v>
      </c>
      <c r="C30" s="18">
        <f>(1774.0/B30*100)</f>
        <v/>
      </c>
      <c r="D30" s="19" t="n">
        <v>489</v>
      </c>
      <c r="E30" s="18" t="n">
        <v>20.83678259</v>
      </c>
      <c r="F30" s="20" t="n">
        <v>1.55241931</v>
      </c>
      <c r="G30" s="18" t="n">
        <v>74.86687864</v>
      </c>
      <c r="H30" s="20" t="n">
        <v>1.80966057</v>
      </c>
      <c r="I30" s="18" t="s">
        <v>567</v>
      </c>
      <c r="J30" s="20" t="s">
        <v>567</v>
      </c>
      <c r="K30" s="18" t="n">
        <v>0.34021588</v>
      </c>
      <c r="L30" s="20" t="n">
        <v>0.34459597</v>
      </c>
      <c r="M30" s="18" t="n">
        <v>0</v>
      </c>
      <c r="N30" s="20" t="n">
        <v>0</v>
      </c>
      <c r="O30" s="18" t="n">
        <v>0</v>
      </c>
      <c r="P30" s="20" t="n">
        <v>0</v>
      </c>
      <c r="Q30" s="18" t="n">
        <v>3.95612289</v>
      </c>
      <c r="R30" s="20" t="n">
        <v>0.8766220300000001</v>
      </c>
    </row>
    <row r="31" spans="1:18">
      <c r="A31" s="15" t="s">
        <v>591</v>
      </c>
      <c r="B31" s="17" t="n">
        <v>2750</v>
      </c>
      <c r="C31" s="18">
        <f>(2128.0/B31*100)</f>
        <v/>
      </c>
      <c r="D31" s="19" t="n">
        <v>622</v>
      </c>
      <c r="E31" s="18" t="n">
        <v>19.87488638</v>
      </c>
      <c r="F31" s="20" t="n">
        <v>1.69782357</v>
      </c>
      <c r="G31" s="18" t="n">
        <v>75.39822157</v>
      </c>
      <c r="H31" s="20" t="n">
        <v>1.66580235</v>
      </c>
      <c r="I31" s="18" t="s">
        <v>567</v>
      </c>
      <c r="J31" s="20" t="s">
        <v>567</v>
      </c>
      <c r="K31" s="18" t="n">
        <v>0.14363756</v>
      </c>
      <c r="L31" s="20" t="n">
        <v>0.14402427</v>
      </c>
      <c r="M31" s="18" t="n">
        <v>0</v>
      </c>
      <c r="N31" s="20" t="n">
        <v>0</v>
      </c>
      <c r="O31" s="18" t="n">
        <v>0</v>
      </c>
      <c r="P31" s="20" t="n">
        <v>0</v>
      </c>
      <c r="Q31" s="18" t="n">
        <v>4.58325449</v>
      </c>
      <c r="R31" s="20" t="n">
        <v>0.80795132</v>
      </c>
    </row>
    <row r="32" spans="1:18">
      <c r="A32" s="15" t="s">
        <v>592</v>
      </c>
      <c r="B32" s="17" t="n">
        <v>2269</v>
      </c>
      <c r="C32" s="18">
        <f>(1773.0/B32*100)</f>
        <v/>
      </c>
      <c r="D32" s="19" t="n">
        <v>496</v>
      </c>
      <c r="E32" s="18" t="n">
        <v>18.58217029</v>
      </c>
      <c r="F32" s="20" t="n">
        <v>2.01349018</v>
      </c>
      <c r="G32" s="18" t="n">
        <v>79.26891122000001</v>
      </c>
      <c r="H32" s="20" t="n">
        <v>2.11580424</v>
      </c>
      <c r="I32" s="18" t="s">
        <v>567</v>
      </c>
      <c r="J32" s="20" t="s">
        <v>567</v>
      </c>
      <c r="K32" s="18" t="n">
        <v>0</v>
      </c>
      <c r="L32" s="20" t="n">
        <v>0</v>
      </c>
      <c r="M32" s="18" t="n">
        <v>0</v>
      </c>
      <c r="N32" s="20" t="n">
        <v>0</v>
      </c>
      <c r="O32" s="18" t="n">
        <v>0</v>
      </c>
      <c r="P32" s="20" t="n">
        <v>0</v>
      </c>
      <c r="Q32" s="18" t="n">
        <v>2.1489185</v>
      </c>
      <c r="R32" s="20" t="n">
        <v>0.74646001</v>
      </c>
    </row>
    <row r="33" spans="1:18">
      <c r="A33" s="15" t="s">
        <v>593</v>
      </c>
      <c r="B33" s="17" t="n">
        <v>3674</v>
      </c>
      <c r="C33" s="18">
        <f>(2848.0/B33*100)</f>
        <v/>
      </c>
      <c r="D33" s="19" t="n">
        <v>826</v>
      </c>
      <c r="E33" s="18" t="n">
        <v>23.86889951</v>
      </c>
      <c r="F33" s="20" t="n">
        <v>1.66409719</v>
      </c>
      <c r="G33" s="18" t="n">
        <v>73.45544261000001</v>
      </c>
      <c r="H33" s="20" t="n">
        <v>1.60901803</v>
      </c>
      <c r="I33" s="18" t="s">
        <v>567</v>
      </c>
      <c r="J33" s="20" t="s">
        <v>567</v>
      </c>
      <c r="K33" s="18" t="n">
        <v>0.7028946700000001</v>
      </c>
      <c r="L33" s="20" t="n">
        <v>0.37154512</v>
      </c>
      <c r="M33" s="18" t="n">
        <v>0</v>
      </c>
      <c r="N33" s="20" t="n">
        <v>0</v>
      </c>
      <c r="O33" s="18" t="n">
        <v>0</v>
      </c>
      <c r="P33" s="20" t="n">
        <v>0</v>
      </c>
      <c r="Q33" s="18" t="n">
        <v>1.97276321</v>
      </c>
      <c r="R33" s="20" t="n">
        <v>0.56601986</v>
      </c>
    </row>
    <row r="34" spans="1:18">
      <c r="A34" s="15" t="s">
        <v>594</v>
      </c>
      <c r="B34" s="17" t="n">
        <v>3315</v>
      </c>
      <c r="C34" s="18">
        <f>(2613.0/B34*100)</f>
        <v/>
      </c>
      <c r="D34" s="19" t="n">
        <v>702</v>
      </c>
      <c r="E34" s="18" t="n">
        <v>33.37627877</v>
      </c>
      <c r="F34" s="20" t="n">
        <v>1.83302011</v>
      </c>
      <c r="G34" s="18" t="n">
        <v>63.89383587</v>
      </c>
      <c r="H34" s="20" t="n">
        <v>1.9796724</v>
      </c>
      <c r="I34" s="18" t="s">
        <v>567</v>
      </c>
      <c r="J34" s="20" t="s">
        <v>567</v>
      </c>
      <c r="K34" s="18" t="n">
        <v>0.04529751</v>
      </c>
      <c r="L34" s="20" t="n">
        <v>0.04556457</v>
      </c>
      <c r="M34" s="18" t="n">
        <v>0</v>
      </c>
      <c r="N34" s="20" t="n">
        <v>0</v>
      </c>
      <c r="O34" s="18" t="n">
        <v>0</v>
      </c>
      <c r="P34" s="20" t="n">
        <v>0</v>
      </c>
      <c r="Q34" s="18" t="n">
        <v>2.68458785</v>
      </c>
      <c r="R34" s="20" t="n">
        <v>0.67511193</v>
      </c>
    </row>
    <row r="35" spans="1:18">
      <c r="A35" s="15" t="s">
        <v>595</v>
      </c>
      <c r="B35" s="17" t="n">
        <v>3505</v>
      </c>
      <c r="C35" s="18">
        <f>(2783.0/B35*100)</f>
        <v/>
      </c>
      <c r="D35" s="19" t="n">
        <v>722</v>
      </c>
      <c r="E35" s="18" t="n">
        <v>21.63522354</v>
      </c>
      <c r="F35" s="20" t="n">
        <v>1.64167362</v>
      </c>
      <c r="G35" s="18" t="n">
        <v>75.09245675</v>
      </c>
      <c r="H35" s="20" t="n">
        <v>1.73474951</v>
      </c>
      <c r="I35" s="18" t="s">
        <v>567</v>
      </c>
      <c r="J35" s="20" t="s">
        <v>567</v>
      </c>
      <c r="K35" s="18" t="n">
        <v>0.82428746</v>
      </c>
      <c r="L35" s="20" t="n">
        <v>0.74644861</v>
      </c>
      <c r="M35" s="18" t="n">
        <v>0</v>
      </c>
      <c r="N35" s="20" t="n">
        <v>0</v>
      </c>
      <c r="O35" s="18" t="n">
        <v>0</v>
      </c>
      <c r="P35" s="20" t="n">
        <v>0</v>
      </c>
      <c r="Q35" s="18" t="n">
        <v>2.44803225</v>
      </c>
      <c r="R35" s="20" t="n">
        <v>0.72580771</v>
      </c>
    </row>
    <row r="36" spans="1:18">
      <c r="A36" s="15" t="s">
        <v>596</v>
      </c>
      <c r="B36" s="17" t="n">
        <v>3332</v>
      </c>
      <c r="C36" s="18">
        <f>(2604.0/B36*100)</f>
        <v/>
      </c>
      <c r="D36" s="19" t="n">
        <v>728</v>
      </c>
      <c r="E36" s="18" t="n">
        <v>28.18730042</v>
      </c>
      <c r="F36" s="20" t="n">
        <v>1.61170454</v>
      </c>
      <c r="G36" s="18" t="n">
        <v>68.30470579</v>
      </c>
      <c r="H36" s="20" t="n">
        <v>1.80175363</v>
      </c>
      <c r="I36" s="18" t="s">
        <v>567</v>
      </c>
      <c r="J36" s="20" t="s">
        <v>567</v>
      </c>
      <c r="K36" s="18" t="n">
        <v>0.23555877</v>
      </c>
      <c r="L36" s="20" t="n">
        <v>0.27035853</v>
      </c>
      <c r="M36" s="18" t="n">
        <v>0</v>
      </c>
      <c r="N36" s="20" t="n">
        <v>0</v>
      </c>
      <c r="O36" s="18" t="n">
        <v>0</v>
      </c>
      <c r="P36" s="20" t="n">
        <v>0</v>
      </c>
      <c r="Q36" s="18" t="n">
        <v>3.27243501</v>
      </c>
      <c r="R36" s="20" t="n">
        <v>0.76808895</v>
      </c>
    </row>
    <row r="37" spans="1:18">
      <c r="A37" s="15" t="s">
        <v>597</v>
      </c>
      <c r="B37" s="17" t="n">
        <v>2727</v>
      </c>
      <c r="C37" s="18">
        <f>(2129.0/B37*100)</f>
        <v/>
      </c>
      <c r="D37" s="19" t="n">
        <v>598</v>
      </c>
      <c r="E37" s="18" t="n">
        <v>20.4243684</v>
      </c>
      <c r="F37" s="20" t="n">
        <v>1.78239843</v>
      </c>
      <c r="G37" s="18" t="n">
        <v>73.98388333</v>
      </c>
      <c r="H37" s="20" t="n">
        <v>2.05954292</v>
      </c>
      <c r="I37" s="18" t="s">
        <v>567</v>
      </c>
      <c r="J37" s="20" t="s">
        <v>567</v>
      </c>
      <c r="K37" s="18" t="n">
        <v>0.31666844</v>
      </c>
      <c r="L37" s="20" t="n">
        <v>0.22575543</v>
      </c>
      <c r="M37" s="18" t="n">
        <v>0</v>
      </c>
      <c r="N37" s="20" t="n">
        <v>0</v>
      </c>
      <c r="O37" s="18" t="n">
        <v>0</v>
      </c>
      <c r="P37" s="20" t="n">
        <v>0</v>
      </c>
      <c r="Q37" s="18" t="n">
        <v>5.27507982</v>
      </c>
      <c r="R37" s="20" t="n">
        <v>0.85525501</v>
      </c>
    </row>
    <row r="38" spans="1:18">
      <c r="A38" s="15" t="s">
        <v>598</v>
      </c>
      <c r="B38" s="17" t="n">
        <v>3053</v>
      </c>
      <c r="C38" s="18">
        <f>(2397.0/B38*100)</f>
        <v/>
      </c>
      <c r="D38" s="19" t="n">
        <v>656</v>
      </c>
      <c r="E38" s="18" t="n">
        <v>22.8498296</v>
      </c>
      <c r="F38" s="20" t="n">
        <v>1.90908972</v>
      </c>
      <c r="G38" s="18" t="n">
        <v>71.76601221999999</v>
      </c>
      <c r="H38" s="20" t="n">
        <v>2.09365406</v>
      </c>
      <c r="I38" s="18" t="s">
        <v>567</v>
      </c>
      <c r="J38" s="20" t="s">
        <v>567</v>
      </c>
      <c r="K38" s="18" t="n">
        <v>0</v>
      </c>
      <c r="L38" s="20" t="n">
        <v>0</v>
      </c>
      <c r="M38" s="18" t="n">
        <v>0</v>
      </c>
      <c r="N38" s="20" t="n">
        <v>0</v>
      </c>
      <c r="O38" s="18" t="n">
        <v>0</v>
      </c>
      <c r="P38" s="20" t="n">
        <v>0</v>
      </c>
      <c r="Q38" s="18" t="n">
        <v>5.38415818</v>
      </c>
      <c r="R38" s="20" t="n">
        <v>1.00012537</v>
      </c>
    </row>
    <row r="39" spans="1:18">
      <c r="A39" s="15" t="s">
        <v>599</v>
      </c>
      <c r="B39" s="17" t="n">
        <v>2957</v>
      </c>
      <c r="C39" s="18">
        <f>(2304.0/B39*100)</f>
        <v/>
      </c>
      <c r="D39" s="19" t="n">
        <v>653</v>
      </c>
      <c r="E39" s="18" t="n">
        <v>51.28618691</v>
      </c>
      <c r="F39" s="20" t="n">
        <v>2.30383141</v>
      </c>
      <c r="G39" s="18" t="n">
        <v>44.54690401</v>
      </c>
      <c r="H39" s="20" t="n">
        <v>2.54959256</v>
      </c>
      <c r="I39" s="18" t="s">
        <v>567</v>
      </c>
      <c r="J39" s="20" t="s">
        <v>567</v>
      </c>
      <c r="K39" s="18" t="n">
        <v>0.42150293</v>
      </c>
      <c r="L39" s="20" t="n">
        <v>0.26378318</v>
      </c>
      <c r="M39" s="18" t="n">
        <v>0</v>
      </c>
      <c r="N39" s="20" t="n">
        <v>0</v>
      </c>
      <c r="O39" s="18" t="n">
        <v>0</v>
      </c>
      <c r="P39" s="20" t="n">
        <v>0</v>
      </c>
      <c r="Q39" s="18" t="n">
        <v>3.74540615</v>
      </c>
      <c r="R39" s="20" t="n">
        <v>1.01737356</v>
      </c>
    </row>
    <row r="40" spans="1:18">
      <c r="A40" s="15" t="s">
        <v>600</v>
      </c>
      <c r="B40" s="17" t="n">
        <v>7235</v>
      </c>
      <c r="C40" s="18">
        <f>(5611.0/B40*100)</f>
        <v/>
      </c>
      <c r="D40" s="19" t="n">
        <v>1624</v>
      </c>
      <c r="E40" s="18" t="n">
        <v>21.60397294</v>
      </c>
      <c r="F40" s="20" t="n">
        <v>1.44834568</v>
      </c>
      <c r="G40" s="18" t="n">
        <v>74.22167707</v>
      </c>
      <c r="H40" s="20" t="n">
        <v>1.6706466</v>
      </c>
      <c r="I40" s="18" t="s">
        <v>567</v>
      </c>
      <c r="J40" s="20" t="s">
        <v>567</v>
      </c>
      <c r="K40" s="18" t="n">
        <v>0.17334084</v>
      </c>
      <c r="L40" s="20" t="n">
        <v>0.15434894</v>
      </c>
      <c r="M40" s="18" t="n">
        <v>0</v>
      </c>
      <c r="N40" s="20" t="n">
        <v>0</v>
      </c>
      <c r="O40" s="18" t="n">
        <v>0</v>
      </c>
      <c r="P40" s="20" t="n">
        <v>0</v>
      </c>
      <c r="Q40" s="18" t="n">
        <v>4.00100914</v>
      </c>
      <c r="R40" s="20" t="n">
        <v>0.82612361</v>
      </c>
    </row>
    <row r="41" spans="1:18">
      <c r="A41" s="15" t="s">
        <v>601</v>
      </c>
      <c r="B41" s="17" t="n">
        <v>2858</v>
      </c>
      <c r="C41" s="18">
        <f>(2214.0/B41*100)</f>
        <v/>
      </c>
      <c r="D41" s="19" t="n">
        <v>644</v>
      </c>
      <c r="E41" s="18" t="n">
        <v>22.14418687</v>
      </c>
      <c r="F41" s="20" t="n">
        <v>1.73508067</v>
      </c>
      <c r="G41" s="18" t="n">
        <v>75.72757326999999</v>
      </c>
      <c r="H41" s="20" t="n">
        <v>1.81958555</v>
      </c>
      <c r="I41" s="18" t="s">
        <v>567</v>
      </c>
      <c r="J41" s="20" t="s">
        <v>567</v>
      </c>
      <c r="K41" s="18" t="n">
        <v>0.16234952</v>
      </c>
      <c r="L41" s="20" t="n">
        <v>0.15566213</v>
      </c>
      <c r="M41" s="18" t="n">
        <v>0</v>
      </c>
      <c r="N41" s="20" t="n">
        <v>0</v>
      </c>
      <c r="O41" s="18" t="n">
        <v>0</v>
      </c>
      <c r="P41" s="20" t="n">
        <v>0</v>
      </c>
      <c r="Q41" s="18" t="n">
        <v>1.96589034</v>
      </c>
      <c r="R41" s="20" t="n">
        <v>0.50573969</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(8960.0/B46*100)</f>
        <v/>
      </c>
      <c r="D46" s="19" t="n">
        <v>2108</v>
      </c>
      <c r="E46" s="18" t="n">
        <v>54.59562725</v>
      </c>
      <c r="F46" s="20" t="n">
        <v>1.34779851</v>
      </c>
      <c r="G46" s="18" t="n">
        <v>40.03366728</v>
      </c>
      <c r="H46" s="20" t="n">
        <v>1.54229025</v>
      </c>
      <c r="I46" s="18" t="s">
        <v>567</v>
      </c>
      <c r="J46" s="20" t="s">
        <v>567</v>
      </c>
      <c r="K46" s="18" t="n">
        <v>0.84792301</v>
      </c>
      <c r="L46" s="20" t="n">
        <v>0.2684602</v>
      </c>
      <c r="M46" s="18" t="n">
        <v>0</v>
      </c>
      <c r="N46" s="20" t="n">
        <v>0</v>
      </c>
      <c r="O46" s="18" t="n">
        <v>0</v>
      </c>
      <c r="P46" s="20" t="n">
        <v>0</v>
      </c>
      <c r="Q46" s="18" t="n">
        <v>4.52278246</v>
      </c>
      <c r="R46" s="20" t="n">
        <v>0.75180677</v>
      </c>
    </row>
    <row r="47" spans="1:18">
      <c r="A47" s="15" t="s">
        <v>607</v>
      </c>
      <c r="B47" s="17" t="n">
        <v>3105</v>
      </c>
      <c r="C47" s="18">
        <f>(2430.0/B47*100)</f>
        <v/>
      </c>
      <c r="D47" s="19" t="n">
        <v>675</v>
      </c>
      <c r="E47" s="18" t="n">
        <v>40.68713087</v>
      </c>
      <c r="F47" s="20" t="n">
        <v>1.9787805</v>
      </c>
      <c r="G47" s="18" t="n">
        <v>52.81685784</v>
      </c>
      <c r="H47" s="20" t="n">
        <v>2.32606779</v>
      </c>
      <c r="I47" s="18" t="s">
        <v>567</v>
      </c>
      <c r="J47" s="20" t="s">
        <v>567</v>
      </c>
      <c r="K47" s="18" t="n">
        <v>0</v>
      </c>
      <c r="L47" s="20" t="n">
        <v>0</v>
      </c>
      <c r="M47" s="18" t="n">
        <v>0</v>
      </c>
      <c r="N47" s="20" t="n">
        <v>0</v>
      </c>
      <c r="O47" s="18" t="n">
        <v>0</v>
      </c>
      <c r="P47" s="20" t="n">
        <v>0</v>
      </c>
      <c r="Q47" s="18" t="n">
        <v>6.49601129</v>
      </c>
      <c r="R47" s="20" t="n">
        <v>0.99650941</v>
      </c>
    </row>
    <row r="48" spans="1:18">
      <c r="A48" s="15" t="s">
        <v>608</v>
      </c>
      <c r="B48" s="17" t="n">
        <v>5159</v>
      </c>
      <c r="C48" s="18">
        <f>(4021.0/B48*100)</f>
        <v/>
      </c>
      <c r="D48" s="19" t="n">
        <v>1138</v>
      </c>
      <c r="E48" s="18" t="n">
        <v>24.34916225</v>
      </c>
      <c r="F48" s="20" t="n">
        <v>2.01544721</v>
      </c>
      <c r="G48" s="18" t="n">
        <v>74.02415704000001</v>
      </c>
      <c r="H48" s="20" t="n">
        <v>2.16940397</v>
      </c>
      <c r="I48" s="18" t="s">
        <v>567</v>
      </c>
      <c r="J48" s="20" t="s">
        <v>567</v>
      </c>
      <c r="K48" s="18" t="n">
        <v>0.19582541</v>
      </c>
      <c r="L48" s="20" t="n">
        <v>0.16101875</v>
      </c>
      <c r="M48" s="18" t="n">
        <v>0</v>
      </c>
      <c r="N48" s="20" t="n">
        <v>0</v>
      </c>
      <c r="O48" s="18" t="n">
        <v>0</v>
      </c>
      <c r="P48" s="20" t="n">
        <v>0</v>
      </c>
      <c r="Q48" s="18" t="n">
        <v>1.43085529</v>
      </c>
      <c r="R48" s="20" t="n">
        <v>0.58577989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(4386.0/B50*100)</f>
        <v/>
      </c>
      <c r="D50" s="19" t="n">
        <v>1251</v>
      </c>
      <c r="E50" s="18" t="n">
        <v>50.15118617</v>
      </c>
      <c r="F50" s="20" t="n">
        <v>2.14895862</v>
      </c>
      <c r="G50" s="18" t="n">
        <v>45.66296233</v>
      </c>
      <c r="H50" s="20" t="n">
        <v>2.03680553</v>
      </c>
      <c r="I50" s="18" t="s">
        <v>567</v>
      </c>
      <c r="J50" s="20" t="s">
        <v>567</v>
      </c>
      <c r="K50" s="18" t="n">
        <v>0.7116413700000001</v>
      </c>
      <c r="L50" s="20" t="n">
        <v>0.23252192</v>
      </c>
      <c r="M50" s="18" t="n">
        <v>0</v>
      </c>
      <c r="N50" s="20" t="n">
        <v>0</v>
      </c>
      <c r="O50" s="18" t="n">
        <v>0</v>
      </c>
      <c r="P50" s="20" t="n">
        <v>0</v>
      </c>
      <c r="Q50" s="18" t="n">
        <v>3.47421013</v>
      </c>
      <c r="R50" s="20" t="n">
        <v>0.74607323</v>
      </c>
    </row>
    <row r="51" spans="1:18">
      <c r="A51" s="15" t="s">
        <v>611</v>
      </c>
      <c r="B51" s="17" t="n">
        <v>3372</v>
      </c>
      <c r="C51" s="18">
        <f>(2717.0/B51*100)</f>
        <v/>
      </c>
      <c r="D51" s="19" t="n">
        <v>655</v>
      </c>
      <c r="E51" s="18" t="n">
        <v>43.28505865</v>
      </c>
      <c r="F51" s="20" t="n">
        <v>2.04346246</v>
      </c>
      <c r="G51" s="18" t="n">
        <v>53.3687343</v>
      </c>
      <c r="H51" s="20" t="n">
        <v>2.2184053</v>
      </c>
      <c r="I51" s="18" t="s">
        <v>567</v>
      </c>
      <c r="J51" s="20" t="s">
        <v>567</v>
      </c>
      <c r="K51" s="18" t="n">
        <v>0.29748804</v>
      </c>
      <c r="L51" s="20" t="n">
        <v>0.21451789</v>
      </c>
      <c r="M51" s="18" t="n">
        <v>0</v>
      </c>
      <c r="N51" s="20" t="n">
        <v>0</v>
      </c>
      <c r="O51" s="18" t="n">
        <v>0</v>
      </c>
      <c r="P51" s="20" t="n">
        <v>0</v>
      </c>
      <c r="Q51" s="18" t="n">
        <v>3.04871901</v>
      </c>
      <c r="R51" s="20" t="n">
        <v>0.71153461</v>
      </c>
    </row>
    <row r="52" spans="1:18">
      <c r="A52" s="15" t="s">
        <v>612</v>
      </c>
      <c r="B52" s="17" t="n">
        <v>2796</v>
      </c>
      <c r="C52" s="18">
        <f>(2158.0/B52*100)</f>
        <v/>
      </c>
      <c r="D52" s="19" t="n">
        <v>638</v>
      </c>
      <c r="E52" s="18" t="n">
        <v>28.78542734</v>
      </c>
      <c r="F52" s="20" t="n">
        <v>1.7589148</v>
      </c>
      <c r="G52" s="18" t="n">
        <v>66.57637434999999</v>
      </c>
      <c r="H52" s="20" t="n">
        <v>2.11250001</v>
      </c>
      <c r="I52" s="18" t="s">
        <v>567</v>
      </c>
      <c r="J52" s="20" t="s">
        <v>567</v>
      </c>
      <c r="K52" s="18" t="n">
        <v>0</v>
      </c>
      <c r="L52" s="20" t="n">
        <v>0</v>
      </c>
      <c r="M52" s="18" t="n">
        <v>0</v>
      </c>
      <c r="N52" s="20" t="n">
        <v>0</v>
      </c>
      <c r="O52" s="18" t="n">
        <v>0</v>
      </c>
      <c r="P52" s="20" t="n">
        <v>0</v>
      </c>
      <c r="Q52" s="18" t="n">
        <v>4.6381983</v>
      </c>
      <c r="R52" s="20" t="n">
        <v>0.80715318</v>
      </c>
    </row>
    <row r="53" spans="1:18">
      <c r="A53" s="15" t="s">
        <v>613</v>
      </c>
      <c r="B53" s="17" t="n">
        <v>2811</v>
      </c>
      <c r="C53" s="18">
        <f>(2168.0/B53*100)</f>
        <v/>
      </c>
      <c r="D53" s="19" t="n">
        <v>643</v>
      </c>
      <c r="E53" s="18" t="n">
        <v>44.32755871</v>
      </c>
      <c r="F53" s="20" t="n">
        <v>1.97716742</v>
      </c>
      <c r="G53" s="18" t="n">
        <v>48.25456177</v>
      </c>
      <c r="H53" s="20" t="n">
        <v>1.92358897</v>
      </c>
      <c r="I53" s="18" t="s">
        <v>567</v>
      </c>
      <c r="J53" s="20" t="s">
        <v>567</v>
      </c>
      <c r="K53" s="18" t="n">
        <v>0.19959218</v>
      </c>
      <c r="L53" s="20" t="n">
        <v>0.20096168</v>
      </c>
      <c r="M53" s="18" t="n">
        <v>0</v>
      </c>
      <c r="N53" s="20" t="n">
        <v>0</v>
      </c>
      <c r="O53" s="18" t="n">
        <v>0</v>
      </c>
      <c r="P53" s="20" t="n">
        <v>0</v>
      </c>
      <c r="Q53" s="18" t="n">
        <v>7.21828733</v>
      </c>
      <c r="R53" s="20" t="n">
        <v>1.26325225</v>
      </c>
    </row>
    <row r="54" spans="1:18">
      <c r="A54" s="15" t="s">
        <v>614</v>
      </c>
      <c r="B54" s="17" t="n">
        <v>2266</v>
      </c>
      <c r="C54" s="18">
        <f>(1781.0/B54*100)</f>
        <v/>
      </c>
      <c r="D54" s="19" t="n">
        <v>485</v>
      </c>
      <c r="E54" s="18" t="n">
        <v>63.60312601</v>
      </c>
      <c r="F54" s="20" t="n">
        <v>2.59828853</v>
      </c>
      <c r="G54" s="18" t="n">
        <v>18.2864208</v>
      </c>
      <c r="H54" s="20" t="n">
        <v>2.03697545</v>
      </c>
      <c r="I54" s="18" t="s">
        <v>567</v>
      </c>
      <c r="J54" s="20" t="s">
        <v>567</v>
      </c>
      <c r="K54" s="18" t="n">
        <v>10.40120657</v>
      </c>
      <c r="L54" s="20" t="n">
        <v>1.74554755</v>
      </c>
      <c r="M54" s="18" t="n">
        <v>0</v>
      </c>
      <c r="N54" s="20" t="n">
        <v>0</v>
      </c>
      <c r="O54" s="18" t="n">
        <v>0</v>
      </c>
      <c r="P54" s="20" t="n">
        <v>0</v>
      </c>
      <c r="Q54" s="18" t="n">
        <v>7.70924662</v>
      </c>
      <c r="R54" s="20" t="n">
        <v>1.22199064</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(2095.0/B56*100)</f>
        <v/>
      </c>
      <c r="D56" s="19" t="n">
        <v>589</v>
      </c>
      <c r="E56" s="18" t="n">
        <v>21.3453856</v>
      </c>
      <c r="F56" s="20" t="n">
        <v>2.16980634</v>
      </c>
      <c r="G56" s="18" t="n">
        <v>76.85266652</v>
      </c>
      <c r="H56" s="20" t="n">
        <v>2.18780306</v>
      </c>
      <c r="I56" s="18" t="s">
        <v>567</v>
      </c>
      <c r="J56" s="20" t="s">
        <v>567</v>
      </c>
      <c r="K56" s="18" t="n">
        <v>0.14725035</v>
      </c>
      <c r="L56" s="20" t="n">
        <v>0.14778619</v>
      </c>
      <c r="M56" s="18" t="n">
        <v>0</v>
      </c>
      <c r="N56" s="20" t="n">
        <v>0</v>
      </c>
      <c r="O56" s="18" t="n">
        <v>0</v>
      </c>
      <c r="P56" s="20" t="n">
        <v>0</v>
      </c>
      <c r="Q56" s="18" t="n">
        <v>1.65469753</v>
      </c>
      <c r="R56" s="20" t="n">
        <v>0.51745708</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(2561.0/B61*100)</f>
        <v/>
      </c>
      <c r="D61" s="19" t="n">
        <v>763</v>
      </c>
      <c r="E61" s="18" t="n">
        <v>30.63273274</v>
      </c>
      <c r="F61" s="20" t="n">
        <v>2.07926008</v>
      </c>
      <c r="G61" s="18" t="n">
        <v>65.70536735</v>
      </c>
      <c r="H61" s="20" t="n">
        <v>2.19748466</v>
      </c>
      <c r="I61" s="18" t="s">
        <v>567</v>
      </c>
      <c r="J61" s="20" t="s">
        <v>567</v>
      </c>
      <c r="K61" s="18" t="n">
        <v>0.34921311</v>
      </c>
      <c r="L61" s="20" t="n">
        <v>0.22320124</v>
      </c>
      <c r="M61" s="18" t="n">
        <v>0</v>
      </c>
      <c r="N61" s="20" t="n">
        <v>0</v>
      </c>
      <c r="O61" s="18" t="n">
        <v>0</v>
      </c>
      <c r="P61" s="20" t="n">
        <v>0</v>
      </c>
      <c r="Q61" s="18" t="n">
        <v>3.31268681</v>
      </c>
      <c r="R61" s="20" t="n">
        <v>0.77621511</v>
      </c>
    </row>
    <row r="62" spans="1:18">
      <c r="A62" s="15" t="s">
        <v>622</v>
      </c>
      <c r="B62" s="17" t="n">
        <v>2246</v>
      </c>
      <c r="C62" s="18">
        <f>(1773.0/B62*100)</f>
        <v/>
      </c>
      <c r="D62" s="19" t="n">
        <v>473</v>
      </c>
      <c r="E62" s="18" t="n">
        <v>19.47626641</v>
      </c>
      <c r="F62" s="20" t="n">
        <v>1.65865307</v>
      </c>
      <c r="G62" s="18" t="n">
        <v>79.44936653000001</v>
      </c>
      <c r="H62" s="20" t="n">
        <v>1.66708865</v>
      </c>
      <c r="I62" s="18" t="s">
        <v>567</v>
      </c>
      <c r="J62" s="20" t="s">
        <v>567</v>
      </c>
      <c r="K62" s="18" t="n">
        <v>0</v>
      </c>
      <c r="L62" s="20" t="n">
        <v>0</v>
      </c>
      <c r="M62" s="18" t="n">
        <v>0</v>
      </c>
      <c r="N62" s="20" t="n">
        <v>0</v>
      </c>
      <c r="O62" s="18" t="n">
        <v>0</v>
      </c>
      <c r="P62" s="20" t="n">
        <v>0</v>
      </c>
      <c r="Q62" s="18" t="n">
        <v>1.07436706</v>
      </c>
      <c r="R62" s="20" t="n">
        <v>0.47104371</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(2271.0/B66*100)</f>
        <v/>
      </c>
      <c r="D66" s="19" t="n">
        <v>623</v>
      </c>
      <c r="E66" s="18" t="n">
        <v>44.76442176</v>
      </c>
      <c r="F66" s="20" t="n">
        <v>2.39526258</v>
      </c>
      <c r="G66" s="18" t="n">
        <v>43.66755937</v>
      </c>
      <c r="H66" s="20" t="n">
        <v>2.15363281</v>
      </c>
      <c r="I66" s="18" t="s">
        <v>567</v>
      </c>
      <c r="J66" s="20" t="s">
        <v>567</v>
      </c>
      <c r="K66" s="18" t="n">
        <v>0.64267768</v>
      </c>
      <c r="L66" s="20" t="n">
        <v>0.32783804</v>
      </c>
      <c r="M66" s="18" t="n">
        <v>0</v>
      </c>
      <c r="N66" s="20" t="n">
        <v>0</v>
      </c>
      <c r="O66" s="18" t="n">
        <v>0</v>
      </c>
      <c r="P66" s="20" t="n">
        <v>0</v>
      </c>
      <c r="Q66" s="18" t="n">
        <v>10.92534119</v>
      </c>
      <c r="R66" s="20" t="n">
        <v>1.3497556</v>
      </c>
    </row>
    <row r="67" spans="1:18">
      <c r="A67" s="15" t="s">
        <v>627</v>
      </c>
      <c r="B67" s="17" t="n">
        <v>3511</v>
      </c>
      <c r="C67" s="18">
        <f>(2774.0/B67*100)</f>
        <v/>
      </c>
      <c r="D67" s="19" t="n">
        <v>737</v>
      </c>
      <c r="E67" s="18" t="n">
        <v>56.32190164</v>
      </c>
      <c r="F67" s="20" t="n">
        <v>2.11353101</v>
      </c>
      <c r="G67" s="18" t="n">
        <v>40.68050939</v>
      </c>
      <c r="H67" s="20" t="n">
        <v>2.09137154</v>
      </c>
      <c r="I67" s="18" t="s">
        <v>567</v>
      </c>
      <c r="J67" s="20" t="s">
        <v>567</v>
      </c>
      <c r="K67" s="18" t="n">
        <v>0</v>
      </c>
      <c r="L67" s="20" t="n">
        <v>0</v>
      </c>
      <c r="M67" s="18" t="n">
        <v>0</v>
      </c>
      <c r="N67" s="20" t="n">
        <v>0</v>
      </c>
      <c r="O67" s="18" t="n">
        <v>0</v>
      </c>
      <c r="P67" s="20" t="n">
        <v>0</v>
      </c>
      <c r="Q67" s="18" t="n">
        <v>2.99758897</v>
      </c>
      <c r="R67" s="20" t="n">
        <v>0.7441269</v>
      </c>
    </row>
    <row r="68" spans="1:18">
      <c r="A68" s="15" t="s">
        <v>628</v>
      </c>
      <c r="B68" s="17" t="n">
        <v>6049</v>
      </c>
      <c r="C68" s="18">
        <f>(4734.0/B68*100)</f>
        <v/>
      </c>
      <c r="D68" s="19" t="n">
        <v>1315</v>
      </c>
      <c r="E68" s="18" t="n">
        <v>41.94725892</v>
      </c>
      <c r="F68" s="20" t="n">
        <v>1.29308068</v>
      </c>
      <c r="G68" s="18" t="n">
        <v>43.82613885</v>
      </c>
      <c r="H68" s="20" t="n">
        <v>1.43708595</v>
      </c>
      <c r="I68" s="18" t="s">
        <v>567</v>
      </c>
      <c r="J68" s="20" t="s">
        <v>567</v>
      </c>
      <c r="K68" s="18" t="n">
        <v>1.33301927</v>
      </c>
      <c r="L68" s="20" t="n">
        <v>0.33209008</v>
      </c>
      <c r="M68" s="18" t="n">
        <v>0</v>
      </c>
      <c r="N68" s="20" t="n">
        <v>0</v>
      </c>
      <c r="O68" s="18" t="n">
        <v>0</v>
      </c>
      <c r="P68" s="20" t="n">
        <v>0</v>
      </c>
      <c r="Q68" s="18" t="n">
        <v>12.89358296</v>
      </c>
      <c r="R68" s="20" t="n">
        <v>0.92507845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(2276.0/B70*100)</f>
        <v/>
      </c>
      <c r="D70" s="19" t="n">
        <v>653</v>
      </c>
      <c r="E70" s="18" t="n">
        <v>24.57349913</v>
      </c>
      <c r="F70" s="20" t="n">
        <v>1.80080604</v>
      </c>
      <c r="G70" s="18" t="n">
        <v>71.69608015999999</v>
      </c>
      <c r="H70" s="20" t="n">
        <v>1.72235253</v>
      </c>
      <c r="I70" s="18" t="s">
        <v>567</v>
      </c>
      <c r="J70" s="20" t="s">
        <v>567</v>
      </c>
      <c r="K70" s="18" t="n">
        <v>0.16923548</v>
      </c>
      <c r="L70" s="20" t="n">
        <v>0.10852588</v>
      </c>
      <c r="M70" s="18" t="n">
        <v>0</v>
      </c>
      <c r="N70" s="20" t="n">
        <v>0</v>
      </c>
      <c r="O70" s="18" t="n">
        <v>0</v>
      </c>
      <c r="P70" s="20" t="n">
        <v>0</v>
      </c>
      <c r="Q70" s="18" t="n">
        <v>3.56118523</v>
      </c>
      <c r="R70" s="20" t="n">
        <v>0.81968232</v>
      </c>
    </row>
    <row r="71" spans="1:18">
      <c r="A71" s="15" t="s">
        <v>631</v>
      </c>
      <c r="B71" s="17" t="n">
        <v>3142</v>
      </c>
      <c r="C71" s="18">
        <f>(2436.0/B71*100)</f>
        <v/>
      </c>
      <c r="D71" s="19" t="n">
        <v>706</v>
      </c>
      <c r="E71" s="18" t="n">
        <v>13.72134377</v>
      </c>
      <c r="F71" s="20" t="n">
        <v>1.19683294</v>
      </c>
      <c r="G71" s="18" t="n">
        <v>83.7805675</v>
      </c>
      <c r="H71" s="20" t="n">
        <v>1.44055544</v>
      </c>
      <c r="I71" s="18" t="s">
        <v>567</v>
      </c>
      <c r="J71" s="20" t="s">
        <v>567</v>
      </c>
      <c r="K71" s="18" t="n">
        <v>0.15143311</v>
      </c>
      <c r="L71" s="20" t="n">
        <v>0.14441133</v>
      </c>
      <c r="M71" s="18" t="n">
        <v>0</v>
      </c>
      <c r="N71" s="20" t="n">
        <v>0</v>
      </c>
      <c r="O71" s="18" t="n">
        <v>0</v>
      </c>
      <c r="P71" s="20" t="n">
        <v>0</v>
      </c>
      <c r="Q71" s="18" t="n">
        <v>2.34665562</v>
      </c>
      <c r="R71" s="20" t="n">
        <v>0.7264186500000001</v>
      </c>
    </row>
    <row r="72" spans="1:18">
      <c r="A72" s="15" t="s">
        <v>632</v>
      </c>
      <c r="B72" s="17" t="n">
        <v>3889</v>
      </c>
      <c r="C72" s="18">
        <f>(3019.0/B72*100)</f>
        <v/>
      </c>
      <c r="D72" s="19" t="n">
        <v>870</v>
      </c>
      <c r="E72" s="18" t="n">
        <v>21.66555647</v>
      </c>
      <c r="F72" s="20" t="n">
        <v>1.52661411</v>
      </c>
      <c r="G72" s="18" t="n">
        <v>76.31021497</v>
      </c>
      <c r="H72" s="20" t="n">
        <v>1.64071273</v>
      </c>
      <c r="I72" s="18" t="s">
        <v>567</v>
      </c>
      <c r="J72" s="20" t="s">
        <v>567</v>
      </c>
      <c r="K72" s="18" t="n">
        <v>0.14865981</v>
      </c>
      <c r="L72" s="20" t="n">
        <v>0.14840937</v>
      </c>
      <c r="M72" s="18" t="n">
        <v>0</v>
      </c>
      <c r="N72" s="20" t="n">
        <v>0</v>
      </c>
      <c r="O72" s="18" t="n">
        <v>0</v>
      </c>
      <c r="P72" s="20" t="n">
        <v>0</v>
      </c>
      <c r="Q72" s="18" t="n">
        <v>1.87556876</v>
      </c>
      <c r="R72" s="20" t="n">
        <v>0.58053649</v>
      </c>
    </row>
    <row r="73" spans="1:18">
      <c r="A73" s="15" t="s">
        <v>633</v>
      </c>
      <c r="B73" s="17" t="n">
        <v>3597</v>
      </c>
      <c r="C73" s="18">
        <f>(2830.0/B73*100)</f>
        <v/>
      </c>
      <c r="D73" s="19" t="n">
        <v>767</v>
      </c>
      <c r="E73" s="18" t="n">
        <v>43.70189193</v>
      </c>
      <c r="F73" s="20" t="n">
        <v>2.35167807</v>
      </c>
      <c r="G73" s="18" t="n">
        <v>54.92257856</v>
      </c>
      <c r="H73" s="20" t="n">
        <v>2.50358806</v>
      </c>
      <c r="I73" s="18" t="s">
        <v>567</v>
      </c>
      <c r="J73" s="20" t="s">
        <v>567</v>
      </c>
      <c r="K73" s="18" t="n">
        <v>0</v>
      </c>
      <c r="L73" s="20" t="n">
        <v>0</v>
      </c>
      <c r="M73" s="18" t="n">
        <v>0</v>
      </c>
      <c r="N73" s="20" t="n">
        <v>0</v>
      </c>
      <c r="O73" s="18" t="n">
        <v>0</v>
      </c>
      <c r="P73" s="20" t="n">
        <v>0</v>
      </c>
      <c r="Q73" s="18" t="n">
        <v>1.37552952</v>
      </c>
      <c r="R73" s="20" t="n">
        <v>0.61976453</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(1905.0/B75*100)</f>
        <v/>
      </c>
      <c r="D75" s="19" t="n">
        <v>501</v>
      </c>
      <c r="E75" s="18" t="n">
        <v>63.26952947</v>
      </c>
      <c r="F75" s="20" t="n">
        <v>2.32422537</v>
      </c>
      <c r="G75" s="18" t="n">
        <v>27.20508579</v>
      </c>
      <c r="H75" s="20" t="n">
        <v>2.23921873</v>
      </c>
      <c r="I75" s="18" t="s">
        <v>567</v>
      </c>
      <c r="J75" s="20" t="s">
        <v>567</v>
      </c>
      <c r="K75" s="18" t="n">
        <v>1.26246077</v>
      </c>
      <c r="L75" s="20" t="n">
        <v>0.59720052</v>
      </c>
      <c r="M75" s="18" t="n">
        <v>0</v>
      </c>
      <c r="N75" s="20" t="n">
        <v>0</v>
      </c>
      <c r="O75" s="18" t="n">
        <v>0</v>
      </c>
      <c r="P75" s="20" t="n">
        <v>0</v>
      </c>
      <c r="Q75" s="18" t="n">
        <v>8.262923969999999</v>
      </c>
      <c r="R75" s="20" t="n">
        <v>1.42108128</v>
      </c>
    </row>
    <row r="76" spans="1:18">
      <c r="A76" s="15" t="s">
        <v>636</v>
      </c>
      <c r="B76" s="17" t="n">
        <v>7052</v>
      </c>
      <c r="C76" s="18">
        <f>(5497.0/B76*100)</f>
        <v/>
      </c>
      <c r="D76" s="19" t="n">
        <v>1555</v>
      </c>
      <c r="E76" s="18" t="n">
        <v>44.26048172</v>
      </c>
      <c r="F76" s="20" t="n">
        <v>1.67316979</v>
      </c>
      <c r="G76" s="18" t="n">
        <v>48.38950842</v>
      </c>
      <c r="H76" s="20" t="n">
        <v>1.81254924</v>
      </c>
      <c r="I76" s="18" t="s">
        <v>567</v>
      </c>
      <c r="J76" s="20" t="s">
        <v>567</v>
      </c>
      <c r="K76" s="18" t="n">
        <v>0.45991022</v>
      </c>
      <c r="L76" s="20" t="n">
        <v>0.18420246</v>
      </c>
      <c r="M76" s="18" t="n">
        <v>0</v>
      </c>
      <c r="N76" s="20" t="n">
        <v>0</v>
      </c>
      <c r="O76" s="18" t="n">
        <v>0</v>
      </c>
      <c r="P76" s="20" t="n">
        <v>0</v>
      </c>
      <c r="Q76" s="18" t="n">
        <v>6.89009963</v>
      </c>
      <c r="R76" s="20" t="n">
        <v>0.82816352</v>
      </c>
    </row>
    <row r="77" spans="1:18">
      <c r="A77" s="15" t="s">
        <v>637</v>
      </c>
      <c r="B77" s="17" t="n">
        <v>2908</v>
      </c>
      <c r="C77" s="18">
        <f>(2242.0/B77*100)</f>
        <v/>
      </c>
      <c r="D77" s="19" t="n">
        <v>666</v>
      </c>
      <c r="E77" s="18" t="n">
        <v>40.09825953</v>
      </c>
      <c r="F77" s="20" t="n">
        <v>2.04965545</v>
      </c>
      <c r="G77" s="18" t="n">
        <v>53.59810864</v>
      </c>
      <c r="H77" s="20" t="n">
        <v>2.18060226</v>
      </c>
      <c r="I77" s="18" t="s">
        <v>567</v>
      </c>
      <c r="J77" s="20" t="s">
        <v>567</v>
      </c>
      <c r="K77" s="18" t="n">
        <v>0.43809202</v>
      </c>
      <c r="L77" s="20" t="n">
        <v>0.2470415</v>
      </c>
      <c r="M77" s="18" t="n">
        <v>0</v>
      </c>
      <c r="N77" s="20" t="n">
        <v>0</v>
      </c>
      <c r="O77" s="18" t="n">
        <v>0</v>
      </c>
      <c r="P77" s="20" t="n">
        <v>0</v>
      </c>
      <c r="Q77" s="18" t="n">
        <v>5.86553981</v>
      </c>
      <c r="R77" s="20" t="n">
        <v>1.14017435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(3225.0/B81*100)</f>
        <v/>
      </c>
      <c r="D81" s="19" t="n">
        <v>938</v>
      </c>
      <c r="E81" s="18" t="n">
        <v>34.42707977</v>
      </c>
      <c r="F81" s="20" t="n">
        <v>2.03814888</v>
      </c>
      <c r="G81" s="18" t="n">
        <v>63.751388</v>
      </c>
      <c r="H81" s="20" t="n">
        <v>2.02705456</v>
      </c>
      <c r="I81" s="18" t="s">
        <v>567</v>
      </c>
      <c r="J81" s="20" t="s">
        <v>567</v>
      </c>
      <c r="K81" s="18" t="n">
        <v>0</v>
      </c>
      <c r="L81" s="20" t="n">
        <v>0</v>
      </c>
      <c r="M81" s="18" t="n">
        <v>0</v>
      </c>
      <c r="N81" s="20" t="n">
        <v>0</v>
      </c>
      <c r="O81" s="18" t="n">
        <v>0</v>
      </c>
      <c r="P81" s="20" t="n">
        <v>0</v>
      </c>
      <c r="Q81" s="18" t="n">
        <v>1.82153223</v>
      </c>
      <c r="R81" s="20" t="n">
        <v>0.63780676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(5748.0/B7*100)</f>
        <v/>
      </c>
      <c r="D7" s="19" t="n">
        <v>1619</v>
      </c>
      <c r="E7" s="18" t="n">
        <v>43.10490438</v>
      </c>
      <c r="F7" s="20" t="n">
        <v>1.55321</v>
      </c>
      <c r="G7" s="18" t="n">
        <v>54.38910307</v>
      </c>
      <c r="H7" s="20" t="n">
        <v>1.5419116</v>
      </c>
      <c r="I7" s="18" t="s">
        <v>567</v>
      </c>
      <c r="J7" s="20" t="s">
        <v>567</v>
      </c>
      <c r="K7" s="18" t="n">
        <v>0.09170275</v>
      </c>
      <c r="L7" s="20" t="n">
        <v>0.06840599999999999</v>
      </c>
      <c r="M7" s="18" t="n">
        <v>0</v>
      </c>
      <c r="N7" s="20" t="n">
        <v>0</v>
      </c>
      <c r="O7" s="18" t="n">
        <v>0</v>
      </c>
      <c r="P7" s="20" t="n">
        <v>0</v>
      </c>
      <c r="Q7" s="18" t="n">
        <v>2.4142898</v>
      </c>
      <c r="R7" s="20" t="n">
        <v>0.42838883</v>
      </c>
    </row>
    <row r="8" spans="1:18">
      <c r="A8" s="15" t="s">
        <v>568</v>
      </c>
      <c r="B8" s="17" t="n">
        <v>3564</v>
      </c>
      <c r="C8" s="18">
        <f>(2791.0/B8*100)</f>
        <v/>
      </c>
      <c r="D8" s="19" t="n">
        <v>773</v>
      </c>
      <c r="E8" s="18" t="n">
        <v>30.55957851</v>
      </c>
      <c r="F8" s="20" t="n">
        <v>1.62331532</v>
      </c>
      <c r="G8" s="18" t="n">
        <v>67.21130873</v>
      </c>
      <c r="H8" s="20" t="n">
        <v>1.84683631</v>
      </c>
      <c r="I8" s="18" t="s">
        <v>567</v>
      </c>
      <c r="J8" s="20" t="s">
        <v>567</v>
      </c>
      <c r="K8" s="18" t="n">
        <v>0.10321325</v>
      </c>
      <c r="L8" s="20" t="n">
        <v>0.17524385</v>
      </c>
      <c r="M8" s="18" t="n">
        <v>0</v>
      </c>
      <c r="N8" s="20" t="n">
        <v>0</v>
      </c>
      <c r="O8" s="18" t="n">
        <v>0</v>
      </c>
      <c r="P8" s="20" t="n">
        <v>0</v>
      </c>
      <c r="Q8" s="18" t="n">
        <v>2.12589951</v>
      </c>
      <c r="R8" s="20" t="n">
        <v>0.56213177</v>
      </c>
    </row>
    <row r="9" spans="1:18">
      <c r="A9" s="15" t="s">
        <v>569</v>
      </c>
      <c r="B9" s="17" t="n">
        <v>4899</v>
      </c>
      <c r="C9" s="18">
        <f>(3858.0/B9*100)</f>
        <v/>
      </c>
      <c r="D9" s="19" t="n">
        <v>1041</v>
      </c>
      <c r="E9" s="18" t="n">
        <v>33.03237529</v>
      </c>
      <c r="F9" s="20" t="n">
        <v>1.95346142</v>
      </c>
      <c r="G9" s="18" t="n">
        <v>64.60705604</v>
      </c>
      <c r="H9" s="20" t="n">
        <v>2.07083002</v>
      </c>
      <c r="I9" s="18" t="s">
        <v>567</v>
      </c>
      <c r="J9" s="20" t="s">
        <v>567</v>
      </c>
      <c r="K9" s="18" t="n">
        <v>0.13090729</v>
      </c>
      <c r="L9" s="20" t="n">
        <v>0.07334106</v>
      </c>
      <c r="M9" s="18" t="n">
        <v>0</v>
      </c>
      <c r="N9" s="20" t="n">
        <v>0</v>
      </c>
      <c r="O9" s="18" t="n">
        <v>0</v>
      </c>
      <c r="P9" s="20" t="n">
        <v>0</v>
      </c>
      <c r="Q9" s="18" t="n">
        <v>2.22966138</v>
      </c>
      <c r="R9" s="20" t="n">
        <v>0.53230237</v>
      </c>
    </row>
    <row r="10" spans="1:18">
      <c r="A10" s="15" t="s">
        <v>570</v>
      </c>
      <c r="B10" s="17" t="n">
        <v>10036</v>
      </c>
      <c r="C10" s="18">
        <f>(7861.0/B10*100)</f>
        <v/>
      </c>
      <c r="D10" s="19" t="n">
        <v>2175</v>
      </c>
      <c r="E10" s="18" t="n">
        <v>38.44023177</v>
      </c>
      <c r="F10" s="20" t="n">
        <v>1.65901271</v>
      </c>
      <c r="G10" s="18" t="n">
        <v>59.78032274</v>
      </c>
      <c r="H10" s="20" t="n">
        <v>1.74714403</v>
      </c>
      <c r="I10" s="18" t="s">
        <v>567</v>
      </c>
      <c r="J10" s="20" t="s">
        <v>567</v>
      </c>
      <c r="K10" s="18" t="n">
        <v>0.02201161</v>
      </c>
      <c r="L10" s="20" t="n">
        <v>0.02274943</v>
      </c>
      <c r="M10" s="18" t="n">
        <v>0</v>
      </c>
      <c r="N10" s="20" t="n">
        <v>0</v>
      </c>
      <c r="O10" s="18" t="n">
        <v>0</v>
      </c>
      <c r="P10" s="20" t="n">
        <v>0</v>
      </c>
      <c r="Q10" s="18" t="n">
        <v>1.75743388</v>
      </c>
      <c r="R10" s="20" t="n">
        <v>0.45689671</v>
      </c>
    </row>
    <row r="11" spans="1:18">
      <c r="A11" s="15" t="s">
        <v>571</v>
      </c>
      <c r="B11" s="17" t="n">
        <v>3553</v>
      </c>
      <c r="C11" s="18">
        <f>(2778.0/B11*100)</f>
        <v/>
      </c>
      <c r="D11" s="19" t="n">
        <v>775</v>
      </c>
      <c r="E11" s="18" t="n">
        <v>52.13764246</v>
      </c>
      <c r="F11" s="20" t="n">
        <v>2.46660356</v>
      </c>
      <c r="G11" s="18" t="n">
        <v>44.28278966</v>
      </c>
      <c r="H11" s="20" t="n">
        <v>2.40363853</v>
      </c>
      <c r="I11" s="18" t="s">
        <v>567</v>
      </c>
      <c r="J11" s="20" t="s">
        <v>567</v>
      </c>
      <c r="K11" s="18" t="n">
        <v>1.2044092</v>
      </c>
      <c r="L11" s="20" t="n">
        <v>0.35610765</v>
      </c>
      <c r="M11" s="18" t="n">
        <v>0</v>
      </c>
      <c r="N11" s="20" t="n">
        <v>0</v>
      </c>
      <c r="O11" s="18" t="n">
        <v>0</v>
      </c>
      <c r="P11" s="20" t="n">
        <v>0</v>
      </c>
      <c r="Q11" s="18" t="n">
        <v>2.37515868</v>
      </c>
      <c r="R11" s="20" t="n">
        <v>0.63781864</v>
      </c>
    </row>
    <row r="12" spans="1:18">
      <c r="A12" s="15" t="s">
        <v>572</v>
      </c>
      <c r="B12" s="17" t="n">
        <v>3472</v>
      </c>
      <c r="C12" s="18">
        <f>(2727.0/B12*100)</f>
        <v/>
      </c>
      <c r="D12" s="19" t="n">
        <v>745</v>
      </c>
      <c r="E12" s="18" t="n">
        <v>41.608002</v>
      </c>
      <c r="F12" s="20" t="n">
        <v>2.10566131</v>
      </c>
      <c r="G12" s="18" t="n">
        <v>56.19665228</v>
      </c>
      <c r="H12" s="20" t="n">
        <v>2.0923267</v>
      </c>
      <c r="I12" s="18" t="s">
        <v>567</v>
      </c>
      <c r="J12" s="20" t="s">
        <v>567</v>
      </c>
      <c r="K12" s="18" t="n">
        <v>0.24507611</v>
      </c>
      <c r="L12" s="20" t="n">
        <v>0.21525567</v>
      </c>
      <c r="M12" s="18" t="n">
        <v>0</v>
      </c>
      <c r="N12" s="20" t="n">
        <v>0</v>
      </c>
      <c r="O12" s="18" t="n">
        <v>0</v>
      </c>
      <c r="P12" s="20" t="n">
        <v>0</v>
      </c>
      <c r="Q12" s="18" t="n">
        <v>1.95026961</v>
      </c>
      <c r="R12" s="20" t="n">
        <v>0.52624262</v>
      </c>
    </row>
    <row r="13" spans="1:18">
      <c r="A13" s="15" t="s">
        <v>573</v>
      </c>
      <c r="B13" s="17" t="n">
        <v>3559</v>
      </c>
      <c r="C13" s="18">
        <f>(2817.0/B13*100)</f>
        <v/>
      </c>
      <c r="D13" s="19" t="n">
        <v>742</v>
      </c>
      <c r="E13" s="18" t="n">
        <v>34.78176901</v>
      </c>
      <c r="F13" s="20" t="n">
        <v>2.20971131</v>
      </c>
      <c r="G13" s="18" t="n">
        <v>63.10563333</v>
      </c>
      <c r="H13" s="20" t="n">
        <v>2.06021265</v>
      </c>
      <c r="I13" s="18" t="s">
        <v>567</v>
      </c>
      <c r="J13" s="20" t="s">
        <v>567</v>
      </c>
      <c r="K13" s="18" t="n">
        <v>0.28554457</v>
      </c>
      <c r="L13" s="20" t="n">
        <v>0.19267715</v>
      </c>
      <c r="M13" s="18" t="n">
        <v>0</v>
      </c>
      <c r="N13" s="20" t="n">
        <v>0</v>
      </c>
      <c r="O13" s="18" t="n">
        <v>0</v>
      </c>
      <c r="P13" s="20" t="n">
        <v>0</v>
      </c>
      <c r="Q13" s="18" t="n">
        <v>1.82705309</v>
      </c>
      <c r="R13" s="20" t="n">
        <v>0.50040396</v>
      </c>
    </row>
    <row r="14" spans="1:18">
      <c r="A14" s="15" t="s">
        <v>574</v>
      </c>
      <c r="B14" s="17" t="n">
        <v>2799</v>
      </c>
      <c r="C14" s="18">
        <f>(2177.0/B14*100)</f>
        <v/>
      </c>
      <c r="D14" s="19" t="n">
        <v>622</v>
      </c>
      <c r="E14" s="18" t="n">
        <v>33.53923115</v>
      </c>
      <c r="F14" s="20" t="n">
        <v>2.19643723</v>
      </c>
      <c r="G14" s="18" t="n">
        <v>65.51528999999999</v>
      </c>
      <c r="H14" s="20" t="n">
        <v>2.17945546</v>
      </c>
      <c r="I14" s="18" t="s">
        <v>567</v>
      </c>
      <c r="J14" s="20" t="s">
        <v>567</v>
      </c>
      <c r="K14" s="18" t="n">
        <v>0</v>
      </c>
      <c r="L14" s="20" t="n">
        <v>0</v>
      </c>
      <c r="M14" s="18" t="n">
        <v>0</v>
      </c>
      <c r="N14" s="20" t="n">
        <v>0</v>
      </c>
      <c r="O14" s="18" t="n">
        <v>0</v>
      </c>
      <c r="P14" s="20" t="n">
        <v>0</v>
      </c>
      <c r="Q14" s="18" t="n">
        <v>0.94547885</v>
      </c>
      <c r="R14" s="20" t="n">
        <v>0.35091527</v>
      </c>
    </row>
    <row r="15" spans="1:18">
      <c r="A15" s="15" t="s">
        <v>575</v>
      </c>
      <c r="B15" s="17" t="n">
        <v>3019</v>
      </c>
      <c r="C15" s="18">
        <f>(2400.0/B15*100)</f>
        <v/>
      </c>
      <c r="D15" s="19" t="n">
        <v>619</v>
      </c>
      <c r="E15" s="18" t="n">
        <v>33.35209161</v>
      </c>
      <c r="F15" s="20" t="n">
        <v>1.70850686</v>
      </c>
      <c r="G15" s="18" t="n">
        <v>65.48368899</v>
      </c>
      <c r="H15" s="20" t="n">
        <v>1.73184466</v>
      </c>
      <c r="I15" s="18" t="s">
        <v>567</v>
      </c>
      <c r="J15" s="20" t="s">
        <v>567</v>
      </c>
      <c r="K15" s="18" t="n">
        <v>0.15747216</v>
      </c>
      <c r="L15" s="20" t="n">
        <v>0.158072</v>
      </c>
      <c r="M15" s="18" t="n">
        <v>0</v>
      </c>
      <c r="N15" s="20" t="n">
        <v>0</v>
      </c>
      <c r="O15" s="18" t="n">
        <v>0</v>
      </c>
      <c r="P15" s="20" t="n">
        <v>0</v>
      </c>
      <c r="Q15" s="18" t="n">
        <v>1.00674723</v>
      </c>
      <c r="R15" s="20" t="n">
        <v>0.4019616</v>
      </c>
    </row>
    <row r="16" spans="1:18">
      <c r="A16" s="15" t="s">
        <v>576</v>
      </c>
      <c r="B16" s="17" t="n">
        <v>2997</v>
      </c>
      <c r="C16" s="18">
        <f>(2348.0/B16*100)</f>
        <v/>
      </c>
      <c r="D16" s="19" t="n">
        <v>649</v>
      </c>
      <c r="E16" s="18" t="n">
        <v>41.02006774</v>
      </c>
      <c r="F16" s="20" t="n">
        <v>1.74490282</v>
      </c>
      <c r="G16" s="18" t="n">
        <v>55.30764116</v>
      </c>
      <c r="H16" s="20" t="n">
        <v>1.81331888</v>
      </c>
      <c r="I16" s="18" t="s">
        <v>567</v>
      </c>
      <c r="J16" s="20" t="s">
        <v>567</v>
      </c>
      <c r="K16" s="18" t="n">
        <v>1.1046981</v>
      </c>
      <c r="L16" s="20" t="n">
        <v>0.42111266</v>
      </c>
      <c r="M16" s="18" t="n">
        <v>0</v>
      </c>
      <c r="N16" s="20" t="n">
        <v>0</v>
      </c>
      <c r="O16" s="18" t="n">
        <v>0</v>
      </c>
      <c r="P16" s="20" t="n">
        <v>0</v>
      </c>
      <c r="Q16" s="18" t="n">
        <v>2.567593</v>
      </c>
      <c r="R16" s="20" t="n">
        <v>0.54548976</v>
      </c>
    </row>
    <row r="17" spans="1:18">
      <c r="A17" s="15" t="s">
        <v>577</v>
      </c>
      <c r="B17" s="17" t="n">
        <v>3307</v>
      </c>
      <c r="C17" s="18">
        <f>(2585.0/B17*100)</f>
        <v/>
      </c>
      <c r="D17" s="19" t="n">
        <v>722</v>
      </c>
      <c r="E17" s="18" t="n">
        <v>31.11276235</v>
      </c>
      <c r="F17" s="20" t="n">
        <v>2.18016973</v>
      </c>
      <c r="G17" s="18" t="n">
        <v>67.24440069000001</v>
      </c>
      <c r="H17" s="20" t="n">
        <v>2.30368283</v>
      </c>
      <c r="I17" s="18" t="s">
        <v>567</v>
      </c>
      <c r="J17" s="20" t="s">
        <v>567</v>
      </c>
      <c r="K17" s="18" t="n">
        <v>0.13436893</v>
      </c>
      <c r="L17" s="20" t="n">
        <v>0.14028382</v>
      </c>
      <c r="M17" s="18" t="n">
        <v>0</v>
      </c>
      <c r="N17" s="20" t="n">
        <v>0</v>
      </c>
      <c r="O17" s="18" t="n">
        <v>0</v>
      </c>
      <c r="P17" s="20" t="n">
        <v>0</v>
      </c>
      <c r="Q17" s="18" t="n">
        <v>1.50846803</v>
      </c>
      <c r="R17" s="20" t="n">
        <v>0.37143879</v>
      </c>
    </row>
    <row r="18" spans="1:18">
      <c r="A18" s="15" t="s">
        <v>578</v>
      </c>
      <c r="B18" s="17" t="n">
        <v>2826</v>
      </c>
      <c r="C18" s="18">
        <f>(2216.0/B18*100)</f>
        <v/>
      </c>
      <c r="D18" s="19" t="n">
        <v>610</v>
      </c>
      <c r="E18" s="18" t="n">
        <v>57.47670495</v>
      </c>
      <c r="F18" s="20" t="n">
        <v>2.65592694</v>
      </c>
      <c r="G18" s="18" t="n">
        <v>39.37675645</v>
      </c>
      <c r="H18" s="20" t="n">
        <v>2.61799488</v>
      </c>
      <c r="I18" s="18" t="s">
        <v>567</v>
      </c>
      <c r="J18" s="20" t="s">
        <v>567</v>
      </c>
      <c r="K18" s="18" t="n">
        <v>0.221584</v>
      </c>
      <c r="L18" s="20" t="n">
        <v>0.17809065</v>
      </c>
      <c r="M18" s="18" t="n">
        <v>0</v>
      </c>
      <c r="N18" s="20" t="n">
        <v>0</v>
      </c>
      <c r="O18" s="18" t="n">
        <v>0</v>
      </c>
      <c r="P18" s="20" t="n">
        <v>0</v>
      </c>
      <c r="Q18" s="18" t="n">
        <v>2.9249546</v>
      </c>
      <c r="R18" s="20" t="n">
        <v>0.81757343</v>
      </c>
    </row>
    <row r="19" spans="1:18">
      <c r="A19" s="15" t="s">
        <v>579</v>
      </c>
      <c r="B19" s="17" t="n">
        <v>2808</v>
      </c>
      <c r="C19" s="18">
        <f>(2201.0/B19*100)</f>
        <v/>
      </c>
      <c r="D19" s="19" t="n">
        <v>607</v>
      </c>
      <c r="E19" s="18" t="n">
        <v>48.64130046</v>
      </c>
      <c r="F19" s="20" t="n">
        <v>2.16424259</v>
      </c>
      <c r="G19" s="18" t="n">
        <v>48.34715306</v>
      </c>
      <c r="H19" s="20" t="n">
        <v>2.2288247</v>
      </c>
      <c r="I19" s="18" t="s">
        <v>567</v>
      </c>
      <c r="J19" s="20" t="s">
        <v>567</v>
      </c>
      <c r="K19" s="18" t="n">
        <v>0.11356576</v>
      </c>
      <c r="L19" s="20" t="n">
        <v>0.11346159</v>
      </c>
      <c r="M19" s="18" t="n">
        <v>0</v>
      </c>
      <c r="N19" s="20" t="n">
        <v>0</v>
      </c>
      <c r="O19" s="18" t="n">
        <v>0</v>
      </c>
      <c r="P19" s="20" t="n">
        <v>0</v>
      </c>
      <c r="Q19" s="18" t="n">
        <v>2.89798073</v>
      </c>
      <c r="R19" s="20" t="n">
        <v>0.9515708899999999</v>
      </c>
    </row>
    <row r="20" spans="1:18">
      <c r="A20" s="15" t="s">
        <v>580</v>
      </c>
      <c r="B20" s="17" t="n">
        <v>1630</v>
      </c>
      <c r="C20" s="18">
        <f>(1269.0/B20*100)</f>
        <v/>
      </c>
      <c r="D20" s="19" t="n">
        <v>361</v>
      </c>
      <c r="E20" s="18" t="n">
        <v>42.39780269</v>
      </c>
      <c r="F20" s="20" t="n">
        <v>2.46912882</v>
      </c>
      <c r="G20" s="18" t="n">
        <v>53.97463958</v>
      </c>
      <c r="H20" s="20" t="n">
        <v>2.48450272</v>
      </c>
      <c r="I20" s="18" t="s">
        <v>567</v>
      </c>
      <c r="J20" s="20" t="s">
        <v>567</v>
      </c>
      <c r="K20" s="18" t="n">
        <v>0.23564123</v>
      </c>
      <c r="L20" s="20" t="n">
        <v>0.23492753</v>
      </c>
      <c r="M20" s="18" t="n">
        <v>0</v>
      </c>
      <c r="N20" s="20" t="n">
        <v>0</v>
      </c>
      <c r="O20" s="18" t="n">
        <v>0</v>
      </c>
      <c r="P20" s="20" t="n">
        <v>0</v>
      </c>
      <c r="Q20" s="18" t="n">
        <v>3.39191649</v>
      </c>
      <c r="R20" s="20" t="n">
        <v>0.95300158</v>
      </c>
    </row>
    <row r="21" spans="1:18">
      <c r="A21" s="15" t="s">
        <v>581</v>
      </c>
      <c r="B21" s="17" t="n">
        <v>2908</v>
      </c>
      <c r="C21" s="18">
        <f>(2246.0/B21*100)</f>
        <v/>
      </c>
      <c r="D21" s="19" t="n">
        <v>662</v>
      </c>
      <c r="E21" s="18" t="n">
        <v>48.74986062</v>
      </c>
      <c r="F21" s="20" t="n">
        <v>1.77962648</v>
      </c>
      <c r="G21" s="18" t="n">
        <v>48.0327853</v>
      </c>
      <c r="H21" s="20" t="n">
        <v>1.81012912</v>
      </c>
      <c r="I21" s="18" t="s">
        <v>567</v>
      </c>
      <c r="J21" s="20" t="s">
        <v>567</v>
      </c>
      <c r="K21" s="18" t="n">
        <v>0.37138078</v>
      </c>
      <c r="L21" s="20" t="n">
        <v>0.26642564</v>
      </c>
      <c r="M21" s="18" t="n">
        <v>0</v>
      </c>
      <c r="N21" s="20" t="n">
        <v>0</v>
      </c>
      <c r="O21" s="18" t="n">
        <v>0</v>
      </c>
      <c r="P21" s="20" t="n">
        <v>0</v>
      </c>
      <c r="Q21" s="18" t="n">
        <v>2.84597331</v>
      </c>
      <c r="R21" s="20" t="n">
        <v>0.78593985</v>
      </c>
    </row>
    <row r="22" spans="1:18">
      <c r="A22" s="15" t="s">
        <v>582</v>
      </c>
      <c r="B22" s="17" t="n">
        <v>2931</v>
      </c>
      <c r="C22" s="18">
        <f>(2268.0/B22*100)</f>
        <v/>
      </c>
      <c r="D22" s="19" t="n">
        <v>663</v>
      </c>
      <c r="E22" s="18" t="n">
        <v>49.39443464</v>
      </c>
      <c r="F22" s="20" t="n">
        <v>2.31061008</v>
      </c>
      <c r="G22" s="18" t="n">
        <v>45.66998789</v>
      </c>
      <c r="H22" s="20" t="n">
        <v>2.33028667</v>
      </c>
      <c r="I22" s="18" t="s">
        <v>567</v>
      </c>
      <c r="J22" s="20" t="s">
        <v>567</v>
      </c>
      <c r="K22" s="18" t="n">
        <v>0.45711749</v>
      </c>
      <c r="L22" s="20" t="n">
        <v>0.44427213</v>
      </c>
      <c r="M22" s="18" t="n">
        <v>0</v>
      </c>
      <c r="N22" s="20" t="n">
        <v>0</v>
      </c>
      <c r="O22" s="18" t="n">
        <v>0</v>
      </c>
      <c r="P22" s="20" t="n">
        <v>0</v>
      </c>
      <c r="Q22" s="18" t="n">
        <v>4.47845998</v>
      </c>
      <c r="R22" s="20" t="n">
        <v>0.83829966</v>
      </c>
    </row>
    <row r="23" spans="1:18">
      <c r="A23" s="15" t="s">
        <v>583</v>
      </c>
      <c r="B23" s="17" t="n">
        <v>5791</v>
      </c>
      <c r="C23" s="18">
        <f>(4517.0/B23*100)</f>
        <v/>
      </c>
      <c r="D23" s="19" t="n">
        <v>1274</v>
      </c>
      <c r="E23" s="18" t="n">
        <v>43.68916882</v>
      </c>
      <c r="F23" s="20" t="n">
        <v>2.12771527</v>
      </c>
      <c r="G23" s="18" t="n">
        <v>53.83829246</v>
      </c>
      <c r="H23" s="20" t="n">
        <v>2.1513976</v>
      </c>
      <c r="I23" s="18" t="s">
        <v>567</v>
      </c>
      <c r="J23" s="20" t="s">
        <v>567</v>
      </c>
      <c r="K23" s="18" t="n">
        <v>0.43073941</v>
      </c>
      <c r="L23" s="20" t="n">
        <v>0.2999558</v>
      </c>
      <c r="M23" s="18" t="n">
        <v>0</v>
      </c>
      <c r="N23" s="20" t="n">
        <v>0</v>
      </c>
      <c r="O23" s="18" t="n">
        <v>0</v>
      </c>
      <c r="P23" s="20" t="n">
        <v>0</v>
      </c>
      <c r="Q23" s="18" t="n">
        <v>2.04179931</v>
      </c>
      <c r="R23" s="20" t="n">
        <v>0.6175189</v>
      </c>
    </row>
    <row r="24" spans="1:18">
      <c r="A24" s="15" t="s">
        <v>584</v>
      </c>
      <c r="B24" s="17" t="n">
        <v>3338</v>
      </c>
      <c r="C24" s="18">
        <f>(2607.0/B24*100)</f>
        <v/>
      </c>
      <c r="D24" s="19" t="n">
        <v>731</v>
      </c>
      <c r="E24" s="18" t="n">
        <v>26.20610417</v>
      </c>
      <c r="F24" s="20" t="n">
        <v>2.0789668</v>
      </c>
      <c r="G24" s="18" t="n">
        <v>72.12448162</v>
      </c>
      <c r="H24" s="20" t="n">
        <v>2.11994274</v>
      </c>
      <c r="I24" s="18" t="s">
        <v>567</v>
      </c>
      <c r="J24" s="20" t="s">
        <v>567</v>
      </c>
      <c r="K24" s="18" t="n">
        <v>0.53675154</v>
      </c>
      <c r="L24" s="20" t="n">
        <v>0.27065859</v>
      </c>
      <c r="M24" s="18" t="n">
        <v>0</v>
      </c>
      <c r="N24" s="20" t="n">
        <v>0</v>
      </c>
      <c r="O24" s="18" t="n">
        <v>0</v>
      </c>
      <c r="P24" s="20" t="n">
        <v>0</v>
      </c>
      <c r="Q24" s="18" t="n">
        <v>1.13266267</v>
      </c>
      <c r="R24" s="20" t="n">
        <v>0.38220782</v>
      </c>
    </row>
    <row r="25" spans="1:18">
      <c r="A25" s="15" t="s">
        <v>585</v>
      </c>
      <c r="B25" s="17" t="n">
        <v>2912</v>
      </c>
      <c r="C25" s="18">
        <f>(2253.0/B25*100)</f>
        <v/>
      </c>
      <c r="D25" s="19" t="n">
        <v>659</v>
      </c>
      <c r="E25" s="18" t="n">
        <v>32.72856655</v>
      </c>
      <c r="F25" s="20" t="n">
        <v>2.15838191</v>
      </c>
      <c r="G25" s="18" t="n">
        <v>65.84480829</v>
      </c>
      <c r="H25" s="20" t="n">
        <v>2.23599532</v>
      </c>
      <c r="I25" s="18" t="s">
        <v>567</v>
      </c>
      <c r="J25" s="20" t="s">
        <v>567</v>
      </c>
      <c r="K25" s="18" t="n">
        <v>0.28178802</v>
      </c>
      <c r="L25" s="20" t="n">
        <v>0.20065946</v>
      </c>
      <c r="M25" s="18" t="n">
        <v>0</v>
      </c>
      <c r="N25" s="20" t="n">
        <v>0</v>
      </c>
      <c r="O25" s="18" t="n">
        <v>0</v>
      </c>
      <c r="P25" s="20" t="n">
        <v>0</v>
      </c>
      <c r="Q25" s="18" t="n">
        <v>1.14483714</v>
      </c>
      <c r="R25" s="20" t="n">
        <v>0.4368118</v>
      </c>
    </row>
    <row r="26" spans="1:18">
      <c r="A26" s="15" t="s">
        <v>586</v>
      </c>
      <c r="B26" s="17" t="n">
        <v>2450</v>
      </c>
      <c r="C26" s="18">
        <f>(1933.0/B26*100)</f>
        <v/>
      </c>
      <c r="D26" s="19" t="n">
        <v>517</v>
      </c>
      <c r="E26" s="18" t="n">
        <v>50.42522619</v>
      </c>
      <c r="F26" s="20" t="n">
        <v>2.18903972</v>
      </c>
      <c r="G26" s="18" t="n">
        <v>48.26902484</v>
      </c>
      <c r="H26" s="20" t="n">
        <v>2.26690174</v>
      </c>
      <c r="I26" s="18" t="s">
        <v>567</v>
      </c>
      <c r="J26" s="20" t="s">
        <v>567</v>
      </c>
      <c r="K26" s="18" t="n">
        <v>0</v>
      </c>
      <c r="L26" s="20" t="n">
        <v>0</v>
      </c>
      <c r="M26" s="18" t="n">
        <v>0</v>
      </c>
      <c r="N26" s="20" t="n">
        <v>0</v>
      </c>
      <c r="O26" s="18" t="n">
        <v>0</v>
      </c>
      <c r="P26" s="20" t="n">
        <v>0</v>
      </c>
      <c r="Q26" s="18" t="n">
        <v>1.30574897</v>
      </c>
      <c r="R26" s="20" t="n">
        <v>0.51411233</v>
      </c>
    </row>
    <row r="27" spans="1:18">
      <c r="A27" s="15" t="s">
        <v>587</v>
      </c>
      <c r="B27" s="17" t="n">
        <v>2616</v>
      </c>
      <c r="C27" s="18">
        <f>(2041.0/B27*100)</f>
        <v/>
      </c>
      <c r="D27" s="19" t="n">
        <v>575</v>
      </c>
      <c r="E27" s="18" t="n">
        <v>41.58816765</v>
      </c>
      <c r="F27" s="20" t="n">
        <v>1.96968744</v>
      </c>
      <c r="G27" s="18" t="n">
        <v>55.77299185</v>
      </c>
      <c r="H27" s="20" t="n">
        <v>2.09845287</v>
      </c>
      <c r="I27" s="18" t="s">
        <v>567</v>
      </c>
      <c r="J27" s="20" t="s">
        <v>567</v>
      </c>
      <c r="K27" s="18" t="n">
        <v>0.17440826</v>
      </c>
      <c r="L27" s="20" t="n">
        <v>0.17429214</v>
      </c>
      <c r="M27" s="18" t="n">
        <v>0</v>
      </c>
      <c r="N27" s="20" t="n">
        <v>0</v>
      </c>
      <c r="O27" s="18" t="n">
        <v>0</v>
      </c>
      <c r="P27" s="20" t="n">
        <v>0</v>
      </c>
      <c r="Q27" s="18" t="n">
        <v>2.46443225</v>
      </c>
      <c r="R27" s="20" t="n">
        <v>0.65995813</v>
      </c>
    </row>
    <row r="28" spans="1:18">
      <c r="A28" s="15" t="s">
        <v>588</v>
      </c>
      <c r="B28" s="17" t="n">
        <v>3765</v>
      </c>
      <c r="C28" s="18">
        <f>(3002.0/B28*100)</f>
        <v/>
      </c>
      <c r="D28" s="19" t="n">
        <v>763</v>
      </c>
      <c r="E28" s="18" t="n">
        <v>67.80423439</v>
      </c>
      <c r="F28" s="20" t="n">
        <v>2.04222694</v>
      </c>
      <c r="G28" s="18" t="n">
        <v>30.35906611</v>
      </c>
      <c r="H28" s="20" t="n">
        <v>1.9373832</v>
      </c>
      <c r="I28" s="18" t="s">
        <v>567</v>
      </c>
      <c r="J28" s="20" t="s">
        <v>567</v>
      </c>
      <c r="K28" s="18" t="n">
        <v>0.476544</v>
      </c>
      <c r="L28" s="20" t="n">
        <v>0.31902324</v>
      </c>
      <c r="M28" s="18" t="n">
        <v>0</v>
      </c>
      <c r="N28" s="20" t="n">
        <v>0</v>
      </c>
      <c r="O28" s="18" t="n">
        <v>0</v>
      </c>
      <c r="P28" s="20" t="n">
        <v>0</v>
      </c>
      <c r="Q28" s="18" t="n">
        <v>1.3601555</v>
      </c>
      <c r="R28" s="20" t="n">
        <v>0.45603166</v>
      </c>
    </row>
    <row r="29" spans="1:18">
      <c r="A29" s="15" t="s">
        <v>589</v>
      </c>
      <c r="B29" s="17" t="n">
        <v>2685</v>
      </c>
      <c r="C29" s="18">
        <f>(2094.0/B29*100)</f>
        <v/>
      </c>
      <c r="D29" s="19" t="n">
        <v>591</v>
      </c>
      <c r="E29" s="18" t="n">
        <v>32.68775739</v>
      </c>
      <c r="F29" s="20" t="n">
        <v>2.47767122</v>
      </c>
      <c r="G29" s="18" t="n">
        <v>65.36067451</v>
      </c>
      <c r="H29" s="20" t="n">
        <v>2.61345887</v>
      </c>
      <c r="I29" s="18" t="s">
        <v>567</v>
      </c>
      <c r="J29" s="20" t="s">
        <v>567</v>
      </c>
      <c r="K29" s="18" t="n">
        <v>0.15976781</v>
      </c>
      <c r="L29" s="20" t="n">
        <v>0.17323204</v>
      </c>
      <c r="M29" s="18" t="n">
        <v>0</v>
      </c>
      <c r="N29" s="20" t="n">
        <v>0</v>
      </c>
      <c r="O29" s="18" t="n">
        <v>0</v>
      </c>
      <c r="P29" s="20" t="n">
        <v>0</v>
      </c>
      <c r="Q29" s="18" t="n">
        <v>1.79180028</v>
      </c>
      <c r="R29" s="20" t="n">
        <v>0.5721029</v>
      </c>
    </row>
    <row r="30" spans="1:18">
      <c r="A30" s="15" t="s">
        <v>590</v>
      </c>
      <c r="B30" s="17" t="n">
        <v>2263</v>
      </c>
      <c r="C30" s="18">
        <f>(1775.0/B30*100)</f>
        <v/>
      </c>
      <c r="D30" s="19" t="n">
        <v>488</v>
      </c>
      <c r="E30" s="18" t="n">
        <v>43.34738692</v>
      </c>
      <c r="F30" s="20" t="n">
        <v>2.0325096</v>
      </c>
      <c r="G30" s="18" t="n">
        <v>52.3966302</v>
      </c>
      <c r="H30" s="20" t="n">
        <v>1.95291507</v>
      </c>
      <c r="I30" s="18" t="s">
        <v>567</v>
      </c>
      <c r="J30" s="20" t="s">
        <v>567</v>
      </c>
      <c r="K30" s="18" t="n">
        <v>0.50786502</v>
      </c>
      <c r="L30" s="20" t="n">
        <v>0.38529474</v>
      </c>
      <c r="M30" s="18" t="n">
        <v>0</v>
      </c>
      <c r="N30" s="20" t="n">
        <v>0</v>
      </c>
      <c r="O30" s="18" t="n">
        <v>0</v>
      </c>
      <c r="P30" s="20" t="n">
        <v>0</v>
      </c>
      <c r="Q30" s="18" t="n">
        <v>3.74811787</v>
      </c>
      <c r="R30" s="20" t="n">
        <v>0.9827098</v>
      </c>
    </row>
    <row r="31" spans="1:18">
      <c r="A31" s="15" t="s">
        <v>591</v>
      </c>
      <c r="B31" s="17" t="n">
        <v>2750</v>
      </c>
      <c r="C31" s="18">
        <f>(2130.0/B31*100)</f>
        <v/>
      </c>
      <c r="D31" s="19" t="n">
        <v>620</v>
      </c>
      <c r="E31" s="18" t="n">
        <v>38.59565435</v>
      </c>
      <c r="F31" s="20" t="n">
        <v>1.959959</v>
      </c>
      <c r="G31" s="18" t="n">
        <v>58.19620851</v>
      </c>
      <c r="H31" s="20" t="n">
        <v>2.1121185</v>
      </c>
      <c r="I31" s="18" t="s">
        <v>567</v>
      </c>
      <c r="J31" s="20" t="s">
        <v>567</v>
      </c>
      <c r="K31" s="18" t="n">
        <v>0.1441154</v>
      </c>
      <c r="L31" s="20" t="n">
        <v>0.14450281</v>
      </c>
      <c r="M31" s="18" t="n">
        <v>0</v>
      </c>
      <c r="N31" s="20" t="n">
        <v>0</v>
      </c>
      <c r="O31" s="18" t="n">
        <v>0</v>
      </c>
      <c r="P31" s="20" t="n">
        <v>0</v>
      </c>
      <c r="Q31" s="18" t="n">
        <v>3.06402174</v>
      </c>
      <c r="R31" s="20" t="n">
        <v>0.66899667</v>
      </c>
    </row>
    <row r="32" spans="1:18">
      <c r="A32" s="15" t="s">
        <v>592</v>
      </c>
      <c r="B32" s="17" t="n">
        <v>2269</v>
      </c>
      <c r="C32" s="18">
        <f>(1773.0/B32*100)</f>
        <v/>
      </c>
      <c r="D32" s="19" t="n">
        <v>496</v>
      </c>
      <c r="E32" s="18" t="n">
        <v>44.87968405</v>
      </c>
      <c r="F32" s="20" t="n">
        <v>2.80408703</v>
      </c>
      <c r="G32" s="18" t="n">
        <v>52.93351358</v>
      </c>
      <c r="H32" s="20" t="n">
        <v>2.86820032</v>
      </c>
      <c r="I32" s="18" t="s">
        <v>567</v>
      </c>
      <c r="J32" s="20" t="s">
        <v>567</v>
      </c>
      <c r="K32" s="18" t="n">
        <v>0.24737703</v>
      </c>
      <c r="L32" s="20" t="n">
        <v>0.25577101</v>
      </c>
      <c r="M32" s="18" t="n">
        <v>0</v>
      </c>
      <c r="N32" s="20" t="n">
        <v>0</v>
      </c>
      <c r="O32" s="18" t="n">
        <v>0</v>
      </c>
      <c r="P32" s="20" t="n">
        <v>0</v>
      </c>
      <c r="Q32" s="18" t="n">
        <v>1.93942534</v>
      </c>
      <c r="R32" s="20" t="n">
        <v>0.6453607</v>
      </c>
    </row>
    <row r="33" spans="1:18">
      <c r="A33" s="15" t="s">
        <v>593</v>
      </c>
      <c r="B33" s="17" t="n">
        <v>3674</v>
      </c>
      <c r="C33" s="18">
        <f>(2849.0/B33*100)</f>
        <v/>
      </c>
      <c r="D33" s="19" t="n">
        <v>825</v>
      </c>
      <c r="E33" s="18" t="n">
        <v>37.18443161</v>
      </c>
      <c r="F33" s="20" t="n">
        <v>1.94466661</v>
      </c>
      <c r="G33" s="18" t="n">
        <v>59.79734599</v>
      </c>
      <c r="H33" s="20" t="n">
        <v>1.92060241</v>
      </c>
      <c r="I33" s="18" t="s">
        <v>567</v>
      </c>
      <c r="J33" s="20" t="s">
        <v>567</v>
      </c>
      <c r="K33" s="18" t="n">
        <v>0.70376832</v>
      </c>
      <c r="L33" s="20" t="n">
        <v>0.37196461</v>
      </c>
      <c r="M33" s="18" t="n">
        <v>0</v>
      </c>
      <c r="N33" s="20" t="n">
        <v>0</v>
      </c>
      <c r="O33" s="18" t="n">
        <v>0</v>
      </c>
      <c r="P33" s="20" t="n">
        <v>0</v>
      </c>
      <c r="Q33" s="18" t="n">
        <v>2.31445409</v>
      </c>
      <c r="R33" s="20" t="n">
        <v>0.68188603</v>
      </c>
    </row>
    <row r="34" spans="1:18">
      <c r="A34" s="15" t="s">
        <v>594</v>
      </c>
      <c r="B34" s="17" t="n">
        <v>3315</v>
      </c>
      <c r="C34" s="18">
        <f>(2612.0/B34*100)</f>
        <v/>
      </c>
      <c r="D34" s="19" t="n">
        <v>703</v>
      </c>
      <c r="E34" s="18" t="n">
        <v>48.53230152</v>
      </c>
      <c r="F34" s="20" t="n">
        <v>2.14100889</v>
      </c>
      <c r="G34" s="18" t="n">
        <v>49.77736585</v>
      </c>
      <c r="H34" s="20" t="n">
        <v>2.13703558</v>
      </c>
      <c r="I34" s="18" t="s">
        <v>567</v>
      </c>
      <c r="J34" s="20" t="s">
        <v>567</v>
      </c>
      <c r="K34" s="18" t="n">
        <v>0.0452511</v>
      </c>
      <c r="L34" s="20" t="n">
        <v>0.0455182</v>
      </c>
      <c r="M34" s="18" t="n">
        <v>0</v>
      </c>
      <c r="N34" s="20" t="n">
        <v>0</v>
      </c>
      <c r="O34" s="18" t="n">
        <v>0</v>
      </c>
      <c r="P34" s="20" t="n">
        <v>0</v>
      </c>
      <c r="Q34" s="18" t="n">
        <v>1.64508152</v>
      </c>
      <c r="R34" s="20" t="n">
        <v>0.67943107</v>
      </c>
    </row>
    <row r="35" spans="1:18">
      <c r="A35" s="15" t="s">
        <v>595</v>
      </c>
      <c r="B35" s="17" t="n">
        <v>3505</v>
      </c>
      <c r="C35" s="18">
        <f>(2782.0/B35*100)</f>
        <v/>
      </c>
      <c r="D35" s="19" t="n">
        <v>723</v>
      </c>
      <c r="E35" s="18" t="n">
        <v>34.47617599</v>
      </c>
      <c r="F35" s="20" t="n">
        <v>2.17677668</v>
      </c>
      <c r="G35" s="18" t="n">
        <v>63.51414632</v>
      </c>
      <c r="H35" s="20" t="n">
        <v>2.21800765</v>
      </c>
      <c r="I35" s="18" t="s">
        <v>567</v>
      </c>
      <c r="J35" s="20" t="s">
        <v>567</v>
      </c>
      <c r="K35" s="18" t="n">
        <v>1.12644872</v>
      </c>
      <c r="L35" s="20" t="n">
        <v>0.80311644</v>
      </c>
      <c r="M35" s="18" t="n">
        <v>0</v>
      </c>
      <c r="N35" s="20" t="n">
        <v>0</v>
      </c>
      <c r="O35" s="18" t="n">
        <v>0</v>
      </c>
      <c r="P35" s="20" t="n">
        <v>0</v>
      </c>
      <c r="Q35" s="18" t="n">
        <v>0.88322897</v>
      </c>
      <c r="R35" s="20" t="n">
        <v>0.30868035</v>
      </c>
    </row>
    <row r="36" spans="1:18">
      <c r="A36" s="15" t="s">
        <v>596</v>
      </c>
      <c r="B36" s="17" t="n">
        <v>3332</v>
      </c>
      <c r="C36" s="18">
        <f>(2606.0/B36*100)</f>
        <v/>
      </c>
      <c r="D36" s="19" t="n">
        <v>726</v>
      </c>
      <c r="E36" s="18" t="n">
        <v>48.2221324</v>
      </c>
      <c r="F36" s="20" t="n">
        <v>1.67341899</v>
      </c>
      <c r="G36" s="18" t="n">
        <v>49.21608967</v>
      </c>
      <c r="H36" s="20" t="n">
        <v>1.80156089</v>
      </c>
      <c r="I36" s="18" t="s">
        <v>567</v>
      </c>
      <c r="J36" s="20" t="s">
        <v>567</v>
      </c>
      <c r="K36" s="18" t="n">
        <v>0.23631133</v>
      </c>
      <c r="L36" s="20" t="n">
        <v>0.27120243</v>
      </c>
      <c r="M36" s="18" t="n">
        <v>0</v>
      </c>
      <c r="N36" s="20" t="n">
        <v>0</v>
      </c>
      <c r="O36" s="18" t="n">
        <v>0</v>
      </c>
      <c r="P36" s="20" t="n">
        <v>0</v>
      </c>
      <c r="Q36" s="18" t="n">
        <v>2.32546659</v>
      </c>
      <c r="R36" s="20" t="n">
        <v>0.6137122</v>
      </c>
    </row>
    <row r="37" spans="1:18">
      <c r="A37" s="15" t="s">
        <v>597</v>
      </c>
      <c r="B37" s="17" t="n">
        <v>2727</v>
      </c>
      <c r="C37" s="18">
        <f>(2131.0/B37*100)</f>
        <v/>
      </c>
      <c r="D37" s="19" t="n">
        <v>596</v>
      </c>
      <c r="E37" s="18" t="n">
        <v>33.38846979</v>
      </c>
      <c r="F37" s="20" t="n">
        <v>2.30751999</v>
      </c>
      <c r="G37" s="18" t="n">
        <v>61.83857732</v>
      </c>
      <c r="H37" s="20" t="n">
        <v>2.33558777</v>
      </c>
      <c r="I37" s="18" t="s">
        <v>567</v>
      </c>
      <c r="J37" s="20" t="s">
        <v>567</v>
      </c>
      <c r="K37" s="18" t="n">
        <v>0.50178962</v>
      </c>
      <c r="L37" s="20" t="n">
        <v>0.28751426</v>
      </c>
      <c r="M37" s="18" t="n">
        <v>0</v>
      </c>
      <c r="N37" s="20" t="n">
        <v>0</v>
      </c>
      <c r="O37" s="18" t="n">
        <v>0</v>
      </c>
      <c r="P37" s="20" t="n">
        <v>0</v>
      </c>
      <c r="Q37" s="18" t="n">
        <v>4.27116327</v>
      </c>
      <c r="R37" s="20" t="n">
        <v>0.93258273</v>
      </c>
    </row>
    <row r="38" spans="1:18">
      <c r="A38" s="15" t="s">
        <v>598</v>
      </c>
      <c r="B38" s="17" t="n">
        <v>3053</v>
      </c>
      <c r="C38" s="18">
        <f>(2398.0/B38*100)</f>
        <v/>
      </c>
      <c r="D38" s="19" t="n">
        <v>655</v>
      </c>
      <c r="E38" s="18" t="n">
        <v>38.95229527</v>
      </c>
      <c r="F38" s="20" t="n">
        <v>1.9910606</v>
      </c>
      <c r="G38" s="18" t="n">
        <v>57.22475601</v>
      </c>
      <c r="H38" s="20" t="n">
        <v>2.08620099</v>
      </c>
      <c r="I38" s="18" t="s">
        <v>567</v>
      </c>
      <c r="J38" s="20" t="s">
        <v>567</v>
      </c>
      <c r="K38" s="18" t="n">
        <v>0</v>
      </c>
      <c r="L38" s="20" t="n">
        <v>0</v>
      </c>
      <c r="M38" s="18" t="n">
        <v>0</v>
      </c>
      <c r="N38" s="20" t="n">
        <v>0</v>
      </c>
      <c r="O38" s="18" t="n">
        <v>0</v>
      </c>
      <c r="P38" s="20" t="n">
        <v>0</v>
      </c>
      <c r="Q38" s="18" t="n">
        <v>3.82294872</v>
      </c>
      <c r="R38" s="20" t="n">
        <v>0.80061796</v>
      </c>
    </row>
    <row r="39" spans="1:18">
      <c r="A39" s="15" t="s">
        <v>599</v>
      </c>
      <c r="B39" s="17" t="n">
        <v>2957</v>
      </c>
      <c r="C39" s="18">
        <f>(2304.0/B39*100)</f>
        <v/>
      </c>
      <c r="D39" s="19" t="n">
        <v>653</v>
      </c>
      <c r="E39" s="18" t="n">
        <v>63.4081632</v>
      </c>
      <c r="F39" s="20" t="n">
        <v>2.61064317</v>
      </c>
      <c r="G39" s="18" t="n">
        <v>34.99173291</v>
      </c>
      <c r="H39" s="20" t="n">
        <v>2.63989152</v>
      </c>
      <c r="I39" s="18" t="s">
        <v>567</v>
      </c>
      <c r="J39" s="20" t="s">
        <v>567</v>
      </c>
      <c r="K39" s="18" t="n">
        <v>0.42150293</v>
      </c>
      <c r="L39" s="20" t="n">
        <v>0.26378318</v>
      </c>
      <c r="M39" s="18" t="n">
        <v>0</v>
      </c>
      <c r="N39" s="20" t="n">
        <v>0</v>
      </c>
      <c r="O39" s="18" t="n">
        <v>0</v>
      </c>
      <c r="P39" s="20" t="n">
        <v>0</v>
      </c>
      <c r="Q39" s="18" t="n">
        <v>1.17860096</v>
      </c>
      <c r="R39" s="20" t="n">
        <v>0.41565719</v>
      </c>
    </row>
    <row r="40" spans="1:18">
      <c r="A40" s="15" t="s">
        <v>600</v>
      </c>
      <c r="B40" s="17" t="n">
        <v>7235</v>
      </c>
      <c r="C40" s="18">
        <f>(5611.0/B40*100)</f>
        <v/>
      </c>
      <c r="D40" s="19" t="n">
        <v>1624</v>
      </c>
      <c r="E40" s="18" t="n">
        <v>44.52981346</v>
      </c>
      <c r="F40" s="20" t="n">
        <v>1.80898578</v>
      </c>
      <c r="G40" s="18" t="n">
        <v>52.99316445</v>
      </c>
      <c r="H40" s="20" t="n">
        <v>1.77772807</v>
      </c>
      <c r="I40" s="18" t="s">
        <v>567</v>
      </c>
      <c r="J40" s="20" t="s">
        <v>567</v>
      </c>
      <c r="K40" s="18" t="n">
        <v>0.18581082</v>
      </c>
      <c r="L40" s="20" t="n">
        <v>0.15497233</v>
      </c>
      <c r="M40" s="18" t="n">
        <v>0</v>
      </c>
      <c r="N40" s="20" t="n">
        <v>0</v>
      </c>
      <c r="O40" s="18" t="n">
        <v>0</v>
      </c>
      <c r="P40" s="20" t="n">
        <v>0</v>
      </c>
      <c r="Q40" s="18" t="n">
        <v>2.29121127</v>
      </c>
      <c r="R40" s="20" t="n">
        <v>0.49701891</v>
      </c>
    </row>
    <row r="41" spans="1:18">
      <c r="A41" s="15" t="s">
        <v>601</v>
      </c>
      <c r="B41" s="17" t="n">
        <v>2858</v>
      </c>
      <c r="C41" s="18">
        <f>(2214.0/B41*100)</f>
        <v/>
      </c>
      <c r="D41" s="19" t="n">
        <v>644</v>
      </c>
      <c r="E41" s="18" t="n">
        <v>43.19249283</v>
      </c>
      <c r="F41" s="20" t="n">
        <v>2.04990098</v>
      </c>
      <c r="G41" s="18" t="n">
        <v>54.26759849</v>
      </c>
      <c r="H41" s="20" t="n">
        <v>2.27457251</v>
      </c>
      <c r="I41" s="18" t="s">
        <v>567</v>
      </c>
      <c r="J41" s="20" t="s">
        <v>567</v>
      </c>
      <c r="K41" s="18" t="n">
        <v>0.16234952</v>
      </c>
      <c r="L41" s="20" t="n">
        <v>0.15566213</v>
      </c>
      <c r="M41" s="18" t="n">
        <v>0</v>
      </c>
      <c r="N41" s="20" t="n">
        <v>0</v>
      </c>
      <c r="O41" s="18" t="n">
        <v>0</v>
      </c>
      <c r="P41" s="20" t="n">
        <v>0</v>
      </c>
      <c r="Q41" s="18" t="n">
        <v>2.37755915</v>
      </c>
      <c r="R41" s="20" t="n">
        <v>0.68301568</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(9002.0/B46*100)</f>
        <v/>
      </c>
      <c r="D46" s="19" t="n">
        <v>2066</v>
      </c>
      <c r="E46" s="18" t="n">
        <v>70.50846222</v>
      </c>
      <c r="F46" s="20" t="n">
        <v>1.56848113</v>
      </c>
      <c r="G46" s="18" t="n">
        <v>25.43130714</v>
      </c>
      <c r="H46" s="20" t="n">
        <v>1.62524592</v>
      </c>
      <c r="I46" s="18" t="s">
        <v>567</v>
      </c>
      <c r="J46" s="20" t="s">
        <v>567</v>
      </c>
      <c r="K46" s="18" t="n">
        <v>1.05751339</v>
      </c>
      <c r="L46" s="20" t="n">
        <v>0.33500625</v>
      </c>
      <c r="M46" s="18" t="n">
        <v>0</v>
      </c>
      <c r="N46" s="20" t="n">
        <v>0</v>
      </c>
      <c r="O46" s="18" t="n">
        <v>0</v>
      </c>
      <c r="P46" s="20" t="n">
        <v>0</v>
      </c>
      <c r="Q46" s="18" t="n">
        <v>3.00271725</v>
      </c>
      <c r="R46" s="20" t="n">
        <v>0.51713485</v>
      </c>
    </row>
    <row r="47" spans="1:18">
      <c r="A47" s="15" t="s">
        <v>607</v>
      </c>
      <c r="B47" s="17" t="n">
        <v>3105</v>
      </c>
      <c r="C47" s="18">
        <f>(2430.0/B47*100)</f>
        <v/>
      </c>
      <c r="D47" s="19" t="n">
        <v>675</v>
      </c>
      <c r="E47" s="18" t="n">
        <v>55.86592742</v>
      </c>
      <c r="F47" s="20" t="n">
        <v>2.09011736</v>
      </c>
      <c r="G47" s="18" t="n">
        <v>39.83737472</v>
      </c>
      <c r="H47" s="20" t="n">
        <v>2.13291902</v>
      </c>
      <c r="I47" s="18" t="s">
        <v>567</v>
      </c>
      <c r="J47" s="20" t="s">
        <v>567</v>
      </c>
      <c r="K47" s="18" t="n">
        <v>0</v>
      </c>
      <c r="L47" s="20" t="n">
        <v>0</v>
      </c>
      <c r="M47" s="18" t="n">
        <v>0</v>
      </c>
      <c r="N47" s="20" t="n">
        <v>0</v>
      </c>
      <c r="O47" s="18" t="n">
        <v>0</v>
      </c>
      <c r="P47" s="20" t="n">
        <v>0</v>
      </c>
      <c r="Q47" s="18" t="n">
        <v>4.29669786</v>
      </c>
      <c r="R47" s="20" t="n">
        <v>0.7485345799999999</v>
      </c>
    </row>
    <row r="48" spans="1:18">
      <c r="A48" s="15" t="s">
        <v>608</v>
      </c>
      <c r="B48" s="17" t="n">
        <v>5159</v>
      </c>
      <c r="C48" s="18">
        <f>(4023.0/B48*100)</f>
        <v/>
      </c>
      <c r="D48" s="19" t="n">
        <v>1136</v>
      </c>
      <c r="E48" s="18" t="n">
        <v>42.55015064</v>
      </c>
      <c r="F48" s="20" t="n">
        <v>2.19766595</v>
      </c>
      <c r="G48" s="18" t="n">
        <v>56.51513131</v>
      </c>
      <c r="H48" s="20" t="n">
        <v>2.26687231</v>
      </c>
      <c r="I48" s="18" t="s">
        <v>567</v>
      </c>
      <c r="J48" s="20" t="s">
        <v>567</v>
      </c>
      <c r="K48" s="18" t="n">
        <v>0.19614246</v>
      </c>
      <c r="L48" s="20" t="n">
        <v>0.16126562</v>
      </c>
      <c r="M48" s="18" t="n">
        <v>0</v>
      </c>
      <c r="N48" s="20" t="n">
        <v>0</v>
      </c>
      <c r="O48" s="18" t="n">
        <v>0</v>
      </c>
      <c r="P48" s="20" t="n">
        <v>0</v>
      </c>
      <c r="Q48" s="18" t="n">
        <v>0.7385755899999999</v>
      </c>
      <c r="R48" s="20" t="n">
        <v>0.33758718</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(4389.0/B50*100)</f>
        <v/>
      </c>
      <c r="D50" s="19" t="n">
        <v>1248</v>
      </c>
      <c r="E50" s="18" t="n">
        <v>67.72508508999999</v>
      </c>
      <c r="F50" s="20" t="n">
        <v>1.98348945</v>
      </c>
      <c r="G50" s="18" t="n">
        <v>29.89664372</v>
      </c>
      <c r="H50" s="20" t="n">
        <v>1.97220615</v>
      </c>
      <c r="I50" s="18" t="s">
        <v>567</v>
      </c>
      <c r="J50" s="20" t="s">
        <v>567</v>
      </c>
      <c r="K50" s="18" t="n">
        <v>0.73723518</v>
      </c>
      <c r="L50" s="20" t="n">
        <v>0.2360332</v>
      </c>
      <c r="M50" s="18" t="n">
        <v>0</v>
      </c>
      <c r="N50" s="20" t="n">
        <v>0</v>
      </c>
      <c r="O50" s="18" t="n">
        <v>0</v>
      </c>
      <c r="P50" s="20" t="n">
        <v>0</v>
      </c>
      <c r="Q50" s="18" t="n">
        <v>1.641036</v>
      </c>
      <c r="R50" s="20" t="n">
        <v>0.48927025</v>
      </c>
    </row>
    <row r="51" spans="1:18">
      <c r="A51" s="15" t="s">
        <v>611</v>
      </c>
      <c r="B51" s="17" t="n">
        <v>3372</v>
      </c>
      <c r="C51" s="18">
        <f>(2719.0/B51*100)</f>
        <v/>
      </c>
      <c r="D51" s="19" t="n">
        <v>653</v>
      </c>
      <c r="E51" s="18" t="n">
        <v>63.43351752</v>
      </c>
      <c r="F51" s="20" t="n">
        <v>1.8326152</v>
      </c>
      <c r="G51" s="18" t="n">
        <v>34.24168896</v>
      </c>
      <c r="H51" s="20" t="n">
        <v>1.79269233</v>
      </c>
      <c r="I51" s="18" t="s">
        <v>567</v>
      </c>
      <c r="J51" s="20" t="s">
        <v>567</v>
      </c>
      <c r="K51" s="18" t="n">
        <v>0.29902735</v>
      </c>
      <c r="L51" s="20" t="n">
        <v>0.21568248</v>
      </c>
      <c r="M51" s="18" t="n">
        <v>0</v>
      </c>
      <c r="N51" s="20" t="n">
        <v>0</v>
      </c>
      <c r="O51" s="18" t="n">
        <v>0</v>
      </c>
      <c r="P51" s="20" t="n">
        <v>0</v>
      </c>
      <c r="Q51" s="18" t="n">
        <v>2.02576617</v>
      </c>
      <c r="R51" s="20" t="n">
        <v>0.38822026</v>
      </c>
    </row>
    <row r="52" spans="1:18">
      <c r="A52" s="15" t="s">
        <v>612</v>
      </c>
      <c r="B52" s="17" t="n">
        <v>2796</v>
      </c>
      <c r="C52" s="18">
        <f>(2158.0/B52*100)</f>
        <v/>
      </c>
      <c r="D52" s="19" t="n">
        <v>638</v>
      </c>
      <c r="E52" s="18" t="n">
        <v>40.97508751</v>
      </c>
      <c r="F52" s="20" t="n">
        <v>2.25407727</v>
      </c>
      <c r="G52" s="18" t="n">
        <v>56.13832248</v>
      </c>
      <c r="H52" s="20" t="n">
        <v>2.35671331</v>
      </c>
      <c r="I52" s="18" t="s">
        <v>567</v>
      </c>
      <c r="J52" s="20" t="s">
        <v>567</v>
      </c>
      <c r="K52" s="18" t="n">
        <v>0</v>
      </c>
      <c r="L52" s="20" t="n">
        <v>0</v>
      </c>
      <c r="M52" s="18" t="n">
        <v>0</v>
      </c>
      <c r="N52" s="20" t="n">
        <v>0</v>
      </c>
      <c r="O52" s="18" t="n">
        <v>0</v>
      </c>
      <c r="P52" s="20" t="n">
        <v>0</v>
      </c>
      <c r="Q52" s="18" t="n">
        <v>2.88659001</v>
      </c>
      <c r="R52" s="20" t="n">
        <v>0.60226817</v>
      </c>
    </row>
    <row r="53" spans="1:18">
      <c r="A53" s="15" t="s">
        <v>613</v>
      </c>
      <c r="B53" s="17" t="n">
        <v>2811</v>
      </c>
      <c r="C53" s="18">
        <f>(2168.0/B53*100)</f>
        <v/>
      </c>
      <c r="D53" s="19" t="n">
        <v>643</v>
      </c>
      <c r="E53" s="18" t="n">
        <v>63.33313568</v>
      </c>
      <c r="F53" s="20" t="n">
        <v>1.90535766</v>
      </c>
      <c r="G53" s="18" t="n">
        <v>31.76425467</v>
      </c>
      <c r="H53" s="20" t="n">
        <v>1.94501664</v>
      </c>
      <c r="I53" s="18" t="s">
        <v>567</v>
      </c>
      <c r="J53" s="20" t="s">
        <v>567</v>
      </c>
      <c r="K53" s="18" t="n">
        <v>0.36454322</v>
      </c>
      <c r="L53" s="20" t="n">
        <v>0.26075576</v>
      </c>
      <c r="M53" s="18" t="n">
        <v>0</v>
      </c>
      <c r="N53" s="20" t="n">
        <v>0</v>
      </c>
      <c r="O53" s="18" t="n">
        <v>0</v>
      </c>
      <c r="P53" s="20" t="n">
        <v>0</v>
      </c>
      <c r="Q53" s="18" t="n">
        <v>4.53806644</v>
      </c>
      <c r="R53" s="20" t="n">
        <v>0.91770893</v>
      </c>
    </row>
    <row r="54" spans="1:18">
      <c r="A54" s="15" t="s">
        <v>614</v>
      </c>
      <c r="B54" s="17" t="n">
        <v>2266</v>
      </c>
      <c r="C54" s="18">
        <f>(1782.0/B54*100)</f>
        <v/>
      </c>
      <c r="D54" s="19" t="n">
        <v>484</v>
      </c>
      <c r="E54" s="18" t="n">
        <v>71.70723537000001</v>
      </c>
      <c r="F54" s="20" t="n">
        <v>2.2860526</v>
      </c>
      <c r="G54" s="18" t="n">
        <v>10.74016401</v>
      </c>
      <c r="H54" s="20" t="n">
        <v>1.65647311</v>
      </c>
      <c r="I54" s="18" t="s">
        <v>567</v>
      </c>
      <c r="J54" s="20" t="s">
        <v>567</v>
      </c>
      <c r="K54" s="18" t="n">
        <v>11.09299265</v>
      </c>
      <c r="L54" s="20" t="n">
        <v>1.71181198</v>
      </c>
      <c r="M54" s="18" t="n">
        <v>0</v>
      </c>
      <c r="N54" s="20" t="n">
        <v>0</v>
      </c>
      <c r="O54" s="18" t="n">
        <v>0</v>
      </c>
      <c r="P54" s="20" t="n">
        <v>0</v>
      </c>
      <c r="Q54" s="18" t="n">
        <v>6.45960797</v>
      </c>
      <c r="R54" s="20" t="n">
        <v>1.21549261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(2096.0/B56*100)</f>
        <v/>
      </c>
      <c r="D56" s="19" t="n">
        <v>588</v>
      </c>
      <c r="E56" s="18" t="n">
        <v>39.20439028</v>
      </c>
      <c r="F56" s="20" t="n">
        <v>2.41659115</v>
      </c>
      <c r="G56" s="18" t="n">
        <v>59.73596263</v>
      </c>
      <c r="H56" s="20" t="n">
        <v>2.46751913</v>
      </c>
      <c r="I56" s="18" t="s">
        <v>567</v>
      </c>
      <c r="J56" s="20" t="s">
        <v>567</v>
      </c>
      <c r="K56" s="18" t="n">
        <v>0.14746611</v>
      </c>
      <c r="L56" s="20" t="n">
        <v>0.14800184</v>
      </c>
      <c r="M56" s="18" t="n">
        <v>0</v>
      </c>
      <c r="N56" s="20" t="n">
        <v>0</v>
      </c>
      <c r="O56" s="18" t="n">
        <v>0</v>
      </c>
      <c r="P56" s="20" t="n">
        <v>0</v>
      </c>
      <c r="Q56" s="18" t="n">
        <v>0.91218099</v>
      </c>
      <c r="R56" s="20" t="n">
        <v>0.40079699</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(2561.0/B61*100)</f>
        <v/>
      </c>
      <c r="D61" s="19" t="n">
        <v>763</v>
      </c>
      <c r="E61" s="18" t="n">
        <v>51.47228134</v>
      </c>
      <c r="F61" s="20" t="n">
        <v>2.06106271</v>
      </c>
      <c r="G61" s="18" t="n">
        <v>45.18144845</v>
      </c>
      <c r="H61" s="20" t="n">
        <v>2.22178601</v>
      </c>
      <c r="I61" s="18" t="s">
        <v>567</v>
      </c>
      <c r="J61" s="20" t="s">
        <v>567</v>
      </c>
      <c r="K61" s="18" t="n">
        <v>0.48351875</v>
      </c>
      <c r="L61" s="20" t="n">
        <v>0.24419411</v>
      </c>
      <c r="M61" s="18" t="n">
        <v>0</v>
      </c>
      <c r="N61" s="20" t="n">
        <v>0</v>
      </c>
      <c r="O61" s="18" t="n">
        <v>0</v>
      </c>
      <c r="P61" s="20" t="n">
        <v>0</v>
      </c>
      <c r="Q61" s="18" t="n">
        <v>2.86275146</v>
      </c>
      <c r="R61" s="20" t="n">
        <v>0.64167699</v>
      </c>
    </row>
    <row r="62" spans="1:18">
      <c r="A62" s="15" t="s">
        <v>622</v>
      </c>
      <c r="B62" s="17" t="n">
        <v>2246</v>
      </c>
      <c r="C62" s="18">
        <f>(1774.0/B62*100)</f>
        <v/>
      </c>
      <c r="D62" s="19" t="n">
        <v>472</v>
      </c>
      <c r="E62" s="18" t="n">
        <v>35.83054969</v>
      </c>
      <c r="F62" s="20" t="n">
        <v>2.12202153</v>
      </c>
      <c r="G62" s="18" t="n">
        <v>64.16945031</v>
      </c>
      <c r="H62" s="20" t="n">
        <v>2.12202153</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(2271.0/B66*100)</f>
        <v/>
      </c>
      <c r="D66" s="19" t="n">
        <v>623</v>
      </c>
      <c r="E66" s="18" t="n">
        <v>57.89967808</v>
      </c>
      <c r="F66" s="20" t="n">
        <v>1.93317942</v>
      </c>
      <c r="G66" s="18" t="n">
        <v>31.79157823</v>
      </c>
      <c r="H66" s="20" t="n">
        <v>2.05612297</v>
      </c>
      <c r="I66" s="18" t="s">
        <v>567</v>
      </c>
      <c r="J66" s="20" t="s">
        <v>567</v>
      </c>
      <c r="K66" s="18" t="n">
        <v>0.64273789</v>
      </c>
      <c r="L66" s="20" t="n">
        <v>0.32788984</v>
      </c>
      <c r="M66" s="18" t="n">
        <v>0</v>
      </c>
      <c r="N66" s="20" t="n">
        <v>0</v>
      </c>
      <c r="O66" s="18" t="n">
        <v>0</v>
      </c>
      <c r="P66" s="20" t="n">
        <v>0</v>
      </c>
      <c r="Q66" s="18" t="n">
        <v>9.666005800000001</v>
      </c>
      <c r="R66" s="20" t="n">
        <v>1.32545506</v>
      </c>
    </row>
    <row r="67" spans="1:18">
      <c r="A67" s="15" t="s">
        <v>627</v>
      </c>
      <c r="B67" s="17" t="n">
        <v>3511</v>
      </c>
      <c r="C67" s="18">
        <f>(2788.0/B67*100)</f>
        <v/>
      </c>
      <c r="D67" s="19" t="n">
        <v>723</v>
      </c>
      <c r="E67" s="18" t="n">
        <v>73.43275946999999</v>
      </c>
      <c r="F67" s="20" t="n">
        <v>1.76172259</v>
      </c>
      <c r="G67" s="18" t="n">
        <v>24.59474041</v>
      </c>
      <c r="H67" s="20" t="n">
        <v>1.65869453</v>
      </c>
      <c r="I67" s="18" t="s">
        <v>567</v>
      </c>
      <c r="J67" s="20" t="s">
        <v>567</v>
      </c>
      <c r="K67" s="18" t="n">
        <v>0</v>
      </c>
      <c r="L67" s="20" t="n">
        <v>0</v>
      </c>
      <c r="M67" s="18" t="n">
        <v>0</v>
      </c>
      <c r="N67" s="20" t="n">
        <v>0</v>
      </c>
      <c r="O67" s="18" t="n">
        <v>0</v>
      </c>
      <c r="P67" s="20" t="n">
        <v>0</v>
      </c>
      <c r="Q67" s="18" t="n">
        <v>1.97250012</v>
      </c>
      <c r="R67" s="20" t="n">
        <v>0.57487371</v>
      </c>
    </row>
    <row r="68" spans="1:18">
      <c r="A68" s="15" t="s">
        <v>628</v>
      </c>
      <c r="B68" s="17" t="n">
        <v>6049</v>
      </c>
      <c r="C68" s="18">
        <f>(4734.0/B68*100)</f>
        <v/>
      </c>
      <c r="D68" s="19" t="n">
        <v>1315</v>
      </c>
      <c r="E68" s="18" t="n">
        <v>64.09130134</v>
      </c>
      <c r="F68" s="20" t="n">
        <v>1.28486256</v>
      </c>
      <c r="G68" s="18" t="n">
        <v>26.10000056</v>
      </c>
      <c r="H68" s="20" t="n">
        <v>1.25760717</v>
      </c>
      <c r="I68" s="18" t="s">
        <v>567</v>
      </c>
      <c r="J68" s="20" t="s">
        <v>567</v>
      </c>
      <c r="K68" s="18" t="n">
        <v>1.54599783</v>
      </c>
      <c r="L68" s="20" t="n">
        <v>0.33917655</v>
      </c>
      <c r="M68" s="18" t="n">
        <v>0</v>
      </c>
      <c r="N68" s="20" t="n">
        <v>0</v>
      </c>
      <c r="O68" s="18" t="n">
        <v>0</v>
      </c>
      <c r="P68" s="20" t="n">
        <v>0</v>
      </c>
      <c r="Q68" s="18" t="n">
        <v>8.262700280000001</v>
      </c>
      <c r="R68" s="20" t="n">
        <v>0.7136773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(2278.0/B70*100)</f>
        <v/>
      </c>
      <c r="D70" s="19" t="n">
        <v>651</v>
      </c>
      <c r="E70" s="18" t="n">
        <v>43.33181448</v>
      </c>
      <c r="F70" s="20" t="n">
        <v>2.29232456</v>
      </c>
      <c r="G70" s="18" t="n">
        <v>55.35954742</v>
      </c>
      <c r="H70" s="20" t="n">
        <v>2.40230142</v>
      </c>
      <c r="I70" s="18" t="s">
        <v>567</v>
      </c>
      <c r="J70" s="20" t="s">
        <v>567</v>
      </c>
      <c r="K70" s="18" t="n">
        <v>0.16977792</v>
      </c>
      <c r="L70" s="20" t="n">
        <v>0.10888444</v>
      </c>
      <c r="M70" s="18" t="n">
        <v>0</v>
      </c>
      <c r="N70" s="20" t="n">
        <v>0</v>
      </c>
      <c r="O70" s="18" t="n">
        <v>0</v>
      </c>
      <c r="P70" s="20" t="n">
        <v>0</v>
      </c>
      <c r="Q70" s="18" t="n">
        <v>1.13886019</v>
      </c>
      <c r="R70" s="20" t="n">
        <v>0.37347452</v>
      </c>
    </row>
    <row r="71" spans="1:18">
      <c r="A71" s="15" t="s">
        <v>631</v>
      </c>
      <c r="B71" s="17" t="n">
        <v>3142</v>
      </c>
      <c r="C71" s="18">
        <f>(2437.0/B71*100)</f>
        <v/>
      </c>
      <c r="D71" s="19" t="n">
        <v>705</v>
      </c>
      <c r="E71" s="18" t="n">
        <v>30.58349803</v>
      </c>
      <c r="F71" s="20" t="n">
        <v>1.48045324</v>
      </c>
      <c r="G71" s="18" t="n">
        <v>67.98617805000001</v>
      </c>
      <c r="H71" s="20" t="n">
        <v>1.50885299</v>
      </c>
      <c r="I71" s="18" t="s">
        <v>567</v>
      </c>
      <c r="J71" s="20" t="s">
        <v>567</v>
      </c>
      <c r="K71" s="18" t="n">
        <v>0.151655</v>
      </c>
      <c r="L71" s="20" t="n">
        <v>0.14461757</v>
      </c>
      <c r="M71" s="18" t="n">
        <v>0</v>
      </c>
      <c r="N71" s="20" t="n">
        <v>0</v>
      </c>
      <c r="O71" s="18" t="n">
        <v>0</v>
      </c>
      <c r="P71" s="20" t="n">
        <v>0</v>
      </c>
      <c r="Q71" s="18" t="n">
        <v>1.27866891</v>
      </c>
      <c r="R71" s="20" t="n">
        <v>0.34358533</v>
      </c>
    </row>
    <row r="72" spans="1:18">
      <c r="A72" s="15" t="s">
        <v>632</v>
      </c>
      <c r="B72" s="17" t="n">
        <v>3889</v>
      </c>
      <c r="C72" s="18">
        <f>(3019.0/B72*100)</f>
        <v/>
      </c>
      <c r="D72" s="19" t="n">
        <v>870</v>
      </c>
      <c r="E72" s="18" t="n">
        <v>34.00618883</v>
      </c>
      <c r="F72" s="20" t="n">
        <v>1.88186834</v>
      </c>
      <c r="G72" s="18" t="n">
        <v>65.26719576000001</v>
      </c>
      <c r="H72" s="20" t="n">
        <v>1.90499388</v>
      </c>
      <c r="I72" s="18" t="s">
        <v>567</v>
      </c>
      <c r="J72" s="20" t="s">
        <v>567</v>
      </c>
      <c r="K72" s="18" t="n">
        <v>0.14865981</v>
      </c>
      <c r="L72" s="20" t="n">
        <v>0.14840937</v>
      </c>
      <c r="M72" s="18" t="n">
        <v>0</v>
      </c>
      <c r="N72" s="20" t="n">
        <v>0</v>
      </c>
      <c r="O72" s="18" t="n">
        <v>0</v>
      </c>
      <c r="P72" s="20" t="n">
        <v>0</v>
      </c>
      <c r="Q72" s="18" t="n">
        <v>0.5779556</v>
      </c>
      <c r="R72" s="20" t="n">
        <v>0.25493179</v>
      </c>
    </row>
    <row r="73" spans="1:18">
      <c r="A73" s="15" t="s">
        <v>633</v>
      </c>
      <c r="B73" s="17" t="n">
        <v>3597</v>
      </c>
      <c r="C73" s="18">
        <f>(2832.0/B73*100)</f>
        <v/>
      </c>
      <c r="D73" s="19" t="n">
        <v>765</v>
      </c>
      <c r="E73" s="18" t="n">
        <v>65.66429402999999</v>
      </c>
      <c r="F73" s="20" t="n">
        <v>2.59496819</v>
      </c>
      <c r="G73" s="18" t="n">
        <v>32.22829098</v>
      </c>
      <c r="H73" s="20" t="n">
        <v>2.48757602</v>
      </c>
      <c r="I73" s="18" t="s">
        <v>567</v>
      </c>
      <c r="J73" s="20" t="s">
        <v>567</v>
      </c>
      <c r="K73" s="18" t="n">
        <v>0</v>
      </c>
      <c r="L73" s="20" t="n">
        <v>0</v>
      </c>
      <c r="M73" s="18" t="n">
        <v>0</v>
      </c>
      <c r="N73" s="20" t="n">
        <v>0</v>
      </c>
      <c r="O73" s="18" t="n">
        <v>0</v>
      </c>
      <c r="P73" s="20" t="n">
        <v>0</v>
      </c>
      <c r="Q73" s="18" t="n">
        <v>2.10741499</v>
      </c>
      <c r="R73" s="20" t="n">
        <v>0.64318788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(1907.0/B75*100)</f>
        <v/>
      </c>
      <c r="D75" s="19" t="n">
        <v>499</v>
      </c>
      <c r="E75" s="18" t="n">
        <v>76.63811334</v>
      </c>
      <c r="F75" s="20" t="n">
        <v>2.05616551</v>
      </c>
      <c r="G75" s="18" t="n">
        <v>17.82058338</v>
      </c>
      <c r="H75" s="20" t="n">
        <v>1.87016593</v>
      </c>
      <c r="I75" s="18" t="s">
        <v>567</v>
      </c>
      <c r="J75" s="20" t="s">
        <v>567</v>
      </c>
      <c r="K75" s="18" t="n">
        <v>1.57350603</v>
      </c>
      <c r="L75" s="20" t="n">
        <v>0.64674354</v>
      </c>
      <c r="M75" s="18" t="n">
        <v>0</v>
      </c>
      <c r="N75" s="20" t="n">
        <v>0</v>
      </c>
      <c r="O75" s="18" t="n">
        <v>0</v>
      </c>
      <c r="P75" s="20" t="n">
        <v>0</v>
      </c>
      <c r="Q75" s="18" t="n">
        <v>3.96779726</v>
      </c>
      <c r="R75" s="20" t="n">
        <v>0.8415138</v>
      </c>
    </row>
    <row r="76" spans="1:18">
      <c r="A76" s="15" t="s">
        <v>636</v>
      </c>
      <c r="B76" s="17" t="n">
        <v>7052</v>
      </c>
      <c r="C76" s="18">
        <f>(5497.0/B76*100)</f>
        <v/>
      </c>
      <c r="D76" s="19" t="n">
        <v>1555</v>
      </c>
      <c r="E76" s="18" t="n">
        <v>64.02211241000001</v>
      </c>
      <c r="F76" s="20" t="n">
        <v>1.96730363</v>
      </c>
      <c r="G76" s="18" t="n">
        <v>30.4395567</v>
      </c>
      <c r="H76" s="20" t="n">
        <v>1.87393339</v>
      </c>
      <c r="I76" s="18" t="s">
        <v>567</v>
      </c>
      <c r="J76" s="20" t="s">
        <v>567</v>
      </c>
      <c r="K76" s="18" t="n">
        <v>0.59015321</v>
      </c>
      <c r="L76" s="20" t="n">
        <v>0.2087547</v>
      </c>
      <c r="M76" s="18" t="n">
        <v>0</v>
      </c>
      <c r="N76" s="20" t="n">
        <v>0</v>
      </c>
      <c r="O76" s="18" t="n">
        <v>0</v>
      </c>
      <c r="P76" s="20" t="n">
        <v>0</v>
      </c>
      <c r="Q76" s="18" t="n">
        <v>4.94817769</v>
      </c>
      <c r="R76" s="20" t="n">
        <v>0.76370718</v>
      </c>
    </row>
    <row r="77" spans="1:18">
      <c r="A77" s="15" t="s">
        <v>637</v>
      </c>
      <c r="B77" s="17" t="n">
        <v>2908</v>
      </c>
      <c r="C77" s="18">
        <f>(2244.0/B77*100)</f>
        <v/>
      </c>
      <c r="D77" s="19" t="n">
        <v>664</v>
      </c>
      <c r="E77" s="18" t="n">
        <v>55.15155301</v>
      </c>
      <c r="F77" s="20" t="n">
        <v>2.22141133</v>
      </c>
      <c r="G77" s="18" t="n">
        <v>40.10703436</v>
      </c>
      <c r="H77" s="20" t="n">
        <v>2.1903464</v>
      </c>
      <c r="I77" s="18" t="s">
        <v>567</v>
      </c>
      <c r="J77" s="20" t="s">
        <v>567</v>
      </c>
      <c r="K77" s="18" t="n">
        <v>0.43968521</v>
      </c>
      <c r="L77" s="20" t="n">
        <v>0.24800954</v>
      </c>
      <c r="M77" s="18" t="n">
        <v>0</v>
      </c>
      <c r="N77" s="20" t="n">
        <v>0</v>
      </c>
      <c r="O77" s="18" t="n">
        <v>0</v>
      </c>
      <c r="P77" s="20" t="n">
        <v>0</v>
      </c>
      <c r="Q77" s="18" t="n">
        <v>4.30172743</v>
      </c>
      <c r="R77" s="20" t="n">
        <v>0.89582956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(3227.0/B81*100)</f>
        <v/>
      </c>
      <c r="D81" s="19" t="n">
        <v>936</v>
      </c>
      <c r="E81" s="18" t="n">
        <v>62.34471789</v>
      </c>
      <c r="F81" s="20" t="n">
        <v>2.15003303</v>
      </c>
      <c r="G81" s="18" t="n">
        <v>36.30102659</v>
      </c>
      <c r="H81" s="20" t="n">
        <v>2.11156577</v>
      </c>
      <c r="I81" s="18" t="s">
        <v>567</v>
      </c>
      <c r="J81" s="20" t="s">
        <v>567</v>
      </c>
      <c r="K81" s="18" t="n">
        <v>0.17153766</v>
      </c>
      <c r="L81" s="20" t="n">
        <v>0.17105849</v>
      </c>
      <c r="M81" s="18" t="n">
        <v>0</v>
      </c>
      <c r="N81" s="20" t="n">
        <v>0</v>
      </c>
      <c r="O81" s="18" t="n">
        <v>0</v>
      </c>
      <c r="P81" s="20" t="n">
        <v>0</v>
      </c>
      <c r="Q81" s="18" t="n">
        <v>1.18271785</v>
      </c>
      <c r="R81" s="20" t="n">
        <v>0.41227115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(5755.0/B7*100)</f>
        <v/>
      </c>
      <c r="D7" s="19" t="n">
        <v>1612</v>
      </c>
      <c r="E7" s="18" t="n">
        <v>61.84525092</v>
      </c>
      <c r="F7" s="20" t="n">
        <v>1.43201123</v>
      </c>
      <c r="G7" s="18" t="n">
        <v>35.61165154</v>
      </c>
      <c r="H7" s="20" t="n">
        <v>1.32898678</v>
      </c>
      <c r="I7" s="18" t="s">
        <v>567</v>
      </c>
      <c r="J7" s="20" t="s">
        <v>567</v>
      </c>
      <c r="K7" s="18" t="n">
        <v>0.09202035</v>
      </c>
      <c r="L7" s="20" t="n">
        <v>0.06875262</v>
      </c>
      <c r="M7" s="18" t="n">
        <v>0</v>
      </c>
      <c r="N7" s="20" t="n">
        <v>0</v>
      </c>
      <c r="O7" s="18" t="n">
        <v>0</v>
      </c>
      <c r="P7" s="20" t="n">
        <v>0</v>
      </c>
      <c r="Q7" s="18" t="n">
        <v>2.45107719</v>
      </c>
      <c r="R7" s="20" t="n">
        <v>0.47893074</v>
      </c>
    </row>
    <row r="8" spans="1:18">
      <c r="A8" s="15" t="s">
        <v>568</v>
      </c>
      <c r="B8" s="17" t="n">
        <v>3564</v>
      </c>
      <c r="C8" s="18">
        <f>(2793.0/B8*100)</f>
        <v/>
      </c>
      <c r="D8" s="19" t="n">
        <v>771</v>
      </c>
      <c r="E8" s="18" t="n">
        <v>74.90554835</v>
      </c>
      <c r="F8" s="20" t="n">
        <v>1.75568705</v>
      </c>
      <c r="G8" s="18" t="n">
        <v>22.89404341</v>
      </c>
      <c r="H8" s="20" t="n">
        <v>1.61037614</v>
      </c>
      <c r="I8" s="18" t="s">
        <v>567</v>
      </c>
      <c r="J8" s="20" t="s">
        <v>567</v>
      </c>
      <c r="K8" s="18" t="n">
        <v>0.10338717</v>
      </c>
      <c r="L8" s="20" t="n">
        <v>0.17554504</v>
      </c>
      <c r="M8" s="18" t="n">
        <v>0</v>
      </c>
      <c r="N8" s="20" t="n">
        <v>0</v>
      </c>
      <c r="O8" s="18" t="n">
        <v>0</v>
      </c>
      <c r="P8" s="20" t="n">
        <v>0</v>
      </c>
      <c r="Q8" s="18" t="n">
        <v>2.09702107</v>
      </c>
      <c r="R8" s="20" t="n">
        <v>0.54604945</v>
      </c>
    </row>
    <row r="9" spans="1:18">
      <c r="A9" s="15" t="s">
        <v>569</v>
      </c>
      <c r="B9" s="17" t="n">
        <v>4899</v>
      </c>
      <c r="C9" s="18">
        <f>(3863.0/B9*100)</f>
        <v/>
      </c>
      <c r="D9" s="19" t="n">
        <v>1036</v>
      </c>
      <c r="E9" s="18" t="n">
        <v>61.98719629</v>
      </c>
      <c r="F9" s="20" t="n">
        <v>1.6724384</v>
      </c>
      <c r="G9" s="18" t="n">
        <v>35.44726786</v>
      </c>
      <c r="H9" s="20" t="n">
        <v>1.71643624</v>
      </c>
      <c r="I9" s="18" t="s">
        <v>567</v>
      </c>
      <c r="J9" s="20" t="s">
        <v>567</v>
      </c>
      <c r="K9" s="18" t="n">
        <v>0.13155004</v>
      </c>
      <c r="L9" s="20" t="n">
        <v>0.07370098999999999</v>
      </c>
      <c r="M9" s="18" t="n">
        <v>0</v>
      </c>
      <c r="N9" s="20" t="n">
        <v>0</v>
      </c>
      <c r="O9" s="18" t="n">
        <v>0</v>
      </c>
      <c r="P9" s="20" t="n">
        <v>0</v>
      </c>
      <c r="Q9" s="18" t="n">
        <v>2.43398581</v>
      </c>
      <c r="R9" s="20" t="n">
        <v>0.56446996</v>
      </c>
    </row>
    <row r="10" spans="1:18">
      <c r="A10" s="15" t="s">
        <v>570</v>
      </c>
      <c r="B10" s="17" t="n">
        <v>10036</v>
      </c>
      <c r="C10" s="18">
        <f>(7862.0/B10*100)</f>
        <v/>
      </c>
      <c r="D10" s="19" t="n">
        <v>2174</v>
      </c>
      <c r="E10" s="18" t="n">
        <v>58.12991564</v>
      </c>
      <c r="F10" s="20" t="n">
        <v>1.55689375</v>
      </c>
      <c r="G10" s="18" t="n">
        <v>40.68291014</v>
      </c>
      <c r="H10" s="20" t="n">
        <v>1.60028424</v>
      </c>
      <c r="I10" s="18" t="s">
        <v>567</v>
      </c>
      <c r="J10" s="20" t="s">
        <v>567</v>
      </c>
      <c r="K10" s="18" t="n">
        <v>0.02200309</v>
      </c>
      <c r="L10" s="20" t="n">
        <v>0.02274004</v>
      </c>
      <c r="M10" s="18" t="n">
        <v>0</v>
      </c>
      <c r="N10" s="20" t="n">
        <v>0</v>
      </c>
      <c r="O10" s="18" t="n">
        <v>0</v>
      </c>
      <c r="P10" s="20" t="n">
        <v>0</v>
      </c>
      <c r="Q10" s="18" t="n">
        <v>1.16517113</v>
      </c>
      <c r="R10" s="20" t="n">
        <v>0.42596846</v>
      </c>
    </row>
    <row r="11" spans="1:18">
      <c r="A11" s="15" t="s">
        <v>571</v>
      </c>
      <c r="B11" s="17" t="n">
        <v>3553</v>
      </c>
      <c r="C11" s="18">
        <f>(2784.0/B11*100)</f>
        <v/>
      </c>
      <c r="D11" s="19" t="n">
        <v>769</v>
      </c>
      <c r="E11" s="18" t="n">
        <v>77.46002917</v>
      </c>
      <c r="F11" s="20" t="n">
        <v>1.8277473</v>
      </c>
      <c r="G11" s="18" t="n">
        <v>17.91354437</v>
      </c>
      <c r="H11" s="20" t="n">
        <v>1.60218094</v>
      </c>
      <c r="I11" s="18" t="s">
        <v>567</v>
      </c>
      <c r="J11" s="20" t="s">
        <v>567</v>
      </c>
      <c r="K11" s="18" t="n">
        <v>1.55984855</v>
      </c>
      <c r="L11" s="20" t="n">
        <v>0.44438285</v>
      </c>
      <c r="M11" s="18" t="n">
        <v>0</v>
      </c>
      <c r="N11" s="20" t="n">
        <v>0</v>
      </c>
      <c r="O11" s="18" t="n">
        <v>0</v>
      </c>
      <c r="P11" s="20" t="n">
        <v>0</v>
      </c>
      <c r="Q11" s="18" t="n">
        <v>3.06657792</v>
      </c>
      <c r="R11" s="20" t="n">
        <v>0.79909151</v>
      </c>
    </row>
    <row r="12" spans="1:18">
      <c r="A12" s="15" t="s">
        <v>572</v>
      </c>
      <c r="B12" s="17" t="n">
        <v>3472</v>
      </c>
      <c r="C12" s="18">
        <f>(2729.0/B12*100)</f>
        <v/>
      </c>
      <c r="D12" s="19" t="n">
        <v>743</v>
      </c>
      <c r="E12" s="18" t="n">
        <v>66.83713611</v>
      </c>
      <c r="F12" s="20" t="n">
        <v>1.81304633</v>
      </c>
      <c r="G12" s="18" t="n">
        <v>30.89962348</v>
      </c>
      <c r="H12" s="20" t="n">
        <v>1.79602635</v>
      </c>
      <c r="I12" s="18" t="s">
        <v>567</v>
      </c>
      <c r="J12" s="20" t="s">
        <v>567</v>
      </c>
      <c r="K12" s="18" t="n">
        <v>0.24574711</v>
      </c>
      <c r="L12" s="20" t="n">
        <v>0.21584557</v>
      </c>
      <c r="M12" s="18" t="n">
        <v>0</v>
      </c>
      <c r="N12" s="20" t="n">
        <v>0</v>
      </c>
      <c r="O12" s="18" t="n">
        <v>0</v>
      </c>
      <c r="P12" s="20" t="n">
        <v>0</v>
      </c>
      <c r="Q12" s="18" t="n">
        <v>2.0174933</v>
      </c>
      <c r="R12" s="20" t="n">
        <v>0.57466112</v>
      </c>
    </row>
    <row r="13" spans="1:18">
      <c r="A13" s="15" t="s">
        <v>573</v>
      </c>
      <c r="B13" s="17" t="n">
        <v>3559</v>
      </c>
      <c r="C13" s="18">
        <f>(2821.0/B13*100)</f>
        <v/>
      </c>
      <c r="D13" s="19" t="n">
        <v>738</v>
      </c>
      <c r="E13" s="18" t="n">
        <v>69.17086809</v>
      </c>
      <c r="F13" s="20" t="n">
        <v>2.01871646</v>
      </c>
      <c r="G13" s="18" t="n">
        <v>27.92968851</v>
      </c>
      <c r="H13" s="20" t="n">
        <v>1.93321216</v>
      </c>
      <c r="I13" s="18" t="s">
        <v>567</v>
      </c>
      <c r="J13" s="20" t="s">
        <v>567</v>
      </c>
      <c r="K13" s="18" t="n">
        <v>0.30616281</v>
      </c>
      <c r="L13" s="20" t="n">
        <v>0.19473021</v>
      </c>
      <c r="M13" s="18" t="n">
        <v>0</v>
      </c>
      <c r="N13" s="20" t="n">
        <v>0</v>
      </c>
      <c r="O13" s="18" t="n">
        <v>0</v>
      </c>
      <c r="P13" s="20" t="n">
        <v>0</v>
      </c>
      <c r="Q13" s="18" t="n">
        <v>2.59328059</v>
      </c>
      <c r="R13" s="20" t="n">
        <v>0.61054222</v>
      </c>
    </row>
    <row r="14" spans="1:18">
      <c r="A14" s="15" t="s">
        <v>574</v>
      </c>
      <c r="B14" s="17" t="n">
        <v>2799</v>
      </c>
      <c r="C14" s="18">
        <f>(2177.0/B14*100)</f>
        <v/>
      </c>
      <c r="D14" s="19" t="n">
        <v>622</v>
      </c>
      <c r="E14" s="18" t="n">
        <v>62.69994522</v>
      </c>
      <c r="F14" s="20" t="n">
        <v>2.1523053</v>
      </c>
      <c r="G14" s="18" t="n">
        <v>37.30005478</v>
      </c>
      <c r="H14" s="20" t="n">
        <v>2.1523053</v>
      </c>
      <c r="I14" s="18" t="s">
        <v>567</v>
      </c>
      <c r="J14" s="20" t="s">
        <v>567</v>
      </c>
      <c r="K14" s="18" t="n">
        <v>0</v>
      </c>
      <c r="L14" s="20" t="n">
        <v>0</v>
      </c>
      <c r="M14" s="18" t="n">
        <v>0</v>
      </c>
      <c r="N14" s="20" t="n">
        <v>0</v>
      </c>
      <c r="O14" s="18" t="n">
        <v>0</v>
      </c>
      <c r="P14" s="20" t="n">
        <v>0</v>
      </c>
      <c r="Q14" s="18" t="n">
        <v>0</v>
      </c>
      <c r="R14" s="20" t="n">
        <v>0</v>
      </c>
    </row>
    <row r="15" spans="1:18">
      <c r="A15" s="15" t="s">
        <v>575</v>
      </c>
      <c r="B15" s="17" t="n">
        <v>3019</v>
      </c>
      <c r="C15" s="18">
        <f>(2400.0/B15*100)</f>
        <v/>
      </c>
      <c r="D15" s="19" t="n">
        <v>619</v>
      </c>
      <c r="E15" s="18" t="n">
        <v>63.51581962</v>
      </c>
      <c r="F15" s="20" t="n">
        <v>1.67043452</v>
      </c>
      <c r="G15" s="18" t="n">
        <v>34.91294283</v>
      </c>
      <c r="H15" s="20" t="n">
        <v>1.72536654</v>
      </c>
      <c r="I15" s="18" t="s">
        <v>567</v>
      </c>
      <c r="J15" s="20" t="s">
        <v>567</v>
      </c>
      <c r="K15" s="18" t="n">
        <v>0.29880322</v>
      </c>
      <c r="L15" s="20" t="n">
        <v>0.21561563</v>
      </c>
      <c r="M15" s="18" t="n">
        <v>0</v>
      </c>
      <c r="N15" s="20" t="n">
        <v>0</v>
      </c>
      <c r="O15" s="18" t="n">
        <v>0</v>
      </c>
      <c r="P15" s="20" t="n">
        <v>0</v>
      </c>
      <c r="Q15" s="18" t="n">
        <v>1.27243432</v>
      </c>
      <c r="R15" s="20" t="n">
        <v>0.45056129</v>
      </c>
    </row>
    <row r="16" spans="1:18">
      <c r="A16" s="15" t="s">
        <v>576</v>
      </c>
      <c r="B16" s="17" t="n">
        <v>2997</v>
      </c>
      <c r="C16" s="18">
        <f>(2349.0/B16*100)</f>
        <v/>
      </c>
      <c r="D16" s="19" t="n">
        <v>648</v>
      </c>
      <c r="E16" s="18" t="n">
        <v>61.58996405</v>
      </c>
      <c r="F16" s="20" t="n">
        <v>1.7895448</v>
      </c>
      <c r="G16" s="18" t="n">
        <v>32.80500847</v>
      </c>
      <c r="H16" s="20" t="n">
        <v>1.72775224</v>
      </c>
      <c r="I16" s="18" t="s">
        <v>567</v>
      </c>
      <c r="J16" s="20" t="s">
        <v>567</v>
      </c>
      <c r="K16" s="18" t="n">
        <v>1.40524012</v>
      </c>
      <c r="L16" s="20" t="n">
        <v>0.47893221</v>
      </c>
      <c r="M16" s="18" t="n">
        <v>0</v>
      </c>
      <c r="N16" s="20" t="n">
        <v>0</v>
      </c>
      <c r="O16" s="18" t="n">
        <v>0</v>
      </c>
      <c r="P16" s="20" t="n">
        <v>0</v>
      </c>
      <c r="Q16" s="18" t="n">
        <v>4.19978736</v>
      </c>
      <c r="R16" s="20" t="n">
        <v>0.79049207</v>
      </c>
    </row>
    <row r="17" spans="1:18">
      <c r="A17" s="15" t="s">
        <v>577</v>
      </c>
      <c r="B17" s="17" t="n">
        <v>3307</v>
      </c>
      <c r="C17" s="18">
        <f>(2586.0/B17*100)</f>
        <v/>
      </c>
      <c r="D17" s="19" t="n">
        <v>721</v>
      </c>
      <c r="E17" s="18" t="n">
        <v>64.73048344999999</v>
      </c>
      <c r="F17" s="20" t="n">
        <v>2.06490231</v>
      </c>
      <c r="G17" s="18" t="n">
        <v>32.7150384</v>
      </c>
      <c r="H17" s="20" t="n">
        <v>2.15422224</v>
      </c>
      <c r="I17" s="18" t="s">
        <v>567</v>
      </c>
      <c r="J17" s="20" t="s">
        <v>567</v>
      </c>
      <c r="K17" s="18" t="n">
        <v>0.13452316</v>
      </c>
      <c r="L17" s="20" t="n">
        <v>0.14044535</v>
      </c>
      <c r="M17" s="18" t="n">
        <v>0</v>
      </c>
      <c r="N17" s="20" t="n">
        <v>0</v>
      </c>
      <c r="O17" s="18" t="n">
        <v>0</v>
      </c>
      <c r="P17" s="20" t="n">
        <v>0</v>
      </c>
      <c r="Q17" s="18" t="n">
        <v>2.41995499</v>
      </c>
      <c r="R17" s="20" t="n">
        <v>0.6034988999999999</v>
      </c>
    </row>
    <row r="18" spans="1:18">
      <c r="A18" s="15" t="s">
        <v>578</v>
      </c>
      <c r="B18" s="17" t="n">
        <v>2826</v>
      </c>
      <c r="C18" s="18">
        <f>(2217.0/B18*100)</f>
        <v/>
      </c>
      <c r="D18" s="19" t="n">
        <v>609</v>
      </c>
      <c r="E18" s="18" t="n">
        <v>78.41187205999999</v>
      </c>
      <c r="F18" s="20" t="n">
        <v>2.14807563</v>
      </c>
      <c r="G18" s="18" t="n">
        <v>18.76698147</v>
      </c>
      <c r="H18" s="20" t="n">
        <v>2.14677403</v>
      </c>
      <c r="I18" s="18" t="s">
        <v>567</v>
      </c>
      <c r="J18" s="20" t="s">
        <v>567</v>
      </c>
      <c r="K18" s="18" t="n">
        <v>0.22187942</v>
      </c>
      <c r="L18" s="20" t="n">
        <v>0.17832626</v>
      </c>
      <c r="M18" s="18" t="n">
        <v>0</v>
      </c>
      <c r="N18" s="20" t="n">
        <v>0</v>
      </c>
      <c r="O18" s="18" t="n">
        <v>0</v>
      </c>
      <c r="P18" s="20" t="n">
        <v>0</v>
      </c>
      <c r="Q18" s="18" t="n">
        <v>2.59926705</v>
      </c>
      <c r="R18" s="20" t="n">
        <v>0.83850547</v>
      </c>
    </row>
    <row r="19" spans="1:18">
      <c r="A19" s="15" t="s">
        <v>579</v>
      </c>
      <c r="B19" s="17" t="n">
        <v>2808</v>
      </c>
      <c r="C19" s="18">
        <f>(2205.0/B19*100)</f>
        <v/>
      </c>
      <c r="D19" s="19" t="n">
        <v>603</v>
      </c>
      <c r="E19" s="18" t="n">
        <v>74.76483082</v>
      </c>
      <c r="F19" s="20" t="n">
        <v>1.62819599</v>
      </c>
      <c r="G19" s="18" t="n">
        <v>23.22869158</v>
      </c>
      <c r="H19" s="20" t="n">
        <v>1.68539187</v>
      </c>
      <c r="I19" s="18" t="s">
        <v>567</v>
      </c>
      <c r="J19" s="20" t="s">
        <v>567</v>
      </c>
      <c r="K19" s="18" t="n">
        <v>0.1142871</v>
      </c>
      <c r="L19" s="20" t="n">
        <v>0.11419094</v>
      </c>
      <c r="M19" s="18" t="n">
        <v>0</v>
      </c>
      <c r="N19" s="20" t="n">
        <v>0</v>
      </c>
      <c r="O19" s="18" t="n">
        <v>0</v>
      </c>
      <c r="P19" s="20" t="n">
        <v>0</v>
      </c>
      <c r="Q19" s="18" t="n">
        <v>1.89219049</v>
      </c>
      <c r="R19" s="20" t="n">
        <v>0.87382076</v>
      </c>
    </row>
    <row r="20" spans="1:18">
      <c r="A20" s="15" t="s">
        <v>580</v>
      </c>
      <c r="B20" s="17" t="n">
        <v>1630</v>
      </c>
      <c r="C20" s="18">
        <f>(1269.0/B20*100)</f>
        <v/>
      </c>
      <c r="D20" s="19" t="n">
        <v>361</v>
      </c>
      <c r="E20" s="18" t="n">
        <v>87.84433399</v>
      </c>
      <c r="F20" s="20" t="n">
        <v>1.75549281</v>
      </c>
      <c r="G20" s="18" t="n">
        <v>9.15764976</v>
      </c>
      <c r="H20" s="20" t="n">
        <v>1.59028064</v>
      </c>
      <c r="I20" s="18" t="s">
        <v>567</v>
      </c>
      <c r="J20" s="20" t="s">
        <v>567</v>
      </c>
      <c r="K20" s="18" t="n">
        <v>0.23564123</v>
      </c>
      <c r="L20" s="20" t="n">
        <v>0.23492753</v>
      </c>
      <c r="M20" s="18" t="n">
        <v>0</v>
      </c>
      <c r="N20" s="20" t="n">
        <v>0</v>
      </c>
      <c r="O20" s="18" t="n">
        <v>0</v>
      </c>
      <c r="P20" s="20" t="n">
        <v>0</v>
      </c>
      <c r="Q20" s="18" t="n">
        <v>2.76237502</v>
      </c>
      <c r="R20" s="20" t="n">
        <v>0.75048549</v>
      </c>
    </row>
    <row r="21" spans="1:18">
      <c r="A21" s="15" t="s">
        <v>581</v>
      </c>
      <c r="B21" s="17" t="n">
        <v>2908</v>
      </c>
      <c r="C21" s="18">
        <f>(2246.0/B21*100)</f>
        <v/>
      </c>
      <c r="D21" s="19" t="n">
        <v>662</v>
      </c>
      <c r="E21" s="18" t="n">
        <v>67.05456605000001</v>
      </c>
      <c r="F21" s="20" t="n">
        <v>1.94863276</v>
      </c>
      <c r="G21" s="18" t="n">
        <v>30.38347355</v>
      </c>
      <c r="H21" s="20" t="n">
        <v>1.69523475</v>
      </c>
      <c r="I21" s="18" t="s">
        <v>567</v>
      </c>
      <c r="J21" s="20" t="s">
        <v>567</v>
      </c>
      <c r="K21" s="18" t="n">
        <v>0.37138078</v>
      </c>
      <c r="L21" s="20" t="n">
        <v>0.26642564</v>
      </c>
      <c r="M21" s="18" t="n">
        <v>0</v>
      </c>
      <c r="N21" s="20" t="n">
        <v>0</v>
      </c>
      <c r="O21" s="18" t="n">
        <v>0</v>
      </c>
      <c r="P21" s="20" t="n">
        <v>0</v>
      </c>
      <c r="Q21" s="18" t="n">
        <v>2.19057963</v>
      </c>
      <c r="R21" s="20" t="n">
        <v>0.69888656</v>
      </c>
    </row>
    <row r="22" spans="1:18">
      <c r="A22" s="15" t="s">
        <v>582</v>
      </c>
      <c r="B22" s="17" t="n">
        <v>2931</v>
      </c>
      <c r="C22" s="18">
        <f>(2270.0/B22*100)</f>
        <v/>
      </c>
      <c r="D22" s="19" t="n">
        <v>661</v>
      </c>
      <c r="E22" s="18" t="n">
        <v>68.33981414</v>
      </c>
      <c r="F22" s="20" t="n">
        <v>2.1227037</v>
      </c>
      <c r="G22" s="18" t="n">
        <v>26.88246548</v>
      </c>
      <c r="H22" s="20" t="n">
        <v>1.92649309</v>
      </c>
      <c r="I22" s="18" t="s">
        <v>567</v>
      </c>
      <c r="J22" s="20" t="s">
        <v>567</v>
      </c>
      <c r="K22" s="18" t="n">
        <v>0.6227886500000001</v>
      </c>
      <c r="L22" s="20" t="n">
        <v>0.45917075</v>
      </c>
      <c r="M22" s="18" t="n">
        <v>0</v>
      </c>
      <c r="N22" s="20" t="n">
        <v>0</v>
      </c>
      <c r="O22" s="18" t="n">
        <v>0</v>
      </c>
      <c r="P22" s="20" t="n">
        <v>0</v>
      </c>
      <c r="Q22" s="18" t="n">
        <v>4.15493172</v>
      </c>
      <c r="R22" s="20" t="n">
        <v>1.24143288</v>
      </c>
    </row>
    <row r="23" spans="1:18">
      <c r="A23" s="15" t="s">
        <v>583</v>
      </c>
      <c r="B23" s="17" t="n">
        <v>5791</v>
      </c>
      <c r="C23" s="18">
        <f>(4520.0/B23*100)</f>
        <v/>
      </c>
      <c r="D23" s="19" t="n">
        <v>1271</v>
      </c>
      <c r="E23" s="18" t="n">
        <v>74.31623006</v>
      </c>
      <c r="F23" s="20" t="n">
        <v>1.35891014</v>
      </c>
      <c r="G23" s="18" t="n">
        <v>23.48258788</v>
      </c>
      <c r="H23" s="20" t="n">
        <v>1.49030659</v>
      </c>
      <c r="I23" s="18" t="s">
        <v>567</v>
      </c>
      <c r="J23" s="20" t="s">
        <v>567</v>
      </c>
      <c r="K23" s="18" t="n">
        <v>0.43225069</v>
      </c>
      <c r="L23" s="20" t="n">
        <v>0.30106019</v>
      </c>
      <c r="M23" s="18" t="n">
        <v>0</v>
      </c>
      <c r="N23" s="20" t="n">
        <v>0</v>
      </c>
      <c r="O23" s="18" t="n">
        <v>0</v>
      </c>
      <c r="P23" s="20" t="n">
        <v>0</v>
      </c>
      <c r="Q23" s="18" t="n">
        <v>1.76893137</v>
      </c>
      <c r="R23" s="20" t="n">
        <v>0.40825351</v>
      </c>
    </row>
    <row r="24" spans="1:18">
      <c r="A24" s="15" t="s">
        <v>584</v>
      </c>
      <c r="B24" s="17" t="n">
        <v>3338</v>
      </c>
      <c r="C24" s="18">
        <f>(2607.0/B24*100)</f>
        <v/>
      </c>
      <c r="D24" s="19" t="n">
        <v>731</v>
      </c>
      <c r="E24" s="18" t="n">
        <v>57.22687339</v>
      </c>
      <c r="F24" s="20" t="n">
        <v>1.77335509</v>
      </c>
      <c r="G24" s="18" t="n">
        <v>40.9565527</v>
      </c>
      <c r="H24" s="20" t="n">
        <v>1.81513519</v>
      </c>
      <c r="I24" s="18" t="s">
        <v>567</v>
      </c>
      <c r="J24" s="20" t="s">
        <v>567</v>
      </c>
      <c r="K24" s="18" t="n">
        <v>0.53675154</v>
      </c>
      <c r="L24" s="20" t="n">
        <v>0.27065859</v>
      </c>
      <c r="M24" s="18" t="n">
        <v>0</v>
      </c>
      <c r="N24" s="20" t="n">
        <v>0</v>
      </c>
      <c r="O24" s="18" t="n">
        <v>0</v>
      </c>
      <c r="P24" s="20" t="n">
        <v>0</v>
      </c>
      <c r="Q24" s="18" t="n">
        <v>1.27982238</v>
      </c>
      <c r="R24" s="20" t="n">
        <v>0.40585992</v>
      </c>
    </row>
    <row r="25" spans="1:18">
      <c r="A25" s="15" t="s">
        <v>585</v>
      </c>
      <c r="B25" s="17" t="n">
        <v>2912</v>
      </c>
      <c r="C25" s="18">
        <f>(2253.0/B25*100)</f>
        <v/>
      </c>
      <c r="D25" s="19" t="n">
        <v>659</v>
      </c>
      <c r="E25" s="18" t="n">
        <v>61.92569589</v>
      </c>
      <c r="F25" s="20" t="n">
        <v>2.21948918</v>
      </c>
      <c r="G25" s="18" t="n">
        <v>37.09747634</v>
      </c>
      <c r="H25" s="20" t="n">
        <v>2.17448414</v>
      </c>
      <c r="I25" s="18" t="s">
        <v>567</v>
      </c>
      <c r="J25" s="20" t="s">
        <v>567</v>
      </c>
      <c r="K25" s="18" t="n">
        <v>0.28178802</v>
      </c>
      <c r="L25" s="20" t="n">
        <v>0.20065946</v>
      </c>
      <c r="M25" s="18" t="n">
        <v>0</v>
      </c>
      <c r="N25" s="20" t="n">
        <v>0</v>
      </c>
      <c r="O25" s="18" t="n">
        <v>0</v>
      </c>
      <c r="P25" s="20" t="n">
        <v>0</v>
      </c>
      <c r="Q25" s="18" t="n">
        <v>0.69503975</v>
      </c>
      <c r="R25" s="20" t="n">
        <v>0.24102505</v>
      </c>
    </row>
    <row r="26" spans="1:18">
      <c r="A26" s="15" t="s">
        <v>586</v>
      </c>
      <c r="B26" s="17" t="n">
        <v>2450</v>
      </c>
      <c r="C26" s="18">
        <f>(1933.0/B26*100)</f>
        <v/>
      </c>
      <c r="D26" s="19" t="n">
        <v>517</v>
      </c>
      <c r="E26" s="18" t="n">
        <v>69.60698382</v>
      </c>
      <c r="F26" s="20" t="n">
        <v>2.04981649</v>
      </c>
      <c r="G26" s="18" t="n">
        <v>29.7410848</v>
      </c>
      <c r="H26" s="20" t="n">
        <v>2.04884998</v>
      </c>
      <c r="I26" s="18" t="s">
        <v>567</v>
      </c>
      <c r="J26" s="20" t="s">
        <v>567</v>
      </c>
      <c r="K26" s="18" t="n">
        <v>0</v>
      </c>
      <c r="L26" s="20" t="n">
        <v>0</v>
      </c>
      <c r="M26" s="18" t="n">
        <v>0</v>
      </c>
      <c r="N26" s="20" t="n">
        <v>0</v>
      </c>
      <c r="O26" s="18" t="n">
        <v>0</v>
      </c>
      <c r="P26" s="20" t="n">
        <v>0</v>
      </c>
      <c r="Q26" s="18" t="n">
        <v>0.6519313799999999</v>
      </c>
      <c r="R26" s="20" t="n">
        <v>0.32774798</v>
      </c>
    </row>
    <row r="27" spans="1:18">
      <c r="A27" s="15" t="s">
        <v>587</v>
      </c>
      <c r="B27" s="17" t="n">
        <v>2616</v>
      </c>
      <c r="C27" s="18">
        <f>(2041.0/B27*100)</f>
        <v/>
      </c>
      <c r="D27" s="19" t="n">
        <v>575</v>
      </c>
      <c r="E27" s="18" t="n">
        <v>74.55811694000001</v>
      </c>
      <c r="F27" s="20" t="n">
        <v>1.80347808</v>
      </c>
      <c r="G27" s="18" t="n">
        <v>22.965951</v>
      </c>
      <c r="H27" s="20" t="n">
        <v>1.7603021</v>
      </c>
      <c r="I27" s="18" t="s">
        <v>567</v>
      </c>
      <c r="J27" s="20" t="s">
        <v>567</v>
      </c>
      <c r="K27" s="18" t="n">
        <v>0.17440826</v>
      </c>
      <c r="L27" s="20" t="n">
        <v>0.17429214</v>
      </c>
      <c r="M27" s="18" t="n">
        <v>0</v>
      </c>
      <c r="N27" s="20" t="n">
        <v>0</v>
      </c>
      <c r="O27" s="18" t="n">
        <v>0</v>
      </c>
      <c r="P27" s="20" t="n">
        <v>0</v>
      </c>
      <c r="Q27" s="18" t="n">
        <v>2.3015238</v>
      </c>
      <c r="R27" s="20" t="n">
        <v>0.58497984</v>
      </c>
    </row>
    <row r="28" spans="1:18">
      <c r="A28" s="15" t="s">
        <v>588</v>
      </c>
      <c r="B28" s="17" t="n">
        <v>3765</v>
      </c>
      <c r="C28" s="18">
        <f>(3009.0/B28*100)</f>
        <v/>
      </c>
      <c r="D28" s="19" t="n">
        <v>756</v>
      </c>
      <c r="E28" s="18" t="n">
        <v>86.2616273</v>
      </c>
      <c r="F28" s="20" t="n">
        <v>1.26436124</v>
      </c>
      <c r="G28" s="18" t="n">
        <v>12.29361251</v>
      </c>
      <c r="H28" s="20" t="n">
        <v>1.22299229</v>
      </c>
      <c r="I28" s="18" t="s">
        <v>567</v>
      </c>
      <c r="J28" s="20" t="s">
        <v>567</v>
      </c>
      <c r="K28" s="18" t="n">
        <v>0.69956616</v>
      </c>
      <c r="L28" s="20" t="n">
        <v>0.39035954</v>
      </c>
      <c r="M28" s="18" t="n">
        <v>0</v>
      </c>
      <c r="N28" s="20" t="n">
        <v>0</v>
      </c>
      <c r="O28" s="18" t="n">
        <v>0</v>
      </c>
      <c r="P28" s="20" t="n">
        <v>0</v>
      </c>
      <c r="Q28" s="18" t="n">
        <v>0.74519403</v>
      </c>
      <c r="R28" s="20" t="n">
        <v>0.30789886</v>
      </c>
    </row>
    <row r="29" spans="1:18">
      <c r="A29" s="15" t="s">
        <v>589</v>
      </c>
      <c r="B29" s="17" t="n">
        <v>2685</v>
      </c>
      <c r="C29" s="18">
        <f>(2094.0/B29*100)</f>
        <v/>
      </c>
      <c r="D29" s="19" t="n">
        <v>591</v>
      </c>
      <c r="E29" s="18" t="n">
        <v>64.00563455</v>
      </c>
      <c r="F29" s="20" t="n">
        <v>2.12791831</v>
      </c>
      <c r="G29" s="18" t="n">
        <v>34.9317338</v>
      </c>
      <c r="H29" s="20" t="n">
        <v>2.1000909</v>
      </c>
      <c r="I29" s="18" t="s">
        <v>567</v>
      </c>
      <c r="J29" s="20" t="s">
        <v>567</v>
      </c>
      <c r="K29" s="18" t="n">
        <v>0.15976781</v>
      </c>
      <c r="L29" s="20" t="n">
        <v>0.17323204</v>
      </c>
      <c r="M29" s="18" t="n">
        <v>0</v>
      </c>
      <c r="N29" s="20" t="n">
        <v>0</v>
      </c>
      <c r="O29" s="18" t="n">
        <v>0</v>
      </c>
      <c r="P29" s="20" t="n">
        <v>0</v>
      </c>
      <c r="Q29" s="18" t="n">
        <v>0.90286383</v>
      </c>
      <c r="R29" s="20" t="n">
        <v>0.38517677</v>
      </c>
    </row>
    <row r="30" spans="1:18">
      <c r="A30" s="15" t="s">
        <v>590</v>
      </c>
      <c r="B30" s="17" t="n">
        <v>2263</v>
      </c>
      <c r="C30" s="18">
        <f>(1779.0/B30*100)</f>
        <v/>
      </c>
      <c r="D30" s="19" t="n">
        <v>484</v>
      </c>
      <c r="E30" s="18" t="n">
        <v>59.90171322</v>
      </c>
      <c r="F30" s="20" t="n">
        <v>2.14613833</v>
      </c>
      <c r="G30" s="18" t="n">
        <v>36.29294835</v>
      </c>
      <c r="H30" s="20" t="n">
        <v>1.95194667</v>
      </c>
      <c r="I30" s="18" t="s">
        <v>567</v>
      </c>
      <c r="J30" s="20" t="s">
        <v>567</v>
      </c>
      <c r="K30" s="18" t="n">
        <v>0.5121419</v>
      </c>
      <c r="L30" s="20" t="n">
        <v>0.38850757</v>
      </c>
      <c r="M30" s="18" t="n">
        <v>0</v>
      </c>
      <c r="N30" s="20" t="n">
        <v>0</v>
      </c>
      <c r="O30" s="18" t="n">
        <v>0</v>
      </c>
      <c r="P30" s="20" t="n">
        <v>0</v>
      </c>
      <c r="Q30" s="18" t="n">
        <v>3.29319654</v>
      </c>
      <c r="R30" s="20" t="n">
        <v>0.9444846099999999</v>
      </c>
    </row>
    <row r="31" spans="1:18">
      <c r="A31" s="15" t="s">
        <v>591</v>
      </c>
      <c r="B31" s="17" t="n">
        <v>2750</v>
      </c>
      <c r="C31" s="18">
        <f>(2130.0/B31*100)</f>
        <v/>
      </c>
      <c r="D31" s="19" t="n">
        <v>620</v>
      </c>
      <c r="E31" s="18" t="n">
        <v>72.59920436</v>
      </c>
      <c r="F31" s="20" t="n">
        <v>1.81894282</v>
      </c>
      <c r="G31" s="18" t="n">
        <v>24.16685815</v>
      </c>
      <c r="H31" s="20" t="n">
        <v>1.75740569</v>
      </c>
      <c r="I31" s="18" t="s">
        <v>567</v>
      </c>
      <c r="J31" s="20" t="s">
        <v>567</v>
      </c>
      <c r="K31" s="18" t="n">
        <v>0.1441154</v>
      </c>
      <c r="L31" s="20" t="n">
        <v>0.14450281</v>
      </c>
      <c r="M31" s="18" t="n">
        <v>0</v>
      </c>
      <c r="N31" s="20" t="n">
        <v>0</v>
      </c>
      <c r="O31" s="18" t="n">
        <v>0</v>
      </c>
      <c r="P31" s="20" t="n">
        <v>0</v>
      </c>
      <c r="Q31" s="18" t="n">
        <v>3.08982209</v>
      </c>
      <c r="R31" s="20" t="n">
        <v>0.77993002</v>
      </c>
    </row>
    <row r="32" spans="1:18">
      <c r="A32" s="15" t="s">
        <v>592</v>
      </c>
      <c r="B32" s="17" t="n">
        <v>2269</v>
      </c>
      <c r="C32" s="18">
        <f>(1775.0/B32*100)</f>
        <v/>
      </c>
      <c r="D32" s="19" t="n">
        <v>494</v>
      </c>
      <c r="E32" s="18" t="n">
        <v>68.26649947999999</v>
      </c>
      <c r="F32" s="20" t="n">
        <v>2.26803234</v>
      </c>
      <c r="G32" s="18" t="n">
        <v>30.45120767</v>
      </c>
      <c r="H32" s="20" t="n">
        <v>2.21635216</v>
      </c>
      <c r="I32" s="18" t="s">
        <v>567</v>
      </c>
      <c r="J32" s="20" t="s">
        <v>567</v>
      </c>
      <c r="K32" s="18" t="n">
        <v>0.24852117</v>
      </c>
      <c r="L32" s="20" t="n">
        <v>0.25699763</v>
      </c>
      <c r="M32" s="18" t="n">
        <v>0</v>
      </c>
      <c r="N32" s="20" t="n">
        <v>0</v>
      </c>
      <c r="O32" s="18" t="n">
        <v>0</v>
      </c>
      <c r="P32" s="20" t="n">
        <v>0</v>
      </c>
      <c r="Q32" s="18" t="n">
        <v>1.03377167</v>
      </c>
      <c r="R32" s="20" t="n">
        <v>0.4744073</v>
      </c>
    </row>
    <row r="33" spans="1:18">
      <c r="A33" s="15" t="s">
        <v>593</v>
      </c>
      <c r="B33" s="17" t="n">
        <v>3674</v>
      </c>
      <c r="C33" s="18">
        <f>(2854.0/B33*100)</f>
        <v/>
      </c>
      <c r="D33" s="19" t="n">
        <v>820</v>
      </c>
      <c r="E33" s="18" t="n">
        <v>65.18750939</v>
      </c>
      <c r="F33" s="20" t="n">
        <v>2.03559106</v>
      </c>
      <c r="G33" s="18" t="n">
        <v>32.96150135</v>
      </c>
      <c r="H33" s="20" t="n">
        <v>1.88082843</v>
      </c>
      <c r="I33" s="18" t="s">
        <v>567</v>
      </c>
      <c r="J33" s="20" t="s">
        <v>567</v>
      </c>
      <c r="K33" s="18" t="n">
        <v>0.7101295399999999</v>
      </c>
      <c r="L33" s="20" t="n">
        <v>0.37546757</v>
      </c>
      <c r="M33" s="18" t="n">
        <v>0</v>
      </c>
      <c r="N33" s="20" t="n">
        <v>0</v>
      </c>
      <c r="O33" s="18" t="n">
        <v>0</v>
      </c>
      <c r="P33" s="20" t="n">
        <v>0</v>
      </c>
      <c r="Q33" s="18" t="n">
        <v>1.14085972</v>
      </c>
      <c r="R33" s="20" t="n">
        <v>0.41843056</v>
      </c>
    </row>
    <row r="34" spans="1:18">
      <c r="A34" s="15" t="s">
        <v>594</v>
      </c>
      <c r="B34" s="17" t="n">
        <v>3315</v>
      </c>
      <c r="C34" s="18">
        <f>(2615.0/B34*100)</f>
        <v/>
      </c>
      <c r="D34" s="19" t="n">
        <v>700</v>
      </c>
      <c r="E34" s="18" t="n">
        <v>81.75610003</v>
      </c>
      <c r="F34" s="20" t="n">
        <v>1.51359487</v>
      </c>
      <c r="G34" s="18" t="n">
        <v>16.84979797</v>
      </c>
      <c r="H34" s="20" t="n">
        <v>1.39728191</v>
      </c>
      <c r="I34" s="18" t="s">
        <v>567</v>
      </c>
      <c r="J34" s="20" t="s">
        <v>567</v>
      </c>
      <c r="K34" s="18" t="n">
        <v>0.04550051</v>
      </c>
      <c r="L34" s="20" t="n">
        <v>0.04577097</v>
      </c>
      <c r="M34" s="18" t="n">
        <v>0</v>
      </c>
      <c r="N34" s="20" t="n">
        <v>0</v>
      </c>
      <c r="O34" s="18" t="n">
        <v>0</v>
      </c>
      <c r="P34" s="20" t="n">
        <v>0</v>
      </c>
      <c r="Q34" s="18" t="n">
        <v>1.34860149</v>
      </c>
      <c r="R34" s="20" t="n">
        <v>0.46975142</v>
      </c>
    </row>
    <row r="35" spans="1:18">
      <c r="A35" s="15" t="s">
        <v>595</v>
      </c>
      <c r="B35" s="17" t="n">
        <v>3505</v>
      </c>
      <c r="C35" s="18">
        <f>(2782.0/B35*100)</f>
        <v/>
      </c>
      <c r="D35" s="19" t="n">
        <v>723</v>
      </c>
      <c r="E35" s="18" t="n">
        <v>68.09333013</v>
      </c>
      <c r="F35" s="20" t="n">
        <v>2.38734389</v>
      </c>
      <c r="G35" s="18" t="n">
        <v>29.95390163</v>
      </c>
      <c r="H35" s="20" t="n">
        <v>2.23971613</v>
      </c>
      <c r="I35" s="18" t="s">
        <v>567</v>
      </c>
      <c r="J35" s="20" t="s">
        <v>567</v>
      </c>
      <c r="K35" s="18" t="n">
        <v>1.12644872</v>
      </c>
      <c r="L35" s="20" t="n">
        <v>0.80311644</v>
      </c>
      <c r="M35" s="18" t="n">
        <v>0</v>
      </c>
      <c r="N35" s="20" t="n">
        <v>0</v>
      </c>
      <c r="O35" s="18" t="n">
        <v>0</v>
      </c>
      <c r="P35" s="20" t="n">
        <v>0</v>
      </c>
      <c r="Q35" s="18" t="n">
        <v>0.82631952</v>
      </c>
      <c r="R35" s="20" t="n">
        <v>0.28319087</v>
      </c>
    </row>
    <row r="36" spans="1:18">
      <c r="A36" s="15" t="s">
        <v>596</v>
      </c>
      <c r="B36" s="17" t="n">
        <v>3332</v>
      </c>
      <c r="C36" s="18">
        <f>(2609.0/B36*100)</f>
        <v/>
      </c>
      <c r="D36" s="19" t="n">
        <v>723</v>
      </c>
      <c r="E36" s="18" t="n">
        <v>70.95385883</v>
      </c>
      <c r="F36" s="20" t="n">
        <v>1.75168399</v>
      </c>
      <c r="G36" s="18" t="n">
        <v>26.72766948</v>
      </c>
      <c r="H36" s="20" t="n">
        <v>1.68700132</v>
      </c>
      <c r="I36" s="18" t="s">
        <v>567</v>
      </c>
      <c r="J36" s="20" t="s">
        <v>567</v>
      </c>
      <c r="K36" s="18" t="n">
        <v>0.31981493</v>
      </c>
      <c r="L36" s="20" t="n">
        <v>0.27932573</v>
      </c>
      <c r="M36" s="18" t="n">
        <v>0</v>
      </c>
      <c r="N36" s="20" t="n">
        <v>0</v>
      </c>
      <c r="O36" s="18" t="n">
        <v>0</v>
      </c>
      <c r="P36" s="20" t="n">
        <v>0</v>
      </c>
      <c r="Q36" s="18" t="n">
        <v>1.99865677</v>
      </c>
      <c r="R36" s="20" t="n">
        <v>0.62806558</v>
      </c>
    </row>
    <row r="37" spans="1:18">
      <c r="A37" s="15" t="s">
        <v>597</v>
      </c>
      <c r="B37" s="17" t="n">
        <v>2727</v>
      </c>
      <c r="C37" s="18">
        <f>(2135.0/B37*100)</f>
        <v/>
      </c>
      <c r="D37" s="19" t="n">
        <v>592</v>
      </c>
      <c r="E37" s="18" t="n">
        <v>66.29278933000001</v>
      </c>
      <c r="F37" s="20" t="n">
        <v>1.76750129</v>
      </c>
      <c r="G37" s="18" t="n">
        <v>28.22283994</v>
      </c>
      <c r="H37" s="20" t="n">
        <v>1.79250224</v>
      </c>
      <c r="I37" s="18" t="s">
        <v>567</v>
      </c>
      <c r="J37" s="20" t="s">
        <v>567</v>
      </c>
      <c r="K37" s="18" t="n">
        <v>0.50466003</v>
      </c>
      <c r="L37" s="20" t="n">
        <v>0.28906124</v>
      </c>
      <c r="M37" s="18" t="n">
        <v>0</v>
      </c>
      <c r="N37" s="20" t="n">
        <v>0</v>
      </c>
      <c r="O37" s="18" t="n">
        <v>0</v>
      </c>
      <c r="P37" s="20" t="n">
        <v>0</v>
      </c>
      <c r="Q37" s="18" t="n">
        <v>4.9797107</v>
      </c>
      <c r="R37" s="20" t="n">
        <v>1.10603379</v>
      </c>
    </row>
    <row r="38" spans="1:18">
      <c r="A38" s="15" t="s">
        <v>598</v>
      </c>
      <c r="B38" s="17" t="n">
        <v>3053</v>
      </c>
      <c r="C38" s="18">
        <f>(2398.0/B38*100)</f>
        <v/>
      </c>
      <c r="D38" s="19" t="n">
        <v>655</v>
      </c>
      <c r="E38" s="18" t="n">
        <v>70.17859716</v>
      </c>
      <c r="F38" s="20" t="n">
        <v>2.09708828</v>
      </c>
      <c r="G38" s="18" t="n">
        <v>26.74767737</v>
      </c>
      <c r="H38" s="20" t="n">
        <v>2.14997429</v>
      </c>
      <c r="I38" s="18" t="s">
        <v>567</v>
      </c>
      <c r="J38" s="20" t="s">
        <v>567</v>
      </c>
      <c r="K38" s="18" t="n">
        <v>0</v>
      </c>
      <c r="L38" s="20" t="n">
        <v>0</v>
      </c>
      <c r="M38" s="18" t="n">
        <v>0</v>
      </c>
      <c r="N38" s="20" t="n">
        <v>0</v>
      </c>
      <c r="O38" s="18" t="n">
        <v>0</v>
      </c>
      <c r="P38" s="20" t="n">
        <v>0</v>
      </c>
      <c r="Q38" s="18" t="n">
        <v>3.07372547</v>
      </c>
      <c r="R38" s="20" t="n">
        <v>0.59760118</v>
      </c>
    </row>
    <row r="39" spans="1:18">
      <c r="A39" s="15" t="s">
        <v>599</v>
      </c>
      <c r="B39" s="17" t="n">
        <v>2957</v>
      </c>
      <c r="C39" s="18">
        <f>(2304.0/B39*100)</f>
        <v/>
      </c>
      <c r="D39" s="19" t="n">
        <v>653</v>
      </c>
      <c r="E39" s="18" t="n">
        <v>91.32138799000001</v>
      </c>
      <c r="F39" s="20" t="n">
        <v>1.32947591</v>
      </c>
      <c r="G39" s="18" t="n">
        <v>7.70199221</v>
      </c>
      <c r="H39" s="20" t="n">
        <v>1.29567474</v>
      </c>
      <c r="I39" s="18" t="s">
        <v>567</v>
      </c>
      <c r="J39" s="20" t="s">
        <v>567</v>
      </c>
      <c r="K39" s="18" t="n">
        <v>0.42150293</v>
      </c>
      <c r="L39" s="20" t="n">
        <v>0.26378318</v>
      </c>
      <c r="M39" s="18" t="n">
        <v>0</v>
      </c>
      <c r="N39" s="20" t="n">
        <v>0</v>
      </c>
      <c r="O39" s="18" t="n">
        <v>0</v>
      </c>
      <c r="P39" s="20" t="n">
        <v>0</v>
      </c>
      <c r="Q39" s="18" t="n">
        <v>0.55511688</v>
      </c>
      <c r="R39" s="20" t="n">
        <v>0.18871966</v>
      </c>
    </row>
    <row r="40" spans="1:18">
      <c r="A40" s="15" t="s">
        <v>600</v>
      </c>
      <c r="B40" s="17" t="n">
        <v>7235</v>
      </c>
      <c r="C40" s="18">
        <f>(5611.0/B40*100)</f>
        <v/>
      </c>
      <c r="D40" s="19" t="n">
        <v>1624</v>
      </c>
      <c r="E40" s="18" t="n">
        <v>61.14866286</v>
      </c>
      <c r="F40" s="20" t="n">
        <v>1.85677536</v>
      </c>
      <c r="G40" s="18" t="n">
        <v>35.81733134</v>
      </c>
      <c r="H40" s="20" t="n">
        <v>1.79422365</v>
      </c>
      <c r="I40" s="18" t="s">
        <v>567</v>
      </c>
      <c r="J40" s="20" t="s">
        <v>567</v>
      </c>
      <c r="K40" s="18" t="n">
        <v>0.63348726</v>
      </c>
      <c r="L40" s="20" t="n">
        <v>0.34129733</v>
      </c>
      <c r="M40" s="18" t="n">
        <v>0</v>
      </c>
      <c r="N40" s="20" t="n">
        <v>0</v>
      </c>
      <c r="O40" s="18" t="n">
        <v>0</v>
      </c>
      <c r="P40" s="20" t="n">
        <v>0</v>
      </c>
      <c r="Q40" s="18" t="n">
        <v>2.40051855</v>
      </c>
      <c r="R40" s="20" t="n">
        <v>0.57356939</v>
      </c>
    </row>
    <row r="41" spans="1:18">
      <c r="A41" s="15" t="s">
        <v>601</v>
      </c>
      <c r="B41" s="17" t="n">
        <v>2858</v>
      </c>
      <c r="C41" s="18">
        <f>(2215.0/B41*100)</f>
        <v/>
      </c>
      <c r="D41" s="19" t="n">
        <v>643</v>
      </c>
      <c r="E41" s="18" t="n">
        <v>62.12220666</v>
      </c>
      <c r="F41" s="20" t="n">
        <v>2.36464494</v>
      </c>
      <c r="G41" s="18" t="n">
        <v>37.23555333</v>
      </c>
      <c r="H41" s="20" t="n">
        <v>2.32466231</v>
      </c>
      <c r="I41" s="18" t="s">
        <v>567</v>
      </c>
      <c r="J41" s="20" t="s">
        <v>567</v>
      </c>
      <c r="K41" s="18" t="n">
        <v>0.16246843</v>
      </c>
      <c r="L41" s="20" t="n">
        <v>0.15577418</v>
      </c>
      <c r="M41" s="18" t="n">
        <v>0</v>
      </c>
      <c r="N41" s="20" t="n">
        <v>0</v>
      </c>
      <c r="O41" s="18" t="n">
        <v>0</v>
      </c>
      <c r="P41" s="20" t="n">
        <v>0</v>
      </c>
      <c r="Q41" s="18" t="n">
        <v>0.47977158</v>
      </c>
      <c r="R41" s="20" t="n">
        <v>0.28888656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(9044.0/B46*100)</f>
        <v/>
      </c>
      <c r="D46" s="19" t="n">
        <v>2024</v>
      </c>
      <c r="E46" s="18" t="n">
        <v>86.21937948</v>
      </c>
      <c r="F46" s="20" t="n">
        <v>1.10830665</v>
      </c>
      <c r="G46" s="18" t="n">
        <v>8.06834317</v>
      </c>
      <c r="H46" s="20" t="n">
        <v>0.90179308</v>
      </c>
      <c r="I46" s="18" t="s">
        <v>567</v>
      </c>
      <c r="J46" s="20" t="s">
        <v>567</v>
      </c>
      <c r="K46" s="18" t="n">
        <v>1.0872735</v>
      </c>
      <c r="L46" s="20" t="n">
        <v>0.33958301</v>
      </c>
      <c r="M46" s="18" t="n">
        <v>0</v>
      </c>
      <c r="N46" s="20" t="n">
        <v>0</v>
      </c>
      <c r="O46" s="18" t="n">
        <v>0</v>
      </c>
      <c r="P46" s="20" t="n">
        <v>0</v>
      </c>
      <c r="Q46" s="18" t="n">
        <v>4.62500385</v>
      </c>
      <c r="R46" s="20" t="n">
        <v>0.6591396899999999</v>
      </c>
    </row>
    <row r="47" spans="1:18">
      <c r="A47" s="15" t="s">
        <v>607</v>
      </c>
      <c r="B47" s="17" t="n">
        <v>3105</v>
      </c>
      <c r="C47" s="18">
        <f>(2433.0/B47*100)</f>
        <v/>
      </c>
      <c r="D47" s="19" t="n">
        <v>672</v>
      </c>
      <c r="E47" s="18" t="n">
        <v>82.30279785</v>
      </c>
      <c r="F47" s="20" t="n">
        <v>1.60377297</v>
      </c>
      <c r="G47" s="18" t="n">
        <v>15.54954128</v>
      </c>
      <c r="H47" s="20" t="n">
        <v>1.65669758</v>
      </c>
      <c r="I47" s="18" t="s">
        <v>567</v>
      </c>
      <c r="J47" s="20" t="s">
        <v>567</v>
      </c>
      <c r="K47" s="18" t="n">
        <v>0</v>
      </c>
      <c r="L47" s="20" t="n">
        <v>0</v>
      </c>
      <c r="M47" s="18" t="n">
        <v>0</v>
      </c>
      <c r="N47" s="20" t="n">
        <v>0</v>
      </c>
      <c r="O47" s="18" t="n">
        <v>0</v>
      </c>
      <c r="P47" s="20" t="n">
        <v>0</v>
      </c>
      <c r="Q47" s="18" t="n">
        <v>2.14766087</v>
      </c>
      <c r="R47" s="20" t="n">
        <v>0.63896434</v>
      </c>
    </row>
    <row r="48" spans="1:18">
      <c r="A48" s="15" t="s">
        <v>608</v>
      </c>
      <c r="B48" s="17" t="n">
        <v>5159</v>
      </c>
      <c r="C48" s="18">
        <f>(4024.0/B48*100)</f>
        <v/>
      </c>
      <c r="D48" s="19" t="n">
        <v>1135</v>
      </c>
      <c r="E48" s="18" t="n">
        <v>63.107856</v>
      </c>
      <c r="F48" s="20" t="n">
        <v>2.20385188</v>
      </c>
      <c r="G48" s="18" t="n">
        <v>35.71579754</v>
      </c>
      <c r="H48" s="20" t="n">
        <v>2.13074669</v>
      </c>
      <c r="I48" s="18" t="s">
        <v>567</v>
      </c>
      <c r="J48" s="20" t="s">
        <v>567</v>
      </c>
      <c r="K48" s="18" t="n">
        <v>0.63706283</v>
      </c>
      <c r="L48" s="20" t="n">
        <v>0.45870094</v>
      </c>
      <c r="M48" s="18" t="n">
        <v>0</v>
      </c>
      <c r="N48" s="20" t="n">
        <v>0</v>
      </c>
      <c r="O48" s="18" t="n">
        <v>0</v>
      </c>
      <c r="P48" s="20" t="n">
        <v>0</v>
      </c>
      <c r="Q48" s="18" t="n">
        <v>0.53928362</v>
      </c>
      <c r="R48" s="20" t="n">
        <v>0.32866314</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(4395.0/B50*100)</f>
        <v/>
      </c>
      <c r="D50" s="19" t="n">
        <v>1242</v>
      </c>
      <c r="E50" s="18" t="n">
        <v>84.95421215</v>
      </c>
      <c r="F50" s="20" t="n">
        <v>1.27597223</v>
      </c>
      <c r="G50" s="18" t="n">
        <v>13.30471997</v>
      </c>
      <c r="H50" s="20" t="n">
        <v>1.2740187</v>
      </c>
      <c r="I50" s="18" t="s">
        <v>567</v>
      </c>
      <c r="J50" s="20" t="s">
        <v>567</v>
      </c>
      <c r="K50" s="18" t="n">
        <v>0.96328448</v>
      </c>
      <c r="L50" s="20" t="n">
        <v>0.31571858</v>
      </c>
      <c r="M50" s="18" t="n">
        <v>0</v>
      </c>
      <c r="N50" s="20" t="n">
        <v>0</v>
      </c>
      <c r="O50" s="18" t="n">
        <v>0</v>
      </c>
      <c r="P50" s="20" t="n">
        <v>0</v>
      </c>
      <c r="Q50" s="18" t="n">
        <v>0.77778339</v>
      </c>
      <c r="R50" s="20" t="n">
        <v>0.31923235</v>
      </c>
    </row>
    <row r="51" spans="1:18">
      <c r="A51" s="15" t="s">
        <v>611</v>
      </c>
      <c r="B51" s="17" t="n">
        <v>3372</v>
      </c>
      <c r="C51" s="18">
        <f>(2724.0/B51*100)</f>
        <v/>
      </c>
      <c r="D51" s="19" t="n">
        <v>648</v>
      </c>
      <c r="E51" s="18" t="n">
        <v>85.58796627</v>
      </c>
      <c r="F51" s="20" t="n">
        <v>1.58095441</v>
      </c>
      <c r="G51" s="18" t="n">
        <v>11.68112784</v>
      </c>
      <c r="H51" s="20" t="n">
        <v>1.22073304</v>
      </c>
      <c r="I51" s="18" t="s">
        <v>567</v>
      </c>
      <c r="J51" s="20" t="s">
        <v>567</v>
      </c>
      <c r="K51" s="18" t="n">
        <v>0.85298859</v>
      </c>
      <c r="L51" s="20" t="n">
        <v>0.47811474</v>
      </c>
      <c r="M51" s="18" t="n">
        <v>0</v>
      </c>
      <c r="N51" s="20" t="n">
        <v>0</v>
      </c>
      <c r="O51" s="18" t="n">
        <v>0</v>
      </c>
      <c r="P51" s="20" t="n">
        <v>0</v>
      </c>
      <c r="Q51" s="18" t="n">
        <v>1.8779173</v>
      </c>
      <c r="R51" s="20" t="n">
        <v>0.97484808</v>
      </c>
    </row>
    <row r="52" spans="1:18">
      <c r="A52" s="15" t="s">
        <v>612</v>
      </c>
      <c r="B52" s="17" t="n">
        <v>2796</v>
      </c>
      <c r="C52" s="18">
        <f>(2158.0/B52*100)</f>
        <v/>
      </c>
      <c r="D52" s="19" t="n">
        <v>638</v>
      </c>
      <c r="E52" s="18" t="n">
        <v>72.53962128000001</v>
      </c>
      <c r="F52" s="20" t="n">
        <v>2.24050522</v>
      </c>
      <c r="G52" s="18" t="n">
        <v>25.49800966</v>
      </c>
      <c r="H52" s="20" t="n">
        <v>2.23849535</v>
      </c>
      <c r="I52" s="18" t="s">
        <v>567</v>
      </c>
      <c r="J52" s="20" t="s">
        <v>567</v>
      </c>
      <c r="K52" s="18" t="n">
        <v>0.25894153</v>
      </c>
      <c r="L52" s="20" t="n">
        <v>0.1876321</v>
      </c>
      <c r="M52" s="18" t="n">
        <v>0</v>
      </c>
      <c r="N52" s="20" t="n">
        <v>0</v>
      </c>
      <c r="O52" s="18" t="n">
        <v>0</v>
      </c>
      <c r="P52" s="20" t="n">
        <v>0</v>
      </c>
      <c r="Q52" s="18" t="n">
        <v>1.70342753</v>
      </c>
      <c r="R52" s="20" t="n">
        <v>0.5064877800000001</v>
      </c>
    </row>
    <row r="53" spans="1:18">
      <c r="A53" s="15" t="s">
        <v>613</v>
      </c>
      <c r="B53" s="17" t="n">
        <v>2811</v>
      </c>
      <c r="C53" s="18">
        <f>(2170.0/B53*100)</f>
        <v/>
      </c>
      <c r="D53" s="19" t="n">
        <v>641</v>
      </c>
      <c r="E53" s="18" t="n">
        <v>80.00519558000001</v>
      </c>
      <c r="F53" s="20" t="n">
        <v>1.7864781</v>
      </c>
      <c r="G53" s="18" t="n">
        <v>13.94200025</v>
      </c>
      <c r="H53" s="20" t="n">
        <v>1.38863142</v>
      </c>
      <c r="I53" s="18" t="s">
        <v>567</v>
      </c>
      <c r="J53" s="20" t="s">
        <v>567</v>
      </c>
      <c r="K53" s="18" t="n">
        <v>0.46575669</v>
      </c>
      <c r="L53" s="20" t="n">
        <v>0.28185001</v>
      </c>
      <c r="M53" s="18" t="n">
        <v>0</v>
      </c>
      <c r="N53" s="20" t="n">
        <v>0</v>
      </c>
      <c r="O53" s="18" t="n">
        <v>0</v>
      </c>
      <c r="P53" s="20" t="n">
        <v>0</v>
      </c>
      <c r="Q53" s="18" t="n">
        <v>5.58704748</v>
      </c>
      <c r="R53" s="20" t="n">
        <v>1.02011212</v>
      </c>
    </row>
    <row r="54" spans="1:18">
      <c r="A54" s="15" t="s">
        <v>614</v>
      </c>
      <c r="B54" s="17" t="n">
        <v>2266</v>
      </c>
      <c r="C54" s="18">
        <f>(1782.0/B54*100)</f>
        <v/>
      </c>
      <c r="D54" s="19" t="n">
        <v>484</v>
      </c>
      <c r="E54" s="18" t="n">
        <v>82.30872917000001</v>
      </c>
      <c r="F54" s="20" t="n">
        <v>2.12665497</v>
      </c>
      <c r="G54" s="18" t="n">
        <v>1.7711376</v>
      </c>
      <c r="H54" s="20" t="n">
        <v>0.85586758</v>
      </c>
      <c r="I54" s="18" t="s">
        <v>567</v>
      </c>
      <c r="J54" s="20" t="s">
        <v>567</v>
      </c>
      <c r="K54" s="18" t="n">
        <v>12.73978446</v>
      </c>
      <c r="L54" s="20" t="n">
        <v>1.82419361</v>
      </c>
      <c r="M54" s="18" t="n">
        <v>0</v>
      </c>
      <c r="N54" s="20" t="n">
        <v>0</v>
      </c>
      <c r="O54" s="18" t="n">
        <v>0</v>
      </c>
      <c r="P54" s="20" t="n">
        <v>0</v>
      </c>
      <c r="Q54" s="18" t="n">
        <v>3.18034878</v>
      </c>
      <c r="R54" s="20" t="n">
        <v>0.7776954700000001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(2095.0/B56*100)</f>
        <v/>
      </c>
      <c r="D56" s="19" t="n">
        <v>589</v>
      </c>
      <c r="E56" s="18" t="n">
        <v>72.8954248</v>
      </c>
      <c r="F56" s="20" t="n">
        <v>1.83731632</v>
      </c>
      <c r="G56" s="18" t="n">
        <v>26.53374045</v>
      </c>
      <c r="H56" s="20" t="n">
        <v>1.83685071</v>
      </c>
      <c r="I56" s="18" t="s">
        <v>567</v>
      </c>
      <c r="J56" s="20" t="s">
        <v>567</v>
      </c>
      <c r="K56" s="18" t="n">
        <v>0.14727126</v>
      </c>
      <c r="L56" s="20" t="n">
        <v>0.14780532</v>
      </c>
      <c r="M56" s="18" t="n">
        <v>0</v>
      </c>
      <c r="N56" s="20" t="n">
        <v>0</v>
      </c>
      <c r="O56" s="18" t="n">
        <v>0</v>
      </c>
      <c r="P56" s="20" t="n">
        <v>0</v>
      </c>
      <c r="Q56" s="18" t="n">
        <v>0.42356349</v>
      </c>
      <c r="R56" s="20" t="n">
        <v>0.31796175</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(2562.0/B61*100)</f>
        <v/>
      </c>
      <c r="D61" s="19" t="n">
        <v>762</v>
      </c>
      <c r="E61" s="18" t="n">
        <v>72.61999281999999</v>
      </c>
      <c r="F61" s="20" t="n">
        <v>1.99497217</v>
      </c>
      <c r="G61" s="18" t="n">
        <v>24.38762767</v>
      </c>
      <c r="H61" s="20" t="n">
        <v>1.88321848</v>
      </c>
      <c r="I61" s="18" t="s">
        <v>567</v>
      </c>
      <c r="J61" s="20" t="s">
        <v>567</v>
      </c>
      <c r="K61" s="18" t="n">
        <v>0.48367099</v>
      </c>
      <c r="L61" s="20" t="n">
        <v>0.24427241</v>
      </c>
      <c r="M61" s="18" t="n">
        <v>0</v>
      </c>
      <c r="N61" s="20" t="n">
        <v>0</v>
      </c>
      <c r="O61" s="18" t="n">
        <v>0</v>
      </c>
      <c r="P61" s="20" t="n">
        <v>0</v>
      </c>
      <c r="Q61" s="18" t="n">
        <v>2.50870851</v>
      </c>
      <c r="R61" s="20" t="n">
        <v>0.7385685400000001</v>
      </c>
    </row>
    <row r="62" spans="1:18">
      <c r="A62" s="15" t="s">
        <v>622</v>
      </c>
      <c r="B62" s="17" t="n">
        <v>2246</v>
      </c>
      <c r="C62" s="18">
        <f>(1775.0/B62*100)</f>
        <v/>
      </c>
      <c r="D62" s="19" t="n">
        <v>471</v>
      </c>
      <c r="E62" s="18" t="n">
        <v>61.3414597</v>
      </c>
      <c r="F62" s="20" t="n">
        <v>2.15034618</v>
      </c>
      <c r="G62" s="18" t="n">
        <v>38.6585403</v>
      </c>
      <c r="H62" s="20" t="n">
        <v>2.15034618</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(2274.0/B66*100)</f>
        <v/>
      </c>
      <c r="D66" s="19" t="n">
        <v>620</v>
      </c>
      <c r="E66" s="18" t="n">
        <v>82.58184064</v>
      </c>
      <c r="F66" s="20" t="n">
        <v>1.57052163</v>
      </c>
      <c r="G66" s="18" t="n">
        <v>6.83292812</v>
      </c>
      <c r="H66" s="20" t="n">
        <v>1.027898</v>
      </c>
      <c r="I66" s="18" t="s">
        <v>567</v>
      </c>
      <c r="J66" s="20" t="s">
        <v>567</v>
      </c>
      <c r="K66" s="18" t="n">
        <v>0.64598019</v>
      </c>
      <c r="L66" s="20" t="n">
        <v>0.32946322</v>
      </c>
      <c r="M66" s="18" t="n">
        <v>0</v>
      </c>
      <c r="N66" s="20" t="n">
        <v>0</v>
      </c>
      <c r="O66" s="18" t="n">
        <v>0</v>
      </c>
      <c r="P66" s="20" t="n">
        <v>0</v>
      </c>
      <c r="Q66" s="18" t="n">
        <v>9.93925104</v>
      </c>
      <c r="R66" s="20" t="n">
        <v>1.23646739</v>
      </c>
    </row>
    <row r="67" spans="1:18">
      <c r="A67" s="15" t="s">
        <v>627</v>
      </c>
      <c r="B67" s="17" t="n">
        <v>3511</v>
      </c>
      <c r="C67" s="18">
        <f>(2802.0/B67*100)</f>
        <v/>
      </c>
      <c r="D67" s="19" t="n">
        <v>709</v>
      </c>
      <c r="E67" s="18" t="n">
        <v>92.63701201000001</v>
      </c>
      <c r="F67" s="20" t="n">
        <v>0.88944007</v>
      </c>
      <c r="G67" s="18" t="n">
        <v>5.79745636</v>
      </c>
      <c r="H67" s="20" t="n">
        <v>0.81166981</v>
      </c>
      <c r="I67" s="18" t="s">
        <v>567</v>
      </c>
      <c r="J67" s="20" t="s">
        <v>567</v>
      </c>
      <c r="K67" s="18" t="n">
        <v>0</v>
      </c>
      <c r="L67" s="20" t="n">
        <v>0</v>
      </c>
      <c r="M67" s="18" t="n">
        <v>0</v>
      </c>
      <c r="N67" s="20" t="n">
        <v>0</v>
      </c>
      <c r="O67" s="18" t="n">
        <v>0</v>
      </c>
      <c r="P67" s="20" t="n">
        <v>0</v>
      </c>
      <c r="Q67" s="18" t="n">
        <v>1.56553162</v>
      </c>
      <c r="R67" s="20" t="n">
        <v>0.40368021</v>
      </c>
    </row>
    <row r="68" spans="1:18">
      <c r="A68" s="15" t="s">
        <v>628</v>
      </c>
      <c r="B68" s="17" t="n">
        <v>6049</v>
      </c>
      <c r="C68" s="18">
        <f>(4734.0/B68*100)</f>
        <v/>
      </c>
      <c r="D68" s="19" t="n">
        <v>1315</v>
      </c>
      <c r="E68" s="18" t="n">
        <v>81.87597285</v>
      </c>
      <c r="F68" s="20" t="n">
        <v>1.10281134</v>
      </c>
      <c r="G68" s="18" t="n">
        <v>12.30347263</v>
      </c>
      <c r="H68" s="20" t="n">
        <v>0.95226135</v>
      </c>
      <c r="I68" s="18" t="s">
        <v>567</v>
      </c>
      <c r="J68" s="20" t="s">
        <v>567</v>
      </c>
      <c r="K68" s="18" t="n">
        <v>1.77237221</v>
      </c>
      <c r="L68" s="20" t="n">
        <v>0.36042762</v>
      </c>
      <c r="M68" s="18" t="n">
        <v>0</v>
      </c>
      <c r="N68" s="20" t="n">
        <v>0</v>
      </c>
      <c r="O68" s="18" t="n">
        <v>0</v>
      </c>
      <c r="P68" s="20" t="n">
        <v>0</v>
      </c>
      <c r="Q68" s="18" t="n">
        <v>4.04818231</v>
      </c>
      <c r="R68" s="20" t="n">
        <v>0.49984587</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(2280.0/B70*100)</f>
        <v/>
      </c>
      <c r="D70" s="19" t="n">
        <v>649</v>
      </c>
      <c r="E70" s="18" t="n">
        <v>74.27558551</v>
      </c>
      <c r="F70" s="20" t="n">
        <v>1.74509135</v>
      </c>
      <c r="G70" s="18" t="n">
        <v>24.97435066</v>
      </c>
      <c r="H70" s="20" t="n">
        <v>1.79270444</v>
      </c>
      <c r="I70" s="18" t="s">
        <v>567</v>
      </c>
      <c r="J70" s="20" t="s">
        <v>567</v>
      </c>
      <c r="K70" s="18" t="n">
        <v>0.17042682</v>
      </c>
      <c r="L70" s="20" t="n">
        <v>0.10926159</v>
      </c>
      <c r="M70" s="18" t="n">
        <v>0</v>
      </c>
      <c r="N70" s="20" t="n">
        <v>0</v>
      </c>
      <c r="O70" s="18" t="n">
        <v>0</v>
      </c>
      <c r="P70" s="20" t="n">
        <v>0</v>
      </c>
      <c r="Q70" s="18" t="n">
        <v>0.579637</v>
      </c>
      <c r="R70" s="20" t="n">
        <v>0.28797992</v>
      </c>
    </row>
    <row r="71" spans="1:18">
      <c r="A71" s="15" t="s">
        <v>631</v>
      </c>
      <c r="B71" s="17" t="n">
        <v>3142</v>
      </c>
      <c r="C71" s="18">
        <f>(2437.0/B71*100)</f>
        <v/>
      </c>
      <c r="D71" s="19" t="n">
        <v>705</v>
      </c>
      <c r="E71" s="18" t="n">
        <v>49.74485628</v>
      </c>
      <c r="F71" s="20" t="n">
        <v>2.0047696</v>
      </c>
      <c r="G71" s="18" t="n">
        <v>49.47319165</v>
      </c>
      <c r="H71" s="20" t="n">
        <v>1.97521808</v>
      </c>
      <c r="I71" s="18" t="s">
        <v>567</v>
      </c>
      <c r="J71" s="20" t="s">
        <v>567</v>
      </c>
      <c r="K71" s="18" t="n">
        <v>0.151655</v>
      </c>
      <c r="L71" s="20" t="n">
        <v>0.14461757</v>
      </c>
      <c r="M71" s="18" t="n">
        <v>0</v>
      </c>
      <c r="N71" s="20" t="n">
        <v>0</v>
      </c>
      <c r="O71" s="18" t="n">
        <v>0</v>
      </c>
      <c r="P71" s="20" t="n">
        <v>0</v>
      </c>
      <c r="Q71" s="18" t="n">
        <v>0.63029707</v>
      </c>
      <c r="R71" s="20" t="n">
        <v>0.26331284</v>
      </c>
    </row>
    <row r="72" spans="1:18">
      <c r="A72" s="15" t="s">
        <v>632</v>
      </c>
      <c r="B72" s="17" t="n">
        <v>3889</v>
      </c>
      <c r="C72" s="18">
        <f>(3019.0/B72*100)</f>
        <v/>
      </c>
      <c r="D72" s="19" t="n">
        <v>870</v>
      </c>
      <c r="E72" s="18" t="n">
        <v>70.14799913</v>
      </c>
      <c r="F72" s="20" t="n">
        <v>1.96247119</v>
      </c>
      <c r="G72" s="18" t="n">
        <v>29.2684139</v>
      </c>
      <c r="H72" s="20" t="n">
        <v>1.96600345</v>
      </c>
      <c r="I72" s="18" t="s">
        <v>567</v>
      </c>
      <c r="J72" s="20" t="s">
        <v>567</v>
      </c>
      <c r="K72" s="18" t="n">
        <v>0.14865981</v>
      </c>
      <c r="L72" s="20" t="n">
        <v>0.14840937</v>
      </c>
      <c r="M72" s="18" t="n">
        <v>0</v>
      </c>
      <c r="N72" s="20" t="n">
        <v>0</v>
      </c>
      <c r="O72" s="18" t="n">
        <v>0</v>
      </c>
      <c r="P72" s="20" t="n">
        <v>0</v>
      </c>
      <c r="Q72" s="18" t="n">
        <v>0.43492716</v>
      </c>
      <c r="R72" s="20" t="n">
        <v>0.23104698</v>
      </c>
    </row>
    <row r="73" spans="1:18">
      <c r="A73" s="15" t="s">
        <v>633</v>
      </c>
      <c r="B73" s="17" t="n">
        <v>3597</v>
      </c>
      <c r="C73" s="18">
        <f>(2836.0/B73*100)</f>
        <v/>
      </c>
      <c r="D73" s="19" t="n">
        <v>761</v>
      </c>
      <c r="E73" s="18" t="n">
        <v>85.47653217</v>
      </c>
      <c r="F73" s="20" t="n">
        <v>1.51378558</v>
      </c>
      <c r="G73" s="18" t="n">
        <v>13.08562063</v>
      </c>
      <c r="H73" s="20" t="n">
        <v>1.47897287</v>
      </c>
      <c r="I73" s="18" t="s">
        <v>567</v>
      </c>
      <c r="J73" s="20" t="s">
        <v>567</v>
      </c>
      <c r="K73" s="18" t="n">
        <v>0.1821503</v>
      </c>
      <c r="L73" s="20" t="n">
        <v>0.12925932</v>
      </c>
      <c r="M73" s="18" t="n">
        <v>0</v>
      </c>
      <c r="N73" s="20" t="n">
        <v>0</v>
      </c>
      <c r="O73" s="18" t="n">
        <v>0</v>
      </c>
      <c r="P73" s="20" t="n">
        <v>0</v>
      </c>
      <c r="Q73" s="18" t="n">
        <v>1.25569691</v>
      </c>
      <c r="R73" s="20" t="n">
        <v>0.42783669</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(1904.0/B75*100)</f>
        <v/>
      </c>
      <c r="D75" s="19" t="n">
        <v>502</v>
      </c>
      <c r="E75" s="18" t="n">
        <v>89.73735879</v>
      </c>
      <c r="F75" s="20" t="n">
        <v>1.54945303</v>
      </c>
      <c r="G75" s="18" t="n">
        <v>4.93685322</v>
      </c>
      <c r="H75" s="20" t="n">
        <v>1.11518686</v>
      </c>
      <c r="I75" s="18" t="s">
        <v>567</v>
      </c>
      <c r="J75" s="20" t="s">
        <v>567</v>
      </c>
      <c r="K75" s="18" t="n">
        <v>1.56243086</v>
      </c>
      <c r="L75" s="20" t="n">
        <v>0.64215275</v>
      </c>
      <c r="M75" s="18" t="n">
        <v>0</v>
      </c>
      <c r="N75" s="20" t="n">
        <v>0</v>
      </c>
      <c r="O75" s="18" t="n">
        <v>0</v>
      </c>
      <c r="P75" s="20" t="n">
        <v>0</v>
      </c>
      <c r="Q75" s="18" t="n">
        <v>3.76335713</v>
      </c>
      <c r="R75" s="20" t="n">
        <v>0.87747382</v>
      </c>
    </row>
    <row r="76" spans="1:18">
      <c r="A76" s="15" t="s">
        <v>636</v>
      </c>
      <c r="B76" s="17" t="n">
        <v>7052</v>
      </c>
      <c r="C76" s="18">
        <f>(5499.0/B76*100)</f>
        <v/>
      </c>
      <c r="D76" s="19" t="n">
        <v>1553</v>
      </c>
      <c r="E76" s="18" t="n">
        <v>81.03726248</v>
      </c>
      <c r="F76" s="20" t="n">
        <v>1.21260111</v>
      </c>
      <c r="G76" s="18" t="n">
        <v>16.40961228</v>
      </c>
      <c r="H76" s="20" t="n">
        <v>1.18296257</v>
      </c>
      <c r="I76" s="18" t="s">
        <v>567</v>
      </c>
      <c r="J76" s="20" t="s">
        <v>567</v>
      </c>
      <c r="K76" s="18" t="n">
        <v>0.59039692</v>
      </c>
      <c r="L76" s="20" t="n">
        <v>0.20885029</v>
      </c>
      <c r="M76" s="18" t="n">
        <v>0</v>
      </c>
      <c r="N76" s="20" t="n">
        <v>0</v>
      </c>
      <c r="O76" s="18" t="n">
        <v>0</v>
      </c>
      <c r="P76" s="20" t="n">
        <v>0</v>
      </c>
      <c r="Q76" s="18" t="n">
        <v>1.96272832</v>
      </c>
      <c r="R76" s="20" t="n">
        <v>0.44704671</v>
      </c>
    </row>
    <row r="77" spans="1:18">
      <c r="A77" s="15" t="s">
        <v>637</v>
      </c>
      <c r="B77" s="17" t="n">
        <v>2908</v>
      </c>
      <c r="C77" s="18">
        <f>(2247.0/B77*100)</f>
        <v/>
      </c>
      <c r="D77" s="19" t="n">
        <v>661</v>
      </c>
      <c r="E77" s="18" t="n">
        <v>77.52648816999999</v>
      </c>
      <c r="F77" s="20" t="n">
        <v>1.93604637</v>
      </c>
      <c r="G77" s="18" t="n">
        <v>16.43321957</v>
      </c>
      <c r="H77" s="20" t="n">
        <v>1.74958674</v>
      </c>
      <c r="I77" s="18" t="s">
        <v>567</v>
      </c>
      <c r="J77" s="20" t="s">
        <v>567</v>
      </c>
      <c r="K77" s="18" t="n">
        <v>0.6061407599999999</v>
      </c>
      <c r="L77" s="20" t="n">
        <v>0.29802796</v>
      </c>
      <c r="M77" s="18" t="n">
        <v>0</v>
      </c>
      <c r="N77" s="20" t="n">
        <v>0</v>
      </c>
      <c r="O77" s="18" t="n">
        <v>0</v>
      </c>
      <c r="P77" s="20" t="n">
        <v>0</v>
      </c>
      <c r="Q77" s="18" t="n">
        <v>5.4341515</v>
      </c>
      <c r="R77" s="20" t="n">
        <v>0.861616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(3230.0/B81*100)</f>
        <v/>
      </c>
      <c r="D81" s="19" t="n">
        <v>933</v>
      </c>
      <c r="E81" s="18" t="n">
        <v>75.14128741</v>
      </c>
      <c r="F81" s="20" t="n">
        <v>1.74392558</v>
      </c>
      <c r="G81" s="18" t="n">
        <v>24.17113321</v>
      </c>
      <c r="H81" s="20" t="n">
        <v>1.72726938</v>
      </c>
      <c r="I81" s="18" t="s">
        <v>567</v>
      </c>
      <c r="J81" s="20" t="s">
        <v>567</v>
      </c>
      <c r="K81" s="18" t="n">
        <v>0.17209254</v>
      </c>
      <c r="L81" s="20" t="n">
        <v>0.17160713</v>
      </c>
      <c r="M81" s="18" t="n">
        <v>0</v>
      </c>
      <c r="N81" s="20" t="n">
        <v>0</v>
      </c>
      <c r="O81" s="18" t="n">
        <v>0</v>
      </c>
      <c r="P81" s="20" t="n">
        <v>0</v>
      </c>
      <c r="Q81" s="18" t="n">
        <v>0.51548684</v>
      </c>
      <c r="R81" s="20" t="n">
        <v>0.33298325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(5761.0/B7*100)</f>
        <v/>
      </c>
      <c r="D7" s="19" t="n">
        <v>1606</v>
      </c>
      <c r="E7" s="18" t="n">
        <v>74.36128545</v>
      </c>
      <c r="F7" s="20" t="n">
        <v>1.18168853</v>
      </c>
      <c r="G7" s="18" t="n">
        <v>21.17667229</v>
      </c>
      <c r="H7" s="20" t="n">
        <v>1.12721486</v>
      </c>
      <c r="I7" s="18" t="s">
        <v>567</v>
      </c>
      <c r="J7" s="20" t="s">
        <v>567</v>
      </c>
      <c r="K7" s="18" t="n">
        <v>0.36851784</v>
      </c>
      <c r="L7" s="20" t="n">
        <v>0.14071085</v>
      </c>
      <c r="M7" s="18" t="n">
        <v>0.0083689</v>
      </c>
      <c r="N7" s="20" t="n">
        <v>0.00848403</v>
      </c>
      <c r="O7" s="18" t="n">
        <v>0</v>
      </c>
      <c r="P7" s="20" t="n">
        <v>0</v>
      </c>
      <c r="Q7" s="18" t="n">
        <v>4.08515552</v>
      </c>
      <c r="R7" s="20" t="n">
        <v>0.63015396</v>
      </c>
    </row>
    <row r="8" spans="1:18">
      <c r="A8" s="15" t="s">
        <v>568</v>
      </c>
      <c r="B8" s="17" t="n">
        <v>3564</v>
      </c>
      <c r="C8" s="18">
        <f>(2793.0/B8*100)</f>
        <v/>
      </c>
      <c r="D8" s="19" t="n">
        <v>771</v>
      </c>
      <c r="E8" s="18" t="n">
        <v>73.19305799999999</v>
      </c>
      <c r="F8" s="20" t="n">
        <v>1.89049703</v>
      </c>
      <c r="G8" s="18" t="n">
        <v>23.89652836</v>
      </c>
      <c r="H8" s="20" t="n">
        <v>1.73922302</v>
      </c>
      <c r="I8" s="18" t="s">
        <v>567</v>
      </c>
      <c r="J8" s="20" t="s">
        <v>567</v>
      </c>
      <c r="K8" s="18" t="n">
        <v>0.10338717</v>
      </c>
      <c r="L8" s="20" t="n">
        <v>0.17554504</v>
      </c>
      <c r="M8" s="18" t="n">
        <v>0</v>
      </c>
      <c r="N8" s="20" t="n">
        <v>0</v>
      </c>
      <c r="O8" s="18" t="n">
        <v>0</v>
      </c>
      <c r="P8" s="20" t="n">
        <v>0</v>
      </c>
      <c r="Q8" s="18" t="n">
        <v>2.80702647</v>
      </c>
      <c r="R8" s="20" t="n">
        <v>0.8487868</v>
      </c>
    </row>
    <row r="9" spans="1:18">
      <c r="A9" s="15" t="s">
        <v>569</v>
      </c>
      <c r="B9" s="17" t="n">
        <v>4899</v>
      </c>
      <c r="C9" s="18">
        <f>(3863.0/B9*100)</f>
        <v/>
      </c>
      <c r="D9" s="19" t="n">
        <v>1036</v>
      </c>
      <c r="E9" s="18" t="n">
        <v>71.59911424000001</v>
      </c>
      <c r="F9" s="20" t="n">
        <v>1.44877324</v>
      </c>
      <c r="G9" s="18" t="n">
        <v>24.8097282</v>
      </c>
      <c r="H9" s="20" t="n">
        <v>1.39371804</v>
      </c>
      <c r="I9" s="18" t="s">
        <v>567</v>
      </c>
      <c r="J9" s="20" t="s">
        <v>567</v>
      </c>
      <c r="K9" s="18" t="n">
        <v>0.13156695</v>
      </c>
      <c r="L9" s="20" t="n">
        <v>0.07371548</v>
      </c>
      <c r="M9" s="18" t="n">
        <v>0.30305502</v>
      </c>
      <c r="N9" s="20" t="n">
        <v>0.18068284</v>
      </c>
      <c r="O9" s="18" t="n">
        <v>0</v>
      </c>
      <c r="P9" s="20" t="n">
        <v>0</v>
      </c>
      <c r="Q9" s="18" t="n">
        <v>3.15653558</v>
      </c>
      <c r="R9" s="20" t="n">
        <v>0.72523576</v>
      </c>
    </row>
    <row r="10" spans="1:18">
      <c r="A10" s="15" t="s">
        <v>570</v>
      </c>
      <c r="B10" s="17" t="n">
        <v>10036</v>
      </c>
      <c r="C10" s="18">
        <f>(7866.0/B10*100)</f>
        <v/>
      </c>
      <c r="D10" s="19" t="n">
        <v>2170</v>
      </c>
      <c r="E10" s="18" t="n">
        <v>75.36065687</v>
      </c>
      <c r="F10" s="20" t="n">
        <v>1.15019587</v>
      </c>
      <c r="G10" s="18" t="n">
        <v>22.36348675</v>
      </c>
      <c r="H10" s="20" t="n">
        <v>1.14691547</v>
      </c>
      <c r="I10" s="18" t="s">
        <v>567</v>
      </c>
      <c r="J10" s="20" t="s">
        <v>567</v>
      </c>
      <c r="K10" s="18" t="n">
        <v>0.05086224</v>
      </c>
      <c r="L10" s="20" t="n">
        <v>0.03146882</v>
      </c>
      <c r="M10" s="18" t="n">
        <v>0.04113645</v>
      </c>
      <c r="N10" s="20" t="n">
        <v>0.02905952</v>
      </c>
      <c r="O10" s="18" t="n">
        <v>0</v>
      </c>
      <c r="P10" s="20" t="n">
        <v>0</v>
      </c>
      <c r="Q10" s="18" t="n">
        <v>2.1838577</v>
      </c>
      <c r="R10" s="20" t="n">
        <v>0.42479169</v>
      </c>
    </row>
    <row r="11" spans="1:18">
      <c r="A11" s="15" t="s">
        <v>571</v>
      </c>
      <c r="B11" s="17" t="n">
        <v>3553</v>
      </c>
      <c r="C11" s="18">
        <f>(2789.0/B11*100)</f>
        <v/>
      </c>
      <c r="D11" s="19" t="n">
        <v>764</v>
      </c>
      <c r="E11" s="18" t="n">
        <v>77.55431396</v>
      </c>
      <c r="F11" s="20" t="n">
        <v>1.60090291</v>
      </c>
      <c r="G11" s="18" t="n">
        <v>15.67563572</v>
      </c>
      <c r="H11" s="20" t="n">
        <v>1.45280279</v>
      </c>
      <c r="I11" s="18" t="s">
        <v>567</v>
      </c>
      <c r="J11" s="20" t="s">
        <v>567</v>
      </c>
      <c r="K11" s="18" t="n">
        <v>1.72950871</v>
      </c>
      <c r="L11" s="20" t="n">
        <v>0.5189689</v>
      </c>
      <c r="M11" s="18" t="n">
        <v>0</v>
      </c>
      <c r="N11" s="20" t="n">
        <v>0</v>
      </c>
      <c r="O11" s="18" t="n">
        <v>0</v>
      </c>
      <c r="P11" s="20" t="n">
        <v>0</v>
      </c>
      <c r="Q11" s="18" t="n">
        <v>5.0405416</v>
      </c>
      <c r="R11" s="20" t="n">
        <v>1.08991517</v>
      </c>
    </row>
    <row r="12" spans="1:18">
      <c r="A12" s="15" t="s">
        <v>572</v>
      </c>
      <c r="B12" s="17" t="n">
        <v>3472</v>
      </c>
      <c r="C12" s="18">
        <f>(2730.0/B12*100)</f>
        <v/>
      </c>
      <c r="D12" s="19" t="n">
        <v>742</v>
      </c>
      <c r="E12" s="18" t="n">
        <v>78.97057497</v>
      </c>
      <c r="F12" s="20" t="n">
        <v>1.57389023</v>
      </c>
      <c r="G12" s="18" t="n">
        <v>18.56928978</v>
      </c>
      <c r="H12" s="20" t="n">
        <v>1.50854279</v>
      </c>
      <c r="I12" s="18" t="s">
        <v>567</v>
      </c>
      <c r="J12" s="20" t="s">
        <v>567</v>
      </c>
      <c r="K12" s="18" t="n">
        <v>0.24600211</v>
      </c>
      <c r="L12" s="20" t="n">
        <v>0.21607476</v>
      </c>
      <c r="M12" s="18" t="n">
        <v>0</v>
      </c>
      <c r="N12" s="20" t="n">
        <v>0</v>
      </c>
      <c r="O12" s="18" t="n">
        <v>0</v>
      </c>
      <c r="P12" s="20" t="n">
        <v>0</v>
      </c>
      <c r="Q12" s="18" t="n">
        <v>2.21413315</v>
      </c>
      <c r="R12" s="20" t="n">
        <v>0.50952644</v>
      </c>
    </row>
    <row r="13" spans="1:18">
      <c r="A13" s="15" t="s">
        <v>573</v>
      </c>
      <c r="B13" s="17" t="n">
        <v>3559</v>
      </c>
      <c r="C13" s="18">
        <f>(2822.0/B13*100)</f>
        <v/>
      </c>
      <c r="D13" s="19" t="n">
        <v>737</v>
      </c>
      <c r="E13" s="18" t="n">
        <v>76.16625822</v>
      </c>
      <c r="F13" s="20" t="n">
        <v>1.84827433</v>
      </c>
      <c r="G13" s="18" t="n">
        <v>21.73260542</v>
      </c>
      <c r="H13" s="20" t="n">
        <v>1.81319782</v>
      </c>
      <c r="I13" s="18" t="s">
        <v>567</v>
      </c>
      <c r="J13" s="20" t="s">
        <v>567</v>
      </c>
      <c r="K13" s="18" t="n">
        <v>0.30678831</v>
      </c>
      <c r="L13" s="20" t="n">
        <v>0.19515257</v>
      </c>
      <c r="M13" s="18" t="n">
        <v>0.02779173</v>
      </c>
      <c r="N13" s="20" t="n">
        <v>0.02756254</v>
      </c>
      <c r="O13" s="18" t="n">
        <v>0</v>
      </c>
      <c r="P13" s="20" t="n">
        <v>0</v>
      </c>
      <c r="Q13" s="18" t="n">
        <v>1.76655632</v>
      </c>
      <c r="R13" s="20" t="n">
        <v>0.53944053</v>
      </c>
    </row>
    <row r="14" spans="1:18">
      <c r="A14" s="15" t="s">
        <v>574</v>
      </c>
      <c r="B14" s="17" t="n">
        <v>2799</v>
      </c>
      <c r="C14" s="18">
        <f>(2179.0/B14*100)</f>
        <v/>
      </c>
      <c r="D14" s="19" t="n">
        <v>620</v>
      </c>
      <c r="E14" s="18" t="n">
        <v>59.61183883</v>
      </c>
      <c r="F14" s="20" t="n">
        <v>2.15256705</v>
      </c>
      <c r="G14" s="18" t="n">
        <v>39.04139345</v>
      </c>
      <c r="H14" s="20" t="n">
        <v>2.11039755</v>
      </c>
      <c r="I14" s="18" t="s">
        <v>567</v>
      </c>
      <c r="J14" s="20" t="s">
        <v>567</v>
      </c>
      <c r="K14" s="18" t="n">
        <v>0</v>
      </c>
      <c r="L14" s="20" t="n">
        <v>0</v>
      </c>
      <c r="M14" s="18" t="n">
        <v>0</v>
      </c>
      <c r="N14" s="20" t="n">
        <v>0</v>
      </c>
      <c r="O14" s="18" t="n">
        <v>0</v>
      </c>
      <c r="P14" s="20" t="n">
        <v>0</v>
      </c>
      <c r="Q14" s="18" t="n">
        <v>1.34676772</v>
      </c>
      <c r="R14" s="20" t="n">
        <v>0.56770614</v>
      </c>
    </row>
    <row r="15" spans="1:18">
      <c r="A15" s="15" t="s">
        <v>575</v>
      </c>
      <c r="B15" s="17" t="n">
        <v>3019</v>
      </c>
      <c r="C15" s="18">
        <f>(2400.0/B15*100)</f>
        <v/>
      </c>
      <c r="D15" s="19" t="n">
        <v>619</v>
      </c>
      <c r="E15" s="18" t="n">
        <v>74.91883648</v>
      </c>
      <c r="F15" s="20" t="n">
        <v>1.76828457</v>
      </c>
      <c r="G15" s="18" t="n">
        <v>23.52800465</v>
      </c>
      <c r="H15" s="20" t="n">
        <v>1.72560058</v>
      </c>
      <c r="I15" s="18" t="s">
        <v>567</v>
      </c>
      <c r="J15" s="20" t="s">
        <v>567</v>
      </c>
      <c r="K15" s="18" t="n">
        <v>0.29880322</v>
      </c>
      <c r="L15" s="20" t="n">
        <v>0.21561563</v>
      </c>
      <c r="M15" s="18" t="n">
        <v>0</v>
      </c>
      <c r="N15" s="20" t="n">
        <v>0</v>
      </c>
      <c r="O15" s="18" t="n">
        <v>0</v>
      </c>
      <c r="P15" s="20" t="n">
        <v>0</v>
      </c>
      <c r="Q15" s="18" t="n">
        <v>1.25435565</v>
      </c>
      <c r="R15" s="20" t="n">
        <v>0.5864693600000001</v>
      </c>
    </row>
    <row r="16" spans="1:18">
      <c r="A16" s="15" t="s">
        <v>576</v>
      </c>
      <c r="B16" s="17" t="n">
        <v>2997</v>
      </c>
      <c r="C16" s="18">
        <f>(2350.0/B16*100)</f>
        <v/>
      </c>
      <c r="D16" s="19" t="n">
        <v>647</v>
      </c>
      <c r="E16" s="18" t="n">
        <v>74.96257318000001</v>
      </c>
      <c r="F16" s="20" t="n">
        <v>1.59352224</v>
      </c>
      <c r="G16" s="18" t="n">
        <v>18.91874015</v>
      </c>
      <c r="H16" s="20" t="n">
        <v>1.52802187</v>
      </c>
      <c r="I16" s="18" t="s">
        <v>567</v>
      </c>
      <c r="J16" s="20" t="s">
        <v>567</v>
      </c>
      <c r="K16" s="18" t="n">
        <v>1.40539711</v>
      </c>
      <c r="L16" s="20" t="n">
        <v>0.4790141</v>
      </c>
      <c r="M16" s="18" t="n">
        <v>0</v>
      </c>
      <c r="N16" s="20" t="n">
        <v>0</v>
      </c>
      <c r="O16" s="18" t="n">
        <v>0</v>
      </c>
      <c r="P16" s="20" t="n">
        <v>0</v>
      </c>
      <c r="Q16" s="18" t="n">
        <v>4.71328955</v>
      </c>
      <c r="R16" s="20" t="n">
        <v>0.84078291</v>
      </c>
    </row>
    <row r="17" spans="1:18">
      <c r="A17" s="15" t="s">
        <v>577</v>
      </c>
      <c r="B17" s="17" t="n">
        <v>3307</v>
      </c>
      <c r="C17" s="18">
        <f>(2588.0/B17*100)</f>
        <v/>
      </c>
      <c r="D17" s="19" t="n">
        <v>719</v>
      </c>
      <c r="E17" s="18" t="n">
        <v>71.03610681000001</v>
      </c>
      <c r="F17" s="20" t="n">
        <v>1.75667278</v>
      </c>
      <c r="G17" s="18" t="n">
        <v>25.38467058</v>
      </c>
      <c r="H17" s="20" t="n">
        <v>1.76308901</v>
      </c>
      <c r="I17" s="18" t="s">
        <v>567</v>
      </c>
      <c r="J17" s="20" t="s">
        <v>567</v>
      </c>
      <c r="K17" s="18" t="n">
        <v>0.13484364</v>
      </c>
      <c r="L17" s="20" t="n">
        <v>0.14077629</v>
      </c>
      <c r="M17" s="18" t="n">
        <v>0</v>
      </c>
      <c r="N17" s="20" t="n">
        <v>0</v>
      </c>
      <c r="O17" s="18" t="n">
        <v>0</v>
      </c>
      <c r="P17" s="20" t="n">
        <v>0</v>
      </c>
      <c r="Q17" s="18" t="n">
        <v>3.44437897</v>
      </c>
      <c r="R17" s="20" t="n">
        <v>0.79732324</v>
      </c>
    </row>
    <row r="18" spans="1:18">
      <c r="A18" s="15" t="s">
        <v>578</v>
      </c>
      <c r="B18" s="17" t="n">
        <v>2826</v>
      </c>
      <c r="C18" s="18">
        <f>(2216.0/B18*100)</f>
        <v/>
      </c>
      <c r="D18" s="19" t="n">
        <v>610</v>
      </c>
      <c r="E18" s="18" t="n">
        <v>78.23547825</v>
      </c>
      <c r="F18" s="20" t="n">
        <v>2.13255013</v>
      </c>
      <c r="G18" s="18" t="n">
        <v>16.82276755</v>
      </c>
      <c r="H18" s="20" t="n">
        <v>1.82943638</v>
      </c>
      <c r="I18" s="18" t="s">
        <v>567</v>
      </c>
      <c r="J18" s="20" t="s">
        <v>567</v>
      </c>
      <c r="K18" s="18" t="n">
        <v>0.221584</v>
      </c>
      <c r="L18" s="20" t="n">
        <v>0.17809065</v>
      </c>
      <c r="M18" s="18" t="n">
        <v>0</v>
      </c>
      <c r="N18" s="20" t="n">
        <v>0</v>
      </c>
      <c r="O18" s="18" t="n">
        <v>0</v>
      </c>
      <c r="P18" s="20" t="n">
        <v>0</v>
      </c>
      <c r="Q18" s="18" t="n">
        <v>4.72017019</v>
      </c>
      <c r="R18" s="20" t="n">
        <v>1.12248628</v>
      </c>
    </row>
    <row r="19" spans="1:18">
      <c r="A19" s="15" t="s">
        <v>579</v>
      </c>
      <c r="B19" s="17" t="n">
        <v>2808</v>
      </c>
      <c r="C19" s="18">
        <f>(2205.0/B19*100)</f>
        <v/>
      </c>
      <c r="D19" s="19" t="n">
        <v>603</v>
      </c>
      <c r="E19" s="18" t="n">
        <v>79.91051959000001</v>
      </c>
      <c r="F19" s="20" t="n">
        <v>1.68158429</v>
      </c>
      <c r="G19" s="18" t="n">
        <v>16.74703861</v>
      </c>
      <c r="H19" s="20" t="n">
        <v>1.54347771</v>
      </c>
      <c r="I19" s="18" t="s">
        <v>567</v>
      </c>
      <c r="J19" s="20" t="s">
        <v>567</v>
      </c>
      <c r="K19" s="18" t="n">
        <v>0.11425528</v>
      </c>
      <c r="L19" s="20" t="n">
        <v>0.11415831</v>
      </c>
      <c r="M19" s="18" t="n">
        <v>0</v>
      </c>
      <c r="N19" s="20" t="n">
        <v>0</v>
      </c>
      <c r="O19" s="18" t="n">
        <v>0</v>
      </c>
      <c r="P19" s="20" t="n">
        <v>0</v>
      </c>
      <c r="Q19" s="18" t="n">
        <v>3.22818652</v>
      </c>
      <c r="R19" s="20" t="n">
        <v>0.82365802</v>
      </c>
    </row>
    <row r="20" spans="1:18">
      <c r="A20" s="15" t="s">
        <v>580</v>
      </c>
      <c r="B20" s="17" t="n">
        <v>1630</v>
      </c>
      <c r="C20" s="18">
        <f>(1270.0/B20*100)</f>
        <v/>
      </c>
      <c r="D20" s="19" t="n">
        <v>360</v>
      </c>
      <c r="E20" s="18" t="n">
        <v>70.42617562</v>
      </c>
      <c r="F20" s="20" t="n">
        <v>2.13133594</v>
      </c>
      <c r="G20" s="18" t="n">
        <v>25.74179756</v>
      </c>
      <c r="H20" s="20" t="n">
        <v>2.15537298</v>
      </c>
      <c r="I20" s="18" t="s">
        <v>567</v>
      </c>
      <c r="J20" s="20" t="s">
        <v>567</v>
      </c>
      <c r="K20" s="18" t="n">
        <v>0.23638392</v>
      </c>
      <c r="L20" s="20" t="n">
        <v>0.23568131</v>
      </c>
      <c r="M20" s="18" t="n">
        <v>1.10908262</v>
      </c>
      <c r="N20" s="20" t="n">
        <v>0.36750867</v>
      </c>
      <c r="O20" s="18" t="n">
        <v>0</v>
      </c>
      <c r="P20" s="20" t="n">
        <v>0</v>
      </c>
      <c r="Q20" s="18" t="n">
        <v>2.48656027</v>
      </c>
      <c r="R20" s="20" t="n">
        <v>0.69378694</v>
      </c>
    </row>
    <row r="21" spans="1:18">
      <c r="A21" s="15" t="s">
        <v>581</v>
      </c>
      <c r="B21" s="17" t="n">
        <v>2908</v>
      </c>
      <c r="C21" s="18">
        <f>(2248.0/B21*100)</f>
        <v/>
      </c>
      <c r="D21" s="19" t="n">
        <v>660</v>
      </c>
      <c r="E21" s="18" t="n">
        <v>80.61387068000001</v>
      </c>
      <c r="F21" s="20" t="n">
        <v>1.76733093</v>
      </c>
      <c r="G21" s="18" t="n">
        <v>15.74605248</v>
      </c>
      <c r="H21" s="20" t="n">
        <v>1.55154985</v>
      </c>
      <c r="I21" s="18" t="s">
        <v>567</v>
      </c>
      <c r="J21" s="20" t="s">
        <v>567</v>
      </c>
      <c r="K21" s="18" t="n">
        <v>0.37293239</v>
      </c>
      <c r="L21" s="20" t="n">
        <v>0.26748041</v>
      </c>
      <c r="M21" s="18" t="n">
        <v>0</v>
      </c>
      <c r="N21" s="20" t="n">
        <v>0</v>
      </c>
      <c r="O21" s="18" t="n">
        <v>0</v>
      </c>
      <c r="P21" s="20" t="n">
        <v>0</v>
      </c>
      <c r="Q21" s="18" t="n">
        <v>3.26714445</v>
      </c>
      <c r="R21" s="20" t="n">
        <v>0.75577035</v>
      </c>
    </row>
    <row r="22" spans="1:18">
      <c r="A22" s="15" t="s">
        <v>582</v>
      </c>
      <c r="B22" s="17" t="n">
        <v>2931</v>
      </c>
      <c r="C22" s="18">
        <f>(2270.0/B22*100)</f>
        <v/>
      </c>
      <c r="D22" s="19" t="n">
        <v>661</v>
      </c>
      <c r="E22" s="18" t="n">
        <v>67.21894309</v>
      </c>
      <c r="F22" s="20" t="n">
        <v>2.20470705</v>
      </c>
      <c r="G22" s="18" t="n">
        <v>26.17106606</v>
      </c>
      <c r="H22" s="20" t="n">
        <v>2.02303646</v>
      </c>
      <c r="I22" s="18" t="s">
        <v>567</v>
      </c>
      <c r="J22" s="20" t="s">
        <v>567</v>
      </c>
      <c r="K22" s="18" t="n">
        <v>0.97309826</v>
      </c>
      <c r="L22" s="20" t="n">
        <v>0.52260394</v>
      </c>
      <c r="M22" s="18" t="n">
        <v>0</v>
      </c>
      <c r="N22" s="20" t="n">
        <v>0</v>
      </c>
      <c r="O22" s="18" t="n">
        <v>0</v>
      </c>
      <c r="P22" s="20" t="n">
        <v>0</v>
      </c>
      <c r="Q22" s="18" t="n">
        <v>5.63689259</v>
      </c>
      <c r="R22" s="20" t="n">
        <v>1.27940256</v>
      </c>
    </row>
    <row r="23" spans="1:18">
      <c r="A23" s="15" t="s">
        <v>583</v>
      </c>
      <c r="B23" s="17" t="n">
        <v>5791</v>
      </c>
      <c r="C23" s="18">
        <f>(4528.0/B23*100)</f>
        <v/>
      </c>
      <c r="D23" s="19" t="n">
        <v>1263</v>
      </c>
      <c r="E23" s="18" t="n">
        <v>70.01927074</v>
      </c>
      <c r="F23" s="20" t="n">
        <v>1.60560584</v>
      </c>
      <c r="G23" s="18" t="n">
        <v>23.49494957</v>
      </c>
      <c r="H23" s="20" t="n">
        <v>1.49284127</v>
      </c>
      <c r="I23" s="18" t="s">
        <v>567</v>
      </c>
      <c r="J23" s="20" t="s">
        <v>567</v>
      </c>
      <c r="K23" s="18" t="n">
        <v>0.56759445</v>
      </c>
      <c r="L23" s="20" t="n">
        <v>0.31857089</v>
      </c>
      <c r="M23" s="18" t="n">
        <v>0</v>
      </c>
      <c r="N23" s="20" t="n">
        <v>0</v>
      </c>
      <c r="O23" s="18" t="n">
        <v>0</v>
      </c>
      <c r="P23" s="20" t="n">
        <v>0</v>
      </c>
      <c r="Q23" s="18" t="n">
        <v>5.91818524</v>
      </c>
      <c r="R23" s="20" t="n">
        <v>0.97193972</v>
      </c>
    </row>
    <row r="24" spans="1:18">
      <c r="A24" s="15" t="s">
        <v>584</v>
      </c>
      <c r="B24" s="17" t="n">
        <v>3338</v>
      </c>
      <c r="C24" s="18">
        <f>(2610.0/B24*100)</f>
        <v/>
      </c>
      <c r="D24" s="19" t="n">
        <v>728</v>
      </c>
      <c r="E24" s="18" t="n">
        <v>77.68633552</v>
      </c>
      <c r="F24" s="20" t="n">
        <v>1.41106002</v>
      </c>
      <c r="G24" s="18" t="n">
        <v>18.86172774</v>
      </c>
      <c r="H24" s="20" t="n">
        <v>1.50169469</v>
      </c>
      <c r="I24" s="18" t="s">
        <v>567</v>
      </c>
      <c r="J24" s="20" t="s">
        <v>567</v>
      </c>
      <c r="K24" s="18" t="n">
        <v>0.53883131</v>
      </c>
      <c r="L24" s="20" t="n">
        <v>0.2718255</v>
      </c>
      <c r="M24" s="18" t="n">
        <v>0</v>
      </c>
      <c r="N24" s="20" t="n">
        <v>0</v>
      </c>
      <c r="O24" s="18" t="n">
        <v>0</v>
      </c>
      <c r="P24" s="20" t="n">
        <v>0</v>
      </c>
      <c r="Q24" s="18" t="n">
        <v>2.91310543</v>
      </c>
      <c r="R24" s="20" t="n">
        <v>0.63959782</v>
      </c>
    </row>
    <row r="25" spans="1:18">
      <c r="A25" s="15" t="s">
        <v>585</v>
      </c>
      <c r="B25" s="17" t="n">
        <v>2912</v>
      </c>
      <c r="C25" s="18">
        <f>(2253.0/B25*100)</f>
        <v/>
      </c>
      <c r="D25" s="19" t="n">
        <v>659</v>
      </c>
      <c r="E25" s="18" t="n">
        <v>83.22469255999999</v>
      </c>
      <c r="F25" s="20" t="n">
        <v>1.7546919</v>
      </c>
      <c r="G25" s="18" t="n">
        <v>14.19860164</v>
      </c>
      <c r="H25" s="20" t="n">
        <v>1.6738547</v>
      </c>
      <c r="I25" s="18" t="s">
        <v>567</v>
      </c>
      <c r="J25" s="20" t="s">
        <v>567</v>
      </c>
      <c r="K25" s="18" t="n">
        <v>0.28178802</v>
      </c>
      <c r="L25" s="20" t="n">
        <v>0.20065946</v>
      </c>
      <c r="M25" s="18" t="n">
        <v>0</v>
      </c>
      <c r="N25" s="20" t="n">
        <v>0</v>
      </c>
      <c r="O25" s="18" t="n">
        <v>0</v>
      </c>
      <c r="P25" s="20" t="n">
        <v>0</v>
      </c>
      <c r="Q25" s="18" t="n">
        <v>2.29491779</v>
      </c>
      <c r="R25" s="20" t="n">
        <v>0.65452632</v>
      </c>
    </row>
    <row r="26" spans="1:18">
      <c r="A26" s="15" t="s">
        <v>586</v>
      </c>
      <c r="B26" s="17" t="n">
        <v>2450</v>
      </c>
      <c r="C26" s="18">
        <f>(1935.0/B26*100)</f>
        <v/>
      </c>
      <c r="D26" s="19" t="n">
        <v>515</v>
      </c>
      <c r="E26" s="18" t="n">
        <v>76.79031688000001</v>
      </c>
      <c r="F26" s="20" t="n">
        <v>2.16114434</v>
      </c>
      <c r="G26" s="18" t="n">
        <v>22.32578528</v>
      </c>
      <c r="H26" s="20" t="n">
        <v>2.16658055</v>
      </c>
      <c r="I26" s="18" t="s">
        <v>567</v>
      </c>
      <c r="J26" s="20" t="s">
        <v>567</v>
      </c>
      <c r="K26" s="18" t="n">
        <v>0</v>
      </c>
      <c r="L26" s="20" t="n">
        <v>0</v>
      </c>
      <c r="M26" s="18" t="n">
        <v>0.36762888</v>
      </c>
      <c r="N26" s="20" t="n">
        <v>0.29095571</v>
      </c>
      <c r="O26" s="18" t="n">
        <v>0</v>
      </c>
      <c r="P26" s="20" t="n">
        <v>0</v>
      </c>
      <c r="Q26" s="18" t="n">
        <v>0.5162689499999999</v>
      </c>
      <c r="R26" s="20" t="n">
        <v>0.30238354</v>
      </c>
    </row>
    <row r="27" spans="1:18">
      <c r="A27" s="15" t="s">
        <v>587</v>
      </c>
      <c r="B27" s="17" t="n">
        <v>2616</v>
      </c>
      <c r="C27" s="18">
        <f>(2041.0/B27*100)</f>
        <v/>
      </c>
      <c r="D27" s="19" t="n">
        <v>575</v>
      </c>
      <c r="E27" s="18" t="n">
        <v>80.61268037000001</v>
      </c>
      <c r="F27" s="20" t="n">
        <v>1.85590108</v>
      </c>
      <c r="G27" s="18" t="n">
        <v>15.17751089</v>
      </c>
      <c r="H27" s="20" t="n">
        <v>1.62793049</v>
      </c>
      <c r="I27" s="18" t="s">
        <v>567</v>
      </c>
      <c r="J27" s="20" t="s">
        <v>567</v>
      </c>
      <c r="K27" s="18" t="n">
        <v>0.35825794</v>
      </c>
      <c r="L27" s="20" t="n">
        <v>0.25641479</v>
      </c>
      <c r="M27" s="18" t="n">
        <v>0</v>
      </c>
      <c r="N27" s="20" t="n">
        <v>0</v>
      </c>
      <c r="O27" s="18" t="n">
        <v>0</v>
      </c>
      <c r="P27" s="20" t="n">
        <v>0</v>
      </c>
      <c r="Q27" s="18" t="n">
        <v>3.8515508</v>
      </c>
      <c r="R27" s="20" t="n">
        <v>0.84061318</v>
      </c>
    </row>
    <row r="28" spans="1:18">
      <c r="A28" s="15" t="s">
        <v>588</v>
      </c>
      <c r="B28" s="17" t="n">
        <v>3765</v>
      </c>
      <c r="C28" s="18">
        <f>(3020.0/B28*100)</f>
        <v/>
      </c>
      <c r="D28" s="19" t="n">
        <v>745</v>
      </c>
      <c r="E28" s="18" t="n">
        <v>83.93672058999999</v>
      </c>
      <c r="F28" s="20" t="n">
        <v>1.5656397</v>
      </c>
      <c r="G28" s="18" t="n">
        <v>12.91963274</v>
      </c>
      <c r="H28" s="20" t="n">
        <v>1.43812038</v>
      </c>
      <c r="I28" s="18" t="s">
        <v>567</v>
      </c>
      <c r="J28" s="20" t="s">
        <v>567</v>
      </c>
      <c r="K28" s="18" t="n">
        <v>1.00146289</v>
      </c>
      <c r="L28" s="20" t="n">
        <v>0.47793048</v>
      </c>
      <c r="M28" s="18" t="n">
        <v>0.10536705</v>
      </c>
      <c r="N28" s="20" t="n">
        <v>0.10487287</v>
      </c>
      <c r="O28" s="18" t="n">
        <v>0</v>
      </c>
      <c r="P28" s="20" t="n">
        <v>0</v>
      </c>
      <c r="Q28" s="18" t="n">
        <v>2.03681673</v>
      </c>
      <c r="R28" s="20" t="n">
        <v>0.53152457</v>
      </c>
    </row>
    <row r="29" spans="1:18">
      <c r="A29" s="15" t="s">
        <v>589</v>
      </c>
      <c r="B29" s="17" t="n">
        <v>2685</v>
      </c>
      <c r="C29" s="18">
        <f>(2094.0/B29*100)</f>
        <v/>
      </c>
      <c r="D29" s="19" t="n">
        <v>591</v>
      </c>
      <c r="E29" s="18" t="n">
        <v>76.79315869</v>
      </c>
      <c r="F29" s="20" t="n">
        <v>1.8029727</v>
      </c>
      <c r="G29" s="18" t="n">
        <v>22.21900592</v>
      </c>
      <c r="H29" s="20" t="n">
        <v>1.82521525</v>
      </c>
      <c r="I29" s="18" t="s">
        <v>567</v>
      </c>
      <c r="J29" s="20" t="s">
        <v>567</v>
      </c>
      <c r="K29" s="18" t="n">
        <v>0.15976781</v>
      </c>
      <c r="L29" s="20" t="n">
        <v>0.17323204</v>
      </c>
      <c r="M29" s="18" t="n">
        <v>0</v>
      </c>
      <c r="N29" s="20" t="n">
        <v>0</v>
      </c>
      <c r="O29" s="18" t="n">
        <v>0</v>
      </c>
      <c r="P29" s="20" t="n">
        <v>0</v>
      </c>
      <c r="Q29" s="18" t="n">
        <v>0.82806758</v>
      </c>
      <c r="R29" s="20" t="n">
        <v>0.33682358</v>
      </c>
    </row>
    <row r="30" spans="1:18">
      <c r="A30" s="15" t="s">
        <v>590</v>
      </c>
      <c r="B30" s="17" t="n">
        <v>2263</v>
      </c>
      <c r="C30" s="18">
        <f>(1781.0/B30*100)</f>
        <v/>
      </c>
      <c r="D30" s="19" t="n">
        <v>482</v>
      </c>
      <c r="E30" s="18" t="n">
        <v>74.67359928</v>
      </c>
      <c r="F30" s="20" t="n">
        <v>2.12920662</v>
      </c>
      <c r="G30" s="18" t="n">
        <v>19.52675043</v>
      </c>
      <c r="H30" s="20" t="n">
        <v>1.928716</v>
      </c>
      <c r="I30" s="18" t="s">
        <v>567</v>
      </c>
      <c r="J30" s="20" t="s">
        <v>567</v>
      </c>
      <c r="K30" s="18" t="n">
        <v>0.68019036</v>
      </c>
      <c r="L30" s="20" t="n">
        <v>0.40909775</v>
      </c>
      <c r="M30" s="18" t="n">
        <v>0.19059436</v>
      </c>
      <c r="N30" s="20" t="n">
        <v>0.19412732</v>
      </c>
      <c r="O30" s="18" t="n">
        <v>0</v>
      </c>
      <c r="P30" s="20" t="n">
        <v>0</v>
      </c>
      <c r="Q30" s="18" t="n">
        <v>4.92886556</v>
      </c>
      <c r="R30" s="20" t="n">
        <v>0.89366959</v>
      </c>
    </row>
    <row r="31" spans="1:18">
      <c r="A31" s="15" t="s">
        <v>591</v>
      </c>
      <c r="B31" s="17" t="n">
        <v>2750</v>
      </c>
      <c r="C31" s="18">
        <f>(2130.0/B31*100)</f>
        <v/>
      </c>
      <c r="D31" s="19" t="n">
        <v>620</v>
      </c>
      <c r="E31" s="18" t="n">
        <v>79.88153612000001</v>
      </c>
      <c r="F31" s="20" t="n">
        <v>1.52396697</v>
      </c>
      <c r="G31" s="18" t="n">
        <v>16.64082324</v>
      </c>
      <c r="H31" s="20" t="n">
        <v>1.25489016</v>
      </c>
      <c r="I31" s="18" t="s">
        <v>567</v>
      </c>
      <c r="J31" s="20" t="s">
        <v>567</v>
      </c>
      <c r="K31" s="18" t="n">
        <v>0.31059458</v>
      </c>
      <c r="L31" s="20" t="n">
        <v>0.20018883</v>
      </c>
      <c r="M31" s="18" t="n">
        <v>0.16788889</v>
      </c>
      <c r="N31" s="20" t="n">
        <v>0.18254799</v>
      </c>
      <c r="O31" s="18" t="n">
        <v>0</v>
      </c>
      <c r="P31" s="20" t="n">
        <v>0</v>
      </c>
      <c r="Q31" s="18" t="n">
        <v>2.99915717</v>
      </c>
      <c r="R31" s="20" t="n">
        <v>0.64394224</v>
      </c>
    </row>
    <row r="32" spans="1:18">
      <c r="A32" s="15" t="s">
        <v>592</v>
      </c>
      <c r="B32" s="17" t="n">
        <v>2269</v>
      </c>
      <c r="C32" s="18">
        <f>(1776.0/B32*100)</f>
        <v/>
      </c>
      <c r="D32" s="19" t="n">
        <v>493</v>
      </c>
      <c r="E32" s="18" t="n">
        <v>75.43427277000001</v>
      </c>
      <c r="F32" s="20" t="n">
        <v>2.15817496</v>
      </c>
      <c r="G32" s="18" t="n">
        <v>22.312169</v>
      </c>
      <c r="H32" s="20" t="n">
        <v>2.02978578</v>
      </c>
      <c r="I32" s="18" t="s">
        <v>567</v>
      </c>
      <c r="J32" s="20" t="s">
        <v>567</v>
      </c>
      <c r="K32" s="18" t="n">
        <v>0.24899452</v>
      </c>
      <c r="L32" s="20" t="n">
        <v>0.25748737</v>
      </c>
      <c r="M32" s="18" t="n">
        <v>0</v>
      </c>
      <c r="N32" s="20" t="n">
        <v>0</v>
      </c>
      <c r="O32" s="18" t="n">
        <v>0</v>
      </c>
      <c r="P32" s="20" t="n">
        <v>0</v>
      </c>
      <c r="Q32" s="18" t="n">
        <v>2.00456371</v>
      </c>
      <c r="R32" s="20" t="n">
        <v>0.56373578</v>
      </c>
    </row>
    <row r="33" spans="1:18">
      <c r="A33" s="15" t="s">
        <v>593</v>
      </c>
      <c r="B33" s="17" t="n">
        <v>3674</v>
      </c>
      <c r="C33" s="18">
        <f>(2859.0/B33*100)</f>
        <v/>
      </c>
      <c r="D33" s="19" t="n">
        <v>815</v>
      </c>
      <c r="E33" s="18" t="n">
        <v>72.21350096</v>
      </c>
      <c r="F33" s="20" t="n">
        <v>1.66317861</v>
      </c>
      <c r="G33" s="18" t="n">
        <v>23.45718607</v>
      </c>
      <c r="H33" s="20" t="n">
        <v>1.77113406</v>
      </c>
      <c r="I33" s="18" t="s">
        <v>567</v>
      </c>
      <c r="J33" s="20" t="s">
        <v>567</v>
      </c>
      <c r="K33" s="18" t="n">
        <v>0.71516727</v>
      </c>
      <c r="L33" s="20" t="n">
        <v>0.37860992</v>
      </c>
      <c r="M33" s="18" t="n">
        <v>0.15173168</v>
      </c>
      <c r="N33" s="20" t="n">
        <v>0.15371898</v>
      </c>
      <c r="O33" s="18" t="n">
        <v>0</v>
      </c>
      <c r="P33" s="20" t="n">
        <v>0</v>
      </c>
      <c r="Q33" s="18" t="n">
        <v>3.46241402</v>
      </c>
      <c r="R33" s="20" t="n">
        <v>0.54282763</v>
      </c>
    </row>
    <row r="34" spans="1:18">
      <c r="A34" s="15" t="s">
        <v>594</v>
      </c>
      <c r="B34" s="17" t="n">
        <v>3315</v>
      </c>
      <c r="C34" s="18">
        <f>(2614.0/B34*100)</f>
        <v/>
      </c>
      <c r="D34" s="19" t="n">
        <v>701</v>
      </c>
      <c r="E34" s="18" t="n">
        <v>76.67221866</v>
      </c>
      <c r="F34" s="20" t="n">
        <v>1.56642983</v>
      </c>
      <c r="G34" s="18" t="n">
        <v>20.24440611</v>
      </c>
      <c r="H34" s="20" t="n">
        <v>1.5643667</v>
      </c>
      <c r="I34" s="18" t="s">
        <v>567</v>
      </c>
      <c r="J34" s="20" t="s">
        <v>567</v>
      </c>
      <c r="K34" s="18" t="n">
        <v>0.18720464</v>
      </c>
      <c r="L34" s="20" t="n">
        <v>0.14876962</v>
      </c>
      <c r="M34" s="18" t="n">
        <v>0.22705863</v>
      </c>
      <c r="N34" s="20" t="n">
        <v>0.1935618</v>
      </c>
      <c r="O34" s="18" t="n">
        <v>0</v>
      </c>
      <c r="P34" s="20" t="n">
        <v>0</v>
      </c>
      <c r="Q34" s="18" t="n">
        <v>2.66911196</v>
      </c>
      <c r="R34" s="20" t="n">
        <v>0.59930843</v>
      </c>
    </row>
    <row r="35" spans="1:18">
      <c r="A35" s="15" t="s">
        <v>595</v>
      </c>
      <c r="B35" s="17" t="n">
        <v>3505</v>
      </c>
      <c r="C35" s="18">
        <f>(2782.0/B35*100)</f>
        <v/>
      </c>
      <c r="D35" s="19" t="n">
        <v>723</v>
      </c>
      <c r="E35" s="18" t="n">
        <v>74.99197129</v>
      </c>
      <c r="F35" s="20" t="n">
        <v>2.08579178</v>
      </c>
      <c r="G35" s="18" t="n">
        <v>21.46091177</v>
      </c>
      <c r="H35" s="20" t="n">
        <v>1.90677014</v>
      </c>
      <c r="I35" s="18" t="s">
        <v>567</v>
      </c>
      <c r="J35" s="20" t="s">
        <v>567</v>
      </c>
      <c r="K35" s="18" t="n">
        <v>1.19841961</v>
      </c>
      <c r="L35" s="20" t="n">
        <v>0.80523901</v>
      </c>
      <c r="M35" s="18" t="n">
        <v>0.24981469</v>
      </c>
      <c r="N35" s="20" t="n">
        <v>0.25129638</v>
      </c>
      <c r="O35" s="18" t="n">
        <v>0</v>
      </c>
      <c r="P35" s="20" t="n">
        <v>0</v>
      </c>
      <c r="Q35" s="18" t="n">
        <v>2.09888264</v>
      </c>
      <c r="R35" s="20" t="n">
        <v>0.78355108</v>
      </c>
    </row>
    <row r="36" spans="1:18">
      <c r="A36" s="15" t="s">
        <v>596</v>
      </c>
      <c r="B36" s="17" t="n">
        <v>3332</v>
      </c>
      <c r="C36" s="18">
        <f>(2611.0/B36*100)</f>
        <v/>
      </c>
      <c r="D36" s="19" t="n">
        <v>721</v>
      </c>
      <c r="E36" s="18" t="n">
        <v>65.91087699000001</v>
      </c>
      <c r="F36" s="20" t="n">
        <v>1.88067391</v>
      </c>
      <c r="G36" s="18" t="n">
        <v>30.17835262</v>
      </c>
      <c r="H36" s="20" t="n">
        <v>1.93109863</v>
      </c>
      <c r="I36" s="18" t="s">
        <v>567</v>
      </c>
      <c r="J36" s="20" t="s">
        <v>567</v>
      </c>
      <c r="K36" s="18" t="n">
        <v>0.54051201</v>
      </c>
      <c r="L36" s="20" t="n">
        <v>0.31912096</v>
      </c>
      <c r="M36" s="18" t="n">
        <v>0</v>
      </c>
      <c r="N36" s="20" t="n">
        <v>0</v>
      </c>
      <c r="O36" s="18" t="n">
        <v>0</v>
      </c>
      <c r="P36" s="20" t="n">
        <v>0</v>
      </c>
      <c r="Q36" s="18" t="n">
        <v>3.37025837</v>
      </c>
      <c r="R36" s="20" t="n">
        <v>0.72258164</v>
      </c>
    </row>
    <row r="37" spans="1:18">
      <c r="A37" s="15" t="s">
        <v>597</v>
      </c>
      <c r="B37" s="17" t="n">
        <v>2727</v>
      </c>
      <c r="C37" s="18">
        <f>(2137.0/B37*100)</f>
        <v/>
      </c>
      <c r="D37" s="19" t="n">
        <v>590</v>
      </c>
      <c r="E37" s="18" t="n">
        <v>71.86204089</v>
      </c>
      <c r="F37" s="20" t="n">
        <v>1.64644533</v>
      </c>
      <c r="G37" s="18" t="n">
        <v>22.10256753</v>
      </c>
      <c r="H37" s="20" t="n">
        <v>1.87303404</v>
      </c>
      <c r="I37" s="18" t="s">
        <v>567</v>
      </c>
      <c r="J37" s="20" t="s">
        <v>567</v>
      </c>
      <c r="K37" s="18" t="n">
        <v>0.50639059</v>
      </c>
      <c r="L37" s="20" t="n">
        <v>0.29004384</v>
      </c>
      <c r="M37" s="18" t="n">
        <v>0.1553387</v>
      </c>
      <c r="N37" s="20" t="n">
        <v>0.15512487</v>
      </c>
      <c r="O37" s="18" t="n">
        <v>0</v>
      </c>
      <c r="P37" s="20" t="n">
        <v>0</v>
      </c>
      <c r="Q37" s="18" t="n">
        <v>5.3736623</v>
      </c>
      <c r="R37" s="20" t="n">
        <v>0.96664818</v>
      </c>
    </row>
    <row r="38" spans="1:18">
      <c r="A38" s="15" t="s">
        <v>598</v>
      </c>
      <c r="B38" s="17" t="n">
        <v>3053</v>
      </c>
      <c r="C38" s="18">
        <f>(2400.0/B38*100)</f>
        <v/>
      </c>
      <c r="D38" s="19" t="n">
        <v>653</v>
      </c>
      <c r="E38" s="18" t="n">
        <v>63.18538173</v>
      </c>
      <c r="F38" s="20" t="n">
        <v>2.17679887</v>
      </c>
      <c r="G38" s="18" t="n">
        <v>28.88020879</v>
      </c>
      <c r="H38" s="20" t="n">
        <v>2.27208134</v>
      </c>
      <c r="I38" s="18" t="s">
        <v>567</v>
      </c>
      <c r="J38" s="20" t="s">
        <v>567</v>
      </c>
      <c r="K38" s="18" t="n">
        <v>0.03147685</v>
      </c>
      <c r="L38" s="20" t="n">
        <v>0.03231961</v>
      </c>
      <c r="M38" s="18" t="n">
        <v>2.79200523</v>
      </c>
      <c r="N38" s="20" t="n">
        <v>0.71330458</v>
      </c>
      <c r="O38" s="18" t="n">
        <v>0</v>
      </c>
      <c r="P38" s="20" t="n">
        <v>0</v>
      </c>
      <c r="Q38" s="18" t="n">
        <v>5.1109274</v>
      </c>
      <c r="R38" s="20" t="n">
        <v>0.83507763</v>
      </c>
    </row>
    <row r="39" spans="1:18">
      <c r="A39" s="15" t="s">
        <v>599</v>
      </c>
      <c r="B39" s="17" t="n">
        <v>2957</v>
      </c>
      <c r="C39" s="18">
        <f>(2304.0/B39*100)</f>
        <v/>
      </c>
      <c r="D39" s="19" t="n">
        <v>653</v>
      </c>
      <c r="E39" s="18" t="n">
        <v>80.46534506</v>
      </c>
      <c r="F39" s="20" t="n">
        <v>1.93932093</v>
      </c>
      <c r="G39" s="18" t="n">
        <v>15.76846275</v>
      </c>
      <c r="H39" s="20" t="n">
        <v>1.93519749</v>
      </c>
      <c r="I39" s="18" t="s">
        <v>567</v>
      </c>
      <c r="J39" s="20" t="s">
        <v>567</v>
      </c>
      <c r="K39" s="18" t="n">
        <v>0.42150293</v>
      </c>
      <c r="L39" s="20" t="n">
        <v>0.26378318</v>
      </c>
      <c r="M39" s="18" t="n">
        <v>0</v>
      </c>
      <c r="N39" s="20" t="n">
        <v>0</v>
      </c>
      <c r="O39" s="18" t="n">
        <v>0</v>
      </c>
      <c r="P39" s="20" t="n">
        <v>0</v>
      </c>
      <c r="Q39" s="18" t="n">
        <v>3.34468927</v>
      </c>
      <c r="R39" s="20" t="n">
        <v>0.75741166</v>
      </c>
    </row>
    <row r="40" spans="1:18">
      <c r="A40" s="15" t="s">
        <v>600</v>
      </c>
      <c r="B40" s="17" t="n">
        <v>7235</v>
      </c>
      <c r="C40" s="18">
        <f>(5613.0/B40*100)</f>
        <v/>
      </c>
      <c r="D40" s="19" t="n">
        <v>1622</v>
      </c>
      <c r="E40" s="18" t="n">
        <v>76.80269232000001</v>
      </c>
      <c r="F40" s="20" t="n">
        <v>1.64534518</v>
      </c>
      <c r="G40" s="18" t="n">
        <v>19.65031974</v>
      </c>
      <c r="H40" s="20" t="n">
        <v>1.61440089</v>
      </c>
      <c r="I40" s="18" t="s">
        <v>567</v>
      </c>
      <c r="J40" s="20" t="s">
        <v>567</v>
      </c>
      <c r="K40" s="18" t="n">
        <v>0.653702</v>
      </c>
      <c r="L40" s="20" t="n">
        <v>0.34220644</v>
      </c>
      <c r="M40" s="18" t="n">
        <v>0</v>
      </c>
      <c r="N40" s="20" t="n">
        <v>0</v>
      </c>
      <c r="O40" s="18" t="n">
        <v>0</v>
      </c>
      <c r="P40" s="20" t="n">
        <v>0</v>
      </c>
      <c r="Q40" s="18" t="n">
        <v>2.89328594</v>
      </c>
      <c r="R40" s="20" t="n">
        <v>0.61952374</v>
      </c>
    </row>
    <row r="41" spans="1:18">
      <c r="A41" s="15" t="s">
        <v>601</v>
      </c>
      <c r="B41" s="17" t="n">
        <v>2858</v>
      </c>
      <c r="C41" s="18">
        <f>(2219.0/B41*100)</f>
        <v/>
      </c>
      <c r="D41" s="19" t="n">
        <v>639</v>
      </c>
      <c r="E41" s="18" t="n">
        <v>78.86541078</v>
      </c>
      <c r="F41" s="20" t="n">
        <v>1.8434851</v>
      </c>
      <c r="G41" s="18" t="n">
        <v>19.5950103</v>
      </c>
      <c r="H41" s="20" t="n">
        <v>1.73958049</v>
      </c>
      <c r="I41" s="18" t="s">
        <v>567</v>
      </c>
      <c r="J41" s="20" t="s">
        <v>567</v>
      </c>
      <c r="K41" s="18" t="n">
        <v>0.16343216</v>
      </c>
      <c r="L41" s="20" t="n">
        <v>0.15667913</v>
      </c>
      <c r="M41" s="18" t="n">
        <v>0</v>
      </c>
      <c r="N41" s="20" t="n">
        <v>0</v>
      </c>
      <c r="O41" s="18" t="n">
        <v>0</v>
      </c>
      <c r="P41" s="20" t="n">
        <v>0</v>
      </c>
      <c r="Q41" s="18" t="n">
        <v>1.37614676</v>
      </c>
      <c r="R41" s="20" t="n">
        <v>0.5079666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(9099.0/B46*100)</f>
        <v/>
      </c>
      <c r="D46" s="19" t="n">
        <v>1969</v>
      </c>
      <c r="E46" s="18" t="n">
        <v>64.30411161000001</v>
      </c>
      <c r="F46" s="20" t="n">
        <v>1.48956865</v>
      </c>
      <c r="G46" s="18" t="n">
        <v>26.48676349</v>
      </c>
      <c r="H46" s="20" t="n">
        <v>1.42239056</v>
      </c>
      <c r="I46" s="18" t="s">
        <v>567</v>
      </c>
      <c r="J46" s="20" t="s">
        <v>567</v>
      </c>
      <c r="K46" s="18" t="n">
        <v>1.34159397</v>
      </c>
      <c r="L46" s="20" t="n">
        <v>0.42048694</v>
      </c>
      <c r="M46" s="18" t="n">
        <v>0.68977015</v>
      </c>
      <c r="N46" s="20" t="n">
        <v>0.24869245</v>
      </c>
      <c r="O46" s="18" t="n">
        <v>0</v>
      </c>
      <c r="P46" s="20" t="n">
        <v>0</v>
      </c>
      <c r="Q46" s="18" t="n">
        <v>7.17776078</v>
      </c>
      <c r="R46" s="20" t="n">
        <v>0.7542532199999999</v>
      </c>
    </row>
    <row r="47" spans="1:18">
      <c r="A47" s="15" t="s">
        <v>607</v>
      </c>
      <c r="B47" s="17" t="n">
        <v>3105</v>
      </c>
      <c r="C47" s="18">
        <f>(2436.0/B47*100)</f>
        <v/>
      </c>
      <c r="D47" s="19" t="n">
        <v>669</v>
      </c>
      <c r="E47" s="18" t="n">
        <v>73.70086395</v>
      </c>
      <c r="F47" s="20" t="n">
        <v>1.71242391</v>
      </c>
      <c r="G47" s="18" t="n">
        <v>21.91604295</v>
      </c>
      <c r="H47" s="20" t="n">
        <v>1.59762915</v>
      </c>
      <c r="I47" s="18" t="s">
        <v>567</v>
      </c>
      <c r="J47" s="20" t="s">
        <v>567</v>
      </c>
      <c r="K47" s="18" t="n">
        <v>0.14838142</v>
      </c>
      <c r="L47" s="20" t="n">
        <v>0.14974847</v>
      </c>
      <c r="M47" s="18" t="n">
        <v>0</v>
      </c>
      <c r="N47" s="20" t="n">
        <v>0</v>
      </c>
      <c r="O47" s="18" t="n">
        <v>0</v>
      </c>
      <c r="P47" s="20" t="n">
        <v>0</v>
      </c>
      <c r="Q47" s="18" t="n">
        <v>4.23471168</v>
      </c>
      <c r="R47" s="20" t="n">
        <v>0.85044511</v>
      </c>
    </row>
    <row r="48" spans="1:18">
      <c r="A48" s="15" t="s">
        <v>608</v>
      </c>
      <c r="B48" s="17" t="n">
        <v>5159</v>
      </c>
      <c r="C48" s="18">
        <f>(4026.0/B48*100)</f>
        <v/>
      </c>
      <c r="D48" s="19" t="n">
        <v>1133</v>
      </c>
      <c r="E48" s="18" t="n">
        <v>76.9178091</v>
      </c>
      <c r="F48" s="20" t="n">
        <v>1.73472179</v>
      </c>
      <c r="G48" s="18" t="n">
        <v>20.31148896</v>
      </c>
      <c r="H48" s="20" t="n">
        <v>1.59851846</v>
      </c>
      <c r="I48" s="18" t="s">
        <v>567</v>
      </c>
      <c r="J48" s="20" t="s">
        <v>567</v>
      </c>
      <c r="K48" s="18" t="n">
        <v>0.63821711</v>
      </c>
      <c r="L48" s="20" t="n">
        <v>0.45956156</v>
      </c>
      <c r="M48" s="18" t="n">
        <v>0</v>
      </c>
      <c r="N48" s="20" t="n">
        <v>0</v>
      </c>
      <c r="O48" s="18" t="n">
        <v>0</v>
      </c>
      <c r="P48" s="20" t="n">
        <v>0</v>
      </c>
      <c r="Q48" s="18" t="n">
        <v>2.13248482</v>
      </c>
      <c r="R48" s="20" t="n">
        <v>0.60832334</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(4401.0/B50*100)</f>
        <v/>
      </c>
      <c r="D50" s="19" t="n">
        <v>1236</v>
      </c>
      <c r="E50" s="18" t="n">
        <v>77.14038735</v>
      </c>
      <c r="F50" s="20" t="n">
        <v>1.63191771</v>
      </c>
      <c r="G50" s="18" t="n">
        <v>18.78940453</v>
      </c>
      <c r="H50" s="20" t="n">
        <v>1.64657591</v>
      </c>
      <c r="I50" s="18" t="s">
        <v>567</v>
      </c>
      <c r="J50" s="20" t="s">
        <v>567</v>
      </c>
      <c r="K50" s="18" t="n">
        <v>1.2375201</v>
      </c>
      <c r="L50" s="20" t="n">
        <v>0.32487406</v>
      </c>
      <c r="M50" s="18" t="n">
        <v>0.34305236</v>
      </c>
      <c r="N50" s="20" t="n">
        <v>0.19197191</v>
      </c>
      <c r="O50" s="18" t="n">
        <v>0</v>
      </c>
      <c r="P50" s="20" t="n">
        <v>0</v>
      </c>
      <c r="Q50" s="18" t="n">
        <v>2.48963567</v>
      </c>
      <c r="R50" s="20" t="n">
        <v>0.57379602</v>
      </c>
    </row>
    <row r="51" spans="1:18">
      <c r="A51" s="15" t="s">
        <v>611</v>
      </c>
      <c r="B51" s="17" t="n">
        <v>3372</v>
      </c>
      <c r="C51" s="18">
        <f>(2727.0/B51*100)</f>
        <v/>
      </c>
      <c r="D51" s="19" t="n">
        <v>645</v>
      </c>
      <c r="E51" s="18" t="n">
        <v>88.78971910999999</v>
      </c>
      <c r="F51" s="20" t="n">
        <v>1.33934167</v>
      </c>
      <c r="G51" s="18" t="n">
        <v>7.77928414</v>
      </c>
      <c r="H51" s="20" t="n">
        <v>1.24604888</v>
      </c>
      <c r="I51" s="18" t="s">
        <v>567</v>
      </c>
      <c r="J51" s="20" t="s">
        <v>567</v>
      </c>
      <c r="K51" s="18" t="n">
        <v>0.9983918000000001</v>
      </c>
      <c r="L51" s="20" t="n">
        <v>0.50082163</v>
      </c>
      <c r="M51" s="18" t="n">
        <v>0</v>
      </c>
      <c r="N51" s="20" t="n">
        <v>0</v>
      </c>
      <c r="O51" s="18" t="n">
        <v>0</v>
      </c>
      <c r="P51" s="20" t="n">
        <v>0</v>
      </c>
      <c r="Q51" s="18" t="n">
        <v>2.43260496</v>
      </c>
      <c r="R51" s="20" t="n">
        <v>0.79996589</v>
      </c>
    </row>
    <row r="52" spans="1:18">
      <c r="A52" s="15" t="s">
        <v>612</v>
      </c>
      <c r="B52" s="17" t="n">
        <v>2796</v>
      </c>
      <c r="C52" s="18">
        <f>(2158.0/B52*100)</f>
        <v/>
      </c>
      <c r="D52" s="19" t="n">
        <v>638</v>
      </c>
      <c r="E52" s="18" t="n">
        <v>72.86226071</v>
      </c>
      <c r="F52" s="20" t="n">
        <v>1.97269724</v>
      </c>
      <c r="G52" s="18" t="n">
        <v>23.17738404</v>
      </c>
      <c r="H52" s="20" t="n">
        <v>1.93738932</v>
      </c>
      <c r="I52" s="18" t="s">
        <v>567</v>
      </c>
      <c r="J52" s="20" t="s">
        <v>567</v>
      </c>
      <c r="K52" s="18" t="n">
        <v>0.25894153</v>
      </c>
      <c r="L52" s="20" t="n">
        <v>0.1876321</v>
      </c>
      <c r="M52" s="18" t="n">
        <v>0</v>
      </c>
      <c r="N52" s="20" t="n">
        <v>0</v>
      </c>
      <c r="O52" s="18" t="n">
        <v>0</v>
      </c>
      <c r="P52" s="20" t="n">
        <v>0</v>
      </c>
      <c r="Q52" s="18" t="n">
        <v>3.70141373</v>
      </c>
      <c r="R52" s="20" t="n">
        <v>0.91240274</v>
      </c>
    </row>
    <row r="53" spans="1:18">
      <c r="A53" s="15" t="s">
        <v>613</v>
      </c>
      <c r="B53" s="17" t="n">
        <v>2811</v>
      </c>
      <c r="C53" s="18">
        <f>(2172.0/B53*100)</f>
        <v/>
      </c>
      <c r="D53" s="19" t="n">
        <v>639</v>
      </c>
      <c r="E53" s="18" t="n">
        <v>81.33163594</v>
      </c>
      <c r="F53" s="20" t="n">
        <v>1.70135614</v>
      </c>
      <c r="G53" s="18" t="n">
        <v>11.00789429</v>
      </c>
      <c r="H53" s="20" t="n">
        <v>1.32519964</v>
      </c>
      <c r="I53" s="18" t="s">
        <v>567</v>
      </c>
      <c r="J53" s="20" t="s">
        <v>567</v>
      </c>
      <c r="K53" s="18" t="n">
        <v>0.467622</v>
      </c>
      <c r="L53" s="20" t="n">
        <v>0.28293484</v>
      </c>
      <c r="M53" s="18" t="n">
        <v>0</v>
      </c>
      <c r="N53" s="20" t="n">
        <v>0</v>
      </c>
      <c r="O53" s="18" t="n">
        <v>0</v>
      </c>
      <c r="P53" s="20" t="n">
        <v>0</v>
      </c>
      <c r="Q53" s="18" t="n">
        <v>7.19284778</v>
      </c>
      <c r="R53" s="20" t="n">
        <v>1.03440972</v>
      </c>
    </row>
    <row r="54" spans="1:18">
      <c r="A54" s="15" t="s">
        <v>614</v>
      </c>
      <c r="B54" s="17" t="n">
        <v>2266</v>
      </c>
      <c r="C54" s="18">
        <f>(1784.0/B54*100)</f>
        <v/>
      </c>
      <c r="D54" s="19" t="n">
        <v>482</v>
      </c>
      <c r="E54" s="18" t="n">
        <v>73.28082458</v>
      </c>
      <c r="F54" s="20" t="n">
        <v>1.95963694</v>
      </c>
      <c r="G54" s="18" t="n">
        <v>3.8408419</v>
      </c>
      <c r="H54" s="20" t="n">
        <v>0.79156198</v>
      </c>
      <c r="I54" s="18" t="s">
        <v>567</v>
      </c>
      <c r="J54" s="20" t="s">
        <v>567</v>
      </c>
      <c r="K54" s="18" t="n">
        <v>15.25597355</v>
      </c>
      <c r="L54" s="20" t="n">
        <v>1.94586754</v>
      </c>
      <c r="M54" s="18" t="n">
        <v>0.41061866</v>
      </c>
      <c r="N54" s="20" t="n">
        <v>0.39425651</v>
      </c>
      <c r="O54" s="18" t="n">
        <v>0</v>
      </c>
      <c r="P54" s="20" t="n">
        <v>0</v>
      </c>
      <c r="Q54" s="18" t="n">
        <v>7.21174131</v>
      </c>
      <c r="R54" s="20" t="n">
        <v>1.59830875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(2095.0/B56*100)</f>
        <v/>
      </c>
      <c r="D56" s="19" t="n">
        <v>589</v>
      </c>
      <c r="E56" s="18" t="n">
        <v>92.41101248</v>
      </c>
      <c r="F56" s="20" t="n">
        <v>1.21110758</v>
      </c>
      <c r="G56" s="18" t="n">
        <v>6.38024237</v>
      </c>
      <c r="H56" s="20" t="n">
        <v>1.15025317</v>
      </c>
      <c r="I56" s="18" t="s">
        <v>567</v>
      </c>
      <c r="J56" s="20" t="s">
        <v>567</v>
      </c>
      <c r="K56" s="18" t="n">
        <v>0.14727126</v>
      </c>
      <c r="L56" s="20" t="n">
        <v>0.14780532</v>
      </c>
      <c r="M56" s="18" t="n">
        <v>0</v>
      </c>
      <c r="N56" s="20" t="n">
        <v>0</v>
      </c>
      <c r="O56" s="18" t="n">
        <v>0</v>
      </c>
      <c r="P56" s="20" t="n">
        <v>0</v>
      </c>
      <c r="Q56" s="18" t="n">
        <v>1.0614739</v>
      </c>
      <c r="R56" s="20" t="n">
        <v>0.43619665</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(2562.0/B61*100)</f>
        <v/>
      </c>
      <c r="D61" s="19" t="n">
        <v>762</v>
      </c>
      <c r="E61" s="18" t="n">
        <v>77.80077841000001</v>
      </c>
      <c r="F61" s="20" t="n">
        <v>1.50232349</v>
      </c>
      <c r="G61" s="18" t="n">
        <v>18.84252819</v>
      </c>
      <c r="H61" s="20" t="n">
        <v>1.49898101</v>
      </c>
      <c r="I61" s="18" t="s">
        <v>567</v>
      </c>
      <c r="J61" s="20" t="s">
        <v>567</v>
      </c>
      <c r="K61" s="18" t="n">
        <v>0.48367143</v>
      </c>
      <c r="L61" s="20" t="n">
        <v>0.24428184</v>
      </c>
      <c r="M61" s="18" t="n">
        <v>0</v>
      </c>
      <c r="N61" s="20" t="n">
        <v>0</v>
      </c>
      <c r="O61" s="18" t="n">
        <v>0</v>
      </c>
      <c r="P61" s="20" t="n">
        <v>0</v>
      </c>
      <c r="Q61" s="18" t="n">
        <v>2.87302197</v>
      </c>
      <c r="R61" s="20" t="n">
        <v>0.69826222</v>
      </c>
    </row>
    <row r="62" spans="1:18">
      <c r="A62" s="15" t="s">
        <v>622</v>
      </c>
      <c r="B62" s="17" t="n">
        <v>2246</v>
      </c>
      <c r="C62" s="18">
        <f>(1777.0/B62*100)</f>
        <v/>
      </c>
      <c r="D62" s="19" t="n">
        <v>469</v>
      </c>
      <c r="E62" s="18" t="n">
        <v>87.42567053</v>
      </c>
      <c r="F62" s="20" t="n">
        <v>1.41546784</v>
      </c>
      <c r="G62" s="18" t="n">
        <v>11.70640797</v>
      </c>
      <c r="H62" s="20" t="n">
        <v>1.33812046</v>
      </c>
      <c r="I62" s="18" t="s">
        <v>567</v>
      </c>
      <c r="J62" s="20" t="s">
        <v>567</v>
      </c>
      <c r="K62" s="18" t="n">
        <v>0</v>
      </c>
      <c r="L62" s="20" t="n">
        <v>0</v>
      </c>
      <c r="M62" s="18" t="n">
        <v>0</v>
      </c>
      <c r="N62" s="20" t="n">
        <v>0</v>
      </c>
      <c r="O62" s="18" t="n">
        <v>0</v>
      </c>
      <c r="P62" s="20" t="n">
        <v>0</v>
      </c>
      <c r="Q62" s="18" t="n">
        <v>0.8679215</v>
      </c>
      <c r="R62" s="20" t="n">
        <v>0.43914328</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(2279.0/B66*100)</f>
        <v/>
      </c>
      <c r="D66" s="19" t="n">
        <v>615</v>
      </c>
      <c r="E66" s="18" t="n">
        <v>45.08381218</v>
      </c>
      <c r="F66" s="20" t="n">
        <v>2.13851429</v>
      </c>
      <c r="G66" s="18" t="n">
        <v>11.65933472</v>
      </c>
      <c r="H66" s="20" t="n">
        <v>1.28785727</v>
      </c>
      <c r="I66" s="18" t="s">
        <v>567</v>
      </c>
      <c r="J66" s="20" t="s">
        <v>567</v>
      </c>
      <c r="K66" s="18" t="n">
        <v>0.81751503</v>
      </c>
      <c r="L66" s="20" t="n">
        <v>0.37289901</v>
      </c>
      <c r="M66" s="18" t="n">
        <v>30.64740018</v>
      </c>
      <c r="N66" s="20" t="n">
        <v>2.15940586</v>
      </c>
      <c r="O66" s="18" t="n">
        <v>0</v>
      </c>
      <c r="P66" s="20" t="n">
        <v>0</v>
      </c>
      <c r="Q66" s="18" t="n">
        <v>11.79193789</v>
      </c>
      <c r="R66" s="20" t="n">
        <v>1.54901323</v>
      </c>
    </row>
    <row r="67" spans="1:18">
      <c r="A67" s="15" t="s">
        <v>627</v>
      </c>
      <c r="B67" s="17" t="n">
        <v>3511</v>
      </c>
      <c r="C67" s="18">
        <f>(2812.0/B67*100)</f>
        <v/>
      </c>
      <c r="D67" s="19" t="n">
        <v>699</v>
      </c>
      <c r="E67" s="18" t="n">
        <v>89.29864698999999</v>
      </c>
      <c r="F67" s="20" t="n">
        <v>1.1024861</v>
      </c>
      <c r="G67" s="18" t="n">
        <v>6.53704685</v>
      </c>
      <c r="H67" s="20" t="n">
        <v>0.92843424</v>
      </c>
      <c r="I67" s="18" t="s">
        <v>567</v>
      </c>
      <c r="J67" s="20" t="s">
        <v>567</v>
      </c>
      <c r="K67" s="18" t="n">
        <v>0</v>
      </c>
      <c r="L67" s="20" t="n">
        <v>0</v>
      </c>
      <c r="M67" s="18" t="n">
        <v>0.27147115</v>
      </c>
      <c r="N67" s="20" t="n">
        <v>0.19634651</v>
      </c>
      <c r="O67" s="18" t="n">
        <v>0</v>
      </c>
      <c r="P67" s="20" t="n">
        <v>0</v>
      </c>
      <c r="Q67" s="18" t="n">
        <v>3.89283501</v>
      </c>
      <c r="R67" s="20" t="n">
        <v>0.77565108</v>
      </c>
    </row>
    <row r="68" spans="1:18">
      <c r="A68" s="15" t="s">
        <v>628</v>
      </c>
      <c r="B68" s="17" t="n">
        <v>6049</v>
      </c>
      <c r="C68" s="18">
        <f>(4732.0/B68*100)</f>
        <v/>
      </c>
      <c r="D68" s="19" t="n">
        <v>1317</v>
      </c>
      <c r="E68" s="18" t="n">
        <v>77.12753393</v>
      </c>
      <c r="F68" s="20" t="n">
        <v>1.28797836</v>
      </c>
      <c r="G68" s="18" t="n">
        <v>13.50960076</v>
      </c>
      <c r="H68" s="20" t="n">
        <v>1.04497505</v>
      </c>
      <c r="I68" s="18" t="s">
        <v>567</v>
      </c>
      <c r="J68" s="20" t="s">
        <v>567</v>
      </c>
      <c r="K68" s="18" t="n">
        <v>2.37259341</v>
      </c>
      <c r="L68" s="20" t="n">
        <v>0.44828365</v>
      </c>
      <c r="M68" s="18" t="n">
        <v>0.0719486</v>
      </c>
      <c r="N68" s="20" t="n">
        <v>0.07210003</v>
      </c>
      <c r="O68" s="18" t="n">
        <v>0</v>
      </c>
      <c r="P68" s="20" t="n">
        <v>0</v>
      </c>
      <c r="Q68" s="18" t="n">
        <v>6.9183233</v>
      </c>
      <c r="R68" s="20" t="n">
        <v>0.68225488</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(2284.0/B70*100)</f>
        <v/>
      </c>
      <c r="D70" s="19" t="n">
        <v>645</v>
      </c>
      <c r="E70" s="18" t="n">
        <v>78.05249099</v>
      </c>
      <c r="F70" s="20" t="n">
        <v>1.82772339</v>
      </c>
      <c r="G70" s="18" t="n">
        <v>19.36475365</v>
      </c>
      <c r="H70" s="20" t="n">
        <v>1.72018071</v>
      </c>
      <c r="I70" s="18" t="s">
        <v>567</v>
      </c>
      <c r="J70" s="20" t="s">
        <v>567</v>
      </c>
      <c r="K70" s="18" t="n">
        <v>0.17232252</v>
      </c>
      <c r="L70" s="20" t="n">
        <v>0.11048342</v>
      </c>
      <c r="M70" s="18" t="n">
        <v>0.1052704</v>
      </c>
      <c r="N70" s="20" t="n">
        <v>0.07474356</v>
      </c>
      <c r="O70" s="18" t="n">
        <v>0</v>
      </c>
      <c r="P70" s="20" t="n">
        <v>0</v>
      </c>
      <c r="Q70" s="18" t="n">
        <v>2.30516244</v>
      </c>
      <c r="R70" s="20" t="n">
        <v>0.64576656</v>
      </c>
    </row>
    <row r="71" spans="1:18">
      <c r="A71" s="15" t="s">
        <v>631</v>
      </c>
      <c r="B71" s="17" t="n">
        <v>3142</v>
      </c>
      <c r="C71" s="18">
        <f>(2439.0/B71*100)</f>
        <v/>
      </c>
      <c r="D71" s="19" t="n">
        <v>703</v>
      </c>
      <c r="E71" s="18" t="n">
        <v>76.91352304</v>
      </c>
      <c r="F71" s="20" t="n">
        <v>1.79297427</v>
      </c>
      <c r="G71" s="18" t="n">
        <v>20.77616725</v>
      </c>
      <c r="H71" s="20" t="n">
        <v>1.61248255</v>
      </c>
      <c r="I71" s="18" t="s">
        <v>567</v>
      </c>
      <c r="J71" s="20" t="s">
        <v>567</v>
      </c>
      <c r="K71" s="18" t="n">
        <v>0.22547221</v>
      </c>
      <c r="L71" s="20" t="n">
        <v>0.16367274</v>
      </c>
      <c r="M71" s="18" t="n">
        <v>0</v>
      </c>
      <c r="N71" s="20" t="n">
        <v>0</v>
      </c>
      <c r="O71" s="18" t="n">
        <v>0</v>
      </c>
      <c r="P71" s="20" t="n">
        <v>0</v>
      </c>
      <c r="Q71" s="18" t="n">
        <v>2.08483749</v>
      </c>
      <c r="R71" s="20" t="n">
        <v>0.59081379</v>
      </c>
    </row>
    <row r="72" spans="1:18">
      <c r="A72" s="15" t="s">
        <v>632</v>
      </c>
      <c r="B72" s="17" t="n">
        <v>3889</v>
      </c>
      <c r="C72" s="18">
        <f>(3019.0/B72*100)</f>
        <v/>
      </c>
      <c r="D72" s="19" t="n">
        <v>870</v>
      </c>
      <c r="E72" s="18" t="n">
        <v>86.72598120000001</v>
      </c>
      <c r="F72" s="20" t="n">
        <v>1.05961981</v>
      </c>
      <c r="G72" s="18" t="n">
        <v>12.31966587</v>
      </c>
      <c r="H72" s="20" t="n">
        <v>1.02726263</v>
      </c>
      <c r="I72" s="18" t="s">
        <v>567</v>
      </c>
      <c r="J72" s="20" t="s">
        <v>567</v>
      </c>
      <c r="K72" s="18" t="n">
        <v>0.23083276</v>
      </c>
      <c r="L72" s="20" t="n">
        <v>0.16961064</v>
      </c>
      <c r="M72" s="18" t="n">
        <v>0</v>
      </c>
      <c r="N72" s="20" t="n">
        <v>0</v>
      </c>
      <c r="O72" s="18" t="n">
        <v>0</v>
      </c>
      <c r="P72" s="20" t="n">
        <v>0</v>
      </c>
      <c r="Q72" s="18" t="n">
        <v>0.72352017</v>
      </c>
      <c r="R72" s="20" t="n">
        <v>0.29668104</v>
      </c>
    </row>
    <row r="73" spans="1:18">
      <c r="A73" s="15" t="s">
        <v>633</v>
      </c>
      <c r="B73" s="17" t="n">
        <v>3597</v>
      </c>
      <c r="C73" s="18">
        <f>(2843.0/B73*100)</f>
        <v/>
      </c>
      <c r="D73" s="19" t="n">
        <v>754</v>
      </c>
      <c r="E73" s="18" t="n">
        <v>92.54531799</v>
      </c>
      <c r="F73" s="20" t="n">
        <v>1.17027582</v>
      </c>
      <c r="G73" s="18" t="n">
        <v>5.16613485</v>
      </c>
      <c r="H73" s="20" t="n">
        <v>0.91761399</v>
      </c>
      <c r="I73" s="18" t="s">
        <v>567</v>
      </c>
      <c r="J73" s="20" t="s">
        <v>567</v>
      </c>
      <c r="K73" s="18" t="n">
        <v>0.18436636</v>
      </c>
      <c r="L73" s="20" t="n">
        <v>0.13082133</v>
      </c>
      <c r="M73" s="18" t="n">
        <v>0.08566782000000001</v>
      </c>
      <c r="N73" s="20" t="n">
        <v>0.07876263</v>
      </c>
      <c r="O73" s="18" t="n">
        <v>0</v>
      </c>
      <c r="P73" s="20" t="n">
        <v>0</v>
      </c>
      <c r="Q73" s="18" t="n">
        <v>2.01851298</v>
      </c>
      <c r="R73" s="20" t="n">
        <v>0.69367152</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(1910.0/B75*100)</f>
        <v/>
      </c>
      <c r="D75" s="19" t="n">
        <v>496</v>
      </c>
      <c r="E75" s="18" t="n">
        <v>78.39842571</v>
      </c>
      <c r="F75" s="20" t="n">
        <v>1.88345314</v>
      </c>
      <c r="G75" s="18" t="n">
        <v>10.83215885</v>
      </c>
      <c r="H75" s="20" t="n">
        <v>1.39981373</v>
      </c>
      <c r="I75" s="18" t="s">
        <v>567</v>
      </c>
      <c r="J75" s="20" t="s">
        <v>567</v>
      </c>
      <c r="K75" s="18" t="n">
        <v>1.84769715</v>
      </c>
      <c r="L75" s="20" t="n">
        <v>0.67612376</v>
      </c>
      <c r="M75" s="18" t="n">
        <v>0.8177868700000001</v>
      </c>
      <c r="N75" s="20" t="n">
        <v>0.3950657</v>
      </c>
      <c r="O75" s="18" t="n">
        <v>0</v>
      </c>
      <c r="P75" s="20" t="n">
        <v>0</v>
      </c>
      <c r="Q75" s="18" t="n">
        <v>8.1039314</v>
      </c>
      <c r="R75" s="20" t="n">
        <v>1.12423716</v>
      </c>
    </row>
    <row r="76" spans="1:18">
      <c r="A76" s="15" t="s">
        <v>636</v>
      </c>
      <c r="B76" s="17" t="n">
        <v>7052</v>
      </c>
      <c r="C76" s="18">
        <f>(5498.0/B76*100)</f>
        <v/>
      </c>
      <c r="D76" s="19" t="n">
        <v>1554</v>
      </c>
      <c r="E76" s="18" t="n">
        <v>80.09063051</v>
      </c>
      <c r="F76" s="20" t="n">
        <v>1.06035893</v>
      </c>
      <c r="G76" s="18" t="n">
        <v>14.48743922</v>
      </c>
      <c r="H76" s="20" t="n">
        <v>1.05125371</v>
      </c>
      <c r="I76" s="18" t="s">
        <v>567</v>
      </c>
      <c r="J76" s="20" t="s">
        <v>567</v>
      </c>
      <c r="K76" s="18" t="n">
        <v>0.74514048</v>
      </c>
      <c r="L76" s="20" t="n">
        <v>0.2290418</v>
      </c>
      <c r="M76" s="18" t="n">
        <v>0.24351509</v>
      </c>
      <c r="N76" s="20" t="n">
        <v>0.13683535</v>
      </c>
      <c r="O76" s="18" t="n">
        <v>0</v>
      </c>
      <c r="P76" s="20" t="n">
        <v>0</v>
      </c>
      <c r="Q76" s="18" t="n">
        <v>4.43327471</v>
      </c>
      <c r="R76" s="20" t="n">
        <v>0.66343341</v>
      </c>
    </row>
    <row r="77" spans="1:18">
      <c r="A77" s="15" t="s">
        <v>637</v>
      </c>
      <c r="B77" s="17" t="n">
        <v>2908</v>
      </c>
      <c r="C77" s="18">
        <f>(2251.0/B77*100)</f>
        <v/>
      </c>
      <c r="D77" s="19" t="n">
        <v>657</v>
      </c>
      <c r="E77" s="18" t="n">
        <v>63.03112223</v>
      </c>
      <c r="F77" s="20" t="n">
        <v>2.20119274</v>
      </c>
      <c r="G77" s="18" t="n">
        <v>28.6962275</v>
      </c>
      <c r="H77" s="20" t="n">
        <v>1.99075531</v>
      </c>
      <c r="I77" s="18" t="s">
        <v>567</v>
      </c>
      <c r="J77" s="20" t="s">
        <v>567</v>
      </c>
      <c r="K77" s="18" t="n">
        <v>1.22640739</v>
      </c>
      <c r="L77" s="20" t="n">
        <v>0.37283888</v>
      </c>
      <c r="M77" s="18" t="n">
        <v>0</v>
      </c>
      <c r="N77" s="20" t="n">
        <v>0</v>
      </c>
      <c r="O77" s="18" t="n">
        <v>0</v>
      </c>
      <c r="P77" s="20" t="n">
        <v>0</v>
      </c>
      <c r="Q77" s="18" t="n">
        <v>7.04624287</v>
      </c>
      <c r="R77" s="20" t="n">
        <v>1.00017606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(3232.0/B81*100)</f>
        <v/>
      </c>
      <c r="D81" s="19" t="n">
        <v>931</v>
      </c>
      <c r="E81" s="18" t="n">
        <v>92.39806866000001</v>
      </c>
      <c r="F81" s="20" t="n">
        <v>0.97493081</v>
      </c>
      <c r="G81" s="18" t="n">
        <v>6.36813001</v>
      </c>
      <c r="H81" s="20" t="n">
        <v>0.81268821</v>
      </c>
      <c r="I81" s="18" t="s">
        <v>567</v>
      </c>
      <c r="J81" s="20" t="s">
        <v>567</v>
      </c>
      <c r="K81" s="18" t="n">
        <v>0.37189153</v>
      </c>
      <c r="L81" s="20" t="n">
        <v>0.29747109</v>
      </c>
      <c r="M81" s="18" t="n">
        <v>0</v>
      </c>
      <c r="N81" s="20" t="n">
        <v>0</v>
      </c>
      <c r="O81" s="18" t="n">
        <v>0</v>
      </c>
      <c r="P81" s="20" t="n">
        <v>0</v>
      </c>
      <c r="Q81" s="18" t="n">
        <v>0.8619097999999999</v>
      </c>
      <c r="R81" s="20" t="n">
        <v>0.43398695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828</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7367</v>
      </c>
      <c r="C7" s="18">
        <f>(5779.0/B7*100)</f>
        <v/>
      </c>
      <c r="D7" s="19" t="n">
        <v>1588</v>
      </c>
      <c r="E7" s="18" t="n">
        <v>21.7136157</v>
      </c>
      <c r="F7" s="20" t="n">
        <v>1.17827939</v>
      </c>
      <c r="G7" s="18" t="n">
        <v>18.78090069</v>
      </c>
      <c r="H7" s="20" t="n">
        <v>1.23277191</v>
      </c>
      <c r="I7" s="18" t="n">
        <v>55.18346858</v>
      </c>
      <c r="J7" s="20" t="n">
        <v>1.61443608</v>
      </c>
      <c r="K7" s="18" t="s">
        <v>567</v>
      </c>
      <c r="L7" s="20" t="s">
        <v>567</v>
      </c>
      <c r="M7" s="18" t="n">
        <v>0.41297137</v>
      </c>
      <c r="N7" s="20" t="n">
        <v>0.14581198</v>
      </c>
      <c r="O7" s="18" t="n">
        <v>0.0084539</v>
      </c>
      <c r="P7" s="20" t="n">
        <v>0.008570400000000001</v>
      </c>
      <c r="Q7" s="18" t="n">
        <v>0</v>
      </c>
      <c r="R7" s="20" t="n">
        <v>0</v>
      </c>
      <c r="S7" s="18" t="n">
        <v>3.90058976</v>
      </c>
      <c r="T7" s="20" t="n">
        <v>0.51721681</v>
      </c>
    </row>
    <row r="8" spans="1:20">
      <c r="A8" s="15" t="s">
        <v>568</v>
      </c>
      <c r="B8" s="17" t="n">
        <v>3564</v>
      </c>
      <c r="C8" s="18">
        <f>(2796.0/B8*100)</f>
        <v/>
      </c>
      <c r="D8" s="19" t="n">
        <v>768</v>
      </c>
      <c r="E8" s="18" t="n">
        <v>23.1444795</v>
      </c>
      <c r="F8" s="20" t="n">
        <v>1.7127263</v>
      </c>
      <c r="G8" s="18" t="n">
        <v>22.82473263</v>
      </c>
      <c r="H8" s="20" t="n">
        <v>1.55872029</v>
      </c>
      <c r="I8" s="18" t="n">
        <v>47.06032921</v>
      </c>
      <c r="J8" s="20" t="n">
        <v>1.87426335</v>
      </c>
      <c r="K8" s="18" t="s">
        <v>567</v>
      </c>
      <c r="L8" s="20" t="s">
        <v>567</v>
      </c>
      <c r="M8" s="18" t="n">
        <v>0.21749687</v>
      </c>
      <c r="N8" s="20" t="n">
        <v>0.21194308</v>
      </c>
      <c r="O8" s="18" t="n">
        <v>0</v>
      </c>
      <c r="P8" s="20" t="n">
        <v>0</v>
      </c>
      <c r="Q8" s="18" t="n">
        <v>0</v>
      </c>
      <c r="R8" s="20" t="n">
        <v>0</v>
      </c>
      <c r="S8" s="18" t="n">
        <v>6.75296179</v>
      </c>
      <c r="T8" s="20" t="n">
        <v>0.92008369</v>
      </c>
    </row>
    <row r="9" spans="1:20">
      <c r="A9" s="15" t="s">
        <v>569</v>
      </c>
      <c r="B9" s="17" t="n">
        <v>4899</v>
      </c>
      <c r="C9" s="18">
        <f>(3879.0/B9*100)</f>
        <v/>
      </c>
      <c r="D9" s="19" t="n">
        <v>1020</v>
      </c>
      <c r="E9" s="18" t="n">
        <v>20.61153073</v>
      </c>
      <c r="F9" s="20" t="n">
        <v>1.36458675</v>
      </c>
      <c r="G9" s="18" t="n">
        <v>24.68969984</v>
      </c>
      <c r="H9" s="20" t="n">
        <v>1.402833</v>
      </c>
      <c r="I9" s="18" t="n">
        <v>49.32679935</v>
      </c>
      <c r="J9" s="20" t="n">
        <v>1.6194066</v>
      </c>
      <c r="K9" s="18" t="s">
        <v>567</v>
      </c>
      <c r="L9" s="20" t="s">
        <v>567</v>
      </c>
      <c r="M9" s="18" t="n">
        <v>0.317241</v>
      </c>
      <c r="N9" s="20" t="n">
        <v>0.15199903</v>
      </c>
      <c r="O9" s="18" t="n">
        <v>0.30892045</v>
      </c>
      <c r="P9" s="20" t="n">
        <v>0.18417546</v>
      </c>
      <c r="Q9" s="18" t="n">
        <v>0</v>
      </c>
      <c r="R9" s="20" t="n">
        <v>0</v>
      </c>
      <c r="S9" s="18" t="n">
        <v>4.74580862</v>
      </c>
      <c r="T9" s="20" t="n">
        <v>0.80958165</v>
      </c>
    </row>
    <row r="10" spans="1:20">
      <c r="A10" s="15" t="s">
        <v>570</v>
      </c>
      <c r="B10" s="17" t="n">
        <v>10036</v>
      </c>
      <c r="C10" s="18">
        <f>(7887.0/B10*100)</f>
        <v/>
      </c>
      <c r="D10" s="19" t="n">
        <v>2149</v>
      </c>
      <c r="E10" s="18" t="n">
        <v>13.59317451</v>
      </c>
      <c r="F10" s="20" t="n">
        <v>1.129502</v>
      </c>
      <c r="G10" s="18" t="n">
        <v>26.71049967</v>
      </c>
      <c r="H10" s="20" t="n">
        <v>1.38812652</v>
      </c>
      <c r="I10" s="18" t="n">
        <v>57.5984708</v>
      </c>
      <c r="J10" s="20" t="n">
        <v>1.58013508</v>
      </c>
      <c r="K10" s="18" t="s">
        <v>567</v>
      </c>
      <c r="L10" s="20" t="s">
        <v>567</v>
      </c>
      <c r="M10" s="18" t="n">
        <v>0.07156066</v>
      </c>
      <c r="N10" s="20" t="n">
        <v>0.03781578</v>
      </c>
      <c r="O10" s="18" t="n">
        <v>0.04166492</v>
      </c>
      <c r="P10" s="20" t="n">
        <v>0.02938707</v>
      </c>
      <c r="Q10" s="18" t="n">
        <v>0</v>
      </c>
      <c r="R10" s="20" t="n">
        <v>0</v>
      </c>
      <c r="S10" s="18" t="n">
        <v>1.98462944</v>
      </c>
      <c r="T10" s="20" t="n">
        <v>0.40097873</v>
      </c>
    </row>
    <row r="11" spans="1:20">
      <c r="A11" s="15" t="s">
        <v>571</v>
      </c>
      <c r="B11" s="17" t="n">
        <v>3553</v>
      </c>
      <c r="C11" s="18">
        <f>(2800.0/B11*100)</f>
        <v/>
      </c>
      <c r="D11" s="19" t="n">
        <v>753</v>
      </c>
      <c r="E11" s="18" t="n">
        <v>22.81535837</v>
      </c>
      <c r="F11" s="20" t="n">
        <v>1.6656322</v>
      </c>
      <c r="G11" s="18" t="n">
        <v>17.55710769</v>
      </c>
      <c r="H11" s="20" t="n">
        <v>1.41303387</v>
      </c>
      <c r="I11" s="18" t="n">
        <v>53.97271439</v>
      </c>
      <c r="J11" s="20" t="n">
        <v>2.05081253</v>
      </c>
      <c r="K11" s="18" t="s">
        <v>567</v>
      </c>
      <c r="L11" s="20" t="s">
        <v>567</v>
      </c>
      <c r="M11" s="18" t="n">
        <v>1.88746734</v>
      </c>
      <c r="N11" s="20" t="n">
        <v>0.543405</v>
      </c>
      <c r="O11" s="18" t="n">
        <v>0</v>
      </c>
      <c r="P11" s="20" t="n">
        <v>0</v>
      </c>
      <c r="Q11" s="18" t="n">
        <v>0</v>
      </c>
      <c r="R11" s="20" t="n">
        <v>0</v>
      </c>
      <c r="S11" s="18" t="n">
        <v>3.76735221</v>
      </c>
      <c r="T11" s="20" t="n">
        <v>0.77392329</v>
      </c>
    </row>
    <row r="12" spans="1:20">
      <c r="A12" s="15" t="s">
        <v>572</v>
      </c>
      <c r="B12" s="17" t="n">
        <v>3472</v>
      </c>
      <c r="C12" s="18">
        <f>(2734.0/B12*100)</f>
        <v/>
      </c>
      <c r="D12" s="19" t="n">
        <v>738</v>
      </c>
      <c r="E12" s="18" t="n">
        <v>24.80434689</v>
      </c>
      <c r="F12" s="20" t="n">
        <v>1.64874887</v>
      </c>
      <c r="G12" s="18" t="n">
        <v>15.69671874</v>
      </c>
      <c r="H12" s="20" t="n">
        <v>1.43558438</v>
      </c>
      <c r="I12" s="18" t="n">
        <v>51.42033579</v>
      </c>
      <c r="J12" s="20" t="n">
        <v>2.03200769</v>
      </c>
      <c r="K12" s="18" t="s">
        <v>567</v>
      </c>
      <c r="L12" s="20" t="s">
        <v>567</v>
      </c>
      <c r="M12" s="18" t="n">
        <v>0.49195577</v>
      </c>
      <c r="N12" s="20" t="n">
        <v>0.33488845</v>
      </c>
      <c r="O12" s="18" t="n">
        <v>0</v>
      </c>
      <c r="P12" s="20" t="n">
        <v>0</v>
      </c>
      <c r="Q12" s="18" t="n">
        <v>0</v>
      </c>
      <c r="R12" s="20" t="n">
        <v>0</v>
      </c>
      <c r="S12" s="18" t="n">
        <v>7.58664281</v>
      </c>
      <c r="T12" s="20" t="n">
        <v>1.12154912</v>
      </c>
    </row>
    <row r="13" spans="1:20">
      <c r="A13" s="15" t="s">
        <v>573</v>
      </c>
      <c r="B13" s="17" t="n">
        <v>3559</v>
      </c>
      <c r="C13" s="18">
        <f>(2829.0/B13*100)</f>
        <v/>
      </c>
      <c r="D13" s="19" t="n">
        <v>730</v>
      </c>
      <c r="E13" s="18" t="n">
        <v>19.54460797</v>
      </c>
      <c r="F13" s="20" t="n">
        <v>1.71847701</v>
      </c>
      <c r="G13" s="18" t="n">
        <v>17.13365789</v>
      </c>
      <c r="H13" s="20" t="n">
        <v>1.74198504</v>
      </c>
      <c r="I13" s="18" t="n">
        <v>60.43985268</v>
      </c>
      <c r="J13" s="20" t="n">
        <v>2.21873637</v>
      </c>
      <c r="K13" s="18" t="s">
        <v>567</v>
      </c>
      <c r="L13" s="20" t="s">
        <v>567</v>
      </c>
      <c r="M13" s="18" t="n">
        <v>0.5141921</v>
      </c>
      <c r="N13" s="20" t="n">
        <v>0.25043216</v>
      </c>
      <c r="O13" s="18" t="n">
        <v>0.02810272</v>
      </c>
      <c r="P13" s="20" t="n">
        <v>0.02786566</v>
      </c>
      <c r="Q13" s="18" t="n">
        <v>0</v>
      </c>
      <c r="R13" s="20" t="n">
        <v>0</v>
      </c>
      <c r="S13" s="18" t="n">
        <v>2.33958665</v>
      </c>
      <c r="T13" s="20" t="n">
        <v>0.58114806</v>
      </c>
    </row>
    <row r="14" spans="1:20">
      <c r="A14" s="15" t="s">
        <v>574</v>
      </c>
      <c r="B14" s="17" t="n">
        <v>2799</v>
      </c>
      <c r="C14" s="18">
        <f>(2187.0/B14*100)</f>
        <v/>
      </c>
      <c r="D14" s="19" t="n">
        <v>612</v>
      </c>
      <c r="E14" s="18" t="n">
        <v>11.91225588</v>
      </c>
      <c r="F14" s="20" t="n">
        <v>1.52224117</v>
      </c>
      <c r="G14" s="18" t="n">
        <v>19.45985967</v>
      </c>
      <c r="H14" s="20" t="n">
        <v>1.91667231</v>
      </c>
      <c r="I14" s="18" t="n">
        <v>66.2875902</v>
      </c>
      <c r="J14" s="20" t="n">
        <v>2.32571175</v>
      </c>
      <c r="K14" s="18" t="s">
        <v>567</v>
      </c>
      <c r="L14" s="20" t="s">
        <v>567</v>
      </c>
      <c r="M14" s="18" t="n">
        <v>0</v>
      </c>
      <c r="N14" s="20" t="n">
        <v>0</v>
      </c>
      <c r="O14" s="18" t="n">
        <v>0</v>
      </c>
      <c r="P14" s="20" t="n">
        <v>0</v>
      </c>
      <c r="Q14" s="18" t="n">
        <v>0</v>
      </c>
      <c r="R14" s="20" t="n">
        <v>0</v>
      </c>
      <c r="S14" s="18" t="n">
        <v>2.34029426</v>
      </c>
      <c r="T14" s="20" t="n">
        <v>0.76464471</v>
      </c>
    </row>
    <row r="15" spans="1:20">
      <c r="A15" s="15" t="s">
        <v>575</v>
      </c>
      <c r="B15" s="17" t="n">
        <v>3019</v>
      </c>
      <c r="C15" s="18">
        <f>(2402.0/B15*100)</f>
        <v/>
      </c>
      <c r="D15" s="19" t="n">
        <v>617</v>
      </c>
      <c r="E15" s="18" t="n">
        <v>19.25463601</v>
      </c>
      <c r="F15" s="20" t="n">
        <v>1.68248289</v>
      </c>
      <c r="G15" s="18" t="n">
        <v>25.9815011</v>
      </c>
      <c r="H15" s="20" t="n">
        <v>1.72525129</v>
      </c>
      <c r="I15" s="18" t="n">
        <v>50.00786327</v>
      </c>
      <c r="J15" s="20" t="n">
        <v>2.09120965</v>
      </c>
      <c r="K15" s="18" t="s">
        <v>567</v>
      </c>
      <c r="L15" s="20" t="s">
        <v>567</v>
      </c>
      <c r="M15" s="18" t="n">
        <v>0.29983942</v>
      </c>
      <c r="N15" s="20" t="n">
        <v>0.21636359</v>
      </c>
      <c r="O15" s="18" t="n">
        <v>0</v>
      </c>
      <c r="P15" s="20" t="n">
        <v>0</v>
      </c>
      <c r="Q15" s="18" t="n">
        <v>0</v>
      </c>
      <c r="R15" s="20" t="n">
        <v>0</v>
      </c>
      <c r="S15" s="18" t="n">
        <v>4.45616021</v>
      </c>
      <c r="T15" s="20" t="n">
        <v>0.86289421</v>
      </c>
    </row>
    <row r="16" spans="1:20">
      <c r="A16" s="15" t="s">
        <v>576</v>
      </c>
      <c r="B16" s="17" t="n">
        <v>2997</v>
      </c>
      <c r="C16" s="18">
        <f>(2361.0/B16*100)</f>
        <v/>
      </c>
      <c r="D16" s="19" t="n">
        <v>636</v>
      </c>
      <c r="E16" s="18" t="n">
        <v>20.00118665</v>
      </c>
      <c r="F16" s="20" t="n">
        <v>1.51946362</v>
      </c>
      <c r="G16" s="18" t="n">
        <v>29.45686564</v>
      </c>
      <c r="H16" s="20" t="n">
        <v>1.7296802</v>
      </c>
      <c r="I16" s="18" t="n">
        <v>39.17136883</v>
      </c>
      <c r="J16" s="20" t="n">
        <v>2.02610447</v>
      </c>
      <c r="K16" s="18" t="s">
        <v>567</v>
      </c>
      <c r="L16" s="20" t="s">
        <v>567</v>
      </c>
      <c r="M16" s="18" t="n">
        <v>1.91874901</v>
      </c>
      <c r="N16" s="20" t="n">
        <v>0.60867033</v>
      </c>
      <c r="O16" s="18" t="n">
        <v>0</v>
      </c>
      <c r="P16" s="20" t="n">
        <v>0</v>
      </c>
      <c r="Q16" s="18" t="n">
        <v>0</v>
      </c>
      <c r="R16" s="20" t="n">
        <v>0</v>
      </c>
      <c r="S16" s="18" t="n">
        <v>9.45182988</v>
      </c>
      <c r="T16" s="20" t="n">
        <v>1.26738128</v>
      </c>
    </row>
    <row r="17" spans="1:20">
      <c r="A17" s="15" t="s">
        <v>577</v>
      </c>
      <c r="B17" s="17" t="n">
        <v>3307</v>
      </c>
      <c r="C17" s="18">
        <f>(2598.0/B17*100)</f>
        <v/>
      </c>
      <c r="D17" s="19" t="n">
        <v>709</v>
      </c>
      <c r="E17" s="18" t="n">
        <v>19.7027421</v>
      </c>
      <c r="F17" s="20" t="n">
        <v>1.53126837</v>
      </c>
      <c r="G17" s="18" t="n">
        <v>21.4099313</v>
      </c>
      <c r="H17" s="20" t="n">
        <v>1.79926404</v>
      </c>
      <c r="I17" s="18" t="n">
        <v>53.13518916</v>
      </c>
      <c r="J17" s="20" t="n">
        <v>2.06024214</v>
      </c>
      <c r="K17" s="18" t="s">
        <v>567</v>
      </c>
      <c r="L17" s="20" t="s">
        <v>567</v>
      </c>
      <c r="M17" s="18" t="n">
        <v>0.30459155</v>
      </c>
      <c r="N17" s="20" t="n">
        <v>0.22139869</v>
      </c>
      <c r="O17" s="18" t="n">
        <v>0</v>
      </c>
      <c r="P17" s="20" t="n">
        <v>0</v>
      </c>
      <c r="Q17" s="18" t="n">
        <v>0</v>
      </c>
      <c r="R17" s="20" t="n">
        <v>0</v>
      </c>
      <c r="S17" s="18" t="n">
        <v>5.44754591</v>
      </c>
      <c r="T17" s="20" t="n">
        <v>0.78503464</v>
      </c>
    </row>
    <row r="18" spans="1:20">
      <c r="A18" s="15" t="s">
        <v>578</v>
      </c>
      <c r="B18" s="17" t="n">
        <v>2826</v>
      </c>
      <c r="C18" s="18">
        <f>(2218.0/B18*100)</f>
        <v/>
      </c>
      <c r="D18" s="19" t="n">
        <v>608</v>
      </c>
      <c r="E18" s="18" t="n">
        <v>33.51999264</v>
      </c>
      <c r="F18" s="20" t="n">
        <v>2.28817523</v>
      </c>
      <c r="G18" s="18" t="n">
        <v>23.40759506</v>
      </c>
      <c r="H18" s="20" t="n">
        <v>1.57641181</v>
      </c>
      <c r="I18" s="18" t="n">
        <v>29.84502768</v>
      </c>
      <c r="J18" s="20" t="n">
        <v>2.03068839</v>
      </c>
      <c r="K18" s="18" t="s">
        <v>567</v>
      </c>
      <c r="L18" s="20" t="s">
        <v>567</v>
      </c>
      <c r="M18" s="18" t="n">
        <v>0.22236053</v>
      </c>
      <c r="N18" s="20" t="n">
        <v>0.178717</v>
      </c>
      <c r="O18" s="18" t="n">
        <v>0</v>
      </c>
      <c r="P18" s="20" t="n">
        <v>0</v>
      </c>
      <c r="Q18" s="18" t="n">
        <v>0</v>
      </c>
      <c r="R18" s="20" t="n">
        <v>0</v>
      </c>
      <c r="S18" s="18" t="n">
        <v>13.00502409</v>
      </c>
      <c r="T18" s="20" t="n">
        <v>1.61157087</v>
      </c>
    </row>
    <row r="19" spans="1:20">
      <c r="A19" s="15" t="s">
        <v>579</v>
      </c>
      <c r="B19" s="17" t="n">
        <v>2808</v>
      </c>
      <c r="C19" s="18">
        <f>(2211.0/B19*100)</f>
        <v/>
      </c>
      <c r="D19" s="19" t="n">
        <v>597</v>
      </c>
      <c r="E19" s="18" t="n">
        <v>20.06836811</v>
      </c>
      <c r="F19" s="20" t="n">
        <v>1.94671409</v>
      </c>
      <c r="G19" s="18" t="n">
        <v>29.54237002</v>
      </c>
      <c r="H19" s="20" t="n">
        <v>1.96164154</v>
      </c>
      <c r="I19" s="18" t="n">
        <v>42.21703045</v>
      </c>
      <c r="J19" s="20" t="n">
        <v>2.30347894</v>
      </c>
      <c r="K19" s="18" t="s">
        <v>567</v>
      </c>
      <c r="L19" s="20" t="s">
        <v>567</v>
      </c>
      <c r="M19" s="18" t="n">
        <v>0.2989807</v>
      </c>
      <c r="N19" s="20" t="n">
        <v>0.21729673</v>
      </c>
      <c r="O19" s="18" t="n">
        <v>0</v>
      </c>
      <c r="P19" s="20" t="n">
        <v>0</v>
      </c>
      <c r="Q19" s="18" t="n">
        <v>0</v>
      </c>
      <c r="R19" s="20" t="n">
        <v>0</v>
      </c>
      <c r="S19" s="18" t="n">
        <v>7.87325072</v>
      </c>
      <c r="T19" s="20" t="n">
        <v>1.26546462</v>
      </c>
    </row>
    <row r="20" spans="1:20">
      <c r="A20" s="15" t="s">
        <v>580</v>
      </c>
      <c r="B20" s="17" t="n">
        <v>1630</v>
      </c>
      <c r="C20" s="18">
        <f>(1274.0/B20*100)</f>
        <v/>
      </c>
      <c r="D20" s="19" t="n">
        <v>356</v>
      </c>
      <c r="E20" s="18" t="n">
        <v>25.23558515</v>
      </c>
      <c r="F20" s="20" t="n">
        <v>2.31930139</v>
      </c>
      <c r="G20" s="18" t="n">
        <v>17.65769743</v>
      </c>
      <c r="H20" s="20" t="n">
        <v>2.06249063</v>
      </c>
      <c r="I20" s="18" t="n">
        <v>46.04250944</v>
      </c>
      <c r="J20" s="20" t="n">
        <v>2.79978433</v>
      </c>
      <c r="K20" s="18" t="s">
        <v>567</v>
      </c>
      <c r="L20" s="20" t="s">
        <v>567</v>
      </c>
      <c r="M20" s="18" t="n">
        <v>0.5177078899999999</v>
      </c>
      <c r="N20" s="20" t="n">
        <v>0.3691484</v>
      </c>
      <c r="O20" s="18" t="n">
        <v>1.12342201</v>
      </c>
      <c r="P20" s="20" t="n">
        <v>0.37221256</v>
      </c>
      <c r="Q20" s="18" t="n">
        <v>0</v>
      </c>
      <c r="R20" s="20" t="n">
        <v>0</v>
      </c>
      <c r="S20" s="18" t="n">
        <v>9.42307808</v>
      </c>
      <c r="T20" s="20" t="n">
        <v>1.56056895</v>
      </c>
    </row>
    <row r="21" spans="1:20">
      <c r="A21" s="15" t="s">
        <v>581</v>
      </c>
      <c r="B21" s="17" t="n">
        <v>2908</v>
      </c>
      <c r="C21" s="18">
        <f>(2250.0/B21*100)</f>
        <v/>
      </c>
      <c r="D21" s="19" t="n">
        <v>658</v>
      </c>
      <c r="E21" s="18" t="n">
        <v>23.35710126</v>
      </c>
      <c r="F21" s="20" t="n">
        <v>2.04986194</v>
      </c>
      <c r="G21" s="18" t="n">
        <v>17.32001361</v>
      </c>
      <c r="H21" s="20" t="n">
        <v>1.32118258</v>
      </c>
      <c r="I21" s="18" t="n">
        <v>55.48448741</v>
      </c>
      <c r="J21" s="20" t="n">
        <v>2.42359999</v>
      </c>
      <c r="K21" s="18" t="s">
        <v>567</v>
      </c>
      <c r="L21" s="20" t="s">
        <v>567</v>
      </c>
      <c r="M21" s="18" t="n">
        <v>0.55696587</v>
      </c>
      <c r="N21" s="20" t="n">
        <v>0.32372854</v>
      </c>
      <c r="O21" s="18" t="n">
        <v>0</v>
      </c>
      <c r="P21" s="20" t="n">
        <v>0</v>
      </c>
      <c r="Q21" s="18" t="n">
        <v>0</v>
      </c>
      <c r="R21" s="20" t="n">
        <v>0</v>
      </c>
      <c r="S21" s="18" t="n">
        <v>3.28143186</v>
      </c>
      <c r="T21" s="20" t="n">
        <v>0.77225897</v>
      </c>
    </row>
    <row r="22" spans="1:20">
      <c r="A22" s="15" t="s">
        <v>582</v>
      </c>
      <c r="B22" s="17" t="n">
        <v>2931</v>
      </c>
      <c r="C22" s="18">
        <f>(2278.0/B22*100)</f>
        <v/>
      </c>
      <c r="D22" s="19" t="n">
        <v>653</v>
      </c>
      <c r="E22" s="18" t="n">
        <v>24.10444493</v>
      </c>
      <c r="F22" s="20" t="n">
        <v>1.86235243</v>
      </c>
      <c r="G22" s="18" t="n">
        <v>27.52822577</v>
      </c>
      <c r="H22" s="20" t="n">
        <v>1.62133855</v>
      </c>
      <c r="I22" s="18" t="n">
        <v>37.8607761</v>
      </c>
      <c r="J22" s="20" t="n">
        <v>2.42192919</v>
      </c>
      <c r="K22" s="18" t="s">
        <v>567</v>
      </c>
      <c r="L22" s="20" t="s">
        <v>567</v>
      </c>
      <c r="M22" s="18" t="n">
        <v>1.21654784</v>
      </c>
      <c r="N22" s="20" t="n">
        <v>0.55470402</v>
      </c>
      <c r="O22" s="18" t="n">
        <v>0</v>
      </c>
      <c r="P22" s="20" t="n">
        <v>0</v>
      </c>
      <c r="Q22" s="18" t="n">
        <v>0</v>
      </c>
      <c r="R22" s="20" t="n">
        <v>0</v>
      </c>
      <c r="S22" s="18" t="n">
        <v>9.290005369999999</v>
      </c>
      <c r="T22" s="20" t="n">
        <v>1.36374404</v>
      </c>
    </row>
    <row r="23" spans="1:20">
      <c r="A23" s="15" t="s">
        <v>583</v>
      </c>
      <c r="B23" s="17" t="n">
        <v>5791</v>
      </c>
      <c r="C23" s="18">
        <f>(4546.0/B23*100)</f>
        <v/>
      </c>
      <c r="D23" s="19" t="n">
        <v>1245</v>
      </c>
      <c r="E23" s="18" t="n">
        <v>28.92770132</v>
      </c>
      <c r="F23" s="20" t="n">
        <v>2.09985305</v>
      </c>
      <c r="G23" s="18" t="n">
        <v>23.07252249</v>
      </c>
      <c r="H23" s="20" t="n">
        <v>1.55669811</v>
      </c>
      <c r="I23" s="18" t="n">
        <v>39.93864796</v>
      </c>
      <c r="J23" s="20" t="n">
        <v>1.7719435</v>
      </c>
      <c r="K23" s="18" t="s">
        <v>567</v>
      </c>
      <c r="L23" s="20" t="s">
        <v>567</v>
      </c>
      <c r="M23" s="18" t="n">
        <v>0.68760021</v>
      </c>
      <c r="N23" s="20" t="n">
        <v>0.34148994</v>
      </c>
      <c r="O23" s="18" t="n">
        <v>0</v>
      </c>
      <c r="P23" s="20" t="n">
        <v>0</v>
      </c>
      <c r="Q23" s="18" t="n">
        <v>0</v>
      </c>
      <c r="R23" s="20" t="n">
        <v>0</v>
      </c>
      <c r="S23" s="18" t="n">
        <v>7.37352802</v>
      </c>
      <c r="T23" s="20" t="n">
        <v>1.08495755</v>
      </c>
    </row>
    <row r="24" spans="1:20">
      <c r="A24" s="15" t="s">
        <v>584</v>
      </c>
      <c r="B24" s="17" t="n">
        <v>3338</v>
      </c>
      <c r="C24" s="18">
        <f>(2617.0/B24*100)</f>
        <v/>
      </c>
      <c r="D24" s="19" t="n">
        <v>721</v>
      </c>
      <c r="E24" s="18" t="n">
        <v>10.99590512</v>
      </c>
      <c r="F24" s="20" t="n">
        <v>1.05553454</v>
      </c>
      <c r="G24" s="18" t="n">
        <v>30.85279615</v>
      </c>
      <c r="H24" s="20" t="n">
        <v>1.71737744</v>
      </c>
      <c r="I24" s="18" t="n">
        <v>54.15026428</v>
      </c>
      <c r="J24" s="20" t="n">
        <v>1.71985793</v>
      </c>
      <c r="K24" s="18" t="s">
        <v>567</v>
      </c>
      <c r="L24" s="20" t="s">
        <v>567</v>
      </c>
      <c r="M24" s="18" t="n">
        <v>0.71376282</v>
      </c>
      <c r="N24" s="20" t="n">
        <v>0.32546931</v>
      </c>
      <c r="O24" s="18" t="n">
        <v>0</v>
      </c>
      <c r="P24" s="20" t="n">
        <v>0</v>
      </c>
      <c r="Q24" s="18" t="n">
        <v>0</v>
      </c>
      <c r="R24" s="20" t="n">
        <v>0</v>
      </c>
      <c r="S24" s="18" t="n">
        <v>3.28727163</v>
      </c>
      <c r="T24" s="20" t="n">
        <v>0.76049771</v>
      </c>
    </row>
    <row r="25" spans="1:20">
      <c r="A25" s="15" t="s">
        <v>585</v>
      </c>
      <c r="B25" s="17" t="n">
        <v>2912</v>
      </c>
      <c r="C25" s="18">
        <f>(2253.0/B25*100)</f>
        <v/>
      </c>
      <c r="D25" s="19" t="n">
        <v>659</v>
      </c>
      <c r="E25" s="18" t="n">
        <v>27.23591053</v>
      </c>
      <c r="F25" s="20" t="n">
        <v>1.78431242</v>
      </c>
      <c r="G25" s="18" t="n">
        <v>26.85702307</v>
      </c>
      <c r="H25" s="20" t="n">
        <v>1.75789944</v>
      </c>
      <c r="I25" s="18" t="n">
        <v>39.05656412</v>
      </c>
      <c r="J25" s="20" t="n">
        <v>2.12072913</v>
      </c>
      <c r="K25" s="18" t="s">
        <v>567</v>
      </c>
      <c r="L25" s="20" t="s">
        <v>567</v>
      </c>
      <c r="M25" s="18" t="n">
        <v>0.43791911</v>
      </c>
      <c r="N25" s="20" t="n">
        <v>0.25504472</v>
      </c>
      <c r="O25" s="18" t="n">
        <v>0</v>
      </c>
      <c r="P25" s="20" t="n">
        <v>0</v>
      </c>
      <c r="Q25" s="18" t="n">
        <v>0</v>
      </c>
      <c r="R25" s="20" t="n">
        <v>0</v>
      </c>
      <c r="S25" s="18" t="n">
        <v>6.41258316</v>
      </c>
      <c r="T25" s="20" t="n">
        <v>1.03936646</v>
      </c>
    </row>
    <row r="26" spans="1:20">
      <c r="A26" s="15" t="s">
        <v>586</v>
      </c>
      <c r="B26" s="17" t="n">
        <v>2450</v>
      </c>
      <c r="C26" s="18">
        <f>(1936.0/B26*100)</f>
        <v/>
      </c>
      <c r="D26" s="19" t="n">
        <v>514</v>
      </c>
      <c r="E26" s="18" t="n">
        <v>34.39712725</v>
      </c>
      <c r="F26" s="20" t="n">
        <v>2.12280889</v>
      </c>
      <c r="G26" s="18" t="n">
        <v>14.15165322</v>
      </c>
      <c r="H26" s="20" t="n">
        <v>1.33493458</v>
      </c>
      <c r="I26" s="18" t="n">
        <v>48.31879482</v>
      </c>
      <c r="J26" s="20" t="n">
        <v>2.10095229</v>
      </c>
      <c r="K26" s="18" t="s">
        <v>567</v>
      </c>
      <c r="L26" s="20" t="s">
        <v>567</v>
      </c>
      <c r="M26" s="18" t="n">
        <v>0</v>
      </c>
      <c r="N26" s="20" t="n">
        <v>0</v>
      </c>
      <c r="O26" s="18" t="n">
        <v>0.36827918</v>
      </c>
      <c r="P26" s="20" t="n">
        <v>0.29146143</v>
      </c>
      <c r="Q26" s="18" t="n">
        <v>0</v>
      </c>
      <c r="R26" s="20" t="n">
        <v>0</v>
      </c>
      <c r="S26" s="18" t="n">
        <v>2.76414553</v>
      </c>
      <c r="T26" s="20" t="n">
        <v>0.63342885</v>
      </c>
    </row>
    <row r="27" spans="1:20">
      <c r="A27" s="15" t="s">
        <v>587</v>
      </c>
      <c r="B27" s="17" t="n">
        <v>2616</v>
      </c>
      <c r="C27" s="18">
        <f>(2046.0/B27*100)</f>
        <v/>
      </c>
      <c r="D27" s="19" t="n">
        <v>570</v>
      </c>
      <c r="E27" s="18" t="n">
        <v>21.47396122</v>
      </c>
      <c r="F27" s="20" t="n">
        <v>1.5783885</v>
      </c>
      <c r="G27" s="18" t="n">
        <v>21.10232498</v>
      </c>
      <c r="H27" s="20" t="n">
        <v>1.71844982</v>
      </c>
      <c r="I27" s="18" t="n">
        <v>48.49570004</v>
      </c>
      <c r="J27" s="20" t="n">
        <v>1.67465898</v>
      </c>
      <c r="K27" s="18" t="s">
        <v>567</v>
      </c>
      <c r="L27" s="20" t="s">
        <v>567</v>
      </c>
      <c r="M27" s="18" t="n">
        <v>0.36143664</v>
      </c>
      <c r="N27" s="20" t="n">
        <v>0.25867358</v>
      </c>
      <c r="O27" s="18" t="n">
        <v>0</v>
      </c>
      <c r="P27" s="20" t="n">
        <v>0</v>
      </c>
      <c r="Q27" s="18" t="n">
        <v>0</v>
      </c>
      <c r="R27" s="20" t="n">
        <v>0</v>
      </c>
      <c r="S27" s="18" t="n">
        <v>8.56657712</v>
      </c>
      <c r="T27" s="20" t="n">
        <v>1.16501857</v>
      </c>
    </row>
    <row r="28" spans="1:20">
      <c r="A28" s="15" t="s">
        <v>588</v>
      </c>
      <c r="B28" s="17" t="n">
        <v>3765</v>
      </c>
      <c r="C28" s="18">
        <f>(3052.0/B28*100)</f>
        <v/>
      </c>
      <c r="D28" s="19" t="n">
        <v>713</v>
      </c>
      <c r="E28" s="18" t="n">
        <v>39.27733355</v>
      </c>
      <c r="F28" s="20" t="n">
        <v>1.95419612</v>
      </c>
      <c r="G28" s="18" t="n">
        <v>10.70727828</v>
      </c>
      <c r="H28" s="20" t="n">
        <v>1.36881461</v>
      </c>
      <c r="I28" s="18" t="n">
        <v>47.32369939</v>
      </c>
      <c r="J28" s="20" t="n">
        <v>1.91307902</v>
      </c>
      <c r="K28" s="18" t="s">
        <v>567</v>
      </c>
      <c r="L28" s="20" t="s">
        <v>567</v>
      </c>
      <c r="M28" s="18" t="n">
        <v>1.59481531</v>
      </c>
      <c r="N28" s="20" t="n">
        <v>0.5862371199999999</v>
      </c>
      <c r="O28" s="18" t="n">
        <v>0</v>
      </c>
      <c r="P28" s="20" t="n">
        <v>0</v>
      </c>
      <c r="Q28" s="18" t="n">
        <v>0</v>
      </c>
      <c r="R28" s="20" t="n">
        <v>0</v>
      </c>
      <c r="S28" s="18" t="n">
        <v>1.09687346</v>
      </c>
      <c r="T28" s="20" t="n">
        <v>0.41708033</v>
      </c>
    </row>
    <row r="29" spans="1:20">
      <c r="A29" s="15" t="s">
        <v>589</v>
      </c>
      <c r="B29" s="17" t="n">
        <v>2685</v>
      </c>
      <c r="C29" s="18">
        <f>(2094.0/B29*100)</f>
        <v/>
      </c>
      <c r="D29" s="19" t="n">
        <v>591</v>
      </c>
      <c r="E29" s="18" t="n">
        <v>27.03968521</v>
      </c>
      <c r="F29" s="20" t="n">
        <v>2.04625357</v>
      </c>
      <c r="G29" s="18" t="n">
        <v>13.77632005</v>
      </c>
      <c r="H29" s="20" t="n">
        <v>1.37510495</v>
      </c>
      <c r="I29" s="18" t="n">
        <v>56.78775016</v>
      </c>
      <c r="J29" s="20" t="n">
        <v>2.41974217</v>
      </c>
      <c r="K29" s="18" t="s">
        <v>567</v>
      </c>
      <c r="L29" s="20" t="s">
        <v>567</v>
      </c>
      <c r="M29" s="18" t="n">
        <v>0.15976781</v>
      </c>
      <c r="N29" s="20" t="n">
        <v>0.17323204</v>
      </c>
      <c r="O29" s="18" t="n">
        <v>0</v>
      </c>
      <c r="P29" s="20" t="n">
        <v>0</v>
      </c>
      <c r="Q29" s="18" t="n">
        <v>0</v>
      </c>
      <c r="R29" s="20" t="n">
        <v>0</v>
      </c>
      <c r="S29" s="18" t="n">
        <v>2.23647677</v>
      </c>
      <c r="T29" s="20" t="n">
        <v>0.64069188</v>
      </c>
    </row>
    <row r="30" spans="1:20">
      <c r="A30" s="15" t="s">
        <v>590</v>
      </c>
      <c r="B30" s="17" t="n">
        <v>2263</v>
      </c>
      <c r="C30" s="18">
        <f>(1786.0/B30*100)</f>
        <v/>
      </c>
      <c r="D30" s="19" t="n">
        <v>477</v>
      </c>
      <c r="E30" s="18" t="n">
        <v>16.56898075</v>
      </c>
      <c r="F30" s="20" t="n">
        <v>1.97858692</v>
      </c>
      <c r="G30" s="18" t="n">
        <v>20.44180239</v>
      </c>
      <c r="H30" s="20" t="n">
        <v>1.83988533</v>
      </c>
      <c r="I30" s="18" t="n">
        <v>58.02336321</v>
      </c>
      <c r="J30" s="20" t="n">
        <v>2.92961633</v>
      </c>
      <c r="K30" s="18" t="s">
        <v>567</v>
      </c>
      <c r="L30" s="20" t="s">
        <v>567</v>
      </c>
      <c r="M30" s="18" t="n">
        <v>0.6873856</v>
      </c>
      <c r="N30" s="20" t="n">
        <v>0.41329961</v>
      </c>
      <c r="O30" s="18" t="n">
        <v>0.19261052</v>
      </c>
      <c r="P30" s="20" t="n">
        <v>0.19614416</v>
      </c>
      <c r="Q30" s="18" t="n">
        <v>0</v>
      </c>
      <c r="R30" s="20" t="n">
        <v>0</v>
      </c>
      <c r="S30" s="18" t="n">
        <v>4.08585753</v>
      </c>
      <c r="T30" s="20" t="n">
        <v>0.89880017</v>
      </c>
    </row>
    <row r="31" spans="1:20">
      <c r="A31" s="15" t="s">
        <v>591</v>
      </c>
      <c r="B31" s="17" t="n">
        <v>2750</v>
      </c>
      <c r="C31" s="18">
        <f>(2136.0/B31*100)</f>
        <v/>
      </c>
      <c r="D31" s="19" t="n">
        <v>614</v>
      </c>
      <c r="E31" s="18" t="n">
        <v>13.41070851</v>
      </c>
      <c r="F31" s="20" t="n">
        <v>1.16741295</v>
      </c>
      <c r="G31" s="18" t="n">
        <v>20.41314522</v>
      </c>
      <c r="H31" s="20" t="n">
        <v>1.68205426</v>
      </c>
      <c r="I31" s="18" t="n">
        <v>60.91626702</v>
      </c>
      <c r="J31" s="20" t="n">
        <v>1.79581564</v>
      </c>
      <c r="K31" s="18" t="s">
        <v>567</v>
      </c>
      <c r="L31" s="20" t="s">
        <v>567</v>
      </c>
      <c r="M31" s="18" t="n">
        <v>0.49068925</v>
      </c>
      <c r="N31" s="20" t="n">
        <v>0.2681457</v>
      </c>
      <c r="O31" s="18" t="n">
        <v>0.16955647</v>
      </c>
      <c r="P31" s="20" t="n">
        <v>0.18438617</v>
      </c>
      <c r="Q31" s="18" t="n">
        <v>0</v>
      </c>
      <c r="R31" s="20" t="n">
        <v>0</v>
      </c>
      <c r="S31" s="18" t="n">
        <v>4.59963354</v>
      </c>
      <c r="T31" s="20" t="n">
        <v>0.85853174</v>
      </c>
    </row>
    <row r="32" spans="1:20">
      <c r="A32" s="15" t="s">
        <v>592</v>
      </c>
      <c r="B32" s="17" t="n">
        <v>2269</v>
      </c>
      <c r="C32" s="18">
        <f>(1781.0/B32*100)</f>
        <v/>
      </c>
      <c r="D32" s="19" t="n">
        <v>488</v>
      </c>
      <c r="E32" s="18" t="n">
        <v>22.82645218</v>
      </c>
      <c r="F32" s="20" t="n">
        <v>1.78128456</v>
      </c>
      <c r="G32" s="18" t="n">
        <v>23.09952969</v>
      </c>
      <c r="H32" s="20" t="n">
        <v>2.13981266</v>
      </c>
      <c r="I32" s="18" t="n">
        <v>45.13531762</v>
      </c>
      <c r="J32" s="20" t="n">
        <v>2.35367816</v>
      </c>
      <c r="K32" s="18" t="s">
        <v>567</v>
      </c>
      <c r="L32" s="20" t="s">
        <v>567</v>
      </c>
      <c r="M32" s="18" t="n">
        <v>0.25151345</v>
      </c>
      <c r="N32" s="20" t="n">
        <v>0.26008664</v>
      </c>
      <c r="O32" s="18" t="n">
        <v>0</v>
      </c>
      <c r="P32" s="20" t="n">
        <v>0</v>
      </c>
      <c r="Q32" s="18" t="n">
        <v>0</v>
      </c>
      <c r="R32" s="20" t="n">
        <v>0</v>
      </c>
      <c r="S32" s="18" t="n">
        <v>8.687187059999999</v>
      </c>
      <c r="T32" s="20" t="n">
        <v>1.44743104</v>
      </c>
    </row>
    <row r="33" spans="1:20">
      <c r="A33" s="15" t="s">
        <v>593</v>
      </c>
      <c r="B33" s="17" t="n">
        <v>3674</v>
      </c>
      <c r="C33" s="18">
        <f>(2880.0/B33*100)</f>
        <v/>
      </c>
      <c r="D33" s="19" t="n">
        <v>794</v>
      </c>
      <c r="E33" s="18" t="n">
        <v>20.91098604</v>
      </c>
      <c r="F33" s="20" t="n">
        <v>1.5259362</v>
      </c>
      <c r="G33" s="18" t="n">
        <v>23.28006158</v>
      </c>
      <c r="H33" s="20" t="n">
        <v>1.80162928</v>
      </c>
      <c r="I33" s="18" t="n">
        <v>48.73272809</v>
      </c>
      <c r="J33" s="20" t="n">
        <v>2.17166654</v>
      </c>
      <c r="K33" s="18" t="s">
        <v>567</v>
      </c>
      <c r="L33" s="20" t="s">
        <v>567</v>
      </c>
      <c r="M33" s="18" t="n">
        <v>0.75812482</v>
      </c>
      <c r="N33" s="20" t="n">
        <v>0.39229306</v>
      </c>
      <c r="O33" s="18" t="n">
        <v>0.14525201</v>
      </c>
      <c r="P33" s="20" t="n">
        <v>0.15886645</v>
      </c>
      <c r="Q33" s="18" t="n">
        <v>0</v>
      </c>
      <c r="R33" s="20" t="n">
        <v>0</v>
      </c>
      <c r="S33" s="18" t="n">
        <v>6.17284746</v>
      </c>
      <c r="T33" s="20" t="n">
        <v>0.88471008</v>
      </c>
    </row>
    <row r="34" spans="1:20">
      <c r="A34" s="15" t="s">
        <v>594</v>
      </c>
      <c r="B34" s="17" t="n">
        <v>3315</v>
      </c>
      <c r="C34" s="18">
        <f>(2624.0/B34*100)</f>
        <v/>
      </c>
      <c r="D34" s="19" t="n">
        <v>691</v>
      </c>
      <c r="E34" s="18" t="n">
        <v>35.12100679</v>
      </c>
      <c r="F34" s="20" t="n">
        <v>2.08536662</v>
      </c>
      <c r="G34" s="18" t="n">
        <v>15.58840865</v>
      </c>
      <c r="H34" s="20" t="n">
        <v>1.47808971</v>
      </c>
      <c r="I34" s="18" t="n">
        <v>37.54194061</v>
      </c>
      <c r="J34" s="20" t="n">
        <v>2.12697825</v>
      </c>
      <c r="K34" s="18" t="s">
        <v>567</v>
      </c>
      <c r="L34" s="20" t="s">
        <v>567</v>
      </c>
      <c r="M34" s="18" t="n">
        <v>0.35529947</v>
      </c>
      <c r="N34" s="20" t="n">
        <v>0.20648143</v>
      </c>
      <c r="O34" s="18" t="n">
        <v>0.23010754</v>
      </c>
      <c r="P34" s="20" t="n">
        <v>0.19620908</v>
      </c>
      <c r="Q34" s="18" t="n">
        <v>0</v>
      </c>
      <c r="R34" s="20" t="n">
        <v>0</v>
      </c>
      <c r="S34" s="18" t="n">
        <v>11.16323693</v>
      </c>
      <c r="T34" s="20" t="n">
        <v>1.24879679</v>
      </c>
    </row>
    <row r="35" spans="1:20">
      <c r="A35" s="15" t="s">
        <v>595</v>
      </c>
      <c r="B35" s="17" t="n">
        <v>3505</v>
      </c>
      <c r="C35" s="18">
        <f>(2782.0/B35*100)</f>
        <v/>
      </c>
      <c r="D35" s="19" t="n">
        <v>723</v>
      </c>
      <c r="E35" s="18" t="n">
        <v>22.4785103</v>
      </c>
      <c r="F35" s="20" t="n">
        <v>1.74340396</v>
      </c>
      <c r="G35" s="18" t="n">
        <v>27.16745702</v>
      </c>
      <c r="H35" s="20" t="n">
        <v>2.28055259</v>
      </c>
      <c r="I35" s="18" t="n">
        <v>44.2586659</v>
      </c>
      <c r="J35" s="20" t="n">
        <v>2.43845861</v>
      </c>
      <c r="K35" s="18" t="s">
        <v>567</v>
      </c>
      <c r="L35" s="20" t="s">
        <v>567</v>
      </c>
      <c r="M35" s="18" t="n">
        <v>1.19841961</v>
      </c>
      <c r="N35" s="20" t="n">
        <v>0.80523901</v>
      </c>
      <c r="O35" s="18" t="n">
        <v>0.24981469</v>
      </c>
      <c r="P35" s="20" t="n">
        <v>0.25129638</v>
      </c>
      <c r="Q35" s="18" t="n">
        <v>0</v>
      </c>
      <c r="R35" s="20" t="n">
        <v>0</v>
      </c>
      <c r="S35" s="18" t="n">
        <v>4.64713247</v>
      </c>
      <c r="T35" s="20" t="n">
        <v>0.87593504</v>
      </c>
    </row>
    <row r="36" spans="1:20">
      <c r="A36" s="15" t="s">
        <v>596</v>
      </c>
      <c r="B36" s="17" t="n">
        <v>3332</v>
      </c>
      <c r="C36" s="18">
        <f>(2624.0/B36*100)</f>
        <v/>
      </c>
      <c r="D36" s="19" t="n">
        <v>708</v>
      </c>
      <c r="E36" s="18" t="n">
        <v>23.07992815</v>
      </c>
      <c r="F36" s="20" t="n">
        <v>1.76951213</v>
      </c>
      <c r="G36" s="18" t="n">
        <v>31.54448401</v>
      </c>
      <c r="H36" s="20" t="n">
        <v>1.88371369</v>
      </c>
      <c r="I36" s="18" t="n">
        <v>41.81825022</v>
      </c>
      <c r="J36" s="20" t="n">
        <v>2.06912978</v>
      </c>
      <c r="K36" s="18" t="s">
        <v>567</v>
      </c>
      <c r="L36" s="20" t="s">
        <v>567</v>
      </c>
      <c r="M36" s="18" t="n">
        <v>0.7769459</v>
      </c>
      <c r="N36" s="20" t="n">
        <v>0.39637323</v>
      </c>
      <c r="O36" s="18" t="n">
        <v>0</v>
      </c>
      <c r="P36" s="20" t="n">
        <v>0</v>
      </c>
      <c r="Q36" s="18" t="n">
        <v>0</v>
      </c>
      <c r="R36" s="20" t="n">
        <v>0</v>
      </c>
      <c r="S36" s="18" t="n">
        <v>2.78039171</v>
      </c>
      <c r="T36" s="20" t="n">
        <v>0.66752709</v>
      </c>
    </row>
    <row r="37" spans="1:20">
      <c r="A37" s="15" t="s">
        <v>597</v>
      </c>
      <c r="B37" s="17" t="n">
        <v>2727</v>
      </c>
      <c r="C37" s="18">
        <f>(2152.0/B37*100)</f>
        <v/>
      </c>
      <c r="D37" s="19" t="n">
        <v>575</v>
      </c>
      <c r="E37" s="18" t="n">
        <v>19.11451962</v>
      </c>
      <c r="F37" s="20" t="n">
        <v>1.71593573</v>
      </c>
      <c r="G37" s="18" t="n">
        <v>17.65015844</v>
      </c>
      <c r="H37" s="20" t="n">
        <v>1.43089455</v>
      </c>
      <c r="I37" s="18" t="n">
        <v>57.21220927</v>
      </c>
      <c r="J37" s="20" t="n">
        <v>2.21517603</v>
      </c>
      <c r="K37" s="18" t="s">
        <v>567</v>
      </c>
      <c r="L37" s="20" t="s">
        <v>567</v>
      </c>
      <c r="M37" s="18" t="n">
        <v>1.01255651</v>
      </c>
      <c r="N37" s="20" t="n">
        <v>0.45341208</v>
      </c>
      <c r="O37" s="18" t="n">
        <v>0.1594018</v>
      </c>
      <c r="P37" s="20" t="n">
        <v>0.15917882</v>
      </c>
      <c r="Q37" s="18" t="n">
        <v>0</v>
      </c>
      <c r="R37" s="20" t="n">
        <v>0</v>
      </c>
      <c r="S37" s="18" t="n">
        <v>4.85115437</v>
      </c>
      <c r="T37" s="20" t="n">
        <v>0.86141754</v>
      </c>
    </row>
    <row r="38" spans="1:20">
      <c r="A38" s="15" t="s">
        <v>598</v>
      </c>
      <c r="B38" s="17" t="n">
        <v>3053</v>
      </c>
      <c r="C38" s="18">
        <f>(2406.0/B38*100)</f>
        <v/>
      </c>
      <c r="D38" s="19" t="n">
        <v>647</v>
      </c>
      <c r="E38" s="18" t="n">
        <v>20.06030232</v>
      </c>
      <c r="F38" s="20" t="n">
        <v>2.13650581</v>
      </c>
      <c r="G38" s="18" t="n">
        <v>25.80363998</v>
      </c>
      <c r="H38" s="20" t="n">
        <v>2.16936276</v>
      </c>
      <c r="I38" s="18" t="n">
        <v>45.48696805</v>
      </c>
      <c r="J38" s="20" t="n">
        <v>2.44741965</v>
      </c>
      <c r="K38" s="18" t="s">
        <v>567</v>
      </c>
      <c r="L38" s="20" t="s">
        <v>567</v>
      </c>
      <c r="M38" s="18" t="n">
        <v>0.26268871</v>
      </c>
      <c r="N38" s="20" t="n">
        <v>0.22908578</v>
      </c>
      <c r="O38" s="18" t="n">
        <v>2.09203777</v>
      </c>
      <c r="P38" s="20" t="n">
        <v>0.62275982</v>
      </c>
      <c r="Q38" s="18" t="n">
        <v>0</v>
      </c>
      <c r="R38" s="20" t="n">
        <v>0</v>
      </c>
      <c r="S38" s="18" t="n">
        <v>6.29436316</v>
      </c>
      <c r="T38" s="20" t="n">
        <v>1.08813687</v>
      </c>
    </row>
    <row r="39" spans="1:20">
      <c r="A39" s="15" t="s">
        <v>599</v>
      </c>
      <c r="B39" s="17" t="n">
        <v>2957</v>
      </c>
      <c r="C39" s="18">
        <f>(2305.0/B39*100)</f>
        <v/>
      </c>
      <c r="D39" s="19" t="n">
        <v>652</v>
      </c>
      <c r="E39" s="18" t="n">
        <v>32.78060358</v>
      </c>
      <c r="F39" s="20" t="n">
        <v>2.04169252</v>
      </c>
      <c r="G39" s="18" t="n">
        <v>34.93828111</v>
      </c>
      <c r="H39" s="20" t="n">
        <v>2.45490183</v>
      </c>
      <c r="I39" s="18" t="n">
        <v>25.39602985</v>
      </c>
      <c r="J39" s="20" t="n">
        <v>1.99241039</v>
      </c>
      <c r="K39" s="18" t="s">
        <v>567</v>
      </c>
      <c r="L39" s="20" t="s">
        <v>567</v>
      </c>
      <c r="M39" s="18" t="n">
        <v>0.42223282</v>
      </c>
      <c r="N39" s="20" t="n">
        <v>0.26422269</v>
      </c>
      <c r="O39" s="18" t="n">
        <v>0</v>
      </c>
      <c r="P39" s="20" t="n">
        <v>0</v>
      </c>
      <c r="Q39" s="18" t="n">
        <v>0</v>
      </c>
      <c r="R39" s="20" t="n">
        <v>0</v>
      </c>
      <c r="S39" s="18" t="n">
        <v>6.46285264</v>
      </c>
      <c r="T39" s="20" t="n">
        <v>1.10374229</v>
      </c>
    </row>
    <row r="40" spans="1:20">
      <c r="A40" s="15" t="s">
        <v>600</v>
      </c>
      <c r="B40" s="17" t="n">
        <v>7235</v>
      </c>
      <c r="C40" s="18">
        <f>(5620.0/B40*100)</f>
        <v/>
      </c>
      <c r="D40" s="19" t="n">
        <v>1615</v>
      </c>
      <c r="E40" s="18" t="n">
        <v>26.70001026</v>
      </c>
      <c r="F40" s="20" t="n">
        <v>1.72533241</v>
      </c>
      <c r="G40" s="18" t="n">
        <v>15.85658903</v>
      </c>
      <c r="H40" s="20" t="n">
        <v>1.35750386</v>
      </c>
      <c r="I40" s="18" t="n">
        <v>51.25729892</v>
      </c>
      <c r="J40" s="20" t="n">
        <v>1.75719113</v>
      </c>
      <c r="K40" s="18" t="s">
        <v>567</v>
      </c>
      <c r="L40" s="20" t="s">
        <v>567</v>
      </c>
      <c r="M40" s="18" t="n">
        <v>0.94398556</v>
      </c>
      <c r="N40" s="20" t="n">
        <v>0.41992695</v>
      </c>
      <c r="O40" s="18" t="n">
        <v>0</v>
      </c>
      <c r="P40" s="20" t="n">
        <v>0</v>
      </c>
      <c r="Q40" s="18" t="n">
        <v>0</v>
      </c>
      <c r="R40" s="20" t="n">
        <v>0</v>
      </c>
      <c r="S40" s="18" t="n">
        <v>5.24211622</v>
      </c>
      <c r="T40" s="20" t="n">
        <v>0.95805092</v>
      </c>
    </row>
    <row r="41" spans="1:20">
      <c r="A41" s="15" t="s">
        <v>601</v>
      </c>
      <c r="B41" s="17" t="n">
        <v>2858</v>
      </c>
      <c r="C41" s="18">
        <f>(2227.0/B41*100)</f>
        <v/>
      </c>
      <c r="D41" s="19" t="n">
        <v>631</v>
      </c>
      <c r="E41" s="18" t="n">
        <v>28.98941858</v>
      </c>
      <c r="F41" s="20" t="n">
        <v>2.18569159</v>
      </c>
      <c r="G41" s="18" t="n">
        <v>17.19833555</v>
      </c>
      <c r="H41" s="20" t="n">
        <v>1.81255227</v>
      </c>
      <c r="I41" s="18" t="n">
        <v>50.87079425</v>
      </c>
      <c r="J41" s="20" t="n">
        <v>2.67263311</v>
      </c>
      <c r="K41" s="18" t="s">
        <v>567</v>
      </c>
      <c r="L41" s="20" t="s">
        <v>567</v>
      </c>
      <c r="M41" s="18" t="n">
        <v>0.16556799</v>
      </c>
      <c r="N41" s="20" t="n">
        <v>0.15869003</v>
      </c>
      <c r="O41" s="18" t="n">
        <v>0</v>
      </c>
      <c r="P41" s="20" t="n">
        <v>0</v>
      </c>
      <c r="Q41" s="18" t="n">
        <v>0</v>
      </c>
      <c r="R41" s="20" t="n">
        <v>0</v>
      </c>
      <c r="S41" s="18" t="n">
        <v>2.77588363</v>
      </c>
      <c r="T41" s="20" t="n">
        <v>0.81548253</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11068</v>
      </c>
      <c r="C46" s="18">
        <f>(9313.0/B46*100)</f>
        <v/>
      </c>
      <c r="D46" s="19" t="n">
        <v>1755</v>
      </c>
      <c r="E46" s="18" t="n">
        <v>40.60924046</v>
      </c>
      <c r="F46" s="20" t="n">
        <v>1.53406425</v>
      </c>
      <c r="G46" s="18" t="n">
        <v>14.5992781</v>
      </c>
      <c r="H46" s="20" t="n">
        <v>0.985426</v>
      </c>
      <c r="I46" s="18" t="n">
        <v>30.21538934</v>
      </c>
      <c r="J46" s="20" t="n">
        <v>1.46670236</v>
      </c>
      <c r="K46" s="18" t="s">
        <v>567</v>
      </c>
      <c r="L46" s="20" t="s">
        <v>567</v>
      </c>
      <c r="M46" s="18" t="n">
        <v>1.60712054</v>
      </c>
      <c r="N46" s="20" t="n">
        <v>0.48973819</v>
      </c>
      <c r="O46" s="18" t="n">
        <v>0.48771453</v>
      </c>
      <c r="P46" s="20" t="n">
        <v>0.21961051</v>
      </c>
      <c r="Q46" s="18" t="n">
        <v>0</v>
      </c>
      <c r="R46" s="20" t="n">
        <v>0</v>
      </c>
      <c r="S46" s="18" t="n">
        <v>12.48125702</v>
      </c>
      <c r="T46" s="20" t="n">
        <v>1.04149735</v>
      </c>
    </row>
    <row r="47" spans="1:20">
      <c r="A47" s="15" t="s">
        <v>607</v>
      </c>
      <c r="B47" s="17" t="n">
        <v>3105</v>
      </c>
      <c r="C47" s="18">
        <f>(2444.0/B47*100)</f>
        <v/>
      </c>
      <c r="D47" s="19" t="n">
        <v>661</v>
      </c>
      <c r="E47" s="18" t="n">
        <v>26.29764953</v>
      </c>
      <c r="F47" s="20" t="n">
        <v>1.65997368</v>
      </c>
      <c r="G47" s="18" t="n">
        <v>21.29249281</v>
      </c>
      <c r="H47" s="20" t="n">
        <v>1.53982858</v>
      </c>
      <c r="I47" s="18" t="n">
        <v>29.9714051</v>
      </c>
      <c r="J47" s="20" t="n">
        <v>1.63350543</v>
      </c>
      <c r="K47" s="18" t="s">
        <v>567</v>
      </c>
      <c r="L47" s="20" t="s">
        <v>567</v>
      </c>
      <c r="M47" s="18" t="n">
        <v>0.15041976</v>
      </c>
      <c r="N47" s="20" t="n">
        <v>0.15184119</v>
      </c>
      <c r="O47" s="18" t="n">
        <v>0</v>
      </c>
      <c r="P47" s="20" t="n">
        <v>0</v>
      </c>
      <c r="Q47" s="18" t="n">
        <v>0</v>
      </c>
      <c r="R47" s="20" t="n">
        <v>0</v>
      </c>
      <c r="S47" s="18" t="n">
        <v>22.2880328</v>
      </c>
      <c r="T47" s="20" t="n">
        <v>1.7793749</v>
      </c>
    </row>
    <row r="48" spans="1:20">
      <c r="A48" s="15" t="s">
        <v>608</v>
      </c>
      <c r="B48" s="17" t="n">
        <v>5159</v>
      </c>
      <c r="C48" s="18">
        <f>(4034.0/B48*100)</f>
        <v/>
      </c>
      <c r="D48" s="19" t="n">
        <v>1125</v>
      </c>
      <c r="E48" s="18" t="n">
        <v>16.31031318</v>
      </c>
      <c r="F48" s="20" t="n">
        <v>1.19837078</v>
      </c>
      <c r="G48" s="18" t="n">
        <v>25.05381072</v>
      </c>
      <c r="H48" s="20" t="n">
        <v>1.6988672</v>
      </c>
      <c r="I48" s="18" t="n">
        <v>50.73148972</v>
      </c>
      <c r="J48" s="20" t="n">
        <v>2.13314222</v>
      </c>
      <c r="K48" s="18" t="s">
        <v>567</v>
      </c>
      <c r="L48" s="20" t="s">
        <v>567</v>
      </c>
      <c r="M48" s="18" t="n">
        <v>0.64456044</v>
      </c>
      <c r="N48" s="20" t="n">
        <v>0.46393686</v>
      </c>
      <c r="O48" s="18" t="n">
        <v>0</v>
      </c>
      <c r="P48" s="20" t="n">
        <v>0</v>
      </c>
      <c r="Q48" s="18" t="n">
        <v>0</v>
      </c>
      <c r="R48" s="20" t="n">
        <v>0</v>
      </c>
      <c r="S48" s="18" t="n">
        <v>7.25982594</v>
      </c>
      <c r="T48" s="20" t="n">
        <v>1.1704227</v>
      </c>
    </row>
    <row r="49" spans="1:20">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5637</v>
      </c>
      <c r="C50" s="18">
        <f>(4436.0/B50*100)</f>
        <v/>
      </c>
      <c r="D50" s="19" t="n">
        <v>1201</v>
      </c>
      <c r="E50" s="18" t="n">
        <v>30.69201635</v>
      </c>
      <c r="F50" s="20" t="n">
        <v>1.75815844</v>
      </c>
      <c r="G50" s="18" t="n">
        <v>13.51990692</v>
      </c>
      <c r="H50" s="20" t="n">
        <v>1.38505169</v>
      </c>
      <c r="I50" s="18" t="n">
        <v>50.15838999</v>
      </c>
      <c r="J50" s="20" t="n">
        <v>2.16731735</v>
      </c>
      <c r="K50" s="18" t="s">
        <v>567</v>
      </c>
      <c r="L50" s="20" t="s">
        <v>567</v>
      </c>
      <c r="M50" s="18" t="n">
        <v>1.60660665</v>
      </c>
      <c r="N50" s="20" t="n">
        <v>0.49296605</v>
      </c>
      <c r="O50" s="18" t="n">
        <v>0.2721907</v>
      </c>
      <c r="P50" s="20" t="n">
        <v>0.18137093</v>
      </c>
      <c r="Q50" s="18" t="n">
        <v>0</v>
      </c>
      <c r="R50" s="20" t="n">
        <v>0</v>
      </c>
      <c r="S50" s="18" t="n">
        <v>3.75088938</v>
      </c>
      <c r="T50" s="20" t="n">
        <v>0.72796779</v>
      </c>
    </row>
    <row r="51" spans="1:20">
      <c r="A51" s="15" t="s">
        <v>611</v>
      </c>
      <c r="B51" s="17" t="n">
        <v>3372</v>
      </c>
      <c r="C51" s="18">
        <f>(2748.0/B51*100)</f>
        <v/>
      </c>
      <c r="D51" s="19" t="n">
        <v>624</v>
      </c>
      <c r="E51" s="18" t="n">
        <v>16.38762087</v>
      </c>
      <c r="F51" s="20" t="n">
        <v>1.38775699</v>
      </c>
      <c r="G51" s="18" t="n">
        <v>28.86176009</v>
      </c>
      <c r="H51" s="20" t="n">
        <v>1.82765783</v>
      </c>
      <c r="I51" s="18" t="n">
        <v>50.06444312</v>
      </c>
      <c r="J51" s="20" t="n">
        <v>2.22579486</v>
      </c>
      <c r="K51" s="18" t="s">
        <v>567</v>
      </c>
      <c r="L51" s="20" t="s">
        <v>567</v>
      </c>
      <c r="M51" s="18" t="n">
        <v>1.31720179</v>
      </c>
      <c r="N51" s="20" t="n">
        <v>0.56021159</v>
      </c>
      <c r="O51" s="18" t="n">
        <v>0</v>
      </c>
      <c r="P51" s="20" t="n">
        <v>0</v>
      </c>
      <c r="Q51" s="18" t="n">
        <v>0</v>
      </c>
      <c r="R51" s="20" t="n">
        <v>0</v>
      </c>
      <c r="S51" s="18" t="n">
        <v>3.36897413</v>
      </c>
      <c r="T51" s="20" t="n">
        <v>0.78848295</v>
      </c>
    </row>
    <row r="52" spans="1:20">
      <c r="A52" s="15" t="s">
        <v>612</v>
      </c>
      <c r="B52" s="17" t="n">
        <v>2796</v>
      </c>
      <c r="C52" s="18">
        <f>(2162.0/B52*100)</f>
        <v/>
      </c>
      <c r="D52" s="19" t="n">
        <v>634</v>
      </c>
      <c r="E52" s="18" t="n">
        <v>25.58093989</v>
      </c>
      <c r="F52" s="20" t="n">
        <v>1.65414041</v>
      </c>
      <c r="G52" s="18" t="n">
        <v>22.22715071</v>
      </c>
      <c r="H52" s="20" t="n">
        <v>1.69294263</v>
      </c>
      <c r="I52" s="18" t="n">
        <v>44.41002891</v>
      </c>
      <c r="J52" s="20" t="n">
        <v>1.85608537</v>
      </c>
      <c r="K52" s="18" t="s">
        <v>567</v>
      </c>
      <c r="L52" s="20" t="s">
        <v>567</v>
      </c>
      <c r="M52" s="18" t="n">
        <v>0.26082065</v>
      </c>
      <c r="N52" s="20" t="n">
        <v>0.18863456</v>
      </c>
      <c r="O52" s="18" t="n">
        <v>0</v>
      </c>
      <c r="P52" s="20" t="n">
        <v>0</v>
      </c>
      <c r="Q52" s="18" t="n">
        <v>0</v>
      </c>
      <c r="R52" s="20" t="n">
        <v>0</v>
      </c>
      <c r="S52" s="18" t="n">
        <v>7.52105984</v>
      </c>
      <c r="T52" s="20" t="n">
        <v>1.09756617</v>
      </c>
    </row>
    <row r="53" spans="1:20">
      <c r="A53" s="15" t="s">
        <v>613</v>
      </c>
      <c r="B53" s="17" t="n">
        <v>2811</v>
      </c>
      <c r="C53" s="18">
        <f>(2177.0/B53*100)</f>
        <v/>
      </c>
      <c r="D53" s="19" t="n">
        <v>634</v>
      </c>
      <c r="E53" s="18" t="n">
        <v>34.2094855</v>
      </c>
      <c r="F53" s="20" t="n">
        <v>2.04071478</v>
      </c>
      <c r="G53" s="18" t="n">
        <v>23.99005138</v>
      </c>
      <c r="H53" s="20" t="n">
        <v>1.82145075</v>
      </c>
      <c r="I53" s="18" t="n">
        <v>23.24002181</v>
      </c>
      <c r="J53" s="20" t="n">
        <v>1.65497015</v>
      </c>
      <c r="K53" s="18" t="s">
        <v>567</v>
      </c>
      <c r="L53" s="20" t="s">
        <v>567</v>
      </c>
      <c r="M53" s="18" t="n">
        <v>0.67464643</v>
      </c>
      <c r="N53" s="20" t="n">
        <v>0.31135349</v>
      </c>
      <c r="O53" s="18" t="n">
        <v>0</v>
      </c>
      <c r="P53" s="20" t="n">
        <v>0</v>
      </c>
      <c r="Q53" s="18" t="n">
        <v>0</v>
      </c>
      <c r="R53" s="20" t="n">
        <v>0</v>
      </c>
      <c r="S53" s="18" t="n">
        <v>17.88579489</v>
      </c>
      <c r="T53" s="20" t="n">
        <v>1.73035411</v>
      </c>
    </row>
    <row r="54" spans="1:20">
      <c r="A54" s="15" t="s">
        <v>614</v>
      </c>
      <c r="B54" s="17" t="n">
        <v>2266</v>
      </c>
      <c r="C54" s="18">
        <f>(1785.0/B54*100)</f>
        <v/>
      </c>
      <c r="D54" s="19" t="n">
        <v>481</v>
      </c>
      <c r="E54" s="18" t="n">
        <v>42.8424651</v>
      </c>
      <c r="F54" s="20" t="n">
        <v>2.30176023</v>
      </c>
      <c r="G54" s="18" t="n">
        <v>8.011999579999999</v>
      </c>
      <c r="H54" s="20" t="n">
        <v>1.1712153</v>
      </c>
      <c r="I54" s="18" t="n">
        <v>18.99070352</v>
      </c>
      <c r="J54" s="20" t="n">
        <v>1.91793717</v>
      </c>
      <c r="K54" s="18" t="s">
        <v>567</v>
      </c>
      <c r="L54" s="20" t="s">
        <v>567</v>
      </c>
      <c r="M54" s="18" t="n">
        <v>18.06072018</v>
      </c>
      <c r="N54" s="20" t="n">
        <v>2.11593215</v>
      </c>
      <c r="O54" s="18" t="n">
        <v>0.41137226</v>
      </c>
      <c r="P54" s="20" t="n">
        <v>0.39500141</v>
      </c>
      <c r="Q54" s="18" t="n">
        <v>0</v>
      </c>
      <c r="R54" s="20" t="n">
        <v>0</v>
      </c>
      <c r="S54" s="18" t="n">
        <v>11.68273935</v>
      </c>
      <c r="T54" s="20" t="n">
        <v>1.75774685</v>
      </c>
    </row>
    <row r="55" spans="1:20">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2684</v>
      </c>
      <c r="C56" s="18">
        <f>(2099.0/B56*100)</f>
        <v/>
      </c>
      <c r="D56" s="19" t="n">
        <v>585</v>
      </c>
      <c r="E56" s="18" t="n">
        <v>20.81570985</v>
      </c>
      <c r="F56" s="20" t="n">
        <v>1.70909004</v>
      </c>
      <c r="G56" s="18" t="n">
        <v>26.9905276</v>
      </c>
      <c r="H56" s="20" t="n">
        <v>2.00645992</v>
      </c>
      <c r="I56" s="18" t="n">
        <v>48.42736083</v>
      </c>
      <c r="J56" s="20" t="n">
        <v>2.38135543</v>
      </c>
      <c r="K56" s="18" t="s">
        <v>567</v>
      </c>
      <c r="L56" s="20" t="s">
        <v>567</v>
      </c>
      <c r="M56" s="18" t="n">
        <v>0.14815321</v>
      </c>
      <c r="N56" s="20" t="n">
        <v>0.14870114</v>
      </c>
      <c r="O56" s="18" t="n">
        <v>0</v>
      </c>
      <c r="P56" s="20" t="n">
        <v>0</v>
      </c>
      <c r="Q56" s="18" t="n">
        <v>0</v>
      </c>
      <c r="R56" s="20" t="n">
        <v>0</v>
      </c>
      <c r="S56" s="18" t="n">
        <v>3.6182485</v>
      </c>
      <c r="T56" s="20" t="n">
        <v>0.76372028</v>
      </c>
    </row>
    <row r="57" spans="1:20">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3324</v>
      </c>
      <c r="C61" s="18">
        <f>(2563.0/B61*100)</f>
        <v/>
      </c>
      <c r="D61" s="19" t="n">
        <v>761</v>
      </c>
      <c r="E61" s="18" t="n">
        <v>28.13214744</v>
      </c>
      <c r="F61" s="20" t="n">
        <v>2.01258321</v>
      </c>
      <c r="G61" s="18" t="n">
        <v>22.06490361</v>
      </c>
      <c r="H61" s="20" t="n">
        <v>1.94928578</v>
      </c>
      <c r="I61" s="18" t="n">
        <v>40.18926443</v>
      </c>
      <c r="J61" s="20" t="n">
        <v>2.14567114</v>
      </c>
      <c r="K61" s="18" t="s">
        <v>567</v>
      </c>
      <c r="L61" s="20" t="s">
        <v>567</v>
      </c>
      <c r="M61" s="18" t="n">
        <v>0.48381699</v>
      </c>
      <c r="N61" s="20" t="n">
        <v>0.24435082</v>
      </c>
      <c r="O61" s="18" t="n">
        <v>0</v>
      </c>
      <c r="P61" s="20" t="n">
        <v>0</v>
      </c>
      <c r="Q61" s="18" t="n">
        <v>0</v>
      </c>
      <c r="R61" s="20" t="n">
        <v>0</v>
      </c>
      <c r="S61" s="18" t="n">
        <v>9.12986753</v>
      </c>
      <c r="T61" s="20" t="n">
        <v>1.19825273</v>
      </c>
    </row>
    <row r="62" spans="1:20">
      <c r="A62" s="15" t="s">
        <v>622</v>
      </c>
      <c r="B62" s="17" t="n">
        <v>2246</v>
      </c>
      <c r="C62" s="18">
        <f>(1787.0/B62*100)</f>
        <v/>
      </c>
      <c r="D62" s="19" t="n">
        <v>459</v>
      </c>
      <c r="E62" s="18" t="n">
        <v>22.9336303</v>
      </c>
      <c r="F62" s="20" t="n">
        <v>1.93029896</v>
      </c>
      <c r="G62" s="18" t="n">
        <v>24.15458299</v>
      </c>
      <c r="H62" s="20" t="n">
        <v>1.90403323</v>
      </c>
      <c r="I62" s="18" t="n">
        <v>51.38177061</v>
      </c>
      <c r="J62" s="20" t="n">
        <v>2.07847534</v>
      </c>
      <c r="K62" s="18" t="s">
        <v>567</v>
      </c>
      <c r="L62" s="20" t="s">
        <v>567</v>
      </c>
      <c r="M62" s="18" t="n">
        <v>0</v>
      </c>
      <c r="N62" s="20" t="n">
        <v>0</v>
      </c>
      <c r="O62" s="18" t="n">
        <v>0</v>
      </c>
      <c r="P62" s="20" t="n">
        <v>0</v>
      </c>
      <c r="Q62" s="18" t="n">
        <v>0</v>
      </c>
      <c r="R62" s="20" t="n">
        <v>0</v>
      </c>
      <c r="S62" s="18" t="n">
        <v>1.5300161</v>
      </c>
      <c r="T62" s="20" t="n">
        <v>0.54578094</v>
      </c>
    </row>
    <row r="63" spans="1:20">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2894</v>
      </c>
      <c r="C66" s="18">
        <f>(2288.0/B66*100)</f>
        <v/>
      </c>
      <c r="D66" s="19" t="n">
        <v>606</v>
      </c>
      <c r="E66" s="18" t="n">
        <v>24.86389465</v>
      </c>
      <c r="F66" s="20" t="n">
        <v>1.71648928</v>
      </c>
      <c r="G66" s="18" t="n">
        <v>15.61035272</v>
      </c>
      <c r="H66" s="20" t="n">
        <v>1.75474943</v>
      </c>
      <c r="I66" s="18" t="n">
        <v>29.76224643</v>
      </c>
      <c r="J66" s="20" t="n">
        <v>1.7367</v>
      </c>
      <c r="K66" s="18" t="s">
        <v>567</v>
      </c>
      <c r="L66" s="20" t="s">
        <v>567</v>
      </c>
      <c r="M66" s="18" t="n">
        <v>1.35868707</v>
      </c>
      <c r="N66" s="20" t="n">
        <v>0.43108663</v>
      </c>
      <c r="O66" s="18" t="n">
        <v>0.6487354400000001</v>
      </c>
      <c r="P66" s="20" t="n">
        <v>0.30914024</v>
      </c>
      <c r="Q66" s="18" t="n">
        <v>0</v>
      </c>
      <c r="R66" s="20" t="n">
        <v>0</v>
      </c>
      <c r="S66" s="18" t="n">
        <v>27.75608369</v>
      </c>
      <c r="T66" s="20" t="n">
        <v>1.6817193</v>
      </c>
    </row>
    <row r="67" spans="1:20">
      <c r="A67" s="15" t="s">
        <v>627</v>
      </c>
      <c r="B67" s="17" t="n">
        <v>3511</v>
      </c>
      <c r="C67" s="18">
        <f>(2858.0/B67*100)</f>
        <v/>
      </c>
      <c r="D67" s="19" t="n">
        <v>653</v>
      </c>
      <c r="E67" s="18" t="n">
        <v>49.05561842</v>
      </c>
      <c r="F67" s="20" t="n">
        <v>1.93529099</v>
      </c>
      <c r="G67" s="18" t="n">
        <v>11.01901462</v>
      </c>
      <c r="H67" s="20" t="n">
        <v>1.38183793</v>
      </c>
      <c r="I67" s="18" t="n">
        <v>34.10877845</v>
      </c>
      <c r="J67" s="20" t="n">
        <v>1.81856751</v>
      </c>
      <c r="K67" s="18" t="s">
        <v>567</v>
      </c>
      <c r="L67" s="20" t="s">
        <v>567</v>
      </c>
      <c r="M67" s="18" t="n">
        <v>0</v>
      </c>
      <c r="N67" s="20" t="n">
        <v>0</v>
      </c>
      <c r="O67" s="18" t="n">
        <v>0.16748567</v>
      </c>
      <c r="P67" s="20" t="n">
        <v>0.17065678</v>
      </c>
      <c r="Q67" s="18" t="n">
        <v>0</v>
      </c>
      <c r="R67" s="20" t="n">
        <v>0</v>
      </c>
      <c r="S67" s="18" t="n">
        <v>5.64910284</v>
      </c>
      <c r="T67" s="20" t="n">
        <v>0.98718736</v>
      </c>
    </row>
    <row r="68" spans="1:20">
      <c r="A68" s="15" t="s">
        <v>628</v>
      </c>
      <c r="B68" s="17" t="n">
        <v>6049</v>
      </c>
      <c r="C68" s="18">
        <f>(4733.0/B68*100)</f>
        <v/>
      </c>
      <c r="D68" s="19" t="n">
        <v>1316</v>
      </c>
      <c r="E68" s="18" t="n">
        <v>57.58352101</v>
      </c>
      <c r="F68" s="20" t="n">
        <v>1.36109601</v>
      </c>
      <c r="G68" s="18" t="n">
        <v>11.68503646</v>
      </c>
      <c r="H68" s="20" t="n">
        <v>0.95959001</v>
      </c>
      <c r="I68" s="18" t="n">
        <v>18.4580619</v>
      </c>
      <c r="J68" s="20" t="n">
        <v>1.1440567</v>
      </c>
      <c r="K68" s="18" t="s">
        <v>567</v>
      </c>
      <c r="L68" s="20" t="s">
        <v>567</v>
      </c>
      <c r="M68" s="18" t="n">
        <v>3.11933057</v>
      </c>
      <c r="N68" s="20" t="n">
        <v>0.50845759</v>
      </c>
      <c r="O68" s="18" t="n">
        <v>0.07200399</v>
      </c>
      <c r="P68" s="20" t="n">
        <v>0.07215707</v>
      </c>
      <c r="Q68" s="18" t="n">
        <v>0</v>
      </c>
      <c r="R68" s="20" t="n">
        <v>0</v>
      </c>
      <c r="S68" s="18" t="n">
        <v>9.08204606</v>
      </c>
      <c r="T68" s="20" t="n">
        <v>0.8120913199999999</v>
      </c>
    </row>
    <row r="69" spans="1:20">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2929</v>
      </c>
      <c r="C70" s="18">
        <f>(2303.0/B70*100)</f>
        <v/>
      </c>
      <c r="D70" s="19" t="n">
        <v>626</v>
      </c>
      <c r="E70" s="18" t="n">
        <v>19.649022</v>
      </c>
      <c r="F70" s="20" t="n">
        <v>2.0169512</v>
      </c>
      <c r="G70" s="18" t="n">
        <v>23.79126978</v>
      </c>
      <c r="H70" s="20" t="n">
        <v>1.96937261</v>
      </c>
      <c r="I70" s="18" t="n">
        <v>49.10526106</v>
      </c>
      <c r="J70" s="20" t="n">
        <v>2.24387751</v>
      </c>
      <c r="K70" s="18" t="s">
        <v>567</v>
      </c>
      <c r="L70" s="20" t="s">
        <v>567</v>
      </c>
      <c r="M70" s="18" t="n">
        <v>0.27134143</v>
      </c>
      <c r="N70" s="20" t="n">
        <v>0.15091764</v>
      </c>
      <c r="O70" s="18" t="n">
        <v>0.10899157</v>
      </c>
      <c r="P70" s="20" t="n">
        <v>0.07741298000000001</v>
      </c>
      <c r="Q70" s="18" t="n">
        <v>0</v>
      </c>
      <c r="R70" s="20" t="n">
        <v>0</v>
      </c>
      <c r="S70" s="18" t="n">
        <v>7.07411416</v>
      </c>
      <c r="T70" s="20" t="n">
        <v>1.04287565</v>
      </c>
    </row>
    <row r="71" spans="1:20">
      <c r="A71" s="15" t="s">
        <v>631</v>
      </c>
      <c r="B71" s="17" t="n">
        <v>3142</v>
      </c>
      <c r="C71" s="18">
        <f>(2444.0/B71*100)</f>
        <v/>
      </c>
      <c r="D71" s="19" t="n">
        <v>698</v>
      </c>
      <c r="E71" s="18" t="n">
        <v>18.17351532</v>
      </c>
      <c r="F71" s="20" t="n">
        <v>1.61824188</v>
      </c>
      <c r="G71" s="18" t="n">
        <v>18.03451403</v>
      </c>
      <c r="H71" s="20" t="n">
        <v>1.7390769</v>
      </c>
      <c r="I71" s="18" t="n">
        <v>61.60816239</v>
      </c>
      <c r="J71" s="20" t="n">
        <v>2.1409989</v>
      </c>
      <c r="K71" s="18" t="s">
        <v>567</v>
      </c>
      <c r="L71" s="20" t="s">
        <v>567</v>
      </c>
      <c r="M71" s="18" t="n">
        <v>0.31028701</v>
      </c>
      <c r="N71" s="20" t="n">
        <v>0.18559132</v>
      </c>
      <c r="O71" s="18" t="n">
        <v>0</v>
      </c>
      <c r="P71" s="20" t="n">
        <v>0</v>
      </c>
      <c r="Q71" s="18" t="n">
        <v>0</v>
      </c>
      <c r="R71" s="20" t="n">
        <v>0</v>
      </c>
      <c r="S71" s="18" t="n">
        <v>1.87352125</v>
      </c>
      <c r="T71" s="20" t="n">
        <v>0.59047081</v>
      </c>
    </row>
    <row r="72" spans="1:20">
      <c r="A72" s="15" t="s">
        <v>632</v>
      </c>
      <c r="B72" s="17" t="n">
        <v>3889</v>
      </c>
      <c r="C72" s="18">
        <f>(3020.0/B72*100)</f>
        <v/>
      </c>
      <c r="D72" s="19" t="n">
        <v>869</v>
      </c>
      <c r="E72" s="18" t="n">
        <v>17.6364494</v>
      </c>
      <c r="F72" s="20" t="n">
        <v>1.41395895</v>
      </c>
      <c r="G72" s="18" t="n">
        <v>20.20290882</v>
      </c>
      <c r="H72" s="20" t="n">
        <v>1.56626847</v>
      </c>
      <c r="I72" s="18" t="n">
        <v>55.81600591</v>
      </c>
      <c r="J72" s="20" t="n">
        <v>1.84420246</v>
      </c>
      <c r="K72" s="18" t="s">
        <v>567</v>
      </c>
      <c r="L72" s="20" t="s">
        <v>567</v>
      </c>
      <c r="M72" s="18" t="n">
        <v>0.39310487</v>
      </c>
      <c r="N72" s="20" t="n">
        <v>0.2322127</v>
      </c>
      <c r="O72" s="18" t="n">
        <v>0</v>
      </c>
      <c r="P72" s="20" t="n">
        <v>0</v>
      </c>
      <c r="Q72" s="18" t="n">
        <v>0</v>
      </c>
      <c r="R72" s="20" t="n">
        <v>0</v>
      </c>
      <c r="S72" s="18" t="n">
        <v>5.95153101</v>
      </c>
      <c r="T72" s="20" t="n">
        <v>0.76372724</v>
      </c>
    </row>
    <row r="73" spans="1:20">
      <c r="A73" s="15" t="s">
        <v>633</v>
      </c>
      <c r="B73" s="17" t="n">
        <v>3597</v>
      </c>
      <c r="C73" s="18">
        <f>(2862.0/B73*100)</f>
        <v/>
      </c>
      <c r="D73" s="19" t="n">
        <v>735</v>
      </c>
      <c r="E73" s="18" t="n">
        <v>48.65791277</v>
      </c>
      <c r="F73" s="20" t="n">
        <v>1.93822259</v>
      </c>
      <c r="G73" s="18" t="n">
        <v>22.76953125</v>
      </c>
      <c r="H73" s="20" t="n">
        <v>1.926292</v>
      </c>
      <c r="I73" s="18" t="n">
        <v>24.94881077</v>
      </c>
      <c r="J73" s="20" t="n">
        <v>1.82676492</v>
      </c>
      <c r="K73" s="18" t="s">
        <v>567</v>
      </c>
      <c r="L73" s="20" t="s">
        <v>567</v>
      </c>
      <c r="M73" s="18" t="n">
        <v>0.18922428</v>
      </c>
      <c r="N73" s="20" t="n">
        <v>0.13408616</v>
      </c>
      <c r="O73" s="18" t="n">
        <v>0.89515395</v>
      </c>
      <c r="P73" s="20" t="n">
        <v>0.40389036</v>
      </c>
      <c r="Q73" s="18" t="n">
        <v>0</v>
      </c>
      <c r="R73" s="20" t="n">
        <v>0</v>
      </c>
      <c r="S73" s="18" t="n">
        <v>2.53936698</v>
      </c>
      <c r="T73" s="20" t="n">
        <v>0.58634577</v>
      </c>
    </row>
    <row r="74" spans="1:20">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2406</v>
      </c>
      <c r="C75" s="18">
        <f>(1930.0/B75*100)</f>
        <v/>
      </c>
      <c r="D75" s="19" t="n">
        <v>476</v>
      </c>
      <c r="E75" s="18" t="n">
        <v>54.9721023</v>
      </c>
      <c r="F75" s="20" t="n">
        <v>2.78822859</v>
      </c>
      <c r="G75" s="18" t="n">
        <v>14.49761388</v>
      </c>
      <c r="H75" s="20" t="n">
        <v>1.59153561</v>
      </c>
      <c r="I75" s="18" t="n">
        <v>6.80416937</v>
      </c>
      <c r="J75" s="20" t="n">
        <v>1.21052098</v>
      </c>
      <c r="K75" s="18" t="s">
        <v>567</v>
      </c>
      <c r="L75" s="20" t="s">
        <v>567</v>
      </c>
      <c r="M75" s="18" t="n">
        <v>2.47162245</v>
      </c>
      <c r="N75" s="20" t="n">
        <v>0.7683416199999999</v>
      </c>
      <c r="O75" s="18" t="n">
        <v>0.8528492</v>
      </c>
      <c r="P75" s="20" t="n">
        <v>0.41104705</v>
      </c>
      <c r="Q75" s="18" t="n">
        <v>0</v>
      </c>
      <c r="R75" s="20" t="n">
        <v>0</v>
      </c>
      <c r="S75" s="18" t="n">
        <v>20.40164279</v>
      </c>
      <c r="T75" s="20" t="n">
        <v>2.37518403</v>
      </c>
    </row>
    <row r="76" spans="1:20">
      <c r="A76" s="15" t="s">
        <v>636</v>
      </c>
      <c r="B76" s="17" t="n">
        <v>7052</v>
      </c>
      <c r="C76" s="18">
        <f>(5499.0/B76*100)</f>
        <v/>
      </c>
      <c r="D76" s="19" t="n">
        <v>1553</v>
      </c>
      <c r="E76" s="18" t="n">
        <v>50.64343614</v>
      </c>
      <c r="F76" s="20" t="n">
        <v>1.59159327</v>
      </c>
      <c r="G76" s="18" t="n">
        <v>12.32981984</v>
      </c>
      <c r="H76" s="20" t="n">
        <v>1.10412468</v>
      </c>
      <c r="I76" s="18" t="n">
        <v>28.8930006</v>
      </c>
      <c r="J76" s="20" t="n">
        <v>1.4943236</v>
      </c>
      <c r="K76" s="18" t="s">
        <v>567</v>
      </c>
      <c r="L76" s="20" t="s">
        <v>567</v>
      </c>
      <c r="M76" s="18" t="n">
        <v>1.13693622</v>
      </c>
      <c r="N76" s="20" t="n">
        <v>0.30053651</v>
      </c>
      <c r="O76" s="18" t="n">
        <v>0.24354942</v>
      </c>
      <c r="P76" s="20" t="n">
        <v>0.13685133</v>
      </c>
      <c r="Q76" s="18" t="n">
        <v>0</v>
      </c>
      <c r="R76" s="20" t="n">
        <v>0</v>
      </c>
      <c r="S76" s="18" t="n">
        <v>6.75325778</v>
      </c>
      <c r="T76" s="20" t="n">
        <v>0.85835975</v>
      </c>
    </row>
    <row r="77" spans="1:20">
      <c r="A77" s="15" t="s">
        <v>637</v>
      </c>
      <c r="B77" s="17" t="n">
        <v>2908</v>
      </c>
      <c r="C77" s="18">
        <f>(2265.0/B77*100)</f>
        <v/>
      </c>
      <c r="D77" s="19" t="n">
        <v>643</v>
      </c>
      <c r="E77" s="18" t="n">
        <v>13.33959972</v>
      </c>
      <c r="F77" s="20" t="n">
        <v>1.47254013</v>
      </c>
      <c r="G77" s="18" t="n">
        <v>22.90783079</v>
      </c>
      <c r="H77" s="20" t="n">
        <v>1.89697727</v>
      </c>
      <c r="I77" s="18" t="n">
        <v>51.72327917</v>
      </c>
      <c r="J77" s="20" t="n">
        <v>2.32609604</v>
      </c>
      <c r="K77" s="18" t="s">
        <v>567</v>
      </c>
      <c r="L77" s="20" t="s">
        <v>567</v>
      </c>
      <c r="M77" s="18" t="n">
        <v>1.36112899</v>
      </c>
      <c r="N77" s="20" t="n">
        <v>0.39425809</v>
      </c>
      <c r="O77" s="18" t="n">
        <v>0</v>
      </c>
      <c r="P77" s="20" t="n">
        <v>0</v>
      </c>
      <c r="Q77" s="18" t="n">
        <v>0</v>
      </c>
      <c r="R77" s="20" t="n">
        <v>0</v>
      </c>
      <c r="S77" s="18" t="n">
        <v>10.66816134</v>
      </c>
      <c r="T77" s="20" t="n">
        <v>1.35411546</v>
      </c>
    </row>
    <row r="78" spans="1:20">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4163</v>
      </c>
      <c r="C81" s="18">
        <f>(3241.0/B81*100)</f>
        <v/>
      </c>
      <c r="D81" s="19" t="n">
        <v>922</v>
      </c>
      <c r="E81" s="18" t="n">
        <v>54.76831781</v>
      </c>
      <c r="F81" s="20" t="n">
        <v>2.10497994</v>
      </c>
      <c r="G81" s="18" t="n">
        <v>10.06613391</v>
      </c>
      <c r="H81" s="20" t="n">
        <v>1.35995914</v>
      </c>
      <c r="I81" s="18" t="n">
        <v>32.30449756</v>
      </c>
      <c r="J81" s="20" t="n">
        <v>1.80886936</v>
      </c>
      <c r="K81" s="18" t="s">
        <v>567</v>
      </c>
      <c r="L81" s="20" t="s">
        <v>567</v>
      </c>
      <c r="M81" s="18" t="n">
        <v>0.54277279</v>
      </c>
      <c r="N81" s="20" t="n">
        <v>0.34296183</v>
      </c>
      <c r="O81" s="18" t="n">
        <v>0</v>
      </c>
      <c r="P81" s="20" t="n">
        <v>0</v>
      </c>
      <c r="Q81" s="18" t="n">
        <v>0</v>
      </c>
      <c r="R81" s="20" t="n">
        <v>0</v>
      </c>
      <c r="S81" s="18" t="n">
        <v>2.31827793</v>
      </c>
      <c r="T81" s="20" t="n">
        <v>0.65611842</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(5773.0/B7*100)</f>
        <v/>
      </c>
      <c r="D7" s="19" t="n">
        <v>1594</v>
      </c>
      <c r="E7" s="18" t="n">
        <v>48.50720515</v>
      </c>
      <c r="F7" s="20" t="n">
        <v>1.6627907</v>
      </c>
      <c r="G7" s="18" t="n">
        <v>50.2122926</v>
      </c>
      <c r="H7" s="20" t="n">
        <v>1.63173355</v>
      </c>
      <c r="I7" s="18" t="s">
        <v>567</v>
      </c>
      <c r="J7" s="20" t="s">
        <v>567</v>
      </c>
      <c r="K7" s="18" t="n">
        <v>0.48593504</v>
      </c>
      <c r="L7" s="20" t="n">
        <v>0.15743572</v>
      </c>
      <c r="M7" s="18" t="n">
        <v>0</v>
      </c>
      <c r="N7" s="20" t="n">
        <v>0</v>
      </c>
      <c r="O7" s="18" t="n">
        <v>0</v>
      </c>
      <c r="P7" s="20" t="n">
        <v>0</v>
      </c>
      <c r="Q7" s="18" t="n">
        <v>0.79456721</v>
      </c>
      <c r="R7" s="20" t="n">
        <v>0.24826315</v>
      </c>
    </row>
    <row r="8" spans="1:18">
      <c r="A8" s="15" t="s">
        <v>568</v>
      </c>
      <c r="B8" s="17" t="n">
        <v>3564</v>
      </c>
      <c r="C8" s="18">
        <f>(2796.0/B8*100)</f>
        <v/>
      </c>
      <c r="D8" s="19" t="n">
        <v>768</v>
      </c>
      <c r="E8" s="18" t="n">
        <v>42.58937725</v>
      </c>
      <c r="F8" s="20" t="n">
        <v>1.97940097</v>
      </c>
      <c r="G8" s="18" t="n">
        <v>57.00896748</v>
      </c>
      <c r="H8" s="20" t="n">
        <v>1.99084023</v>
      </c>
      <c r="I8" s="18" t="s">
        <v>567</v>
      </c>
      <c r="J8" s="20" t="s">
        <v>567</v>
      </c>
      <c r="K8" s="18" t="n">
        <v>0.2176956</v>
      </c>
      <c r="L8" s="20" t="n">
        <v>0.21257685</v>
      </c>
      <c r="M8" s="18" t="n">
        <v>0</v>
      </c>
      <c r="N8" s="20" t="n">
        <v>0</v>
      </c>
      <c r="O8" s="18" t="n">
        <v>0</v>
      </c>
      <c r="P8" s="20" t="n">
        <v>0</v>
      </c>
      <c r="Q8" s="18" t="n">
        <v>0.18395967</v>
      </c>
      <c r="R8" s="20" t="n">
        <v>0.12119743</v>
      </c>
    </row>
    <row r="9" spans="1:18">
      <c r="A9" s="15" t="s">
        <v>569</v>
      </c>
      <c r="B9" s="17" t="n">
        <v>4899</v>
      </c>
      <c r="C9" s="18">
        <f>(3872.0/B9*100)</f>
        <v/>
      </c>
      <c r="D9" s="19" t="n">
        <v>1027</v>
      </c>
      <c r="E9" s="18" t="n">
        <v>53.67542267</v>
      </c>
      <c r="F9" s="20" t="n">
        <v>1.54697592</v>
      </c>
      <c r="G9" s="18" t="n">
        <v>45.45985236</v>
      </c>
      <c r="H9" s="20" t="n">
        <v>1.52351429</v>
      </c>
      <c r="I9" s="18" t="s">
        <v>567</v>
      </c>
      <c r="J9" s="20" t="s">
        <v>567</v>
      </c>
      <c r="K9" s="18" t="n">
        <v>0.31435649</v>
      </c>
      <c r="L9" s="20" t="n">
        <v>0.15061539</v>
      </c>
      <c r="M9" s="18" t="n">
        <v>0</v>
      </c>
      <c r="N9" s="20" t="n">
        <v>0</v>
      </c>
      <c r="O9" s="18" t="n">
        <v>0</v>
      </c>
      <c r="P9" s="20" t="n">
        <v>0</v>
      </c>
      <c r="Q9" s="18" t="n">
        <v>0.55036847</v>
      </c>
      <c r="R9" s="20" t="n">
        <v>0.2429941</v>
      </c>
    </row>
    <row r="10" spans="1:18">
      <c r="A10" s="15" t="s">
        <v>570</v>
      </c>
      <c r="B10" s="17" t="n">
        <v>10036</v>
      </c>
      <c r="C10" s="18">
        <f>(7877.0/B10*100)</f>
        <v/>
      </c>
      <c r="D10" s="19" t="n">
        <v>2159</v>
      </c>
      <c r="E10" s="18" t="n">
        <v>47.99687857</v>
      </c>
      <c r="F10" s="20" t="n">
        <v>1.46936315</v>
      </c>
      <c r="G10" s="18" t="n">
        <v>51.2233875</v>
      </c>
      <c r="H10" s="20" t="n">
        <v>1.42544245</v>
      </c>
      <c r="I10" s="18" t="s">
        <v>567</v>
      </c>
      <c r="J10" s="20" t="s">
        <v>567</v>
      </c>
      <c r="K10" s="18" t="n">
        <v>0.23369857</v>
      </c>
      <c r="L10" s="20" t="n">
        <v>0.09599418999999999</v>
      </c>
      <c r="M10" s="18" t="n">
        <v>0</v>
      </c>
      <c r="N10" s="20" t="n">
        <v>0</v>
      </c>
      <c r="O10" s="18" t="n">
        <v>0</v>
      </c>
      <c r="P10" s="20" t="n">
        <v>0</v>
      </c>
      <c r="Q10" s="18" t="n">
        <v>0.54603536</v>
      </c>
      <c r="R10" s="20" t="n">
        <v>0.2436103</v>
      </c>
    </row>
    <row r="11" spans="1:18">
      <c r="A11" s="15" t="s">
        <v>571</v>
      </c>
      <c r="B11" s="17" t="n">
        <v>3553</v>
      </c>
      <c r="C11" s="18">
        <f>(2794.0/B11*100)</f>
        <v/>
      </c>
      <c r="D11" s="19" t="n">
        <v>759</v>
      </c>
      <c r="E11" s="18" t="n">
        <v>59.21622865</v>
      </c>
      <c r="F11" s="20" t="n">
        <v>2.15664283</v>
      </c>
      <c r="G11" s="18" t="n">
        <v>38.45862338</v>
      </c>
      <c r="H11" s="20" t="n">
        <v>2.01501673</v>
      </c>
      <c r="I11" s="18" t="s">
        <v>567</v>
      </c>
      <c r="J11" s="20" t="s">
        <v>567</v>
      </c>
      <c r="K11" s="18" t="n">
        <v>2.02454562</v>
      </c>
      <c r="L11" s="20" t="n">
        <v>0.56087087</v>
      </c>
      <c r="M11" s="18" t="n">
        <v>0</v>
      </c>
      <c r="N11" s="20" t="n">
        <v>0</v>
      </c>
      <c r="O11" s="18" t="n">
        <v>0</v>
      </c>
      <c r="P11" s="20" t="n">
        <v>0</v>
      </c>
      <c r="Q11" s="18" t="n">
        <v>0.30060236</v>
      </c>
      <c r="R11" s="20" t="n">
        <v>0.22268772</v>
      </c>
    </row>
    <row r="12" spans="1:18">
      <c r="A12" s="15" t="s">
        <v>572</v>
      </c>
      <c r="B12" s="17" t="n">
        <v>3472</v>
      </c>
      <c r="C12" s="18">
        <f>(2730.0/B12*100)</f>
        <v/>
      </c>
      <c r="D12" s="19" t="n">
        <v>742</v>
      </c>
      <c r="E12" s="18" t="n">
        <v>43.26835581</v>
      </c>
      <c r="F12" s="20" t="n">
        <v>2.05828722</v>
      </c>
      <c r="G12" s="18" t="n">
        <v>55.57728182</v>
      </c>
      <c r="H12" s="20" t="n">
        <v>2.03570917</v>
      </c>
      <c r="I12" s="18" t="s">
        <v>567</v>
      </c>
      <c r="J12" s="20" t="s">
        <v>567</v>
      </c>
      <c r="K12" s="18" t="n">
        <v>0.49011582</v>
      </c>
      <c r="L12" s="20" t="n">
        <v>0.33363578</v>
      </c>
      <c r="M12" s="18" t="n">
        <v>0</v>
      </c>
      <c r="N12" s="20" t="n">
        <v>0</v>
      </c>
      <c r="O12" s="18" t="n">
        <v>0</v>
      </c>
      <c r="P12" s="20" t="n">
        <v>0</v>
      </c>
      <c r="Q12" s="18" t="n">
        <v>0.66424655</v>
      </c>
      <c r="R12" s="20" t="n">
        <v>0.19996218</v>
      </c>
    </row>
    <row r="13" spans="1:18">
      <c r="A13" s="15" t="s">
        <v>573</v>
      </c>
      <c r="B13" s="17" t="n">
        <v>3559</v>
      </c>
      <c r="C13" s="18">
        <f>(2827.0/B13*100)</f>
        <v/>
      </c>
      <c r="D13" s="19" t="n">
        <v>732</v>
      </c>
      <c r="E13" s="18" t="n">
        <v>45.29448589</v>
      </c>
      <c r="F13" s="20" t="n">
        <v>2.29119052</v>
      </c>
      <c r="G13" s="18" t="n">
        <v>53.23112514</v>
      </c>
      <c r="H13" s="20" t="n">
        <v>2.35736057</v>
      </c>
      <c r="I13" s="18" t="s">
        <v>567</v>
      </c>
      <c r="J13" s="20" t="s">
        <v>567</v>
      </c>
      <c r="K13" s="18" t="n">
        <v>0.51256207</v>
      </c>
      <c r="L13" s="20" t="n">
        <v>0.24965344</v>
      </c>
      <c r="M13" s="18" t="n">
        <v>0</v>
      </c>
      <c r="N13" s="20" t="n">
        <v>0</v>
      </c>
      <c r="O13" s="18" t="n">
        <v>0</v>
      </c>
      <c r="P13" s="20" t="n">
        <v>0</v>
      </c>
      <c r="Q13" s="18" t="n">
        <v>0.9618269</v>
      </c>
      <c r="R13" s="20" t="n">
        <v>0.46446151</v>
      </c>
    </row>
    <row r="14" spans="1:18">
      <c r="A14" s="15" t="s">
        <v>574</v>
      </c>
      <c r="B14" s="17" t="n">
        <v>2799</v>
      </c>
      <c r="C14" s="18">
        <f>(2182.0/B14*100)</f>
        <v/>
      </c>
      <c r="D14" s="19" t="n">
        <v>617</v>
      </c>
      <c r="E14" s="18" t="n">
        <v>34.71499626</v>
      </c>
      <c r="F14" s="20" t="n">
        <v>2.31505676</v>
      </c>
      <c r="G14" s="18" t="n">
        <v>65.12509755000001</v>
      </c>
      <c r="H14" s="20" t="n">
        <v>2.33058483</v>
      </c>
      <c r="I14" s="18" t="s">
        <v>567</v>
      </c>
      <c r="J14" s="20" t="s">
        <v>567</v>
      </c>
      <c r="K14" s="18" t="n">
        <v>0</v>
      </c>
      <c r="L14" s="20" t="n">
        <v>0</v>
      </c>
      <c r="M14" s="18" t="n">
        <v>0</v>
      </c>
      <c r="N14" s="20" t="n">
        <v>0</v>
      </c>
      <c r="O14" s="18" t="n">
        <v>0</v>
      </c>
      <c r="P14" s="20" t="n">
        <v>0</v>
      </c>
      <c r="Q14" s="18" t="n">
        <v>0.1599062</v>
      </c>
      <c r="R14" s="20" t="n">
        <v>0.15559574</v>
      </c>
    </row>
    <row r="15" spans="1:18">
      <c r="A15" s="15" t="s">
        <v>575</v>
      </c>
      <c r="B15" s="17" t="n">
        <v>3019</v>
      </c>
      <c r="C15" s="18">
        <f>(2401.0/B15*100)</f>
        <v/>
      </c>
      <c r="D15" s="19" t="n">
        <v>618</v>
      </c>
      <c r="E15" s="18" t="n">
        <v>48.95186765</v>
      </c>
      <c r="F15" s="20" t="n">
        <v>2.12885698</v>
      </c>
      <c r="G15" s="18" t="n">
        <v>50.43294509</v>
      </c>
      <c r="H15" s="20" t="n">
        <v>2.18942564</v>
      </c>
      <c r="I15" s="18" t="s">
        <v>567</v>
      </c>
      <c r="J15" s="20" t="s">
        <v>567</v>
      </c>
      <c r="K15" s="18" t="n">
        <v>0.2993288</v>
      </c>
      <c r="L15" s="20" t="n">
        <v>0.21599862</v>
      </c>
      <c r="M15" s="18" t="n">
        <v>0</v>
      </c>
      <c r="N15" s="20" t="n">
        <v>0</v>
      </c>
      <c r="O15" s="18" t="n">
        <v>0</v>
      </c>
      <c r="P15" s="20" t="n">
        <v>0</v>
      </c>
      <c r="Q15" s="18" t="n">
        <v>0.31585846</v>
      </c>
      <c r="R15" s="20" t="n">
        <v>0.22176749</v>
      </c>
    </row>
    <row r="16" spans="1:18">
      <c r="A16" s="15" t="s">
        <v>576</v>
      </c>
      <c r="B16" s="17" t="n">
        <v>2997</v>
      </c>
      <c r="C16" s="18">
        <f>(2357.0/B16*100)</f>
        <v/>
      </c>
      <c r="D16" s="19" t="n">
        <v>640</v>
      </c>
      <c r="E16" s="18" t="n">
        <v>63.03017982</v>
      </c>
      <c r="F16" s="20" t="n">
        <v>2.00385154</v>
      </c>
      <c r="G16" s="18" t="n">
        <v>32.89524076</v>
      </c>
      <c r="H16" s="20" t="n">
        <v>2.05025548</v>
      </c>
      <c r="I16" s="18" t="s">
        <v>567</v>
      </c>
      <c r="J16" s="20" t="s">
        <v>567</v>
      </c>
      <c r="K16" s="18" t="n">
        <v>2.36171235</v>
      </c>
      <c r="L16" s="20" t="n">
        <v>0.65792001</v>
      </c>
      <c r="M16" s="18" t="n">
        <v>0</v>
      </c>
      <c r="N16" s="20" t="n">
        <v>0</v>
      </c>
      <c r="O16" s="18" t="n">
        <v>0</v>
      </c>
      <c r="P16" s="20" t="n">
        <v>0</v>
      </c>
      <c r="Q16" s="18" t="n">
        <v>1.71286706</v>
      </c>
      <c r="R16" s="20" t="n">
        <v>0.45559482</v>
      </c>
    </row>
    <row r="17" spans="1:18">
      <c r="A17" s="15" t="s">
        <v>577</v>
      </c>
      <c r="B17" s="17" t="n">
        <v>3307</v>
      </c>
      <c r="C17" s="18">
        <f>(2593.0/B17*100)</f>
        <v/>
      </c>
      <c r="D17" s="19" t="n">
        <v>714</v>
      </c>
      <c r="E17" s="18" t="n">
        <v>46.33332545</v>
      </c>
      <c r="F17" s="20" t="n">
        <v>2.11093821</v>
      </c>
      <c r="G17" s="18" t="n">
        <v>52.79673556</v>
      </c>
      <c r="H17" s="20" t="n">
        <v>2.14202744</v>
      </c>
      <c r="I17" s="18" t="s">
        <v>567</v>
      </c>
      <c r="J17" s="20" t="s">
        <v>567</v>
      </c>
      <c r="K17" s="18" t="n">
        <v>0.46066588</v>
      </c>
      <c r="L17" s="20" t="n">
        <v>0.24806526</v>
      </c>
      <c r="M17" s="18" t="n">
        <v>0</v>
      </c>
      <c r="N17" s="20" t="n">
        <v>0</v>
      </c>
      <c r="O17" s="18" t="n">
        <v>0</v>
      </c>
      <c r="P17" s="20" t="n">
        <v>0</v>
      </c>
      <c r="Q17" s="18" t="n">
        <v>0.40927311</v>
      </c>
      <c r="R17" s="20" t="n">
        <v>0.21344157</v>
      </c>
    </row>
    <row r="18" spans="1:18">
      <c r="A18" s="15" t="s">
        <v>578</v>
      </c>
      <c r="B18" s="17" t="n">
        <v>2826</v>
      </c>
      <c r="C18" s="18">
        <f>(2217.0/B18*100)</f>
        <v/>
      </c>
      <c r="D18" s="19" t="n">
        <v>609</v>
      </c>
      <c r="E18" s="18" t="n">
        <v>60.87361948</v>
      </c>
      <c r="F18" s="20" t="n">
        <v>2.30418825</v>
      </c>
      <c r="G18" s="18" t="n">
        <v>37.72933106</v>
      </c>
      <c r="H18" s="20" t="n">
        <v>2.26988578</v>
      </c>
      <c r="I18" s="18" t="s">
        <v>567</v>
      </c>
      <c r="J18" s="20" t="s">
        <v>567</v>
      </c>
      <c r="K18" s="18" t="n">
        <v>0.2220562</v>
      </c>
      <c r="L18" s="20" t="n">
        <v>0.17847416</v>
      </c>
      <c r="M18" s="18" t="n">
        <v>0</v>
      </c>
      <c r="N18" s="20" t="n">
        <v>0</v>
      </c>
      <c r="O18" s="18" t="n">
        <v>0</v>
      </c>
      <c r="P18" s="20" t="n">
        <v>0</v>
      </c>
      <c r="Q18" s="18" t="n">
        <v>1.17499326</v>
      </c>
      <c r="R18" s="20" t="n">
        <v>0.5041919</v>
      </c>
    </row>
    <row r="19" spans="1:18">
      <c r="A19" s="15" t="s">
        <v>579</v>
      </c>
      <c r="B19" s="17" t="n">
        <v>2808</v>
      </c>
      <c r="C19" s="18">
        <f>(2206.0/B19*100)</f>
        <v/>
      </c>
      <c r="D19" s="19" t="n">
        <v>602</v>
      </c>
      <c r="E19" s="18" t="n">
        <v>51.65342689</v>
      </c>
      <c r="F19" s="20" t="n">
        <v>2.18577081</v>
      </c>
      <c r="G19" s="18" t="n">
        <v>47.476052</v>
      </c>
      <c r="H19" s="20" t="n">
        <v>2.19292511</v>
      </c>
      <c r="I19" s="18" t="s">
        <v>567</v>
      </c>
      <c r="J19" s="20" t="s">
        <v>567</v>
      </c>
      <c r="K19" s="18" t="n">
        <v>0.42512694</v>
      </c>
      <c r="L19" s="20" t="n">
        <v>0.25253603</v>
      </c>
      <c r="M19" s="18" t="n">
        <v>0</v>
      </c>
      <c r="N19" s="20" t="n">
        <v>0</v>
      </c>
      <c r="O19" s="18" t="n">
        <v>0</v>
      </c>
      <c r="P19" s="20" t="n">
        <v>0</v>
      </c>
      <c r="Q19" s="18" t="n">
        <v>0.44539416</v>
      </c>
      <c r="R19" s="20" t="n">
        <v>0.2514176</v>
      </c>
    </row>
    <row r="20" spans="1:18">
      <c r="A20" s="15" t="s">
        <v>580</v>
      </c>
      <c r="B20" s="17" t="n">
        <v>1630</v>
      </c>
      <c r="C20" s="18">
        <f>(1271.0/B20*100)</f>
        <v/>
      </c>
      <c r="D20" s="19" t="n">
        <v>359</v>
      </c>
      <c r="E20" s="18" t="n">
        <v>58.79556601</v>
      </c>
      <c r="F20" s="20" t="n">
        <v>2.71949629</v>
      </c>
      <c r="G20" s="18" t="n">
        <v>39.76819296</v>
      </c>
      <c r="H20" s="20" t="n">
        <v>2.68696374</v>
      </c>
      <c r="I20" s="18" t="s">
        <v>567</v>
      </c>
      <c r="J20" s="20" t="s">
        <v>567</v>
      </c>
      <c r="K20" s="18" t="n">
        <v>0.86089907</v>
      </c>
      <c r="L20" s="20" t="n">
        <v>0.50516007</v>
      </c>
      <c r="M20" s="18" t="n">
        <v>0</v>
      </c>
      <c r="N20" s="20" t="n">
        <v>0</v>
      </c>
      <c r="O20" s="18" t="n">
        <v>0</v>
      </c>
      <c r="P20" s="20" t="n">
        <v>0</v>
      </c>
      <c r="Q20" s="18" t="n">
        <v>0.57534197</v>
      </c>
      <c r="R20" s="20" t="n">
        <v>0.40440066</v>
      </c>
    </row>
    <row r="21" spans="1:18">
      <c r="A21" s="15" t="s">
        <v>581</v>
      </c>
      <c r="B21" s="17" t="n">
        <v>2908</v>
      </c>
      <c r="C21" s="18">
        <f>(2249.0/B21*100)</f>
        <v/>
      </c>
      <c r="D21" s="19" t="n">
        <v>659</v>
      </c>
      <c r="E21" s="18" t="n">
        <v>56.38552706</v>
      </c>
      <c r="F21" s="20" t="n">
        <v>1.96522645</v>
      </c>
      <c r="G21" s="18" t="n">
        <v>42.17316316</v>
      </c>
      <c r="H21" s="20" t="n">
        <v>2.02400049</v>
      </c>
      <c r="I21" s="18" t="s">
        <v>567</v>
      </c>
      <c r="J21" s="20" t="s">
        <v>567</v>
      </c>
      <c r="K21" s="18" t="n">
        <v>0.65131166</v>
      </c>
      <c r="L21" s="20" t="n">
        <v>0.33660171</v>
      </c>
      <c r="M21" s="18" t="n">
        <v>0</v>
      </c>
      <c r="N21" s="20" t="n">
        <v>0</v>
      </c>
      <c r="O21" s="18" t="n">
        <v>0</v>
      </c>
      <c r="P21" s="20" t="n">
        <v>0</v>
      </c>
      <c r="Q21" s="18" t="n">
        <v>0.78999811</v>
      </c>
      <c r="R21" s="20" t="n">
        <v>0.36914628</v>
      </c>
    </row>
    <row r="22" spans="1:18">
      <c r="A22" s="15" t="s">
        <v>582</v>
      </c>
      <c r="B22" s="17" t="n">
        <v>2931</v>
      </c>
      <c r="C22" s="18">
        <f>(2275.0/B22*100)</f>
        <v/>
      </c>
      <c r="D22" s="19" t="n">
        <v>656</v>
      </c>
      <c r="E22" s="18" t="n">
        <v>46.44384086</v>
      </c>
      <c r="F22" s="20" t="n">
        <v>2.44502601</v>
      </c>
      <c r="G22" s="18" t="n">
        <v>50.41556574</v>
      </c>
      <c r="H22" s="20" t="n">
        <v>2.3905649</v>
      </c>
      <c r="I22" s="18" t="s">
        <v>567</v>
      </c>
      <c r="J22" s="20" t="s">
        <v>567</v>
      </c>
      <c r="K22" s="18" t="n">
        <v>1.33576359</v>
      </c>
      <c r="L22" s="20" t="n">
        <v>0.56438069</v>
      </c>
      <c r="M22" s="18" t="n">
        <v>0</v>
      </c>
      <c r="N22" s="20" t="n">
        <v>0</v>
      </c>
      <c r="O22" s="18" t="n">
        <v>0</v>
      </c>
      <c r="P22" s="20" t="n">
        <v>0</v>
      </c>
      <c r="Q22" s="18" t="n">
        <v>1.8048298</v>
      </c>
      <c r="R22" s="20" t="n">
        <v>0.7590686800000001</v>
      </c>
    </row>
    <row r="23" spans="1:18">
      <c r="A23" s="15" t="s">
        <v>583</v>
      </c>
      <c r="B23" s="17" t="n">
        <v>5791</v>
      </c>
      <c r="C23" s="18">
        <f>(4536.0/B23*100)</f>
        <v/>
      </c>
      <c r="D23" s="19" t="n">
        <v>1255</v>
      </c>
      <c r="E23" s="18" t="n">
        <v>57.27170672</v>
      </c>
      <c r="F23" s="20" t="n">
        <v>2.02530827</v>
      </c>
      <c r="G23" s="18" t="n">
        <v>41.33666675</v>
      </c>
      <c r="H23" s="20" t="n">
        <v>1.93821429</v>
      </c>
      <c r="I23" s="18" t="s">
        <v>567</v>
      </c>
      <c r="J23" s="20" t="s">
        <v>567</v>
      </c>
      <c r="K23" s="18" t="n">
        <v>0.68084924</v>
      </c>
      <c r="L23" s="20" t="n">
        <v>0.33811829</v>
      </c>
      <c r="M23" s="18" t="n">
        <v>0</v>
      </c>
      <c r="N23" s="20" t="n">
        <v>0</v>
      </c>
      <c r="O23" s="18" t="n">
        <v>0</v>
      </c>
      <c r="P23" s="20" t="n">
        <v>0</v>
      </c>
      <c r="Q23" s="18" t="n">
        <v>0.71077729</v>
      </c>
      <c r="R23" s="20" t="n">
        <v>0.30901782</v>
      </c>
    </row>
    <row r="24" spans="1:18">
      <c r="A24" s="15" t="s">
        <v>584</v>
      </c>
      <c r="B24" s="17" t="n">
        <v>3338</v>
      </c>
      <c r="C24" s="18">
        <f>(2611.0/B24*100)</f>
        <v/>
      </c>
      <c r="D24" s="19" t="n">
        <v>727</v>
      </c>
      <c r="E24" s="18" t="n">
        <v>41.3490482</v>
      </c>
      <c r="F24" s="20" t="n">
        <v>2.11203195</v>
      </c>
      <c r="G24" s="18" t="n">
        <v>57.69641457</v>
      </c>
      <c r="H24" s="20" t="n">
        <v>2.16636072</v>
      </c>
      <c r="I24" s="18" t="s">
        <v>567</v>
      </c>
      <c r="J24" s="20" t="s">
        <v>567</v>
      </c>
      <c r="K24" s="18" t="n">
        <v>0.70726418</v>
      </c>
      <c r="L24" s="20" t="n">
        <v>0.3220343</v>
      </c>
      <c r="M24" s="18" t="n">
        <v>0</v>
      </c>
      <c r="N24" s="20" t="n">
        <v>0</v>
      </c>
      <c r="O24" s="18" t="n">
        <v>0</v>
      </c>
      <c r="P24" s="20" t="n">
        <v>0</v>
      </c>
      <c r="Q24" s="18" t="n">
        <v>0.24727305</v>
      </c>
      <c r="R24" s="20" t="n">
        <v>0.1729097</v>
      </c>
    </row>
    <row r="25" spans="1:18">
      <c r="A25" s="15" t="s">
        <v>585</v>
      </c>
      <c r="B25" s="17" t="n">
        <v>2912</v>
      </c>
      <c r="C25" s="18">
        <f>(2253.0/B25*100)</f>
        <v/>
      </c>
      <c r="D25" s="19" t="n">
        <v>659</v>
      </c>
      <c r="E25" s="18" t="n">
        <v>41.14217332</v>
      </c>
      <c r="F25" s="20" t="n">
        <v>2.24876318</v>
      </c>
      <c r="G25" s="18" t="n">
        <v>57.97515588</v>
      </c>
      <c r="H25" s="20" t="n">
        <v>2.24826931</v>
      </c>
      <c r="I25" s="18" t="s">
        <v>567</v>
      </c>
      <c r="J25" s="20" t="s">
        <v>567</v>
      </c>
      <c r="K25" s="18" t="n">
        <v>0.58835837</v>
      </c>
      <c r="L25" s="20" t="n">
        <v>0.29597795</v>
      </c>
      <c r="M25" s="18" t="n">
        <v>0</v>
      </c>
      <c r="N25" s="20" t="n">
        <v>0</v>
      </c>
      <c r="O25" s="18" t="n">
        <v>0</v>
      </c>
      <c r="P25" s="20" t="n">
        <v>0</v>
      </c>
      <c r="Q25" s="18" t="n">
        <v>0.29431243</v>
      </c>
      <c r="R25" s="20" t="n">
        <v>0.21372302</v>
      </c>
    </row>
    <row r="26" spans="1:18">
      <c r="A26" s="15" t="s">
        <v>586</v>
      </c>
      <c r="B26" s="17" t="n">
        <v>2450</v>
      </c>
      <c r="C26" s="18">
        <f>(1934.0/B26*100)</f>
        <v/>
      </c>
      <c r="D26" s="19" t="n">
        <v>516</v>
      </c>
      <c r="E26" s="18" t="n">
        <v>49.09771288</v>
      </c>
      <c r="F26" s="20" t="n">
        <v>2.24271938</v>
      </c>
      <c r="G26" s="18" t="n">
        <v>50.7481281</v>
      </c>
      <c r="H26" s="20" t="n">
        <v>2.209252</v>
      </c>
      <c r="I26" s="18" t="s">
        <v>567</v>
      </c>
      <c r="J26" s="20" t="s">
        <v>567</v>
      </c>
      <c r="K26" s="18" t="n">
        <v>0</v>
      </c>
      <c r="L26" s="20" t="n">
        <v>0</v>
      </c>
      <c r="M26" s="18" t="n">
        <v>0</v>
      </c>
      <c r="N26" s="20" t="n">
        <v>0</v>
      </c>
      <c r="O26" s="18" t="n">
        <v>0</v>
      </c>
      <c r="P26" s="20" t="n">
        <v>0</v>
      </c>
      <c r="Q26" s="18" t="n">
        <v>0.15415902</v>
      </c>
      <c r="R26" s="20" t="n">
        <v>0.15460204</v>
      </c>
    </row>
    <row r="27" spans="1:18">
      <c r="A27" s="15" t="s">
        <v>587</v>
      </c>
      <c r="B27" s="17" t="n">
        <v>2616</v>
      </c>
      <c r="C27" s="18">
        <f>(2043.0/B27*100)</f>
        <v/>
      </c>
      <c r="D27" s="19" t="n">
        <v>573</v>
      </c>
      <c r="E27" s="18" t="n">
        <v>62.88186086</v>
      </c>
      <c r="F27" s="20" t="n">
        <v>2.01315927</v>
      </c>
      <c r="G27" s="18" t="n">
        <v>36.19645505</v>
      </c>
      <c r="H27" s="20" t="n">
        <v>2.01836029</v>
      </c>
      <c r="I27" s="18" t="s">
        <v>567</v>
      </c>
      <c r="J27" s="20" t="s">
        <v>567</v>
      </c>
      <c r="K27" s="18" t="n">
        <v>0.35951976</v>
      </c>
      <c r="L27" s="20" t="n">
        <v>0.25728742</v>
      </c>
      <c r="M27" s="18" t="n">
        <v>0</v>
      </c>
      <c r="N27" s="20" t="n">
        <v>0</v>
      </c>
      <c r="O27" s="18" t="n">
        <v>0</v>
      </c>
      <c r="P27" s="20" t="n">
        <v>0</v>
      </c>
      <c r="Q27" s="18" t="n">
        <v>0.56216434</v>
      </c>
      <c r="R27" s="20" t="n">
        <v>0.32850567</v>
      </c>
    </row>
    <row r="28" spans="1:18">
      <c r="A28" s="15" t="s">
        <v>588</v>
      </c>
      <c r="B28" s="17" t="n">
        <v>3765</v>
      </c>
      <c r="C28" s="18">
        <f>(3037.0/B28*100)</f>
        <v/>
      </c>
      <c r="D28" s="19" t="n">
        <v>728</v>
      </c>
      <c r="E28" s="18" t="n">
        <v>76.61680341</v>
      </c>
      <c r="F28" s="20" t="n">
        <v>1.57752074</v>
      </c>
      <c r="G28" s="18" t="n">
        <v>21.33205536</v>
      </c>
      <c r="H28" s="20" t="n">
        <v>1.67464375</v>
      </c>
      <c r="I28" s="18" t="s">
        <v>567</v>
      </c>
      <c r="J28" s="20" t="s">
        <v>567</v>
      </c>
      <c r="K28" s="18" t="n">
        <v>1.54964357</v>
      </c>
      <c r="L28" s="20" t="n">
        <v>0.5668466</v>
      </c>
      <c r="M28" s="18" t="n">
        <v>0</v>
      </c>
      <c r="N28" s="20" t="n">
        <v>0</v>
      </c>
      <c r="O28" s="18" t="n">
        <v>0</v>
      </c>
      <c r="P28" s="20" t="n">
        <v>0</v>
      </c>
      <c r="Q28" s="18" t="n">
        <v>0.50149765</v>
      </c>
      <c r="R28" s="20" t="n">
        <v>0.25075022</v>
      </c>
    </row>
    <row r="29" spans="1:18">
      <c r="A29" s="15" t="s">
        <v>589</v>
      </c>
      <c r="B29" s="17" t="n">
        <v>2685</v>
      </c>
      <c r="C29" s="18">
        <f>(2094.0/B29*100)</f>
        <v/>
      </c>
      <c r="D29" s="19" t="n">
        <v>591</v>
      </c>
      <c r="E29" s="18" t="n">
        <v>47.02784125</v>
      </c>
      <c r="F29" s="20" t="n">
        <v>2.22464657</v>
      </c>
      <c r="G29" s="18" t="n">
        <v>52.23664626</v>
      </c>
      <c r="H29" s="20" t="n">
        <v>2.24894306</v>
      </c>
      <c r="I29" s="18" t="s">
        <v>567</v>
      </c>
      <c r="J29" s="20" t="s">
        <v>567</v>
      </c>
      <c r="K29" s="18" t="n">
        <v>0.15976781</v>
      </c>
      <c r="L29" s="20" t="n">
        <v>0.17323204</v>
      </c>
      <c r="M29" s="18" t="n">
        <v>0</v>
      </c>
      <c r="N29" s="20" t="n">
        <v>0</v>
      </c>
      <c r="O29" s="18" t="n">
        <v>0</v>
      </c>
      <c r="P29" s="20" t="n">
        <v>0</v>
      </c>
      <c r="Q29" s="18" t="n">
        <v>0.57574467</v>
      </c>
      <c r="R29" s="20" t="n">
        <v>0.29651395</v>
      </c>
    </row>
    <row r="30" spans="1:18">
      <c r="A30" s="15" t="s">
        <v>590</v>
      </c>
      <c r="B30" s="17" t="n">
        <v>2263</v>
      </c>
      <c r="C30" s="18">
        <f>(1783.0/B30*100)</f>
        <v/>
      </c>
      <c r="D30" s="19" t="n">
        <v>480</v>
      </c>
      <c r="E30" s="18" t="n">
        <v>47.67960974</v>
      </c>
      <c r="F30" s="20" t="n">
        <v>2.74512466</v>
      </c>
      <c r="G30" s="18" t="n">
        <v>50.9724236</v>
      </c>
      <c r="H30" s="20" t="n">
        <v>2.69739578</v>
      </c>
      <c r="I30" s="18" t="s">
        <v>567</v>
      </c>
      <c r="J30" s="20" t="s">
        <v>567</v>
      </c>
      <c r="K30" s="18" t="n">
        <v>0.68304479</v>
      </c>
      <c r="L30" s="20" t="n">
        <v>0.4108165</v>
      </c>
      <c r="M30" s="18" t="n">
        <v>0</v>
      </c>
      <c r="N30" s="20" t="n">
        <v>0</v>
      </c>
      <c r="O30" s="18" t="n">
        <v>0</v>
      </c>
      <c r="P30" s="20" t="n">
        <v>0</v>
      </c>
      <c r="Q30" s="18" t="n">
        <v>0.66492186</v>
      </c>
      <c r="R30" s="20" t="n">
        <v>0.42854977</v>
      </c>
    </row>
    <row r="31" spans="1:18">
      <c r="A31" s="15" t="s">
        <v>591</v>
      </c>
      <c r="B31" s="17" t="n">
        <v>2750</v>
      </c>
      <c r="C31" s="18">
        <f>(2133.0/B31*100)</f>
        <v/>
      </c>
      <c r="D31" s="19" t="n">
        <v>617</v>
      </c>
      <c r="E31" s="18" t="n">
        <v>52.55274121</v>
      </c>
      <c r="F31" s="20" t="n">
        <v>1.88973768</v>
      </c>
      <c r="G31" s="18" t="n">
        <v>46.0318722</v>
      </c>
      <c r="H31" s="20" t="n">
        <v>1.91434759</v>
      </c>
      <c r="I31" s="18" t="s">
        <v>567</v>
      </c>
      <c r="J31" s="20" t="s">
        <v>567</v>
      </c>
      <c r="K31" s="18" t="n">
        <v>0.65096352</v>
      </c>
      <c r="L31" s="20" t="n">
        <v>0.31498205</v>
      </c>
      <c r="M31" s="18" t="n">
        <v>0</v>
      </c>
      <c r="N31" s="20" t="n">
        <v>0</v>
      </c>
      <c r="O31" s="18" t="n">
        <v>0</v>
      </c>
      <c r="P31" s="20" t="n">
        <v>0</v>
      </c>
      <c r="Q31" s="18" t="n">
        <v>0.76442307</v>
      </c>
      <c r="R31" s="20" t="n">
        <v>0.33225351</v>
      </c>
    </row>
    <row r="32" spans="1:18">
      <c r="A32" s="15" t="s">
        <v>592</v>
      </c>
      <c r="B32" s="17" t="n">
        <v>2269</v>
      </c>
      <c r="C32" s="18">
        <f>(1780.0/B32*100)</f>
        <v/>
      </c>
      <c r="D32" s="19" t="n">
        <v>489</v>
      </c>
      <c r="E32" s="18" t="n">
        <v>51.12169097</v>
      </c>
      <c r="F32" s="20" t="n">
        <v>2.06290414</v>
      </c>
      <c r="G32" s="18" t="n">
        <v>48.02228953</v>
      </c>
      <c r="H32" s="20" t="n">
        <v>2.05382169</v>
      </c>
      <c r="I32" s="18" t="s">
        <v>567</v>
      </c>
      <c r="J32" s="20" t="s">
        <v>567</v>
      </c>
      <c r="K32" s="18" t="n">
        <v>0.25102201</v>
      </c>
      <c r="L32" s="20" t="n">
        <v>0.25958597</v>
      </c>
      <c r="M32" s="18" t="n">
        <v>0</v>
      </c>
      <c r="N32" s="20" t="n">
        <v>0</v>
      </c>
      <c r="O32" s="18" t="n">
        <v>0</v>
      </c>
      <c r="P32" s="20" t="n">
        <v>0</v>
      </c>
      <c r="Q32" s="18" t="n">
        <v>0.60499749</v>
      </c>
      <c r="R32" s="20" t="n">
        <v>0.34147744</v>
      </c>
    </row>
    <row r="33" spans="1:18">
      <c r="A33" s="15" t="s">
        <v>593</v>
      </c>
      <c r="B33" s="17" t="n">
        <v>3674</v>
      </c>
      <c r="C33" s="18">
        <f>(2873.0/B33*100)</f>
        <v/>
      </c>
      <c r="D33" s="19" t="n">
        <v>801</v>
      </c>
      <c r="E33" s="18" t="n">
        <v>54.30603186</v>
      </c>
      <c r="F33" s="20" t="n">
        <v>1.85186358</v>
      </c>
      <c r="G33" s="18" t="n">
        <v>44.92023299</v>
      </c>
      <c r="H33" s="20" t="n">
        <v>1.80396503</v>
      </c>
      <c r="I33" s="18" t="s">
        <v>567</v>
      </c>
      <c r="J33" s="20" t="s">
        <v>567</v>
      </c>
      <c r="K33" s="18" t="n">
        <v>0.74841307</v>
      </c>
      <c r="L33" s="20" t="n">
        <v>0.38681754</v>
      </c>
      <c r="M33" s="18" t="n">
        <v>0</v>
      </c>
      <c r="N33" s="20" t="n">
        <v>0</v>
      </c>
      <c r="O33" s="18" t="n">
        <v>0</v>
      </c>
      <c r="P33" s="20" t="n">
        <v>0</v>
      </c>
      <c r="Q33" s="18" t="n">
        <v>0.02532208</v>
      </c>
      <c r="R33" s="20" t="n">
        <v>0.01593336</v>
      </c>
    </row>
    <row r="34" spans="1:18">
      <c r="A34" s="15" t="s">
        <v>594</v>
      </c>
      <c r="B34" s="17" t="n">
        <v>3315</v>
      </c>
      <c r="C34" s="18">
        <f>(2622.0/B34*100)</f>
        <v/>
      </c>
      <c r="D34" s="19" t="n">
        <v>693</v>
      </c>
      <c r="E34" s="18" t="n">
        <v>54.67430569</v>
      </c>
      <c r="F34" s="20" t="n">
        <v>1.89235574</v>
      </c>
      <c r="G34" s="18" t="n">
        <v>44.4248766</v>
      </c>
      <c r="H34" s="20" t="n">
        <v>1.89210615</v>
      </c>
      <c r="I34" s="18" t="s">
        <v>567</v>
      </c>
      <c r="J34" s="20" t="s">
        <v>567</v>
      </c>
      <c r="K34" s="18" t="n">
        <v>0.35473293</v>
      </c>
      <c r="L34" s="20" t="n">
        <v>0.20612245</v>
      </c>
      <c r="M34" s="18" t="n">
        <v>0</v>
      </c>
      <c r="N34" s="20" t="n">
        <v>0</v>
      </c>
      <c r="O34" s="18" t="n">
        <v>0</v>
      </c>
      <c r="P34" s="20" t="n">
        <v>0</v>
      </c>
      <c r="Q34" s="18" t="n">
        <v>0.54608478</v>
      </c>
      <c r="R34" s="20" t="n">
        <v>0.35974939</v>
      </c>
    </row>
    <row r="35" spans="1:18">
      <c r="A35" s="15" t="s">
        <v>595</v>
      </c>
      <c r="B35" s="17" t="n">
        <v>3505</v>
      </c>
      <c r="C35" s="18">
        <f>(2782.0/B35*100)</f>
        <v/>
      </c>
      <c r="D35" s="19" t="n">
        <v>723</v>
      </c>
      <c r="E35" s="18" t="n">
        <v>40.30170693</v>
      </c>
      <c r="F35" s="20" t="n">
        <v>2.29659919</v>
      </c>
      <c r="G35" s="18" t="n">
        <v>58.2267109</v>
      </c>
      <c r="H35" s="20" t="n">
        <v>2.2250659</v>
      </c>
      <c r="I35" s="18" t="s">
        <v>567</v>
      </c>
      <c r="J35" s="20" t="s">
        <v>567</v>
      </c>
      <c r="K35" s="18" t="n">
        <v>1.19841961</v>
      </c>
      <c r="L35" s="20" t="n">
        <v>0.80523901</v>
      </c>
      <c r="M35" s="18" t="n">
        <v>0</v>
      </c>
      <c r="N35" s="20" t="n">
        <v>0</v>
      </c>
      <c r="O35" s="18" t="n">
        <v>0</v>
      </c>
      <c r="P35" s="20" t="n">
        <v>0</v>
      </c>
      <c r="Q35" s="18" t="n">
        <v>0.27316256</v>
      </c>
      <c r="R35" s="20" t="n">
        <v>0.1408811</v>
      </c>
    </row>
    <row r="36" spans="1:18">
      <c r="A36" s="15" t="s">
        <v>596</v>
      </c>
      <c r="B36" s="17" t="n">
        <v>3332</v>
      </c>
      <c r="C36" s="18">
        <f>(2619.0/B36*100)</f>
        <v/>
      </c>
      <c r="D36" s="19" t="n">
        <v>713</v>
      </c>
      <c r="E36" s="18" t="n">
        <v>56.57981298</v>
      </c>
      <c r="F36" s="20" t="n">
        <v>2.1362867</v>
      </c>
      <c r="G36" s="18" t="n">
        <v>42.3836607</v>
      </c>
      <c r="H36" s="20" t="n">
        <v>2.08691309</v>
      </c>
      <c r="I36" s="18" t="s">
        <v>567</v>
      </c>
      <c r="J36" s="20" t="s">
        <v>567</v>
      </c>
      <c r="K36" s="18" t="n">
        <v>1.03652632</v>
      </c>
      <c r="L36" s="20" t="n">
        <v>0.43629048</v>
      </c>
      <c r="M36" s="18" t="n">
        <v>0</v>
      </c>
      <c r="N36" s="20" t="n">
        <v>0</v>
      </c>
      <c r="O36" s="18" t="n">
        <v>0</v>
      </c>
      <c r="P36" s="20" t="n">
        <v>0</v>
      </c>
      <c r="Q36" s="18" t="n">
        <v>0</v>
      </c>
      <c r="R36" s="20" t="n">
        <v>0</v>
      </c>
    </row>
    <row r="37" spans="1:18">
      <c r="A37" s="15" t="s">
        <v>597</v>
      </c>
      <c r="B37" s="17" t="n">
        <v>2727</v>
      </c>
      <c r="C37" s="18">
        <f>(2145.0/B37*100)</f>
        <v/>
      </c>
      <c r="D37" s="19" t="n">
        <v>582</v>
      </c>
      <c r="E37" s="18" t="n">
        <v>58.48423319</v>
      </c>
      <c r="F37" s="20" t="n">
        <v>2.29962017</v>
      </c>
      <c r="G37" s="18" t="n">
        <v>39.16260542</v>
      </c>
      <c r="H37" s="20" t="n">
        <v>2.31256273</v>
      </c>
      <c r="I37" s="18" t="s">
        <v>567</v>
      </c>
      <c r="J37" s="20" t="s">
        <v>567</v>
      </c>
      <c r="K37" s="18" t="n">
        <v>1.00171862</v>
      </c>
      <c r="L37" s="20" t="n">
        <v>0.44853316</v>
      </c>
      <c r="M37" s="18" t="n">
        <v>0</v>
      </c>
      <c r="N37" s="20" t="n">
        <v>0</v>
      </c>
      <c r="O37" s="18" t="n">
        <v>0</v>
      </c>
      <c r="P37" s="20" t="n">
        <v>0</v>
      </c>
      <c r="Q37" s="18" t="n">
        <v>1.35144277</v>
      </c>
      <c r="R37" s="20" t="n">
        <v>0.57094764</v>
      </c>
    </row>
    <row r="38" spans="1:18">
      <c r="A38" s="15" t="s">
        <v>598</v>
      </c>
      <c r="B38" s="17" t="n">
        <v>3053</v>
      </c>
      <c r="C38" s="18">
        <f>(2402.0/B38*100)</f>
        <v/>
      </c>
      <c r="D38" s="19" t="n">
        <v>651</v>
      </c>
      <c r="E38" s="18" t="n">
        <v>50.13886169</v>
      </c>
      <c r="F38" s="20" t="n">
        <v>1.96903931</v>
      </c>
      <c r="G38" s="18" t="n">
        <v>47.53343931</v>
      </c>
      <c r="H38" s="20" t="n">
        <v>2.07252002</v>
      </c>
      <c r="I38" s="18" t="s">
        <v>567</v>
      </c>
      <c r="J38" s="20" t="s">
        <v>567</v>
      </c>
      <c r="K38" s="18" t="n">
        <v>0.26135771</v>
      </c>
      <c r="L38" s="20" t="n">
        <v>0.22792207</v>
      </c>
      <c r="M38" s="18" t="n">
        <v>0</v>
      </c>
      <c r="N38" s="20" t="n">
        <v>0</v>
      </c>
      <c r="O38" s="18" t="n">
        <v>0</v>
      </c>
      <c r="P38" s="20" t="n">
        <v>0</v>
      </c>
      <c r="Q38" s="18" t="n">
        <v>2.06634129</v>
      </c>
      <c r="R38" s="20" t="n">
        <v>0.62136024</v>
      </c>
    </row>
    <row r="39" spans="1:18">
      <c r="A39" s="15" t="s">
        <v>599</v>
      </c>
      <c r="B39" s="17" t="n">
        <v>2957</v>
      </c>
      <c r="C39" s="18">
        <f>(2305.0/B39*100)</f>
        <v/>
      </c>
      <c r="D39" s="19" t="n">
        <v>652</v>
      </c>
      <c r="E39" s="18" t="n">
        <v>57.75693861</v>
      </c>
      <c r="F39" s="20" t="n">
        <v>2.76456804</v>
      </c>
      <c r="G39" s="18" t="n">
        <v>41.36541454</v>
      </c>
      <c r="H39" s="20" t="n">
        <v>2.75286926</v>
      </c>
      <c r="I39" s="18" t="s">
        <v>567</v>
      </c>
      <c r="J39" s="20" t="s">
        <v>567</v>
      </c>
      <c r="K39" s="18" t="n">
        <v>0.42223282</v>
      </c>
      <c r="L39" s="20" t="n">
        <v>0.26422269</v>
      </c>
      <c r="M39" s="18" t="n">
        <v>0</v>
      </c>
      <c r="N39" s="20" t="n">
        <v>0</v>
      </c>
      <c r="O39" s="18" t="n">
        <v>0</v>
      </c>
      <c r="P39" s="20" t="n">
        <v>0</v>
      </c>
      <c r="Q39" s="18" t="n">
        <v>0.45541404</v>
      </c>
      <c r="R39" s="20" t="n">
        <v>0.24860296</v>
      </c>
    </row>
    <row r="40" spans="1:18">
      <c r="A40" s="15" t="s">
        <v>600</v>
      </c>
      <c r="B40" s="17" t="n">
        <v>7235</v>
      </c>
      <c r="C40" s="18">
        <f>(5618.0/B40*100)</f>
        <v/>
      </c>
      <c r="D40" s="19" t="n">
        <v>1617</v>
      </c>
      <c r="E40" s="18" t="n">
        <v>59.78011671</v>
      </c>
      <c r="F40" s="20" t="n">
        <v>2.04770335</v>
      </c>
      <c r="G40" s="18" t="n">
        <v>38.56118907</v>
      </c>
      <c r="H40" s="20" t="n">
        <v>2.10442881</v>
      </c>
      <c r="I40" s="18" t="s">
        <v>567</v>
      </c>
      <c r="J40" s="20" t="s">
        <v>567</v>
      </c>
      <c r="K40" s="18" t="n">
        <v>0.9409830300000001</v>
      </c>
      <c r="L40" s="20" t="n">
        <v>0.41865424</v>
      </c>
      <c r="M40" s="18" t="n">
        <v>0</v>
      </c>
      <c r="N40" s="20" t="n">
        <v>0</v>
      </c>
      <c r="O40" s="18" t="n">
        <v>0</v>
      </c>
      <c r="P40" s="20" t="n">
        <v>0</v>
      </c>
      <c r="Q40" s="18" t="n">
        <v>0.7177111900000001</v>
      </c>
      <c r="R40" s="20" t="n">
        <v>0.34278119</v>
      </c>
    </row>
    <row r="41" spans="1:18">
      <c r="A41" s="15" t="s">
        <v>601</v>
      </c>
      <c r="B41" s="17" t="n">
        <v>2858</v>
      </c>
      <c r="C41" s="18">
        <f>(2223.0/B41*100)</f>
        <v/>
      </c>
      <c r="D41" s="19" t="n">
        <v>635</v>
      </c>
      <c r="E41" s="18" t="n">
        <v>57.56153069</v>
      </c>
      <c r="F41" s="20" t="n">
        <v>2.46633327</v>
      </c>
      <c r="G41" s="18" t="n">
        <v>41.61167277</v>
      </c>
      <c r="H41" s="20" t="n">
        <v>2.48304078</v>
      </c>
      <c r="I41" s="18" t="s">
        <v>567</v>
      </c>
      <c r="J41" s="20" t="s">
        <v>567</v>
      </c>
      <c r="K41" s="18" t="n">
        <v>0.16455296</v>
      </c>
      <c r="L41" s="20" t="n">
        <v>0.15774354</v>
      </c>
      <c r="M41" s="18" t="n">
        <v>0</v>
      </c>
      <c r="N41" s="20" t="n">
        <v>0</v>
      </c>
      <c r="O41" s="18" t="n">
        <v>0</v>
      </c>
      <c r="P41" s="20" t="n">
        <v>0</v>
      </c>
      <c r="Q41" s="18" t="n">
        <v>0.6622435800000001</v>
      </c>
      <c r="R41" s="20" t="n">
        <v>0.3409036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(9210.0/B46*100)</f>
        <v/>
      </c>
      <c r="D46" s="19" t="n">
        <v>1858</v>
      </c>
      <c r="E46" s="18" t="n">
        <v>74.05929933</v>
      </c>
      <c r="F46" s="20" t="n">
        <v>1.31465345</v>
      </c>
      <c r="G46" s="18" t="n">
        <v>22.52691915</v>
      </c>
      <c r="H46" s="20" t="n">
        <v>1.24310139</v>
      </c>
      <c r="I46" s="18" t="s">
        <v>567</v>
      </c>
      <c r="J46" s="20" t="s">
        <v>567</v>
      </c>
      <c r="K46" s="18" t="n">
        <v>1.79687748</v>
      </c>
      <c r="L46" s="20" t="n">
        <v>0.48663976</v>
      </c>
      <c r="M46" s="18" t="n">
        <v>0</v>
      </c>
      <c r="N46" s="20" t="n">
        <v>0</v>
      </c>
      <c r="O46" s="18" t="n">
        <v>0</v>
      </c>
      <c r="P46" s="20" t="n">
        <v>0</v>
      </c>
      <c r="Q46" s="18" t="n">
        <v>1.61690404</v>
      </c>
      <c r="R46" s="20" t="n">
        <v>0.34762608</v>
      </c>
    </row>
    <row r="47" spans="1:18">
      <c r="A47" s="15" t="s">
        <v>607</v>
      </c>
      <c r="B47" s="17" t="n">
        <v>3105</v>
      </c>
      <c r="C47" s="18">
        <f>(2440.0/B47*100)</f>
        <v/>
      </c>
      <c r="D47" s="19" t="n">
        <v>665</v>
      </c>
      <c r="E47" s="18" t="n">
        <v>58.41444122</v>
      </c>
      <c r="F47" s="20" t="n">
        <v>2.02177348</v>
      </c>
      <c r="G47" s="18" t="n">
        <v>40.14148698</v>
      </c>
      <c r="H47" s="20" t="n">
        <v>2.09981927</v>
      </c>
      <c r="I47" s="18" t="s">
        <v>567</v>
      </c>
      <c r="J47" s="20" t="s">
        <v>567</v>
      </c>
      <c r="K47" s="18" t="n">
        <v>0.14957203</v>
      </c>
      <c r="L47" s="20" t="n">
        <v>0.15097424</v>
      </c>
      <c r="M47" s="18" t="n">
        <v>0</v>
      </c>
      <c r="N47" s="20" t="n">
        <v>0</v>
      </c>
      <c r="O47" s="18" t="n">
        <v>0</v>
      </c>
      <c r="P47" s="20" t="n">
        <v>0</v>
      </c>
      <c r="Q47" s="18" t="n">
        <v>1.29449976</v>
      </c>
      <c r="R47" s="20" t="n">
        <v>0.43379994</v>
      </c>
    </row>
    <row r="48" spans="1:18">
      <c r="A48" s="15" t="s">
        <v>608</v>
      </c>
      <c r="B48" s="17" t="n">
        <v>5159</v>
      </c>
      <c r="C48" s="18">
        <f>(4031.0/B48*100)</f>
        <v/>
      </c>
      <c r="D48" s="19" t="n">
        <v>1128</v>
      </c>
      <c r="E48" s="18" t="n">
        <v>53.54106024</v>
      </c>
      <c r="F48" s="20" t="n">
        <v>2.24619512</v>
      </c>
      <c r="G48" s="18" t="n">
        <v>45.49804681</v>
      </c>
      <c r="H48" s="20" t="n">
        <v>2.27423244</v>
      </c>
      <c r="I48" s="18" t="s">
        <v>567</v>
      </c>
      <c r="J48" s="20" t="s">
        <v>567</v>
      </c>
      <c r="K48" s="18" t="n">
        <v>0.64233091</v>
      </c>
      <c r="L48" s="20" t="n">
        <v>0.46240395</v>
      </c>
      <c r="M48" s="18" t="n">
        <v>0</v>
      </c>
      <c r="N48" s="20" t="n">
        <v>0</v>
      </c>
      <c r="O48" s="18" t="n">
        <v>0</v>
      </c>
      <c r="P48" s="20" t="n">
        <v>0</v>
      </c>
      <c r="Q48" s="18" t="n">
        <v>0.31856203</v>
      </c>
      <c r="R48" s="20" t="n">
        <v>0.15282789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(4421.0/B50*100)</f>
        <v/>
      </c>
      <c r="D50" s="19" t="n">
        <v>1216</v>
      </c>
      <c r="E50" s="18" t="n">
        <v>82.43437689</v>
      </c>
      <c r="F50" s="20" t="n">
        <v>1.4699968</v>
      </c>
      <c r="G50" s="18" t="n">
        <v>14.84712231</v>
      </c>
      <c r="H50" s="20" t="n">
        <v>1.38303243</v>
      </c>
      <c r="I50" s="18" t="s">
        <v>567</v>
      </c>
      <c r="J50" s="20" t="s">
        <v>567</v>
      </c>
      <c r="K50" s="18" t="n">
        <v>1.91886804</v>
      </c>
      <c r="L50" s="20" t="n">
        <v>0.51029039</v>
      </c>
      <c r="M50" s="18" t="n">
        <v>0</v>
      </c>
      <c r="N50" s="20" t="n">
        <v>0</v>
      </c>
      <c r="O50" s="18" t="n">
        <v>0</v>
      </c>
      <c r="P50" s="20" t="n">
        <v>0</v>
      </c>
      <c r="Q50" s="18" t="n">
        <v>0.79963275</v>
      </c>
      <c r="R50" s="20" t="n">
        <v>0.32231951</v>
      </c>
    </row>
    <row r="51" spans="1:18">
      <c r="A51" s="15" t="s">
        <v>611</v>
      </c>
      <c r="B51" s="17" t="n">
        <v>3372</v>
      </c>
      <c r="C51" s="18">
        <f>(2735.0/B51*100)</f>
        <v/>
      </c>
      <c r="D51" s="19" t="n">
        <v>637</v>
      </c>
      <c r="E51" s="18" t="n">
        <v>80.33303033</v>
      </c>
      <c r="F51" s="20" t="n">
        <v>1.79507708</v>
      </c>
      <c r="G51" s="18" t="n">
        <v>17.73104847</v>
      </c>
      <c r="H51" s="20" t="n">
        <v>1.7550368</v>
      </c>
      <c r="I51" s="18" t="s">
        <v>567</v>
      </c>
      <c r="J51" s="20" t="s">
        <v>567</v>
      </c>
      <c r="K51" s="18" t="n">
        <v>1.29434883</v>
      </c>
      <c r="L51" s="20" t="n">
        <v>0.55026149</v>
      </c>
      <c r="M51" s="18" t="n">
        <v>0</v>
      </c>
      <c r="N51" s="20" t="n">
        <v>0</v>
      </c>
      <c r="O51" s="18" t="n">
        <v>0</v>
      </c>
      <c r="P51" s="20" t="n">
        <v>0</v>
      </c>
      <c r="Q51" s="18" t="n">
        <v>0.64157237</v>
      </c>
      <c r="R51" s="20" t="n">
        <v>0.30970521</v>
      </c>
    </row>
    <row r="52" spans="1:18">
      <c r="A52" s="15" t="s">
        <v>612</v>
      </c>
      <c r="B52" s="17" t="n">
        <v>2796</v>
      </c>
      <c r="C52" s="18">
        <f>(2161.0/B52*100)</f>
        <v/>
      </c>
      <c r="D52" s="19" t="n">
        <v>635</v>
      </c>
      <c r="E52" s="18" t="n">
        <v>56.01694375</v>
      </c>
      <c r="F52" s="20" t="n">
        <v>1.96577648</v>
      </c>
      <c r="G52" s="18" t="n">
        <v>42.85311519</v>
      </c>
      <c r="H52" s="20" t="n">
        <v>2.12380323</v>
      </c>
      <c r="I52" s="18" t="s">
        <v>567</v>
      </c>
      <c r="J52" s="20" t="s">
        <v>567</v>
      </c>
      <c r="K52" s="18" t="n">
        <v>0.26025154</v>
      </c>
      <c r="L52" s="20" t="n">
        <v>0.18846846</v>
      </c>
      <c r="M52" s="18" t="n">
        <v>0</v>
      </c>
      <c r="N52" s="20" t="n">
        <v>0</v>
      </c>
      <c r="O52" s="18" t="n">
        <v>0</v>
      </c>
      <c r="P52" s="20" t="n">
        <v>0</v>
      </c>
      <c r="Q52" s="18" t="n">
        <v>0.86968952</v>
      </c>
      <c r="R52" s="20" t="n">
        <v>0.5296627</v>
      </c>
    </row>
    <row r="53" spans="1:18">
      <c r="A53" s="15" t="s">
        <v>613</v>
      </c>
      <c r="B53" s="17" t="n">
        <v>2811</v>
      </c>
      <c r="C53" s="18">
        <f>(2175.0/B53*100)</f>
        <v/>
      </c>
      <c r="D53" s="19" t="n">
        <v>636</v>
      </c>
      <c r="E53" s="18" t="n">
        <v>71.10079433999999</v>
      </c>
      <c r="F53" s="20" t="n">
        <v>1.66199918</v>
      </c>
      <c r="G53" s="18" t="n">
        <v>26.76081789</v>
      </c>
      <c r="H53" s="20" t="n">
        <v>1.61391261</v>
      </c>
      <c r="I53" s="18" t="s">
        <v>567</v>
      </c>
      <c r="J53" s="20" t="s">
        <v>567</v>
      </c>
      <c r="K53" s="18" t="n">
        <v>0.78477474</v>
      </c>
      <c r="L53" s="20" t="n">
        <v>0.32923424</v>
      </c>
      <c r="M53" s="18" t="n">
        <v>0</v>
      </c>
      <c r="N53" s="20" t="n">
        <v>0</v>
      </c>
      <c r="O53" s="18" t="n">
        <v>0</v>
      </c>
      <c r="P53" s="20" t="n">
        <v>0</v>
      </c>
      <c r="Q53" s="18" t="n">
        <v>1.35361303</v>
      </c>
      <c r="R53" s="20" t="n">
        <v>0.40535819</v>
      </c>
    </row>
    <row r="54" spans="1:18">
      <c r="A54" s="15" t="s">
        <v>614</v>
      </c>
      <c r="B54" s="17" t="n">
        <v>2266</v>
      </c>
      <c r="C54" s="18">
        <f>(1784.0/B54*100)</f>
        <v/>
      </c>
      <c r="D54" s="19" t="n">
        <v>482</v>
      </c>
      <c r="E54" s="18" t="n">
        <v>72.52642038</v>
      </c>
      <c r="F54" s="20" t="n">
        <v>2.29675827</v>
      </c>
      <c r="G54" s="18" t="n">
        <v>5.68230698</v>
      </c>
      <c r="H54" s="20" t="n">
        <v>1.01857236</v>
      </c>
      <c r="I54" s="18" t="s">
        <v>567</v>
      </c>
      <c r="J54" s="20" t="s">
        <v>567</v>
      </c>
      <c r="K54" s="18" t="n">
        <v>19.36210039</v>
      </c>
      <c r="L54" s="20" t="n">
        <v>2.3283143</v>
      </c>
      <c r="M54" s="18" t="n">
        <v>0</v>
      </c>
      <c r="N54" s="20" t="n">
        <v>0</v>
      </c>
      <c r="O54" s="18" t="n">
        <v>0</v>
      </c>
      <c r="P54" s="20" t="n">
        <v>0</v>
      </c>
      <c r="Q54" s="18" t="n">
        <v>2.42917224</v>
      </c>
      <c r="R54" s="20" t="n">
        <v>0.79366556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(2097.0/B56*100)</f>
        <v/>
      </c>
      <c r="D56" s="19" t="n">
        <v>587</v>
      </c>
      <c r="E56" s="18" t="n">
        <v>49.07639664</v>
      </c>
      <c r="F56" s="20" t="n">
        <v>2.32010879</v>
      </c>
      <c r="G56" s="18" t="n">
        <v>50.63686153</v>
      </c>
      <c r="H56" s="20" t="n">
        <v>2.30333136</v>
      </c>
      <c r="I56" s="18" t="s">
        <v>567</v>
      </c>
      <c r="J56" s="20" t="s">
        <v>567</v>
      </c>
      <c r="K56" s="18" t="n">
        <v>0.28674183</v>
      </c>
      <c r="L56" s="20" t="n">
        <v>0.19374643</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(2563.0/B61*100)</f>
        <v/>
      </c>
      <c r="D61" s="19" t="n">
        <v>761</v>
      </c>
      <c r="E61" s="18" t="n">
        <v>48.45484784</v>
      </c>
      <c r="F61" s="20" t="n">
        <v>2.19657118</v>
      </c>
      <c r="G61" s="18" t="n">
        <v>50.40341259</v>
      </c>
      <c r="H61" s="20" t="n">
        <v>2.24267463</v>
      </c>
      <c r="I61" s="18" t="s">
        <v>567</v>
      </c>
      <c r="J61" s="20" t="s">
        <v>567</v>
      </c>
      <c r="K61" s="18" t="n">
        <v>0.48432544</v>
      </c>
      <c r="L61" s="20" t="n">
        <v>0.24461372</v>
      </c>
      <c r="M61" s="18" t="n">
        <v>0</v>
      </c>
      <c r="N61" s="20" t="n">
        <v>0</v>
      </c>
      <c r="O61" s="18" t="n">
        <v>0</v>
      </c>
      <c r="P61" s="20" t="n">
        <v>0</v>
      </c>
      <c r="Q61" s="18" t="n">
        <v>0.65741413</v>
      </c>
      <c r="R61" s="20" t="n">
        <v>0.38533815</v>
      </c>
    </row>
    <row r="62" spans="1:18">
      <c r="A62" s="15" t="s">
        <v>622</v>
      </c>
      <c r="B62" s="17" t="n">
        <v>2246</v>
      </c>
      <c r="C62" s="18">
        <f>(1781.0/B62*100)</f>
        <v/>
      </c>
      <c r="D62" s="19" t="n">
        <v>465</v>
      </c>
      <c r="E62" s="18" t="n">
        <v>55.10309938</v>
      </c>
      <c r="F62" s="20" t="n">
        <v>2.11602163</v>
      </c>
      <c r="G62" s="18" t="n">
        <v>44.89690062</v>
      </c>
      <c r="H62" s="20" t="n">
        <v>2.11602163</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(2281.0/B66*100)</f>
        <v/>
      </c>
      <c r="D66" s="19" t="n">
        <v>613</v>
      </c>
      <c r="E66" s="18" t="n">
        <v>71.60383539</v>
      </c>
      <c r="F66" s="20" t="n">
        <v>1.68314128</v>
      </c>
      <c r="G66" s="18" t="n">
        <v>23.08731566</v>
      </c>
      <c r="H66" s="20" t="n">
        <v>1.66014373</v>
      </c>
      <c r="I66" s="18" t="s">
        <v>567</v>
      </c>
      <c r="J66" s="20" t="s">
        <v>567</v>
      </c>
      <c r="K66" s="18" t="n">
        <v>1.81683931</v>
      </c>
      <c r="L66" s="20" t="n">
        <v>0.61460339</v>
      </c>
      <c r="M66" s="18" t="n">
        <v>0</v>
      </c>
      <c r="N66" s="20" t="n">
        <v>0</v>
      </c>
      <c r="O66" s="18" t="n">
        <v>0</v>
      </c>
      <c r="P66" s="20" t="n">
        <v>0</v>
      </c>
      <c r="Q66" s="18" t="n">
        <v>3.49200965</v>
      </c>
      <c r="R66" s="20" t="n">
        <v>0.67986856</v>
      </c>
    </row>
    <row r="67" spans="1:18">
      <c r="A67" s="15" t="s">
        <v>627</v>
      </c>
      <c r="B67" s="17" t="n">
        <v>3511</v>
      </c>
      <c r="C67" s="18">
        <f>(2838.0/B67*100)</f>
        <v/>
      </c>
      <c r="D67" s="19" t="n">
        <v>673</v>
      </c>
      <c r="E67" s="18" t="n">
        <v>86.04026985</v>
      </c>
      <c r="F67" s="20" t="n">
        <v>1.520118</v>
      </c>
      <c r="G67" s="18" t="n">
        <v>13.40500556</v>
      </c>
      <c r="H67" s="20" t="n">
        <v>1.50609363</v>
      </c>
      <c r="I67" s="18" t="s">
        <v>567</v>
      </c>
      <c r="J67" s="20" t="s">
        <v>567</v>
      </c>
      <c r="K67" s="18" t="n">
        <v>0</v>
      </c>
      <c r="L67" s="20" t="n">
        <v>0</v>
      </c>
      <c r="M67" s="18" t="n">
        <v>0</v>
      </c>
      <c r="N67" s="20" t="n">
        <v>0</v>
      </c>
      <c r="O67" s="18" t="n">
        <v>0</v>
      </c>
      <c r="P67" s="20" t="n">
        <v>0</v>
      </c>
      <c r="Q67" s="18" t="n">
        <v>0.55472459</v>
      </c>
      <c r="R67" s="20" t="n">
        <v>0.29132718</v>
      </c>
    </row>
    <row r="68" spans="1:18">
      <c r="A68" s="15" t="s">
        <v>628</v>
      </c>
      <c r="B68" s="17" t="n">
        <v>6049</v>
      </c>
      <c r="C68" s="18">
        <f>(4735.0/B68*100)</f>
        <v/>
      </c>
      <c r="D68" s="19" t="n">
        <v>1314</v>
      </c>
      <c r="E68" s="18" t="n">
        <v>65.08957728</v>
      </c>
      <c r="F68" s="20" t="n">
        <v>1.4297454</v>
      </c>
      <c r="G68" s="18" t="n">
        <v>29.67014615</v>
      </c>
      <c r="H68" s="20" t="n">
        <v>1.33568675</v>
      </c>
      <c r="I68" s="18" t="s">
        <v>567</v>
      </c>
      <c r="J68" s="20" t="s">
        <v>567</v>
      </c>
      <c r="K68" s="18" t="n">
        <v>3.48422977</v>
      </c>
      <c r="L68" s="20" t="n">
        <v>0.53942789</v>
      </c>
      <c r="M68" s="18" t="n">
        <v>0</v>
      </c>
      <c r="N68" s="20" t="n">
        <v>0</v>
      </c>
      <c r="O68" s="18" t="n">
        <v>0</v>
      </c>
      <c r="P68" s="20" t="n">
        <v>0</v>
      </c>
      <c r="Q68" s="18" t="n">
        <v>1.7560468</v>
      </c>
      <c r="R68" s="20" t="n">
        <v>0.33490885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(2295.0/B70*100)</f>
        <v/>
      </c>
      <c r="D70" s="19" t="n">
        <v>634</v>
      </c>
      <c r="E70" s="18" t="n">
        <v>45.72533166</v>
      </c>
      <c r="F70" s="20" t="n">
        <v>2.02447585</v>
      </c>
      <c r="G70" s="18" t="n">
        <v>53.8103669</v>
      </c>
      <c r="H70" s="20" t="n">
        <v>2.04468795</v>
      </c>
      <c r="I70" s="18" t="s">
        <v>567</v>
      </c>
      <c r="J70" s="20" t="s">
        <v>567</v>
      </c>
      <c r="K70" s="18" t="n">
        <v>0.26690267</v>
      </c>
      <c r="L70" s="20" t="n">
        <v>0.1486572</v>
      </c>
      <c r="M70" s="18" t="n">
        <v>0</v>
      </c>
      <c r="N70" s="20" t="n">
        <v>0</v>
      </c>
      <c r="O70" s="18" t="n">
        <v>0</v>
      </c>
      <c r="P70" s="20" t="n">
        <v>0</v>
      </c>
      <c r="Q70" s="18" t="n">
        <v>0.19739877</v>
      </c>
      <c r="R70" s="20" t="n">
        <v>0.19436463</v>
      </c>
    </row>
    <row r="71" spans="1:18">
      <c r="A71" s="15" t="s">
        <v>631</v>
      </c>
      <c r="B71" s="17" t="n">
        <v>3142</v>
      </c>
      <c r="C71" s="18">
        <f>(2442.0/B71*100)</f>
        <v/>
      </c>
      <c r="D71" s="19" t="n">
        <v>700</v>
      </c>
      <c r="E71" s="18" t="n">
        <v>42.54396214</v>
      </c>
      <c r="F71" s="20" t="n">
        <v>1.92393238</v>
      </c>
      <c r="G71" s="18" t="n">
        <v>57.06708327</v>
      </c>
      <c r="H71" s="20" t="n">
        <v>1.94353823</v>
      </c>
      <c r="I71" s="18" t="s">
        <v>567</v>
      </c>
      <c r="J71" s="20" t="s">
        <v>567</v>
      </c>
      <c r="K71" s="18" t="n">
        <v>0.309339</v>
      </c>
      <c r="L71" s="20" t="n">
        <v>0.18503914</v>
      </c>
      <c r="M71" s="18" t="n">
        <v>0</v>
      </c>
      <c r="N71" s="20" t="n">
        <v>0</v>
      </c>
      <c r="O71" s="18" t="n">
        <v>0</v>
      </c>
      <c r="P71" s="20" t="n">
        <v>0</v>
      </c>
      <c r="Q71" s="18" t="n">
        <v>0.07961558000000001</v>
      </c>
      <c r="R71" s="20" t="n">
        <v>0.07995481</v>
      </c>
    </row>
    <row r="72" spans="1:18">
      <c r="A72" s="15" t="s">
        <v>632</v>
      </c>
      <c r="B72" s="17" t="n">
        <v>3889</v>
      </c>
      <c r="C72" s="18">
        <f>(3019.0/B72*100)</f>
        <v/>
      </c>
      <c r="D72" s="19" t="n">
        <v>870</v>
      </c>
      <c r="E72" s="18" t="n">
        <v>38.21571475</v>
      </c>
      <c r="F72" s="20" t="n">
        <v>1.60917273</v>
      </c>
      <c r="G72" s="18" t="n">
        <v>61.22513151</v>
      </c>
      <c r="H72" s="20" t="n">
        <v>1.6019409</v>
      </c>
      <c r="I72" s="18" t="s">
        <v>567</v>
      </c>
      <c r="J72" s="20" t="s">
        <v>567</v>
      </c>
      <c r="K72" s="18" t="n">
        <v>0.39259198</v>
      </c>
      <c r="L72" s="20" t="n">
        <v>0.2319295</v>
      </c>
      <c r="M72" s="18" t="n">
        <v>0</v>
      </c>
      <c r="N72" s="20" t="n">
        <v>0</v>
      </c>
      <c r="O72" s="18" t="n">
        <v>0</v>
      </c>
      <c r="P72" s="20" t="n">
        <v>0</v>
      </c>
      <c r="Q72" s="18" t="n">
        <v>0.16656175</v>
      </c>
      <c r="R72" s="20" t="n">
        <v>0.11912027</v>
      </c>
    </row>
    <row r="73" spans="1:18">
      <c r="A73" s="15" t="s">
        <v>633</v>
      </c>
      <c r="B73" s="17" t="n">
        <v>3597</v>
      </c>
      <c r="C73" s="18">
        <f>(2851.0/B73*100)</f>
        <v/>
      </c>
      <c r="D73" s="19" t="n">
        <v>746</v>
      </c>
      <c r="E73" s="18" t="n">
        <v>77.90360570999999</v>
      </c>
      <c r="F73" s="20" t="n">
        <v>1.74361612</v>
      </c>
      <c r="G73" s="18" t="n">
        <v>21.44366818</v>
      </c>
      <c r="H73" s="20" t="n">
        <v>1.70026135</v>
      </c>
      <c r="I73" s="18" t="s">
        <v>567</v>
      </c>
      <c r="J73" s="20" t="s">
        <v>567</v>
      </c>
      <c r="K73" s="18" t="n">
        <v>0.19236226</v>
      </c>
      <c r="L73" s="20" t="n">
        <v>0.13189921</v>
      </c>
      <c r="M73" s="18" t="n">
        <v>0</v>
      </c>
      <c r="N73" s="20" t="n">
        <v>0</v>
      </c>
      <c r="O73" s="18" t="n">
        <v>0</v>
      </c>
      <c r="P73" s="20" t="n">
        <v>0</v>
      </c>
      <c r="Q73" s="18" t="n">
        <v>0.46036385</v>
      </c>
      <c r="R73" s="20" t="n">
        <v>0.32461041</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(1917.0/B75*100)</f>
        <v/>
      </c>
      <c r="D75" s="19" t="n">
        <v>489</v>
      </c>
      <c r="E75" s="18" t="n">
        <v>72.57237624</v>
      </c>
      <c r="F75" s="20" t="n">
        <v>2.04766316</v>
      </c>
      <c r="G75" s="18" t="n">
        <v>22.71170373</v>
      </c>
      <c r="H75" s="20" t="n">
        <v>1.86528562</v>
      </c>
      <c r="I75" s="18" t="s">
        <v>567</v>
      </c>
      <c r="J75" s="20" t="s">
        <v>567</v>
      </c>
      <c r="K75" s="18" t="n">
        <v>2.60213027</v>
      </c>
      <c r="L75" s="20" t="n">
        <v>0.77482151</v>
      </c>
      <c r="M75" s="18" t="n">
        <v>0</v>
      </c>
      <c r="N75" s="20" t="n">
        <v>0</v>
      </c>
      <c r="O75" s="18" t="n">
        <v>0</v>
      </c>
      <c r="P75" s="20" t="n">
        <v>0</v>
      </c>
      <c r="Q75" s="18" t="n">
        <v>2.11378975</v>
      </c>
      <c r="R75" s="20" t="n">
        <v>0.465658</v>
      </c>
    </row>
    <row r="76" spans="1:18">
      <c r="A76" s="15" t="s">
        <v>636</v>
      </c>
      <c r="B76" s="17" t="n">
        <v>7052</v>
      </c>
      <c r="C76" s="18">
        <f>(5501.0/B76*100)</f>
        <v/>
      </c>
      <c r="D76" s="19" t="n">
        <v>1551</v>
      </c>
      <c r="E76" s="18" t="n">
        <v>61.45195789</v>
      </c>
      <c r="F76" s="20" t="n">
        <v>1.63174965</v>
      </c>
      <c r="G76" s="18" t="n">
        <v>36.08641876</v>
      </c>
      <c r="H76" s="20" t="n">
        <v>1.60401709</v>
      </c>
      <c r="I76" s="18" t="s">
        <v>567</v>
      </c>
      <c r="J76" s="20" t="s">
        <v>567</v>
      </c>
      <c r="K76" s="18" t="n">
        <v>1.17070672</v>
      </c>
      <c r="L76" s="20" t="n">
        <v>0.30553476</v>
      </c>
      <c r="M76" s="18" t="n">
        <v>0</v>
      </c>
      <c r="N76" s="20" t="n">
        <v>0</v>
      </c>
      <c r="O76" s="18" t="n">
        <v>0</v>
      </c>
      <c r="P76" s="20" t="n">
        <v>0</v>
      </c>
      <c r="Q76" s="18" t="n">
        <v>1.29091663</v>
      </c>
      <c r="R76" s="20" t="n">
        <v>0.41063334</v>
      </c>
    </row>
    <row r="77" spans="1:18">
      <c r="A77" s="15" t="s">
        <v>637</v>
      </c>
      <c r="B77" s="17" t="n">
        <v>2908</v>
      </c>
      <c r="C77" s="18">
        <f>(2260.0/B77*100)</f>
        <v/>
      </c>
      <c r="D77" s="19" t="n">
        <v>648</v>
      </c>
      <c r="E77" s="18" t="n">
        <v>65.90404979</v>
      </c>
      <c r="F77" s="20" t="n">
        <v>2.43306045</v>
      </c>
      <c r="G77" s="18" t="n">
        <v>30.67982457</v>
      </c>
      <c r="H77" s="20" t="n">
        <v>2.34338109</v>
      </c>
      <c r="I77" s="18" t="s">
        <v>567</v>
      </c>
      <c r="J77" s="20" t="s">
        <v>567</v>
      </c>
      <c r="K77" s="18" t="n">
        <v>1.35226924</v>
      </c>
      <c r="L77" s="20" t="n">
        <v>0.39107954</v>
      </c>
      <c r="M77" s="18" t="n">
        <v>0</v>
      </c>
      <c r="N77" s="20" t="n">
        <v>0</v>
      </c>
      <c r="O77" s="18" t="n">
        <v>0</v>
      </c>
      <c r="P77" s="20" t="n">
        <v>0</v>
      </c>
      <c r="Q77" s="18" t="n">
        <v>2.0638564</v>
      </c>
      <c r="R77" s="20" t="n">
        <v>0.60330069</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(3235.0/B81*100)</f>
        <v/>
      </c>
      <c r="D81" s="19" t="n">
        <v>928</v>
      </c>
      <c r="E81" s="18" t="n">
        <v>58.1980002</v>
      </c>
      <c r="F81" s="20" t="n">
        <v>2.41303209</v>
      </c>
      <c r="G81" s="18" t="n">
        <v>40.88161955</v>
      </c>
      <c r="H81" s="20" t="n">
        <v>2.37287285</v>
      </c>
      <c r="I81" s="18" t="s">
        <v>567</v>
      </c>
      <c r="J81" s="20" t="s">
        <v>567</v>
      </c>
      <c r="K81" s="18" t="n">
        <v>0.53883823</v>
      </c>
      <c r="L81" s="20" t="n">
        <v>0.34059335</v>
      </c>
      <c r="M81" s="18" t="n">
        <v>0</v>
      </c>
      <c r="N81" s="20" t="n">
        <v>0</v>
      </c>
      <c r="O81" s="18" t="n">
        <v>0</v>
      </c>
      <c r="P81" s="20" t="n">
        <v>0</v>
      </c>
      <c r="Q81" s="18" t="n">
        <v>0.38154202</v>
      </c>
      <c r="R81" s="20" t="n">
        <v>0.34523464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(5778.0/B7*100)</f>
        <v/>
      </c>
      <c r="D7" s="19" t="n">
        <v>1589</v>
      </c>
      <c r="E7" s="18" t="n">
        <v>35.52959011</v>
      </c>
      <c r="F7" s="20" t="n">
        <v>1.40228053</v>
      </c>
      <c r="G7" s="18" t="n">
        <v>62.16300252</v>
      </c>
      <c r="H7" s="20" t="n">
        <v>1.33556409</v>
      </c>
      <c r="I7" s="18" t="s">
        <v>567</v>
      </c>
      <c r="J7" s="20" t="s">
        <v>567</v>
      </c>
      <c r="K7" s="18" t="n">
        <v>0.48745807</v>
      </c>
      <c r="L7" s="20" t="n">
        <v>0.15790997</v>
      </c>
      <c r="M7" s="18" t="n">
        <v>0.09535919</v>
      </c>
      <c r="N7" s="20" t="n">
        <v>0.08815785</v>
      </c>
      <c r="O7" s="18" t="n">
        <v>0</v>
      </c>
      <c r="P7" s="20" t="n">
        <v>0</v>
      </c>
      <c r="Q7" s="18" t="n">
        <v>1.72459011</v>
      </c>
      <c r="R7" s="20" t="n">
        <v>0.36052501</v>
      </c>
    </row>
    <row r="8" spans="1:18">
      <c r="A8" s="15" t="s">
        <v>568</v>
      </c>
      <c r="B8" s="17" t="n">
        <v>3564</v>
      </c>
      <c r="C8" s="18">
        <f>(2796.0/B8*100)</f>
        <v/>
      </c>
      <c r="D8" s="19" t="n">
        <v>768</v>
      </c>
      <c r="E8" s="18" t="n">
        <v>52.0839603</v>
      </c>
      <c r="F8" s="20" t="n">
        <v>2.10677275</v>
      </c>
      <c r="G8" s="18" t="n">
        <v>47.3110828</v>
      </c>
      <c r="H8" s="20" t="n">
        <v>2.08466514</v>
      </c>
      <c r="I8" s="18" t="s">
        <v>567</v>
      </c>
      <c r="J8" s="20" t="s">
        <v>567</v>
      </c>
      <c r="K8" s="18" t="n">
        <v>0.21749687</v>
      </c>
      <c r="L8" s="20" t="n">
        <v>0.21194308</v>
      </c>
      <c r="M8" s="18" t="n">
        <v>0</v>
      </c>
      <c r="N8" s="20" t="n">
        <v>0</v>
      </c>
      <c r="O8" s="18" t="n">
        <v>0</v>
      </c>
      <c r="P8" s="20" t="n">
        <v>0</v>
      </c>
      <c r="Q8" s="18" t="n">
        <v>0.38746003</v>
      </c>
      <c r="R8" s="20" t="n">
        <v>0.17837506</v>
      </c>
    </row>
    <row r="9" spans="1:18">
      <c r="A9" s="15" t="s">
        <v>569</v>
      </c>
      <c r="B9" s="17" t="n">
        <v>4899</v>
      </c>
      <c r="C9" s="18">
        <f>(3879.0/B9*100)</f>
        <v/>
      </c>
      <c r="D9" s="19" t="n">
        <v>1020</v>
      </c>
      <c r="E9" s="18" t="n">
        <v>38.41129646</v>
      </c>
      <c r="F9" s="20" t="n">
        <v>1.49707101</v>
      </c>
      <c r="G9" s="18" t="n">
        <v>58.84679574</v>
      </c>
      <c r="H9" s="20" t="n">
        <v>1.49272437</v>
      </c>
      <c r="I9" s="18" t="s">
        <v>567</v>
      </c>
      <c r="J9" s="20" t="s">
        <v>567</v>
      </c>
      <c r="K9" s="18" t="n">
        <v>0.317241</v>
      </c>
      <c r="L9" s="20" t="n">
        <v>0.15199903</v>
      </c>
      <c r="M9" s="18" t="n">
        <v>0.30892045</v>
      </c>
      <c r="N9" s="20" t="n">
        <v>0.18417546</v>
      </c>
      <c r="O9" s="18" t="n">
        <v>0</v>
      </c>
      <c r="P9" s="20" t="n">
        <v>0</v>
      </c>
      <c r="Q9" s="18" t="n">
        <v>2.11574634</v>
      </c>
      <c r="R9" s="20" t="n">
        <v>0.52527879</v>
      </c>
    </row>
    <row r="10" spans="1:18">
      <c r="A10" s="15" t="s">
        <v>570</v>
      </c>
      <c r="B10" s="17" t="n">
        <v>10036</v>
      </c>
      <c r="C10" s="18">
        <f>(7886.0/B10*100)</f>
        <v/>
      </c>
      <c r="D10" s="19" t="n">
        <v>2150</v>
      </c>
      <c r="E10" s="18" t="n">
        <v>38.35950002</v>
      </c>
      <c r="F10" s="20" t="n">
        <v>1.5214178</v>
      </c>
      <c r="G10" s="18" t="n">
        <v>60.25219518</v>
      </c>
      <c r="H10" s="20" t="n">
        <v>1.62143788</v>
      </c>
      <c r="I10" s="18" t="s">
        <v>567</v>
      </c>
      <c r="J10" s="20" t="s">
        <v>567</v>
      </c>
      <c r="K10" s="18" t="n">
        <v>0.23469799</v>
      </c>
      <c r="L10" s="20" t="n">
        <v>0.09641102</v>
      </c>
      <c r="M10" s="18" t="n">
        <v>0.04164155</v>
      </c>
      <c r="N10" s="20" t="n">
        <v>0.029371</v>
      </c>
      <c r="O10" s="18" t="n">
        <v>0</v>
      </c>
      <c r="P10" s="20" t="n">
        <v>0</v>
      </c>
      <c r="Q10" s="18" t="n">
        <v>1.11196526</v>
      </c>
      <c r="R10" s="20" t="n">
        <v>0.35079039</v>
      </c>
    </row>
    <row r="11" spans="1:18">
      <c r="A11" s="15" t="s">
        <v>571</v>
      </c>
      <c r="B11" s="17" t="n">
        <v>3553</v>
      </c>
      <c r="C11" s="18">
        <f>(2799.0/B11*100)</f>
        <v/>
      </c>
      <c r="D11" s="19" t="n">
        <v>754</v>
      </c>
      <c r="E11" s="18" t="n">
        <v>55.93821187</v>
      </c>
      <c r="F11" s="20" t="n">
        <v>2.08869388</v>
      </c>
      <c r="G11" s="18" t="n">
        <v>39.27328398</v>
      </c>
      <c r="H11" s="20" t="n">
        <v>2.20417523</v>
      </c>
      <c r="I11" s="18" t="s">
        <v>567</v>
      </c>
      <c r="J11" s="20" t="s">
        <v>567</v>
      </c>
      <c r="K11" s="18" t="n">
        <v>2.27091438</v>
      </c>
      <c r="L11" s="20" t="n">
        <v>0.59037907</v>
      </c>
      <c r="M11" s="18" t="n">
        <v>0</v>
      </c>
      <c r="N11" s="20" t="n">
        <v>0</v>
      </c>
      <c r="O11" s="18" t="n">
        <v>0</v>
      </c>
      <c r="P11" s="20" t="n">
        <v>0</v>
      </c>
      <c r="Q11" s="18" t="n">
        <v>2.51758977</v>
      </c>
      <c r="R11" s="20" t="n">
        <v>0.64859515</v>
      </c>
    </row>
    <row r="12" spans="1:18">
      <c r="A12" s="15" t="s">
        <v>572</v>
      </c>
      <c r="B12" s="17" t="n">
        <v>3472</v>
      </c>
      <c r="C12" s="18">
        <f>(2734.0/B12*100)</f>
        <v/>
      </c>
      <c r="D12" s="19" t="n">
        <v>738</v>
      </c>
      <c r="E12" s="18" t="n">
        <v>50.42685527</v>
      </c>
      <c r="F12" s="20" t="n">
        <v>2.09686266</v>
      </c>
      <c r="G12" s="18" t="n">
        <v>47.18495516</v>
      </c>
      <c r="H12" s="20" t="n">
        <v>2.03109277</v>
      </c>
      <c r="I12" s="18" t="s">
        <v>567</v>
      </c>
      <c r="J12" s="20" t="s">
        <v>567</v>
      </c>
      <c r="K12" s="18" t="n">
        <v>0.67670354</v>
      </c>
      <c r="L12" s="20" t="n">
        <v>0.39643079</v>
      </c>
      <c r="M12" s="18" t="n">
        <v>0</v>
      </c>
      <c r="N12" s="20" t="n">
        <v>0</v>
      </c>
      <c r="O12" s="18" t="n">
        <v>0</v>
      </c>
      <c r="P12" s="20" t="n">
        <v>0</v>
      </c>
      <c r="Q12" s="18" t="n">
        <v>1.71148603</v>
      </c>
      <c r="R12" s="20" t="n">
        <v>0.47744732</v>
      </c>
    </row>
    <row r="13" spans="1:18">
      <c r="A13" s="15" t="s">
        <v>573</v>
      </c>
      <c r="B13" s="17" t="n">
        <v>3559</v>
      </c>
      <c r="C13" s="18">
        <f>(2829.0/B13*100)</f>
        <v/>
      </c>
      <c r="D13" s="19" t="n">
        <v>730</v>
      </c>
      <c r="E13" s="18" t="n">
        <v>45.57956263</v>
      </c>
      <c r="F13" s="20" t="n">
        <v>2.20125192</v>
      </c>
      <c r="G13" s="18" t="n">
        <v>53.65447549</v>
      </c>
      <c r="H13" s="20" t="n">
        <v>2.21054391</v>
      </c>
      <c r="I13" s="18" t="s">
        <v>567</v>
      </c>
      <c r="J13" s="20" t="s">
        <v>567</v>
      </c>
      <c r="K13" s="18" t="n">
        <v>0.5141921</v>
      </c>
      <c r="L13" s="20" t="n">
        <v>0.25043216</v>
      </c>
      <c r="M13" s="18" t="n">
        <v>0.02810272</v>
      </c>
      <c r="N13" s="20" t="n">
        <v>0.02786566</v>
      </c>
      <c r="O13" s="18" t="n">
        <v>0</v>
      </c>
      <c r="P13" s="20" t="n">
        <v>0</v>
      </c>
      <c r="Q13" s="18" t="n">
        <v>0.22366706</v>
      </c>
      <c r="R13" s="20" t="n">
        <v>0.12133568</v>
      </c>
    </row>
    <row r="14" spans="1:18">
      <c r="A14" s="15" t="s">
        <v>574</v>
      </c>
      <c r="B14" s="17" t="n">
        <v>2799</v>
      </c>
      <c r="C14" s="18">
        <f>(2186.0/B14*100)</f>
        <v/>
      </c>
      <c r="D14" s="19" t="n">
        <v>613</v>
      </c>
      <c r="E14" s="18" t="n">
        <v>32.53198962</v>
      </c>
      <c r="F14" s="20" t="n">
        <v>1.81588541</v>
      </c>
      <c r="G14" s="18" t="n">
        <v>66.120386</v>
      </c>
      <c r="H14" s="20" t="n">
        <v>1.94176155</v>
      </c>
      <c r="I14" s="18" t="s">
        <v>567</v>
      </c>
      <c r="J14" s="20" t="s">
        <v>567</v>
      </c>
      <c r="K14" s="18" t="n">
        <v>0</v>
      </c>
      <c r="L14" s="20" t="n">
        <v>0</v>
      </c>
      <c r="M14" s="18" t="n">
        <v>0</v>
      </c>
      <c r="N14" s="20" t="n">
        <v>0</v>
      </c>
      <c r="O14" s="18" t="n">
        <v>0</v>
      </c>
      <c r="P14" s="20" t="n">
        <v>0</v>
      </c>
      <c r="Q14" s="18" t="n">
        <v>1.34762438</v>
      </c>
      <c r="R14" s="20" t="n">
        <v>0.52065646</v>
      </c>
    </row>
    <row r="15" spans="1:18">
      <c r="A15" s="15" t="s">
        <v>575</v>
      </c>
      <c r="B15" s="17" t="n">
        <v>3019</v>
      </c>
      <c r="C15" s="18">
        <f>(2402.0/B15*100)</f>
        <v/>
      </c>
      <c r="D15" s="19" t="n">
        <v>617</v>
      </c>
      <c r="E15" s="18" t="n">
        <v>39.5478165</v>
      </c>
      <c r="F15" s="20" t="n">
        <v>2.02315004</v>
      </c>
      <c r="G15" s="18" t="n">
        <v>59.60854361</v>
      </c>
      <c r="H15" s="20" t="n">
        <v>2.06029803</v>
      </c>
      <c r="I15" s="18" t="s">
        <v>567</v>
      </c>
      <c r="J15" s="20" t="s">
        <v>567</v>
      </c>
      <c r="K15" s="18" t="n">
        <v>0.45911255</v>
      </c>
      <c r="L15" s="20" t="n">
        <v>0.26890784</v>
      </c>
      <c r="M15" s="18" t="n">
        <v>0</v>
      </c>
      <c r="N15" s="20" t="n">
        <v>0</v>
      </c>
      <c r="O15" s="18" t="n">
        <v>0</v>
      </c>
      <c r="P15" s="20" t="n">
        <v>0</v>
      </c>
      <c r="Q15" s="18" t="n">
        <v>0.38452734</v>
      </c>
      <c r="R15" s="20" t="n">
        <v>0.23268775</v>
      </c>
    </row>
    <row r="16" spans="1:18">
      <c r="A16" s="15" t="s">
        <v>576</v>
      </c>
      <c r="B16" s="17" t="n">
        <v>2997</v>
      </c>
      <c r="C16" s="18">
        <f>(2360.0/B16*100)</f>
        <v/>
      </c>
      <c r="D16" s="19" t="n">
        <v>637</v>
      </c>
      <c r="E16" s="18" t="n">
        <v>37.34204382</v>
      </c>
      <c r="F16" s="20" t="n">
        <v>1.89713037</v>
      </c>
      <c r="G16" s="18" t="n">
        <v>54.87105689</v>
      </c>
      <c r="H16" s="20" t="n">
        <v>2.10986976</v>
      </c>
      <c r="I16" s="18" t="s">
        <v>567</v>
      </c>
      <c r="J16" s="20" t="s">
        <v>567</v>
      </c>
      <c r="K16" s="18" t="n">
        <v>2.67770564</v>
      </c>
      <c r="L16" s="20" t="n">
        <v>0.70120889</v>
      </c>
      <c r="M16" s="18" t="n">
        <v>0</v>
      </c>
      <c r="N16" s="20" t="n">
        <v>0</v>
      </c>
      <c r="O16" s="18" t="n">
        <v>0</v>
      </c>
      <c r="P16" s="20" t="n">
        <v>0</v>
      </c>
      <c r="Q16" s="18" t="n">
        <v>5.10919365</v>
      </c>
      <c r="R16" s="20" t="n">
        <v>0.75886865</v>
      </c>
    </row>
    <row r="17" spans="1:18">
      <c r="A17" s="15" t="s">
        <v>577</v>
      </c>
      <c r="B17" s="17" t="n">
        <v>3307</v>
      </c>
      <c r="C17" s="18">
        <f>(2598.0/B17*100)</f>
        <v/>
      </c>
      <c r="D17" s="19" t="n">
        <v>709</v>
      </c>
      <c r="E17" s="18" t="n">
        <v>43.17612989</v>
      </c>
      <c r="F17" s="20" t="n">
        <v>1.99581832</v>
      </c>
      <c r="G17" s="18" t="n">
        <v>54.56374162</v>
      </c>
      <c r="H17" s="20" t="n">
        <v>1.99535053</v>
      </c>
      <c r="I17" s="18" t="s">
        <v>567</v>
      </c>
      <c r="J17" s="20" t="s">
        <v>567</v>
      </c>
      <c r="K17" s="18" t="n">
        <v>0.46427271</v>
      </c>
      <c r="L17" s="20" t="n">
        <v>0.25053428</v>
      </c>
      <c r="M17" s="18" t="n">
        <v>0</v>
      </c>
      <c r="N17" s="20" t="n">
        <v>0</v>
      </c>
      <c r="O17" s="18" t="n">
        <v>0</v>
      </c>
      <c r="P17" s="20" t="n">
        <v>0</v>
      </c>
      <c r="Q17" s="18" t="n">
        <v>1.79585578</v>
      </c>
      <c r="R17" s="20" t="n">
        <v>0.6369785</v>
      </c>
    </row>
    <row r="18" spans="1:18">
      <c r="A18" s="15" t="s">
        <v>578</v>
      </c>
      <c r="B18" s="17" t="n">
        <v>2826</v>
      </c>
      <c r="C18" s="18">
        <f>(2218.0/B18*100)</f>
        <v/>
      </c>
      <c r="D18" s="19" t="n">
        <v>608</v>
      </c>
      <c r="E18" s="18" t="n">
        <v>52.3522218</v>
      </c>
      <c r="F18" s="20" t="n">
        <v>2.71971469</v>
      </c>
      <c r="G18" s="18" t="n">
        <v>44.27710337</v>
      </c>
      <c r="H18" s="20" t="n">
        <v>2.55205534</v>
      </c>
      <c r="I18" s="18" t="s">
        <v>567</v>
      </c>
      <c r="J18" s="20" t="s">
        <v>567</v>
      </c>
      <c r="K18" s="18" t="n">
        <v>0.43672298</v>
      </c>
      <c r="L18" s="20" t="n">
        <v>0.27886565</v>
      </c>
      <c r="M18" s="18" t="n">
        <v>0</v>
      </c>
      <c r="N18" s="20" t="n">
        <v>0</v>
      </c>
      <c r="O18" s="18" t="n">
        <v>0</v>
      </c>
      <c r="P18" s="20" t="n">
        <v>0</v>
      </c>
      <c r="Q18" s="18" t="n">
        <v>2.93395185</v>
      </c>
      <c r="R18" s="20" t="n">
        <v>0.71731125</v>
      </c>
    </row>
    <row r="19" spans="1:18">
      <c r="A19" s="15" t="s">
        <v>579</v>
      </c>
      <c r="B19" s="17" t="n">
        <v>2808</v>
      </c>
      <c r="C19" s="18">
        <f>(2211.0/B19*100)</f>
        <v/>
      </c>
      <c r="D19" s="19" t="n">
        <v>597</v>
      </c>
      <c r="E19" s="18" t="n">
        <v>52.06957532</v>
      </c>
      <c r="F19" s="20" t="n">
        <v>2.19197654</v>
      </c>
      <c r="G19" s="18" t="n">
        <v>46.44255185</v>
      </c>
      <c r="H19" s="20" t="n">
        <v>2.14633659</v>
      </c>
      <c r="I19" s="18" t="s">
        <v>567</v>
      </c>
      <c r="J19" s="20" t="s">
        <v>567</v>
      </c>
      <c r="K19" s="18" t="n">
        <v>0.42844202</v>
      </c>
      <c r="L19" s="20" t="n">
        <v>0.2545723</v>
      </c>
      <c r="M19" s="18" t="n">
        <v>0</v>
      </c>
      <c r="N19" s="20" t="n">
        <v>0</v>
      </c>
      <c r="O19" s="18" t="n">
        <v>0</v>
      </c>
      <c r="P19" s="20" t="n">
        <v>0</v>
      </c>
      <c r="Q19" s="18" t="n">
        <v>1.05943081</v>
      </c>
      <c r="R19" s="20" t="n">
        <v>0.41337232</v>
      </c>
    </row>
    <row r="20" spans="1:18">
      <c r="A20" s="15" t="s">
        <v>580</v>
      </c>
      <c r="B20" s="17" t="n">
        <v>1630</v>
      </c>
      <c r="C20" s="18">
        <f>(1274.0/B20*100)</f>
        <v/>
      </c>
      <c r="D20" s="19" t="n">
        <v>356</v>
      </c>
      <c r="E20" s="18" t="n">
        <v>62.10509736</v>
      </c>
      <c r="F20" s="20" t="n">
        <v>2.48175976</v>
      </c>
      <c r="G20" s="18" t="n">
        <v>33.91171296</v>
      </c>
      <c r="H20" s="20" t="n">
        <v>2.46931951</v>
      </c>
      <c r="I20" s="18" t="s">
        <v>567</v>
      </c>
      <c r="J20" s="20" t="s">
        <v>567</v>
      </c>
      <c r="K20" s="18" t="n">
        <v>1.4559445</v>
      </c>
      <c r="L20" s="20" t="n">
        <v>0.65406549</v>
      </c>
      <c r="M20" s="18" t="n">
        <v>1.12342201</v>
      </c>
      <c r="N20" s="20" t="n">
        <v>0.37221256</v>
      </c>
      <c r="O20" s="18" t="n">
        <v>0</v>
      </c>
      <c r="P20" s="20" t="n">
        <v>0</v>
      </c>
      <c r="Q20" s="18" t="n">
        <v>1.40382317</v>
      </c>
      <c r="R20" s="20" t="n">
        <v>0.62215521</v>
      </c>
    </row>
    <row r="21" spans="1:18">
      <c r="A21" s="15" t="s">
        <v>581</v>
      </c>
      <c r="B21" s="17" t="n">
        <v>2908</v>
      </c>
      <c r="C21" s="18">
        <f>(2250.0/B21*100)</f>
        <v/>
      </c>
      <c r="D21" s="19" t="n">
        <v>658</v>
      </c>
      <c r="E21" s="18" t="n">
        <v>32.44035815</v>
      </c>
      <c r="F21" s="20" t="n">
        <v>2.06868306</v>
      </c>
      <c r="G21" s="18" t="n">
        <v>66.23826674999999</v>
      </c>
      <c r="H21" s="20" t="n">
        <v>1.98817473</v>
      </c>
      <c r="I21" s="18" t="s">
        <v>567</v>
      </c>
      <c r="J21" s="20" t="s">
        <v>567</v>
      </c>
      <c r="K21" s="18" t="n">
        <v>0.65211554</v>
      </c>
      <c r="L21" s="20" t="n">
        <v>0.33701348</v>
      </c>
      <c r="M21" s="18" t="n">
        <v>0</v>
      </c>
      <c r="N21" s="20" t="n">
        <v>0</v>
      </c>
      <c r="O21" s="18" t="n">
        <v>0</v>
      </c>
      <c r="P21" s="20" t="n">
        <v>0</v>
      </c>
      <c r="Q21" s="18" t="n">
        <v>0.66925957</v>
      </c>
      <c r="R21" s="20" t="n">
        <v>0.34384455</v>
      </c>
    </row>
    <row r="22" spans="1:18">
      <c r="A22" s="15" t="s">
        <v>582</v>
      </c>
      <c r="B22" s="17" t="n">
        <v>2931</v>
      </c>
      <c r="C22" s="18">
        <f>(2278.0/B22*100)</f>
        <v/>
      </c>
      <c r="D22" s="19" t="n">
        <v>653</v>
      </c>
      <c r="E22" s="18" t="n">
        <v>50.30875398</v>
      </c>
      <c r="F22" s="20" t="n">
        <v>2.275957</v>
      </c>
      <c r="G22" s="18" t="n">
        <v>44.05458448</v>
      </c>
      <c r="H22" s="20" t="n">
        <v>2.35785239</v>
      </c>
      <c r="I22" s="18" t="s">
        <v>567</v>
      </c>
      <c r="J22" s="20" t="s">
        <v>567</v>
      </c>
      <c r="K22" s="18" t="n">
        <v>1.50917811</v>
      </c>
      <c r="L22" s="20" t="n">
        <v>0.6004992099999999</v>
      </c>
      <c r="M22" s="18" t="n">
        <v>0</v>
      </c>
      <c r="N22" s="20" t="n">
        <v>0</v>
      </c>
      <c r="O22" s="18" t="n">
        <v>0</v>
      </c>
      <c r="P22" s="20" t="n">
        <v>0</v>
      </c>
      <c r="Q22" s="18" t="n">
        <v>4.12748342</v>
      </c>
      <c r="R22" s="20" t="n">
        <v>0.99037623</v>
      </c>
    </row>
    <row r="23" spans="1:18">
      <c r="A23" s="15" t="s">
        <v>583</v>
      </c>
      <c r="B23" s="17" t="n">
        <v>5791</v>
      </c>
      <c r="C23" s="18">
        <f>(4545.0/B23*100)</f>
        <v/>
      </c>
      <c r="D23" s="19" t="n">
        <v>1246</v>
      </c>
      <c r="E23" s="18" t="n">
        <v>43.96622095</v>
      </c>
      <c r="F23" s="20" t="n">
        <v>1.78215255</v>
      </c>
      <c r="G23" s="18" t="n">
        <v>53.73288317</v>
      </c>
      <c r="H23" s="20" t="n">
        <v>1.67772234</v>
      </c>
      <c r="I23" s="18" t="s">
        <v>567</v>
      </c>
      <c r="J23" s="20" t="s">
        <v>567</v>
      </c>
      <c r="K23" s="18" t="n">
        <v>0.78993304</v>
      </c>
      <c r="L23" s="20" t="n">
        <v>0.35870064</v>
      </c>
      <c r="M23" s="18" t="n">
        <v>0</v>
      </c>
      <c r="N23" s="20" t="n">
        <v>0</v>
      </c>
      <c r="O23" s="18" t="n">
        <v>0</v>
      </c>
      <c r="P23" s="20" t="n">
        <v>0</v>
      </c>
      <c r="Q23" s="18" t="n">
        <v>1.51096285</v>
      </c>
      <c r="R23" s="20" t="n">
        <v>0.38939037</v>
      </c>
    </row>
    <row r="24" spans="1:18">
      <c r="A24" s="15" t="s">
        <v>584</v>
      </c>
      <c r="B24" s="17" t="n">
        <v>3338</v>
      </c>
      <c r="C24" s="18">
        <f>(2617.0/B24*100)</f>
        <v/>
      </c>
      <c r="D24" s="19" t="n">
        <v>721</v>
      </c>
      <c r="E24" s="18" t="n">
        <v>32.98402213</v>
      </c>
      <c r="F24" s="20" t="n">
        <v>1.97907809</v>
      </c>
      <c r="G24" s="18" t="n">
        <v>64.17101085</v>
      </c>
      <c r="H24" s="20" t="n">
        <v>1.96243597</v>
      </c>
      <c r="I24" s="18" t="s">
        <v>567</v>
      </c>
      <c r="J24" s="20" t="s">
        <v>567</v>
      </c>
      <c r="K24" s="18" t="n">
        <v>0.71376282</v>
      </c>
      <c r="L24" s="20" t="n">
        <v>0.32546931</v>
      </c>
      <c r="M24" s="18" t="n">
        <v>0</v>
      </c>
      <c r="N24" s="20" t="n">
        <v>0</v>
      </c>
      <c r="O24" s="18" t="n">
        <v>0</v>
      </c>
      <c r="P24" s="20" t="n">
        <v>0</v>
      </c>
      <c r="Q24" s="18" t="n">
        <v>2.13120421</v>
      </c>
      <c r="R24" s="20" t="n">
        <v>0.55239043</v>
      </c>
    </row>
    <row r="25" spans="1:18">
      <c r="A25" s="15" t="s">
        <v>585</v>
      </c>
      <c r="B25" s="17" t="n">
        <v>2912</v>
      </c>
      <c r="C25" s="18">
        <f>(2253.0/B25*100)</f>
        <v/>
      </c>
      <c r="D25" s="19" t="n">
        <v>659</v>
      </c>
      <c r="E25" s="18" t="n">
        <v>33.8281291</v>
      </c>
      <c r="F25" s="20" t="n">
        <v>1.83381956</v>
      </c>
      <c r="G25" s="18" t="n">
        <v>65.06135279</v>
      </c>
      <c r="H25" s="20" t="n">
        <v>1.83888254</v>
      </c>
      <c r="I25" s="18" t="s">
        <v>567</v>
      </c>
      <c r="J25" s="20" t="s">
        <v>567</v>
      </c>
      <c r="K25" s="18" t="n">
        <v>0.58835837</v>
      </c>
      <c r="L25" s="20" t="n">
        <v>0.29597795</v>
      </c>
      <c r="M25" s="18" t="n">
        <v>0</v>
      </c>
      <c r="N25" s="20" t="n">
        <v>0</v>
      </c>
      <c r="O25" s="18" t="n">
        <v>0</v>
      </c>
      <c r="P25" s="20" t="n">
        <v>0</v>
      </c>
      <c r="Q25" s="18" t="n">
        <v>0.52215974</v>
      </c>
      <c r="R25" s="20" t="n">
        <v>0.26694161</v>
      </c>
    </row>
    <row r="26" spans="1:18">
      <c r="A26" s="15" t="s">
        <v>586</v>
      </c>
      <c r="B26" s="17" t="n">
        <v>2450</v>
      </c>
      <c r="C26" s="18">
        <f>(1936.0/B26*100)</f>
        <v/>
      </c>
      <c r="D26" s="19" t="n">
        <v>514</v>
      </c>
      <c r="E26" s="18" t="n">
        <v>49.37658108</v>
      </c>
      <c r="F26" s="20" t="n">
        <v>2.33248593</v>
      </c>
      <c r="G26" s="18" t="n">
        <v>49.22666543</v>
      </c>
      <c r="H26" s="20" t="n">
        <v>2.34301184</v>
      </c>
      <c r="I26" s="18" t="s">
        <v>567</v>
      </c>
      <c r="J26" s="20" t="s">
        <v>567</v>
      </c>
      <c r="K26" s="18" t="n">
        <v>0</v>
      </c>
      <c r="L26" s="20" t="n">
        <v>0</v>
      </c>
      <c r="M26" s="18" t="n">
        <v>0.36827918</v>
      </c>
      <c r="N26" s="20" t="n">
        <v>0.29146143</v>
      </c>
      <c r="O26" s="18" t="n">
        <v>0</v>
      </c>
      <c r="P26" s="20" t="n">
        <v>0</v>
      </c>
      <c r="Q26" s="18" t="n">
        <v>1.02847431</v>
      </c>
      <c r="R26" s="20" t="n">
        <v>0.48542141</v>
      </c>
    </row>
    <row r="27" spans="1:18">
      <c r="A27" s="15" t="s">
        <v>587</v>
      </c>
      <c r="B27" s="17" t="n">
        <v>2616</v>
      </c>
      <c r="C27" s="18">
        <f>(2046.0/B27*100)</f>
        <v/>
      </c>
      <c r="D27" s="19" t="n">
        <v>570</v>
      </c>
      <c r="E27" s="18" t="n">
        <v>48.77993684</v>
      </c>
      <c r="F27" s="20" t="n">
        <v>1.89182171</v>
      </c>
      <c r="G27" s="18" t="n">
        <v>48.01000015</v>
      </c>
      <c r="H27" s="20" t="n">
        <v>1.82960996</v>
      </c>
      <c r="I27" s="18" t="s">
        <v>567</v>
      </c>
      <c r="J27" s="20" t="s">
        <v>567</v>
      </c>
      <c r="K27" s="18" t="n">
        <v>0.36143664</v>
      </c>
      <c r="L27" s="20" t="n">
        <v>0.25867358</v>
      </c>
      <c r="M27" s="18" t="n">
        <v>0</v>
      </c>
      <c r="N27" s="20" t="n">
        <v>0</v>
      </c>
      <c r="O27" s="18" t="n">
        <v>0</v>
      </c>
      <c r="P27" s="20" t="n">
        <v>0</v>
      </c>
      <c r="Q27" s="18" t="n">
        <v>2.84862637</v>
      </c>
      <c r="R27" s="20" t="n">
        <v>0.79214187</v>
      </c>
    </row>
    <row r="28" spans="1:18">
      <c r="A28" s="15" t="s">
        <v>588</v>
      </c>
      <c r="B28" s="17" t="n">
        <v>3765</v>
      </c>
      <c r="C28" s="18">
        <f>(3052.0/B28*100)</f>
        <v/>
      </c>
      <c r="D28" s="19" t="n">
        <v>713</v>
      </c>
      <c r="E28" s="18" t="n">
        <v>63.82697711</v>
      </c>
      <c r="F28" s="20" t="n">
        <v>1.73719092</v>
      </c>
      <c r="G28" s="18" t="n">
        <v>33.43168376</v>
      </c>
      <c r="H28" s="20" t="n">
        <v>1.81062862</v>
      </c>
      <c r="I28" s="18" t="s">
        <v>567</v>
      </c>
      <c r="J28" s="20" t="s">
        <v>567</v>
      </c>
      <c r="K28" s="18" t="n">
        <v>1.59481531</v>
      </c>
      <c r="L28" s="20" t="n">
        <v>0.5862371199999999</v>
      </c>
      <c r="M28" s="18" t="n">
        <v>0</v>
      </c>
      <c r="N28" s="20" t="n">
        <v>0</v>
      </c>
      <c r="O28" s="18" t="n">
        <v>0</v>
      </c>
      <c r="P28" s="20" t="n">
        <v>0</v>
      </c>
      <c r="Q28" s="18" t="n">
        <v>1.14652382</v>
      </c>
      <c r="R28" s="20" t="n">
        <v>0.36157596</v>
      </c>
    </row>
    <row r="29" spans="1:18">
      <c r="A29" s="15" t="s">
        <v>589</v>
      </c>
      <c r="B29" s="17" t="n">
        <v>2685</v>
      </c>
      <c r="C29" s="18">
        <f>(2094.0/B29*100)</f>
        <v/>
      </c>
      <c r="D29" s="19" t="n">
        <v>591</v>
      </c>
      <c r="E29" s="18" t="n">
        <v>41.46988018</v>
      </c>
      <c r="F29" s="20" t="n">
        <v>2.13220222</v>
      </c>
      <c r="G29" s="18" t="n">
        <v>57.50837784</v>
      </c>
      <c r="H29" s="20" t="n">
        <v>2.10833782</v>
      </c>
      <c r="I29" s="18" t="s">
        <v>567</v>
      </c>
      <c r="J29" s="20" t="s">
        <v>567</v>
      </c>
      <c r="K29" s="18" t="n">
        <v>0.15976781</v>
      </c>
      <c r="L29" s="20" t="n">
        <v>0.17323204</v>
      </c>
      <c r="M29" s="18" t="n">
        <v>0</v>
      </c>
      <c r="N29" s="20" t="n">
        <v>0</v>
      </c>
      <c r="O29" s="18" t="n">
        <v>0</v>
      </c>
      <c r="P29" s="20" t="n">
        <v>0</v>
      </c>
      <c r="Q29" s="18" t="n">
        <v>0.86197417</v>
      </c>
      <c r="R29" s="20" t="n">
        <v>0.37786543</v>
      </c>
    </row>
    <row r="30" spans="1:18">
      <c r="A30" s="15" t="s">
        <v>590</v>
      </c>
      <c r="B30" s="17" t="n">
        <v>2263</v>
      </c>
      <c r="C30" s="18">
        <f>(1785.0/B30*100)</f>
        <v/>
      </c>
      <c r="D30" s="19" t="n">
        <v>478</v>
      </c>
      <c r="E30" s="18" t="n">
        <v>35.0250021</v>
      </c>
      <c r="F30" s="20" t="n">
        <v>1.89830442</v>
      </c>
      <c r="G30" s="18" t="n">
        <v>61.29339252</v>
      </c>
      <c r="H30" s="20" t="n">
        <v>2.08745689</v>
      </c>
      <c r="I30" s="18" t="s">
        <v>567</v>
      </c>
      <c r="J30" s="20" t="s">
        <v>567</v>
      </c>
      <c r="K30" s="18" t="n">
        <v>0.88523042</v>
      </c>
      <c r="L30" s="20" t="n">
        <v>0.46222596</v>
      </c>
      <c r="M30" s="18" t="n">
        <v>0.19210958</v>
      </c>
      <c r="N30" s="20" t="n">
        <v>0.19565099</v>
      </c>
      <c r="O30" s="18" t="n">
        <v>0</v>
      </c>
      <c r="P30" s="20" t="n">
        <v>0</v>
      </c>
      <c r="Q30" s="18" t="n">
        <v>2.60426538</v>
      </c>
      <c r="R30" s="20" t="n">
        <v>0.7307701</v>
      </c>
    </row>
    <row r="31" spans="1:18">
      <c r="A31" s="15" t="s">
        <v>591</v>
      </c>
      <c r="B31" s="17" t="n">
        <v>2750</v>
      </c>
      <c r="C31" s="18">
        <f>(2136.0/B31*100)</f>
        <v/>
      </c>
      <c r="D31" s="19" t="n">
        <v>614</v>
      </c>
      <c r="E31" s="18" t="n">
        <v>42.14259473</v>
      </c>
      <c r="F31" s="20" t="n">
        <v>2.21942525</v>
      </c>
      <c r="G31" s="18" t="n">
        <v>54.55329748</v>
      </c>
      <c r="H31" s="20" t="n">
        <v>2.19670027</v>
      </c>
      <c r="I31" s="18" t="s">
        <v>567</v>
      </c>
      <c r="J31" s="20" t="s">
        <v>567</v>
      </c>
      <c r="K31" s="18" t="n">
        <v>1.08594188</v>
      </c>
      <c r="L31" s="20" t="n">
        <v>0.45269468</v>
      </c>
      <c r="M31" s="18" t="n">
        <v>0</v>
      </c>
      <c r="N31" s="20" t="n">
        <v>0</v>
      </c>
      <c r="O31" s="18" t="n">
        <v>0</v>
      </c>
      <c r="P31" s="20" t="n">
        <v>0</v>
      </c>
      <c r="Q31" s="18" t="n">
        <v>2.21816591</v>
      </c>
      <c r="R31" s="20" t="n">
        <v>0.61071192</v>
      </c>
    </row>
    <row r="32" spans="1:18">
      <c r="A32" s="15" t="s">
        <v>592</v>
      </c>
      <c r="B32" s="17" t="n">
        <v>2269</v>
      </c>
      <c r="C32" s="18">
        <f>(1781.0/B32*100)</f>
        <v/>
      </c>
      <c r="D32" s="19" t="n">
        <v>488</v>
      </c>
      <c r="E32" s="18" t="n">
        <v>55.71296311</v>
      </c>
      <c r="F32" s="20" t="n">
        <v>2.21895054</v>
      </c>
      <c r="G32" s="18" t="n">
        <v>42.58940153</v>
      </c>
      <c r="H32" s="20" t="n">
        <v>2.21915771</v>
      </c>
      <c r="I32" s="18" t="s">
        <v>567</v>
      </c>
      <c r="J32" s="20" t="s">
        <v>567</v>
      </c>
      <c r="K32" s="18" t="n">
        <v>0.25151345</v>
      </c>
      <c r="L32" s="20" t="n">
        <v>0.26008664</v>
      </c>
      <c r="M32" s="18" t="n">
        <v>0</v>
      </c>
      <c r="N32" s="20" t="n">
        <v>0</v>
      </c>
      <c r="O32" s="18" t="n">
        <v>0</v>
      </c>
      <c r="P32" s="20" t="n">
        <v>0</v>
      </c>
      <c r="Q32" s="18" t="n">
        <v>1.4461219</v>
      </c>
      <c r="R32" s="20" t="n">
        <v>0.54279749</v>
      </c>
    </row>
    <row r="33" spans="1:18">
      <c r="A33" s="15" t="s">
        <v>593</v>
      </c>
      <c r="B33" s="17" t="n">
        <v>3674</v>
      </c>
      <c r="C33" s="18">
        <f>(2880.0/B33*100)</f>
        <v/>
      </c>
      <c r="D33" s="19" t="n">
        <v>794</v>
      </c>
      <c r="E33" s="18" t="n">
        <v>46.84958626</v>
      </c>
      <c r="F33" s="20" t="n">
        <v>2.00716442</v>
      </c>
      <c r="G33" s="18" t="n">
        <v>51.96467145</v>
      </c>
      <c r="H33" s="20" t="n">
        <v>1.9091695</v>
      </c>
      <c r="I33" s="18" t="s">
        <v>567</v>
      </c>
      <c r="J33" s="20" t="s">
        <v>567</v>
      </c>
      <c r="K33" s="18" t="n">
        <v>0.84200275</v>
      </c>
      <c r="L33" s="20" t="n">
        <v>0.3976699</v>
      </c>
      <c r="M33" s="18" t="n">
        <v>0.14525201</v>
      </c>
      <c r="N33" s="20" t="n">
        <v>0.15886645</v>
      </c>
      <c r="O33" s="18" t="n">
        <v>0</v>
      </c>
      <c r="P33" s="20" t="n">
        <v>0</v>
      </c>
      <c r="Q33" s="18" t="n">
        <v>0.19848753</v>
      </c>
      <c r="R33" s="20" t="n">
        <v>0.10746217</v>
      </c>
    </row>
    <row r="34" spans="1:18">
      <c r="A34" s="15" t="s">
        <v>594</v>
      </c>
      <c r="B34" s="17" t="n">
        <v>3315</v>
      </c>
      <c r="C34" s="18">
        <f>(2624.0/B34*100)</f>
        <v/>
      </c>
      <c r="D34" s="19" t="n">
        <v>691</v>
      </c>
      <c r="E34" s="18" t="n">
        <v>62.5818037</v>
      </c>
      <c r="F34" s="20" t="n">
        <v>1.92833321</v>
      </c>
      <c r="G34" s="18" t="n">
        <v>34.6679711</v>
      </c>
      <c r="H34" s="20" t="n">
        <v>2.0447132</v>
      </c>
      <c r="I34" s="18" t="s">
        <v>567</v>
      </c>
      <c r="J34" s="20" t="s">
        <v>567</v>
      </c>
      <c r="K34" s="18" t="n">
        <v>0.5028042</v>
      </c>
      <c r="L34" s="20" t="n">
        <v>0.25865164</v>
      </c>
      <c r="M34" s="18" t="n">
        <v>0.2300998</v>
      </c>
      <c r="N34" s="20" t="n">
        <v>0.19619486</v>
      </c>
      <c r="O34" s="18" t="n">
        <v>0</v>
      </c>
      <c r="P34" s="20" t="n">
        <v>0</v>
      </c>
      <c r="Q34" s="18" t="n">
        <v>2.01732121</v>
      </c>
      <c r="R34" s="20" t="n">
        <v>0.54525528</v>
      </c>
    </row>
    <row r="35" spans="1:18">
      <c r="A35" s="15" t="s">
        <v>595</v>
      </c>
      <c r="B35" s="17" t="n">
        <v>3505</v>
      </c>
      <c r="C35" s="18">
        <f>(2782.0/B35*100)</f>
        <v/>
      </c>
      <c r="D35" s="19" t="n">
        <v>723</v>
      </c>
      <c r="E35" s="18" t="n">
        <v>52.0786184</v>
      </c>
      <c r="F35" s="20" t="n">
        <v>1.90888113</v>
      </c>
      <c r="G35" s="18" t="n">
        <v>45.87007534</v>
      </c>
      <c r="H35" s="20" t="n">
        <v>2.02895962</v>
      </c>
      <c r="I35" s="18" t="s">
        <v>567</v>
      </c>
      <c r="J35" s="20" t="s">
        <v>567</v>
      </c>
      <c r="K35" s="18" t="n">
        <v>1.19841961</v>
      </c>
      <c r="L35" s="20" t="n">
        <v>0.80523901</v>
      </c>
      <c r="M35" s="18" t="n">
        <v>0.24981469</v>
      </c>
      <c r="N35" s="20" t="n">
        <v>0.25129638</v>
      </c>
      <c r="O35" s="18" t="n">
        <v>0</v>
      </c>
      <c r="P35" s="20" t="n">
        <v>0</v>
      </c>
      <c r="Q35" s="18" t="n">
        <v>0.60307195</v>
      </c>
      <c r="R35" s="20" t="n">
        <v>0.22206734</v>
      </c>
    </row>
    <row r="36" spans="1:18">
      <c r="A36" s="15" t="s">
        <v>596</v>
      </c>
      <c r="B36" s="17" t="n">
        <v>3332</v>
      </c>
      <c r="C36" s="18">
        <f>(2623.0/B36*100)</f>
        <v/>
      </c>
      <c r="D36" s="19" t="n">
        <v>709</v>
      </c>
      <c r="E36" s="18" t="n">
        <v>34.52709639</v>
      </c>
      <c r="F36" s="20" t="n">
        <v>1.7407162</v>
      </c>
      <c r="G36" s="18" t="n">
        <v>63.51647075</v>
      </c>
      <c r="H36" s="20" t="n">
        <v>1.84567759</v>
      </c>
      <c r="I36" s="18" t="s">
        <v>567</v>
      </c>
      <c r="J36" s="20" t="s">
        <v>567</v>
      </c>
      <c r="K36" s="18" t="n">
        <v>1.04337371</v>
      </c>
      <c r="L36" s="20" t="n">
        <v>0.43885618</v>
      </c>
      <c r="M36" s="18" t="n">
        <v>0</v>
      </c>
      <c r="N36" s="20" t="n">
        <v>0</v>
      </c>
      <c r="O36" s="18" t="n">
        <v>0</v>
      </c>
      <c r="P36" s="20" t="n">
        <v>0</v>
      </c>
      <c r="Q36" s="18" t="n">
        <v>0.91305914</v>
      </c>
      <c r="R36" s="20" t="n">
        <v>0.42775365</v>
      </c>
    </row>
    <row r="37" spans="1:18">
      <c r="A37" s="15" t="s">
        <v>597</v>
      </c>
      <c r="B37" s="17" t="n">
        <v>2727</v>
      </c>
      <c r="C37" s="18">
        <f>(2152.0/B37*100)</f>
        <v/>
      </c>
      <c r="D37" s="19" t="n">
        <v>575</v>
      </c>
      <c r="E37" s="18" t="n">
        <v>37.43720829</v>
      </c>
      <c r="F37" s="20" t="n">
        <v>2.13914996</v>
      </c>
      <c r="G37" s="18" t="n">
        <v>58.07657412</v>
      </c>
      <c r="H37" s="20" t="n">
        <v>2.14758382</v>
      </c>
      <c r="I37" s="18" t="s">
        <v>567</v>
      </c>
      <c r="J37" s="20" t="s">
        <v>567</v>
      </c>
      <c r="K37" s="18" t="n">
        <v>1.18431111</v>
      </c>
      <c r="L37" s="20" t="n">
        <v>0.49396745</v>
      </c>
      <c r="M37" s="18" t="n">
        <v>0.1594018</v>
      </c>
      <c r="N37" s="20" t="n">
        <v>0.15917882</v>
      </c>
      <c r="O37" s="18" t="n">
        <v>0</v>
      </c>
      <c r="P37" s="20" t="n">
        <v>0</v>
      </c>
      <c r="Q37" s="18" t="n">
        <v>3.14250468</v>
      </c>
      <c r="R37" s="20" t="n">
        <v>0.82244197</v>
      </c>
    </row>
    <row r="38" spans="1:18">
      <c r="A38" s="15" t="s">
        <v>598</v>
      </c>
      <c r="B38" s="17" t="n">
        <v>3053</v>
      </c>
      <c r="C38" s="18">
        <f>(2406.0/B38*100)</f>
        <v/>
      </c>
      <c r="D38" s="19" t="n">
        <v>647</v>
      </c>
      <c r="E38" s="18" t="n">
        <v>41.44124849</v>
      </c>
      <c r="F38" s="20" t="n">
        <v>2.39206634</v>
      </c>
      <c r="G38" s="18" t="n">
        <v>53.56743438</v>
      </c>
      <c r="H38" s="20" t="n">
        <v>2.47449333</v>
      </c>
      <c r="I38" s="18" t="s">
        <v>567</v>
      </c>
      <c r="J38" s="20" t="s">
        <v>567</v>
      </c>
      <c r="K38" s="18" t="n">
        <v>0.26268871</v>
      </c>
      <c r="L38" s="20" t="n">
        <v>0.22908578</v>
      </c>
      <c r="M38" s="18" t="n">
        <v>1.85082884</v>
      </c>
      <c r="N38" s="20" t="n">
        <v>0.64515901</v>
      </c>
      <c r="O38" s="18" t="n">
        <v>0</v>
      </c>
      <c r="P38" s="20" t="n">
        <v>0</v>
      </c>
      <c r="Q38" s="18" t="n">
        <v>2.87779958</v>
      </c>
      <c r="R38" s="20" t="n">
        <v>0.7161818599999999</v>
      </c>
    </row>
    <row r="39" spans="1:18">
      <c r="A39" s="15" t="s">
        <v>599</v>
      </c>
      <c r="B39" s="17" t="n">
        <v>2957</v>
      </c>
      <c r="C39" s="18">
        <f>(2305.0/B39*100)</f>
        <v/>
      </c>
      <c r="D39" s="19" t="n">
        <v>652</v>
      </c>
      <c r="E39" s="18" t="n">
        <v>67.9613248</v>
      </c>
      <c r="F39" s="20" t="n">
        <v>2.79007582</v>
      </c>
      <c r="G39" s="18" t="n">
        <v>29.63189843</v>
      </c>
      <c r="H39" s="20" t="n">
        <v>2.68875929</v>
      </c>
      <c r="I39" s="18" t="s">
        <v>567</v>
      </c>
      <c r="J39" s="20" t="s">
        <v>567</v>
      </c>
      <c r="K39" s="18" t="n">
        <v>0.72596354</v>
      </c>
      <c r="L39" s="20" t="n">
        <v>0.39420945</v>
      </c>
      <c r="M39" s="18" t="n">
        <v>0</v>
      </c>
      <c r="N39" s="20" t="n">
        <v>0</v>
      </c>
      <c r="O39" s="18" t="n">
        <v>0</v>
      </c>
      <c r="P39" s="20" t="n">
        <v>0</v>
      </c>
      <c r="Q39" s="18" t="n">
        <v>1.68081323</v>
      </c>
      <c r="R39" s="20" t="n">
        <v>0.39641614</v>
      </c>
    </row>
    <row r="40" spans="1:18">
      <c r="A40" s="15" t="s">
        <v>600</v>
      </c>
      <c r="B40" s="17" t="n">
        <v>7235</v>
      </c>
      <c r="C40" s="18">
        <f>(5620.0/B40*100)</f>
        <v/>
      </c>
      <c r="D40" s="19" t="n">
        <v>1615</v>
      </c>
      <c r="E40" s="18" t="n">
        <v>38.09933437</v>
      </c>
      <c r="F40" s="20" t="n">
        <v>1.7791781</v>
      </c>
      <c r="G40" s="18" t="n">
        <v>58.9749555</v>
      </c>
      <c r="H40" s="20" t="n">
        <v>1.8501946</v>
      </c>
      <c r="I40" s="18" t="s">
        <v>567</v>
      </c>
      <c r="J40" s="20" t="s">
        <v>567</v>
      </c>
      <c r="K40" s="18" t="n">
        <v>0.94398556</v>
      </c>
      <c r="L40" s="20" t="n">
        <v>0.41992695</v>
      </c>
      <c r="M40" s="18" t="n">
        <v>0</v>
      </c>
      <c r="N40" s="20" t="n">
        <v>0</v>
      </c>
      <c r="O40" s="18" t="n">
        <v>0</v>
      </c>
      <c r="P40" s="20" t="n">
        <v>0</v>
      </c>
      <c r="Q40" s="18" t="n">
        <v>1.98172456</v>
      </c>
      <c r="R40" s="20" t="n">
        <v>0.55815546</v>
      </c>
    </row>
    <row r="41" spans="1:18">
      <c r="A41" s="15" t="s">
        <v>601</v>
      </c>
      <c r="B41" s="17" t="n">
        <v>2858</v>
      </c>
      <c r="C41" s="18">
        <f>(2227.0/B41*100)</f>
        <v/>
      </c>
      <c r="D41" s="19" t="n">
        <v>631</v>
      </c>
      <c r="E41" s="18" t="n">
        <v>47.2883387</v>
      </c>
      <c r="F41" s="20" t="n">
        <v>2.18853544</v>
      </c>
      <c r="G41" s="18" t="n">
        <v>51.90133364</v>
      </c>
      <c r="H41" s="20" t="n">
        <v>2.11601989</v>
      </c>
      <c r="I41" s="18" t="s">
        <v>567</v>
      </c>
      <c r="J41" s="20" t="s">
        <v>567</v>
      </c>
      <c r="K41" s="18" t="n">
        <v>0.16556799</v>
      </c>
      <c r="L41" s="20" t="n">
        <v>0.15869003</v>
      </c>
      <c r="M41" s="18" t="n">
        <v>0</v>
      </c>
      <c r="N41" s="20" t="n">
        <v>0</v>
      </c>
      <c r="O41" s="18" t="n">
        <v>0</v>
      </c>
      <c r="P41" s="20" t="n">
        <v>0</v>
      </c>
      <c r="Q41" s="18" t="n">
        <v>0.64475967</v>
      </c>
      <c r="R41" s="20" t="n">
        <v>0.35382553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(9310.0/B46*100)</f>
        <v/>
      </c>
      <c r="D46" s="19" t="n">
        <v>1758</v>
      </c>
      <c r="E46" s="18" t="n">
        <v>64.43955955</v>
      </c>
      <c r="F46" s="20" t="n">
        <v>1.5555285</v>
      </c>
      <c r="G46" s="18" t="n">
        <v>28.72451825</v>
      </c>
      <c r="H46" s="20" t="n">
        <v>1.58184141</v>
      </c>
      <c r="I46" s="18" t="s">
        <v>567</v>
      </c>
      <c r="J46" s="20" t="s">
        <v>567</v>
      </c>
      <c r="K46" s="18" t="n">
        <v>2.10315094</v>
      </c>
      <c r="L46" s="20" t="n">
        <v>0.54091988</v>
      </c>
      <c r="M46" s="18" t="n">
        <v>0.4866519</v>
      </c>
      <c r="N46" s="20" t="n">
        <v>0.21910771</v>
      </c>
      <c r="O46" s="18" t="n">
        <v>0</v>
      </c>
      <c r="P46" s="20" t="n">
        <v>0</v>
      </c>
      <c r="Q46" s="18" t="n">
        <v>4.24611935</v>
      </c>
      <c r="R46" s="20" t="n">
        <v>0.62212274</v>
      </c>
    </row>
    <row r="47" spans="1:18">
      <c r="A47" s="15" t="s">
        <v>607</v>
      </c>
      <c r="B47" s="17" t="n">
        <v>3105</v>
      </c>
      <c r="C47" s="18">
        <f>(2444.0/B47*100)</f>
        <v/>
      </c>
      <c r="D47" s="19" t="n">
        <v>661</v>
      </c>
      <c r="E47" s="18" t="n">
        <v>68.27812123</v>
      </c>
      <c r="F47" s="20" t="n">
        <v>1.96305577</v>
      </c>
      <c r="G47" s="18" t="n">
        <v>28.91893974</v>
      </c>
      <c r="H47" s="20" t="n">
        <v>2.06259854</v>
      </c>
      <c r="I47" s="18" t="s">
        <v>567</v>
      </c>
      <c r="J47" s="20" t="s">
        <v>567</v>
      </c>
      <c r="K47" s="18" t="n">
        <v>0.15041976</v>
      </c>
      <c r="L47" s="20" t="n">
        <v>0.15184119</v>
      </c>
      <c r="M47" s="18" t="n">
        <v>0</v>
      </c>
      <c r="N47" s="20" t="n">
        <v>0</v>
      </c>
      <c r="O47" s="18" t="n">
        <v>0</v>
      </c>
      <c r="P47" s="20" t="n">
        <v>0</v>
      </c>
      <c r="Q47" s="18" t="n">
        <v>2.65251927</v>
      </c>
      <c r="R47" s="20" t="n">
        <v>0.63603915</v>
      </c>
    </row>
    <row r="48" spans="1:18">
      <c r="A48" s="15" t="s">
        <v>608</v>
      </c>
      <c r="B48" s="17" t="n">
        <v>5159</v>
      </c>
      <c r="C48" s="18">
        <f>(4034.0/B48*100)</f>
        <v/>
      </c>
      <c r="D48" s="19" t="n">
        <v>1125</v>
      </c>
      <c r="E48" s="18" t="n">
        <v>50.47099625</v>
      </c>
      <c r="F48" s="20" t="n">
        <v>2.13313898</v>
      </c>
      <c r="G48" s="18" t="n">
        <v>46.67540395</v>
      </c>
      <c r="H48" s="20" t="n">
        <v>2.11451899</v>
      </c>
      <c r="I48" s="18" t="s">
        <v>567</v>
      </c>
      <c r="J48" s="20" t="s">
        <v>567</v>
      </c>
      <c r="K48" s="18" t="n">
        <v>1.20786638</v>
      </c>
      <c r="L48" s="20" t="n">
        <v>0.58552218</v>
      </c>
      <c r="M48" s="18" t="n">
        <v>0</v>
      </c>
      <c r="N48" s="20" t="n">
        <v>0</v>
      </c>
      <c r="O48" s="18" t="n">
        <v>0</v>
      </c>
      <c r="P48" s="20" t="n">
        <v>0</v>
      </c>
      <c r="Q48" s="18" t="n">
        <v>1.64573343</v>
      </c>
      <c r="R48" s="20" t="n">
        <v>0.41127956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(4436.0/B50*100)</f>
        <v/>
      </c>
      <c r="D50" s="19" t="n">
        <v>1201</v>
      </c>
      <c r="E50" s="18" t="n">
        <v>59.17675206</v>
      </c>
      <c r="F50" s="20" t="n">
        <v>2.15312208</v>
      </c>
      <c r="G50" s="18" t="n">
        <v>36.75714486</v>
      </c>
      <c r="H50" s="20" t="n">
        <v>2.0880132</v>
      </c>
      <c r="I50" s="18" t="s">
        <v>567</v>
      </c>
      <c r="J50" s="20" t="s">
        <v>567</v>
      </c>
      <c r="K50" s="18" t="n">
        <v>2.16798337</v>
      </c>
      <c r="L50" s="20" t="n">
        <v>0.54543414</v>
      </c>
      <c r="M50" s="18" t="n">
        <v>0.2721907</v>
      </c>
      <c r="N50" s="20" t="n">
        <v>0.18137093</v>
      </c>
      <c r="O50" s="18" t="n">
        <v>0</v>
      </c>
      <c r="P50" s="20" t="n">
        <v>0</v>
      </c>
      <c r="Q50" s="18" t="n">
        <v>1.62592901</v>
      </c>
      <c r="R50" s="20" t="n">
        <v>0.48689686</v>
      </c>
    </row>
    <row r="51" spans="1:18">
      <c r="A51" s="15" t="s">
        <v>611</v>
      </c>
      <c r="B51" s="17" t="n">
        <v>3372</v>
      </c>
      <c r="C51" s="18">
        <f>(2748.0/B51*100)</f>
        <v/>
      </c>
      <c r="D51" s="19" t="n">
        <v>624</v>
      </c>
      <c r="E51" s="18" t="n">
        <v>64.56813504</v>
      </c>
      <c r="F51" s="20" t="n">
        <v>2.43536095</v>
      </c>
      <c r="G51" s="18" t="n">
        <v>32.07777609</v>
      </c>
      <c r="H51" s="20" t="n">
        <v>2.35669756</v>
      </c>
      <c r="I51" s="18" t="s">
        <v>567</v>
      </c>
      <c r="J51" s="20" t="s">
        <v>567</v>
      </c>
      <c r="K51" s="18" t="n">
        <v>1.31720179</v>
      </c>
      <c r="L51" s="20" t="n">
        <v>0.56021159</v>
      </c>
      <c r="M51" s="18" t="n">
        <v>0</v>
      </c>
      <c r="N51" s="20" t="n">
        <v>0</v>
      </c>
      <c r="O51" s="18" t="n">
        <v>0</v>
      </c>
      <c r="P51" s="20" t="n">
        <v>0</v>
      </c>
      <c r="Q51" s="18" t="n">
        <v>2.03688708</v>
      </c>
      <c r="R51" s="20" t="n">
        <v>0.56808036</v>
      </c>
    </row>
    <row r="52" spans="1:18">
      <c r="A52" s="15" t="s">
        <v>612</v>
      </c>
      <c r="B52" s="17" t="n">
        <v>2796</v>
      </c>
      <c r="C52" s="18">
        <f>(2162.0/B52*100)</f>
        <v/>
      </c>
      <c r="D52" s="19" t="n">
        <v>634</v>
      </c>
      <c r="E52" s="18" t="n">
        <v>45.53569407</v>
      </c>
      <c r="F52" s="20" t="n">
        <v>2.17378292</v>
      </c>
      <c r="G52" s="18" t="n">
        <v>50.95469388</v>
      </c>
      <c r="H52" s="20" t="n">
        <v>2.22935393</v>
      </c>
      <c r="I52" s="18" t="s">
        <v>567</v>
      </c>
      <c r="J52" s="20" t="s">
        <v>567</v>
      </c>
      <c r="K52" s="18" t="n">
        <v>0.42751642</v>
      </c>
      <c r="L52" s="20" t="n">
        <v>0.25410233</v>
      </c>
      <c r="M52" s="18" t="n">
        <v>0</v>
      </c>
      <c r="N52" s="20" t="n">
        <v>0</v>
      </c>
      <c r="O52" s="18" t="n">
        <v>0</v>
      </c>
      <c r="P52" s="20" t="n">
        <v>0</v>
      </c>
      <c r="Q52" s="18" t="n">
        <v>3.08209563</v>
      </c>
      <c r="R52" s="20" t="n">
        <v>0.65769037</v>
      </c>
    </row>
    <row r="53" spans="1:18">
      <c r="A53" s="15" t="s">
        <v>613</v>
      </c>
      <c r="B53" s="17" t="n">
        <v>2811</v>
      </c>
      <c r="C53" s="18">
        <f>(2176.0/B53*100)</f>
        <v/>
      </c>
      <c r="D53" s="19" t="n">
        <v>635</v>
      </c>
      <c r="E53" s="18" t="n">
        <v>63.42620983</v>
      </c>
      <c r="F53" s="20" t="n">
        <v>2.1592365</v>
      </c>
      <c r="G53" s="18" t="n">
        <v>30.71352598</v>
      </c>
      <c r="H53" s="20" t="n">
        <v>1.9449665</v>
      </c>
      <c r="I53" s="18" t="s">
        <v>567</v>
      </c>
      <c r="J53" s="20" t="s">
        <v>567</v>
      </c>
      <c r="K53" s="18" t="n">
        <v>1.12929715</v>
      </c>
      <c r="L53" s="20" t="n">
        <v>0.41228483</v>
      </c>
      <c r="M53" s="18" t="n">
        <v>0</v>
      </c>
      <c r="N53" s="20" t="n">
        <v>0</v>
      </c>
      <c r="O53" s="18" t="n">
        <v>0</v>
      </c>
      <c r="P53" s="20" t="n">
        <v>0</v>
      </c>
      <c r="Q53" s="18" t="n">
        <v>4.73096705</v>
      </c>
      <c r="R53" s="20" t="n">
        <v>0.95493273</v>
      </c>
    </row>
    <row r="54" spans="1:18">
      <c r="A54" s="15" t="s">
        <v>614</v>
      </c>
      <c r="B54" s="17" t="n">
        <v>2266</v>
      </c>
      <c r="C54" s="18">
        <f>(1785.0/B54*100)</f>
        <v/>
      </c>
      <c r="D54" s="19" t="n">
        <v>481</v>
      </c>
      <c r="E54" s="18" t="n">
        <v>61.80812727</v>
      </c>
      <c r="F54" s="20" t="n">
        <v>2.38001737</v>
      </c>
      <c r="G54" s="18" t="n">
        <v>13.35541245</v>
      </c>
      <c r="H54" s="20" t="n">
        <v>1.9903681</v>
      </c>
      <c r="I54" s="18" t="s">
        <v>567</v>
      </c>
      <c r="J54" s="20" t="s">
        <v>567</v>
      </c>
      <c r="K54" s="18" t="n">
        <v>20.06073108</v>
      </c>
      <c r="L54" s="20" t="n">
        <v>2.35260176</v>
      </c>
      <c r="M54" s="18" t="n">
        <v>0.41137226</v>
      </c>
      <c r="N54" s="20" t="n">
        <v>0.39500141</v>
      </c>
      <c r="O54" s="18" t="n">
        <v>0</v>
      </c>
      <c r="P54" s="20" t="n">
        <v>0</v>
      </c>
      <c r="Q54" s="18" t="n">
        <v>4.36435693</v>
      </c>
      <c r="R54" s="20" t="n">
        <v>1.18717574</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(2099.0/B56*100)</f>
        <v/>
      </c>
      <c r="D56" s="19" t="n">
        <v>585</v>
      </c>
      <c r="E56" s="18" t="n">
        <v>36.49825666</v>
      </c>
      <c r="F56" s="20" t="n">
        <v>2.33664513</v>
      </c>
      <c r="G56" s="18" t="n">
        <v>62.20069102</v>
      </c>
      <c r="H56" s="20" t="n">
        <v>2.31580119</v>
      </c>
      <c r="I56" s="18" t="s">
        <v>567</v>
      </c>
      <c r="J56" s="20" t="s">
        <v>567</v>
      </c>
      <c r="K56" s="18" t="n">
        <v>0.3059186</v>
      </c>
      <c r="L56" s="20" t="n">
        <v>0.19518406</v>
      </c>
      <c r="M56" s="18" t="n">
        <v>0</v>
      </c>
      <c r="N56" s="20" t="n">
        <v>0</v>
      </c>
      <c r="O56" s="18" t="n">
        <v>0</v>
      </c>
      <c r="P56" s="20" t="n">
        <v>0</v>
      </c>
      <c r="Q56" s="18" t="n">
        <v>0.99513373</v>
      </c>
      <c r="R56" s="20" t="n">
        <v>0.44491887</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(2563.0/B61*100)</f>
        <v/>
      </c>
      <c r="D61" s="19" t="n">
        <v>761</v>
      </c>
      <c r="E61" s="18" t="n">
        <v>55.07766169</v>
      </c>
      <c r="F61" s="20" t="n">
        <v>1.98077416</v>
      </c>
      <c r="G61" s="18" t="n">
        <v>43.02593494</v>
      </c>
      <c r="H61" s="20" t="n">
        <v>1.94869994</v>
      </c>
      <c r="I61" s="18" t="s">
        <v>567</v>
      </c>
      <c r="J61" s="20" t="s">
        <v>567</v>
      </c>
      <c r="K61" s="18" t="n">
        <v>0.48381699</v>
      </c>
      <c r="L61" s="20" t="n">
        <v>0.24435082</v>
      </c>
      <c r="M61" s="18" t="n">
        <v>0</v>
      </c>
      <c r="N61" s="20" t="n">
        <v>0</v>
      </c>
      <c r="O61" s="18" t="n">
        <v>0</v>
      </c>
      <c r="P61" s="20" t="n">
        <v>0</v>
      </c>
      <c r="Q61" s="18" t="n">
        <v>1.41258638</v>
      </c>
      <c r="R61" s="20" t="n">
        <v>0.51056234</v>
      </c>
    </row>
    <row r="62" spans="1:18">
      <c r="A62" s="15" t="s">
        <v>622</v>
      </c>
      <c r="B62" s="17" t="n">
        <v>2246</v>
      </c>
      <c r="C62" s="18">
        <f>(1787.0/B62*100)</f>
        <v/>
      </c>
      <c r="D62" s="19" t="n">
        <v>459</v>
      </c>
      <c r="E62" s="18" t="n">
        <v>35.55464859</v>
      </c>
      <c r="F62" s="20" t="n">
        <v>2.4050294</v>
      </c>
      <c r="G62" s="18" t="n">
        <v>64.44535141</v>
      </c>
      <c r="H62" s="20" t="n">
        <v>2.4050294</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(2286.0/B66*100)</f>
        <v/>
      </c>
      <c r="D66" s="19" t="n">
        <v>608</v>
      </c>
      <c r="E66" s="18" t="n">
        <v>55.5583195</v>
      </c>
      <c r="F66" s="20" t="n">
        <v>2.10830513</v>
      </c>
      <c r="G66" s="18" t="n">
        <v>34.5927435</v>
      </c>
      <c r="H66" s="20" t="n">
        <v>2.08314353</v>
      </c>
      <c r="I66" s="18" t="s">
        <v>567</v>
      </c>
      <c r="J66" s="20" t="s">
        <v>567</v>
      </c>
      <c r="K66" s="18" t="n">
        <v>2.00070707</v>
      </c>
      <c r="L66" s="20" t="n">
        <v>0.6430348</v>
      </c>
      <c r="M66" s="18" t="n">
        <v>0.64456062</v>
      </c>
      <c r="N66" s="20" t="n">
        <v>0.3072247</v>
      </c>
      <c r="O66" s="18" t="n">
        <v>0</v>
      </c>
      <c r="P66" s="20" t="n">
        <v>0</v>
      </c>
      <c r="Q66" s="18" t="n">
        <v>7.20366931</v>
      </c>
      <c r="R66" s="20" t="n">
        <v>1.19121417</v>
      </c>
    </row>
    <row r="67" spans="1:18">
      <c r="A67" s="15" t="s">
        <v>627</v>
      </c>
      <c r="B67" s="17" t="n">
        <v>3511</v>
      </c>
      <c r="C67" s="18">
        <f>(2858.0/B67*100)</f>
        <v/>
      </c>
      <c r="D67" s="19" t="n">
        <v>653</v>
      </c>
      <c r="E67" s="18" t="n">
        <v>71.20303339</v>
      </c>
      <c r="F67" s="20" t="n">
        <v>1.72481747</v>
      </c>
      <c r="G67" s="18" t="n">
        <v>26.51816739</v>
      </c>
      <c r="H67" s="20" t="n">
        <v>1.71438021</v>
      </c>
      <c r="I67" s="18" t="s">
        <v>567</v>
      </c>
      <c r="J67" s="20" t="s">
        <v>567</v>
      </c>
      <c r="K67" s="18" t="n">
        <v>0</v>
      </c>
      <c r="L67" s="20" t="n">
        <v>0</v>
      </c>
      <c r="M67" s="18" t="n">
        <v>0.16748567</v>
      </c>
      <c r="N67" s="20" t="n">
        <v>0.17065678</v>
      </c>
      <c r="O67" s="18" t="n">
        <v>0</v>
      </c>
      <c r="P67" s="20" t="n">
        <v>0</v>
      </c>
      <c r="Q67" s="18" t="n">
        <v>2.11131355</v>
      </c>
      <c r="R67" s="20" t="n">
        <v>0.48910455</v>
      </c>
    </row>
    <row r="68" spans="1:18">
      <c r="A68" s="15" t="s">
        <v>628</v>
      </c>
      <c r="B68" s="17" t="n">
        <v>6049</v>
      </c>
      <c r="C68" s="18">
        <f>(4732.0/B68*100)</f>
        <v/>
      </c>
      <c r="D68" s="19" t="n">
        <v>1317</v>
      </c>
      <c r="E68" s="18" t="n">
        <v>63.43713818</v>
      </c>
      <c r="F68" s="20" t="n">
        <v>1.66861916</v>
      </c>
      <c r="G68" s="18" t="n">
        <v>26.93499842</v>
      </c>
      <c r="H68" s="20" t="n">
        <v>1.44085571</v>
      </c>
      <c r="I68" s="18" t="s">
        <v>567</v>
      </c>
      <c r="J68" s="20" t="s">
        <v>567</v>
      </c>
      <c r="K68" s="18" t="n">
        <v>4.38668696</v>
      </c>
      <c r="L68" s="20" t="n">
        <v>0.55588807</v>
      </c>
      <c r="M68" s="18" t="n">
        <v>0.07194879999999999</v>
      </c>
      <c r="N68" s="20" t="n">
        <v>0.07210163</v>
      </c>
      <c r="O68" s="18" t="n">
        <v>0</v>
      </c>
      <c r="P68" s="20" t="n">
        <v>0</v>
      </c>
      <c r="Q68" s="18" t="n">
        <v>5.16922764</v>
      </c>
      <c r="R68" s="20" t="n">
        <v>0.57362655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(2303.0/B70*100)</f>
        <v/>
      </c>
      <c r="D70" s="19" t="n">
        <v>626</v>
      </c>
      <c r="E70" s="18" t="n">
        <v>69.30735919</v>
      </c>
      <c r="F70" s="20" t="n">
        <v>2.25631812</v>
      </c>
      <c r="G70" s="18" t="n">
        <v>29.60303579</v>
      </c>
      <c r="H70" s="20" t="n">
        <v>2.19761904</v>
      </c>
      <c r="I70" s="18" t="s">
        <v>567</v>
      </c>
      <c r="J70" s="20" t="s">
        <v>567</v>
      </c>
      <c r="K70" s="18" t="n">
        <v>0.35064221</v>
      </c>
      <c r="L70" s="20" t="n">
        <v>0.17109535</v>
      </c>
      <c r="M70" s="18" t="n">
        <v>0.10899157</v>
      </c>
      <c r="N70" s="20" t="n">
        <v>0.07741298000000001</v>
      </c>
      <c r="O70" s="18" t="n">
        <v>0</v>
      </c>
      <c r="P70" s="20" t="n">
        <v>0</v>
      </c>
      <c r="Q70" s="18" t="n">
        <v>0.62997124</v>
      </c>
      <c r="R70" s="20" t="n">
        <v>0.28664033</v>
      </c>
    </row>
    <row r="71" spans="1:18">
      <c r="A71" s="15" t="s">
        <v>631</v>
      </c>
      <c r="B71" s="17" t="n">
        <v>3142</v>
      </c>
      <c r="C71" s="18">
        <f>(2444.0/B71*100)</f>
        <v/>
      </c>
      <c r="D71" s="19" t="n">
        <v>698</v>
      </c>
      <c r="E71" s="18" t="n">
        <v>28.77604079</v>
      </c>
      <c r="F71" s="20" t="n">
        <v>1.97381143</v>
      </c>
      <c r="G71" s="18" t="n">
        <v>70.26409384</v>
      </c>
      <c r="H71" s="20" t="n">
        <v>2.01715949</v>
      </c>
      <c r="I71" s="18" t="s">
        <v>567</v>
      </c>
      <c r="J71" s="20" t="s">
        <v>567</v>
      </c>
      <c r="K71" s="18" t="n">
        <v>0.31028701</v>
      </c>
      <c r="L71" s="20" t="n">
        <v>0.18559132</v>
      </c>
      <c r="M71" s="18" t="n">
        <v>0</v>
      </c>
      <c r="N71" s="20" t="n">
        <v>0</v>
      </c>
      <c r="O71" s="18" t="n">
        <v>0</v>
      </c>
      <c r="P71" s="20" t="n">
        <v>0</v>
      </c>
      <c r="Q71" s="18" t="n">
        <v>0.64957836</v>
      </c>
      <c r="R71" s="20" t="n">
        <v>0.27542584</v>
      </c>
    </row>
    <row r="72" spans="1:18">
      <c r="A72" s="15" t="s">
        <v>632</v>
      </c>
      <c r="B72" s="17" t="n">
        <v>3889</v>
      </c>
      <c r="C72" s="18">
        <f>(3020.0/B72*100)</f>
        <v/>
      </c>
      <c r="D72" s="19" t="n">
        <v>869</v>
      </c>
      <c r="E72" s="18" t="n">
        <v>43.88555349</v>
      </c>
      <c r="F72" s="20" t="n">
        <v>1.81169104</v>
      </c>
      <c r="G72" s="18" t="n">
        <v>55.06466068</v>
      </c>
      <c r="H72" s="20" t="n">
        <v>1.85051463</v>
      </c>
      <c r="I72" s="18" t="s">
        <v>567</v>
      </c>
      <c r="J72" s="20" t="s">
        <v>567</v>
      </c>
      <c r="K72" s="18" t="n">
        <v>0.39310487</v>
      </c>
      <c r="L72" s="20" t="n">
        <v>0.2322127</v>
      </c>
      <c r="M72" s="18" t="n">
        <v>0</v>
      </c>
      <c r="N72" s="20" t="n">
        <v>0</v>
      </c>
      <c r="O72" s="18" t="n">
        <v>0</v>
      </c>
      <c r="P72" s="20" t="n">
        <v>0</v>
      </c>
      <c r="Q72" s="18" t="n">
        <v>0.65668097</v>
      </c>
      <c r="R72" s="20" t="n">
        <v>0.30958436</v>
      </c>
    </row>
    <row r="73" spans="1:18">
      <c r="A73" s="15" t="s">
        <v>633</v>
      </c>
      <c r="B73" s="17" t="n">
        <v>3597</v>
      </c>
      <c r="C73" s="18">
        <f>(2860.0/B73*100)</f>
        <v/>
      </c>
      <c r="D73" s="19" t="n">
        <v>737</v>
      </c>
      <c r="E73" s="18" t="n">
        <v>68.50289863</v>
      </c>
      <c r="F73" s="20" t="n">
        <v>2.22911819</v>
      </c>
      <c r="G73" s="18" t="n">
        <v>30.23068986</v>
      </c>
      <c r="H73" s="20" t="n">
        <v>2.17150141</v>
      </c>
      <c r="I73" s="18" t="s">
        <v>567</v>
      </c>
      <c r="J73" s="20" t="s">
        <v>567</v>
      </c>
      <c r="K73" s="18" t="n">
        <v>0.19472321</v>
      </c>
      <c r="L73" s="20" t="n">
        <v>0.13378151</v>
      </c>
      <c r="M73" s="18" t="n">
        <v>0.37264331</v>
      </c>
      <c r="N73" s="20" t="n">
        <v>0.24023812</v>
      </c>
      <c r="O73" s="18" t="n">
        <v>0</v>
      </c>
      <c r="P73" s="20" t="n">
        <v>0</v>
      </c>
      <c r="Q73" s="18" t="n">
        <v>0.699045</v>
      </c>
      <c r="R73" s="20" t="n">
        <v>0.31770066</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(1929.0/B75*100)</f>
        <v/>
      </c>
      <c r="D75" s="19" t="n">
        <v>477</v>
      </c>
      <c r="E75" s="18" t="n">
        <v>77.43519114</v>
      </c>
      <c r="F75" s="20" t="n">
        <v>2.3718727</v>
      </c>
      <c r="G75" s="18" t="n">
        <v>10.09797366</v>
      </c>
      <c r="H75" s="20" t="n">
        <v>1.60319607</v>
      </c>
      <c r="I75" s="18" t="s">
        <v>567</v>
      </c>
      <c r="J75" s="20" t="s">
        <v>567</v>
      </c>
      <c r="K75" s="18" t="n">
        <v>3.07043414</v>
      </c>
      <c r="L75" s="20" t="n">
        <v>0.98620221</v>
      </c>
      <c r="M75" s="18" t="n">
        <v>0.85156621</v>
      </c>
      <c r="N75" s="20" t="n">
        <v>0.41050467</v>
      </c>
      <c r="O75" s="18" t="n">
        <v>0</v>
      </c>
      <c r="P75" s="20" t="n">
        <v>0</v>
      </c>
      <c r="Q75" s="18" t="n">
        <v>8.54483484</v>
      </c>
      <c r="R75" s="20" t="n">
        <v>1.45350751</v>
      </c>
    </row>
    <row r="76" spans="1:18">
      <c r="A76" s="15" t="s">
        <v>636</v>
      </c>
      <c r="B76" s="17" t="n">
        <v>7052</v>
      </c>
      <c r="C76" s="18">
        <f>(5500.0/B76*100)</f>
        <v/>
      </c>
      <c r="D76" s="19" t="n">
        <v>1552</v>
      </c>
      <c r="E76" s="18" t="n">
        <v>60.18912745</v>
      </c>
      <c r="F76" s="20" t="n">
        <v>1.61070497</v>
      </c>
      <c r="G76" s="18" t="n">
        <v>34.42232945</v>
      </c>
      <c r="H76" s="20" t="n">
        <v>1.61402556</v>
      </c>
      <c r="I76" s="18" t="s">
        <v>567</v>
      </c>
      <c r="J76" s="20" t="s">
        <v>567</v>
      </c>
      <c r="K76" s="18" t="n">
        <v>1.30648425</v>
      </c>
      <c r="L76" s="20" t="n">
        <v>0.32101139</v>
      </c>
      <c r="M76" s="18" t="n">
        <v>0.24386999</v>
      </c>
      <c r="N76" s="20" t="n">
        <v>0.1370271</v>
      </c>
      <c r="O76" s="18" t="n">
        <v>0</v>
      </c>
      <c r="P76" s="20" t="n">
        <v>0</v>
      </c>
      <c r="Q76" s="18" t="n">
        <v>3.83818885</v>
      </c>
      <c r="R76" s="20" t="n">
        <v>0.52729483</v>
      </c>
    </row>
    <row r="77" spans="1:18">
      <c r="A77" s="15" t="s">
        <v>637</v>
      </c>
      <c r="B77" s="17" t="n">
        <v>2908</v>
      </c>
      <c r="C77" s="18">
        <f>(2265.0/B77*100)</f>
        <v/>
      </c>
      <c r="D77" s="19" t="n">
        <v>643</v>
      </c>
      <c r="E77" s="18" t="n">
        <v>49.91185599</v>
      </c>
      <c r="F77" s="20" t="n">
        <v>2.4868285</v>
      </c>
      <c r="G77" s="18" t="n">
        <v>45.07296823</v>
      </c>
      <c r="H77" s="20" t="n">
        <v>2.38625472</v>
      </c>
      <c r="I77" s="18" t="s">
        <v>567</v>
      </c>
      <c r="J77" s="20" t="s">
        <v>567</v>
      </c>
      <c r="K77" s="18" t="n">
        <v>1.78463336</v>
      </c>
      <c r="L77" s="20" t="n">
        <v>0.4964835</v>
      </c>
      <c r="M77" s="18" t="n">
        <v>0</v>
      </c>
      <c r="N77" s="20" t="n">
        <v>0</v>
      </c>
      <c r="O77" s="18" t="n">
        <v>0</v>
      </c>
      <c r="P77" s="20" t="n">
        <v>0</v>
      </c>
      <c r="Q77" s="18" t="n">
        <v>3.23054243</v>
      </c>
      <c r="R77" s="20" t="n">
        <v>0.70824335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(3238.0/B81*100)</f>
        <v/>
      </c>
      <c r="D81" s="19" t="n">
        <v>925</v>
      </c>
      <c r="E81" s="18" t="n">
        <v>66.28493874</v>
      </c>
      <c r="F81" s="20" t="n">
        <v>1.98345342</v>
      </c>
      <c r="G81" s="18" t="n">
        <v>31.85627612</v>
      </c>
      <c r="H81" s="20" t="n">
        <v>1.79904514</v>
      </c>
      <c r="I81" s="18" t="s">
        <v>567</v>
      </c>
      <c r="J81" s="20" t="s">
        <v>567</v>
      </c>
      <c r="K81" s="18" t="n">
        <v>0.73963234</v>
      </c>
      <c r="L81" s="20" t="n">
        <v>0.39113242</v>
      </c>
      <c r="M81" s="18" t="n">
        <v>0</v>
      </c>
      <c r="N81" s="20" t="n">
        <v>0</v>
      </c>
      <c r="O81" s="18" t="n">
        <v>0</v>
      </c>
      <c r="P81" s="20" t="n">
        <v>0</v>
      </c>
      <c r="Q81" s="18" t="n">
        <v>1.11915279</v>
      </c>
      <c r="R81" s="20" t="n">
        <v>0.38506413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(5780.0/B7*100)</f>
        <v/>
      </c>
      <c r="D7" s="19" t="n">
        <v>1587</v>
      </c>
      <c r="E7" s="18" t="n">
        <v>34.91491025</v>
      </c>
      <c r="F7" s="20" t="n">
        <v>1.27493125</v>
      </c>
      <c r="G7" s="18" t="n">
        <v>64.23740849000001</v>
      </c>
      <c r="H7" s="20" t="n">
        <v>1.28255456</v>
      </c>
      <c r="I7" s="18" t="s">
        <v>567</v>
      </c>
      <c r="J7" s="20" t="s">
        <v>567</v>
      </c>
      <c r="K7" s="18" t="n">
        <v>0.58502035</v>
      </c>
      <c r="L7" s="20" t="n">
        <v>0.1828886</v>
      </c>
      <c r="M7" s="18" t="n">
        <v>0</v>
      </c>
      <c r="N7" s="20" t="n">
        <v>0</v>
      </c>
      <c r="O7" s="18" t="n">
        <v>0</v>
      </c>
      <c r="P7" s="20" t="n">
        <v>0</v>
      </c>
      <c r="Q7" s="18" t="n">
        <v>0.26266091</v>
      </c>
      <c r="R7" s="20" t="n">
        <v>0.11801795</v>
      </c>
    </row>
    <row r="8" spans="1:18">
      <c r="A8" s="15" t="s">
        <v>568</v>
      </c>
      <c r="B8" s="17" t="n">
        <v>3564</v>
      </c>
      <c r="C8" s="18">
        <f>(2796.0/B8*100)</f>
        <v/>
      </c>
      <c r="D8" s="19" t="n">
        <v>768</v>
      </c>
      <c r="E8" s="18" t="n">
        <v>42.27812354</v>
      </c>
      <c r="F8" s="20" t="n">
        <v>2.10974678</v>
      </c>
      <c r="G8" s="18" t="n">
        <v>57.27371577</v>
      </c>
      <c r="H8" s="20" t="n">
        <v>2.1187382</v>
      </c>
      <c r="I8" s="18" t="s">
        <v>567</v>
      </c>
      <c r="J8" s="20" t="s">
        <v>567</v>
      </c>
      <c r="K8" s="18" t="n">
        <v>0.21749687</v>
      </c>
      <c r="L8" s="20" t="n">
        <v>0.21194308</v>
      </c>
      <c r="M8" s="18" t="n">
        <v>0</v>
      </c>
      <c r="N8" s="20" t="n">
        <v>0</v>
      </c>
      <c r="O8" s="18" t="n">
        <v>0</v>
      </c>
      <c r="P8" s="20" t="n">
        <v>0</v>
      </c>
      <c r="Q8" s="18" t="n">
        <v>0.23066382</v>
      </c>
      <c r="R8" s="20" t="n">
        <v>0.12536266</v>
      </c>
    </row>
    <row r="9" spans="1:18">
      <c r="A9" s="15" t="s">
        <v>569</v>
      </c>
      <c r="B9" s="17" t="n">
        <v>4899</v>
      </c>
      <c r="C9" s="18">
        <f>(3880.0/B9*100)</f>
        <v/>
      </c>
      <c r="D9" s="19" t="n">
        <v>1019</v>
      </c>
      <c r="E9" s="18" t="n">
        <v>40.7175655</v>
      </c>
      <c r="F9" s="20" t="n">
        <v>1.42100689</v>
      </c>
      <c r="G9" s="18" t="n">
        <v>58.27596</v>
      </c>
      <c r="H9" s="20" t="n">
        <v>1.44258112</v>
      </c>
      <c r="I9" s="18" t="s">
        <v>567</v>
      </c>
      <c r="J9" s="20" t="s">
        <v>567</v>
      </c>
      <c r="K9" s="18" t="n">
        <v>0.59970697</v>
      </c>
      <c r="L9" s="20" t="n">
        <v>0.2284048</v>
      </c>
      <c r="M9" s="18" t="n">
        <v>0</v>
      </c>
      <c r="N9" s="20" t="n">
        <v>0</v>
      </c>
      <c r="O9" s="18" t="n">
        <v>0</v>
      </c>
      <c r="P9" s="20" t="n">
        <v>0</v>
      </c>
      <c r="Q9" s="18" t="n">
        <v>0.40676754</v>
      </c>
      <c r="R9" s="20" t="n">
        <v>0.20923817</v>
      </c>
    </row>
    <row r="10" spans="1:18">
      <c r="A10" s="15" t="s">
        <v>570</v>
      </c>
      <c r="B10" s="17" t="n">
        <v>10036</v>
      </c>
      <c r="C10" s="18">
        <f>(7885.0/B10*100)</f>
        <v/>
      </c>
      <c r="D10" s="19" t="n">
        <v>2151</v>
      </c>
      <c r="E10" s="18" t="n">
        <v>38.16889867</v>
      </c>
      <c r="F10" s="20" t="n">
        <v>1.67746027</v>
      </c>
      <c r="G10" s="18" t="n">
        <v>61.23549998</v>
      </c>
      <c r="H10" s="20" t="n">
        <v>1.72807565</v>
      </c>
      <c r="I10" s="18" t="s">
        <v>567</v>
      </c>
      <c r="J10" s="20" t="s">
        <v>567</v>
      </c>
      <c r="K10" s="18" t="n">
        <v>0.28498876</v>
      </c>
      <c r="L10" s="20" t="n">
        <v>0.10599229</v>
      </c>
      <c r="M10" s="18" t="n">
        <v>0</v>
      </c>
      <c r="N10" s="20" t="n">
        <v>0</v>
      </c>
      <c r="O10" s="18" t="n">
        <v>0</v>
      </c>
      <c r="P10" s="20" t="n">
        <v>0</v>
      </c>
      <c r="Q10" s="18" t="n">
        <v>0.31061259</v>
      </c>
      <c r="R10" s="20" t="n">
        <v>0.17132483</v>
      </c>
    </row>
    <row r="11" spans="1:18">
      <c r="A11" s="15" t="s">
        <v>571</v>
      </c>
      <c r="B11" s="17" t="n">
        <v>3553</v>
      </c>
      <c r="C11" s="18">
        <f>(2799.0/B11*100)</f>
        <v/>
      </c>
      <c r="D11" s="19" t="n">
        <v>754</v>
      </c>
      <c r="E11" s="18" t="n">
        <v>53.96816762</v>
      </c>
      <c r="F11" s="20" t="n">
        <v>1.89299011</v>
      </c>
      <c r="G11" s="18" t="n">
        <v>43.02982455</v>
      </c>
      <c r="H11" s="20" t="n">
        <v>1.74894982</v>
      </c>
      <c r="I11" s="18" t="s">
        <v>567</v>
      </c>
      <c r="J11" s="20" t="s">
        <v>567</v>
      </c>
      <c r="K11" s="18" t="n">
        <v>2.30700545</v>
      </c>
      <c r="L11" s="20" t="n">
        <v>0.59212387</v>
      </c>
      <c r="M11" s="18" t="n">
        <v>0</v>
      </c>
      <c r="N11" s="20" t="n">
        <v>0</v>
      </c>
      <c r="O11" s="18" t="n">
        <v>0</v>
      </c>
      <c r="P11" s="20" t="n">
        <v>0</v>
      </c>
      <c r="Q11" s="18" t="n">
        <v>0.69500238</v>
      </c>
      <c r="R11" s="20" t="n">
        <v>0.34709364</v>
      </c>
    </row>
    <row r="12" spans="1:18">
      <c r="A12" s="15" t="s">
        <v>572</v>
      </c>
      <c r="B12" s="17" t="n">
        <v>3472</v>
      </c>
      <c r="C12" s="18">
        <f>(2734.0/B12*100)</f>
        <v/>
      </c>
      <c r="D12" s="19" t="n">
        <v>738</v>
      </c>
      <c r="E12" s="18" t="n">
        <v>49.77264387</v>
      </c>
      <c r="F12" s="20" t="n">
        <v>1.65200721</v>
      </c>
      <c r="G12" s="18" t="n">
        <v>49.13131037</v>
      </c>
      <c r="H12" s="20" t="n">
        <v>1.63482843</v>
      </c>
      <c r="I12" s="18" t="s">
        <v>567</v>
      </c>
      <c r="J12" s="20" t="s">
        <v>567</v>
      </c>
      <c r="K12" s="18" t="n">
        <v>0.67670354</v>
      </c>
      <c r="L12" s="20" t="n">
        <v>0.39643079</v>
      </c>
      <c r="M12" s="18" t="n">
        <v>0</v>
      </c>
      <c r="N12" s="20" t="n">
        <v>0</v>
      </c>
      <c r="O12" s="18" t="n">
        <v>0</v>
      </c>
      <c r="P12" s="20" t="n">
        <v>0</v>
      </c>
      <c r="Q12" s="18" t="n">
        <v>0.41934222</v>
      </c>
      <c r="R12" s="20" t="n">
        <v>0.20567531</v>
      </c>
    </row>
    <row r="13" spans="1:18">
      <c r="A13" s="15" t="s">
        <v>573</v>
      </c>
      <c r="B13" s="17" t="n">
        <v>3559</v>
      </c>
      <c r="C13" s="18">
        <f>(2829.0/B13*100)</f>
        <v/>
      </c>
      <c r="D13" s="19" t="n">
        <v>730</v>
      </c>
      <c r="E13" s="18" t="n">
        <v>36.83453834</v>
      </c>
      <c r="F13" s="20" t="n">
        <v>2.03616615</v>
      </c>
      <c r="G13" s="18" t="n">
        <v>61.67222724</v>
      </c>
      <c r="H13" s="20" t="n">
        <v>1.96316818</v>
      </c>
      <c r="I13" s="18" t="s">
        <v>567</v>
      </c>
      <c r="J13" s="20" t="s">
        <v>567</v>
      </c>
      <c r="K13" s="18" t="n">
        <v>1.20116834</v>
      </c>
      <c r="L13" s="20" t="n">
        <v>0.4986471</v>
      </c>
      <c r="M13" s="18" t="n">
        <v>0</v>
      </c>
      <c r="N13" s="20" t="n">
        <v>0</v>
      </c>
      <c r="O13" s="18" t="n">
        <v>0</v>
      </c>
      <c r="P13" s="20" t="n">
        <v>0</v>
      </c>
      <c r="Q13" s="18" t="n">
        <v>0.29206608</v>
      </c>
      <c r="R13" s="20" t="n">
        <v>0.16861736</v>
      </c>
    </row>
    <row r="14" spans="1:18">
      <c r="A14" s="15" t="s">
        <v>574</v>
      </c>
      <c r="B14" s="17" t="n">
        <v>2799</v>
      </c>
      <c r="C14" s="18">
        <f>(2186.0/B14*100)</f>
        <v/>
      </c>
      <c r="D14" s="19" t="n">
        <v>613</v>
      </c>
      <c r="E14" s="18" t="n">
        <v>50.3602146</v>
      </c>
      <c r="F14" s="20" t="n">
        <v>2.16062377</v>
      </c>
      <c r="G14" s="18" t="n">
        <v>49.47932447</v>
      </c>
      <c r="H14" s="20" t="n">
        <v>2.11516906</v>
      </c>
      <c r="I14" s="18" t="s">
        <v>567</v>
      </c>
      <c r="J14" s="20" t="s">
        <v>567</v>
      </c>
      <c r="K14" s="18" t="n">
        <v>0</v>
      </c>
      <c r="L14" s="20" t="n">
        <v>0</v>
      </c>
      <c r="M14" s="18" t="n">
        <v>0</v>
      </c>
      <c r="N14" s="20" t="n">
        <v>0</v>
      </c>
      <c r="O14" s="18" t="n">
        <v>0</v>
      </c>
      <c r="P14" s="20" t="n">
        <v>0</v>
      </c>
      <c r="Q14" s="18" t="n">
        <v>0.16046092</v>
      </c>
      <c r="R14" s="20" t="n">
        <v>0.15614765</v>
      </c>
    </row>
    <row r="15" spans="1:18">
      <c r="A15" s="15" t="s">
        <v>575</v>
      </c>
      <c r="B15" s="17" t="n">
        <v>3019</v>
      </c>
      <c r="C15" s="18">
        <f>(2402.0/B15*100)</f>
        <v/>
      </c>
      <c r="D15" s="19" t="n">
        <v>617</v>
      </c>
      <c r="E15" s="18" t="n">
        <v>38.95916031</v>
      </c>
      <c r="F15" s="20" t="n">
        <v>2.09339283</v>
      </c>
      <c r="G15" s="18" t="n">
        <v>60.42666106</v>
      </c>
      <c r="H15" s="20" t="n">
        <v>2.10532725</v>
      </c>
      <c r="I15" s="18" t="s">
        <v>567</v>
      </c>
      <c r="J15" s="20" t="s">
        <v>567</v>
      </c>
      <c r="K15" s="18" t="n">
        <v>0.45911255</v>
      </c>
      <c r="L15" s="20" t="n">
        <v>0.26890784</v>
      </c>
      <c r="M15" s="18" t="n">
        <v>0</v>
      </c>
      <c r="N15" s="20" t="n">
        <v>0</v>
      </c>
      <c r="O15" s="18" t="n">
        <v>0</v>
      </c>
      <c r="P15" s="20" t="n">
        <v>0</v>
      </c>
      <c r="Q15" s="18" t="n">
        <v>0.15506609</v>
      </c>
      <c r="R15" s="20" t="n">
        <v>0.15533274</v>
      </c>
    </row>
    <row r="16" spans="1:18">
      <c r="A16" s="15" t="s">
        <v>576</v>
      </c>
      <c r="B16" s="17" t="n">
        <v>2997</v>
      </c>
      <c r="C16" s="18">
        <f>(2360.0/B16*100)</f>
        <v/>
      </c>
      <c r="D16" s="19" t="n">
        <v>637</v>
      </c>
      <c r="E16" s="18" t="n">
        <v>45.71553545</v>
      </c>
      <c r="F16" s="20" t="n">
        <v>2.03661395</v>
      </c>
      <c r="G16" s="18" t="n">
        <v>49.41323618</v>
      </c>
      <c r="H16" s="20" t="n">
        <v>1.87446242</v>
      </c>
      <c r="I16" s="18" t="s">
        <v>567</v>
      </c>
      <c r="J16" s="20" t="s">
        <v>567</v>
      </c>
      <c r="K16" s="18" t="n">
        <v>3.06281443</v>
      </c>
      <c r="L16" s="20" t="n">
        <v>0.77842182</v>
      </c>
      <c r="M16" s="18" t="n">
        <v>0</v>
      </c>
      <c r="N16" s="20" t="n">
        <v>0</v>
      </c>
      <c r="O16" s="18" t="n">
        <v>0</v>
      </c>
      <c r="P16" s="20" t="n">
        <v>0</v>
      </c>
      <c r="Q16" s="18" t="n">
        <v>1.80841394</v>
      </c>
      <c r="R16" s="20" t="n">
        <v>0.4149865</v>
      </c>
    </row>
    <row r="17" spans="1:18">
      <c r="A17" s="15" t="s">
        <v>577</v>
      </c>
      <c r="B17" s="17" t="n">
        <v>3307</v>
      </c>
      <c r="C17" s="18">
        <f>(2598.0/B17*100)</f>
        <v/>
      </c>
      <c r="D17" s="19" t="n">
        <v>709</v>
      </c>
      <c r="E17" s="18" t="n">
        <v>39.05037301</v>
      </c>
      <c r="F17" s="20" t="n">
        <v>1.8319341</v>
      </c>
      <c r="G17" s="18" t="n">
        <v>60.02901189</v>
      </c>
      <c r="H17" s="20" t="n">
        <v>1.81777151</v>
      </c>
      <c r="I17" s="18" t="s">
        <v>567</v>
      </c>
      <c r="J17" s="20" t="s">
        <v>567</v>
      </c>
      <c r="K17" s="18" t="n">
        <v>0.46427271</v>
      </c>
      <c r="L17" s="20" t="n">
        <v>0.25053428</v>
      </c>
      <c r="M17" s="18" t="n">
        <v>0</v>
      </c>
      <c r="N17" s="20" t="n">
        <v>0</v>
      </c>
      <c r="O17" s="18" t="n">
        <v>0</v>
      </c>
      <c r="P17" s="20" t="n">
        <v>0</v>
      </c>
      <c r="Q17" s="18" t="n">
        <v>0.4563424</v>
      </c>
      <c r="R17" s="20" t="n">
        <v>0.23217345</v>
      </c>
    </row>
    <row r="18" spans="1:18">
      <c r="A18" s="15" t="s">
        <v>578</v>
      </c>
      <c r="B18" s="17" t="n">
        <v>2826</v>
      </c>
      <c r="C18" s="18">
        <f>(2218.0/B18*100)</f>
        <v/>
      </c>
      <c r="D18" s="19" t="n">
        <v>608</v>
      </c>
      <c r="E18" s="18" t="n">
        <v>55.5556219</v>
      </c>
      <c r="F18" s="20" t="n">
        <v>2.62993559</v>
      </c>
      <c r="G18" s="18" t="n">
        <v>43.18812855</v>
      </c>
      <c r="H18" s="20" t="n">
        <v>2.57688514</v>
      </c>
      <c r="I18" s="18" t="s">
        <v>567</v>
      </c>
      <c r="J18" s="20" t="s">
        <v>567</v>
      </c>
      <c r="K18" s="18" t="n">
        <v>0.5823237999999999</v>
      </c>
      <c r="L18" s="20" t="n">
        <v>0.31695929</v>
      </c>
      <c r="M18" s="18" t="n">
        <v>0</v>
      </c>
      <c r="N18" s="20" t="n">
        <v>0</v>
      </c>
      <c r="O18" s="18" t="n">
        <v>0</v>
      </c>
      <c r="P18" s="20" t="n">
        <v>0</v>
      </c>
      <c r="Q18" s="18" t="n">
        <v>0.67392575</v>
      </c>
      <c r="R18" s="20" t="n">
        <v>0.3709451</v>
      </c>
    </row>
    <row r="19" spans="1:18">
      <c r="A19" s="15" t="s">
        <v>579</v>
      </c>
      <c r="B19" s="17" t="n">
        <v>2808</v>
      </c>
      <c r="C19" s="18">
        <f>(2211.0/B19*100)</f>
        <v/>
      </c>
      <c r="D19" s="19" t="n">
        <v>597</v>
      </c>
      <c r="E19" s="18" t="n">
        <v>50.67545685</v>
      </c>
      <c r="F19" s="20" t="n">
        <v>2.23440472</v>
      </c>
      <c r="G19" s="18" t="n">
        <v>48.67697677</v>
      </c>
      <c r="H19" s="20" t="n">
        <v>2.24696774</v>
      </c>
      <c r="I19" s="18" t="s">
        <v>567</v>
      </c>
      <c r="J19" s="20" t="s">
        <v>567</v>
      </c>
      <c r="K19" s="18" t="n">
        <v>0.42844202</v>
      </c>
      <c r="L19" s="20" t="n">
        <v>0.2545723</v>
      </c>
      <c r="M19" s="18" t="n">
        <v>0</v>
      </c>
      <c r="N19" s="20" t="n">
        <v>0</v>
      </c>
      <c r="O19" s="18" t="n">
        <v>0</v>
      </c>
      <c r="P19" s="20" t="n">
        <v>0</v>
      </c>
      <c r="Q19" s="18" t="n">
        <v>0.21912436</v>
      </c>
      <c r="R19" s="20" t="n">
        <v>0.21678559</v>
      </c>
    </row>
    <row r="20" spans="1:18">
      <c r="A20" s="15" t="s">
        <v>580</v>
      </c>
      <c r="B20" s="17" t="n">
        <v>1630</v>
      </c>
      <c r="C20" s="18">
        <f>(1274.0/B20*100)</f>
        <v/>
      </c>
      <c r="D20" s="19" t="n">
        <v>356</v>
      </c>
      <c r="E20" s="18" t="n">
        <v>55.38411083</v>
      </c>
      <c r="F20" s="20" t="n">
        <v>2.4724748</v>
      </c>
      <c r="G20" s="18" t="n">
        <v>42.28078992</v>
      </c>
      <c r="H20" s="20" t="n">
        <v>2.52090961</v>
      </c>
      <c r="I20" s="18" t="s">
        <v>567</v>
      </c>
      <c r="J20" s="20" t="s">
        <v>567</v>
      </c>
      <c r="K20" s="18" t="n">
        <v>1.4559445</v>
      </c>
      <c r="L20" s="20" t="n">
        <v>0.65406549</v>
      </c>
      <c r="M20" s="18" t="n">
        <v>0</v>
      </c>
      <c r="N20" s="20" t="n">
        <v>0</v>
      </c>
      <c r="O20" s="18" t="n">
        <v>0</v>
      </c>
      <c r="P20" s="20" t="n">
        <v>0</v>
      </c>
      <c r="Q20" s="18" t="n">
        <v>0.87915475</v>
      </c>
      <c r="R20" s="20" t="n">
        <v>0.50343072</v>
      </c>
    </row>
    <row r="21" spans="1:18">
      <c r="A21" s="15" t="s">
        <v>581</v>
      </c>
      <c r="B21" s="17" t="n">
        <v>2908</v>
      </c>
      <c r="C21" s="18">
        <f>(2251.0/B21*100)</f>
        <v/>
      </c>
      <c r="D21" s="19" t="n">
        <v>657</v>
      </c>
      <c r="E21" s="18" t="n">
        <v>40.28382635</v>
      </c>
      <c r="F21" s="20" t="n">
        <v>1.9950007</v>
      </c>
      <c r="G21" s="18" t="n">
        <v>57.95527183</v>
      </c>
      <c r="H21" s="20" t="n">
        <v>2.23631825</v>
      </c>
      <c r="I21" s="18" t="s">
        <v>567</v>
      </c>
      <c r="J21" s="20" t="s">
        <v>567</v>
      </c>
      <c r="K21" s="18" t="n">
        <v>0.96362249</v>
      </c>
      <c r="L21" s="20" t="n">
        <v>0.41126846</v>
      </c>
      <c r="M21" s="18" t="n">
        <v>0</v>
      </c>
      <c r="N21" s="20" t="n">
        <v>0</v>
      </c>
      <c r="O21" s="18" t="n">
        <v>0</v>
      </c>
      <c r="P21" s="20" t="n">
        <v>0</v>
      </c>
      <c r="Q21" s="18" t="n">
        <v>0.79727932</v>
      </c>
      <c r="R21" s="20" t="n">
        <v>0.36860049</v>
      </c>
    </row>
    <row r="22" spans="1:18">
      <c r="A22" s="15" t="s">
        <v>582</v>
      </c>
      <c r="B22" s="17" t="n">
        <v>2931</v>
      </c>
      <c r="C22" s="18">
        <f>(2278.0/B22*100)</f>
        <v/>
      </c>
      <c r="D22" s="19" t="n">
        <v>653</v>
      </c>
      <c r="E22" s="18" t="n">
        <v>45.93557249</v>
      </c>
      <c r="F22" s="20" t="n">
        <v>1.89094838</v>
      </c>
      <c r="G22" s="18" t="n">
        <v>51.84169795</v>
      </c>
      <c r="H22" s="20" t="n">
        <v>1.90411818</v>
      </c>
      <c r="I22" s="18" t="s">
        <v>567</v>
      </c>
      <c r="J22" s="20" t="s">
        <v>567</v>
      </c>
      <c r="K22" s="18" t="n">
        <v>1.50917811</v>
      </c>
      <c r="L22" s="20" t="n">
        <v>0.6004992099999999</v>
      </c>
      <c r="M22" s="18" t="n">
        <v>0</v>
      </c>
      <c r="N22" s="20" t="n">
        <v>0</v>
      </c>
      <c r="O22" s="18" t="n">
        <v>0</v>
      </c>
      <c r="P22" s="20" t="n">
        <v>0</v>
      </c>
      <c r="Q22" s="18" t="n">
        <v>0.71355145</v>
      </c>
      <c r="R22" s="20" t="n">
        <v>0.34021426</v>
      </c>
    </row>
    <row r="23" spans="1:18">
      <c r="A23" s="15" t="s">
        <v>583</v>
      </c>
      <c r="B23" s="17" t="n">
        <v>5791</v>
      </c>
      <c r="C23" s="18">
        <f>(4545.0/B23*100)</f>
        <v/>
      </c>
      <c r="D23" s="19" t="n">
        <v>1246</v>
      </c>
      <c r="E23" s="18" t="n">
        <v>49.5860369</v>
      </c>
      <c r="F23" s="20" t="n">
        <v>2.43093458</v>
      </c>
      <c r="G23" s="18" t="n">
        <v>49.18136227</v>
      </c>
      <c r="H23" s="20" t="n">
        <v>2.39656932</v>
      </c>
      <c r="I23" s="18" t="s">
        <v>567</v>
      </c>
      <c r="J23" s="20" t="s">
        <v>567</v>
      </c>
      <c r="K23" s="18" t="n">
        <v>0.78993304</v>
      </c>
      <c r="L23" s="20" t="n">
        <v>0.35870064</v>
      </c>
      <c r="M23" s="18" t="n">
        <v>0</v>
      </c>
      <c r="N23" s="20" t="n">
        <v>0</v>
      </c>
      <c r="O23" s="18" t="n">
        <v>0</v>
      </c>
      <c r="P23" s="20" t="n">
        <v>0</v>
      </c>
      <c r="Q23" s="18" t="n">
        <v>0.44266779</v>
      </c>
      <c r="R23" s="20" t="n">
        <v>0.23455316</v>
      </c>
    </row>
    <row r="24" spans="1:18">
      <c r="A24" s="15" t="s">
        <v>584</v>
      </c>
      <c r="B24" s="17" t="n">
        <v>3338</v>
      </c>
      <c r="C24" s="18">
        <f>(2617.0/B24*100)</f>
        <v/>
      </c>
      <c r="D24" s="19" t="n">
        <v>721</v>
      </c>
      <c r="E24" s="18" t="n">
        <v>34.39497628</v>
      </c>
      <c r="F24" s="20" t="n">
        <v>1.84944028</v>
      </c>
      <c r="G24" s="18" t="n">
        <v>64.59256087999999</v>
      </c>
      <c r="H24" s="20" t="n">
        <v>1.92640363</v>
      </c>
      <c r="I24" s="18" t="s">
        <v>567</v>
      </c>
      <c r="J24" s="20" t="s">
        <v>567</v>
      </c>
      <c r="K24" s="18" t="n">
        <v>0.71376282</v>
      </c>
      <c r="L24" s="20" t="n">
        <v>0.32546931</v>
      </c>
      <c r="M24" s="18" t="n">
        <v>0</v>
      </c>
      <c r="N24" s="20" t="n">
        <v>0</v>
      </c>
      <c r="O24" s="18" t="n">
        <v>0</v>
      </c>
      <c r="P24" s="20" t="n">
        <v>0</v>
      </c>
      <c r="Q24" s="18" t="n">
        <v>0.29870002</v>
      </c>
      <c r="R24" s="20" t="n">
        <v>0.21109027</v>
      </c>
    </row>
    <row r="25" spans="1:18">
      <c r="A25" s="15" t="s">
        <v>585</v>
      </c>
      <c r="B25" s="17" t="n">
        <v>2912</v>
      </c>
      <c r="C25" s="18">
        <f>(2253.0/B25*100)</f>
        <v/>
      </c>
      <c r="D25" s="19" t="n">
        <v>659</v>
      </c>
      <c r="E25" s="18" t="n">
        <v>48.40654371</v>
      </c>
      <c r="F25" s="20" t="n">
        <v>2.12460776</v>
      </c>
      <c r="G25" s="18" t="n">
        <v>50.61607727</v>
      </c>
      <c r="H25" s="20" t="n">
        <v>2.06144017</v>
      </c>
      <c r="I25" s="18" t="s">
        <v>567</v>
      </c>
      <c r="J25" s="20" t="s">
        <v>567</v>
      </c>
      <c r="K25" s="18" t="n">
        <v>0.58835837</v>
      </c>
      <c r="L25" s="20" t="n">
        <v>0.29597795</v>
      </c>
      <c r="M25" s="18" t="n">
        <v>0</v>
      </c>
      <c r="N25" s="20" t="n">
        <v>0</v>
      </c>
      <c r="O25" s="18" t="n">
        <v>0</v>
      </c>
      <c r="P25" s="20" t="n">
        <v>0</v>
      </c>
      <c r="Q25" s="18" t="n">
        <v>0.38902066</v>
      </c>
      <c r="R25" s="20" t="n">
        <v>0.22859763</v>
      </c>
    </row>
    <row r="26" spans="1:18">
      <c r="A26" s="15" t="s">
        <v>586</v>
      </c>
      <c r="B26" s="17" t="n">
        <v>2450</v>
      </c>
      <c r="C26" s="18">
        <f>(1936.0/B26*100)</f>
        <v/>
      </c>
      <c r="D26" s="19" t="n">
        <v>514</v>
      </c>
      <c r="E26" s="18" t="n">
        <v>51.71775868</v>
      </c>
      <c r="F26" s="20" t="n">
        <v>2.21800443</v>
      </c>
      <c r="G26" s="18" t="n">
        <v>47.98006553</v>
      </c>
      <c r="H26" s="20" t="n">
        <v>2.24349511</v>
      </c>
      <c r="I26" s="18" t="s">
        <v>567</v>
      </c>
      <c r="J26" s="20" t="s">
        <v>567</v>
      </c>
      <c r="K26" s="18" t="n">
        <v>0</v>
      </c>
      <c r="L26" s="20" t="n">
        <v>0</v>
      </c>
      <c r="M26" s="18" t="n">
        <v>0</v>
      </c>
      <c r="N26" s="20" t="n">
        <v>0</v>
      </c>
      <c r="O26" s="18" t="n">
        <v>0</v>
      </c>
      <c r="P26" s="20" t="n">
        <v>0</v>
      </c>
      <c r="Q26" s="18" t="n">
        <v>0.30217579</v>
      </c>
      <c r="R26" s="20" t="n">
        <v>0.19748175</v>
      </c>
    </row>
    <row r="27" spans="1:18">
      <c r="A27" s="15" t="s">
        <v>587</v>
      </c>
      <c r="B27" s="17" t="n">
        <v>2616</v>
      </c>
      <c r="C27" s="18">
        <f>(2046.0/B27*100)</f>
        <v/>
      </c>
      <c r="D27" s="19" t="n">
        <v>570</v>
      </c>
      <c r="E27" s="18" t="n">
        <v>51.10827982</v>
      </c>
      <c r="F27" s="20" t="n">
        <v>2.04005516</v>
      </c>
      <c r="G27" s="18" t="n">
        <v>48.00834084</v>
      </c>
      <c r="H27" s="20" t="n">
        <v>1.96969221</v>
      </c>
      <c r="I27" s="18" t="s">
        <v>567</v>
      </c>
      <c r="J27" s="20" t="s">
        <v>567</v>
      </c>
      <c r="K27" s="18" t="n">
        <v>0.36143664</v>
      </c>
      <c r="L27" s="20" t="n">
        <v>0.25867358</v>
      </c>
      <c r="M27" s="18" t="n">
        <v>0</v>
      </c>
      <c r="N27" s="20" t="n">
        <v>0</v>
      </c>
      <c r="O27" s="18" t="n">
        <v>0</v>
      </c>
      <c r="P27" s="20" t="n">
        <v>0</v>
      </c>
      <c r="Q27" s="18" t="n">
        <v>0.52194271</v>
      </c>
      <c r="R27" s="20" t="n">
        <v>0.38888446</v>
      </c>
    </row>
    <row r="28" spans="1:18">
      <c r="A28" s="15" t="s">
        <v>588</v>
      </c>
      <c r="B28" s="17" t="n">
        <v>3765</v>
      </c>
      <c r="C28" s="18">
        <f>(3052.0/B28*100)</f>
        <v/>
      </c>
      <c r="D28" s="19" t="n">
        <v>713</v>
      </c>
      <c r="E28" s="18" t="n">
        <v>50.84169919</v>
      </c>
      <c r="F28" s="20" t="n">
        <v>2.14120689</v>
      </c>
      <c r="G28" s="18" t="n">
        <v>47.10589212</v>
      </c>
      <c r="H28" s="20" t="n">
        <v>2.2524804</v>
      </c>
      <c r="I28" s="18" t="s">
        <v>567</v>
      </c>
      <c r="J28" s="20" t="s">
        <v>567</v>
      </c>
      <c r="K28" s="18" t="n">
        <v>1.90682406</v>
      </c>
      <c r="L28" s="20" t="n">
        <v>0.65056382</v>
      </c>
      <c r="M28" s="18" t="n">
        <v>0</v>
      </c>
      <c r="N28" s="20" t="n">
        <v>0</v>
      </c>
      <c r="O28" s="18" t="n">
        <v>0</v>
      </c>
      <c r="P28" s="20" t="n">
        <v>0</v>
      </c>
      <c r="Q28" s="18" t="n">
        <v>0.14558462</v>
      </c>
      <c r="R28" s="20" t="n">
        <v>0.14556465</v>
      </c>
    </row>
    <row r="29" spans="1:18">
      <c r="A29" s="15" t="s">
        <v>589</v>
      </c>
      <c r="B29" s="17" t="n">
        <v>2685</v>
      </c>
      <c r="C29" s="18">
        <f>(2094.0/B29*100)</f>
        <v/>
      </c>
      <c r="D29" s="19" t="n">
        <v>591</v>
      </c>
      <c r="E29" s="18" t="n">
        <v>31.58049943</v>
      </c>
      <c r="F29" s="20" t="n">
        <v>1.8945845</v>
      </c>
      <c r="G29" s="18" t="n">
        <v>67.93530210999999</v>
      </c>
      <c r="H29" s="20" t="n">
        <v>1.88576665</v>
      </c>
      <c r="I29" s="18" t="s">
        <v>567</v>
      </c>
      <c r="J29" s="20" t="s">
        <v>567</v>
      </c>
      <c r="K29" s="18" t="n">
        <v>0.15976781</v>
      </c>
      <c r="L29" s="20" t="n">
        <v>0.17323204</v>
      </c>
      <c r="M29" s="18" t="n">
        <v>0</v>
      </c>
      <c r="N29" s="20" t="n">
        <v>0</v>
      </c>
      <c r="O29" s="18" t="n">
        <v>0</v>
      </c>
      <c r="P29" s="20" t="n">
        <v>0</v>
      </c>
      <c r="Q29" s="18" t="n">
        <v>0.32443065</v>
      </c>
      <c r="R29" s="20" t="n">
        <v>0.2270134</v>
      </c>
    </row>
    <row r="30" spans="1:18">
      <c r="A30" s="15" t="s">
        <v>590</v>
      </c>
      <c r="B30" s="17" t="n">
        <v>2263</v>
      </c>
      <c r="C30" s="18">
        <f>(1785.0/B30*100)</f>
        <v/>
      </c>
      <c r="D30" s="19" t="n">
        <v>478</v>
      </c>
      <c r="E30" s="18" t="n">
        <v>39.35439601</v>
      </c>
      <c r="F30" s="20" t="n">
        <v>2.1275763</v>
      </c>
      <c r="G30" s="18" t="n">
        <v>59.1101735</v>
      </c>
      <c r="H30" s="20" t="n">
        <v>2.04790817</v>
      </c>
      <c r="I30" s="18" t="s">
        <v>567</v>
      </c>
      <c r="J30" s="20" t="s">
        <v>567</v>
      </c>
      <c r="K30" s="18" t="n">
        <v>1.08656265</v>
      </c>
      <c r="L30" s="20" t="n">
        <v>0.52035284</v>
      </c>
      <c r="M30" s="18" t="n">
        <v>0</v>
      </c>
      <c r="N30" s="20" t="n">
        <v>0</v>
      </c>
      <c r="O30" s="18" t="n">
        <v>0</v>
      </c>
      <c r="P30" s="20" t="n">
        <v>0</v>
      </c>
      <c r="Q30" s="18" t="n">
        <v>0.44886785</v>
      </c>
      <c r="R30" s="20" t="n">
        <v>0.40407472</v>
      </c>
    </row>
    <row r="31" spans="1:18">
      <c r="A31" s="15" t="s">
        <v>591</v>
      </c>
      <c r="B31" s="17" t="n">
        <v>2750</v>
      </c>
      <c r="C31" s="18">
        <f>(2136.0/B31*100)</f>
        <v/>
      </c>
      <c r="D31" s="19" t="n">
        <v>614</v>
      </c>
      <c r="E31" s="18" t="n">
        <v>45.63700409</v>
      </c>
      <c r="F31" s="20" t="n">
        <v>2.2047865</v>
      </c>
      <c r="G31" s="18" t="n">
        <v>52.19114284</v>
      </c>
      <c r="H31" s="20" t="n">
        <v>2.19278194</v>
      </c>
      <c r="I31" s="18" t="s">
        <v>567</v>
      </c>
      <c r="J31" s="20" t="s">
        <v>567</v>
      </c>
      <c r="K31" s="18" t="n">
        <v>1.22494486</v>
      </c>
      <c r="L31" s="20" t="n">
        <v>0.47412624</v>
      </c>
      <c r="M31" s="18" t="n">
        <v>0</v>
      </c>
      <c r="N31" s="20" t="n">
        <v>0</v>
      </c>
      <c r="O31" s="18" t="n">
        <v>0</v>
      </c>
      <c r="P31" s="20" t="n">
        <v>0</v>
      </c>
      <c r="Q31" s="18" t="n">
        <v>0.9469082</v>
      </c>
      <c r="R31" s="20" t="n">
        <v>0.37748717</v>
      </c>
    </row>
    <row r="32" spans="1:18">
      <c r="A32" s="15" t="s">
        <v>592</v>
      </c>
      <c r="B32" s="17" t="n">
        <v>2269</v>
      </c>
      <c r="C32" s="18">
        <f>(1781.0/B32*100)</f>
        <v/>
      </c>
      <c r="D32" s="19" t="n">
        <v>488</v>
      </c>
      <c r="E32" s="18" t="n">
        <v>42.19550488</v>
      </c>
      <c r="F32" s="20" t="n">
        <v>2.58294008</v>
      </c>
      <c r="G32" s="18" t="n">
        <v>57.36959759</v>
      </c>
      <c r="H32" s="20" t="n">
        <v>2.61836835</v>
      </c>
      <c r="I32" s="18" t="s">
        <v>567</v>
      </c>
      <c r="J32" s="20" t="s">
        <v>567</v>
      </c>
      <c r="K32" s="18" t="n">
        <v>0.25151345</v>
      </c>
      <c r="L32" s="20" t="n">
        <v>0.26008664</v>
      </c>
      <c r="M32" s="18" t="n">
        <v>0</v>
      </c>
      <c r="N32" s="20" t="n">
        <v>0</v>
      </c>
      <c r="O32" s="18" t="n">
        <v>0</v>
      </c>
      <c r="P32" s="20" t="n">
        <v>0</v>
      </c>
      <c r="Q32" s="18" t="n">
        <v>0.18338408</v>
      </c>
      <c r="R32" s="20" t="n">
        <v>0.18375929</v>
      </c>
    </row>
    <row r="33" spans="1:18">
      <c r="A33" s="15" t="s">
        <v>593</v>
      </c>
      <c r="B33" s="17" t="n">
        <v>3674</v>
      </c>
      <c r="C33" s="18">
        <f>(2880.0/B33*100)</f>
        <v/>
      </c>
      <c r="D33" s="19" t="n">
        <v>794</v>
      </c>
      <c r="E33" s="18" t="n">
        <v>40.87298769</v>
      </c>
      <c r="F33" s="20" t="n">
        <v>2.28795576</v>
      </c>
      <c r="G33" s="18" t="n">
        <v>57.70743549</v>
      </c>
      <c r="H33" s="20" t="n">
        <v>2.21510232</v>
      </c>
      <c r="I33" s="18" t="s">
        <v>567</v>
      </c>
      <c r="J33" s="20" t="s">
        <v>567</v>
      </c>
      <c r="K33" s="18" t="n">
        <v>1.10460646</v>
      </c>
      <c r="L33" s="20" t="n">
        <v>0.46380545</v>
      </c>
      <c r="M33" s="18" t="n">
        <v>0</v>
      </c>
      <c r="N33" s="20" t="n">
        <v>0</v>
      </c>
      <c r="O33" s="18" t="n">
        <v>0</v>
      </c>
      <c r="P33" s="20" t="n">
        <v>0</v>
      </c>
      <c r="Q33" s="18" t="n">
        <v>0.31497035</v>
      </c>
      <c r="R33" s="20" t="n">
        <v>0.21288315</v>
      </c>
    </row>
    <row r="34" spans="1:18">
      <c r="A34" s="15" t="s">
        <v>594</v>
      </c>
      <c r="B34" s="17" t="n">
        <v>3315</v>
      </c>
      <c r="C34" s="18">
        <f>(2624.0/B34*100)</f>
        <v/>
      </c>
      <c r="D34" s="19" t="n">
        <v>691</v>
      </c>
      <c r="E34" s="18" t="n">
        <v>56.77146486</v>
      </c>
      <c r="F34" s="20" t="n">
        <v>2.04036597</v>
      </c>
      <c r="G34" s="18" t="n">
        <v>42.23769524</v>
      </c>
      <c r="H34" s="20" t="n">
        <v>2.06409846</v>
      </c>
      <c r="I34" s="18" t="s">
        <v>567</v>
      </c>
      <c r="J34" s="20" t="s">
        <v>567</v>
      </c>
      <c r="K34" s="18" t="n">
        <v>0.5031481</v>
      </c>
      <c r="L34" s="20" t="n">
        <v>0.2588002</v>
      </c>
      <c r="M34" s="18" t="n">
        <v>0</v>
      </c>
      <c r="N34" s="20" t="n">
        <v>0</v>
      </c>
      <c r="O34" s="18" t="n">
        <v>0</v>
      </c>
      <c r="P34" s="20" t="n">
        <v>0</v>
      </c>
      <c r="Q34" s="18" t="n">
        <v>0.4876918</v>
      </c>
      <c r="R34" s="20" t="n">
        <v>0.29323284</v>
      </c>
    </row>
    <row r="35" spans="1:18">
      <c r="A35" s="15" t="s">
        <v>595</v>
      </c>
      <c r="B35" s="17" t="n">
        <v>3505</v>
      </c>
      <c r="C35" s="18">
        <f>(2782.0/B35*100)</f>
        <v/>
      </c>
      <c r="D35" s="19" t="n">
        <v>723</v>
      </c>
      <c r="E35" s="18" t="n">
        <v>46.22703522</v>
      </c>
      <c r="F35" s="20" t="n">
        <v>2.305126</v>
      </c>
      <c r="G35" s="18" t="n">
        <v>52.41353139</v>
      </c>
      <c r="H35" s="20" t="n">
        <v>2.34144065</v>
      </c>
      <c r="I35" s="18" t="s">
        <v>567</v>
      </c>
      <c r="J35" s="20" t="s">
        <v>567</v>
      </c>
      <c r="K35" s="18" t="n">
        <v>1.19841961</v>
      </c>
      <c r="L35" s="20" t="n">
        <v>0.80523901</v>
      </c>
      <c r="M35" s="18" t="n">
        <v>0</v>
      </c>
      <c r="N35" s="20" t="n">
        <v>0</v>
      </c>
      <c r="O35" s="18" t="n">
        <v>0</v>
      </c>
      <c r="P35" s="20" t="n">
        <v>0</v>
      </c>
      <c r="Q35" s="18" t="n">
        <v>0.16101377</v>
      </c>
      <c r="R35" s="20" t="n">
        <v>0.11737556</v>
      </c>
    </row>
    <row r="36" spans="1:18">
      <c r="A36" s="15" t="s">
        <v>596</v>
      </c>
      <c r="B36" s="17" t="n">
        <v>3332</v>
      </c>
      <c r="C36" s="18">
        <f>(2623.0/B36*100)</f>
        <v/>
      </c>
      <c r="D36" s="19" t="n">
        <v>709</v>
      </c>
      <c r="E36" s="18" t="n">
        <v>44.64359022</v>
      </c>
      <c r="F36" s="20" t="n">
        <v>2.34697917</v>
      </c>
      <c r="G36" s="18" t="n">
        <v>54.15290767</v>
      </c>
      <c r="H36" s="20" t="n">
        <v>2.33909584</v>
      </c>
      <c r="I36" s="18" t="s">
        <v>567</v>
      </c>
      <c r="J36" s="20" t="s">
        <v>567</v>
      </c>
      <c r="K36" s="18" t="n">
        <v>1.04337371</v>
      </c>
      <c r="L36" s="20" t="n">
        <v>0.43885618</v>
      </c>
      <c r="M36" s="18" t="n">
        <v>0</v>
      </c>
      <c r="N36" s="20" t="n">
        <v>0</v>
      </c>
      <c r="O36" s="18" t="n">
        <v>0</v>
      </c>
      <c r="P36" s="20" t="n">
        <v>0</v>
      </c>
      <c r="Q36" s="18" t="n">
        <v>0.1601284</v>
      </c>
      <c r="R36" s="20" t="n">
        <v>0.14780415</v>
      </c>
    </row>
    <row r="37" spans="1:18">
      <c r="A37" s="15" t="s">
        <v>597</v>
      </c>
      <c r="B37" s="17" t="n">
        <v>2727</v>
      </c>
      <c r="C37" s="18">
        <f>(2152.0/B37*100)</f>
        <v/>
      </c>
      <c r="D37" s="19" t="n">
        <v>575</v>
      </c>
      <c r="E37" s="18" t="n">
        <v>44.24501329</v>
      </c>
      <c r="F37" s="20" t="n">
        <v>2.24125399</v>
      </c>
      <c r="G37" s="18" t="n">
        <v>53.59942372</v>
      </c>
      <c r="H37" s="20" t="n">
        <v>2.26111337</v>
      </c>
      <c r="I37" s="18" t="s">
        <v>567</v>
      </c>
      <c r="J37" s="20" t="s">
        <v>567</v>
      </c>
      <c r="K37" s="18" t="n">
        <v>1.3247604</v>
      </c>
      <c r="L37" s="20" t="n">
        <v>0.5138931799999999</v>
      </c>
      <c r="M37" s="18" t="n">
        <v>0</v>
      </c>
      <c r="N37" s="20" t="n">
        <v>0</v>
      </c>
      <c r="O37" s="18" t="n">
        <v>0</v>
      </c>
      <c r="P37" s="20" t="n">
        <v>0</v>
      </c>
      <c r="Q37" s="18" t="n">
        <v>0.83080259</v>
      </c>
      <c r="R37" s="20" t="n">
        <v>0.43164491</v>
      </c>
    </row>
    <row r="38" spans="1:18">
      <c r="A38" s="15" t="s">
        <v>598</v>
      </c>
      <c r="B38" s="17" t="n">
        <v>3053</v>
      </c>
      <c r="C38" s="18">
        <f>(2406.0/B38*100)</f>
        <v/>
      </c>
      <c r="D38" s="19" t="n">
        <v>647</v>
      </c>
      <c r="E38" s="18" t="n">
        <v>49.82203733</v>
      </c>
      <c r="F38" s="20" t="n">
        <v>2.39086612</v>
      </c>
      <c r="G38" s="18" t="n">
        <v>48.40884762</v>
      </c>
      <c r="H38" s="20" t="n">
        <v>2.44557801</v>
      </c>
      <c r="I38" s="18" t="s">
        <v>567</v>
      </c>
      <c r="J38" s="20" t="s">
        <v>567</v>
      </c>
      <c r="K38" s="18" t="n">
        <v>0.26268871</v>
      </c>
      <c r="L38" s="20" t="n">
        <v>0.22908578</v>
      </c>
      <c r="M38" s="18" t="n">
        <v>0</v>
      </c>
      <c r="N38" s="20" t="n">
        <v>0</v>
      </c>
      <c r="O38" s="18" t="n">
        <v>0</v>
      </c>
      <c r="P38" s="20" t="n">
        <v>0</v>
      </c>
      <c r="Q38" s="18" t="n">
        <v>1.50642633</v>
      </c>
      <c r="R38" s="20" t="n">
        <v>0.49883604</v>
      </c>
    </row>
    <row r="39" spans="1:18">
      <c r="A39" s="15" t="s">
        <v>599</v>
      </c>
      <c r="B39" s="17" t="n">
        <v>2957</v>
      </c>
      <c r="C39" s="18">
        <f>(2305.0/B39*100)</f>
        <v/>
      </c>
      <c r="D39" s="19" t="n">
        <v>652</v>
      </c>
      <c r="E39" s="18" t="n">
        <v>61.69235468</v>
      </c>
      <c r="F39" s="20" t="n">
        <v>1.93902045</v>
      </c>
      <c r="G39" s="18" t="n">
        <v>37.28278284</v>
      </c>
      <c r="H39" s="20" t="n">
        <v>1.87147034</v>
      </c>
      <c r="I39" s="18" t="s">
        <v>567</v>
      </c>
      <c r="J39" s="20" t="s">
        <v>567</v>
      </c>
      <c r="K39" s="18" t="n">
        <v>0.72596354</v>
      </c>
      <c r="L39" s="20" t="n">
        <v>0.39420945</v>
      </c>
      <c r="M39" s="18" t="n">
        <v>0</v>
      </c>
      <c r="N39" s="20" t="n">
        <v>0</v>
      </c>
      <c r="O39" s="18" t="n">
        <v>0</v>
      </c>
      <c r="P39" s="20" t="n">
        <v>0</v>
      </c>
      <c r="Q39" s="18" t="n">
        <v>0.29889894</v>
      </c>
      <c r="R39" s="20" t="n">
        <v>0.19497267</v>
      </c>
    </row>
    <row r="40" spans="1:18">
      <c r="A40" s="15" t="s">
        <v>600</v>
      </c>
      <c r="B40" s="17" t="n">
        <v>7235</v>
      </c>
      <c r="C40" s="18">
        <f>(5620.0/B40*100)</f>
        <v/>
      </c>
      <c r="D40" s="19" t="n">
        <v>1615</v>
      </c>
      <c r="E40" s="18" t="n">
        <v>40.48410469</v>
      </c>
      <c r="F40" s="20" t="n">
        <v>2.05669493</v>
      </c>
      <c r="G40" s="18" t="n">
        <v>57.9595234</v>
      </c>
      <c r="H40" s="20" t="n">
        <v>2.03009922</v>
      </c>
      <c r="I40" s="18" t="s">
        <v>567</v>
      </c>
      <c r="J40" s="20" t="s">
        <v>567</v>
      </c>
      <c r="K40" s="18" t="n">
        <v>1.01831201</v>
      </c>
      <c r="L40" s="20" t="n">
        <v>0.42632445</v>
      </c>
      <c r="M40" s="18" t="n">
        <v>0</v>
      </c>
      <c r="N40" s="20" t="n">
        <v>0</v>
      </c>
      <c r="O40" s="18" t="n">
        <v>0</v>
      </c>
      <c r="P40" s="20" t="n">
        <v>0</v>
      </c>
      <c r="Q40" s="18" t="n">
        <v>0.5380599</v>
      </c>
      <c r="R40" s="20" t="n">
        <v>0.25433721</v>
      </c>
    </row>
    <row r="41" spans="1:18">
      <c r="A41" s="15" t="s">
        <v>601</v>
      </c>
      <c r="B41" s="17" t="n">
        <v>2858</v>
      </c>
      <c r="C41" s="18">
        <f>(2227.0/B41*100)</f>
        <v/>
      </c>
      <c r="D41" s="19" t="n">
        <v>631</v>
      </c>
      <c r="E41" s="18" t="n">
        <v>38.12409349</v>
      </c>
      <c r="F41" s="20" t="n">
        <v>2.22299621</v>
      </c>
      <c r="G41" s="18" t="n">
        <v>61.71033852</v>
      </c>
      <c r="H41" s="20" t="n">
        <v>2.22286023</v>
      </c>
      <c r="I41" s="18" t="s">
        <v>567</v>
      </c>
      <c r="J41" s="20" t="s">
        <v>567</v>
      </c>
      <c r="K41" s="18" t="n">
        <v>0.16556799</v>
      </c>
      <c r="L41" s="20" t="n">
        <v>0.15869003</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(9312.0/B46*100)</f>
        <v/>
      </c>
      <c r="D46" s="19" t="n">
        <v>1756</v>
      </c>
      <c r="E46" s="18" t="n">
        <v>65.83479298</v>
      </c>
      <c r="F46" s="20" t="n">
        <v>1.64011382</v>
      </c>
      <c r="G46" s="18" t="n">
        <v>29.85848372</v>
      </c>
      <c r="H46" s="20" t="n">
        <v>1.49723343</v>
      </c>
      <c r="I46" s="18" t="s">
        <v>567</v>
      </c>
      <c r="J46" s="20" t="s">
        <v>567</v>
      </c>
      <c r="K46" s="18" t="n">
        <v>2.74462542</v>
      </c>
      <c r="L46" s="20" t="n">
        <v>0.64757609</v>
      </c>
      <c r="M46" s="18" t="n">
        <v>0</v>
      </c>
      <c r="N46" s="20" t="n">
        <v>0</v>
      </c>
      <c r="O46" s="18" t="n">
        <v>0</v>
      </c>
      <c r="P46" s="20" t="n">
        <v>0</v>
      </c>
      <c r="Q46" s="18" t="n">
        <v>1.56209788</v>
      </c>
      <c r="R46" s="20" t="n">
        <v>0.44736148</v>
      </c>
    </row>
    <row r="47" spans="1:18">
      <c r="A47" s="15" t="s">
        <v>607</v>
      </c>
      <c r="B47" s="17" t="n">
        <v>3105</v>
      </c>
      <c r="C47" s="18">
        <f>(2444.0/B47*100)</f>
        <v/>
      </c>
      <c r="D47" s="19" t="n">
        <v>661</v>
      </c>
      <c r="E47" s="18" t="n">
        <v>60.88973934</v>
      </c>
      <c r="F47" s="20" t="n">
        <v>1.98253518</v>
      </c>
      <c r="G47" s="18" t="n">
        <v>38.39088801</v>
      </c>
      <c r="H47" s="20" t="n">
        <v>2.05129561</v>
      </c>
      <c r="I47" s="18" t="s">
        <v>567</v>
      </c>
      <c r="J47" s="20" t="s">
        <v>567</v>
      </c>
      <c r="K47" s="18" t="n">
        <v>0.29459533</v>
      </c>
      <c r="L47" s="20" t="n">
        <v>0.1841775</v>
      </c>
      <c r="M47" s="18" t="n">
        <v>0</v>
      </c>
      <c r="N47" s="20" t="n">
        <v>0</v>
      </c>
      <c r="O47" s="18" t="n">
        <v>0</v>
      </c>
      <c r="P47" s="20" t="n">
        <v>0</v>
      </c>
      <c r="Q47" s="18" t="n">
        <v>0.42477733</v>
      </c>
      <c r="R47" s="20" t="n">
        <v>0.24239059</v>
      </c>
    </row>
    <row r="48" spans="1:18">
      <c r="A48" s="15" t="s">
        <v>608</v>
      </c>
      <c r="B48" s="17" t="n">
        <v>5159</v>
      </c>
      <c r="C48" s="18">
        <f>(4034.0/B48*100)</f>
        <v/>
      </c>
      <c r="D48" s="19" t="n">
        <v>1125</v>
      </c>
      <c r="E48" s="18" t="n">
        <v>58.49883876</v>
      </c>
      <c r="F48" s="20" t="n">
        <v>1.61917836</v>
      </c>
      <c r="G48" s="18" t="n">
        <v>40.11655183</v>
      </c>
      <c r="H48" s="20" t="n">
        <v>1.71014929</v>
      </c>
      <c r="I48" s="18" t="s">
        <v>567</v>
      </c>
      <c r="J48" s="20" t="s">
        <v>567</v>
      </c>
      <c r="K48" s="18" t="n">
        <v>1.22646226</v>
      </c>
      <c r="L48" s="20" t="n">
        <v>0.58518576</v>
      </c>
      <c r="M48" s="18" t="n">
        <v>0</v>
      </c>
      <c r="N48" s="20" t="n">
        <v>0</v>
      </c>
      <c r="O48" s="18" t="n">
        <v>0</v>
      </c>
      <c r="P48" s="20" t="n">
        <v>0</v>
      </c>
      <c r="Q48" s="18" t="n">
        <v>0.15814714</v>
      </c>
      <c r="R48" s="20" t="n">
        <v>0.15000163</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(4435.0/B50*100)</f>
        <v/>
      </c>
      <c r="D50" s="19" t="n">
        <v>1202</v>
      </c>
      <c r="E50" s="18" t="n">
        <v>49.73551583</v>
      </c>
      <c r="F50" s="20" t="n">
        <v>2.16077261</v>
      </c>
      <c r="G50" s="18" t="n">
        <v>46.88071391</v>
      </c>
      <c r="H50" s="20" t="n">
        <v>2.08131393</v>
      </c>
      <c r="I50" s="18" t="s">
        <v>567</v>
      </c>
      <c r="J50" s="20" t="s">
        <v>567</v>
      </c>
      <c r="K50" s="18" t="n">
        <v>2.68199635</v>
      </c>
      <c r="L50" s="20" t="n">
        <v>0.61275994</v>
      </c>
      <c r="M50" s="18" t="n">
        <v>0</v>
      </c>
      <c r="N50" s="20" t="n">
        <v>0</v>
      </c>
      <c r="O50" s="18" t="n">
        <v>0</v>
      </c>
      <c r="P50" s="20" t="n">
        <v>0</v>
      </c>
      <c r="Q50" s="18" t="n">
        <v>0.70177391</v>
      </c>
      <c r="R50" s="20" t="n">
        <v>0.33692317</v>
      </c>
    </row>
    <row r="51" spans="1:18">
      <c r="A51" s="15" t="s">
        <v>611</v>
      </c>
      <c r="B51" s="17" t="n">
        <v>3372</v>
      </c>
      <c r="C51" s="18">
        <f>(2747.0/B51*100)</f>
        <v/>
      </c>
      <c r="D51" s="19" t="n">
        <v>625</v>
      </c>
      <c r="E51" s="18" t="n">
        <v>56.59200515</v>
      </c>
      <c r="F51" s="20" t="n">
        <v>2.27042244</v>
      </c>
      <c r="G51" s="18" t="n">
        <v>41.89787176</v>
      </c>
      <c r="H51" s="20" t="n">
        <v>2.24922793</v>
      </c>
      <c r="I51" s="18" t="s">
        <v>567</v>
      </c>
      <c r="J51" s="20" t="s">
        <v>567</v>
      </c>
      <c r="K51" s="18" t="n">
        <v>1.31620035</v>
      </c>
      <c r="L51" s="20" t="n">
        <v>0.55977797</v>
      </c>
      <c r="M51" s="18" t="n">
        <v>0</v>
      </c>
      <c r="N51" s="20" t="n">
        <v>0</v>
      </c>
      <c r="O51" s="18" t="n">
        <v>0</v>
      </c>
      <c r="P51" s="20" t="n">
        <v>0</v>
      </c>
      <c r="Q51" s="18" t="n">
        <v>0.19392274</v>
      </c>
      <c r="R51" s="20" t="n">
        <v>0.13944464</v>
      </c>
    </row>
    <row r="52" spans="1:18">
      <c r="A52" s="15" t="s">
        <v>612</v>
      </c>
      <c r="B52" s="17" t="n">
        <v>2796</v>
      </c>
      <c r="C52" s="18">
        <f>(2164.0/B52*100)</f>
        <v/>
      </c>
      <c r="D52" s="19" t="n">
        <v>632</v>
      </c>
      <c r="E52" s="18" t="n">
        <v>59.82179397</v>
      </c>
      <c r="F52" s="20" t="n">
        <v>2.18065667</v>
      </c>
      <c r="G52" s="18" t="n">
        <v>39.18523028</v>
      </c>
      <c r="H52" s="20" t="n">
        <v>2.08023827</v>
      </c>
      <c r="I52" s="18" t="s">
        <v>567</v>
      </c>
      <c r="J52" s="20" t="s">
        <v>567</v>
      </c>
      <c r="K52" s="18" t="n">
        <v>0.42894552</v>
      </c>
      <c r="L52" s="20" t="n">
        <v>0.25523065</v>
      </c>
      <c r="M52" s="18" t="n">
        <v>0</v>
      </c>
      <c r="N52" s="20" t="n">
        <v>0</v>
      </c>
      <c r="O52" s="18" t="n">
        <v>0</v>
      </c>
      <c r="P52" s="20" t="n">
        <v>0</v>
      </c>
      <c r="Q52" s="18" t="n">
        <v>0.56403023</v>
      </c>
      <c r="R52" s="20" t="n">
        <v>0.36016737</v>
      </c>
    </row>
    <row r="53" spans="1:18">
      <c r="A53" s="15" t="s">
        <v>613</v>
      </c>
      <c r="B53" s="17" t="n">
        <v>2811</v>
      </c>
      <c r="C53" s="18">
        <f>(2176.0/B53*100)</f>
        <v/>
      </c>
      <c r="D53" s="19" t="n">
        <v>635</v>
      </c>
      <c r="E53" s="18" t="n">
        <v>60.94831117</v>
      </c>
      <c r="F53" s="20" t="n">
        <v>2.00645982</v>
      </c>
      <c r="G53" s="18" t="n">
        <v>37.20183044</v>
      </c>
      <c r="H53" s="20" t="n">
        <v>1.91881831</v>
      </c>
      <c r="I53" s="18" t="s">
        <v>567</v>
      </c>
      <c r="J53" s="20" t="s">
        <v>567</v>
      </c>
      <c r="K53" s="18" t="n">
        <v>1.41334739</v>
      </c>
      <c r="L53" s="20" t="n">
        <v>0.45726625</v>
      </c>
      <c r="M53" s="18" t="n">
        <v>0</v>
      </c>
      <c r="N53" s="20" t="n">
        <v>0</v>
      </c>
      <c r="O53" s="18" t="n">
        <v>0</v>
      </c>
      <c r="P53" s="20" t="n">
        <v>0</v>
      </c>
      <c r="Q53" s="18" t="n">
        <v>0.436511</v>
      </c>
      <c r="R53" s="20" t="n">
        <v>0.26110782</v>
      </c>
    </row>
    <row r="54" spans="1:18">
      <c r="A54" s="15" t="s">
        <v>614</v>
      </c>
      <c r="B54" s="17" t="n">
        <v>2266</v>
      </c>
      <c r="C54" s="18">
        <f>(1785.0/B54*100)</f>
        <v/>
      </c>
      <c r="D54" s="19" t="n">
        <v>481</v>
      </c>
      <c r="E54" s="18" t="n">
        <v>60.91364576</v>
      </c>
      <c r="F54" s="20" t="n">
        <v>2.3213845</v>
      </c>
      <c r="G54" s="18" t="n">
        <v>16.14612439</v>
      </c>
      <c r="H54" s="20" t="n">
        <v>1.46463031</v>
      </c>
      <c r="I54" s="18" t="s">
        <v>567</v>
      </c>
      <c r="J54" s="20" t="s">
        <v>567</v>
      </c>
      <c r="K54" s="18" t="n">
        <v>21.46581077</v>
      </c>
      <c r="L54" s="20" t="n">
        <v>2.40281101</v>
      </c>
      <c r="M54" s="18" t="n">
        <v>0</v>
      </c>
      <c r="N54" s="20" t="n">
        <v>0</v>
      </c>
      <c r="O54" s="18" t="n">
        <v>0</v>
      </c>
      <c r="P54" s="20" t="n">
        <v>0</v>
      </c>
      <c r="Q54" s="18" t="n">
        <v>1.47441908</v>
      </c>
      <c r="R54" s="20" t="n">
        <v>0.68730689</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(2099.0/B56*100)</f>
        <v/>
      </c>
      <c r="D56" s="19" t="n">
        <v>585</v>
      </c>
      <c r="E56" s="18" t="n">
        <v>43.23566144</v>
      </c>
      <c r="F56" s="20" t="n">
        <v>2.3517758</v>
      </c>
      <c r="G56" s="18" t="n">
        <v>56.30223711</v>
      </c>
      <c r="H56" s="20" t="n">
        <v>2.3724974</v>
      </c>
      <c r="I56" s="18" t="s">
        <v>567</v>
      </c>
      <c r="J56" s="20" t="s">
        <v>567</v>
      </c>
      <c r="K56" s="18" t="n">
        <v>0.3059186</v>
      </c>
      <c r="L56" s="20" t="n">
        <v>0.19518406</v>
      </c>
      <c r="M56" s="18" t="n">
        <v>0</v>
      </c>
      <c r="N56" s="20" t="n">
        <v>0</v>
      </c>
      <c r="O56" s="18" t="n">
        <v>0</v>
      </c>
      <c r="P56" s="20" t="n">
        <v>0</v>
      </c>
      <c r="Q56" s="18" t="n">
        <v>0.15618286</v>
      </c>
      <c r="R56" s="20" t="n">
        <v>0.15226117</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(2564.0/B61*100)</f>
        <v/>
      </c>
      <c r="D61" s="19" t="n">
        <v>760</v>
      </c>
      <c r="E61" s="18" t="n">
        <v>49.27625059</v>
      </c>
      <c r="F61" s="20" t="n">
        <v>2.28875767</v>
      </c>
      <c r="G61" s="18" t="n">
        <v>49.83158048</v>
      </c>
      <c r="H61" s="20" t="n">
        <v>2.26727652</v>
      </c>
      <c r="I61" s="18" t="s">
        <v>567</v>
      </c>
      <c r="J61" s="20" t="s">
        <v>567</v>
      </c>
      <c r="K61" s="18" t="n">
        <v>0.48447139</v>
      </c>
      <c r="L61" s="20" t="n">
        <v>0.24468286</v>
      </c>
      <c r="M61" s="18" t="n">
        <v>0</v>
      </c>
      <c r="N61" s="20" t="n">
        <v>0</v>
      </c>
      <c r="O61" s="18" t="n">
        <v>0</v>
      </c>
      <c r="P61" s="20" t="n">
        <v>0</v>
      </c>
      <c r="Q61" s="18" t="n">
        <v>0.40769754</v>
      </c>
      <c r="R61" s="20" t="n">
        <v>0.2246669</v>
      </c>
    </row>
    <row r="62" spans="1:18">
      <c r="A62" s="15" t="s">
        <v>622</v>
      </c>
      <c r="B62" s="17" t="n">
        <v>2246</v>
      </c>
      <c r="C62" s="18">
        <f>(1787.0/B62*100)</f>
        <v/>
      </c>
      <c r="D62" s="19" t="n">
        <v>459</v>
      </c>
      <c r="E62" s="18" t="n">
        <v>41.42986086</v>
      </c>
      <c r="F62" s="20" t="n">
        <v>2.36333042</v>
      </c>
      <c r="G62" s="18" t="n">
        <v>58.57013914</v>
      </c>
      <c r="H62" s="20" t="n">
        <v>2.36333042</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(2286.0/B66*100)</f>
        <v/>
      </c>
      <c r="D66" s="19" t="n">
        <v>608</v>
      </c>
      <c r="E66" s="18" t="n">
        <v>67.14399527</v>
      </c>
      <c r="F66" s="20" t="n">
        <v>1.65594621</v>
      </c>
      <c r="G66" s="18" t="n">
        <v>29.31190743</v>
      </c>
      <c r="H66" s="20" t="n">
        <v>1.79383231</v>
      </c>
      <c r="I66" s="18" t="s">
        <v>567</v>
      </c>
      <c r="J66" s="20" t="s">
        <v>567</v>
      </c>
      <c r="K66" s="18" t="n">
        <v>2.16206298</v>
      </c>
      <c r="L66" s="20" t="n">
        <v>0.66478291</v>
      </c>
      <c r="M66" s="18" t="n">
        <v>0</v>
      </c>
      <c r="N66" s="20" t="n">
        <v>0</v>
      </c>
      <c r="O66" s="18" t="n">
        <v>0</v>
      </c>
      <c r="P66" s="20" t="n">
        <v>0</v>
      </c>
      <c r="Q66" s="18" t="n">
        <v>1.38203432</v>
      </c>
      <c r="R66" s="20" t="n">
        <v>0.44764055</v>
      </c>
    </row>
    <row r="67" spans="1:18">
      <c r="A67" s="15" t="s">
        <v>627</v>
      </c>
      <c r="B67" s="17" t="n">
        <v>3511</v>
      </c>
      <c r="C67" s="18">
        <f>(2858.0/B67*100)</f>
        <v/>
      </c>
      <c r="D67" s="19" t="n">
        <v>653</v>
      </c>
      <c r="E67" s="18" t="n">
        <v>66.3979899</v>
      </c>
      <c r="F67" s="20" t="n">
        <v>2.39128179</v>
      </c>
      <c r="G67" s="18" t="n">
        <v>33.19953473</v>
      </c>
      <c r="H67" s="20" t="n">
        <v>2.38610717</v>
      </c>
      <c r="I67" s="18" t="s">
        <v>567</v>
      </c>
      <c r="J67" s="20" t="s">
        <v>567</v>
      </c>
      <c r="K67" s="18" t="n">
        <v>0</v>
      </c>
      <c r="L67" s="20" t="n">
        <v>0</v>
      </c>
      <c r="M67" s="18" t="n">
        <v>0</v>
      </c>
      <c r="N67" s="20" t="n">
        <v>0</v>
      </c>
      <c r="O67" s="18" t="n">
        <v>0</v>
      </c>
      <c r="P67" s="20" t="n">
        <v>0</v>
      </c>
      <c r="Q67" s="18" t="n">
        <v>0.40247537</v>
      </c>
      <c r="R67" s="20" t="n">
        <v>0.24005878</v>
      </c>
    </row>
    <row r="68" spans="1:18">
      <c r="A68" s="15" t="s">
        <v>628</v>
      </c>
      <c r="B68" s="17" t="n">
        <v>6049</v>
      </c>
      <c r="C68" s="18">
        <f>(4735.0/B68*100)</f>
        <v/>
      </c>
      <c r="D68" s="19" t="n">
        <v>1314</v>
      </c>
      <c r="E68" s="18" t="n">
        <v>61.6981949</v>
      </c>
      <c r="F68" s="20" t="n">
        <v>1.34157131</v>
      </c>
      <c r="G68" s="18" t="n">
        <v>31.97880108</v>
      </c>
      <c r="H68" s="20" t="n">
        <v>1.35437687</v>
      </c>
      <c r="I68" s="18" t="s">
        <v>567</v>
      </c>
      <c r="J68" s="20" t="s">
        <v>567</v>
      </c>
      <c r="K68" s="18" t="n">
        <v>4.72334764</v>
      </c>
      <c r="L68" s="20" t="n">
        <v>0.60760044</v>
      </c>
      <c r="M68" s="18" t="n">
        <v>0</v>
      </c>
      <c r="N68" s="20" t="n">
        <v>0</v>
      </c>
      <c r="O68" s="18" t="n">
        <v>0</v>
      </c>
      <c r="P68" s="20" t="n">
        <v>0</v>
      </c>
      <c r="Q68" s="18" t="n">
        <v>1.59965639</v>
      </c>
      <c r="R68" s="20" t="n">
        <v>0.33199845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(2303.0/B70*100)</f>
        <v/>
      </c>
      <c r="D70" s="19" t="n">
        <v>626</v>
      </c>
      <c r="E70" s="18" t="n">
        <v>56.79013713</v>
      </c>
      <c r="F70" s="20" t="n">
        <v>2.23060153</v>
      </c>
      <c r="G70" s="18" t="n">
        <v>42.56509468</v>
      </c>
      <c r="H70" s="20" t="n">
        <v>2.24159146</v>
      </c>
      <c r="I70" s="18" t="s">
        <v>567</v>
      </c>
      <c r="J70" s="20" t="s">
        <v>567</v>
      </c>
      <c r="K70" s="18" t="n">
        <v>0.35064221</v>
      </c>
      <c r="L70" s="20" t="n">
        <v>0.17109535</v>
      </c>
      <c r="M70" s="18" t="n">
        <v>0</v>
      </c>
      <c r="N70" s="20" t="n">
        <v>0</v>
      </c>
      <c r="O70" s="18" t="n">
        <v>0</v>
      </c>
      <c r="P70" s="20" t="n">
        <v>0</v>
      </c>
      <c r="Q70" s="18" t="n">
        <v>0.29412598</v>
      </c>
      <c r="R70" s="20" t="n">
        <v>0.21608419</v>
      </c>
    </row>
    <row r="71" spans="1:18">
      <c r="A71" s="15" t="s">
        <v>631</v>
      </c>
      <c r="B71" s="17" t="n">
        <v>3142</v>
      </c>
      <c r="C71" s="18">
        <f>(2444.0/B71*100)</f>
        <v/>
      </c>
      <c r="D71" s="19" t="n">
        <v>698</v>
      </c>
      <c r="E71" s="18" t="n">
        <v>38.87008863</v>
      </c>
      <c r="F71" s="20" t="n">
        <v>1.84538709</v>
      </c>
      <c r="G71" s="18" t="n">
        <v>60.51398478</v>
      </c>
      <c r="H71" s="20" t="n">
        <v>1.85518416</v>
      </c>
      <c r="I71" s="18" t="s">
        <v>567</v>
      </c>
      <c r="J71" s="20" t="s">
        <v>567</v>
      </c>
      <c r="K71" s="18" t="n">
        <v>0.45255022</v>
      </c>
      <c r="L71" s="20" t="n">
        <v>0.23549734</v>
      </c>
      <c r="M71" s="18" t="n">
        <v>0</v>
      </c>
      <c r="N71" s="20" t="n">
        <v>0</v>
      </c>
      <c r="O71" s="18" t="n">
        <v>0</v>
      </c>
      <c r="P71" s="20" t="n">
        <v>0</v>
      </c>
      <c r="Q71" s="18" t="n">
        <v>0.16337637</v>
      </c>
      <c r="R71" s="20" t="n">
        <v>0.11470564</v>
      </c>
    </row>
    <row r="72" spans="1:18">
      <c r="A72" s="15" t="s">
        <v>632</v>
      </c>
      <c r="B72" s="17" t="n">
        <v>3889</v>
      </c>
      <c r="C72" s="18">
        <f>(3020.0/B72*100)</f>
        <v/>
      </c>
      <c r="D72" s="19" t="n">
        <v>869</v>
      </c>
      <c r="E72" s="18" t="n">
        <v>46.29389791</v>
      </c>
      <c r="F72" s="20" t="n">
        <v>2.15960534</v>
      </c>
      <c r="G72" s="18" t="n">
        <v>52.97962601</v>
      </c>
      <c r="H72" s="20" t="n">
        <v>2.15605843</v>
      </c>
      <c r="I72" s="18" t="s">
        <v>567</v>
      </c>
      <c r="J72" s="20" t="s">
        <v>567</v>
      </c>
      <c r="K72" s="18" t="n">
        <v>0.39310487</v>
      </c>
      <c r="L72" s="20" t="n">
        <v>0.2322127</v>
      </c>
      <c r="M72" s="18" t="n">
        <v>0</v>
      </c>
      <c r="N72" s="20" t="n">
        <v>0</v>
      </c>
      <c r="O72" s="18" t="n">
        <v>0</v>
      </c>
      <c r="P72" s="20" t="n">
        <v>0</v>
      </c>
      <c r="Q72" s="18" t="n">
        <v>0.33337122</v>
      </c>
      <c r="R72" s="20" t="n">
        <v>0.20628538</v>
      </c>
    </row>
    <row r="73" spans="1:18">
      <c r="A73" s="15" t="s">
        <v>633</v>
      </c>
      <c r="B73" s="17" t="n">
        <v>3597</v>
      </c>
      <c r="C73" s="18">
        <f>(2860.0/B73*100)</f>
        <v/>
      </c>
      <c r="D73" s="19" t="n">
        <v>737</v>
      </c>
      <c r="E73" s="18" t="n">
        <v>64.47012023000001</v>
      </c>
      <c r="F73" s="20" t="n">
        <v>1.95310128</v>
      </c>
      <c r="G73" s="18" t="n">
        <v>35.32879889</v>
      </c>
      <c r="H73" s="20" t="n">
        <v>1.94050459</v>
      </c>
      <c r="I73" s="18" t="s">
        <v>567</v>
      </c>
      <c r="J73" s="20" t="s">
        <v>567</v>
      </c>
      <c r="K73" s="18" t="n">
        <v>0.19472321</v>
      </c>
      <c r="L73" s="20" t="n">
        <v>0.13378151</v>
      </c>
      <c r="M73" s="18" t="n">
        <v>0</v>
      </c>
      <c r="N73" s="20" t="n">
        <v>0</v>
      </c>
      <c r="O73" s="18" t="n">
        <v>0</v>
      </c>
      <c r="P73" s="20" t="n">
        <v>0</v>
      </c>
      <c r="Q73" s="18" t="n">
        <v>0.00635768</v>
      </c>
      <c r="R73" s="20" t="n">
        <v>0.0066687</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(1928.0/B75*100)</f>
        <v/>
      </c>
      <c r="D75" s="19" t="n">
        <v>478</v>
      </c>
      <c r="E75" s="18" t="n">
        <v>70.8226657</v>
      </c>
      <c r="F75" s="20" t="n">
        <v>2.27934133</v>
      </c>
      <c r="G75" s="18" t="n">
        <v>23.47916736</v>
      </c>
      <c r="H75" s="20" t="n">
        <v>2.19042333</v>
      </c>
      <c r="I75" s="18" t="s">
        <v>567</v>
      </c>
      <c r="J75" s="20" t="s">
        <v>567</v>
      </c>
      <c r="K75" s="18" t="n">
        <v>3.59396724</v>
      </c>
      <c r="L75" s="20" t="n">
        <v>1.12846418</v>
      </c>
      <c r="M75" s="18" t="n">
        <v>0</v>
      </c>
      <c r="N75" s="20" t="n">
        <v>0</v>
      </c>
      <c r="O75" s="18" t="n">
        <v>0</v>
      </c>
      <c r="P75" s="20" t="n">
        <v>0</v>
      </c>
      <c r="Q75" s="18" t="n">
        <v>2.1041997</v>
      </c>
      <c r="R75" s="20" t="n">
        <v>0.61483758</v>
      </c>
    </row>
    <row r="76" spans="1:18">
      <c r="A76" s="15" t="s">
        <v>636</v>
      </c>
      <c r="B76" s="17" t="n">
        <v>7052</v>
      </c>
      <c r="C76" s="18">
        <f>(5502.0/B76*100)</f>
        <v/>
      </c>
      <c r="D76" s="19" t="n">
        <v>1550</v>
      </c>
      <c r="E76" s="18" t="n">
        <v>56.97623117</v>
      </c>
      <c r="F76" s="20" t="n">
        <v>1.55309061</v>
      </c>
      <c r="G76" s="18" t="n">
        <v>40.65911853</v>
      </c>
      <c r="H76" s="20" t="n">
        <v>1.57058855</v>
      </c>
      <c r="I76" s="18" t="s">
        <v>567</v>
      </c>
      <c r="J76" s="20" t="s">
        <v>567</v>
      </c>
      <c r="K76" s="18" t="n">
        <v>1.46951721</v>
      </c>
      <c r="L76" s="20" t="n">
        <v>0.33875308</v>
      </c>
      <c r="M76" s="18" t="n">
        <v>0</v>
      </c>
      <c r="N76" s="20" t="n">
        <v>0</v>
      </c>
      <c r="O76" s="18" t="n">
        <v>0</v>
      </c>
      <c r="P76" s="20" t="n">
        <v>0</v>
      </c>
      <c r="Q76" s="18" t="n">
        <v>0.89513309</v>
      </c>
      <c r="R76" s="20" t="n">
        <v>0.39228911</v>
      </c>
    </row>
    <row r="77" spans="1:18">
      <c r="A77" s="15" t="s">
        <v>637</v>
      </c>
      <c r="B77" s="17" t="n">
        <v>2908</v>
      </c>
      <c r="C77" s="18">
        <f>(2266.0/B77*100)</f>
        <v/>
      </c>
      <c r="D77" s="19" t="n">
        <v>642</v>
      </c>
      <c r="E77" s="18" t="n">
        <v>57.31829739</v>
      </c>
      <c r="F77" s="20" t="n">
        <v>2.26522226</v>
      </c>
      <c r="G77" s="18" t="n">
        <v>39.14674632</v>
      </c>
      <c r="H77" s="20" t="n">
        <v>2.09002678</v>
      </c>
      <c r="I77" s="18" t="s">
        <v>567</v>
      </c>
      <c r="J77" s="20" t="s">
        <v>567</v>
      </c>
      <c r="K77" s="18" t="n">
        <v>2.17644459</v>
      </c>
      <c r="L77" s="20" t="n">
        <v>0.54169137</v>
      </c>
      <c r="M77" s="18" t="n">
        <v>0</v>
      </c>
      <c r="N77" s="20" t="n">
        <v>0</v>
      </c>
      <c r="O77" s="18" t="n">
        <v>0</v>
      </c>
      <c r="P77" s="20" t="n">
        <v>0</v>
      </c>
      <c r="Q77" s="18" t="n">
        <v>1.35851169</v>
      </c>
      <c r="R77" s="20" t="n">
        <v>0.40603471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(3238.0/B81*100)</f>
        <v/>
      </c>
      <c r="D81" s="19" t="n">
        <v>925</v>
      </c>
      <c r="E81" s="18" t="n">
        <v>59.46817984</v>
      </c>
      <c r="F81" s="20" t="n">
        <v>1.80341261</v>
      </c>
      <c r="G81" s="18" t="n">
        <v>39.63791482</v>
      </c>
      <c r="H81" s="20" t="n">
        <v>1.80338601</v>
      </c>
      <c r="I81" s="18" t="s">
        <v>567</v>
      </c>
      <c r="J81" s="20" t="s">
        <v>567</v>
      </c>
      <c r="K81" s="18" t="n">
        <v>0.73963234</v>
      </c>
      <c r="L81" s="20" t="n">
        <v>0.39113242</v>
      </c>
      <c r="M81" s="18" t="n">
        <v>0</v>
      </c>
      <c r="N81" s="20" t="n">
        <v>0</v>
      </c>
      <c r="O81" s="18" t="n">
        <v>0</v>
      </c>
      <c r="P81" s="20" t="n">
        <v>0</v>
      </c>
      <c r="Q81" s="18" t="n">
        <v>0.154273</v>
      </c>
      <c r="R81" s="20" t="n">
        <v>0.14541497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(5825.0/B7*100)</f>
        <v/>
      </c>
      <c r="D7" s="19" t="n">
        <v>1542</v>
      </c>
      <c r="E7" s="18" t="n">
        <v>51.53359996</v>
      </c>
      <c r="F7" s="20" t="n">
        <v>1.57858913</v>
      </c>
      <c r="G7" s="18" t="n">
        <v>45.19561733</v>
      </c>
      <c r="H7" s="20" t="n">
        <v>1.51086259</v>
      </c>
      <c r="I7" s="18" t="s">
        <v>567</v>
      </c>
      <c r="J7" s="20" t="s">
        <v>567</v>
      </c>
      <c r="K7" s="18" t="n">
        <v>1.12656338</v>
      </c>
      <c r="L7" s="20" t="n">
        <v>0.28849854</v>
      </c>
      <c r="M7" s="18" t="n">
        <v>0.09883355000000001</v>
      </c>
      <c r="N7" s="20" t="n">
        <v>0.09133185000000001</v>
      </c>
      <c r="O7" s="18" t="n">
        <v>0</v>
      </c>
      <c r="P7" s="20" t="n">
        <v>0</v>
      </c>
      <c r="Q7" s="18" t="n">
        <v>2.04538577</v>
      </c>
      <c r="R7" s="20" t="n">
        <v>0.39056691</v>
      </c>
    </row>
    <row r="8" spans="1:18">
      <c r="A8" s="15" t="s">
        <v>568</v>
      </c>
      <c r="B8" s="17" t="n">
        <v>3564</v>
      </c>
      <c r="C8" s="18">
        <f>(2809.0/B8*100)</f>
        <v/>
      </c>
      <c r="D8" s="19" t="n">
        <v>755</v>
      </c>
      <c r="E8" s="18" t="n">
        <v>67.2921784</v>
      </c>
      <c r="F8" s="20" t="n">
        <v>2.15696014</v>
      </c>
      <c r="G8" s="18" t="n">
        <v>30.66434092</v>
      </c>
      <c r="H8" s="20" t="n">
        <v>1.98233469</v>
      </c>
      <c r="I8" s="18" t="s">
        <v>567</v>
      </c>
      <c r="J8" s="20" t="s">
        <v>567</v>
      </c>
      <c r="K8" s="18" t="n">
        <v>0.9219192899999999</v>
      </c>
      <c r="L8" s="20" t="n">
        <v>0.47463247</v>
      </c>
      <c r="M8" s="18" t="n">
        <v>0</v>
      </c>
      <c r="N8" s="20" t="n">
        <v>0</v>
      </c>
      <c r="O8" s="18" t="n">
        <v>0</v>
      </c>
      <c r="P8" s="20" t="n">
        <v>0</v>
      </c>
      <c r="Q8" s="18" t="n">
        <v>1.1215614</v>
      </c>
      <c r="R8" s="20" t="n">
        <v>0.31785565</v>
      </c>
    </row>
    <row r="9" spans="1:18">
      <c r="A9" s="15" t="s">
        <v>569</v>
      </c>
      <c r="B9" s="17" t="n">
        <v>4899</v>
      </c>
      <c r="C9" s="18">
        <f>(3915.0/B9*100)</f>
        <v/>
      </c>
      <c r="D9" s="19" t="n">
        <v>984</v>
      </c>
      <c r="E9" s="18" t="n">
        <v>56.63746086</v>
      </c>
      <c r="F9" s="20" t="n">
        <v>1.56444344</v>
      </c>
      <c r="G9" s="18" t="n">
        <v>40.40347809</v>
      </c>
      <c r="H9" s="20" t="n">
        <v>1.59495769</v>
      </c>
      <c r="I9" s="18" t="s">
        <v>567</v>
      </c>
      <c r="J9" s="20" t="s">
        <v>567</v>
      </c>
      <c r="K9" s="18" t="n">
        <v>1.13016811</v>
      </c>
      <c r="L9" s="20" t="n">
        <v>0.34818147</v>
      </c>
      <c r="M9" s="18" t="n">
        <v>0.31973864</v>
      </c>
      <c r="N9" s="20" t="n">
        <v>0.1904123</v>
      </c>
      <c r="O9" s="18" t="n">
        <v>0</v>
      </c>
      <c r="P9" s="20" t="n">
        <v>0</v>
      </c>
      <c r="Q9" s="18" t="n">
        <v>1.5091543</v>
      </c>
      <c r="R9" s="20" t="n">
        <v>0.40950588</v>
      </c>
    </row>
    <row r="10" spans="1:18">
      <c r="A10" s="15" t="s">
        <v>570</v>
      </c>
      <c r="B10" s="17" t="n">
        <v>10036</v>
      </c>
      <c r="C10" s="18">
        <f>(7907.0/B10*100)</f>
        <v/>
      </c>
      <c r="D10" s="19" t="n">
        <v>2129</v>
      </c>
      <c r="E10" s="18" t="n">
        <v>51.6327661</v>
      </c>
      <c r="F10" s="20" t="n">
        <v>1.88440499</v>
      </c>
      <c r="G10" s="18" t="n">
        <v>46.43302712</v>
      </c>
      <c r="H10" s="20" t="n">
        <v>1.90464301</v>
      </c>
      <c r="I10" s="18" t="s">
        <v>567</v>
      </c>
      <c r="J10" s="20" t="s">
        <v>567</v>
      </c>
      <c r="K10" s="18" t="n">
        <v>0.5137401</v>
      </c>
      <c r="L10" s="20" t="n">
        <v>0.17892335</v>
      </c>
      <c r="M10" s="18" t="n">
        <v>0.04217949</v>
      </c>
      <c r="N10" s="20" t="n">
        <v>0.029748</v>
      </c>
      <c r="O10" s="18" t="n">
        <v>0</v>
      </c>
      <c r="P10" s="20" t="n">
        <v>0</v>
      </c>
      <c r="Q10" s="18" t="n">
        <v>1.3782872</v>
      </c>
      <c r="R10" s="20" t="n">
        <v>0.33246917</v>
      </c>
    </row>
    <row r="11" spans="1:18">
      <c r="A11" s="15" t="s">
        <v>571</v>
      </c>
      <c r="B11" s="17" t="n">
        <v>3553</v>
      </c>
      <c r="C11" s="18">
        <f>(2825.0/B11*100)</f>
        <v/>
      </c>
      <c r="D11" s="19" t="n">
        <v>728</v>
      </c>
      <c r="E11" s="18" t="n">
        <v>60.91884263</v>
      </c>
      <c r="F11" s="20" t="n">
        <v>2.3410891</v>
      </c>
      <c r="G11" s="18" t="n">
        <v>30.52668055</v>
      </c>
      <c r="H11" s="20" t="n">
        <v>2.18294009</v>
      </c>
      <c r="I11" s="18" t="s">
        <v>567</v>
      </c>
      <c r="J11" s="20" t="s">
        <v>567</v>
      </c>
      <c r="K11" s="18" t="n">
        <v>3.97264684</v>
      </c>
      <c r="L11" s="20" t="n">
        <v>0.73120328</v>
      </c>
      <c r="M11" s="18" t="n">
        <v>0</v>
      </c>
      <c r="N11" s="20" t="n">
        <v>0</v>
      </c>
      <c r="O11" s="18" t="n">
        <v>0</v>
      </c>
      <c r="P11" s="20" t="n">
        <v>0</v>
      </c>
      <c r="Q11" s="18" t="n">
        <v>4.58182998</v>
      </c>
      <c r="R11" s="20" t="n">
        <v>1.11134242</v>
      </c>
    </row>
    <row r="12" spans="1:18">
      <c r="A12" s="15" t="s">
        <v>572</v>
      </c>
      <c r="B12" s="17" t="n">
        <v>3472</v>
      </c>
      <c r="C12" s="18">
        <f>(2744.0/B12*100)</f>
        <v/>
      </c>
      <c r="D12" s="19" t="n">
        <v>728</v>
      </c>
      <c r="E12" s="18" t="n">
        <v>67.40180727000001</v>
      </c>
      <c r="F12" s="20" t="n">
        <v>2.02431742</v>
      </c>
      <c r="G12" s="18" t="n">
        <v>30.52735215</v>
      </c>
      <c r="H12" s="20" t="n">
        <v>2.05638518</v>
      </c>
      <c r="I12" s="18" t="s">
        <v>567</v>
      </c>
      <c r="J12" s="20" t="s">
        <v>567</v>
      </c>
      <c r="K12" s="18" t="n">
        <v>1.32334307</v>
      </c>
      <c r="L12" s="20" t="n">
        <v>0.5765256</v>
      </c>
      <c r="M12" s="18" t="n">
        <v>0</v>
      </c>
      <c r="N12" s="20" t="n">
        <v>0</v>
      </c>
      <c r="O12" s="18" t="n">
        <v>0</v>
      </c>
      <c r="P12" s="20" t="n">
        <v>0</v>
      </c>
      <c r="Q12" s="18" t="n">
        <v>0.7474975</v>
      </c>
      <c r="R12" s="20" t="n">
        <v>0.37141635</v>
      </c>
    </row>
    <row r="13" spans="1:18">
      <c r="A13" s="15" t="s">
        <v>573</v>
      </c>
      <c r="B13" s="17" t="n">
        <v>3559</v>
      </c>
      <c r="C13" s="18">
        <f>(2847.0/B13*100)</f>
        <v/>
      </c>
      <c r="D13" s="19" t="n">
        <v>712</v>
      </c>
      <c r="E13" s="18" t="n">
        <v>69.74692494</v>
      </c>
      <c r="F13" s="20" t="n">
        <v>2.16682734</v>
      </c>
      <c r="G13" s="18" t="n">
        <v>28.31642209</v>
      </c>
      <c r="H13" s="20" t="n">
        <v>2.10626606</v>
      </c>
      <c r="I13" s="18" t="s">
        <v>567</v>
      </c>
      <c r="J13" s="20" t="s">
        <v>567</v>
      </c>
      <c r="K13" s="18" t="n">
        <v>1.60604665</v>
      </c>
      <c r="L13" s="20" t="n">
        <v>0.53035123</v>
      </c>
      <c r="M13" s="18" t="n">
        <v>0.02881202</v>
      </c>
      <c r="N13" s="20" t="n">
        <v>0.0285298</v>
      </c>
      <c r="O13" s="18" t="n">
        <v>0</v>
      </c>
      <c r="P13" s="20" t="n">
        <v>0</v>
      </c>
      <c r="Q13" s="18" t="n">
        <v>0.3017943</v>
      </c>
      <c r="R13" s="20" t="n">
        <v>0.17918812</v>
      </c>
    </row>
    <row r="14" spans="1:18">
      <c r="A14" s="15" t="s">
        <v>574</v>
      </c>
      <c r="B14" s="17" t="n">
        <v>2799</v>
      </c>
      <c r="C14" s="18">
        <f>(2192.0/B14*100)</f>
        <v/>
      </c>
      <c r="D14" s="19" t="n">
        <v>607</v>
      </c>
      <c r="E14" s="18" t="n">
        <v>41.43224566</v>
      </c>
      <c r="F14" s="20" t="n">
        <v>2.22024387</v>
      </c>
      <c r="G14" s="18" t="n">
        <v>57.78186816</v>
      </c>
      <c r="H14" s="20" t="n">
        <v>2.28232261</v>
      </c>
      <c r="I14" s="18" t="s">
        <v>567</v>
      </c>
      <c r="J14" s="20" t="s">
        <v>567</v>
      </c>
      <c r="K14" s="18" t="n">
        <v>0.1235483</v>
      </c>
      <c r="L14" s="20" t="n">
        <v>0.12417625</v>
      </c>
      <c r="M14" s="18" t="n">
        <v>0</v>
      </c>
      <c r="N14" s="20" t="n">
        <v>0</v>
      </c>
      <c r="O14" s="18" t="n">
        <v>0</v>
      </c>
      <c r="P14" s="20" t="n">
        <v>0</v>
      </c>
      <c r="Q14" s="18" t="n">
        <v>0.66233788</v>
      </c>
      <c r="R14" s="20" t="n">
        <v>0.3136618</v>
      </c>
    </row>
    <row r="15" spans="1:18">
      <c r="A15" s="15" t="s">
        <v>575</v>
      </c>
      <c r="B15" s="17" t="n">
        <v>3019</v>
      </c>
      <c r="C15" s="18">
        <f>(2409.0/B15*100)</f>
        <v/>
      </c>
      <c r="D15" s="19" t="n">
        <v>610</v>
      </c>
      <c r="E15" s="18" t="n">
        <v>60.83376082</v>
      </c>
      <c r="F15" s="20" t="n">
        <v>2.08738756</v>
      </c>
      <c r="G15" s="18" t="n">
        <v>37.87453062</v>
      </c>
      <c r="H15" s="20" t="n">
        <v>2.04844815</v>
      </c>
      <c r="I15" s="18" t="s">
        <v>567</v>
      </c>
      <c r="J15" s="20" t="s">
        <v>567</v>
      </c>
      <c r="K15" s="18" t="n">
        <v>0.61232735</v>
      </c>
      <c r="L15" s="20" t="n">
        <v>0.30617333</v>
      </c>
      <c r="M15" s="18" t="n">
        <v>0</v>
      </c>
      <c r="N15" s="20" t="n">
        <v>0</v>
      </c>
      <c r="O15" s="18" t="n">
        <v>0</v>
      </c>
      <c r="P15" s="20" t="n">
        <v>0</v>
      </c>
      <c r="Q15" s="18" t="n">
        <v>0.6793812</v>
      </c>
      <c r="R15" s="20" t="n">
        <v>0.33037136</v>
      </c>
    </row>
    <row r="16" spans="1:18">
      <c r="A16" s="15" t="s">
        <v>576</v>
      </c>
      <c r="B16" s="17" t="n">
        <v>2997</v>
      </c>
      <c r="C16" s="18">
        <f>(2380.0/B16*100)</f>
        <v/>
      </c>
      <c r="D16" s="19" t="n">
        <v>617</v>
      </c>
      <c r="E16" s="18" t="n">
        <v>58.18091031</v>
      </c>
      <c r="F16" s="20" t="n">
        <v>2.0383548</v>
      </c>
      <c r="G16" s="18" t="n">
        <v>34.95721035</v>
      </c>
      <c r="H16" s="20" t="n">
        <v>2.07012652</v>
      </c>
      <c r="I16" s="18" t="s">
        <v>567</v>
      </c>
      <c r="J16" s="20" t="s">
        <v>567</v>
      </c>
      <c r="K16" s="18" t="n">
        <v>4.9611106</v>
      </c>
      <c r="L16" s="20" t="n">
        <v>1.0110196</v>
      </c>
      <c r="M16" s="18" t="n">
        <v>0</v>
      </c>
      <c r="N16" s="20" t="n">
        <v>0</v>
      </c>
      <c r="O16" s="18" t="n">
        <v>0</v>
      </c>
      <c r="P16" s="20" t="n">
        <v>0</v>
      </c>
      <c r="Q16" s="18" t="n">
        <v>1.90076874</v>
      </c>
      <c r="R16" s="20" t="n">
        <v>0.52920795</v>
      </c>
    </row>
    <row r="17" spans="1:18">
      <c r="A17" s="15" t="s">
        <v>577</v>
      </c>
      <c r="B17" s="17" t="n">
        <v>3307</v>
      </c>
      <c r="C17" s="18">
        <f>(2622.0/B17*100)</f>
        <v/>
      </c>
      <c r="D17" s="19" t="n">
        <v>685</v>
      </c>
      <c r="E17" s="18" t="n">
        <v>59.72607495</v>
      </c>
      <c r="F17" s="20" t="n">
        <v>2.06080555</v>
      </c>
      <c r="G17" s="18" t="n">
        <v>37.32007329</v>
      </c>
      <c r="H17" s="20" t="n">
        <v>2.07138297</v>
      </c>
      <c r="I17" s="18" t="s">
        <v>567</v>
      </c>
      <c r="J17" s="20" t="s">
        <v>567</v>
      </c>
      <c r="K17" s="18" t="n">
        <v>1.02334032</v>
      </c>
      <c r="L17" s="20" t="n">
        <v>0.37059007</v>
      </c>
      <c r="M17" s="18" t="n">
        <v>0</v>
      </c>
      <c r="N17" s="20" t="n">
        <v>0</v>
      </c>
      <c r="O17" s="18" t="n">
        <v>0</v>
      </c>
      <c r="P17" s="20" t="n">
        <v>0</v>
      </c>
      <c r="Q17" s="18" t="n">
        <v>1.93051144</v>
      </c>
      <c r="R17" s="20" t="n">
        <v>0.57526058</v>
      </c>
    </row>
    <row r="18" spans="1:18">
      <c r="A18" s="15" t="s">
        <v>578</v>
      </c>
      <c r="B18" s="17" t="n">
        <v>2826</v>
      </c>
      <c r="C18" s="18">
        <f>(2221.0/B18*100)</f>
        <v/>
      </c>
      <c r="D18" s="19" t="n">
        <v>605</v>
      </c>
      <c r="E18" s="18" t="n">
        <v>67.84642028</v>
      </c>
      <c r="F18" s="20" t="n">
        <v>2.04033697</v>
      </c>
      <c r="G18" s="18" t="n">
        <v>25.00894245</v>
      </c>
      <c r="H18" s="20" t="n">
        <v>2.11503077</v>
      </c>
      <c r="I18" s="18" t="s">
        <v>567</v>
      </c>
      <c r="J18" s="20" t="s">
        <v>567</v>
      </c>
      <c r="K18" s="18" t="n">
        <v>1.79119893</v>
      </c>
      <c r="L18" s="20" t="n">
        <v>0.4960433</v>
      </c>
      <c r="M18" s="18" t="n">
        <v>0</v>
      </c>
      <c r="N18" s="20" t="n">
        <v>0</v>
      </c>
      <c r="O18" s="18" t="n">
        <v>0</v>
      </c>
      <c r="P18" s="20" t="n">
        <v>0</v>
      </c>
      <c r="Q18" s="18" t="n">
        <v>5.35343833</v>
      </c>
      <c r="R18" s="20" t="n">
        <v>1.44608749</v>
      </c>
    </row>
    <row r="19" spans="1:18">
      <c r="A19" s="15" t="s">
        <v>579</v>
      </c>
      <c r="B19" s="17" t="n">
        <v>2808</v>
      </c>
      <c r="C19" s="18">
        <f>(2237.0/B19*100)</f>
        <v/>
      </c>
      <c r="D19" s="19" t="n">
        <v>571</v>
      </c>
      <c r="E19" s="18" t="n">
        <v>67.37452700999999</v>
      </c>
      <c r="F19" s="20" t="n">
        <v>2.23402457</v>
      </c>
      <c r="G19" s="18" t="n">
        <v>28.81695974</v>
      </c>
      <c r="H19" s="20" t="n">
        <v>1.96631184</v>
      </c>
      <c r="I19" s="18" t="s">
        <v>567</v>
      </c>
      <c r="J19" s="20" t="s">
        <v>567</v>
      </c>
      <c r="K19" s="18" t="n">
        <v>1.65615682</v>
      </c>
      <c r="L19" s="20" t="n">
        <v>0.60638557</v>
      </c>
      <c r="M19" s="18" t="n">
        <v>0</v>
      </c>
      <c r="N19" s="20" t="n">
        <v>0</v>
      </c>
      <c r="O19" s="18" t="n">
        <v>0</v>
      </c>
      <c r="P19" s="20" t="n">
        <v>0</v>
      </c>
      <c r="Q19" s="18" t="n">
        <v>2.15235644</v>
      </c>
      <c r="R19" s="20" t="n">
        <v>0.71510529</v>
      </c>
    </row>
    <row r="20" spans="1:18">
      <c r="A20" s="15" t="s">
        <v>580</v>
      </c>
      <c r="B20" s="17" t="n">
        <v>1630</v>
      </c>
      <c r="C20" s="18">
        <f>(1281.0/B20*100)</f>
        <v/>
      </c>
      <c r="D20" s="19" t="n">
        <v>349</v>
      </c>
      <c r="E20" s="18" t="n">
        <v>71.49347862</v>
      </c>
      <c r="F20" s="20" t="n">
        <v>2.63934499</v>
      </c>
      <c r="G20" s="18" t="n">
        <v>23.11851366</v>
      </c>
      <c r="H20" s="20" t="n">
        <v>2.54048438</v>
      </c>
      <c r="I20" s="18" t="s">
        <v>567</v>
      </c>
      <c r="J20" s="20" t="s">
        <v>567</v>
      </c>
      <c r="K20" s="18" t="n">
        <v>1.77013929</v>
      </c>
      <c r="L20" s="20" t="n">
        <v>0.72720082</v>
      </c>
      <c r="M20" s="18" t="n">
        <v>0.88441221</v>
      </c>
      <c r="N20" s="20" t="n">
        <v>0.6298570100000001</v>
      </c>
      <c r="O20" s="18" t="n">
        <v>0</v>
      </c>
      <c r="P20" s="20" t="n">
        <v>0</v>
      </c>
      <c r="Q20" s="18" t="n">
        <v>2.73345622</v>
      </c>
      <c r="R20" s="20" t="n">
        <v>0.97462251</v>
      </c>
    </row>
    <row r="21" spans="1:18">
      <c r="A21" s="15" t="s">
        <v>581</v>
      </c>
      <c r="B21" s="17" t="n">
        <v>2908</v>
      </c>
      <c r="C21" s="18">
        <f>(2267.0/B21*100)</f>
        <v/>
      </c>
      <c r="D21" s="19" t="n">
        <v>641</v>
      </c>
      <c r="E21" s="18" t="n">
        <v>55.40395353</v>
      </c>
      <c r="F21" s="20" t="n">
        <v>2.05352199</v>
      </c>
      <c r="G21" s="18" t="n">
        <v>41.79556438</v>
      </c>
      <c r="H21" s="20" t="n">
        <v>2.06623128</v>
      </c>
      <c r="I21" s="18" t="s">
        <v>567</v>
      </c>
      <c r="J21" s="20" t="s">
        <v>567</v>
      </c>
      <c r="K21" s="18" t="n">
        <v>1.382209</v>
      </c>
      <c r="L21" s="20" t="n">
        <v>0.50179589</v>
      </c>
      <c r="M21" s="18" t="n">
        <v>0</v>
      </c>
      <c r="N21" s="20" t="n">
        <v>0</v>
      </c>
      <c r="O21" s="18" t="n">
        <v>0</v>
      </c>
      <c r="P21" s="20" t="n">
        <v>0</v>
      </c>
      <c r="Q21" s="18" t="n">
        <v>1.41827309</v>
      </c>
      <c r="R21" s="20" t="n">
        <v>0.460977</v>
      </c>
    </row>
    <row r="22" spans="1:18">
      <c r="A22" s="15" t="s">
        <v>582</v>
      </c>
      <c r="B22" s="17" t="n">
        <v>2931</v>
      </c>
      <c r="C22" s="18">
        <f>(2302.0/B22*100)</f>
        <v/>
      </c>
      <c r="D22" s="19" t="n">
        <v>629</v>
      </c>
      <c r="E22" s="18" t="n">
        <v>60.52390621</v>
      </c>
      <c r="F22" s="20" t="n">
        <v>2.00792677</v>
      </c>
      <c r="G22" s="18" t="n">
        <v>33.12264839</v>
      </c>
      <c r="H22" s="20" t="n">
        <v>2.0674005</v>
      </c>
      <c r="I22" s="18" t="s">
        <v>567</v>
      </c>
      <c r="J22" s="20" t="s">
        <v>567</v>
      </c>
      <c r="K22" s="18" t="n">
        <v>3.06204534</v>
      </c>
      <c r="L22" s="20" t="n">
        <v>0.88566014</v>
      </c>
      <c r="M22" s="18" t="n">
        <v>0</v>
      </c>
      <c r="N22" s="20" t="n">
        <v>0</v>
      </c>
      <c r="O22" s="18" t="n">
        <v>0</v>
      </c>
      <c r="P22" s="20" t="n">
        <v>0</v>
      </c>
      <c r="Q22" s="18" t="n">
        <v>3.29140006</v>
      </c>
      <c r="R22" s="20" t="n">
        <v>0.92906472</v>
      </c>
    </row>
    <row r="23" spans="1:18">
      <c r="A23" s="15" t="s">
        <v>583</v>
      </c>
      <c r="B23" s="17" t="n">
        <v>5791</v>
      </c>
      <c r="C23" s="18">
        <f>(4575.0/B23*100)</f>
        <v/>
      </c>
      <c r="D23" s="19" t="n">
        <v>1216</v>
      </c>
      <c r="E23" s="18" t="n">
        <v>62.00676591</v>
      </c>
      <c r="F23" s="20" t="n">
        <v>2.10312445</v>
      </c>
      <c r="G23" s="18" t="n">
        <v>33.07022963</v>
      </c>
      <c r="H23" s="20" t="n">
        <v>2.00096987</v>
      </c>
      <c r="I23" s="18" t="s">
        <v>567</v>
      </c>
      <c r="J23" s="20" t="s">
        <v>567</v>
      </c>
      <c r="K23" s="18" t="n">
        <v>1.99886022</v>
      </c>
      <c r="L23" s="20" t="n">
        <v>0.73152989</v>
      </c>
      <c r="M23" s="18" t="n">
        <v>0</v>
      </c>
      <c r="N23" s="20" t="n">
        <v>0</v>
      </c>
      <c r="O23" s="18" t="n">
        <v>0</v>
      </c>
      <c r="P23" s="20" t="n">
        <v>0</v>
      </c>
      <c r="Q23" s="18" t="n">
        <v>2.92414423</v>
      </c>
      <c r="R23" s="20" t="n">
        <v>0.74271056</v>
      </c>
    </row>
    <row r="24" spans="1:18">
      <c r="A24" s="15" t="s">
        <v>584</v>
      </c>
      <c r="B24" s="17" t="n">
        <v>3338</v>
      </c>
      <c r="C24" s="18">
        <f>(2647.0/B24*100)</f>
        <v/>
      </c>
      <c r="D24" s="19" t="n">
        <v>691</v>
      </c>
      <c r="E24" s="18" t="n">
        <v>44.53590497</v>
      </c>
      <c r="F24" s="20" t="n">
        <v>1.88574707</v>
      </c>
      <c r="G24" s="18" t="n">
        <v>52.28813732</v>
      </c>
      <c r="H24" s="20" t="n">
        <v>1.98484896</v>
      </c>
      <c r="I24" s="18" t="s">
        <v>567</v>
      </c>
      <c r="J24" s="20" t="s">
        <v>567</v>
      </c>
      <c r="K24" s="18" t="n">
        <v>1.17767525</v>
      </c>
      <c r="L24" s="20" t="n">
        <v>0.46376284</v>
      </c>
      <c r="M24" s="18" t="n">
        <v>0</v>
      </c>
      <c r="N24" s="20" t="n">
        <v>0</v>
      </c>
      <c r="O24" s="18" t="n">
        <v>0</v>
      </c>
      <c r="P24" s="20" t="n">
        <v>0</v>
      </c>
      <c r="Q24" s="18" t="n">
        <v>1.99828246</v>
      </c>
      <c r="R24" s="20" t="n">
        <v>0.47679476</v>
      </c>
    </row>
    <row r="25" spans="1:18">
      <c r="A25" s="15" t="s">
        <v>585</v>
      </c>
      <c r="B25" s="17" t="n">
        <v>2912</v>
      </c>
      <c r="C25" s="18">
        <f>(2254.0/B25*100)</f>
        <v/>
      </c>
      <c r="D25" s="19" t="n">
        <v>658</v>
      </c>
      <c r="E25" s="18" t="n">
        <v>55.10403121</v>
      </c>
      <c r="F25" s="20" t="n">
        <v>2.39152543</v>
      </c>
      <c r="G25" s="18" t="n">
        <v>42.25319378</v>
      </c>
      <c r="H25" s="20" t="n">
        <v>2.48845265</v>
      </c>
      <c r="I25" s="18" t="s">
        <v>567</v>
      </c>
      <c r="J25" s="20" t="s">
        <v>567</v>
      </c>
      <c r="K25" s="18" t="n">
        <v>0.99627641</v>
      </c>
      <c r="L25" s="20" t="n">
        <v>0.38211563</v>
      </c>
      <c r="M25" s="18" t="n">
        <v>0</v>
      </c>
      <c r="N25" s="20" t="n">
        <v>0</v>
      </c>
      <c r="O25" s="18" t="n">
        <v>0</v>
      </c>
      <c r="P25" s="20" t="n">
        <v>0</v>
      </c>
      <c r="Q25" s="18" t="n">
        <v>1.64649861</v>
      </c>
      <c r="R25" s="20" t="n">
        <v>0.53672444</v>
      </c>
    </row>
    <row r="26" spans="1:18">
      <c r="A26" s="15" t="s">
        <v>586</v>
      </c>
      <c r="B26" s="17" t="n">
        <v>2450</v>
      </c>
      <c r="C26" s="18">
        <f>(1944.0/B26*100)</f>
        <v/>
      </c>
      <c r="D26" s="19" t="n">
        <v>506</v>
      </c>
      <c r="E26" s="18" t="n">
        <v>54.63158586</v>
      </c>
      <c r="F26" s="20" t="n">
        <v>2.28244056</v>
      </c>
      <c r="G26" s="18" t="n">
        <v>43.96640629</v>
      </c>
      <c r="H26" s="20" t="n">
        <v>2.32463123</v>
      </c>
      <c r="I26" s="18" t="s">
        <v>567</v>
      </c>
      <c r="J26" s="20" t="s">
        <v>567</v>
      </c>
      <c r="K26" s="18" t="n">
        <v>0</v>
      </c>
      <c r="L26" s="20" t="n">
        <v>0</v>
      </c>
      <c r="M26" s="18" t="n">
        <v>0.3745274</v>
      </c>
      <c r="N26" s="20" t="n">
        <v>0.29629414</v>
      </c>
      <c r="O26" s="18" t="n">
        <v>0</v>
      </c>
      <c r="P26" s="20" t="n">
        <v>0</v>
      </c>
      <c r="Q26" s="18" t="n">
        <v>1.02748045</v>
      </c>
      <c r="R26" s="20" t="n">
        <v>0.45740514</v>
      </c>
    </row>
    <row r="27" spans="1:18">
      <c r="A27" s="15" t="s">
        <v>587</v>
      </c>
      <c r="B27" s="17" t="n">
        <v>2616</v>
      </c>
      <c r="C27" s="18">
        <f>(2072.0/B27*100)</f>
        <v/>
      </c>
      <c r="D27" s="19" t="n">
        <v>544</v>
      </c>
      <c r="E27" s="18" t="n">
        <v>65.16402244</v>
      </c>
      <c r="F27" s="20" t="n">
        <v>2.01154065</v>
      </c>
      <c r="G27" s="18" t="n">
        <v>30.61173101</v>
      </c>
      <c r="H27" s="20" t="n">
        <v>1.84538715</v>
      </c>
      <c r="I27" s="18" t="s">
        <v>567</v>
      </c>
      <c r="J27" s="20" t="s">
        <v>567</v>
      </c>
      <c r="K27" s="18" t="n">
        <v>1.32428406</v>
      </c>
      <c r="L27" s="20" t="n">
        <v>0.49562364</v>
      </c>
      <c r="M27" s="18" t="n">
        <v>0</v>
      </c>
      <c r="N27" s="20" t="n">
        <v>0</v>
      </c>
      <c r="O27" s="18" t="n">
        <v>0</v>
      </c>
      <c r="P27" s="20" t="n">
        <v>0</v>
      </c>
      <c r="Q27" s="18" t="n">
        <v>2.89996249</v>
      </c>
      <c r="R27" s="20" t="n">
        <v>0.74971234</v>
      </c>
    </row>
    <row r="28" spans="1:18">
      <c r="A28" s="15" t="s">
        <v>588</v>
      </c>
      <c r="B28" s="17" t="n">
        <v>3765</v>
      </c>
      <c r="C28" s="18">
        <f>(3099.0/B28*100)</f>
        <v/>
      </c>
      <c r="D28" s="19" t="n">
        <v>666</v>
      </c>
      <c r="E28" s="18" t="n">
        <v>71.75711683</v>
      </c>
      <c r="F28" s="20" t="n">
        <v>1.75331128</v>
      </c>
      <c r="G28" s="18" t="n">
        <v>24.6203996</v>
      </c>
      <c r="H28" s="20" t="n">
        <v>1.83539046</v>
      </c>
      <c r="I28" s="18" t="s">
        <v>567</v>
      </c>
      <c r="J28" s="20" t="s">
        <v>567</v>
      </c>
      <c r="K28" s="18" t="n">
        <v>2.48714153</v>
      </c>
      <c r="L28" s="20" t="n">
        <v>0.7322974</v>
      </c>
      <c r="M28" s="18" t="n">
        <v>0</v>
      </c>
      <c r="N28" s="20" t="n">
        <v>0</v>
      </c>
      <c r="O28" s="18" t="n">
        <v>0</v>
      </c>
      <c r="P28" s="20" t="n">
        <v>0</v>
      </c>
      <c r="Q28" s="18" t="n">
        <v>1.13534204</v>
      </c>
      <c r="R28" s="20" t="n">
        <v>0.55403662</v>
      </c>
    </row>
    <row r="29" spans="1:18">
      <c r="A29" s="15" t="s">
        <v>589</v>
      </c>
      <c r="B29" s="17" t="n">
        <v>2685</v>
      </c>
      <c r="C29" s="18">
        <f>(2095.0/B29*100)</f>
        <v/>
      </c>
      <c r="D29" s="19" t="n">
        <v>590</v>
      </c>
      <c r="E29" s="18" t="n">
        <v>60.42124345</v>
      </c>
      <c r="F29" s="20" t="n">
        <v>2.6646064</v>
      </c>
      <c r="G29" s="18" t="n">
        <v>37.71553193</v>
      </c>
      <c r="H29" s="20" t="n">
        <v>2.66971696</v>
      </c>
      <c r="I29" s="18" t="s">
        <v>567</v>
      </c>
      <c r="J29" s="20" t="s">
        <v>567</v>
      </c>
      <c r="K29" s="18" t="n">
        <v>0.87627005</v>
      </c>
      <c r="L29" s="20" t="n">
        <v>0.31035888</v>
      </c>
      <c r="M29" s="18" t="n">
        <v>0</v>
      </c>
      <c r="N29" s="20" t="n">
        <v>0</v>
      </c>
      <c r="O29" s="18" t="n">
        <v>0</v>
      </c>
      <c r="P29" s="20" t="n">
        <v>0</v>
      </c>
      <c r="Q29" s="18" t="n">
        <v>0.98695457</v>
      </c>
      <c r="R29" s="20" t="n">
        <v>0.39915979</v>
      </c>
    </row>
    <row r="30" spans="1:18">
      <c r="A30" s="15" t="s">
        <v>590</v>
      </c>
      <c r="B30" s="17" t="n">
        <v>2263</v>
      </c>
      <c r="C30" s="18">
        <f>(1800.0/B30*100)</f>
        <v/>
      </c>
      <c r="D30" s="19" t="n">
        <v>463</v>
      </c>
      <c r="E30" s="18" t="n">
        <v>54.82775813</v>
      </c>
      <c r="F30" s="20" t="n">
        <v>2.36610409</v>
      </c>
      <c r="G30" s="18" t="n">
        <v>39.303634</v>
      </c>
      <c r="H30" s="20" t="n">
        <v>2.29070109</v>
      </c>
      <c r="I30" s="18" t="s">
        <v>567</v>
      </c>
      <c r="J30" s="20" t="s">
        <v>567</v>
      </c>
      <c r="K30" s="18" t="n">
        <v>2.44575378</v>
      </c>
      <c r="L30" s="20" t="n">
        <v>0.83264775</v>
      </c>
      <c r="M30" s="18" t="n">
        <v>0.19844917</v>
      </c>
      <c r="N30" s="20" t="n">
        <v>0.20163275</v>
      </c>
      <c r="O30" s="18" t="n">
        <v>0</v>
      </c>
      <c r="P30" s="20" t="n">
        <v>0</v>
      </c>
      <c r="Q30" s="18" t="n">
        <v>3.22440493</v>
      </c>
      <c r="R30" s="20" t="n">
        <v>0.8866228</v>
      </c>
    </row>
    <row r="31" spans="1:18">
      <c r="A31" s="15" t="s">
        <v>591</v>
      </c>
      <c r="B31" s="17" t="n">
        <v>2750</v>
      </c>
      <c r="C31" s="18">
        <f>(2145.0/B31*100)</f>
        <v/>
      </c>
      <c r="D31" s="19" t="n">
        <v>605</v>
      </c>
      <c r="E31" s="18" t="n">
        <v>69.57826727</v>
      </c>
      <c r="F31" s="20" t="n">
        <v>1.76999178</v>
      </c>
      <c r="G31" s="18" t="n">
        <v>26.73764145</v>
      </c>
      <c r="H31" s="20" t="n">
        <v>1.81812693</v>
      </c>
      <c r="I31" s="18" t="s">
        <v>567</v>
      </c>
      <c r="J31" s="20" t="s">
        <v>567</v>
      </c>
      <c r="K31" s="18" t="n">
        <v>1.71524034</v>
      </c>
      <c r="L31" s="20" t="n">
        <v>0.59728542</v>
      </c>
      <c r="M31" s="18" t="n">
        <v>0.17229307</v>
      </c>
      <c r="N31" s="20" t="n">
        <v>0.18735357</v>
      </c>
      <c r="O31" s="18" t="n">
        <v>0</v>
      </c>
      <c r="P31" s="20" t="n">
        <v>0</v>
      </c>
      <c r="Q31" s="18" t="n">
        <v>1.79655787</v>
      </c>
      <c r="R31" s="20" t="n">
        <v>0.54624145</v>
      </c>
    </row>
    <row r="32" spans="1:18">
      <c r="A32" s="15" t="s">
        <v>592</v>
      </c>
      <c r="B32" s="17" t="n">
        <v>2269</v>
      </c>
      <c r="C32" s="18">
        <f>(1786.0/B32*100)</f>
        <v/>
      </c>
      <c r="D32" s="19" t="n">
        <v>483</v>
      </c>
      <c r="E32" s="18" t="n">
        <v>60.685131</v>
      </c>
      <c r="F32" s="20" t="n">
        <v>2.56510268</v>
      </c>
      <c r="G32" s="18" t="n">
        <v>37.00677419</v>
      </c>
      <c r="H32" s="20" t="n">
        <v>2.56812299</v>
      </c>
      <c r="I32" s="18" t="s">
        <v>567</v>
      </c>
      <c r="J32" s="20" t="s">
        <v>567</v>
      </c>
      <c r="K32" s="18" t="n">
        <v>0.85433023</v>
      </c>
      <c r="L32" s="20" t="n">
        <v>0.42235558</v>
      </c>
      <c r="M32" s="18" t="n">
        <v>0</v>
      </c>
      <c r="N32" s="20" t="n">
        <v>0</v>
      </c>
      <c r="O32" s="18" t="n">
        <v>0</v>
      </c>
      <c r="P32" s="20" t="n">
        <v>0</v>
      </c>
      <c r="Q32" s="18" t="n">
        <v>1.45376458</v>
      </c>
      <c r="R32" s="20" t="n">
        <v>0.58216948</v>
      </c>
    </row>
    <row r="33" spans="1:18">
      <c r="A33" s="15" t="s">
        <v>593</v>
      </c>
      <c r="B33" s="17" t="n">
        <v>3674</v>
      </c>
      <c r="C33" s="18">
        <f>(2919.0/B33*100)</f>
        <v/>
      </c>
      <c r="D33" s="19" t="n">
        <v>755</v>
      </c>
      <c r="E33" s="18" t="n">
        <v>44.82883443</v>
      </c>
      <c r="F33" s="20" t="n">
        <v>1.86446044</v>
      </c>
      <c r="G33" s="18" t="n">
        <v>52.88121851</v>
      </c>
      <c r="H33" s="20" t="n">
        <v>1.88649074</v>
      </c>
      <c r="I33" s="18" t="s">
        <v>567</v>
      </c>
      <c r="J33" s="20" t="s">
        <v>567</v>
      </c>
      <c r="K33" s="18" t="n">
        <v>1.36481415</v>
      </c>
      <c r="L33" s="20" t="n">
        <v>0.50624379</v>
      </c>
      <c r="M33" s="18" t="n">
        <v>0.15385286</v>
      </c>
      <c r="N33" s="20" t="n">
        <v>0.16828716</v>
      </c>
      <c r="O33" s="18" t="n">
        <v>0</v>
      </c>
      <c r="P33" s="20" t="n">
        <v>0</v>
      </c>
      <c r="Q33" s="18" t="n">
        <v>0.77128005</v>
      </c>
      <c r="R33" s="20" t="n">
        <v>0.38244443</v>
      </c>
    </row>
    <row r="34" spans="1:18">
      <c r="A34" s="15" t="s">
        <v>594</v>
      </c>
      <c r="B34" s="17" t="n">
        <v>3315</v>
      </c>
      <c r="C34" s="18">
        <f>(2631.0/B34*100)</f>
        <v/>
      </c>
      <c r="D34" s="19" t="n">
        <v>684</v>
      </c>
      <c r="E34" s="18" t="n">
        <v>78.17095761</v>
      </c>
      <c r="F34" s="20" t="n">
        <v>1.4769429</v>
      </c>
      <c r="G34" s="18" t="n">
        <v>18.75196217</v>
      </c>
      <c r="H34" s="20" t="n">
        <v>1.48293584</v>
      </c>
      <c r="I34" s="18" t="s">
        <v>567</v>
      </c>
      <c r="J34" s="20" t="s">
        <v>567</v>
      </c>
      <c r="K34" s="18" t="n">
        <v>0.77911734</v>
      </c>
      <c r="L34" s="20" t="n">
        <v>0.30971616</v>
      </c>
      <c r="M34" s="18" t="n">
        <v>0.23259304</v>
      </c>
      <c r="N34" s="20" t="n">
        <v>0.19814548</v>
      </c>
      <c r="O34" s="18" t="n">
        <v>0</v>
      </c>
      <c r="P34" s="20" t="n">
        <v>0</v>
      </c>
      <c r="Q34" s="18" t="n">
        <v>2.06536983</v>
      </c>
      <c r="R34" s="20" t="n">
        <v>0.60688214</v>
      </c>
    </row>
    <row r="35" spans="1:18">
      <c r="A35" s="15" t="s">
        <v>595</v>
      </c>
      <c r="B35" s="17" t="n">
        <v>3505</v>
      </c>
      <c r="C35" s="18">
        <f>(2782.0/B35*100)</f>
        <v/>
      </c>
      <c r="D35" s="19" t="n">
        <v>723</v>
      </c>
      <c r="E35" s="18" t="n">
        <v>61.45427846</v>
      </c>
      <c r="F35" s="20" t="n">
        <v>2.1227459</v>
      </c>
      <c r="G35" s="18" t="n">
        <v>36.17770139</v>
      </c>
      <c r="H35" s="20" t="n">
        <v>2.17801287</v>
      </c>
      <c r="I35" s="18" t="s">
        <v>567</v>
      </c>
      <c r="J35" s="20" t="s">
        <v>567</v>
      </c>
      <c r="K35" s="18" t="n">
        <v>1.26524117</v>
      </c>
      <c r="L35" s="20" t="n">
        <v>0.80757321</v>
      </c>
      <c r="M35" s="18" t="n">
        <v>0.24981469</v>
      </c>
      <c r="N35" s="20" t="n">
        <v>0.25129638</v>
      </c>
      <c r="O35" s="18" t="n">
        <v>0</v>
      </c>
      <c r="P35" s="20" t="n">
        <v>0</v>
      </c>
      <c r="Q35" s="18" t="n">
        <v>0.8529643</v>
      </c>
      <c r="R35" s="20" t="n">
        <v>0.25797079</v>
      </c>
    </row>
    <row r="36" spans="1:18">
      <c r="A36" s="15" t="s">
        <v>596</v>
      </c>
      <c r="B36" s="17" t="n">
        <v>3332</v>
      </c>
      <c r="C36" s="18">
        <f>(2642.0/B36*100)</f>
        <v/>
      </c>
      <c r="D36" s="19" t="n">
        <v>690</v>
      </c>
      <c r="E36" s="18" t="n">
        <v>56.29921201</v>
      </c>
      <c r="F36" s="20" t="n">
        <v>2.08231774</v>
      </c>
      <c r="G36" s="18" t="n">
        <v>40.88290616</v>
      </c>
      <c r="H36" s="20" t="n">
        <v>2.25528262</v>
      </c>
      <c r="I36" s="18" t="s">
        <v>567</v>
      </c>
      <c r="J36" s="20" t="s">
        <v>567</v>
      </c>
      <c r="K36" s="18" t="n">
        <v>1.69534168</v>
      </c>
      <c r="L36" s="20" t="n">
        <v>0.6320264</v>
      </c>
      <c r="M36" s="18" t="n">
        <v>0</v>
      </c>
      <c r="N36" s="20" t="n">
        <v>0</v>
      </c>
      <c r="O36" s="18" t="n">
        <v>0</v>
      </c>
      <c r="P36" s="20" t="n">
        <v>0</v>
      </c>
      <c r="Q36" s="18" t="n">
        <v>1.12254016</v>
      </c>
      <c r="R36" s="20" t="n">
        <v>0.5868759</v>
      </c>
    </row>
    <row r="37" spans="1:18">
      <c r="A37" s="15" t="s">
        <v>597</v>
      </c>
      <c r="B37" s="17" t="n">
        <v>2727</v>
      </c>
      <c r="C37" s="18">
        <f>(2175.0/B37*100)</f>
        <v/>
      </c>
      <c r="D37" s="19" t="n">
        <v>552</v>
      </c>
      <c r="E37" s="18" t="n">
        <v>60.58686811</v>
      </c>
      <c r="F37" s="20" t="n">
        <v>2.13964792</v>
      </c>
      <c r="G37" s="18" t="n">
        <v>32.75202888</v>
      </c>
      <c r="H37" s="20" t="n">
        <v>2.03360518</v>
      </c>
      <c r="I37" s="18" t="s">
        <v>567</v>
      </c>
      <c r="J37" s="20" t="s">
        <v>567</v>
      </c>
      <c r="K37" s="18" t="n">
        <v>2.94897174</v>
      </c>
      <c r="L37" s="20" t="n">
        <v>0.73734522</v>
      </c>
      <c r="M37" s="18" t="n">
        <v>0.16571283</v>
      </c>
      <c r="N37" s="20" t="n">
        <v>0.16547307</v>
      </c>
      <c r="O37" s="18" t="n">
        <v>0</v>
      </c>
      <c r="P37" s="20" t="n">
        <v>0</v>
      </c>
      <c r="Q37" s="18" t="n">
        <v>3.54641843</v>
      </c>
      <c r="R37" s="20" t="n">
        <v>0.79604176</v>
      </c>
    </row>
    <row r="38" spans="1:18">
      <c r="A38" s="15" t="s">
        <v>598</v>
      </c>
      <c r="B38" s="17" t="n">
        <v>3053</v>
      </c>
      <c r="C38" s="18">
        <f>(2417.0/B38*100)</f>
        <v/>
      </c>
      <c r="D38" s="19" t="n">
        <v>636</v>
      </c>
      <c r="E38" s="18" t="n">
        <v>63.06059513</v>
      </c>
      <c r="F38" s="20" t="n">
        <v>2.33979509</v>
      </c>
      <c r="G38" s="18" t="n">
        <v>32.05931331</v>
      </c>
      <c r="H38" s="20" t="n">
        <v>2.4336248</v>
      </c>
      <c r="I38" s="18" t="s">
        <v>567</v>
      </c>
      <c r="J38" s="20" t="s">
        <v>567</v>
      </c>
      <c r="K38" s="18" t="n">
        <v>1.24022993</v>
      </c>
      <c r="L38" s="20" t="n">
        <v>0.51551404</v>
      </c>
      <c r="M38" s="18" t="n">
        <v>2.77134532</v>
      </c>
      <c r="N38" s="20" t="n">
        <v>0.64322212</v>
      </c>
      <c r="O38" s="18" t="n">
        <v>0</v>
      </c>
      <c r="P38" s="20" t="n">
        <v>0</v>
      </c>
      <c r="Q38" s="18" t="n">
        <v>0.86851632</v>
      </c>
      <c r="R38" s="20" t="n">
        <v>0.31721245</v>
      </c>
    </row>
    <row r="39" spans="1:18">
      <c r="A39" s="15" t="s">
        <v>599</v>
      </c>
      <c r="B39" s="17" t="n">
        <v>2957</v>
      </c>
      <c r="C39" s="18">
        <f>(2305.0/B39*100)</f>
        <v/>
      </c>
      <c r="D39" s="19" t="n">
        <v>652</v>
      </c>
      <c r="E39" s="18" t="n">
        <v>82.47739747999999</v>
      </c>
      <c r="F39" s="20" t="n">
        <v>1.59149272</v>
      </c>
      <c r="G39" s="18" t="n">
        <v>13.63257269</v>
      </c>
      <c r="H39" s="20" t="n">
        <v>1.48372424</v>
      </c>
      <c r="I39" s="18" t="s">
        <v>567</v>
      </c>
      <c r="J39" s="20" t="s">
        <v>567</v>
      </c>
      <c r="K39" s="18" t="n">
        <v>1.42019331</v>
      </c>
      <c r="L39" s="20" t="n">
        <v>0.51612397</v>
      </c>
      <c r="M39" s="18" t="n">
        <v>0</v>
      </c>
      <c r="N39" s="20" t="n">
        <v>0</v>
      </c>
      <c r="O39" s="18" t="n">
        <v>0</v>
      </c>
      <c r="P39" s="20" t="n">
        <v>0</v>
      </c>
      <c r="Q39" s="18" t="n">
        <v>2.46983653</v>
      </c>
      <c r="R39" s="20" t="n">
        <v>0.64868001</v>
      </c>
    </row>
    <row r="40" spans="1:18">
      <c r="A40" s="15" t="s">
        <v>600</v>
      </c>
      <c r="B40" s="17" t="n">
        <v>7235</v>
      </c>
      <c r="C40" s="18">
        <f>(5630.0/B40*100)</f>
        <v/>
      </c>
      <c r="D40" s="19" t="n">
        <v>1605</v>
      </c>
      <c r="E40" s="18" t="n">
        <v>49.1524848</v>
      </c>
      <c r="F40" s="20" t="n">
        <v>1.91054971</v>
      </c>
      <c r="G40" s="18" t="n">
        <v>47.67446124</v>
      </c>
      <c r="H40" s="20" t="n">
        <v>1.81931136</v>
      </c>
      <c r="I40" s="18" t="s">
        <v>567</v>
      </c>
      <c r="J40" s="20" t="s">
        <v>567</v>
      </c>
      <c r="K40" s="18" t="n">
        <v>1.94510241</v>
      </c>
      <c r="L40" s="20" t="n">
        <v>0.64976414</v>
      </c>
      <c r="M40" s="18" t="n">
        <v>0</v>
      </c>
      <c r="N40" s="20" t="n">
        <v>0</v>
      </c>
      <c r="O40" s="18" t="n">
        <v>0</v>
      </c>
      <c r="P40" s="20" t="n">
        <v>0</v>
      </c>
      <c r="Q40" s="18" t="n">
        <v>1.22795155</v>
      </c>
      <c r="R40" s="20" t="n">
        <v>0.42310401</v>
      </c>
    </row>
    <row r="41" spans="1:18">
      <c r="A41" s="15" t="s">
        <v>601</v>
      </c>
      <c r="B41" s="17" t="n">
        <v>2858</v>
      </c>
      <c r="C41" s="18">
        <f>(2250.0/B41*100)</f>
        <v/>
      </c>
      <c r="D41" s="19" t="n">
        <v>608</v>
      </c>
      <c r="E41" s="18" t="n">
        <v>49.9709454</v>
      </c>
      <c r="F41" s="20" t="n">
        <v>2.31265581</v>
      </c>
      <c r="G41" s="18" t="n">
        <v>48.64701528</v>
      </c>
      <c r="H41" s="20" t="n">
        <v>2.31168359</v>
      </c>
      <c r="I41" s="18" t="s">
        <v>567</v>
      </c>
      <c r="J41" s="20" t="s">
        <v>567</v>
      </c>
      <c r="K41" s="18" t="n">
        <v>0.30930775</v>
      </c>
      <c r="L41" s="20" t="n">
        <v>0.21316819</v>
      </c>
      <c r="M41" s="18" t="n">
        <v>0</v>
      </c>
      <c r="N41" s="20" t="n">
        <v>0</v>
      </c>
      <c r="O41" s="18" t="n">
        <v>0</v>
      </c>
      <c r="P41" s="20" t="n">
        <v>0</v>
      </c>
      <c r="Q41" s="18" t="n">
        <v>1.07273156</v>
      </c>
      <c r="R41" s="20" t="n">
        <v>0.39540624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(9536.0/B46*100)</f>
        <v/>
      </c>
      <c r="D46" s="19" t="n">
        <v>1532</v>
      </c>
      <c r="E46" s="18" t="n">
        <v>54.78277842</v>
      </c>
      <c r="F46" s="20" t="n">
        <v>1.87025226</v>
      </c>
      <c r="G46" s="18" t="n">
        <v>33.73714805</v>
      </c>
      <c r="H46" s="20" t="n">
        <v>2.0511078</v>
      </c>
      <c r="I46" s="18" t="s">
        <v>567</v>
      </c>
      <c r="J46" s="20" t="s">
        <v>567</v>
      </c>
      <c r="K46" s="18" t="n">
        <v>5.25515372</v>
      </c>
      <c r="L46" s="20" t="n">
        <v>0.85860517</v>
      </c>
      <c r="M46" s="18" t="n">
        <v>0.55048639</v>
      </c>
      <c r="N46" s="20" t="n">
        <v>0.24680695</v>
      </c>
      <c r="O46" s="18" t="n">
        <v>0</v>
      </c>
      <c r="P46" s="20" t="n">
        <v>0</v>
      </c>
      <c r="Q46" s="18" t="n">
        <v>5.67443342</v>
      </c>
      <c r="R46" s="20" t="n">
        <v>0.74514342</v>
      </c>
    </row>
    <row r="47" spans="1:18">
      <c r="A47" s="15" t="s">
        <v>607</v>
      </c>
      <c r="B47" s="17" t="n">
        <v>3105</v>
      </c>
      <c r="C47" s="18">
        <f>(2467.0/B47*100)</f>
        <v/>
      </c>
      <c r="D47" s="19" t="n">
        <v>638</v>
      </c>
      <c r="E47" s="18" t="n">
        <v>66.69000468</v>
      </c>
      <c r="F47" s="20" t="n">
        <v>1.828535</v>
      </c>
      <c r="G47" s="18" t="n">
        <v>26.44582833</v>
      </c>
      <c r="H47" s="20" t="n">
        <v>1.78613437</v>
      </c>
      <c r="I47" s="18" t="s">
        <v>567</v>
      </c>
      <c r="J47" s="20" t="s">
        <v>567</v>
      </c>
      <c r="K47" s="18" t="n">
        <v>2.43382382</v>
      </c>
      <c r="L47" s="20" t="n">
        <v>0.5358692</v>
      </c>
      <c r="M47" s="18" t="n">
        <v>0</v>
      </c>
      <c r="N47" s="20" t="n">
        <v>0</v>
      </c>
      <c r="O47" s="18" t="n">
        <v>0</v>
      </c>
      <c r="P47" s="20" t="n">
        <v>0</v>
      </c>
      <c r="Q47" s="18" t="n">
        <v>4.43034317</v>
      </c>
      <c r="R47" s="20" t="n">
        <v>0.84515981</v>
      </c>
    </row>
    <row r="48" spans="1:18">
      <c r="A48" s="15" t="s">
        <v>608</v>
      </c>
      <c r="B48" s="17" t="n">
        <v>5159</v>
      </c>
      <c r="C48" s="18">
        <f>(4047.0/B48*100)</f>
        <v/>
      </c>
      <c r="D48" s="19" t="n">
        <v>1112</v>
      </c>
      <c r="E48" s="18" t="n">
        <v>49.6070188</v>
      </c>
      <c r="F48" s="20" t="n">
        <v>2.51184592</v>
      </c>
      <c r="G48" s="18" t="n">
        <v>47.62628673</v>
      </c>
      <c r="H48" s="20" t="n">
        <v>2.43009237</v>
      </c>
      <c r="I48" s="18" t="s">
        <v>567</v>
      </c>
      <c r="J48" s="20" t="s">
        <v>567</v>
      </c>
      <c r="K48" s="18" t="n">
        <v>1.59171218</v>
      </c>
      <c r="L48" s="20" t="n">
        <v>0.63397545</v>
      </c>
      <c r="M48" s="18" t="n">
        <v>0</v>
      </c>
      <c r="N48" s="20" t="n">
        <v>0</v>
      </c>
      <c r="O48" s="18" t="n">
        <v>0</v>
      </c>
      <c r="P48" s="20" t="n">
        <v>0</v>
      </c>
      <c r="Q48" s="18" t="n">
        <v>1.17498229</v>
      </c>
      <c r="R48" s="20" t="n">
        <v>0.41901951</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(4482.0/B50*100)</f>
        <v/>
      </c>
      <c r="D50" s="19" t="n">
        <v>1155</v>
      </c>
      <c r="E50" s="18" t="n">
        <v>70.39837632</v>
      </c>
      <c r="F50" s="20" t="n">
        <v>1.77671454</v>
      </c>
      <c r="G50" s="18" t="n">
        <v>21.81851226</v>
      </c>
      <c r="H50" s="20" t="n">
        <v>1.56972805</v>
      </c>
      <c r="I50" s="18" t="s">
        <v>567</v>
      </c>
      <c r="J50" s="20" t="s">
        <v>567</v>
      </c>
      <c r="K50" s="18" t="n">
        <v>4.82848322</v>
      </c>
      <c r="L50" s="20" t="n">
        <v>0.94946287</v>
      </c>
      <c r="M50" s="18" t="n">
        <v>0.20062368</v>
      </c>
      <c r="N50" s="20" t="n">
        <v>0.15616169</v>
      </c>
      <c r="O50" s="18" t="n">
        <v>0</v>
      </c>
      <c r="P50" s="20" t="n">
        <v>0</v>
      </c>
      <c r="Q50" s="18" t="n">
        <v>2.75400452</v>
      </c>
      <c r="R50" s="20" t="n">
        <v>0.63287755</v>
      </c>
    </row>
    <row r="51" spans="1:18">
      <c r="A51" s="15" t="s">
        <v>611</v>
      </c>
      <c r="B51" s="17" t="n">
        <v>3372</v>
      </c>
      <c r="C51" s="18">
        <f>(2779.0/B51*100)</f>
        <v/>
      </c>
      <c r="D51" s="19" t="n">
        <v>593</v>
      </c>
      <c r="E51" s="18" t="n">
        <v>74.30169567</v>
      </c>
      <c r="F51" s="20" t="n">
        <v>1.97985035</v>
      </c>
      <c r="G51" s="18" t="n">
        <v>20.44785736</v>
      </c>
      <c r="H51" s="20" t="n">
        <v>1.67618212</v>
      </c>
      <c r="I51" s="18" t="s">
        <v>567</v>
      </c>
      <c r="J51" s="20" t="s">
        <v>567</v>
      </c>
      <c r="K51" s="18" t="n">
        <v>2.54196122</v>
      </c>
      <c r="L51" s="20" t="n">
        <v>0.90925818</v>
      </c>
      <c r="M51" s="18" t="n">
        <v>0</v>
      </c>
      <c r="N51" s="20" t="n">
        <v>0</v>
      </c>
      <c r="O51" s="18" t="n">
        <v>0</v>
      </c>
      <c r="P51" s="20" t="n">
        <v>0</v>
      </c>
      <c r="Q51" s="18" t="n">
        <v>2.70848575</v>
      </c>
      <c r="R51" s="20" t="n">
        <v>0.70624243</v>
      </c>
    </row>
    <row r="52" spans="1:18">
      <c r="A52" s="15" t="s">
        <v>612</v>
      </c>
      <c r="B52" s="17" t="n">
        <v>2796</v>
      </c>
      <c r="C52" s="18">
        <f>(2177.0/B52*100)</f>
        <v/>
      </c>
      <c r="D52" s="19" t="n">
        <v>619</v>
      </c>
      <c r="E52" s="18" t="n">
        <v>62.81225815</v>
      </c>
      <c r="F52" s="20" t="n">
        <v>2.17244088</v>
      </c>
      <c r="G52" s="18" t="n">
        <v>33.05796405</v>
      </c>
      <c r="H52" s="20" t="n">
        <v>2.12008384</v>
      </c>
      <c r="I52" s="18" t="s">
        <v>567</v>
      </c>
      <c r="J52" s="20" t="s">
        <v>567</v>
      </c>
      <c r="K52" s="18" t="n">
        <v>1.76261317</v>
      </c>
      <c r="L52" s="20" t="n">
        <v>0.48734855</v>
      </c>
      <c r="M52" s="18" t="n">
        <v>0</v>
      </c>
      <c r="N52" s="20" t="n">
        <v>0</v>
      </c>
      <c r="O52" s="18" t="n">
        <v>0</v>
      </c>
      <c r="P52" s="20" t="n">
        <v>0</v>
      </c>
      <c r="Q52" s="18" t="n">
        <v>2.36716463</v>
      </c>
      <c r="R52" s="20" t="n">
        <v>0.51906125</v>
      </c>
    </row>
    <row r="53" spans="1:18">
      <c r="A53" s="15" t="s">
        <v>613</v>
      </c>
      <c r="B53" s="17" t="n">
        <v>2811</v>
      </c>
      <c r="C53" s="18">
        <f>(2189.0/B53*100)</f>
        <v/>
      </c>
      <c r="D53" s="19" t="n">
        <v>622</v>
      </c>
      <c r="E53" s="18" t="n">
        <v>74.32818785000001</v>
      </c>
      <c r="F53" s="20" t="n">
        <v>1.64411879</v>
      </c>
      <c r="G53" s="18" t="n">
        <v>19.22196237</v>
      </c>
      <c r="H53" s="20" t="n">
        <v>1.5386154</v>
      </c>
      <c r="I53" s="18" t="s">
        <v>567</v>
      </c>
      <c r="J53" s="20" t="s">
        <v>567</v>
      </c>
      <c r="K53" s="18" t="n">
        <v>3.02818189</v>
      </c>
      <c r="L53" s="20" t="n">
        <v>0.72264829</v>
      </c>
      <c r="M53" s="18" t="n">
        <v>0</v>
      </c>
      <c r="N53" s="20" t="n">
        <v>0</v>
      </c>
      <c r="O53" s="18" t="n">
        <v>0</v>
      </c>
      <c r="P53" s="20" t="n">
        <v>0</v>
      </c>
      <c r="Q53" s="18" t="n">
        <v>3.42166789</v>
      </c>
      <c r="R53" s="20" t="n">
        <v>0.676018</v>
      </c>
    </row>
    <row r="54" spans="1:18">
      <c r="A54" s="15" t="s">
        <v>614</v>
      </c>
      <c r="B54" s="17" t="n">
        <v>2266</v>
      </c>
      <c r="C54" s="18">
        <f>(1788.0/B54*100)</f>
        <v/>
      </c>
      <c r="D54" s="19" t="n">
        <v>478</v>
      </c>
      <c r="E54" s="18" t="n">
        <v>61.24573824</v>
      </c>
      <c r="F54" s="20" t="n">
        <v>2.3366892</v>
      </c>
      <c r="G54" s="18" t="n">
        <v>5.09434681</v>
      </c>
      <c r="H54" s="20" t="n">
        <v>0.7766170100000001</v>
      </c>
      <c r="I54" s="18" t="s">
        <v>567</v>
      </c>
      <c r="J54" s="20" t="s">
        <v>567</v>
      </c>
      <c r="K54" s="18" t="n">
        <v>26.29968056</v>
      </c>
      <c r="L54" s="20" t="n">
        <v>2.39650553</v>
      </c>
      <c r="M54" s="18" t="n">
        <v>0.41295168</v>
      </c>
      <c r="N54" s="20" t="n">
        <v>0.39649044</v>
      </c>
      <c r="O54" s="18" t="n">
        <v>0</v>
      </c>
      <c r="P54" s="20" t="n">
        <v>0</v>
      </c>
      <c r="Q54" s="18" t="n">
        <v>6.9472827</v>
      </c>
      <c r="R54" s="20" t="n">
        <v>1.26958332</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(2106.0/B56*100)</f>
        <v/>
      </c>
      <c r="D56" s="19" t="n">
        <v>578</v>
      </c>
      <c r="E56" s="18" t="n">
        <v>50.32676988</v>
      </c>
      <c r="F56" s="20" t="n">
        <v>2.16709158</v>
      </c>
      <c r="G56" s="18" t="n">
        <v>48.31809615</v>
      </c>
      <c r="H56" s="20" t="n">
        <v>2.28134591</v>
      </c>
      <c r="I56" s="18" t="s">
        <v>567</v>
      </c>
      <c r="J56" s="20" t="s">
        <v>567</v>
      </c>
      <c r="K56" s="18" t="n">
        <v>1.04608258</v>
      </c>
      <c r="L56" s="20" t="n">
        <v>0.42856157</v>
      </c>
      <c r="M56" s="18" t="n">
        <v>0</v>
      </c>
      <c r="N56" s="20" t="n">
        <v>0</v>
      </c>
      <c r="O56" s="18" t="n">
        <v>0</v>
      </c>
      <c r="P56" s="20" t="n">
        <v>0</v>
      </c>
      <c r="Q56" s="18" t="n">
        <v>0.30905139</v>
      </c>
      <c r="R56" s="20" t="n">
        <v>0.22159356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(2571.0/B61*100)</f>
        <v/>
      </c>
      <c r="D61" s="19" t="n">
        <v>753</v>
      </c>
      <c r="E61" s="18" t="n">
        <v>71.64524526</v>
      </c>
      <c r="F61" s="20" t="n">
        <v>1.87293641</v>
      </c>
      <c r="G61" s="18" t="n">
        <v>25.64905994</v>
      </c>
      <c r="H61" s="20" t="n">
        <v>1.83778072</v>
      </c>
      <c r="I61" s="18" t="s">
        <v>567</v>
      </c>
      <c r="J61" s="20" t="s">
        <v>567</v>
      </c>
      <c r="K61" s="18" t="n">
        <v>0.81471609</v>
      </c>
      <c r="L61" s="20" t="n">
        <v>0.4063162</v>
      </c>
      <c r="M61" s="18" t="n">
        <v>0</v>
      </c>
      <c r="N61" s="20" t="n">
        <v>0</v>
      </c>
      <c r="O61" s="18" t="n">
        <v>0</v>
      </c>
      <c r="P61" s="20" t="n">
        <v>0</v>
      </c>
      <c r="Q61" s="18" t="n">
        <v>1.89097871</v>
      </c>
      <c r="R61" s="20" t="n">
        <v>0.58346877</v>
      </c>
    </row>
    <row r="62" spans="1:18">
      <c r="A62" s="15" t="s">
        <v>622</v>
      </c>
      <c r="B62" s="17" t="n">
        <v>2246</v>
      </c>
      <c r="C62" s="18">
        <f>(1819.0/B62*100)</f>
        <v/>
      </c>
      <c r="D62" s="19" t="n">
        <v>427</v>
      </c>
      <c r="E62" s="18" t="n">
        <v>55.05234067</v>
      </c>
      <c r="F62" s="20" t="n">
        <v>2.40267339</v>
      </c>
      <c r="G62" s="18" t="n">
        <v>44.24019275</v>
      </c>
      <c r="H62" s="20" t="n">
        <v>2.3597216</v>
      </c>
      <c r="I62" s="18" t="s">
        <v>567</v>
      </c>
      <c r="J62" s="20" t="s">
        <v>567</v>
      </c>
      <c r="K62" s="18" t="n">
        <v>0</v>
      </c>
      <c r="L62" s="20" t="n">
        <v>0</v>
      </c>
      <c r="M62" s="18" t="n">
        <v>0</v>
      </c>
      <c r="N62" s="20" t="n">
        <v>0</v>
      </c>
      <c r="O62" s="18" t="n">
        <v>0</v>
      </c>
      <c r="P62" s="20" t="n">
        <v>0</v>
      </c>
      <c r="Q62" s="18" t="n">
        <v>0.70746658</v>
      </c>
      <c r="R62" s="20" t="n">
        <v>0.4036447</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(2302.0/B66*100)</f>
        <v/>
      </c>
      <c r="D66" s="19" t="n">
        <v>592</v>
      </c>
      <c r="E66" s="18" t="n">
        <v>69.20874237</v>
      </c>
      <c r="F66" s="20" t="n">
        <v>1.96901753</v>
      </c>
      <c r="G66" s="18" t="n">
        <v>17.19071535</v>
      </c>
      <c r="H66" s="20" t="n">
        <v>1.67413336</v>
      </c>
      <c r="I66" s="18" t="s">
        <v>567</v>
      </c>
      <c r="J66" s="20" t="s">
        <v>567</v>
      </c>
      <c r="K66" s="18" t="n">
        <v>6.25260428</v>
      </c>
      <c r="L66" s="20" t="n">
        <v>0.99969599</v>
      </c>
      <c r="M66" s="18" t="n">
        <v>0.66343192</v>
      </c>
      <c r="N66" s="20" t="n">
        <v>0.31595985</v>
      </c>
      <c r="O66" s="18" t="n">
        <v>0</v>
      </c>
      <c r="P66" s="20" t="n">
        <v>0</v>
      </c>
      <c r="Q66" s="18" t="n">
        <v>6.68450608</v>
      </c>
      <c r="R66" s="20" t="n">
        <v>1.00453995</v>
      </c>
    </row>
    <row r="67" spans="1:18">
      <c r="A67" s="15" t="s">
        <v>627</v>
      </c>
      <c r="B67" s="17" t="n">
        <v>3511</v>
      </c>
      <c r="C67" s="18">
        <f>(2931.0/B67*100)</f>
        <v/>
      </c>
      <c r="D67" s="19" t="n">
        <v>580</v>
      </c>
      <c r="E67" s="18" t="n">
        <v>85.24822329</v>
      </c>
      <c r="F67" s="20" t="n">
        <v>1.53537909</v>
      </c>
      <c r="G67" s="18" t="n">
        <v>8.895035010000001</v>
      </c>
      <c r="H67" s="20" t="n">
        <v>1.11199964</v>
      </c>
      <c r="I67" s="18" t="s">
        <v>567</v>
      </c>
      <c r="J67" s="20" t="s">
        <v>567</v>
      </c>
      <c r="K67" s="18" t="n">
        <v>1.08309982</v>
      </c>
      <c r="L67" s="20" t="n">
        <v>0.56037105</v>
      </c>
      <c r="M67" s="18" t="n">
        <v>0.1895767</v>
      </c>
      <c r="N67" s="20" t="n">
        <v>0.19349409</v>
      </c>
      <c r="O67" s="18" t="n">
        <v>0</v>
      </c>
      <c r="P67" s="20" t="n">
        <v>0</v>
      </c>
      <c r="Q67" s="18" t="n">
        <v>4.58406519</v>
      </c>
      <c r="R67" s="20" t="n">
        <v>1.08790288</v>
      </c>
    </row>
    <row r="68" spans="1:18">
      <c r="A68" s="15" t="s">
        <v>628</v>
      </c>
      <c r="B68" s="17" t="n">
        <v>6049</v>
      </c>
      <c r="C68" s="18">
        <f>(4734.0/B68*100)</f>
        <v/>
      </c>
      <c r="D68" s="19" t="n">
        <v>1315</v>
      </c>
      <c r="E68" s="18" t="n">
        <v>68.76742246000001</v>
      </c>
      <c r="F68" s="20" t="n">
        <v>1.47607001</v>
      </c>
      <c r="G68" s="18" t="n">
        <v>20.99735491</v>
      </c>
      <c r="H68" s="20" t="n">
        <v>1.21715662</v>
      </c>
      <c r="I68" s="18" t="s">
        <v>567</v>
      </c>
      <c r="J68" s="20" t="s">
        <v>567</v>
      </c>
      <c r="K68" s="18" t="n">
        <v>7.04373036</v>
      </c>
      <c r="L68" s="20" t="n">
        <v>0.78333272</v>
      </c>
      <c r="M68" s="18" t="n">
        <v>0.07840613</v>
      </c>
      <c r="N68" s="20" t="n">
        <v>0.07874696</v>
      </c>
      <c r="O68" s="18" t="n">
        <v>0</v>
      </c>
      <c r="P68" s="20" t="n">
        <v>0</v>
      </c>
      <c r="Q68" s="18" t="n">
        <v>3.11308614</v>
      </c>
      <c r="R68" s="20" t="n">
        <v>0.45264225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(2331.0/B70*100)</f>
        <v/>
      </c>
      <c r="D70" s="19" t="n">
        <v>598</v>
      </c>
      <c r="E70" s="18" t="n">
        <v>53.67974824</v>
      </c>
      <c r="F70" s="20" t="n">
        <v>2.64592265</v>
      </c>
      <c r="G70" s="18" t="n">
        <v>44.36845673</v>
      </c>
      <c r="H70" s="20" t="n">
        <v>2.67042281</v>
      </c>
      <c r="I70" s="18" t="s">
        <v>567</v>
      </c>
      <c r="J70" s="20" t="s">
        <v>567</v>
      </c>
      <c r="K70" s="18" t="n">
        <v>1.28501191</v>
      </c>
      <c r="L70" s="20" t="n">
        <v>0.38045876</v>
      </c>
      <c r="M70" s="18" t="n">
        <v>0.22888443</v>
      </c>
      <c r="N70" s="20" t="n">
        <v>0.14031126</v>
      </c>
      <c r="O70" s="18" t="n">
        <v>0</v>
      </c>
      <c r="P70" s="20" t="n">
        <v>0</v>
      </c>
      <c r="Q70" s="18" t="n">
        <v>0.4378987</v>
      </c>
      <c r="R70" s="20" t="n">
        <v>0.24541833</v>
      </c>
    </row>
    <row r="71" spans="1:18">
      <c r="A71" s="15" t="s">
        <v>631</v>
      </c>
      <c r="B71" s="17" t="n">
        <v>3142</v>
      </c>
      <c r="C71" s="18">
        <f>(2450.0/B71*100)</f>
        <v/>
      </c>
      <c r="D71" s="19" t="n">
        <v>692</v>
      </c>
      <c r="E71" s="18" t="n">
        <v>33.58627792</v>
      </c>
      <c r="F71" s="20" t="n">
        <v>1.74043175</v>
      </c>
      <c r="G71" s="18" t="n">
        <v>65.20670486</v>
      </c>
      <c r="H71" s="20" t="n">
        <v>1.72569151</v>
      </c>
      <c r="I71" s="18" t="s">
        <v>567</v>
      </c>
      <c r="J71" s="20" t="s">
        <v>567</v>
      </c>
      <c r="K71" s="18" t="n">
        <v>0.75266434</v>
      </c>
      <c r="L71" s="20" t="n">
        <v>0.3001797</v>
      </c>
      <c r="M71" s="18" t="n">
        <v>0</v>
      </c>
      <c r="N71" s="20" t="n">
        <v>0</v>
      </c>
      <c r="O71" s="18" t="n">
        <v>0</v>
      </c>
      <c r="P71" s="20" t="n">
        <v>0</v>
      </c>
      <c r="Q71" s="18" t="n">
        <v>0.45435288</v>
      </c>
      <c r="R71" s="20" t="n">
        <v>0.23133351</v>
      </c>
    </row>
    <row r="72" spans="1:18">
      <c r="A72" s="15" t="s">
        <v>632</v>
      </c>
      <c r="B72" s="17" t="n">
        <v>3889</v>
      </c>
      <c r="C72" s="18">
        <f>(3025.0/B72*100)</f>
        <v/>
      </c>
      <c r="D72" s="19" t="n">
        <v>864</v>
      </c>
      <c r="E72" s="18" t="n">
        <v>47.60371774</v>
      </c>
      <c r="F72" s="20" t="n">
        <v>2.64199814</v>
      </c>
      <c r="G72" s="18" t="n">
        <v>51.26527116</v>
      </c>
      <c r="H72" s="20" t="n">
        <v>2.6243333</v>
      </c>
      <c r="I72" s="18" t="s">
        <v>567</v>
      </c>
      <c r="J72" s="20" t="s">
        <v>567</v>
      </c>
      <c r="K72" s="18" t="n">
        <v>0.3955899</v>
      </c>
      <c r="L72" s="20" t="n">
        <v>0.23361568</v>
      </c>
      <c r="M72" s="18" t="n">
        <v>0</v>
      </c>
      <c r="N72" s="20" t="n">
        <v>0</v>
      </c>
      <c r="O72" s="18" t="n">
        <v>0</v>
      </c>
      <c r="P72" s="20" t="n">
        <v>0</v>
      </c>
      <c r="Q72" s="18" t="n">
        <v>0.7354212</v>
      </c>
      <c r="R72" s="20" t="n">
        <v>0.28089305</v>
      </c>
    </row>
    <row r="73" spans="1:18">
      <c r="A73" s="15" t="s">
        <v>633</v>
      </c>
      <c r="B73" s="17" t="n">
        <v>3597</v>
      </c>
      <c r="C73" s="18">
        <f>(2893.0/B73*100)</f>
        <v/>
      </c>
      <c r="D73" s="19" t="n">
        <v>704</v>
      </c>
      <c r="E73" s="18" t="n">
        <v>84.29158905</v>
      </c>
      <c r="F73" s="20" t="n">
        <v>1.78569267</v>
      </c>
      <c r="G73" s="18" t="n">
        <v>13.64099868</v>
      </c>
      <c r="H73" s="20" t="n">
        <v>1.75033264</v>
      </c>
      <c r="I73" s="18" t="s">
        <v>567</v>
      </c>
      <c r="J73" s="20" t="s">
        <v>567</v>
      </c>
      <c r="K73" s="18" t="n">
        <v>0.47403797</v>
      </c>
      <c r="L73" s="20" t="n">
        <v>0.25079342</v>
      </c>
      <c r="M73" s="18" t="n">
        <v>0.08346041999999999</v>
      </c>
      <c r="N73" s="20" t="n">
        <v>0.08346824</v>
      </c>
      <c r="O73" s="18" t="n">
        <v>0</v>
      </c>
      <c r="P73" s="20" t="n">
        <v>0</v>
      </c>
      <c r="Q73" s="18" t="n">
        <v>1.50991388</v>
      </c>
      <c r="R73" s="20" t="n">
        <v>0.5746265</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(1954.0/B75*100)</f>
        <v/>
      </c>
      <c r="D75" s="19" t="n">
        <v>452</v>
      </c>
      <c r="E75" s="18" t="n">
        <v>81.53123261</v>
      </c>
      <c r="F75" s="20" t="n">
        <v>2.35286918</v>
      </c>
      <c r="G75" s="18" t="n">
        <v>4.91756245</v>
      </c>
      <c r="H75" s="20" t="n">
        <v>1.09786424</v>
      </c>
      <c r="I75" s="18" t="s">
        <v>567</v>
      </c>
      <c r="J75" s="20" t="s">
        <v>567</v>
      </c>
      <c r="K75" s="18" t="n">
        <v>6.79601847</v>
      </c>
      <c r="L75" s="20" t="n">
        <v>1.54359591</v>
      </c>
      <c r="M75" s="18" t="n">
        <v>0.90286562</v>
      </c>
      <c r="N75" s="20" t="n">
        <v>0.43332094</v>
      </c>
      <c r="O75" s="18" t="n">
        <v>0</v>
      </c>
      <c r="P75" s="20" t="n">
        <v>0</v>
      </c>
      <c r="Q75" s="18" t="n">
        <v>5.85232086</v>
      </c>
      <c r="R75" s="20" t="n">
        <v>1.22803777</v>
      </c>
    </row>
    <row r="76" spans="1:18">
      <c r="A76" s="15" t="s">
        <v>636</v>
      </c>
      <c r="B76" s="17" t="n">
        <v>7052</v>
      </c>
      <c r="C76" s="18">
        <f>(5508.0/B76*100)</f>
        <v/>
      </c>
      <c r="D76" s="19" t="n">
        <v>1544</v>
      </c>
      <c r="E76" s="18" t="n">
        <v>66.88466874</v>
      </c>
      <c r="F76" s="20" t="n">
        <v>1.58298309</v>
      </c>
      <c r="G76" s="18" t="n">
        <v>27.1359481</v>
      </c>
      <c r="H76" s="20" t="n">
        <v>1.58724071</v>
      </c>
      <c r="I76" s="18" t="s">
        <v>567</v>
      </c>
      <c r="J76" s="20" t="s">
        <v>567</v>
      </c>
      <c r="K76" s="18" t="n">
        <v>3.01982569</v>
      </c>
      <c r="L76" s="20" t="n">
        <v>0.60776663</v>
      </c>
      <c r="M76" s="18" t="n">
        <v>0.06365580999999999</v>
      </c>
      <c r="N76" s="20" t="n">
        <v>0.04570551</v>
      </c>
      <c r="O76" s="18" t="n">
        <v>0</v>
      </c>
      <c r="P76" s="20" t="n">
        <v>0</v>
      </c>
      <c r="Q76" s="18" t="n">
        <v>2.89590167</v>
      </c>
      <c r="R76" s="20" t="n">
        <v>0.60743175</v>
      </c>
    </row>
    <row r="77" spans="1:18">
      <c r="A77" s="15" t="s">
        <v>637</v>
      </c>
      <c r="B77" s="17" t="n">
        <v>2908</v>
      </c>
      <c r="C77" s="18">
        <f>(2297.0/B77*100)</f>
        <v/>
      </c>
      <c r="D77" s="19" t="n">
        <v>611</v>
      </c>
      <c r="E77" s="18" t="n">
        <v>65.78234337000001</v>
      </c>
      <c r="F77" s="20" t="n">
        <v>2.31138532</v>
      </c>
      <c r="G77" s="18" t="n">
        <v>25.90149961</v>
      </c>
      <c r="H77" s="20" t="n">
        <v>2.10709513</v>
      </c>
      <c r="I77" s="18" t="s">
        <v>567</v>
      </c>
      <c r="J77" s="20" t="s">
        <v>567</v>
      </c>
      <c r="K77" s="18" t="n">
        <v>5.09847378</v>
      </c>
      <c r="L77" s="20" t="n">
        <v>0.81718374</v>
      </c>
      <c r="M77" s="18" t="n">
        <v>0</v>
      </c>
      <c r="N77" s="20" t="n">
        <v>0</v>
      </c>
      <c r="O77" s="18" t="n">
        <v>0</v>
      </c>
      <c r="P77" s="20" t="n">
        <v>0</v>
      </c>
      <c r="Q77" s="18" t="n">
        <v>3.21768325</v>
      </c>
      <c r="R77" s="20" t="n">
        <v>0.74514867</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(3254.0/B81*100)</f>
        <v/>
      </c>
      <c r="D81" s="19" t="n">
        <v>909</v>
      </c>
      <c r="E81" s="18" t="n">
        <v>73.98649336</v>
      </c>
      <c r="F81" s="20" t="n">
        <v>1.77144658</v>
      </c>
      <c r="G81" s="18" t="n">
        <v>23.94381661</v>
      </c>
      <c r="H81" s="20" t="n">
        <v>1.67442315</v>
      </c>
      <c r="I81" s="18" t="s">
        <v>567</v>
      </c>
      <c r="J81" s="20" t="s">
        <v>567</v>
      </c>
      <c r="K81" s="18" t="n">
        <v>1.33186546</v>
      </c>
      <c r="L81" s="20" t="n">
        <v>0.6492524200000001</v>
      </c>
      <c r="M81" s="18" t="n">
        <v>0</v>
      </c>
      <c r="N81" s="20" t="n">
        <v>0</v>
      </c>
      <c r="O81" s="18" t="n">
        <v>0</v>
      </c>
      <c r="P81" s="20" t="n">
        <v>0</v>
      </c>
      <c r="Q81" s="18" t="n">
        <v>0.73782456</v>
      </c>
      <c r="R81" s="20" t="n">
        <v>0.33530469</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(5799.0/B7*100)</f>
        <v/>
      </c>
      <c r="D7" s="19" t="n">
        <v>1568</v>
      </c>
      <c r="E7" s="18" t="n">
        <v>49.98222935</v>
      </c>
      <c r="F7" s="20" t="n">
        <v>1.49119454</v>
      </c>
      <c r="G7" s="18" t="n">
        <v>46.56636306</v>
      </c>
      <c r="H7" s="20" t="n">
        <v>1.48505249</v>
      </c>
      <c r="I7" s="18" t="s">
        <v>567</v>
      </c>
      <c r="J7" s="20" t="s">
        <v>567</v>
      </c>
      <c r="K7" s="18" t="n">
        <v>1.41855894</v>
      </c>
      <c r="L7" s="20" t="n">
        <v>0.33873398</v>
      </c>
      <c r="M7" s="18" t="n">
        <v>0</v>
      </c>
      <c r="N7" s="20" t="n">
        <v>0</v>
      </c>
      <c r="O7" s="18" t="n">
        <v>0</v>
      </c>
      <c r="P7" s="20" t="n">
        <v>0</v>
      </c>
      <c r="Q7" s="18" t="n">
        <v>2.03284865</v>
      </c>
      <c r="R7" s="20" t="n">
        <v>0.46580887</v>
      </c>
    </row>
    <row r="8" spans="1:18">
      <c r="A8" s="15" t="s">
        <v>568</v>
      </c>
      <c r="B8" s="17" t="n">
        <v>3564</v>
      </c>
      <c r="C8" s="18">
        <f>(2800.0/B8*100)</f>
        <v/>
      </c>
      <c r="D8" s="19" t="n">
        <v>764</v>
      </c>
      <c r="E8" s="18" t="n">
        <v>54.43674746</v>
      </c>
      <c r="F8" s="20" t="n">
        <v>2.43310829</v>
      </c>
      <c r="G8" s="18" t="n">
        <v>42.66959124</v>
      </c>
      <c r="H8" s="20" t="n">
        <v>2.23418154</v>
      </c>
      <c r="I8" s="18" t="s">
        <v>567</v>
      </c>
      <c r="J8" s="20" t="s">
        <v>567</v>
      </c>
      <c r="K8" s="18" t="n">
        <v>1.49710667</v>
      </c>
      <c r="L8" s="20" t="n">
        <v>0.48569495</v>
      </c>
      <c r="M8" s="18" t="n">
        <v>0</v>
      </c>
      <c r="N8" s="20" t="n">
        <v>0</v>
      </c>
      <c r="O8" s="18" t="n">
        <v>0</v>
      </c>
      <c r="P8" s="20" t="n">
        <v>0</v>
      </c>
      <c r="Q8" s="18" t="n">
        <v>1.39655463</v>
      </c>
      <c r="R8" s="20" t="n">
        <v>0.39577906</v>
      </c>
    </row>
    <row r="9" spans="1:18">
      <c r="A9" s="15" t="s">
        <v>569</v>
      </c>
      <c r="B9" s="17" t="n">
        <v>4899</v>
      </c>
      <c r="C9" s="18">
        <f>(3898.0/B9*100)</f>
        <v/>
      </c>
      <c r="D9" s="19" t="n">
        <v>1001</v>
      </c>
      <c r="E9" s="18" t="n">
        <v>41.3472316</v>
      </c>
      <c r="F9" s="20" t="n">
        <v>1.7091182</v>
      </c>
      <c r="G9" s="18" t="n">
        <v>54.50096664</v>
      </c>
      <c r="H9" s="20" t="n">
        <v>1.73880852</v>
      </c>
      <c r="I9" s="18" t="s">
        <v>567</v>
      </c>
      <c r="J9" s="20" t="s">
        <v>567</v>
      </c>
      <c r="K9" s="18" t="n">
        <v>1.3428324</v>
      </c>
      <c r="L9" s="20" t="n">
        <v>0.3688435</v>
      </c>
      <c r="M9" s="18" t="n">
        <v>0</v>
      </c>
      <c r="N9" s="20" t="n">
        <v>0</v>
      </c>
      <c r="O9" s="18" t="n">
        <v>0</v>
      </c>
      <c r="P9" s="20" t="n">
        <v>0</v>
      </c>
      <c r="Q9" s="18" t="n">
        <v>2.80896936</v>
      </c>
      <c r="R9" s="20" t="n">
        <v>0.53012331</v>
      </c>
    </row>
    <row r="10" spans="1:18">
      <c r="A10" s="15" t="s">
        <v>570</v>
      </c>
      <c r="B10" s="17" t="n">
        <v>10036</v>
      </c>
      <c r="C10" s="18">
        <f>(7890.0/B10*100)</f>
        <v/>
      </c>
      <c r="D10" s="19" t="n">
        <v>2146</v>
      </c>
      <c r="E10" s="18" t="n">
        <v>45.63648308</v>
      </c>
      <c r="F10" s="20" t="n">
        <v>1.75124367</v>
      </c>
      <c r="G10" s="18" t="n">
        <v>52.42022969</v>
      </c>
      <c r="H10" s="20" t="n">
        <v>1.79839872</v>
      </c>
      <c r="I10" s="18" t="s">
        <v>567</v>
      </c>
      <c r="J10" s="20" t="s">
        <v>567</v>
      </c>
      <c r="K10" s="18" t="n">
        <v>0.78282755</v>
      </c>
      <c r="L10" s="20" t="n">
        <v>0.22837946</v>
      </c>
      <c r="M10" s="18" t="n">
        <v>0</v>
      </c>
      <c r="N10" s="20" t="n">
        <v>0</v>
      </c>
      <c r="O10" s="18" t="n">
        <v>0</v>
      </c>
      <c r="P10" s="20" t="n">
        <v>0</v>
      </c>
      <c r="Q10" s="18" t="n">
        <v>1.16045968</v>
      </c>
      <c r="R10" s="20" t="n">
        <v>0.31077157</v>
      </c>
    </row>
    <row r="11" spans="1:18">
      <c r="A11" s="15" t="s">
        <v>571</v>
      </c>
      <c r="B11" s="17" t="n">
        <v>3553</v>
      </c>
      <c r="C11" s="18">
        <f>(2809.0/B11*100)</f>
        <v/>
      </c>
      <c r="D11" s="19" t="n">
        <v>744</v>
      </c>
      <c r="E11" s="18" t="n">
        <v>56.03431389</v>
      </c>
      <c r="F11" s="20" t="n">
        <v>2.16071197</v>
      </c>
      <c r="G11" s="18" t="n">
        <v>37.29026071</v>
      </c>
      <c r="H11" s="20" t="n">
        <v>2.14299945</v>
      </c>
      <c r="I11" s="18" t="s">
        <v>567</v>
      </c>
      <c r="J11" s="20" t="s">
        <v>567</v>
      </c>
      <c r="K11" s="18" t="n">
        <v>4.49232865</v>
      </c>
      <c r="L11" s="20" t="n">
        <v>0.75404791</v>
      </c>
      <c r="M11" s="18" t="n">
        <v>0</v>
      </c>
      <c r="N11" s="20" t="n">
        <v>0</v>
      </c>
      <c r="O11" s="18" t="n">
        <v>0</v>
      </c>
      <c r="P11" s="20" t="n">
        <v>0</v>
      </c>
      <c r="Q11" s="18" t="n">
        <v>2.18309676</v>
      </c>
      <c r="R11" s="20" t="n">
        <v>0.64417123</v>
      </c>
    </row>
    <row r="12" spans="1:18">
      <c r="A12" s="15" t="s">
        <v>572</v>
      </c>
      <c r="B12" s="17" t="n">
        <v>3472</v>
      </c>
      <c r="C12" s="18">
        <f>(2738.0/B12*100)</f>
        <v/>
      </c>
      <c r="D12" s="19" t="n">
        <v>734</v>
      </c>
      <c r="E12" s="18" t="n">
        <v>48.39680359</v>
      </c>
      <c r="F12" s="20" t="n">
        <v>1.87654846</v>
      </c>
      <c r="G12" s="18" t="n">
        <v>48.03527982</v>
      </c>
      <c r="H12" s="20" t="n">
        <v>1.94863961</v>
      </c>
      <c r="I12" s="18" t="s">
        <v>567</v>
      </c>
      <c r="J12" s="20" t="s">
        <v>567</v>
      </c>
      <c r="K12" s="18" t="n">
        <v>1.6443646</v>
      </c>
      <c r="L12" s="20" t="n">
        <v>0.6292813</v>
      </c>
      <c r="M12" s="18" t="n">
        <v>0</v>
      </c>
      <c r="N12" s="20" t="n">
        <v>0</v>
      </c>
      <c r="O12" s="18" t="n">
        <v>0</v>
      </c>
      <c r="P12" s="20" t="n">
        <v>0</v>
      </c>
      <c r="Q12" s="18" t="n">
        <v>1.92355198</v>
      </c>
      <c r="R12" s="20" t="n">
        <v>0.65045049</v>
      </c>
    </row>
    <row r="13" spans="1:18">
      <c r="A13" s="15" t="s">
        <v>573</v>
      </c>
      <c r="B13" s="17" t="n">
        <v>3559</v>
      </c>
      <c r="C13" s="18">
        <f>(2836.0/B13*100)</f>
        <v/>
      </c>
      <c r="D13" s="19" t="n">
        <v>723</v>
      </c>
      <c r="E13" s="18" t="n">
        <v>68.78690752999999</v>
      </c>
      <c r="F13" s="20" t="n">
        <v>2.02634485</v>
      </c>
      <c r="G13" s="18" t="n">
        <v>28.52414402</v>
      </c>
      <c r="H13" s="20" t="n">
        <v>1.92127942</v>
      </c>
      <c r="I13" s="18" t="s">
        <v>567</v>
      </c>
      <c r="J13" s="20" t="s">
        <v>567</v>
      </c>
      <c r="K13" s="18" t="n">
        <v>1.81037058</v>
      </c>
      <c r="L13" s="20" t="n">
        <v>0.5523645</v>
      </c>
      <c r="M13" s="18" t="n">
        <v>0</v>
      </c>
      <c r="N13" s="20" t="n">
        <v>0</v>
      </c>
      <c r="O13" s="18" t="n">
        <v>0</v>
      </c>
      <c r="P13" s="20" t="n">
        <v>0</v>
      </c>
      <c r="Q13" s="18" t="n">
        <v>0.87857787</v>
      </c>
      <c r="R13" s="20" t="n">
        <v>0.34757099</v>
      </c>
    </row>
    <row r="14" spans="1:18">
      <c r="A14" s="15" t="s">
        <v>574</v>
      </c>
      <c r="B14" s="17" t="n">
        <v>2799</v>
      </c>
      <c r="C14" s="18">
        <f>(2187.0/B14*100)</f>
        <v/>
      </c>
      <c r="D14" s="19" t="n">
        <v>612</v>
      </c>
      <c r="E14" s="18" t="n">
        <v>50.98276614</v>
      </c>
      <c r="F14" s="20" t="n">
        <v>2.4047579</v>
      </c>
      <c r="G14" s="18" t="n">
        <v>48.17349752</v>
      </c>
      <c r="H14" s="20" t="n">
        <v>2.45799044</v>
      </c>
      <c r="I14" s="18" t="s">
        <v>567</v>
      </c>
      <c r="J14" s="20" t="s">
        <v>567</v>
      </c>
      <c r="K14" s="18" t="n">
        <v>0.38302388</v>
      </c>
      <c r="L14" s="20" t="n">
        <v>0.22256067</v>
      </c>
      <c r="M14" s="18" t="n">
        <v>0</v>
      </c>
      <c r="N14" s="20" t="n">
        <v>0</v>
      </c>
      <c r="O14" s="18" t="n">
        <v>0</v>
      </c>
      <c r="P14" s="20" t="n">
        <v>0</v>
      </c>
      <c r="Q14" s="18" t="n">
        <v>0.46071246</v>
      </c>
      <c r="R14" s="20" t="n">
        <v>0.27397733</v>
      </c>
    </row>
    <row r="15" spans="1:18">
      <c r="A15" s="15" t="s">
        <v>575</v>
      </c>
      <c r="B15" s="17" t="n">
        <v>3019</v>
      </c>
      <c r="C15" s="18">
        <f>(2403.0/B15*100)</f>
        <v/>
      </c>
      <c r="D15" s="19" t="n">
        <v>616</v>
      </c>
      <c r="E15" s="18" t="n">
        <v>61.07587003</v>
      </c>
      <c r="F15" s="20" t="n">
        <v>2.10105538</v>
      </c>
      <c r="G15" s="18" t="n">
        <v>36.63346882</v>
      </c>
      <c r="H15" s="20" t="n">
        <v>2.00160628</v>
      </c>
      <c r="I15" s="18" t="s">
        <v>567</v>
      </c>
      <c r="J15" s="20" t="s">
        <v>567</v>
      </c>
      <c r="K15" s="18" t="n">
        <v>1.25171843</v>
      </c>
      <c r="L15" s="20" t="n">
        <v>0.44392718</v>
      </c>
      <c r="M15" s="18" t="n">
        <v>0</v>
      </c>
      <c r="N15" s="20" t="n">
        <v>0</v>
      </c>
      <c r="O15" s="18" t="n">
        <v>0</v>
      </c>
      <c r="P15" s="20" t="n">
        <v>0</v>
      </c>
      <c r="Q15" s="18" t="n">
        <v>1.03894272</v>
      </c>
      <c r="R15" s="20" t="n">
        <v>0.39153655</v>
      </c>
    </row>
    <row r="16" spans="1:18">
      <c r="A16" s="15" t="s">
        <v>576</v>
      </c>
      <c r="B16" s="17" t="n">
        <v>2997</v>
      </c>
      <c r="C16" s="18">
        <f>(2369.0/B16*100)</f>
        <v/>
      </c>
      <c r="D16" s="19" t="n">
        <v>628</v>
      </c>
      <c r="E16" s="18" t="n">
        <v>41.1081919</v>
      </c>
      <c r="F16" s="20" t="n">
        <v>2.02590952</v>
      </c>
      <c r="G16" s="18" t="n">
        <v>50.76292174</v>
      </c>
      <c r="H16" s="20" t="n">
        <v>2.17396022</v>
      </c>
      <c r="I16" s="18" t="s">
        <v>567</v>
      </c>
      <c r="J16" s="20" t="s">
        <v>567</v>
      </c>
      <c r="K16" s="18" t="n">
        <v>6.47417225</v>
      </c>
      <c r="L16" s="20" t="n">
        <v>1.23345163</v>
      </c>
      <c r="M16" s="18" t="n">
        <v>0</v>
      </c>
      <c r="N16" s="20" t="n">
        <v>0</v>
      </c>
      <c r="O16" s="18" t="n">
        <v>0</v>
      </c>
      <c r="P16" s="20" t="n">
        <v>0</v>
      </c>
      <c r="Q16" s="18" t="n">
        <v>1.65471411</v>
      </c>
      <c r="R16" s="20" t="n">
        <v>0.45299056</v>
      </c>
    </row>
    <row r="17" spans="1:18">
      <c r="A17" s="15" t="s">
        <v>577</v>
      </c>
      <c r="B17" s="17" t="n">
        <v>3307</v>
      </c>
      <c r="C17" s="18">
        <f>(2606.0/B17*100)</f>
        <v/>
      </c>
      <c r="D17" s="19" t="n">
        <v>701</v>
      </c>
      <c r="E17" s="18" t="n">
        <v>51.0205999</v>
      </c>
      <c r="F17" s="20" t="n">
        <v>2.10853901</v>
      </c>
      <c r="G17" s="18" t="n">
        <v>45.37333735</v>
      </c>
      <c r="H17" s="20" t="n">
        <v>2.15104027</v>
      </c>
      <c r="I17" s="18" t="s">
        <v>567</v>
      </c>
      <c r="J17" s="20" t="s">
        <v>567</v>
      </c>
      <c r="K17" s="18" t="n">
        <v>1.24003625</v>
      </c>
      <c r="L17" s="20" t="n">
        <v>0.40618672</v>
      </c>
      <c r="M17" s="18" t="n">
        <v>0</v>
      </c>
      <c r="N17" s="20" t="n">
        <v>0</v>
      </c>
      <c r="O17" s="18" t="n">
        <v>0</v>
      </c>
      <c r="P17" s="20" t="n">
        <v>0</v>
      </c>
      <c r="Q17" s="18" t="n">
        <v>2.36602649</v>
      </c>
      <c r="R17" s="20" t="n">
        <v>0.5172077</v>
      </c>
    </row>
    <row r="18" spans="1:18">
      <c r="A18" s="15" t="s">
        <v>578</v>
      </c>
      <c r="B18" s="17" t="n">
        <v>2826</v>
      </c>
      <c r="C18" s="18">
        <f>(2220.0/B18*100)</f>
        <v/>
      </c>
      <c r="D18" s="19" t="n">
        <v>606</v>
      </c>
      <c r="E18" s="18" t="n">
        <v>69.88378203000001</v>
      </c>
      <c r="F18" s="20" t="n">
        <v>2.01180864</v>
      </c>
      <c r="G18" s="18" t="n">
        <v>25.75625527</v>
      </c>
      <c r="H18" s="20" t="n">
        <v>2.03420858</v>
      </c>
      <c r="I18" s="18" t="s">
        <v>567</v>
      </c>
      <c r="J18" s="20" t="s">
        <v>567</v>
      </c>
      <c r="K18" s="18" t="n">
        <v>1.78851913</v>
      </c>
      <c r="L18" s="20" t="n">
        <v>0.49524412</v>
      </c>
      <c r="M18" s="18" t="n">
        <v>0</v>
      </c>
      <c r="N18" s="20" t="n">
        <v>0</v>
      </c>
      <c r="O18" s="18" t="n">
        <v>0</v>
      </c>
      <c r="P18" s="20" t="n">
        <v>0</v>
      </c>
      <c r="Q18" s="18" t="n">
        <v>2.57144357</v>
      </c>
      <c r="R18" s="20" t="n">
        <v>0.92516915</v>
      </c>
    </row>
    <row r="19" spans="1:18">
      <c r="A19" s="15" t="s">
        <v>579</v>
      </c>
      <c r="B19" s="17" t="n">
        <v>2808</v>
      </c>
      <c r="C19" s="18">
        <f>(2220.0/B19*100)</f>
        <v/>
      </c>
      <c r="D19" s="19" t="n">
        <v>588</v>
      </c>
      <c r="E19" s="18" t="n">
        <v>62.81362016</v>
      </c>
      <c r="F19" s="20" t="n">
        <v>2.08479475</v>
      </c>
      <c r="G19" s="18" t="n">
        <v>33.5177996</v>
      </c>
      <c r="H19" s="20" t="n">
        <v>1.88120974</v>
      </c>
      <c r="I19" s="18" t="s">
        <v>567</v>
      </c>
      <c r="J19" s="20" t="s">
        <v>567</v>
      </c>
      <c r="K19" s="18" t="n">
        <v>1.61370191</v>
      </c>
      <c r="L19" s="20" t="n">
        <v>0.59069929</v>
      </c>
      <c r="M19" s="18" t="n">
        <v>0</v>
      </c>
      <c r="N19" s="20" t="n">
        <v>0</v>
      </c>
      <c r="O19" s="18" t="n">
        <v>0</v>
      </c>
      <c r="P19" s="20" t="n">
        <v>0</v>
      </c>
      <c r="Q19" s="18" t="n">
        <v>2.05487833</v>
      </c>
      <c r="R19" s="20" t="n">
        <v>0.67657659</v>
      </c>
    </row>
    <row r="20" spans="1:18">
      <c r="A20" s="15" t="s">
        <v>580</v>
      </c>
      <c r="B20" s="17" t="n">
        <v>1630</v>
      </c>
      <c r="C20" s="18">
        <f>(1279.0/B20*100)</f>
        <v/>
      </c>
      <c r="D20" s="19" t="n">
        <v>351</v>
      </c>
      <c r="E20" s="18" t="n">
        <v>51.79000372</v>
      </c>
      <c r="F20" s="20" t="n">
        <v>2.69264543</v>
      </c>
      <c r="G20" s="18" t="n">
        <v>44.36006841</v>
      </c>
      <c r="H20" s="20" t="n">
        <v>2.63439505</v>
      </c>
      <c r="I20" s="18" t="s">
        <v>567</v>
      </c>
      <c r="J20" s="20" t="s">
        <v>567</v>
      </c>
      <c r="K20" s="18" t="n">
        <v>1.76001715</v>
      </c>
      <c r="L20" s="20" t="n">
        <v>0.7231237700000001</v>
      </c>
      <c r="M20" s="18" t="n">
        <v>0</v>
      </c>
      <c r="N20" s="20" t="n">
        <v>0</v>
      </c>
      <c r="O20" s="18" t="n">
        <v>0</v>
      </c>
      <c r="P20" s="20" t="n">
        <v>0</v>
      </c>
      <c r="Q20" s="18" t="n">
        <v>2.08991072</v>
      </c>
      <c r="R20" s="20" t="n">
        <v>0.73916791</v>
      </c>
    </row>
    <row r="21" spans="1:18">
      <c r="A21" s="15" t="s">
        <v>581</v>
      </c>
      <c r="B21" s="17" t="n">
        <v>2908</v>
      </c>
      <c r="C21" s="18">
        <f>(2258.0/B21*100)</f>
        <v/>
      </c>
      <c r="D21" s="19" t="n">
        <v>650</v>
      </c>
      <c r="E21" s="18" t="n">
        <v>53.35175034</v>
      </c>
      <c r="F21" s="20" t="n">
        <v>2.31781545</v>
      </c>
      <c r="G21" s="18" t="n">
        <v>43.53772435</v>
      </c>
      <c r="H21" s="20" t="n">
        <v>2.21572011</v>
      </c>
      <c r="I21" s="18" t="s">
        <v>567</v>
      </c>
      <c r="J21" s="20" t="s">
        <v>567</v>
      </c>
      <c r="K21" s="18" t="n">
        <v>1.88450989</v>
      </c>
      <c r="L21" s="20" t="n">
        <v>0.5686754000000001</v>
      </c>
      <c r="M21" s="18" t="n">
        <v>0</v>
      </c>
      <c r="N21" s="20" t="n">
        <v>0</v>
      </c>
      <c r="O21" s="18" t="n">
        <v>0</v>
      </c>
      <c r="P21" s="20" t="n">
        <v>0</v>
      </c>
      <c r="Q21" s="18" t="n">
        <v>1.22601542</v>
      </c>
      <c r="R21" s="20" t="n">
        <v>0.40282257</v>
      </c>
    </row>
    <row r="22" spans="1:18">
      <c r="A22" s="15" t="s">
        <v>582</v>
      </c>
      <c r="B22" s="17" t="n">
        <v>2931</v>
      </c>
      <c r="C22" s="18">
        <f>(2297.0/B22*100)</f>
        <v/>
      </c>
      <c r="D22" s="19" t="n">
        <v>634</v>
      </c>
      <c r="E22" s="18" t="n">
        <v>59.46354459</v>
      </c>
      <c r="F22" s="20" t="n">
        <v>1.84567355</v>
      </c>
      <c r="G22" s="18" t="n">
        <v>34.09986864</v>
      </c>
      <c r="H22" s="20" t="n">
        <v>1.84550148</v>
      </c>
      <c r="I22" s="18" t="s">
        <v>567</v>
      </c>
      <c r="J22" s="20" t="s">
        <v>567</v>
      </c>
      <c r="K22" s="18" t="n">
        <v>3.93445877</v>
      </c>
      <c r="L22" s="20" t="n">
        <v>0.91833399</v>
      </c>
      <c r="M22" s="18" t="n">
        <v>0</v>
      </c>
      <c r="N22" s="20" t="n">
        <v>0</v>
      </c>
      <c r="O22" s="18" t="n">
        <v>0</v>
      </c>
      <c r="P22" s="20" t="n">
        <v>0</v>
      </c>
      <c r="Q22" s="18" t="n">
        <v>2.502128</v>
      </c>
      <c r="R22" s="20" t="n">
        <v>0.68799816</v>
      </c>
    </row>
    <row r="23" spans="1:18">
      <c r="A23" s="15" t="s">
        <v>583</v>
      </c>
      <c r="B23" s="17" t="n">
        <v>5791</v>
      </c>
      <c r="C23" s="18">
        <f>(4555.0/B23*100)</f>
        <v/>
      </c>
      <c r="D23" s="19" t="n">
        <v>1236</v>
      </c>
      <c r="E23" s="18" t="n">
        <v>53.32481338</v>
      </c>
      <c r="F23" s="20" t="n">
        <v>1.89295703</v>
      </c>
      <c r="G23" s="18" t="n">
        <v>43.11538791</v>
      </c>
      <c r="H23" s="20" t="n">
        <v>1.73412386</v>
      </c>
      <c r="I23" s="18" t="s">
        <v>567</v>
      </c>
      <c r="J23" s="20" t="s">
        <v>567</v>
      </c>
      <c r="K23" s="18" t="n">
        <v>2.03070214</v>
      </c>
      <c r="L23" s="20" t="n">
        <v>0.72269729</v>
      </c>
      <c r="M23" s="18" t="n">
        <v>0</v>
      </c>
      <c r="N23" s="20" t="n">
        <v>0</v>
      </c>
      <c r="O23" s="18" t="n">
        <v>0</v>
      </c>
      <c r="P23" s="20" t="n">
        <v>0</v>
      </c>
      <c r="Q23" s="18" t="n">
        <v>1.52909656</v>
      </c>
      <c r="R23" s="20" t="n">
        <v>0.4909983</v>
      </c>
    </row>
    <row r="24" spans="1:18">
      <c r="A24" s="15" t="s">
        <v>584</v>
      </c>
      <c r="B24" s="17" t="n">
        <v>3338</v>
      </c>
      <c r="C24" s="18">
        <f>(2629.0/B24*100)</f>
        <v/>
      </c>
      <c r="D24" s="19" t="n">
        <v>709</v>
      </c>
      <c r="E24" s="18" t="n">
        <v>39.6585407</v>
      </c>
      <c r="F24" s="20" t="n">
        <v>2.00355689</v>
      </c>
      <c r="G24" s="18" t="n">
        <v>57.71875829</v>
      </c>
      <c r="H24" s="20" t="n">
        <v>2.01356255</v>
      </c>
      <c r="I24" s="18" t="s">
        <v>567</v>
      </c>
      <c r="J24" s="20" t="s">
        <v>567</v>
      </c>
      <c r="K24" s="18" t="n">
        <v>1.14869877</v>
      </c>
      <c r="L24" s="20" t="n">
        <v>0.45297001</v>
      </c>
      <c r="M24" s="18" t="n">
        <v>0</v>
      </c>
      <c r="N24" s="20" t="n">
        <v>0</v>
      </c>
      <c r="O24" s="18" t="n">
        <v>0</v>
      </c>
      <c r="P24" s="20" t="n">
        <v>0</v>
      </c>
      <c r="Q24" s="18" t="n">
        <v>1.47400225</v>
      </c>
      <c r="R24" s="20" t="n">
        <v>0.461347</v>
      </c>
    </row>
    <row r="25" spans="1:18">
      <c r="A25" s="15" t="s">
        <v>585</v>
      </c>
      <c r="B25" s="17" t="n">
        <v>2912</v>
      </c>
      <c r="C25" s="18">
        <f>(2254.0/B25*100)</f>
        <v/>
      </c>
      <c r="D25" s="19" t="n">
        <v>658</v>
      </c>
      <c r="E25" s="18" t="n">
        <v>44.49557074</v>
      </c>
      <c r="F25" s="20" t="n">
        <v>2.1218679</v>
      </c>
      <c r="G25" s="18" t="n">
        <v>53.9340987</v>
      </c>
      <c r="H25" s="20" t="n">
        <v>2.05804146</v>
      </c>
      <c r="I25" s="18" t="s">
        <v>567</v>
      </c>
      <c r="J25" s="20" t="s">
        <v>567</v>
      </c>
      <c r="K25" s="18" t="n">
        <v>0.99627641</v>
      </c>
      <c r="L25" s="20" t="n">
        <v>0.38211563</v>
      </c>
      <c r="M25" s="18" t="n">
        <v>0</v>
      </c>
      <c r="N25" s="20" t="n">
        <v>0</v>
      </c>
      <c r="O25" s="18" t="n">
        <v>0</v>
      </c>
      <c r="P25" s="20" t="n">
        <v>0</v>
      </c>
      <c r="Q25" s="18" t="n">
        <v>0.57405415</v>
      </c>
      <c r="R25" s="20" t="n">
        <v>0.28876699</v>
      </c>
    </row>
    <row r="26" spans="1:18">
      <c r="A26" s="15" t="s">
        <v>586</v>
      </c>
      <c r="B26" s="17" t="n">
        <v>2450</v>
      </c>
      <c r="C26" s="18">
        <f>(1939.0/B26*100)</f>
        <v/>
      </c>
      <c r="D26" s="19" t="n">
        <v>511</v>
      </c>
      <c r="E26" s="18" t="n">
        <v>55.14701886</v>
      </c>
      <c r="F26" s="20" t="n">
        <v>2.52615392</v>
      </c>
      <c r="G26" s="18" t="n">
        <v>42.80881921</v>
      </c>
      <c r="H26" s="20" t="n">
        <v>2.56233182</v>
      </c>
      <c r="I26" s="18" t="s">
        <v>567</v>
      </c>
      <c r="J26" s="20" t="s">
        <v>567</v>
      </c>
      <c r="K26" s="18" t="n">
        <v>0.14861368</v>
      </c>
      <c r="L26" s="20" t="n">
        <v>0.12689029</v>
      </c>
      <c r="M26" s="18" t="n">
        <v>0</v>
      </c>
      <c r="N26" s="20" t="n">
        <v>0</v>
      </c>
      <c r="O26" s="18" t="n">
        <v>0</v>
      </c>
      <c r="P26" s="20" t="n">
        <v>0</v>
      </c>
      <c r="Q26" s="18" t="n">
        <v>1.89554825</v>
      </c>
      <c r="R26" s="20" t="n">
        <v>0.79248654</v>
      </c>
    </row>
    <row r="27" spans="1:18">
      <c r="A27" s="15" t="s">
        <v>587</v>
      </c>
      <c r="B27" s="17" t="n">
        <v>2616</v>
      </c>
      <c r="C27" s="18">
        <f>(2053.0/B27*100)</f>
        <v/>
      </c>
      <c r="D27" s="19" t="n">
        <v>563</v>
      </c>
      <c r="E27" s="18" t="n">
        <v>51.03451118</v>
      </c>
      <c r="F27" s="20" t="n">
        <v>1.95238368</v>
      </c>
      <c r="G27" s="18" t="n">
        <v>42.90710114</v>
      </c>
      <c r="H27" s="20" t="n">
        <v>1.78741479</v>
      </c>
      <c r="I27" s="18" t="s">
        <v>567</v>
      </c>
      <c r="J27" s="20" t="s">
        <v>567</v>
      </c>
      <c r="K27" s="18" t="n">
        <v>2.15425799</v>
      </c>
      <c r="L27" s="20" t="n">
        <v>0.61288768</v>
      </c>
      <c r="M27" s="18" t="n">
        <v>0</v>
      </c>
      <c r="N27" s="20" t="n">
        <v>0</v>
      </c>
      <c r="O27" s="18" t="n">
        <v>0</v>
      </c>
      <c r="P27" s="20" t="n">
        <v>0</v>
      </c>
      <c r="Q27" s="18" t="n">
        <v>3.9041297</v>
      </c>
      <c r="R27" s="20" t="n">
        <v>0.8447526</v>
      </c>
    </row>
    <row r="28" spans="1:18">
      <c r="A28" s="15" t="s">
        <v>588</v>
      </c>
      <c r="B28" s="17" t="n">
        <v>3765</v>
      </c>
      <c r="C28" s="18">
        <f>(3063.0/B28*100)</f>
        <v/>
      </c>
      <c r="D28" s="19" t="n">
        <v>702</v>
      </c>
      <c r="E28" s="18" t="n">
        <v>62.85656068</v>
      </c>
      <c r="F28" s="20" t="n">
        <v>2.28901905</v>
      </c>
      <c r="G28" s="18" t="n">
        <v>31.21054314</v>
      </c>
      <c r="H28" s="20" t="n">
        <v>2.1802136</v>
      </c>
      <c r="I28" s="18" t="s">
        <v>567</v>
      </c>
      <c r="J28" s="20" t="s">
        <v>567</v>
      </c>
      <c r="K28" s="18" t="n">
        <v>2.41632103</v>
      </c>
      <c r="L28" s="20" t="n">
        <v>0.69743401</v>
      </c>
      <c r="M28" s="18" t="n">
        <v>0</v>
      </c>
      <c r="N28" s="20" t="n">
        <v>0</v>
      </c>
      <c r="O28" s="18" t="n">
        <v>0</v>
      </c>
      <c r="P28" s="20" t="n">
        <v>0</v>
      </c>
      <c r="Q28" s="18" t="n">
        <v>3.51657514</v>
      </c>
      <c r="R28" s="20" t="n">
        <v>0.67260723</v>
      </c>
    </row>
    <row r="29" spans="1:18">
      <c r="A29" s="15" t="s">
        <v>589</v>
      </c>
      <c r="B29" s="17" t="n">
        <v>2685</v>
      </c>
      <c r="C29" s="18">
        <f>(2094.0/B29*100)</f>
        <v/>
      </c>
      <c r="D29" s="19" t="n">
        <v>591</v>
      </c>
      <c r="E29" s="18" t="n">
        <v>43.3887247</v>
      </c>
      <c r="F29" s="20" t="n">
        <v>2.26600932</v>
      </c>
      <c r="G29" s="18" t="n">
        <v>54.70868647</v>
      </c>
      <c r="H29" s="20" t="n">
        <v>2.26303165</v>
      </c>
      <c r="I29" s="18" t="s">
        <v>567</v>
      </c>
      <c r="J29" s="20" t="s">
        <v>567</v>
      </c>
      <c r="K29" s="18" t="n">
        <v>1.34820539</v>
      </c>
      <c r="L29" s="20" t="n">
        <v>0.49025769</v>
      </c>
      <c r="M29" s="18" t="n">
        <v>0</v>
      </c>
      <c r="N29" s="20" t="n">
        <v>0</v>
      </c>
      <c r="O29" s="18" t="n">
        <v>0</v>
      </c>
      <c r="P29" s="20" t="n">
        <v>0</v>
      </c>
      <c r="Q29" s="18" t="n">
        <v>0.5543834399999999</v>
      </c>
      <c r="R29" s="20" t="n">
        <v>0.28331093</v>
      </c>
    </row>
    <row r="30" spans="1:18">
      <c r="A30" s="15" t="s">
        <v>590</v>
      </c>
      <c r="B30" s="17" t="n">
        <v>2263</v>
      </c>
      <c r="C30" s="18">
        <f>(1795.0/B30*100)</f>
        <v/>
      </c>
      <c r="D30" s="19" t="n">
        <v>468</v>
      </c>
      <c r="E30" s="18" t="n">
        <v>47.48050204</v>
      </c>
      <c r="F30" s="20" t="n">
        <v>2.3469168</v>
      </c>
      <c r="G30" s="18" t="n">
        <v>46.6884467</v>
      </c>
      <c r="H30" s="20" t="n">
        <v>2.40456325</v>
      </c>
      <c r="I30" s="18" t="s">
        <v>567</v>
      </c>
      <c r="J30" s="20" t="s">
        <v>567</v>
      </c>
      <c r="K30" s="18" t="n">
        <v>3.54176514</v>
      </c>
      <c r="L30" s="20" t="n">
        <v>1.04105573</v>
      </c>
      <c r="M30" s="18" t="n">
        <v>0</v>
      </c>
      <c r="N30" s="20" t="n">
        <v>0</v>
      </c>
      <c r="O30" s="18" t="n">
        <v>0</v>
      </c>
      <c r="P30" s="20" t="n">
        <v>0</v>
      </c>
      <c r="Q30" s="18" t="n">
        <v>2.28928611</v>
      </c>
      <c r="R30" s="20" t="n">
        <v>0.6978628099999999</v>
      </c>
    </row>
    <row r="31" spans="1:18">
      <c r="A31" s="15" t="s">
        <v>591</v>
      </c>
      <c r="B31" s="17" t="n">
        <v>2750</v>
      </c>
      <c r="C31" s="18">
        <f>(2141.0/B31*100)</f>
        <v/>
      </c>
      <c r="D31" s="19" t="n">
        <v>609</v>
      </c>
      <c r="E31" s="18" t="n">
        <v>55.46253208</v>
      </c>
      <c r="F31" s="20" t="n">
        <v>1.99012594</v>
      </c>
      <c r="G31" s="18" t="n">
        <v>39.33432355</v>
      </c>
      <c r="H31" s="20" t="n">
        <v>2.02202931</v>
      </c>
      <c r="I31" s="18" t="s">
        <v>567</v>
      </c>
      <c r="J31" s="20" t="s">
        <v>567</v>
      </c>
      <c r="K31" s="18" t="n">
        <v>3.39879797</v>
      </c>
      <c r="L31" s="20" t="n">
        <v>0.77550831</v>
      </c>
      <c r="M31" s="18" t="n">
        <v>0</v>
      </c>
      <c r="N31" s="20" t="n">
        <v>0</v>
      </c>
      <c r="O31" s="18" t="n">
        <v>0</v>
      </c>
      <c r="P31" s="20" t="n">
        <v>0</v>
      </c>
      <c r="Q31" s="18" t="n">
        <v>1.8043464</v>
      </c>
      <c r="R31" s="20" t="n">
        <v>0.54716136</v>
      </c>
    </row>
    <row r="32" spans="1:18">
      <c r="A32" s="15" t="s">
        <v>592</v>
      </c>
      <c r="B32" s="17" t="n">
        <v>2269</v>
      </c>
      <c r="C32" s="18">
        <f>(1782.0/B32*100)</f>
        <v/>
      </c>
      <c r="D32" s="19" t="n">
        <v>487</v>
      </c>
      <c r="E32" s="18" t="n">
        <v>60.37234138</v>
      </c>
      <c r="F32" s="20" t="n">
        <v>2.39060061</v>
      </c>
      <c r="G32" s="18" t="n">
        <v>37.95967228</v>
      </c>
      <c r="H32" s="20" t="n">
        <v>2.41668668</v>
      </c>
      <c r="I32" s="18" t="s">
        <v>567</v>
      </c>
      <c r="J32" s="20" t="s">
        <v>567</v>
      </c>
      <c r="K32" s="18" t="n">
        <v>1.02295458</v>
      </c>
      <c r="L32" s="20" t="n">
        <v>0.45162255</v>
      </c>
      <c r="M32" s="18" t="n">
        <v>0</v>
      </c>
      <c r="N32" s="20" t="n">
        <v>0</v>
      </c>
      <c r="O32" s="18" t="n">
        <v>0</v>
      </c>
      <c r="P32" s="20" t="n">
        <v>0</v>
      </c>
      <c r="Q32" s="18" t="n">
        <v>0.64503176</v>
      </c>
      <c r="R32" s="20" t="n">
        <v>0.19498015</v>
      </c>
    </row>
    <row r="33" spans="1:18">
      <c r="A33" s="15" t="s">
        <v>593</v>
      </c>
      <c r="B33" s="17" t="n">
        <v>3674</v>
      </c>
      <c r="C33" s="18">
        <f>(2896.0/B33*100)</f>
        <v/>
      </c>
      <c r="D33" s="19" t="n">
        <v>778</v>
      </c>
      <c r="E33" s="18" t="n">
        <v>38.55486442</v>
      </c>
      <c r="F33" s="20" t="n">
        <v>1.87173164</v>
      </c>
      <c r="G33" s="18" t="n">
        <v>58.68404298</v>
      </c>
      <c r="H33" s="20" t="n">
        <v>1.93741095</v>
      </c>
      <c r="I33" s="18" t="s">
        <v>567</v>
      </c>
      <c r="J33" s="20" t="s">
        <v>567</v>
      </c>
      <c r="K33" s="18" t="n">
        <v>1.64817028</v>
      </c>
      <c r="L33" s="20" t="n">
        <v>0.61736665</v>
      </c>
      <c r="M33" s="18" t="n">
        <v>0</v>
      </c>
      <c r="N33" s="20" t="n">
        <v>0</v>
      </c>
      <c r="O33" s="18" t="n">
        <v>0</v>
      </c>
      <c r="P33" s="20" t="n">
        <v>0</v>
      </c>
      <c r="Q33" s="18" t="n">
        <v>1.11292232</v>
      </c>
      <c r="R33" s="20" t="n">
        <v>0.66107644</v>
      </c>
    </row>
    <row r="34" spans="1:18">
      <c r="A34" s="15" t="s">
        <v>594</v>
      </c>
      <c r="B34" s="17" t="n">
        <v>3315</v>
      </c>
      <c r="C34" s="18">
        <f>(2625.0/B34*100)</f>
        <v/>
      </c>
      <c r="D34" s="19" t="n">
        <v>690</v>
      </c>
      <c r="E34" s="18" t="n">
        <v>70.0810882</v>
      </c>
      <c r="F34" s="20" t="n">
        <v>1.71523697</v>
      </c>
      <c r="G34" s="18" t="n">
        <v>26.59409399</v>
      </c>
      <c r="H34" s="20" t="n">
        <v>1.69451432</v>
      </c>
      <c r="I34" s="18" t="s">
        <v>567</v>
      </c>
      <c r="J34" s="20" t="s">
        <v>567</v>
      </c>
      <c r="K34" s="18" t="n">
        <v>0.8811549400000001</v>
      </c>
      <c r="L34" s="20" t="n">
        <v>0.3259938</v>
      </c>
      <c r="M34" s="18" t="n">
        <v>0</v>
      </c>
      <c r="N34" s="20" t="n">
        <v>0</v>
      </c>
      <c r="O34" s="18" t="n">
        <v>0</v>
      </c>
      <c r="P34" s="20" t="n">
        <v>0</v>
      </c>
      <c r="Q34" s="18" t="n">
        <v>2.44366287</v>
      </c>
      <c r="R34" s="20" t="n">
        <v>0.87897954</v>
      </c>
    </row>
    <row r="35" spans="1:18">
      <c r="A35" s="15" t="s">
        <v>595</v>
      </c>
      <c r="B35" s="17" t="n">
        <v>3505</v>
      </c>
      <c r="C35" s="18">
        <f>(2782.0/B35*100)</f>
        <v/>
      </c>
      <c r="D35" s="19" t="n">
        <v>723</v>
      </c>
      <c r="E35" s="18" t="n">
        <v>51.32902184</v>
      </c>
      <c r="F35" s="20" t="n">
        <v>2.24960832</v>
      </c>
      <c r="G35" s="18" t="n">
        <v>46.20535015</v>
      </c>
      <c r="H35" s="20" t="n">
        <v>2.2372398</v>
      </c>
      <c r="I35" s="18" t="s">
        <v>567</v>
      </c>
      <c r="J35" s="20" t="s">
        <v>567</v>
      </c>
      <c r="K35" s="18" t="n">
        <v>1.26524117</v>
      </c>
      <c r="L35" s="20" t="n">
        <v>0.80757321</v>
      </c>
      <c r="M35" s="18" t="n">
        <v>0</v>
      </c>
      <c r="N35" s="20" t="n">
        <v>0</v>
      </c>
      <c r="O35" s="18" t="n">
        <v>0</v>
      </c>
      <c r="P35" s="20" t="n">
        <v>0</v>
      </c>
      <c r="Q35" s="18" t="n">
        <v>1.20038684</v>
      </c>
      <c r="R35" s="20" t="n">
        <v>0.46801658</v>
      </c>
    </row>
    <row r="36" spans="1:18">
      <c r="A36" s="15" t="s">
        <v>596</v>
      </c>
      <c r="B36" s="17" t="n">
        <v>3332</v>
      </c>
      <c r="C36" s="18">
        <f>(2633.0/B36*100)</f>
        <v/>
      </c>
      <c r="D36" s="19" t="n">
        <v>699</v>
      </c>
      <c r="E36" s="18" t="n">
        <v>45.0390043</v>
      </c>
      <c r="F36" s="20" t="n">
        <v>2.12567226</v>
      </c>
      <c r="G36" s="18" t="n">
        <v>51.56045699</v>
      </c>
      <c r="H36" s="20" t="n">
        <v>1.97226821</v>
      </c>
      <c r="I36" s="18" t="s">
        <v>567</v>
      </c>
      <c r="J36" s="20" t="s">
        <v>567</v>
      </c>
      <c r="K36" s="18" t="n">
        <v>1.8364184</v>
      </c>
      <c r="L36" s="20" t="n">
        <v>0.65108585</v>
      </c>
      <c r="M36" s="18" t="n">
        <v>0</v>
      </c>
      <c r="N36" s="20" t="n">
        <v>0</v>
      </c>
      <c r="O36" s="18" t="n">
        <v>0</v>
      </c>
      <c r="P36" s="20" t="n">
        <v>0</v>
      </c>
      <c r="Q36" s="18" t="n">
        <v>1.56412031</v>
      </c>
      <c r="R36" s="20" t="n">
        <v>0.50450466</v>
      </c>
    </row>
    <row r="37" spans="1:18">
      <c r="A37" s="15" t="s">
        <v>597</v>
      </c>
      <c r="B37" s="17" t="n">
        <v>2727</v>
      </c>
      <c r="C37" s="18">
        <f>(2159.0/B37*100)</f>
        <v/>
      </c>
      <c r="D37" s="19" t="n">
        <v>568</v>
      </c>
      <c r="E37" s="18" t="n">
        <v>52.07930567</v>
      </c>
      <c r="F37" s="20" t="n">
        <v>2.27129565</v>
      </c>
      <c r="G37" s="18" t="n">
        <v>40.70207819</v>
      </c>
      <c r="H37" s="20" t="n">
        <v>2.22518633</v>
      </c>
      <c r="I37" s="18" t="s">
        <v>567</v>
      </c>
      <c r="J37" s="20" t="s">
        <v>567</v>
      </c>
      <c r="K37" s="18" t="n">
        <v>3.99194869</v>
      </c>
      <c r="L37" s="20" t="n">
        <v>0.8206925</v>
      </c>
      <c r="M37" s="18" t="n">
        <v>0</v>
      </c>
      <c r="N37" s="20" t="n">
        <v>0</v>
      </c>
      <c r="O37" s="18" t="n">
        <v>0</v>
      </c>
      <c r="P37" s="20" t="n">
        <v>0</v>
      </c>
      <c r="Q37" s="18" t="n">
        <v>3.22666744</v>
      </c>
      <c r="R37" s="20" t="n">
        <v>0.7439503200000001</v>
      </c>
    </row>
    <row r="38" spans="1:18">
      <c r="A38" s="15" t="s">
        <v>598</v>
      </c>
      <c r="B38" s="17" t="n">
        <v>3053</v>
      </c>
      <c r="C38" s="18">
        <f>(2410.0/B38*100)</f>
        <v/>
      </c>
      <c r="D38" s="19" t="n">
        <v>643</v>
      </c>
      <c r="E38" s="18" t="n">
        <v>52.34835095</v>
      </c>
      <c r="F38" s="20" t="n">
        <v>2.26725407</v>
      </c>
      <c r="G38" s="18" t="n">
        <v>44.31488005</v>
      </c>
      <c r="H38" s="20" t="n">
        <v>2.43740537</v>
      </c>
      <c r="I38" s="18" t="s">
        <v>567</v>
      </c>
      <c r="J38" s="20" t="s">
        <v>567</v>
      </c>
      <c r="K38" s="18" t="n">
        <v>2.53352902</v>
      </c>
      <c r="L38" s="20" t="n">
        <v>0.6815946899999999</v>
      </c>
      <c r="M38" s="18" t="n">
        <v>0</v>
      </c>
      <c r="N38" s="20" t="n">
        <v>0</v>
      </c>
      <c r="O38" s="18" t="n">
        <v>0</v>
      </c>
      <c r="P38" s="20" t="n">
        <v>0</v>
      </c>
      <c r="Q38" s="18" t="n">
        <v>0.80323998</v>
      </c>
      <c r="R38" s="20" t="n">
        <v>0.27538782</v>
      </c>
    </row>
    <row r="39" spans="1:18">
      <c r="A39" s="15" t="s">
        <v>599</v>
      </c>
      <c r="B39" s="17" t="n">
        <v>2957</v>
      </c>
      <c r="C39" s="18">
        <f>(2305.0/B39*100)</f>
        <v/>
      </c>
      <c r="D39" s="19" t="n">
        <v>652</v>
      </c>
      <c r="E39" s="18" t="n">
        <v>71.94758505999999</v>
      </c>
      <c r="F39" s="20" t="n">
        <v>2.1258421</v>
      </c>
      <c r="G39" s="18" t="n">
        <v>23.7850464</v>
      </c>
      <c r="H39" s="20" t="n">
        <v>2.01889352</v>
      </c>
      <c r="I39" s="18" t="s">
        <v>567</v>
      </c>
      <c r="J39" s="20" t="s">
        <v>567</v>
      </c>
      <c r="K39" s="18" t="n">
        <v>1.49644883</v>
      </c>
      <c r="L39" s="20" t="n">
        <v>0.52347054</v>
      </c>
      <c r="M39" s="18" t="n">
        <v>0</v>
      </c>
      <c r="N39" s="20" t="n">
        <v>0</v>
      </c>
      <c r="O39" s="18" t="n">
        <v>0</v>
      </c>
      <c r="P39" s="20" t="n">
        <v>0</v>
      </c>
      <c r="Q39" s="18" t="n">
        <v>2.77091971</v>
      </c>
      <c r="R39" s="20" t="n">
        <v>0.5725363999999999</v>
      </c>
    </row>
    <row r="40" spans="1:18">
      <c r="A40" s="15" t="s">
        <v>600</v>
      </c>
      <c r="B40" s="17" t="n">
        <v>7235</v>
      </c>
      <c r="C40" s="18">
        <f>(5626.0/B40*100)</f>
        <v/>
      </c>
      <c r="D40" s="19" t="n">
        <v>1609</v>
      </c>
      <c r="E40" s="18" t="n">
        <v>54.41597959</v>
      </c>
      <c r="F40" s="20" t="n">
        <v>1.74760663</v>
      </c>
      <c r="G40" s="18" t="n">
        <v>42.57724834</v>
      </c>
      <c r="H40" s="20" t="n">
        <v>1.80122968</v>
      </c>
      <c r="I40" s="18" t="s">
        <v>567</v>
      </c>
      <c r="J40" s="20" t="s">
        <v>567</v>
      </c>
      <c r="K40" s="18" t="n">
        <v>2.34059205</v>
      </c>
      <c r="L40" s="20" t="n">
        <v>0.69657407</v>
      </c>
      <c r="M40" s="18" t="n">
        <v>0</v>
      </c>
      <c r="N40" s="20" t="n">
        <v>0</v>
      </c>
      <c r="O40" s="18" t="n">
        <v>0</v>
      </c>
      <c r="P40" s="20" t="n">
        <v>0</v>
      </c>
      <c r="Q40" s="18" t="n">
        <v>0.66618002</v>
      </c>
      <c r="R40" s="20" t="n">
        <v>0.25525067</v>
      </c>
    </row>
    <row r="41" spans="1:18">
      <c r="A41" s="15" t="s">
        <v>601</v>
      </c>
      <c r="B41" s="17" t="n">
        <v>2858</v>
      </c>
      <c r="C41" s="18">
        <f>(2235.0/B41*100)</f>
        <v/>
      </c>
      <c r="D41" s="19" t="n">
        <v>623</v>
      </c>
      <c r="E41" s="18" t="n">
        <v>45.41715335</v>
      </c>
      <c r="F41" s="20" t="n">
        <v>2.13262371</v>
      </c>
      <c r="G41" s="18" t="n">
        <v>53.47618818</v>
      </c>
      <c r="H41" s="20" t="n">
        <v>2.16445799</v>
      </c>
      <c r="I41" s="18" t="s">
        <v>567</v>
      </c>
      <c r="J41" s="20" t="s">
        <v>567</v>
      </c>
      <c r="K41" s="18" t="n">
        <v>0.30214142</v>
      </c>
      <c r="L41" s="20" t="n">
        <v>0.2080479</v>
      </c>
      <c r="M41" s="18" t="n">
        <v>0</v>
      </c>
      <c r="N41" s="20" t="n">
        <v>0</v>
      </c>
      <c r="O41" s="18" t="n">
        <v>0</v>
      </c>
      <c r="P41" s="20" t="n">
        <v>0</v>
      </c>
      <c r="Q41" s="18" t="n">
        <v>0.80451705</v>
      </c>
      <c r="R41" s="20" t="n">
        <v>0.35655277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(9412.0/B46*100)</f>
        <v/>
      </c>
      <c r="D46" s="19" t="n">
        <v>1656</v>
      </c>
      <c r="E46" s="18" t="n">
        <v>64.63567075</v>
      </c>
      <c r="F46" s="20" t="n">
        <v>1.6152527</v>
      </c>
      <c r="G46" s="18" t="n">
        <v>24.17837364</v>
      </c>
      <c r="H46" s="20" t="n">
        <v>1.41503859</v>
      </c>
      <c r="I46" s="18" t="s">
        <v>567</v>
      </c>
      <c r="J46" s="20" t="s">
        <v>567</v>
      </c>
      <c r="K46" s="18" t="n">
        <v>5.55400459</v>
      </c>
      <c r="L46" s="20" t="n">
        <v>0.8300152200000001</v>
      </c>
      <c r="M46" s="18" t="n">
        <v>0</v>
      </c>
      <c r="N46" s="20" t="n">
        <v>0</v>
      </c>
      <c r="O46" s="18" t="n">
        <v>0</v>
      </c>
      <c r="P46" s="20" t="n">
        <v>0</v>
      </c>
      <c r="Q46" s="18" t="n">
        <v>5.63195103</v>
      </c>
      <c r="R46" s="20" t="n">
        <v>0.762975</v>
      </c>
    </row>
    <row r="47" spans="1:18">
      <c r="A47" s="15" t="s">
        <v>607</v>
      </c>
      <c r="B47" s="17" t="n">
        <v>3105</v>
      </c>
      <c r="C47" s="18">
        <f>(2447.0/B47*100)</f>
        <v/>
      </c>
      <c r="D47" s="19" t="n">
        <v>658</v>
      </c>
      <c r="E47" s="18" t="n">
        <v>67.83520005</v>
      </c>
      <c r="F47" s="20" t="n">
        <v>1.86463503</v>
      </c>
      <c r="G47" s="18" t="n">
        <v>25.94055806</v>
      </c>
      <c r="H47" s="20" t="n">
        <v>1.93005849</v>
      </c>
      <c r="I47" s="18" t="s">
        <v>567</v>
      </c>
      <c r="J47" s="20" t="s">
        <v>567</v>
      </c>
      <c r="K47" s="18" t="n">
        <v>2.92644308</v>
      </c>
      <c r="L47" s="20" t="n">
        <v>0.57738294</v>
      </c>
      <c r="M47" s="18" t="n">
        <v>0</v>
      </c>
      <c r="N47" s="20" t="n">
        <v>0</v>
      </c>
      <c r="O47" s="18" t="n">
        <v>0</v>
      </c>
      <c r="P47" s="20" t="n">
        <v>0</v>
      </c>
      <c r="Q47" s="18" t="n">
        <v>3.29779882</v>
      </c>
      <c r="R47" s="20" t="n">
        <v>0.78086441</v>
      </c>
    </row>
    <row r="48" spans="1:18">
      <c r="A48" s="15" t="s">
        <v>608</v>
      </c>
      <c r="B48" s="17" t="n">
        <v>5159</v>
      </c>
      <c r="C48" s="18">
        <f>(4036.0/B48*100)</f>
        <v/>
      </c>
      <c r="D48" s="19" t="n">
        <v>1123</v>
      </c>
      <c r="E48" s="18" t="n">
        <v>53.85426813</v>
      </c>
      <c r="F48" s="20" t="n">
        <v>2.19109752</v>
      </c>
      <c r="G48" s="18" t="n">
        <v>42.95588753</v>
      </c>
      <c r="H48" s="20" t="n">
        <v>1.98108841</v>
      </c>
      <c r="I48" s="18" t="s">
        <v>567</v>
      </c>
      <c r="J48" s="20" t="s">
        <v>567</v>
      </c>
      <c r="K48" s="18" t="n">
        <v>1.99920967</v>
      </c>
      <c r="L48" s="20" t="n">
        <v>0.73956769</v>
      </c>
      <c r="M48" s="18" t="n">
        <v>0</v>
      </c>
      <c r="N48" s="20" t="n">
        <v>0</v>
      </c>
      <c r="O48" s="18" t="n">
        <v>0</v>
      </c>
      <c r="P48" s="20" t="n">
        <v>0</v>
      </c>
      <c r="Q48" s="18" t="n">
        <v>1.19063467</v>
      </c>
      <c r="R48" s="20" t="n">
        <v>0.39909444</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(4454.0/B50*100)</f>
        <v/>
      </c>
      <c r="D50" s="19" t="n">
        <v>1183</v>
      </c>
      <c r="E50" s="18" t="n">
        <v>60.38131938</v>
      </c>
      <c r="F50" s="20" t="n">
        <v>1.82981093</v>
      </c>
      <c r="G50" s="18" t="n">
        <v>30.31384709</v>
      </c>
      <c r="H50" s="20" t="n">
        <v>1.76672702</v>
      </c>
      <c r="I50" s="18" t="s">
        <v>567</v>
      </c>
      <c r="J50" s="20" t="s">
        <v>567</v>
      </c>
      <c r="K50" s="18" t="n">
        <v>6.30884592</v>
      </c>
      <c r="L50" s="20" t="n">
        <v>1.03543037</v>
      </c>
      <c r="M50" s="18" t="n">
        <v>0</v>
      </c>
      <c r="N50" s="20" t="n">
        <v>0</v>
      </c>
      <c r="O50" s="18" t="n">
        <v>0</v>
      </c>
      <c r="P50" s="20" t="n">
        <v>0</v>
      </c>
      <c r="Q50" s="18" t="n">
        <v>2.9959876</v>
      </c>
      <c r="R50" s="20" t="n">
        <v>0.76664919</v>
      </c>
    </row>
    <row r="51" spans="1:18">
      <c r="A51" s="15" t="s">
        <v>611</v>
      </c>
      <c r="B51" s="17" t="n">
        <v>3372</v>
      </c>
      <c r="C51" s="18">
        <f>(2757.0/B51*100)</f>
        <v/>
      </c>
      <c r="D51" s="19" t="n">
        <v>615</v>
      </c>
      <c r="E51" s="18" t="n">
        <v>64.16766242</v>
      </c>
      <c r="F51" s="20" t="n">
        <v>1.92923638</v>
      </c>
      <c r="G51" s="18" t="n">
        <v>30.75301249</v>
      </c>
      <c r="H51" s="20" t="n">
        <v>1.74318188</v>
      </c>
      <c r="I51" s="18" t="s">
        <v>567</v>
      </c>
      <c r="J51" s="20" t="s">
        <v>567</v>
      </c>
      <c r="K51" s="18" t="n">
        <v>2.74089965</v>
      </c>
      <c r="L51" s="20" t="n">
        <v>0.89889029</v>
      </c>
      <c r="M51" s="18" t="n">
        <v>0</v>
      </c>
      <c r="N51" s="20" t="n">
        <v>0</v>
      </c>
      <c r="O51" s="18" t="n">
        <v>0</v>
      </c>
      <c r="P51" s="20" t="n">
        <v>0</v>
      </c>
      <c r="Q51" s="18" t="n">
        <v>2.33842545</v>
      </c>
      <c r="R51" s="20" t="n">
        <v>0.5219253700000001</v>
      </c>
    </row>
    <row r="52" spans="1:18">
      <c r="A52" s="15" t="s">
        <v>612</v>
      </c>
      <c r="B52" s="17" t="n">
        <v>2796</v>
      </c>
      <c r="C52" s="18">
        <f>(2168.0/B52*100)</f>
        <v/>
      </c>
      <c r="D52" s="19" t="n">
        <v>628</v>
      </c>
      <c r="E52" s="18" t="n">
        <v>62.79009281</v>
      </c>
      <c r="F52" s="20" t="n">
        <v>2.11286993</v>
      </c>
      <c r="G52" s="18" t="n">
        <v>33.55820541</v>
      </c>
      <c r="H52" s="20" t="n">
        <v>2.15904605</v>
      </c>
      <c r="I52" s="18" t="s">
        <v>567</v>
      </c>
      <c r="J52" s="20" t="s">
        <v>567</v>
      </c>
      <c r="K52" s="18" t="n">
        <v>2.35858015</v>
      </c>
      <c r="L52" s="20" t="n">
        <v>0.5597234800000001</v>
      </c>
      <c r="M52" s="18" t="n">
        <v>0</v>
      </c>
      <c r="N52" s="20" t="n">
        <v>0</v>
      </c>
      <c r="O52" s="18" t="n">
        <v>0</v>
      </c>
      <c r="P52" s="20" t="n">
        <v>0</v>
      </c>
      <c r="Q52" s="18" t="n">
        <v>1.29312163</v>
      </c>
      <c r="R52" s="20" t="n">
        <v>0.48757737</v>
      </c>
    </row>
    <row r="53" spans="1:18">
      <c r="A53" s="15" t="s">
        <v>613</v>
      </c>
      <c r="B53" s="17" t="n">
        <v>2811</v>
      </c>
      <c r="C53" s="18">
        <f>(2182.0/B53*100)</f>
        <v/>
      </c>
      <c r="D53" s="19" t="n">
        <v>629</v>
      </c>
      <c r="E53" s="18" t="n">
        <v>62.52714156</v>
      </c>
      <c r="F53" s="20" t="n">
        <v>1.89108692</v>
      </c>
      <c r="G53" s="18" t="n">
        <v>30.50056736</v>
      </c>
      <c r="H53" s="20" t="n">
        <v>1.6746186</v>
      </c>
      <c r="I53" s="18" t="s">
        <v>567</v>
      </c>
      <c r="J53" s="20" t="s">
        <v>567</v>
      </c>
      <c r="K53" s="18" t="n">
        <v>4.07732316</v>
      </c>
      <c r="L53" s="20" t="n">
        <v>0.81642689</v>
      </c>
      <c r="M53" s="18" t="n">
        <v>0</v>
      </c>
      <c r="N53" s="20" t="n">
        <v>0</v>
      </c>
      <c r="O53" s="18" t="n">
        <v>0</v>
      </c>
      <c r="P53" s="20" t="n">
        <v>0</v>
      </c>
      <c r="Q53" s="18" t="n">
        <v>2.89496792</v>
      </c>
      <c r="R53" s="20" t="n">
        <v>0.62952603</v>
      </c>
    </row>
    <row r="54" spans="1:18">
      <c r="A54" s="15" t="s">
        <v>614</v>
      </c>
      <c r="B54" s="17" t="n">
        <v>2266</v>
      </c>
      <c r="C54" s="18">
        <f>(1785.0/B54*100)</f>
        <v/>
      </c>
      <c r="D54" s="19" t="n">
        <v>481</v>
      </c>
      <c r="E54" s="18" t="n">
        <v>50.10600224</v>
      </c>
      <c r="F54" s="20" t="n">
        <v>2.21442921</v>
      </c>
      <c r="G54" s="18" t="n">
        <v>12.50724006</v>
      </c>
      <c r="H54" s="20" t="n">
        <v>1.64280013</v>
      </c>
      <c r="I54" s="18" t="s">
        <v>567</v>
      </c>
      <c r="J54" s="20" t="s">
        <v>567</v>
      </c>
      <c r="K54" s="18" t="n">
        <v>28.24099527</v>
      </c>
      <c r="L54" s="20" t="n">
        <v>2.27421325</v>
      </c>
      <c r="M54" s="18" t="n">
        <v>0</v>
      </c>
      <c r="N54" s="20" t="n">
        <v>0</v>
      </c>
      <c r="O54" s="18" t="n">
        <v>0</v>
      </c>
      <c r="P54" s="20" t="n">
        <v>0</v>
      </c>
      <c r="Q54" s="18" t="n">
        <v>9.14576243</v>
      </c>
      <c r="R54" s="20" t="n">
        <v>1.68444874</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(2101.0/B56*100)</f>
        <v/>
      </c>
      <c r="D56" s="19" t="n">
        <v>583</v>
      </c>
      <c r="E56" s="18" t="n">
        <v>61.95111561</v>
      </c>
      <c r="F56" s="20" t="n">
        <v>2.05917538</v>
      </c>
      <c r="G56" s="18" t="n">
        <v>36.6874318</v>
      </c>
      <c r="H56" s="20" t="n">
        <v>2.0470967</v>
      </c>
      <c r="I56" s="18" t="s">
        <v>567</v>
      </c>
      <c r="J56" s="20" t="s">
        <v>567</v>
      </c>
      <c r="K56" s="18" t="n">
        <v>1.20910441</v>
      </c>
      <c r="L56" s="20" t="n">
        <v>0.45480971</v>
      </c>
      <c r="M56" s="18" t="n">
        <v>0</v>
      </c>
      <c r="N56" s="20" t="n">
        <v>0</v>
      </c>
      <c r="O56" s="18" t="n">
        <v>0</v>
      </c>
      <c r="P56" s="20" t="n">
        <v>0</v>
      </c>
      <c r="Q56" s="18" t="n">
        <v>0.15234818</v>
      </c>
      <c r="R56" s="20" t="n">
        <v>0.15256155</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(2567.0/B61*100)</f>
        <v/>
      </c>
      <c r="D61" s="19" t="n">
        <v>757</v>
      </c>
      <c r="E61" s="18" t="n">
        <v>69.82285066</v>
      </c>
      <c r="F61" s="20" t="n">
        <v>1.78807743</v>
      </c>
      <c r="G61" s="18" t="n">
        <v>27.61968088</v>
      </c>
      <c r="H61" s="20" t="n">
        <v>1.72106224</v>
      </c>
      <c r="I61" s="18" t="s">
        <v>567</v>
      </c>
      <c r="J61" s="20" t="s">
        <v>567</v>
      </c>
      <c r="K61" s="18" t="n">
        <v>1.35828172</v>
      </c>
      <c r="L61" s="20" t="n">
        <v>0.49161072</v>
      </c>
      <c r="M61" s="18" t="n">
        <v>0</v>
      </c>
      <c r="N61" s="20" t="n">
        <v>0</v>
      </c>
      <c r="O61" s="18" t="n">
        <v>0</v>
      </c>
      <c r="P61" s="20" t="n">
        <v>0</v>
      </c>
      <c r="Q61" s="18" t="n">
        <v>1.19918674</v>
      </c>
      <c r="R61" s="20" t="n">
        <v>0.43498515</v>
      </c>
    </row>
    <row r="62" spans="1:18">
      <c r="A62" s="15" t="s">
        <v>622</v>
      </c>
      <c r="B62" s="17" t="n">
        <v>2246</v>
      </c>
      <c r="C62" s="18">
        <f>(1791.0/B62*100)</f>
        <v/>
      </c>
      <c r="D62" s="19" t="n">
        <v>455</v>
      </c>
      <c r="E62" s="18" t="n">
        <v>57.80274957</v>
      </c>
      <c r="F62" s="20" t="n">
        <v>2.17442605</v>
      </c>
      <c r="G62" s="18" t="n">
        <v>40.42808866</v>
      </c>
      <c r="H62" s="20" t="n">
        <v>2.15891362</v>
      </c>
      <c r="I62" s="18" t="s">
        <v>567</v>
      </c>
      <c r="J62" s="20" t="s">
        <v>567</v>
      </c>
      <c r="K62" s="18" t="n">
        <v>0</v>
      </c>
      <c r="L62" s="20" t="n">
        <v>0</v>
      </c>
      <c r="M62" s="18" t="n">
        <v>0</v>
      </c>
      <c r="N62" s="20" t="n">
        <v>0</v>
      </c>
      <c r="O62" s="18" t="n">
        <v>0</v>
      </c>
      <c r="P62" s="20" t="n">
        <v>0</v>
      </c>
      <c r="Q62" s="18" t="n">
        <v>1.76916177</v>
      </c>
      <c r="R62" s="20" t="n">
        <v>0.60998314</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(2294.0/B66*100)</f>
        <v/>
      </c>
      <c r="D66" s="19" t="n">
        <v>600</v>
      </c>
      <c r="E66" s="18" t="n">
        <v>59.92386375</v>
      </c>
      <c r="F66" s="20" t="n">
        <v>2.05786264</v>
      </c>
      <c r="G66" s="18" t="n">
        <v>26.0107928</v>
      </c>
      <c r="H66" s="20" t="n">
        <v>1.60307562</v>
      </c>
      <c r="I66" s="18" t="s">
        <v>567</v>
      </c>
      <c r="J66" s="20" t="s">
        <v>567</v>
      </c>
      <c r="K66" s="18" t="n">
        <v>7.90007963</v>
      </c>
      <c r="L66" s="20" t="n">
        <v>1.21943208</v>
      </c>
      <c r="M66" s="18" t="n">
        <v>0</v>
      </c>
      <c r="N66" s="20" t="n">
        <v>0</v>
      </c>
      <c r="O66" s="18" t="n">
        <v>0</v>
      </c>
      <c r="P66" s="20" t="n">
        <v>0</v>
      </c>
      <c r="Q66" s="18" t="n">
        <v>6.16526382</v>
      </c>
      <c r="R66" s="20" t="n">
        <v>1.04483014</v>
      </c>
    </row>
    <row r="67" spans="1:18">
      <c r="A67" s="15" t="s">
        <v>627</v>
      </c>
      <c r="B67" s="17" t="n">
        <v>3511</v>
      </c>
      <c r="C67" s="18">
        <f>(2883.0/B67*100)</f>
        <v/>
      </c>
      <c r="D67" s="19" t="n">
        <v>628</v>
      </c>
      <c r="E67" s="18" t="n">
        <v>64.5107951</v>
      </c>
      <c r="F67" s="20" t="n">
        <v>1.97471615</v>
      </c>
      <c r="G67" s="18" t="n">
        <v>29.92720163</v>
      </c>
      <c r="H67" s="20" t="n">
        <v>1.98107759</v>
      </c>
      <c r="I67" s="18" t="s">
        <v>567</v>
      </c>
      <c r="J67" s="20" t="s">
        <v>567</v>
      </c>
      <c r="K67" s="18" t="n">
        <v>1.16142188</v>
      </c>
      <c r="L67" s="20" t="n">
        <v>0.54228029</v>
      </c>
      <c r="M67" s="18" t="n">
        <v>0</v>
      </c>
      <c r="N67" s="20" t="n">
        <v>0</v>
      </c>
      <c r="O67" s="18" t="n">
        <v>0</v>
      </c>
      <c r="P67" s="20" t="n">
        <v>0</v>
      </c>
      <c r="Q67" s="18" t="n">
        <v>4.40058138</v>
      </c>
      <c r="R67" s="20" t="n">
        <v>0.93784769</v>
      </c>
    </row>
    <row r="68" spans="1:18">
      <c r="A68" s="15" t="s">
        <v>628</v>
      </c>
      <c r="B68" s="17" t="n">
        <v>6049</v>
      </c>
      <c r="C68" s="18">
        <f>(4736.0/B68*100)</f>
        <v/>
      </c>
      <c r="D68" s="19" t="n">
        <v>1313</v>
      </c>
      <c r="E68" s="18" t="n">
        <v>61.22848335</v>
      </c>
      <c r="F68" s="20" t="n">
        <v>1.39633927</v>
      </c>
      <c r="G68" s="18" t="n">
        <v>27.5169026</v>
      </c>
      <c r="H68" s="20" t="n">
        <v>1.25994805</v>
      </c>
      <c r="I68" s="18" t="s">
        <v>567</v>
      </c>
      <c r="J68" s="20" t="s">
        <v>567</v>
      </c>
      <c r="K68" s="18" t="n">
        <v>8.495351700000001</v>
      </c>
      <c r="L68" s="20" t="n">
        <v>0.83362103</v>
      </c>
      <c r="M68" s="18" t="n">
        <v>0</v>
      </c>
      <c r="N68" s="20" t="n">
        <v>0</v>
      </c>
      <c r="O68" s="18" t="n">
        <v>0</v>
      </c>
      <c r="P68" s="20" t="n">
        <v>0</v>
      </c>
      <c r="Q68" s="18" t="n">
        <v>2.75926236</v>
      </c>
      <c r="R68" s="20" t="n">
        <v>0.42809902</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(2316.0/B70*100)</f>
        <v/>
      </c>
      <c r="D70" s="19" t="n">
        <v>613</v>
      </c>
      <c r="E70" s="18" t="n">
        <v>63.78209056</v>
      </c>
      <c r="F70" s="20" t="n">
        <v>2.35894148</v>
      </c>
      <c r="G70" s="18" t="n">
        <v>34.29107765</v>
      </c>
      <c r="H70" s="20" t="n">
        <v>2.36363439</v>
      </c>
      <c r="I70" s="18" t="s">
        <v>567</v>
      </c>
      <c r="J70" s="20" t="s">
        <v>567</v>
      </c>
      <c r="K70" s="18" t="n">
        <v>1.37980192</v>
      </c>
      <c r="L70" s="20" t="n">
        <v>0.39616878</v>
      </c>
      <c r="M70" s="18" t="n">
        <v>0</v>
      </c>
      <c r="N70" s="20" t="n">
        <v>0</v>
      </c>
      <c r="O70" s="18" t="n">
        <v>0</v>
      </c>
      <c r="P70" s="20" t="n">
        <v>0</v>
      </c>
      <c r="Q70" s="18" t="n">
        <v>0.54702987</v>
      </c>
      <c r="R70" s="20" t="n">
        <v>0.21528788</v>
      </c>
    </row>
    <row r="71" spans="1:18">
      <c r="A71" s="15" t="s">
        <v>631</v>
      </c>
      <c r="B71" s="17" t="n">
        <v>3142</v>
      </c>
      <c r="C71" s="18">
        <f>(2444.0/B71*100)</f>
        <v/>
      </c>
      <c r="D71" s="19" t="n">
        <v>698</v>
      </c>
      <c r="E71" s="18" t="n">
        <v>35.42994821</v>
      </c>
      <c r="F71" s="20" t="n">
        <v>1.65729929</v>
      </c>
      <c r="G71" s="18" t="n">
        <v>63.12036875</v>
      </c>
      <c r="H71" s="20" t="n">
        <v>1.62614493</v>
      </c>
      <c r="I71" s="18" t="s">
        <v>567</v>
      </c>
      <c r="J71" s="20" t="s">
        <v>567</v>
      </c>
      <c r="K71" s="18" t="n">
        <v>0.7450293099999999</v>
      </c>
      <c r="L71" s="20" t="n">
        <v>0.29672343</v>
      </c>
      <c r="M71" s="18" t="n">
        <v>0</v>
      </c>
      <c r="N71" s="20" t="n">
        <v>0</v>
      </c>
      <c r="O71" s="18" t="n">
        <v>0</v>
      </c>
      <c r="P71" s="20" t="n">
        <v>0</v>
      </c>
      <c r="Q71" s="18" t="n">
        <v>0.70465374</v>
      </c>
      <c r="R71" s="20" t="n">
        <v>0.34736485</v>
      </c>
    </row>
    <row r="72" spans="1:18">
      <c r="A72" s="15" t="s">
        <v>632</v>
      </c>
      <c r="B72" s="17" t="n">
        <v>3889</v>
      </c>
      <c r="C72" s="18">
        <f>(3020.0/B72*100)</f>
        <v/>
      </c>
      <c r="D72" s="19" t="n">
        <v>869</v>
      </c>
      <c r="E72" s="18" t="n">
        <v>51.64371815</v>
      </c>
      <c r="F72" s="20" t="n">
        <v>2.21004791</v>
      </c>
      <c r="G72" s="18" t="n">
        <v>47.55303701</v>
      </c>
      <c r="H72" s="20" t="n">
        <v>2.18622982</v>
      </c>
      <c r="I72" s="18" t="s">
        <v>567</v>
      </c>
      <c r="J72" s="20" t="s">
        <v>567</v>
      </c>
      <c r="K72" s="18" t="n">
        <v>0.55285228</v>
      </c>
      <c r="L72" s="20" t="n">
        <v>0.28232694</v>
      </c>
      <c r="M72" s="18" t="n">
        <v>0</v>
      </c>
      <c r="N72" s="20" t="n">
        <v>0</v>
      </c>
      <c r="O72" s="18" t="n">
        <v>0</v>
      </c>
      <c r="P72" s="20" t="n">
        <v>0</v>
      </c>
      <c r="Q72" s="18" t="n">
        <v>0.25039256</v>
      </c>
      <c r="R72" s="20" t="n">
        <v>0.15938252</v>
      </c>
    </row>
    <row r="73" spans="1:18">
      <c r="A73" s="15" t="s">
        <v>633</v>
      </c>
      <c r="B73" s="17" t="n">
        <v>3597</v>
      </c>
      <c r="C73" s="18">
        <f>(2873.0/B73*100)</f>
        <v/>
      </c>
      <c r="D73" s="19" t="n">
        <v>724</v>
      </c>
      <c r="E73" s="18" t="n">
        <v>72.23114618</v>
      </c>
      <c r="F73" s="20" t="n">
        <v>1.90488825</v>
      </c>
      <c r="G73" s="18" t="n">
        <v>25.77807121</v>
      </c>
      <c r="H73" s="20" t="n">
        <v>2.01524827</v>
      </c>
      <c r="I73" s="18" t="s">
        <v>567</v>
      </c>
      <c r="J73" s="20" t="s">
        <v>567</v>
      </c>
      <c r="K73" s="18" t="n">
        <v>0.46064159</v>
      </c>
      <c r="L73" s="20" t="n">
        <v>0.24456533</v>
      </c>
      <c r="M73" s="18" t="n">
        <v>0</v>
      </c>
      <c r="N73" s="20" t="n">
        <v>0</v>
      </c>
      <c r="O73" s="18" t="n">
        <v>0</v>
      </c>
      <c r="P73" s="20" t="n">
        <v>0</v>
      </c>
      <c r="Q73" s="18" t="n">
        <v>1.53014103</v>
      </c>
      <c r="R73" s="20" t="n">
        <v>0.60460445</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(1939.0/B75*100)</f>
        <v/>
      </c>
      <c r="D75" s="19" t="n">
        <v>467</v>
      </c>
      <c r="E75" s="18" t="n">
        <v>67.75159472999999</v>
      </c>
      <c r="F75" s="20" t="n">
        <v>2.27612513</v>
      </c>
      <c r="G75" s="18" t="n">
        <v>19.91019271</v>
      </c>
      <c r="H75" s="20" t="n">
        <v>1.64557161</v>
      </c>
      <c r="I75" s="18" t="s">
        <v>567</v>
      </c>
      <c r="J75" s="20" t="s">
        <v>567</v>
      </c>
      <c r="K75" s="18" t="n">
        <v>7.86997978</v>
      </c>
      <c r="L75" s="20" t="n">
        <v>1.62121622</v>
      </c>
      <c r="M75" s="18" t="n">
        <v>0</v>
      </c>
      <c r="N75" s="20" t="n">
        <v>0</v>
      </c>
      <c r="O75" s="18" t="n">
        <v>0</v>
      </c>
      <c r="P75" s="20" t="n">
        <v>0</v>
      </c>
      <c r="Q75" s="18" t="n">
        <v>4.46823278</v>
      </c>
      <c r="R75" s="20" t="n">
        <v>1.20236013</v>
      </c>
    </row>
    <row r="76" spans="1:18">
      <c r="A76" s="15" t="s">
        <v>636</v>
      </c>
      <c r="B76" s="17" t="n">
        <v>7052</v>
      </c>
      <c r="C76" s="18">
        <f>(5504.0/B76*100)</f>
        <v/>
      </c>
      <c r="D76" s="19" t="n">
        <v>1548</v>
      </c>
      <c r="E76" s="18" t="n">
        <v>59.60105138</v>
      </c>
      <c r="F76" s="20" t="n">
        <v>1.43518195</v>
      </c>
      <c r="G76" s="18" t="n">
        <v>33.76133856</v>
      </c>
      <c r="H76" s="20" t="n">
        <v>1.30895375</v>
      </c>
      <c r="I76" s="18" t="s">
        <v>567</v>
      </c>
      <c r="J76" s="20" t="s">
        <v>567</v>
      </c>
      <c r="K76" s="18" t="n">
        <v>3.47595631</v>
      </c>
      <c r="L76" s="20" t="n">
        <v>0.62258</v>
      </c>
      <c r="M76" s="18" t="n">
        <v>0</v>
      </c>
      <c r="N76" s="20" t="n">
        <v>0</v>
      </c>
      <c r="O76" s="18" t="n">
        <v>0</v>
      </c>
      <c r="P76" s="20" t="n">
        <v>0</v>
      </c>
      <c r="Q76" s="18" t="n">
        <v>3.16165375</v>
      </c>
      <c r="R76" s="20" t="n">
        <v>1.00096125</v>
      </c>
    </row>
    <row r="77" spans="1:18">
      <c r="A77" s="15" t="s">
        <v>637</v>
      </c>
      <c r="B77" s="17" t="n">
        <v>2908</v>
      </c>
      <c r="C77" s="18">
        <f>(2280.0/B77*100)</f>
        <v/>
      </c>
      <c r="D77" s="19" t="n">
        <v>628</v>
      </c>
      <c r="E77" s="18" t="n">
        <v>60.50382101</v>
      </c>
      <c r="F77" s="20" t="n">
        <v>2.17629047</v>
      </c>
      <c r="G77" s="18" t="n">
        <v>28.62903716</v>
      </c>
      <c r="H77" s="20" t="n">
        <v>1.9238332</v>
      </c>
      <c r="I77" s="18" t="s">
        <v>567</v>
      </c>
      <c r="J77" s="20" t="s">
        <v>567</v>
      </c>
      <c r="K77" s="18" t="n">
        <v>6.6504902</v>
      </c>
      <c r="L77" s="20" t="n">
        <v>1.07678591</v>
      </c>
      <c r="M77" s="18" t="n">
        <v>0</v>
      </c>
      <c r="N77" s="20" t="n">
        <v>0</v>
      </c>
      <c r="O77" s="18" t="n">
        <v>0</v>
      </c>
      <c r="P77" s="20" t="n">
        <v>0</v>
      </c>
      <c r="Q77" s="18" t="n">
        <v>4.21665164</v>
      </c>
      <c r="R77" s="20" t="n">
        <v>0.85527486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(3242.0/B81*100)</f>
        <v/>
      </c>
      <c r="D81" s="19" t="n">
        <v>921</v>
      </c>
      <c r="E81" s="18" t="n">
        <v>69.11001662</v>
      </c>
      <c r="F81" s="20" t="n">
        <v>1.88471165</v>
      </c>
      <c r="G81" s="18" t="n">
        <v>28.39838621</v>
      </c>
      <c r="H81" s="20" t="n">
        <v>1.93299223</v>
      </c>
      <c r="I81" s="18" t="s">
        <v>567</v>
      </c>
      <c r="J81" s="20" t="s">
        <v>567</v>
      </c>
      <c r="K81" s="18" t="n">
        <v>1.41974314</v>
      </c>
      <c r="L81" s="20" t="n">
        <v>0.6472463899999999</v>
      </c>
      <c r="M81" s="18" t="n">
        <v>0</v>
      </c>
      <c r="N81" s="20" t="n">
        <v>0</v>
      </c>
      <c r="O81" s="18" t="n">
        <v>0</v>
      </c>
      <c r="P81" s="20" t="n">
        <v>0</v>
      </c>
      <c r="Q81" s="18" t="n">
        <v>1.07185403</v>
      </c>
      <c r="R81" s="20" t="n">
        <v>0.39346321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(5818.0/B7*100)</f>
        <v/>
      </c>
      <c r="D7" s="19" t="n">
        <v>1549</v>
      </c>
      <c r="E7" s="18" t="n">
        <v>34.22190104</v>
      </c>
      <c r="F7" s="20" t="n">
        <v>1.39769402</v>
      </c>
      <c r="G7" s="18" t="n">
        <v>62.67549613</v>
      </c>
      <c r="H7" s="20" t="n">
        <v>1.55270571</v>
      </c>
      <c r="I7" s="18" t="s">
        <v>567</v>
      </c>
      <c r="J7" s="20" t="s">
        <v>567</v>
      </c>
      <c r="K7" s="18" t="n">
        <v>2.55717676</v>
      </c>
      <c r="L7" s="20" t="n">
        <v>0.44062732</v>
      </c>
      <c r="M7" s="18" t="n">
        <v>0</v>
      </c>
      <c r="N7" s="20" t="n">
        <v>0</v>
      </c>
      <c r="O7" s="18" t="n">
        <v>0</v>
      </c>
      <c r="P7" s="20" t="n">
        <v>0</v>
      </c>
      <c r="Q7" s="18" t="n">
        <v>0.54542608</v>
      </c>
      <c r="R7" s="20" t="n">
        <v>0.21435703</v>
      </c>
    </row>
    <row r="8" spans="1:18">
      <c r="A8" s="15" t="s">
        <v>568</v>
      </c>
      <c r="B8" s="17" t="n">
        <v>3564</v>
      </c>
      <c r="C8" s="18">
        <f>(2804.0/B8*100)</f>
        <v/>
      </c>
      <c r="D8" s="19" t="n">
        <v>760</v>
      </c>
      <c r="E8" s="18" t="n">
        <v>35.61919145</v>
      </c>
      <c r="F8" s="20" t="n">
        <v>1.65006068</v>
      </c>
      <c r="G8" s="18" t="n">
        <v>61.8391635</v>
      </c>
      <c r="H8" s="20" t="n">
        <v>1.66499041</v>
      </c>
      <c r="I8" s="18" t="s">
        <v>567</v>
      </c>
      <c r="J8" s="20" t="s">
        <v>567</v>
      </c>
      <c r="K8" s="18" t="n">
        <v>2.26563795</v>
      </c>
      <c r="L8" s="20" t="n">
        <v>0.53441994</v>
      </c>
      <c r="M8" s="18" t="n">
        <v>0</v>
      </c>
      <c r="N8" s="20" t="n">
        <v>0</v>
      </c>
      <c r="O8" s="18" t="n">
        <v>0</v>
      </c>
      <c r="P8" s="20" t="n">
        <v>0</v>
      </c>
      <c r="Q8" s="18" t="n">
        <v>0.2760071</v>
      </c>
      <c r="R8" s="20" t="n">
        <v>0.15022078</v>
      </c>
    </row>
    <row r="9" spans="1:18">
      <c r="A9" s="15" t="s">
        <v>569</v>
      </c>
      <c r="B9" s="17" t="n">
        <v>4899</v>
      </c>
      <c r="C9" s="18">
        <f>(3912.0/B9*100)</f>
        <v/>
      </c>
      <c r="D9" s="19" t="n">
        <v>987</v>
      </c>
      <c r="E9" s="18" t="n">
        <v>39.66601234</v>
      </c>
      <c r="F9" s="20" t="n">
        <v>1.79607435</v>
      </c>
      <c r="G9" s="18" t="n">
        <v>57.39707028</v>
      </c>
      <c r="H9" s="20" t="n">
        <v>1.83755352</v>
      </c>
      <c r="I9" s="18" t="s">
        <v>567</v>
      </c>
      <c r="J9" s="20" t="s">
        <v>567</v>
      </c>
      <c r="K9" s="18" t="n">
        <v>2.40703281</v>
      </c>
      <c r="L9" s="20" t="n">
        <v>0.47351949</v>
      </c>
      <c r="M9" s="18" t="n">
        <v>0</v>
      </c>
      <c r="N9" s="20" t="n">
        <v>0</v>
      </c>
      <c r="O9" s="18" t="n">
        <v>0</v>
      </c>
      <c r="P9" s="20" t="n">
        <v>0</v>
      </c>
      <c r="Q9" s="18" t="n">
        <v>0.52988458</v>
      </c>
      <c r="R9" s="20" t="n">
        <v>0.24442815</v>
      </c>
    </row>
    <row r="10" spans="1:18">
      <c r="A10" s="15" t="s">
        <v>570</v>
      </c>
      <c r="B10" s="17" t="n">
        <v>10036</v>
      </c>
      <c r="C10" s="18">
        <f>(7903.0/B10*100)</f>
        <v/>
      </c>
      <c r="D10" s="19" t="n">
        <v>2133</v>
      </c>
      <c r="E10" s="18" t="n">
        <v>29.50353363</v>
      </c>
      <c r="F10" s="20" t="n">
        <v>1.3018354</v>
      </c>
      <c r="G10" s="18" t="n">
        <v>68.20896743</v>
      </c>
      <c r="H10" s="20" t="n">
        <v>1.43112216</v>
      </c>
      <c r="I10" s="18" t="s">
        <v>567</v>
      </c>
      <c r="J10" s="20" t="s">
        <v>567</v>
      </c>
      <c r="K10" s="18" t="n">
        <v>1.8569536</v>
      </c>
      <c r="L10" s="20" t="n">
        <v>0.43453464</v>
      </c>
      <c r="M10" s="18" t="n">
        <v>0</v>
      </c>
      <c r="N10" s="20" t="n">
        <v>0</v>
      </c>
      <c r="O10" s="18" t="n">
        <v>0</v>
      </c>
      <c r="P10" s="20" t="n">
        <v>0</v>
      </c>
      <c r="Q10" s="18" t="n">
        <v>0.43054534</v>
      </c>
      <c r="R10" s="20" t="n">
        <v>0.16484582</v>
      </c>
    </row>
    <row r="11" spans="1:18">
      <c r="A11" s="15" t="s">
        <v>571</v>
      </c>
      <c r="B11" s="17" t="n">
        <v>3553</v>
      </c>
      <c r="C11" s="18">
        <f>(2818.0/B11*100)</f>
        <v/>
      </c>
      <c r="D11" s="19" t="n">
        <v>735</v>
      </c>
      <c r="E11" s="18" t="n">
        <v>34.89381358</v>
      </c>
      <c r="F11" s="20" t="n">
        <v>2.15429315</v>
      </c>
      <c r="G11" s="18" t="n">
        <v>55.79314803</v>
      </c>
      <c r="H11" s="20" t="n">
        <v>2.43591165</v>
      </c>
      <c r="I11" s="18" t="s">
        <v>567</v>
      </c>
      <c r="J11" s="20" t="s">
        <v>567</v>
      </c>
      <c r="K11" s="18" t="n">
        <v>7.30832522</v>
      </c>
      <c r="L11" s="20" t="n">
        <v>0.9404308300000001</v>
      </c>
      <c r="M11" s="18" t="n">
        <v>0</v>
      </c>
      <c r="N11" s="20" t="n">
        <v>0</v>
      </c>
      <c r="O11" s="18" t="n">
        <v>0</v>
      </c>
      <c r="P11" s="20" t="n">
        <v>0</v>
      </c>
      <c r="Q11" s="18" t="n">
        <v>2.00471317</v>
      </c>
      <c r="R11" s="20" t="n">
        <v>0.77323524</v>
      </c>
    </row>
    <row r="12" spans="1:18">
      <c r="A12" s="15" t="s">
        <v>572</v>
      </c>
      <c r="B12" s="17" t="n">
        <v>3472</v>
      </c>
      <c r="C12" s="18">
        <f>(2744.0/B12*100)</f>
        <v/>
      </c>
      <c r="D12" s="19" t="n">
        <v>728</v>
      </c>
      <c r="E12" s="18" t="n">
        <v>34.5600494</v>
      </c>
      <c r="F12" s="20" t="n">
        <v>2.07107176</v>
      </c>
      <c r="G12" s="18" t="n">
        <v>62.74433516</v>
      </c>
      <c r="H12" s="20" t="n">
        <v>1.98953235</v>
      </c>
      <c r="I12" s="18" t="s">
        <v>567</v>
      </c>
      <c r="J12" s="20" t="s">
        <v>567</v>
      </c>
      <c r="K12" s="18" t="n">
        <v>1.91251088</v>
      </c>
      <c r="L12" s="20" t="n">
        <v>0.63283188</v>
      </c>
      <c r="M12" s="18" t="n">
        <v>0</v>
      </c>
      <c r="N12" s="20" t="n">
        <v>0</v>
      </c>
      <c r="O12" s="18" t="n">
        <v>0</v>
      </c>
      <c r="P12" s="20" t="n">
        <v>0</v>
      </c>
      <c r="Q12" s="18" t="n">
        <v>0.7831045599999999</v>
      </c>
      <c r="R12" s="20" t="n">
        <v>0.2853724</v>
      </c>
    </row>
    <row r="13" spans="1:18">
      <c r="A13" s="15" t="s">
        <v>573</v>
      </c>
      <c r="B13" s="17" t="n">
        <v>3559</v>
      </c>
      <c r="C13" s="18">
        <f>(2845.0/B13*100)</f>
        <v/>
      </c>
      <c r="D13" s="19" t="n">
        <v>714</v>
      </c>
      <c r="E13" s="18" t="n">
        <v>41.37002698</v>
      </c>
      <c r="F13" s="20" t="n">
        <v>2.5587997</v>
      </c>
      <c r="G13" s="18" t="n">
        <v>55.69940752</v>
      </c>
      <c r="H13" s="20" t="n">
        <v>2.56743252</v>
      </c>
      <c r="I13" s="18" t="s">
        <v>567</v>
      </c>
      <c r="J13" s="20" t="s">
        <v>567</v>
      </c>
      <c r="K13" s="18" t="n">
        <v>2.52980825</v>
      </c>
      <c r="L13" s="20" t="n">
        <v>0.63159142</v>
      </c>
      <c r="M13" s="18" t="n">
        <v>0</v>
      </c>
      <c r="N13" s="20" t="n">
        <v>0</v>
      </c>
      <c r="O13" s="18" t="n">
        <v>0</v>
      </c>
      <c r="P13" s="20" t="n">
        <v>0</v>
      </c>
      <c r="Q13" s="18" t="n">
        <v>0.40075724</v>
      </c>
      <c r="R13" s="20" t="n">
        <v>0.25624877</v>
      </c>
    </row>
    <row r="14" spans="1:18">
      <c r="A14" s="15" t="s">
        <v>574</v>
      </c>
      <c r="B14" s="17" t="n">
        <v>2799</v>
      </c>
      <c r="C14" s="18">
        <f>(2192.0/B14*100)</f>
        <v/>
      </c>
      <c r="D14" s="19" t="n">
        <v>607</v>
      </c>
      <c r="E14" s="18" t="n">
        <v>30.81615279</v>
      </c>
      <c r="F14" s="20" t="n">
        <v>2.394567</v>
      </c>
      <c r="G14" s="18" t="n">
        <v>67.53384427</v>
      </c>
      <c r="H14" s="20" t="n">
        <v>2.42133919</v>
      </c>
      <c r="I14" s="18" t="s">
        <v>567</v>
      </c>
      <c r="J14" s="20" t="s">
        <v>567</v>
      </c>
      <c r="K14" s="18" t="n">
        <v>1.24945959</v>
      </c>
      <c r="L14" s="20" t="n">
        <v>0.45962801</v>
      </c>
      <c r="M14" s="18" t="n">
        <v>0</v>
      </c>
      <c r="N14" s="20" t="n">
        <v>0</v>
      </c>
      <c r="O14" s="18" t="n">
        <v>0</v>
      </c>
      <c r="P14" s="20" t="n">
        <v>0</v>
      </c>
      <c r="Q14" s="18" t="n">
        <v>0.40054335</v>
      </c>
      <c r="R14" s="20" t="n">
        <v>0.23076593</v>
      </c>
    </row>
    <row r="15" spans="1:18">
      <c r="A15" s="15" t="s">
        <v>575</v>
      </c>
      <c r="B15" s="17" t="n">
        <v>3019</v>
      </c>
      <c r="C15" s="18">
        <f>(2406.0/B15*100)</f>
        <v/>
      </c>
      <c r="D15" s="19" t="n">
        <v>613</v>
      </c>
      <c r="E15" s="18" t="n">
        <v>34.22979007</v>
      </c>
      <c r="F15" s="20" t="n">
        <v>1.98228039</v>
      </c>
      <c r="G15" s="18" t="n">
        <v>63.88586464</v>
      </c>
      <c r="H15" s="20" t="n">
        <v>2.03906598</v>
      </c>
      <c r="I15" s="18" t="s">
        <v>567</v>
      </c>
      <c r="J15" s="20" t="s">
        <v>567</v>
      </c>
      <c r="K15" s="18" t="n">
        <v>1.41996467</v>
      </c>
      <c r="L15" s="20" t="n">
        <v>0.47570324</v>
      </c>
      <c r="M15" s="18" t="n">
        <v>0</v>
      </c>
      <c r="N15" s="20" t="n">
        <v>0</v>
      </c>
      <c r="O15" s="18" t="n">
        <v>0</v>
      </c>
      <c r="P15" s="20" t="n">
        <v>0</v>
      </c>
      <c r="Q15" s="18" t="n">
        <v>0.46438062</v>
      </c>
      <c r="R15" s="20" t="n">
        <v>0.26815955</v>
      </c>
    </row>
    <row r="16" spans="1:18">
      <c r="A16" s="15" t="s">
        <v>576</v>
      </c>
      <c r="B16" s="17" t="n">
        <v>2997</v>
      </c>
      <c r="C16" s="18">
        <f>(2375.0/B16*100)</f>
        <v/>
      </c>
      <c r="D16" s="19" t="n">
        <v>622</v>
      </c>
      <c r="E16" s="18" t="n">
        <v>35.66003122</v>
      </c>
      <c r="F16" s="20" t="n">
        <v>2.10750494</v>
      </c>
      <c r="G16" s="18" t="n">
        <v>56.0338872</v>
      </c>
      <c r="H16" s="20" t="n">
        <v>2.2278104</v>
      </c>
      <c r="I16" s="18" t="s">
        <v>567</v>
      </c>
      <c r="J16" s="20" t="s">
        <v>567</v>
      </c>
      <c r="K16" s="18" t="n">
        <v>7.82880328</v>
      </c>
      <c r="L16" s="20" t="n">
        <v>1.39092399</v>
      </c>
      <c r="M16" s="18" t="n">
        <v>0</v>
      </c>
      <c r="N16" s="20" t="n">
        <v>0</v>
      </c>
      <c r="O16" s="18" t="n">
        <v>0</v>
      </c>
      <c r="P16" s="20" t="n">
        <v>0</v>
      </c>
      <c r="Q16" s="18" t="n">
        <v>0.47727831</v>
      </c>
      <c r="R16" s="20" t="n">
        <v>0.28743837</v>
      </c>
    </row>
    <row r="17" spans="1:18">
      <c r="A17" s="15" t="s">
        <v>577</v>
      </c>
      <c r="B17" s="17" t="n">
        <v>3307</v>
      </c>
      <c r="C17" s="18">
        <f>(2616.0/B17*100)</f>
        <v/>
      </c>
      <c r="D17" s="19" t="n">
        <v>691</v>
      </c>
      <c r="E17" s="18" t="n">
        <v>34.74591431</v>
      </c>
      <c r="F17" s="20" t="n">
        <v>1.73361881</v>
      </c>
      <c r="G17" s="18" t="n">
        <v>62.78886591</v>
      </c>
      <c r="H17" s="20" t="n">
        <v>1.73487696</v>
      </c>
      <c r="I17" s="18" t="s">
        <v>567</v>
      </c>
      <c r="J17" s="20" t="s">
        <v>567</v>
      </c>
      <c r="K17" s="18" t="n">
        <v>1.85878733</v>
      </c>
      <c r="L17" s="20" t="n">
        <v>0.5755899799999999</v>
      </c>
      <c r="M17" s="18" t="n">
        <v>0</v>
      </c>
      <c r="N17" s="20" t="n">
        <v>0</v>
      </c>
      <c r="O17" s="18" t="n">
        <v>0</v>
      </c>
      <c r="P17" s="20" t="n">
        <v>0</v>
      </c>
      <c r="Q17" s="18" t="n">
        <v>0.60643246</v>
      </c>
      <c r="R17" s="20" t="n">
        <v>0.31850697</v>
      </c>
    </row>
    <row r="18" spans="1:18">
      <c r="A18" s="15" t="s">
        <v>578</v>
      </c>
      <c r="B18" s="17" t="n">
        <v>2826</v>
      </c>
      <c r="C18" s="18">
        <f>(2223.0/B18*100)</f>
        <v/>
      </c>
      <c r="D18" s="19" t="n">
        <v>603</v>
      </c>
      <c r="E18" s="18" t="n">
        <v>45.1021173</v>
      </c>
      <c r="F18" s="20" t="n">
        <v>2.32797889</v>
      </c>
      <c r="G18" s="18" t="n">
        <v>51.07563883</v>
      </c>
      <c r="H18" s="20" t="n">
        <v>2.0749289</v>
      </c>
      <c r="I18" s="18" t="s">
        <v>567</v>
      </c>
      <c r="J18" s="20" t="s">
        <v>567</v>
      </c>
      <c r="K18" s="18" t="n">
        <v>3.03797879</v>
      </c>
      <c r="L18" s="20" t="n">
        <v>0.84421496</v>
      </c>
      <c r="M18" s="18" t="n">
        <v>0</v>
      </c>
      <c r="N18" s="20" t="n">
        <v>0</v>
      </c>
      <c r="O18" s="18" t="n">
        <v>0</v>
      </c>
      <c r="P18" s="20" t="n">
        <v>0</v>
      </c>
      <c r="Q18" s="18" t="n">
        <v>0.7842650799999999</v>
      </c>
      <c r="R18" s="20" t="n">
        <v>0.47531061</v>
      </c>
    </row>
    <row r="19" spans="1:18">
      <c r="A19" s="15" t="s">
        <v>579</v>
      </c>
      <c r="B19" s="17" t="n">
        <v>2808</v>
      </c>
      <c r="C19" s="18">
        <f>(2231.0/B19*100)</f>
        <v/>
      </c>
      <c r="D19" s="19" t="n">
        <v>577</v>
      </c>
      <c r="E19" s="18" t="n">
        <v>37.24753091</v>
      </c>
      <c r="F19" s="20" t="n">
        <v>2.44526384</v>
      </c>
      <c r="G19" s="18" t="n">
        <v>59.38588642</v>
      </c>
      <c r="H19" s="20" t="n">
        <v>2.42094413</v>
      </c>
      <c r="I19" s="18" t="s">
        <v>567</v>
      </c>
      <c r="J19" s="20" t="s">
        <v>567</v>
      </c>
      <c r="K19" s="18" t="n">
        <v>2.98190208</v>
      </c>
      <c r="L19" s="20" t="n">
        <v>0.86468478</v>
      </c>
      <c r="M19" s="18" t="n">
        <v>0</v>
      </c>
      <c r="N19" s="20" t="n">
        <v>0</v>
      </c>
      <c r="O19" s="18" t="n">
        <v>0</v>
      </c>
      <c r="P19" s="20" t="n">
        <v>0</v>
      </c>
      <c r="Q19" s="18" t="n">
        <v>0.38468058</v>
      </c>
      <c r="R19" s="20" t="n">
        <v>0.28494593</v>
      </c>
    </row>
    <row r="20" spans="1:18">
      <c r="A20" s="15" t="s">
        <v>580</v>
      </c>
      <c r="B20" s="17" t="n">
        <v>1630</v>
      </c>
      <c r="C20" s="18">
        <f>(1282.0/B20*100)</f>
        <v/>
      </c>
      <c r="D20" s="19" t="n">
        <v>348</v>
      </c>
      <c r="E20" s="18" t="n">
        <v>40.80887241</v>
      </c>
      <c r="F20" s="20" t="n">
        <v>3.05854107</v>
      </c>
      <c r="G20" s="18" t="n">
        <v>54.75387254</v>
      </c>
      <c r="H20" s="20" t="n">
        <v>3.07703305</v>
      </c>
      <c r="I20" s="18" t="s">
        <v>567</v>
      </c>
      <c r="J20" s="20" t="s">
        <v>567</v>
      </c>
      <c r="K20" s="18" t="n">
        <v>2.59968759</v>
      </c>
      <c r="L20" s="20" t="n">
        <v>0.78537914</v>
      </c>
      <c r="M20" s="18" t="n">
        <v>0</v>
      </c>
      <c r="N20" s="20" t="n">
        <v>0</v>
      </c>
      <c r="O20" s="18" t="n">
        <v>0</v>
      </c>
      <c r="P20" s="20" t="n">
        <v>0</v>
      </c>
      <c r="Q20" s="18" t="n">
        <v>1.83756745</v>
      </c>
      <c r="R20" s="20" t="n">
        <v>0.68019582</v>
      </c>
    </row>
    <row r="21" spans="1:18">
      <c r="A21" s="15" t="s">
        <v>581</v>
      </c>
      <c r="B21" s="17" t="n">
        <v>2908</v>
      </c>
      <c r="C21" s="18">
        <f>(2265.0/B21*100)</f>
        <v/>
      </c>
      <c r="D21" s="19" t="n">
        <v>643</v>
      </c>
      <c r="E21" s="18" t="n">
        <v>31.62138908</v>
      </c>
      <c r="F21" s="20" t="n">
        <v>2.17356283</v>
      </c>
      <c r="G21" s="18" t="n">
        <v>64.83464211</v>
      </c>
      <c r="H21" s="20" t="n">
        <v>2.14600898</v>
      </c>
      <c r="I21" s="18" t="s">
        <v>567</v>
      </c>
      <c r="J21" s="20" t="s">
        <v>567</v>
      </c>
      <c r="K21" s="18" t="n">
        <v>3.03252183</v>
      </c>
      <c r="L21" s="20" t="n">
        <v>0.71021902</v>
      </c>
      <c r="M21" s="18" t="n">
        <v>0</v>
      </c>
      <c r="N21" s="20" t="n">
        <v>0</v>
      </c>
      <c r="O21" s="18" t="n">
        <v>0</v>
      </c>
      <c r="P21" s="20" t="n">
        <v>0</v>
      </c>
      <c r="Q21" s="18" t="n">
        <v>0.5114469699999999</v>
      </c>
      <c r="R21" s="20" t="n">
        <v>0.37258522</v>
      </c>
    </row>
    <row r="22" spans="1:18">
      <c r="A22" s="15" t="s">
        <v>582</v>
      </c>
      <c r="B22" s="17" t="n">
        <v>2931</v>
      </c>
      <c r="C22" s="18">
        <f>(2302.0/B22*100)</f>
        <v/>
      </c>
      <c r="D22" s="19" t="n">
        <v>629</v>
      </c>
      <c r="E22" s="18" t="n">
        <v>45.81129902</v>
      </c>
      <c r="F22" s="20" t="n">
        <v>2.61066843</v>
      </c>
      <c r="G22" s="18" t="n">
        <v>46.75586816</v>
      </c>
      <c r="H22" s="20" t="n">
        <v>2.37093196</v>
      </c>
      <c r="I22" s="18" t="s">
        <v>567</v>
      </c>
      <c r="J22" s="20" t="s">
        <v>567</v>
      </c>
      <c r="K22" s="18" t="n">
        <v>5.87702352</v>
      </c>
      <c r="L22" s="20" t="n">
        <v>1.0607653</v>
      </c>
      <c r="M22" s="18" t="n">
        <v>0</v>
      </c>
      <c r="N22" s="20" t="n">
        <v>0</v>
      </c>
      <c r="O22" s="18" t="n">
        <v>0</v>
      </c>
      <c r="P22" s="20" t="n">
        <v>0</v>
      </c>
      <c r="Q22" s="18" t="n">
        <v>1.55580931</v>
      </c>
      <c r="R22" s="20" t="n">
        <v>0.54043601</v>
      </c>
    </row>
    <row r="23" spans="1:18">
      <c r="A23" s="15" t="s">
        <v>583</v>
      </c>
      <c r="B23" s="17" t="n">
        <v>5791</v>
      </c>
      <c r="C23" s="18">
        <f>(4564.0/B23*100)</f>
        <v/>
      </c>
      <c r="D23" s="19" t="n">
        <v>1227</v>
      </c>
      <c r="E23" s="18" t="n">
        <v>38.89199525</v>
      </c>
      <c r="F23" s="20" t="n">
        <v>2.34943666</v>
      </c>
      <c r="G23" s="18" t="n">
        <v>57.45674306</v>
      </c>
      <c r="H23" s="20" t="n">
        <v>2.36296883</v>
      </c>
      <c r="I23" s="18" t="s">
        <v>567</v>
      </c>
      <c r="J23" s="20" t="s">
        <v>567</v>
      </c>
      <c r="K23" s="18" t="n">
        <v>3.551832</v>
      </c>
      <c r="L23" s="20" t="n">
        <v>0.80299924</v>
      </c>
      <c r="M23" s="18" t="n">
        <v>0</v>
      </c>
      <c r="N23" s="20" t="n">
        <v>0</v>
      </c>
      <c r="O23" s="18" t="n">
        <v>0</v>
      </c>
      <c r="P23" s="20" t="n">
        <v>0</v>
      </c>
      <c r="Q23" s="18" t="n">
        <v>0.09942969</v>
      </c>
      <c r="R23" s="20" t="n">
        <v>0.08572876</v>
      </c>
    </row>
    <row r="24" spans="1:18">
      <c r="A24" s="15" t="s">
        <v>584</v>
      </c>
      <c r="B24" s="17" t="n">
        <v>3338</v>
      </c>
      <c r="C24" s="18">
        <f>(2634.0/B24*100)</f>
        <v/>
      </c>
      <c r="D24" s="19" t="n">
        <v>704</v>
      </c>
      <c r="E24" s="18" t="n">
        <v>39.53090107</v>
      </c>
      <c r="F24" s="20" t="n">
        <v>1.91142176</v>
      </c>
      <c r="G24" s="18" t="n">
        <v>58.39690497</v>
      </c>
      <c r="H24" s="20" t="n">
        <v>2.01355832</v>
      </c>
      <c r="I24" s="18" t="s">
        <v>567</v>
      </c>
      <c r="J24" s="20" t="s">
        <v>567</v>
      </c>
      <c r="K24" s="18" t="n">
        <v>1.97557194</v>
      </c>
      <c r="L24" s="20" t="n">
        <v>0.60193016</v>
      </c>
      <c r="M24" s="18" t="n">
        <v>0</v>
      </c>
      <c r="N24" s="20" t="n">
        <v>0</v>
      </c>
      <c r="O24" s="18" t="n">
        <v>0</v>
      </c>
      <c r="P24" s="20" t="n">
        <v>0</v>
      </c>
      <c r="Q24" s="18" t="n">
        <v>0.09662202</v>
      </c>
      <c r="R24" s="20" t="n">
        <v>0.09633385</v>
      </c>
    </row>
    <row r="25" spans="1:18">
      <c r="A25" s="15" t="s">
        <v>585</v>
      </c>
      <c r="B25" s="17" t="n">
        <v>2912</v>
      </c>
      <c r="C25" s="18">
        <f>(2254.0/B25*100)</f>
        <v/>
      </c>
      <c r="D25" s="19" t="n">
        <v>658</v>
      </c>
      <c r="E25" s="18" t="n">
        <v>41.33093634</v>
      </c>
      <c r="F25" s="20" t="n">
        <v>2.21076846</v>
      </c>
      <c r="G25" s="18" t="n">
        <v>56.0112394</v>
      </c>
      <c r="H25" s="20" t="n">
        <v>2.20378004</v>
      </c>
      <c r="I25" s="18" t="s">
        <v>567</v>
      </c>
      <c r="J25" s="20" t="s">
        <v>567</v>
      </c>
      <c r="K25" s="18" t="n">
        <v>2.04602137</v>
      </c>
      <c r="L25" s="20" t="n">
        <v>0.63137374</v>
      </c>
      <c r="M25" s="18" t="n">
        <v>0</v>
      </c>
      <c r="N25" s="20" t="n">
        <v>0</v>
      </c>
      <c r="O25" s="18" t="n">
        <v>0</v>
      </c>
      <c r="P25" s="20" t="n">
        <v>0</v>
      </c>
      <c r="Q25" s="18" t="n">
        <v>0.61180289</v>
      </c>
      <c r="R25" s="20" t="n">
        <v>0.3050971</v>
      </c>
    </row>
    <row r="26" spans="1:18">
      <c r="A26" s="15" t="s">
        <v>586</v>
      </c>
      <c r="B26" s="17" t="n">
        <v>2450</v>
      </c>
      <c r="C26" s="18">
        <f>(1944.0/B26*100)</f>
        <v/>
      </c>
      <c r="D26" s="19" t="n">
        <v>506</v>
      </c>
      <c r="E26" s="18" t="n">
        <v>38.21097785</v>
      </c>
      <c r="F26" s="20" t="n">
        <v>2.28431467</v>
      </c>
      <c r="G26" s="18" t="n">
        <v>60.29696382</v>
      </c>
      <c r="H26" s="20" t="n">
        <v>2.33641372</v>
      </c>
      <c r="I26" s="18" t="s">
        <v>567</v>
      </c>
      <c r="J26" s="20" t="s">
        <v>567</v>
      </c>
      <c r="K26" s="18" t="n">
        <v>0.49002387</v>
      </c>
      <c r="L26" s="20" t="n">
        <v>0.26979428</v>
      </c>
      <c r="M26" s="18" t="n">
        <v>0</v>
      </c>
      <c r="N26" s="20" t="n">
        <v>0</v>
      </c>
      <c r="O26" s="18" t="n">
        <v>0</v>
      </c>
      <c r="P26" s="20" t="n">
        <v>0</v>
      </c>
      <c r="Q26" s="18" t="n">
        <v>1.00203446</v>
      </c>
      <c r="R26" s="20" t="n">
        <v>0.4047138</v>
      </c>
    </row>
    <row r="27" spans="1:18">
      <c r="A27" s="15" t="s">
        <v>587</v>
      </c>
      <c r="B27" s="17" t="n">
        <v>2616</v>
      </c>
      <c r="C27" s="18">
        <f>(2064.0/B27*100)</f>
        <v/>
      </c>
      <c r="D27" s="19" t="n">
        <v>552</v>
      </c>
      <c r="E27" s="18" t="n">
        <v>34.04038561</v>
      </c>
      <c r="F27" s="20" t="n">
        <v>1.90611335</v>
      </c>
      <c r="G27" s="18" t="n">
        <v>61.94363593</v>
      </c>
      <c r="H27" s="20" t="n">
        <v>2.02438752</v>
      </c>
      <c r="I27" s="18" t="s">
        <v>567</v>
      </c>
      <c r="J27" s="20" t="s">
        <v>567</v>
      </c>
      <c r="K27" s="18" t="n">
        <v>3.30792668</v>
      </c>
      <c r="L27" s="20" t="n">
        <v>0.76816529</v>
      </c>
      <c r="M27" s="18" t="n">
        <v>0</v>
      </c>
      <c r="N27" s="20" t="n">
        <v>0</v>
      </c>
      <c r="O27" s="18" t="n">
        <v>0</v>
      </c>
      <c r="P27" s="20" t="n">
        <v>0</v>
      </c>
      <c r="Q27" s="18" t="n">
        <v>0.70805179</v>
      </c>
      <c r="R27" s="20" t="n">
        <v>0.35599855</v>
      </c>
    </row>
    <row r="28" spans="1:18">
      <c r="A28" s="15" t="s">
        <v>588</v>
      </c>
      <c r="B28" s="17" t="n">
        <v>3765</v>
      </c>
      <c r="C28" s="18">
        <f>(3088.0/B28*100)</f>
        <v/>
      </c>
      <c r="D28" s="19" t="n">
        <v>677</v>
      </c>
      <c r="E28" s="18" t="n">
        <v>45.76613278</v>
      </c>
      <c r="F28" s="20" t="n">
        <v>1.85177762</v>
      </c>
      <c r="G28" s="18" t="n">
        <v>49.54029085</v>
      </c>
      <c r="H28" s="20" t="n">
        <v>1.74483518</v>
      </c>
      <c r="I28" s="18" t="s">
        <v>567</v>
      </c>
      <c r="J28" s="20" t="s">
        <v>567</v>
      </c>
      <c r="K28" s="18" t="n">
        <v>3.45744475</v>
      </c>
      <c r="L28" s="20" t="n">
        <v>0.797064</v>
      </c>
      <c r="M28" s="18" t="n">
        <v>0</v>
      </c>
      <c r="N28" s="20" t="n">
        <v>0</v>
      </c>
      <c r="O28" s="18" t="n">
        <v>0</v>
      </c>
      <c r="P28" s="20" t="n">
        <v>0</v>
      </c>
      <c r="Q28" s="18" t="n">
        <v>1.23613161</v>
      </c>
      <c r="R28" s="20" t="n">
        <v>0.40476582</v>
      </c>
    </row>
    <row r="29" spans="1:18">
      <c r="A29" s="15" t="s">
        <v>589</v>
      </c>
      <c r="B29" s="17" t="n">
        <v>2685</v>
      </c>
      <c r="C29" s="18">
        <f>(2094.0/B29*100)</f>
        <v/>
      </c>
      <c r="D29" s="19" t="n">
        <v>591</v>
      </c>
      <c r="E29" s="18" t="n">
        <v>37.31571864</v>
      </c>
      <c r="F29" s="20" t="n">
        <v>2.36372215</v>
      </c>
      <c r="G29" s="18" t="n">
        <v>61.00096769</v>
      </c>
      <c r="H29" s="20" t="n">
        <v>2.33295494</v>
      </c>
      <c r="I29" s="18" t="s">
        <v>567</v>
      </c>
      <c r="J29" s="20" t="s">
        <v>567</v>
      </c>
      <c r="K29" s="18" t="n">
        <v>1.68331367</v>
      </c>
      <c r="L29" s="20" t="n">
        <v>0.539161</v>
      </c>
      <c r="M29" s="18" t="n">
        <v>0</v>
      </c>
      <c r="N29" s="20" t="n">
        <v>0</v>
      </c>
      <c r="O29" s="18" t="n">
        <v>0</v>
      </c>
      <c r="P29" s="20" t="n">
        <v>0</v>
      </c>
      <c r="Q29" s="18" t="n">
        <v>0</v>
      </c>
      <c r="R29" s="20" t="n">
        <v>0</v>
      </c>
    </row>
    <row r="30" spans="1:18">
      <c r="A30" s="15" t="s">
        <v>590</v>
      </c>
      <c r="B30" s="17" t="n">
        <v>2263</v>
      </c>
      <c r="C30" s="18">
        <f>(1797.0/B30*100)</f>
        <v/>
      </c>
      <c r="D30" s="19" t="n">
        <v>466</v>
      </c>
      <c r="E30" s="18" t="n">
        <v>27.19532933</v>
      </c>
      <c r="F30" s="20" t="n">
        <v>1.98286827</v>
      </c>
      <c r="G30" s="18" t="n">
        <v>67.56269399</v>
      </c>
      <c r="H30" s="20" t="n">
        <v>1.93944929</v>
      </c>
      <c r="I30" s="18" t="s">
        <v>567</v>
      </c>
      <c r="J30" s="20" t="s">
        <v>567</v>
      </c>
      <c r="K30" s="18" t="n">
        <v>4.405221</v>
      </c>
      <c r="L30" s="20" t="n">
        <v>1.24403212</v>
      </c>
      <c r="M30" s="18" t="n">
        <v>0</v>
      </c>
      <c r="N30" s="20" t="n">
        <v>0</v>
      </c>
      <c r="O30" s="18" t="n">
        <v>0</v>
      </c>
      <c r="P30" s="20" t="n">
        <v>0</v>
      </c>
      <c r="Q30" s="18" t="n">
        <v>0.83675568</v>
      </c>
      <c r="R30" s="20" t="n">
        <v>0.3938976</v>
      </c>
    </row>
    <row r="31" spans="1:18">
      <c r="A31" s="15" t="s">
        <v>591</v>
      </c>
      <c r="B31" s="17" t="n">
        <v>2750</v>
      </c>
      <c r="C31" s="18">
        <f>(2143.0/B31*100)</f>
        <v/>
      </c>
      <c r="D31" s="19" t="n">
        <v>607</v>
      </c>
      <c r="E31" s="18" t="n">
        <v>41.43292199</v>
      </c>
      <c r="F31" s="20" t="n">
        <v>2.0459644</v>
      </c>
      <c r="G31" s="18" t="n">
        <v>52.85698129</v>
      </c>
      <c r="H31" s="20" t="n">
        <v>2.25830316</v>
      </c>
      <c r="I31" s="18" t="s">
        <v>567</v>
      </c>
      <c r="J31" s="20" t="s">
        <v>567</v>
      </c>
      <c r="K31" s="18" t="n">
        <v>4.74396359</v>
      </c>
      <c r="L31" s="20" t="n">
        <v>0.91561575</v>
      </c>
      <c r="M31" s="18" t="n">
        <v>0</v>
      </c>
      <c r="N31" s="20" t="n">
        <v>0</v>
      </c>
      <c r="O31" s="18" t="n">
        <v>0</v>
      </c>
      <c r="P31" s="20" t="n">
        <v>0</v>
      </c>
      <c r="Q31" s="18" t="n">
        <v>0.96613313</v>
      </c>
      <c r="R31" s="20" t="n">
        <v>0.46156902</v>
      </c>
    </row>
    <row r="32" spans="1:18">
      <c r="A32" s="15" t="s">
        <v>592</v>
      </c>
      <c r="B32" s="17" t="n">
        <v>2269</v>
      </c>
      <c r="C32" s="18">
        <f>(1783.0/B32*100)</f>
        <v/>
      </c>
      <c r="D32" s="19" t="n">
        <v>486</v>
      </c>
      <c r="E32" s="18" t="n">
        <v>35.00341789</v>
      </c>
      <c r="F32" s="20" t="n">
        <v>1.91736648</v>
      </c>
      <c r="G32" s="18" t="n">
        <v>62.88283262</v>
      </c>
      <c r="H32" s="20" t="n">
        <v>1.96015977</v>
      </c>
      <c r="I32" s="18" t="s">
        <v>567</v>
      </c>
      <c r="J32" s="20" t="s">
        <v>567</v>
      </c>
      <c r="K32" s="18" t="n">
        <v>2.11374948</v>
      </c>
      <c r="L32" s="20" t="n">
        <v>0.66373198</v>
      </c>
      <c r="M32" s="18" t="n">
        <v>0</v>
      </c>
      <c r="N32" s="20" t="n">
        <v>0</v>
      </c>
      <c r="O32" s="18" t="n">
        <v>0</v>
      </c>
      <c r="P32" s="20" t="n">
        <v>0</v>
      </c>
      <c r="Q32" s="18" t="n">
        <v>0</v>
      </c>
      <c r="R32" s="20" t="n">
        <v>0</v>
      </c>
    </row>
    <row r="33" spans="1:18">
      <c r="A33" s="15" t="s">
        <v>593</v>
      </c>
      <c r="B33" s="17" t="n">
        <v>3674</v>
      </c>
      <c r="C33" s="18">
        <f>(2905.0/B33*100)</f>
        <v/>
      </c>
      <c r="D33" s="19" t="n">
        <v>769</v>
      </c>
      <c r="E33" s="18" t="n">
        <v>36.00271978</v>
      </c>
      <c r="F33" s="20" t="n">
        <v>1.8445272</v>
      </c>
      <c r="G33" s="18" t="n">
        <v>61.91474717</v>
      </c>
      <c r="H33" s="20" t="n">
        <v>1.89440096</v>
      </c>
      <c r="I33" s="18" t="s">
        <v>567</v>
      </c>
      <c r="J33" s="20" t="s">
        <v>567</v>
      </c>
      <c r="K33" s="18" t="n">
        <v>2.08253304</v>
      </c>
      <c r="L33" s="20" t="n">
        <v>0.75978359</v>
      </c>
      <c r="M33" s="18" t="n">
        <v>0</v>
      </c>
      <c r="N33" s="20" t="n">
        <v>0</v>
      </c>
      <c r="O33" s="18" t="n">
        <v>0</v>
      </c>
      <c r="P33" s="20" t="n">
        <v>0</v>
      </c>
      <c r="Q33" s="18" t="n">
        <v>0</v>
      </c>
      <c r="R33" s="20" t="n">
        <v>0</v>
      </c>
    </row>
    <row r="34" spans="1:18">
      <c r="A34" s="15" t="s">
        <v>594</v>
      </c>
      <c r="B34" s="17" t="n">
        <v>3315</v>
      </c>
      <c r="C34" s="18">
        <f>(2630.0/B34*100)</f>
        <v/>
      </c>
      <c r="D34" s="19" t="n">
        <v>685</v>
      </c>
      <c r="E34" s="18" t="n">
        <v>38.4662278</v>
      </c>
      <c r="F34" s="20" t="n">
        <v>1.64926144</v>
      </c>
      <c r="G34" s="18" t="n">
        <v>57.15900703</v>
      </c>
      <c r="H34" s="20" t="n">
        <v>1.76723307</v>
      </c>
      <c r="I34" s="18" t="s">
        <v>567</v>
      </c>
      <c r="J34" s="20" t="s">
        <v>567</v>
      </c>
      <c r="K34" s="18" t="n">
        <v>2.88980139</v>
      </c>
      <c r="L34" s="20" t="n">
        <v>0.54671169</v>
      </c>
      <c r="M34" s="18" t="n">
        <v>0</v>
      </c>
      <c r="N34" s="20" t="n">
        <v>0</v>
      </c>
      <c r="O34" s="18" t="n">
        <v>0</v>
      </c>
      <c r="P34" s="20" t="n">
        <v>0</v>
      </c>
      <c r="Q34" s="18" t="n">
        <v>1.48496377</v>
      </c>
      <c r="R34" s="20" t="n">
        <v>0.55624091</v>
      </c>
    </row>
    <row r="35" spans="1:18">
      <c r="A35" s="15" t="s">
        <v>595</v>
      </c>
      <c r="B35" s="17" t="n">
        <v>3505</v>
      </c>
      <c r="C35" s="18">
        <f>(2782.0/B35*100)</f>
        <v/>
      </c>
      <c r="D35" s="19" t="n">
        <v>723</v>
      </c>
      <c r="E35" s="18" t="n">
        <v>35.78165245</v>
      </c>
      <c r="F35" s="20" t="n">
        <v>2.05314515</v>
      </c>
      <c r="G35" s="18" t="n">
        <v>62.02905409</v>
      </c>
      <c r="H35" s="20" t="n">
        <v>2.32400306</v>
      </c>
      <c r="I35" s="18" t="s">
        <v>567</v>
      </c>
      <c r="J35" s="20" t="s">
        <v>567</v>
      </c>
      <c r="K35" s="18" t="n">
        <v>2.0696826</v>
      </c>
      <c r="L35" s="20" t="n">
        <v>0.92186075</v>
      </c>
      <c r="M35" s="18" t="n">
        <v>0</v>
      </c>
      <c r="N35" s="20" t="n">
        <v>0</v>
      </c>
      <c r="O35" s="18" t="n">
        <v>0</v>
      </c>
      <c r="P35" s="20" t="n">
        <v>0</v>
      </c>
      <c r="Q35" s="18" t="n">
        <v>0.11961086</v>
      </c>
      <c r="R35" s="20" t="n">
        <v>0.07288058</v>
      </c>
    </row>
    <row r="36" spans="1:18">
      <c r="A36" s="15" t="s">
        <v>596</v>
      </c>
      <c r="B36" s="17" t="n">
        <v>3332</v>
      </c>
      <c r="C36" s="18">
        <f>(2637.0/B36*100)</f>
        <v/>
      </c>
      <c r="D36" s="19" t="n">
        <v>695</v>
      </c>
      <c r="E36" s="18" t="n">
        <v>35.35079712</v>
      </c>
      <c r="F36" s="20" t="n">
        <v>2.10292283</v>
      </c>
      <c r="G36" s="18" t="n">
        <v>61.27830226</v>
      </c>
      <c r="H36" s="20" t="n">
        <v>2.00079642</v>
      </c>
      <c r="I36" s="18" t="s">
        <v>567</v>
      </c>
      <c r="J36" s="20" t="s">
        <v>567</v>
      </c>
      <c r="K36" s="18" t="n">
        <v>2.5193302</v>
      </c>
      <c r="L36" s="20" t="n">
        <v>0.7158506100000001</v>
      </c>
      <c r="M36" s="18" t="n">
        <v>0</v>
      </c>
      <c r="N36" s="20" t="n">
        <v>0</v>
      </c>
      <c r="O36" s="18" t="n">
        <v>0</v>
      </c>
      <c r="P36" s="20" t="n">
        <v>0</v>
      </c>
      <c r="Q36" s="18" t="n">
        <v>0.8515704200000001</v>
      </c>
      <c r="R36" s="20" t="n">
        <v>0.36922676</v>
      </c>
    </row>
    <row r="37" spans="1:18">
      <c r="A37" s="15" t="s">
        <v>597</v>
      </c>
      <c r="B37" s="17" t="n">
        <v>2727</v>
      </c>
      <c r="C37" s="18">
        <f>(2169.0/B37*100)</f>
        <v/>
      </c>
      <c r="D37" s="19" t="n">
        <v>558</v>
      </c>
      <c r="E37" s="18" t="n">
        <v>42.75130385</v>
      </c>
      <c r="F37" s="20" t="n">
        <v>2.32533941</v>
      </c>
      <c r="G37" s="18" t="n">
        <v>48.4911644</v>
      </c>
      <c r="H37" s="20" t="n">
        <v>2.0323121</v>
      </c>
      <c r="I37" s="18" t="s">
        <v>567</v>
      </c>
      <c r="J37" s="20" t="s">
        <v>567</v>
      </c>
      <c r="K37" s="18" t="n">
        <v>6.68784948</v>
      </c>
      <c r="L37" s="20" t="n">
        <v>1.32353528</v>
      </c>
      <c r="M37" s="18" t="n">
        <v>0</v>
      </c>
      <c r="N37" s="20" t="n">
        <v>0</v>
      </c>
      <c r="O37" s="18" t="n">
        <v>0</v>
      </c>
      <c r="P37" s="20" t="n">
        <v>0</v>
      </c>
      <c r="Q37" s="18" t="n">
        <v>2.06968227</v>
      </c>
      <c r="R37" s="20" t="n">
        <v>0.75868904</v>
      </c>
    </row>
    <row r="38" spans="1:18">
      <c r="A38" s="15" t="s">
        <v>598</v>
      </c>
      <c r="B38" s="17" t="n">
        <v>3053</v>
      </c>
      <c r="C38" s="18">
        <f>(2415.0/B38*100)</f>
        <v/>
      </c>
      <c r="D38" s="19" t="n">
        <v>638</v>
      </c>
      <c r="E38" s="18" t="n">
        <v>39.62877225</v>
      </c>
      <c r="F38" s="20" t="n">
        <v>2.23255811</v>
      </c>
      <c r="G38" s="18" t="n">
        <v>57.0877343</v>
      </c>
      <c r="H38" s="20" t="n">
        <v>2.38097286</v>
      </c>
      <c r="I38" s="18" t="s">
        <v>567</v>
      </c>
      <c r="J38" s="20" t="s">
        <v>567</v>
      </c>
      <c r="K38" s="18" t="n">
        <v>3.06513392</v>
      </c>
      <c r="L38" s="20" t="n">
        <v>0.85226063</v>
      </c>
      <c r="M38" s="18" t="n">
        <v>0</v>
      </c>
      <c r="N38" s="20" t="n">
        <v>0</v>
      </c>
      <c r="O38" s="18" t="n">
        <v>0</v>
      </c>
      <c r="P38" s="20" t="n">
        <v>0</v>
      </c>
      <c r="Q38" s="18" t="n">
        <v>0.21835954</v>
      </c>
      <c r="R38" s="20" t="n">
        <v>0.16946812</v>
      </c>
    </row>
    <row r="39" spans="1:18">
      <c r="A39" s="15" t="s">
        <v>599</v>
      </c>
      <c r="B39" s="17" t="n">
        <v>2957</v>
      </c>
      <c r="C39" s="18">
        <f>(2306.0/B39*100)</f>
        <v/>
      </c>
      <c r="D39" s="19" t="n">
        <v>651</v>
      </c>
      <c r="E39" s="18" t="n">
        <v>41.95795661</v>
      </c>
      <c r="F39" s="20" t="n">
        <v>1.8689155</v>
      </c>
      <c r="G39" s="18" t="n">
        <v>54.11342809</v>
      </c>
      <c r="H39" s="20" t="n">
        <v>1.80118296</v>
      </c>
      <c r="I39" s="18" t="s">
        <v>567</v>
      </c>
      <c r="J39" s="20" t="s">
        <v>567</v>
      </c>
      <c r="K39" s="18" t="n">
        <v>2.65929188</v>
      </c>
      <c r="L39" s="20" t="n">
        <v>0.6766794</v>
      </c>
      <c r="M39" s="18" t="n">
        <v>0</v>
      </c>
      <c r="N39" s="20" t="n">
        <v>0</v>
      </c>
      <c r="O39" s="18" t="n">
        <v>0</v>
      </c>
      <c r="P39" s="20" t="n">
        <v>0</v>
      </c>
      <c r="Q39" s="18" t="n">
        <v>1.26932342</v>
      </c>
      <c r="R39" s="20" t="n">
        <v>0.46817893</v>
      </c>
    </row>
    <row r="40" spans="1:18">
      <c r="A40" s="15" t="s">
        <v>600</v>
      </c>
      <c r="B40" s="17" t="n">
        <v>7235</v>
      </c>
      <c r="C40" s="18">
        <f>(5629.0/B40*100)</f>
        <v/>
      </c>
      <c r="D40" s="19" t="n">
        <v>1606</v>
      </c>
      <c r="E40" s="18" t="n">
        <v>32.85021368</v>
      </c>
      <c r="F40" s="20" t="n">
        <v>1.79266595</v>
      </c>
      <c r="G40" s="18" t="n">
        <v>64.01729465</v>
      </c>
      <c r="H40" s="20" t="n">
        <v>1.9252909</v>
      </c>
      <c r="I40" s="18" t="s">
        <v>567</v>
      </c>
      <c r="J40" s="20" t="s">
        <v>567</v>
      </c>
      <c r="K40" s="18" t="n">
        <v>2.83113932</v>
      </c>
      <c r="L40" s="20" t="n">
        <v>0.72666483</v>
      </c>
      <c r="M40" s="18" t="n">
        <v>0</v>
      </c>
      <c r="N40" s="20" t="n">
        <v>0</v>
      </c>
      <c r="O40" s="18" t="n">
        <v>0</v>
      </c>
      <c r="P40" s="20" t="n">
        <v>0</v>
      </c>
      <c r="Q40" s="18" t="n">
        <v>0.30135235</v>
      </c>
      <c r="R40" s="20" t="n">
        <v>0.17786677</v>
      </c>
    </row>
    <row r="41" spans="1:18">
      <c r="A41" s="15" t="s">
        <v>601</v>
      </c>
      <c r="B41" s="17" t="n">
        <v>2858</v>
      </c>
      <c r="C41" s="18">
        <f>(2242.0/B41*100)</f>
        <v/>
      </c>
      <c r="D41" s="19" t="n">
        <v>616</v>
      </c>
      <c r="E41" s="18" t="n">
        <v>31.81565821</v>
      </c>
      <c r="F41" s="20" t="n">
        <v>1.827914</v>
      </c>
      <c r="G41" s="18" t="n">
        <v>65.90160813</v>
      </c>
      <c r="H41" s="20" t="n">
        <v>2.19065574</v>
      </c>
      <c r="I41" s="18" t="s">
        <v>567</v>
      </c>
      <c r="J41" s="20" t="s">
        <v>567</v>
      </c>
      <c r="K41" s="18" t="n">
        <v>0.82574885</v>
      </c>
      <c r="L41" s="20" t="n">
        <v>0.59823342</v>
      </c>
      <c r="M41" s="18" t="n">
        <v>0</v>
      </c>
      <c r="N41" s="20" t="n">
        <v>0</v>
      </c>
      <c r="O41" s="18" t="n">
        <v>0</v>
      </c>
      <c r="P41" s="20" t="n">
        <v>0</v>
      </c>
      <c r="Q41" s="18" t="n">
        <v>1.4569848</v>
      </c>
      <c r="R41" s="20" t="n">
        <v>0.67742132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(9483.0/B46*100)</f>
        <v/>
      </c>
      <c r="D46" s="19" t="n">
        <v>1585</v>
      </c>
      <c r="E46" s="18" t="n">
        <v>44.02943404</v>
      </c>
      <c r="F46" s="20" t="n">
        <v>1.84861301</v>
      </c>
      <c r="G46" s="18" t="n">
        <v>40.87304337</v>
      </c>
      <c r="H46" s="20" t="n">
        <v>1.74201533</v>
      </c>
      <c r="I46" s="18" t="s">
        <v>567</v>
      </c>
      <c r="J46" s="20" t="s">
        <v>567</v>
      </c>
      <c r="K46" s="18" t="n">
        <v>9.72095313</v>
      </c>
      <c r="L46" s="20" t="n">
        <v>1.05237865</v>
      </c>
      <c r="M46" s="18" t="n">
        <v>0</v>
      </c>
      <c r="N46" s="20" t="n">
        <v>0</v>
      </c>
      <c r="O46" s="18" t="n">
        <v>0</v>
      </c>
      <c r="P46" s="20" t="n">
        <v>0</v>
      </c>
      <c r="Q46" s="18" t="n">
        <v>5.37656946</v>
      </c>
      <c r="R46" s="20" t="n">
        <v>0.78829278</v>
      </c>
    </row>
    <row r="47" spans="1:18">
      <c r="A47" s="15" t="s">
        <v>607</v>
      </c>
      <c r="B47" s="17" t="n">
        <v>3105</v>
      </c>
      <c r="C47" s="18">
        <f>(2458.0/B47*100)</f>
        <v/>
      </c>
      <c r="D47" s="19" t="n">
        <v>647</v>
      </c>
      <c r="E47" s="18" t="n">
        <v>41.64894793</v>
      </c>
      <c r="F47" s="20" t="n">
        <v>1.8685652</v>
      </c>
      <c r="G47" s="18" t="n">
        <v>48.87961182</v>
      </c>
      <c r="H47" s="20" t="n">
        <v>2.12330781</v>
      </c>
      <c r="I47" s="18" t="s">
        <v>567</v>
      </c>
      <c r="J47" s="20" t="s">
        <v>567</v>
      </c>
      <c r="K47" s="18" t="n">
        <v>7.50272218</v>
      </c>
      <c r="L47" s="20" t="n">
        <v>1.14388171</v>
      </c>
      <c r="M47" s="18" t="n">
        <v>0</v>
      </c>
      <c r="N47" s="20" t="n">
        <v>0</v>
      </c>
      <c r="O47" s="18" t="n">
        <v>0</v>
      </c>
      <c r="P47" s="20" t="n">
        <v>0</v>
      </c>
      <c r="Q47" s="18" t="n">
        <v>1.96871807</v>
      </c>
      <c r="R47" s="20" t="n">
        <v>0.57826551</v>
      </c>
    </row>
    <row r="48" spans="1:18">
      <c r="A48" s="15" t="s">
        <v>608</v>
      </c>
      <c r="B48" s="17" t="n">
        <v>5159</v>
      </c>
      <c r="C48" s="18">
        <f>(4043.0/B48*100)</f>
        <v/>
      </c>
      <c r="D48" s="19" t="n">
        <v>1116</v>
      </c>
      <c r="E48" s="18" t="n">
        <v>36.87365899</v>
      </c>
      <c r="F48" s="20" t="n">
        <v>2.2428645</v>
      </c>
      <c r="G48" s="18" t="n">
        <v>58.80275914</v>
      </c>
      <c r="H48" s="20" t="n">
        <v>2.18957294</v>
      </c>
      <c r="I48" s="18" t="s">
        <v>567</v>
      </c>
      <c r="J48" s="20" t="s">
        <v>567</v>
      </c>
      <c r="K48" s="18" t="n">
        <v>3.01693212</v>
      </c>
      <c r="L48" s="20" t="n">
        <v>0.96349629</v>
      </c>
      <c r="M48" s="18" t="n">
        <v>0</v>
      </c>
      <c r="N48" s="20" t="n">
        <v>0</v>
      </c>
      <c r="O48" s="18" t="n">
        <v>0</v>
      </c>
      <c r="P48" s="20" t="n">
        <v>0</v>
      </c>
      <c r="Q48" s="18" t="n">
        <v>1.30664975</v>
      </c>
      <c r="R48" s="20" t="n">
        <v>0.57708375</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(4471.0/B50*100)</f>
        <v/>
      </c>
      <c r="D50" s="19" t="n">
        <v>1166</v>
      </c>
      <c r="E50" s="18" t="n">
        <v>40.02397991</v>
      </c>
      <c r="F50" s="20" t="n">
        <v>2.00266094</v>
      </c>
      <c r="G50" s="18" t="n">
        <v>47.18951305</v>
      </c>
      <c r="H50" s="20" t="n">
        <v>2.01441154</v>
      </c>
      <c r="I50" s="18" t="s">
        <v>567</v>
      </c>
      <c r="J50" s="20" t="s">
        <v>567</v>
      </c>
      <c r="K50" s="18" t="n">
        <v>8.62824009</v>
      </c>
      <c r="L50" s="20" t="n">
        <v>1.2355075</v>
      </c>
      <c r="M50" s="18" t="n">
        <v>0</v>
      </c>
      <c r="N50" s="20" t="n">
        <v>0</v>
      </c>
      <c r="O50" s="18" t="n">
        <v>0</v>
      </c>
      <c r="P50" s="20" t="n">
        <v>0</v>
      </c>
      <c r="Q50" s="18" t="n">
        <v>4.15826696</v>
      </c>
      <c r="R50" s="20" t="n">
        <v>0.86419421</v>
      </c>
    </row>
    <row r="51" spans="1:18">
      <c r="A51" s="15" t="s">
        <v>611</v>
      </c>
      <c r="B51" s="17" t="n">
        <v>3372</v>
      </c>
      <c r="C51" s="18">
        <f>(2767.0/B51*100)</f>
        <v/>
      </c>
      <c r="D51" s="19" t="n">
        <v>605</v>
      </c>
      <c r="E51" s="18" t="n">
        <v>31.89813025</v>
      </c>
      <c r="F51" s="20" t="n">
        <v>2.2042549</v>
      </c>
      <c r="G51" s="18" t="n">
        <v>61.79519019</v>
      </c>
      <c r="H51" s="20" t="n">
        <v>2.35980429</v>
      </c>
      <c r="I51" s="18" t="s">
        <v>567</v>
      </c>
      <c r="J51" s="20" t="s">
        <v>567</v>
      </c>
      <c r="K51" s="18" t="n">
        <v>3.62103158</v>
      </c>
      <c r="L51" s="20" t="n">
        <v>0.9975421799999999</v>
      </c>
      <c r="M51" s="18" t="n">
        <v>0</v>
      </c>
      <c r="N51" s="20" t="n">
        <v>0</v>
      </c>
      <c r="O51" s="18" t="n">
        <v>0</v>
      </c>
      <c r="P51" s="20" t="n">
        <v>0</v>
      </c>
      <c r="Q51" s="18" t="n">
        <v>2.68564798</v>
      </c>
      <c r="R51" s="20" t="n">
        <v>0.76401</v>
      </c>
    </row>
    <row r="52" spans="1:18">
      <c r="A52" s="15" t="s">
        <v>612</v>
      </c>
      <c r="B52" s="17" t="n">
        <v>2796</v>
      </c>
      <c r="C52" s="18">
        <f>(2176.0/B52*100)</f>
        <v/>
      </c>
      <c r="D52" s="19" t="n">
        <v>620</v>
      </c>
      <c r="E52" s="18" t="n">
        <v>38.06628446</v>
      </c>
      <c r="F52" s="20" t="n">
        <v>2.38158255</v>
      </c>
      <c r="G52" s="18" t="n">
        <v>57.04368582</v>
      </c>
      <c r="H52" s="20" t="n">
        <v>2.63128739</v>
      </c>
      <c r="I52" s="18" t="s">
        <v>567</v>
      </c>
      <c r="J52" s="20" t="s">
        <v>567</v>
      </c>
      <c r="K52" s="18" t="n">
        <v>4.28959339</v>
      </c>
      <c r="L52" s="20" t="n">
        <v>0.82451452</v>
      </c>
      <c r="M52" s="18" t="n">
        <v>0</v>
      </c>
      <c r="N52" s="20" t="n">
        <v>0</v>
      </c>
      <c r="O52" s="18" t="n">
        <v>0</v>
      </c>
      <c r="P52" s="20" t="n">
        <v>0</v>
      </c>
      <c r="Q52" s="18" t="n">
        <v>0.60043634</v>
      </c>
      <c r="R52" s="20" t="n">
        <v>0.29389045</v>
      </c>
    </row>
    <row r="53" spans="1:18">
      <c r="A53" s="15" t="s">
        <v>613</v>
      </c>
      <c r="B53" s="17" t="n">
        <v>2811</v>
      </c>
      <c r="C53" s="18">
        <f>(2186.0/B53*100)</f>
        <v/>
      </c>
      <c r="D53" s="19" t="n">
        <v>625</v>
      </c>
      <c r="E53" s="18" t="n">
        <v>45.90794238</v>
      </c>
      <c r="F53" s="20" t="n">
        <v>1.86191566</v>
      </c>
      <c r="G53" s="18" t="n">
        <v>46.97115518</v>
      </c>
      <c r="H53" s="20" t="n">
        <v>1.79427023</v>
      </c>
      <c r="I53" s="18" t="s">
        <v>567</v>
      </c>
      <c r="J53" s="20" t="s">
        <v>567</v>
      </c>
      <c r="K53" s="18" t="n">
        <v>5.53538522</v>
      </c>
      <c r="L53" s="20" t="n">
        <v>0.8683607800000001</v>
      </c>
      <c r="M53" s="18" t="n">
        <v>0</v>
      </c>
      <c r="N53" s="20" t="n">
        <v>0</v>
      </c>
      <c r="O53" s="18" t="n">
        <v>0</v>
      </c>
      <c r="P53" s="20" t="n">
        <v>0</v>
      </c>
      <c r="Q53" s="18" t="n">
        <v>1.58551722</v>
      </c>
      <c r="R53" s="20" t="n">
        <v>0.5072714699999999</v>
      </c>
    </row>
    <row r="54" spans="1:18">
      <c r="A54" s="15" t="s">
        <v>614</v>
      </c>
      <c r="B54" s="17" t="n">
        <v>2266</v>
      </c>
      <c r="C54" s="18">
        <f>(1789.0/B54*100)</f>
        <v/>
      </c>
      <c r="D54" s="19" t="n">
        <v>477</v>
      </c>
      <c r="E54" s="18" t="n">
        <v>31.06694333</v>
      </c>
      <c r="F54" s="20" t="n">
        <v>2.18214465</v>
      </c>
      <c r="G54" s="18" t="n">
        <v>24.63082306</v>
      </c>
      <c r="H54" s="20" t="n">
        <v>2.02761749</v>
      </c>
      <c r="I54" s="18" t="s">
        <v>567</v>
      </c>
      <c r="J54" s="20" t="s">
        <v>567</v>
      </c>
      <c r="K54" s="18" t="n">
        <v>35.84716552</v>
      </c>
      <c r="L54" s="20" t="n">
        <v>2.41496451</v>
      </c>
      <c r="M54" s="18" t="n">
        <v>0</v>
      </c>
      <c r="N54" s="20" t="n">
        <v>0</v>
      </c>
      <c r="O54" s="18" t="n">
        <v>0</v>
      </c>
      <c r="P54" s="20" t="n">
        <v>0</v>
      </c>
      <c r="Q54" s="18" t="n">
        <v>8.455068089999999</v>
      </c>
      <c r="R54" s="20" t="n">
        <v>1.4758912</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(2102.0/B56*100)</f>
        <v/>
      </c>
      <c r="D56" s="19" t="n">
        <v>582</v>
      </c>
      <c r="E56" s="18" t="n">
        <v>39.34285389</v>
      </c>
      <c r="F56" s="20" t="n">
        <v>2.33074289</v>
      </c>
      <c r="G56" s="18" t="n">
        <v>57.68926284</v>
      </c>
      <c r="H56" s="20" t="n">
        <v>2.18237927</v>
      </c>
      <c r="I56" s="18" t="s">
        <v>567</v>
      </c>
      <c r="J56" s="20" t="s">
        <v>567</v>
      </c>
      <c r="K56" s="18" t="n">
        <v>2.02909299</v>
      </c>
      <c r="L56" s="20" t="n">
        <v>0.5499123299999999</v>
      </c>
      <c r="M56" s="18" t="n">
        <v>0</v>
      </c>
      <c r="N56" s="20" t="n">
        <v>0</v>
      </c>
      <c r="O56" s="18" t="n">
        <v>0</v>
      </c>
      <c r="P56" s="20" t="n">
        <v>0</v>
      </c>
      <c r="Q56" s="18" t="n">
        <v>0.93879028</v>
      </c>
      <c r="R56" s="20" t="n">
        <v>0.32070027</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(2571.0/B61*100)</f>
        <v/>
      </c>
      <c r="D61" s="19" t="n">
        <v>753</v>
      </c>
      <c r="E61" s="18" t="n">
        <v>35.38804546</v>
      </c>
      <c r="F61" s="20" t="n">
        <v>1.77249473</v>
      </c>
      <c r="G61" s="18" t="n">
        <v>59.56209954</v>
      </c>
      <c r="H61" s="20" t="n">
        <v>1.90343</v>
      </c>
      <c r="I61" s="18" t="s">
        <v>567</v>
      </c>
      <c r="J61" s="20" t="s">
        <v>567</v>
      </c>
      <c r="K61" s="18" t="n">
        <v>3.09706298</v>
      </c>
      <c r="L61" s="20" t="n">
        <v>0.7517879</v>
      </c>
      <c r="M61" s="18" t="n">
        <v>0</v>
      </c>
      <c r="N61" s="20" t="n">
        <v>0</v>
      </c>
      <c r="O61" s="18" t="n">
        <v>0</v>
      </c>
      <c r="P61" s="20" t="n">
        <v>0</v>
      </c>
      <c r="Q61" s="18" t="n">
        <v>1.95279203</v>
      </c>
      <c r="R61" s="20" t="n">
        <v>0.58382604</v>
      </c>
    </row>
    <row r="62" spans="1:18">
      <c r="A62" s="15" t="s">
        <v>622</v>
      </c>
      <c r="B62" s="17" t="n">
        <v>2246</v>
      </c>
      <c r="C62" s="18">
        <f>(1805.0/B62*100)</f>
        <v/>
      </c>
      <c r="D62" s="19" t="n">
        <v>441</v>
      </c>
      <c r="E62" s="18" t="n">
        <v>41.95580191</v>
      </c>
      <c r="F62" s="20" t="n">
        <v>2.32421335</v>
      </c>
      <c r="G62" s="18" t="n">
        <v>57.81913421</v>
      </c>
      <c r="H62" s="20" t="n">
        <v>2.3575312</v>
      </c>
      <c r="I62" s="18" t="s">
        <v>567</v>
      </c>
      <c r="J62" s="20" t="s">
        <v>567</v>
      </c>
      <c r="K62" s="18" t="n">
        <v>0</v>
      </c>
      <c r="L62" s="20" t="n">
        <v>0</v>
      </c>
      <c r="M62" s="18" t="n">
        <v>0</v>
      </c>
      <c r="N62" s="20" t="n">
        <v>0</v>
      </c>
      <c r="O62" s="18" t="n">
        <v>0</v>
      </c>
      <c r="P62" s="20" t="n">
        <v>0</v>
      </c>
      <c r="Q62" s="18" t="n">
        <v>0.22506387</v>
      </c>
      <c r="R62" s="20" t="n">
        <v>0.22467076</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(2301.0/B66*100)</f>
        <v/>
      </c>
      <c r="D66" s="19" t="n">
        <v>593</v>
      </c>
      <c r="E66" s="18" t="n">
        <v>41.67873837</v>
      </c>
      <c r="F66" s="20" t="n">
        <v>1.97083463</v>
      </c>
      <c r="G66" s="18" t="n">
        <v>40.94530995</v>
      </c>
      <c r="H66" s="20" t="n">
        <v>1.96735288</v>
      </c>
      <c r="I66" s="18" t="s">
        <v>567</v>
      </c>
      <c r="J66" s="20" t="s">
        <v>567</v>
      </c>
      <c r="K66" s="18" t="n">
        <v>14.79817837</v>
      </c>
      <c r="L66" s="20" t="n">
        <v>1.55604288</v>
      </c>
      <c r="M66" s="18" t="n">
        <v>0</v>
      </c>
      <c r="N66" s="20" t="n">
        <v>0</v>
      </c>
      <c r="O66" s="18" t="n">
        <v>0</v>
      </c>
      <c r="P66" s="20" t="n">
        <v>0</v>
      </c>
      <c r="Q66" s="18" t="n">
        <v>2.57777331</v>
      </c>
      <c r="R66" s="20" t="n">
        <v>0.76363251</v>
      </c>
    </row>
    <row r="67" spans="1:18">
      <c r="A67" s="15" t="s">
        <v>627</v>
      </c>
      <c r="B67" s="17" t="n">
        <v>3511</v>
      </c>
      <c r="C67" s="18">
        <f>(2910.0/B67*100)</f>
        <v/>
      </c>
      <c r="D67" s="19" t="n">
        <v>601</v>
      </c>
      <c r="E67" s="18" t="n">
        <v>40.3729415</v>
      </c>
      <c r="F67" s="20" t="n">
        <v>1.99317301</v>
      </c>
      <c r="G67" s="18" t="n">
        <v>53.59018274</v>
      </c>
      <c r="H67" s="20" t="n">
        <v>2.12162075</v>
      </c>
      <c r="I67" s="18" t="s">
        <v>567</v>
      </c>
      <c r="J67" s="20" t="s">
        <v>567</v>
      </c>
      <c r="K67" s="18" t="n">
        <v>1.97734318</v>
      </c>
      <c r="L67" s="20" t="n">
        <v>0.6596198</v>
      </c>
      <c r="M67" s="18" t="n">
        <v>0</v>
      </c>
      <c r="N67" s="20" t="n">
        <v>0</v>
      </c>
      <c r="O67" s="18" t="n">
        <v>0</v>
      </c>
      <c r="P67" s="20" t="n">
        <v>0</v>
      </c>
      <c r="Q67" s="18" t="n">
        <v>4.05953258</v>
      </c>
      <c r="R67" s="20" t="n">
        <v>0.93656335</v>
      </c>
    </row>
    <row r="68" spans="1:18">
      <c r="A68" s="15" t="s">
        <v>628</v>
      </c>
      <c r="B68" s="17" t="n">
        <v>6049</v>
      </c>
      <c r="C68" s="18">
        <f>(4737.0/B68*100)</f>
        <v/>
      </c>
      <c r="D68" s="19" t="n">
        <v>1312</v>
      </c>
      <c r="E68" s="18" t="n">
        <v>41.88076703</v>
      </c>
      <c r="F68" s="20" t="n">
        <v>1.46418911</v>
      </c>
      <c r="G68" s="18" t="n">
        <v>44.44123207</v>
      </c>
      <c r="H68" s="20" t="n">
        <v>1.36688459</v>
      </c>
      <c r="I68" s="18" t="s">
        <v>567</v>
      </c>
      <c r="J68" s="20" t="s">
        <v>567</v>
      </c>
      <c r="K68" s="18" t="n">
        <v>10.49386747</v>
      </c>
      <c r="L68" s="20" t="n">
        <v>0.90564391</v>
      </c>
      <c r="M68" s="18" t="n">
        <v>0</v>
      </c>
      <c r="N68" s="20" t="n">
        <v>0</v>
      </c>
      <c r="O68" s="18" t="n">
        <v>0</v>
      </c>
      <c r="P68" s="20" t="n">
        <v>0</v>
      </c>
      <c r="Q68" s="18" t="n">
        <v>3.18413343</v>
      </c>
      <c r="R68" s="20" t="n">
        <v>0.53324137</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(2325.0/B70*100)</f>
        <v/>
      </c>
      <c r="D70" s="19" t="n">
        <v>604</v>
      </c>
      <c r="E70" s="18" t="n">
        <v>31.82443866</v>
      </c>
      <c r="F70" s="20" t="n">
        <v>2.08235472</v>
      </c>
      <c r="G70" s="18" t="n">
        <v>65.81811374999999</v>
      </c>
      <c r="H70" s="20" t="n">
        <v>2.03583077</v>
      </c>
      <c r="I70" s="18" t="s">
        <v>567</v>
      </c>
      <c r="J70" s="20" t="s">
        <v>567</v>
      </c>
      <c r="K70" s="18" t="n">
        <v>1.91081661</v>
      </c>
      <c r="L70" s="20" t="n">
        <v>0.49307013</v>
      </c>
      <c r="M70" s="18" t="n">
        <v>0</v>
      </c>
      <c r="N70" s="20" t="n">
        <v>0</v>
      </c>
      <c r="O70" s="18" t="n">
        <v>0</v>
      </c>
      <c r="P70" s="20" t="n">
        <v>0</v>
      </c>
      <c r="Q70" s="18" t="n">
        <v>0.44663097</v>
      </c>
      <c r="R70" s="20" t="n">
        <v>0.1925409</v>
      </c>
    </row>
    <row r="71" spans="1:18">
      <c r="A71" s="15" t="s">
        <v>631</v>
      </c>
      <c r="B71" s="17" t="n">
        <v>3142</v>
      </c>
      <c r="C71" s="18">
        <f>(2448.0/B71*100)</f>
        <v/>
      </c>
      <c r="D71" s="19" t="n">
        <v>694</v>
      </c>
      <c r="E71" s="18" t="n">
        <v>31.14816422</v>
      </c>
      <c r="F71" s="20" t="n">
        <v>1.81005476</v>
      </c>
      <c r="G71" s="18" t="n">
        <v>67.98013967</v>
      </c>
      <c r="H71" s="20" t="n">
        <v>1.90907893</v>
      </c>
      <c r="I71" s="18" t="s">
        <v>567</v>
      </c>
      <c r="J71" s="20" t="s">
        <v>567</v>
      </c>
      <c r="K71" s="18" t="n">
        <v>0.8716961</v>
      </c>
      <c r="L71" s="20" t="n">
        <v>0.32219854</v>
      </c>
      <c r="M71" s="18" t="n">
        <v>0</v>
      </c>
      <c r="N71" s="20" t="n">
        <v>0</v>
      </c>
      <c r="O71" s="18" t="n">
        <v>0</v>
      </c>
      <c r="P71" s="20" t="n">
        <v>0</v>
      </c>
      <c r="Q71" s="18" t="n">
        <v>0</v>
      </c>
      <c r="R71" s="20" t="n">
        <v>0</v>
      </c>
    </row>
    <row r="72" spans="1:18">
      <c r="A72" s="15" t="s">
        <v>632</v>
      </c>
      <c r="B72" s="17" t="n">
        <v>3889</v>
      </c>
      <c r="C72" s="18">
        <f>(3020.0/B72*100)</f>
        <v/>
      </c>
      <c r="D72" s="19" t="n">
        <v>869</v>
      </c>
      <c r="E72" s="18" t="n">
        <v>41.08787664</v>
      </c>
      <c r="F72" s="20" t="n">
        <v>1.89149501</v>
      </c>
      <c r="G72" s="18" t="n">
        <v>57.17748729</v>
      </c>
      <c r="H72" s="20" t="n">
        <v>1.88504627</v>
      </c>
      <c r="I72" s="18" t="s">
        <v>567</v>
      </c>
      <c r="J72" s="20" t="s">
        <v>567</v>
      </c>
      <c r="K72" s="18" t="n">
        <v>1.04893141</v>
      </c>
      <c r="L72" s="20" t="n">
        <v>0.36397201</v>
      </c>
      <c r="M72" s="18" t="n">
        <v>0</v>
      </c>
      <c r="N72" s="20" t="n">
        <v>0</v>
      </c>
      <c r="O72" s="18" t="n">
        <v>0</v>
      </c>
      <c r="P72" s="20" t="n">
        <v>0</v>
      </c>
      <c r="Q72" s="18" t="n">
        <v>0.68570465</v>
      </c>
      <c r="R72" s="20" t="n">
        <v>0.28533567</v>
      </c>
    </row>
    <row r="73" spans="1:18">
      <c r="A73" s="15" t="s">
        <v>633</v>
      </c>
      <c r="B73" s="17" t="n">
        <v>3597</v>
      </c>
      <c r="C73" s="18">
        <f>(2883.0/B73*100)</f>
        <v/>
      </c>
      <c r="D73" s="19" t="n">
        <v>714</v>
      </c>
      <c r="E73" s="18" t="n">
        <v>49.35643292</v>
      </c>
      <c r="F73" s="20" t="n">
        <v>2.42980448</v>
      </c>
      <c r="G73" s="18" t="n">
        <v>46.25204888</v>
      </c>
      <c r="H73" s="20" t="n">
        <v>2.51733711</v>
      </c>
      <c r="I73" s="18" t="s">
        <v>567</v>
      </c>
      <c r="J73" s="20" t="s">
        <v>567</v>
      </c>
      <c r="K73" s="18" t="n">
        <v>1.02863856</v>
      </c>
      <c r="L73" s="20" t="n">
        <v>0.41718255</v>
      </c>
      <c r="M73" s="18" t="n">
        <v>0</v>
      </c>
      <c r="N73" s="20" t="n">
        <v>0</v>
      </c>
      <c r="O73" s="18" t="n">
        <v>0</v>
      </c>
      <c r="P73" s="20" t="n">
        <v>0</v>
      </c>
      <c r="Q73" s="18" t="n">
        <v>3.36287964</v>
      </c>
      <c r="R73" s="20" t="n">
        <v>0.93692604</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(1944.0/B75*100)</f>
        <v/>
      </c>
      <c r="D75" s="19" t="n">
        <v>462</v>
      </c>
      <c r="E75" s="18" t="n">
        <v>50.61615845</v>
      </c>
      <c r="F75" s="20" t="n">
        <v>2.78176284</v>
      </c>
      <c r="G75" s="18" t="n">
        <v>38.21139773</v>
      </c>
      <c r="H75" s="20" t="n">
        <v>2.76143617</v>
      </c>
      <c r="I75" s="18" t="s">
        <v>567</v>
      </c>
      <c r="J75" s="20" t="s">
        <v>567</v>
      </c>
      <c r="K75" s="18" t="n">
        <v>10.03228434</v>
      </c>
      <c r="L75" s="20" t="n">
        <v>1.88136162</v>
      </c>
      <c r="M75" s="18" t="n">
        <v>0</v>
      </c>
      <c r="N75" s="20" t="n">
        <v>0</v>
      </c>
      <c r="O75" s="18" t="n">
        <v>0</v>
      </c>
      <c r="P75" s="20" t="n">
        <v>0</v>
      </c>
      <c r="Q75" s="18" t="n">
        <v>1.14015948</v>
      </c>
      <c r="R75" s="20" t="n">
        <v>0.49123261</v>
      </c>
    </row>
    <row r="76" spans="1:18">
      <c r="A76" s="15" t="s">
        <v>636</v>
      </c>
      <c r="B76" s="17" t="n">
        <v>7052</v>
      </c>
      <c r="C76" s="18">
        <f>(5509.0/B76*100)</f>
        <v/>
      </c>
      <c r="D76" s="19" t="n">
        <v>1543</v>
      </c>
      <c r="E76" s="18" t="n">
        <v>42.34032403</v>
      </c>
      <c r="F76" s="20" t="n">
        <v>1.36938748</v>
      </c>
      <c r="G76" s="18" t="n">
        <v>50.62461366</v>
      </c>
      <c r="H76" s="20" t="n">
        <v>1.6307986</v>
      </c>
      <c r="I76" s="18" t="s">
        <v>567</v>
      </c>
      <c r="J76" s="20" t="s">
        <v>567</v>
      </c>
      <c r="K76" s="18" t="n">
        <v>4.43346099</v>
      </c>
      <c r="L76" s="20" t="n">
        <v>0.72391355</v>
      </c>
      <c r="M76" s="18" t="n">
        <v>0</v>
      </c>
      <c r="N76" s="20" t="n">
        <v>0</v>
      </c>
      <c r="O76" s="18" t="n">
        <v>0</v>
      </c>
      <c r="P76" s="20" t="n">
        <v>0</v>
      </c>
      <c r="Q76" s="18" t="n">
        <v>2.60160132</v>
      </c>
      <c r="R76" s="20" t="n">
        <v>0.65990496</v>
      </c>
    </row>
    <row r="77" spans="1:18">
      <c r="A77" s="15" t="s">
        <v>637</v>
      </c>
      <c r="B77" s="17" t="n">
        <v>2908</v>
      </c>
      <c r="C77" s="18">
        <f>(2295.0/B77*100)</f>
        <v/>
      </c>
      <c r="D77" s="19" t="n">
        <v>613</v>
      </c>
      <c r="E77" s="18" t="n">
        <v>38.34413523</v>
      </c>
      <c r="F77" s="20" t="n">
        <v>2.31632183</v>
      </c>
      <c r="G77" s="18" t="n">
        <v>50.44294275</v>
      </c>
      <c r="H77" s="20" t="n">
        <v>2.11379414</v>
      </c>
      <c r="I77" s="18" t="s">
        <v>567</v>
      </c>
      <c r="J77" s="20" t="s">
        <v>567</v>
      </c>
      <c r="K77" s="18" t="n">
        <v>10.03962116</v>
      </c>
      <c r="L77" s="20" t="n">
        <v>1.5216703</v>
      </c>
      <c r="M77" s="18" t="n">
        <v>0</v>
      </c>
      <c r="N77" s="20" t="n">
        <v>0</v>
      </c>
      <c r="O77" s="18" t="n">
        <v>0</v>
      </c>
      <c r="P77" s="20" t="n">
        <v>0</v>
      </c>
      <c r="Q77" s="18" t="n">
        <v>1.17330087</v>
      </c>
      <c r="R77" s="20" t="n">
        <v>0.38759765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(3246.0/B81*100)</f>
        <v/>
      </c>
      <c r="D81" s="19" t="n">
        <v>917</v>
      </c>
      <c r="E81" s="18" t="n">
        <v>45.82497807</v>
      </c>
      <c r="F81" s="20" t="n">
        <v>1.92724185</v>
      </c>
      <c r="G81" s="18" t="n">
        <v>51.75860966</v>
      </c>
      <c r="H81" s="20" t="n">
        <v>1.86819762</v>
      </c>
      <c r="I81" s="18" t="s">
        <v>567</v>
      </c>
      <c r="J81" s="20" t="s">
        <v>567</v>
      </c>
      <c r="K81" s="18" t="n">
        <v>1.73721896</v>
      </c>
      <c r="L81" s="20" t="n">
        <v>0.68803121</v>
      </c>
      <c r="M81" s="18" t="n">
        <v>0</v>
      </c>
      <c r="N81" s="20" t="n">
        <v>0</v>
      </c>
      <c r="O81" s="18" t="n">
        <v>0</v>
      </c>
      <c r="P81" s="20" t="n">
        <v>0</v>
      </c>
      <c r="Q81" s="18" t="n">
        <v>0.6791933100000001</v>
      </c>
      <c r="R81" s="20" t="n">
        <v>0.32878524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(5825.0/B7*100)</f>
        <v/>
      </c>
      <c r="D7" s="19" t="n">
        <v>1542</v>
      </c>
      <c r="E7" s="18" t="n">
        <v>48.05982862</v>
      </c>
      <c r="F7" s="20" t="n">
        <v>1.49401931</v>
      </c>
      <c r="G7" s="18" t="n">
        <v>33.87453535</v>
      </c>
      <c r="H7" s="20" t="n">
        <v>1.51783246</v>
      </c>
      <c r="I7" s="18" t="s">
        <v>567</v>
      </c>
      <c r="J7" s="20" t="s">
        <v>567</v>
      </c>
      <c r="K7" s="18" t="n">
        <v>17.96680248</v>
      </c>
      <c r="L7" s="20" t="n">
        <v>1.07740877</v>
      </c>
      <c r="M7" s="18" t="n">
        <v>0.09883355000000001</v>
      </c>
      <c r="N7" s="20" t="n">
        <v>0.09133185000000001</v>
      </c>
      <c r="O7" s="18" t="n">
        <v>0</v>
      </c>
      <c r="P7" s="20" t="n">
        <v>0</v>
      </c>
      <c r="Q7" s="18" t="n">
        <v>0</v>
      </c>
      <c r="R7" s="20" t="n">
        <v>0</v>
      </c>
    </row>
    <row r="8" spans="1:18">
      <c r="A8" s="15" t="s">
        <v>568</v>
      </c>
      <c r="B8" s="17" t="n">
        <v>3564</v>
      </c>
      <c r="C8" s="18">
        <f>(2810.0/B8*100)</f>
        <v/>
      </c>
      <c r="D8" s="19" t="n">
        <v>754</v>
      </c>
      <c r="E8" s="18" t="n">
        <v>45.1439141</v>
      </c>
      <c r="F8" s="20" t="n">
        <v>1.76847674</v>
      </c>
      <c r="G8" s="18" t="n">
        <v>30.09571335</v>
      </c>
      <c r="H8" s="20" t="n">
        <v>1.88434177</v>
      </c>
      <c r="I8" s="18" t="s">
        <v>567</v>
      </c>
      <c r="J8" s="20" t="s">
        <v>567</v>
      </c>
      <c r="K8" s="18" t="n">
        <v>24.76037255</v>
      </c>
      <c r="L8" s="20" t="n">
        <v>1.82632036</v>
      </c>
      <c r="M8" s="18" t="n">
        <v>0</v>
      </c>
      <c r="N8" s="20" t="n">
        <v>0</v>
      </c>
      <c r="O8" s="18" t="n">
        <v>0</v>
      </c>
      <c r="P8" s="20" t="n">
        <v>0</v>
      </c>
      <c r="Q8" s="18" t="n">
        <v>0</v>
      </c>
      <c r="R8" s="20" t="n">
        <v>0</v>
      </c>
    </row>
    <row r="9" spans="1:18">
      <c r="A9" s="15" t="s">
        <v>569</v>
      </c>
      <c r="B9" s="17" t="n">
        <v>4899</v>
      </c>
      <c r="C9" s="18">
        <f>(3915.0/B9*100)</f>
        <v/>
      </c>
      <c r="D9" s="19" t="n">
        <v>984</v>
      </c>
      <c r="E9" s="18" t="n">
        <v>43.25374974</v>
      </c>
      <c r="F9" s="20" t="n">
        <v>1.75511706</v>
      </c>
      <c r="G9" s="18" t="n">
        <v>36.22818997</v>
      </c>
      <c r="H9" s="20" t="n">
        <v>1.77938324</v>
      </c>
      <c r="I9" s="18" t="s">
        <v>567</v>
      </c>
      <c r="J9" s="20" t="s">
        <v>567</v>
      </c>
      <c r="K9" s="18" t="n">
        <v>20.19832165</v>
      </c>
      <c r="L9" s="20" t="n">
        <v>1.36510784</v>
      </c>
      <c r="M9" s="18" t="n">
        <v>0.31973864</v>
      </c>
      <c r="N9" s="20" t="n">
        <v>0.1904123</v>
      </c>
      <c r="O9" s="18" t="n">
        <v>0</v>
      </c>
      <c r="P9" s="20" t="n">
        <v>0</v>
      </c>
      <c r="Q9" s="18" t="n">
        <v>0</v>
      </c>
      <c r="R9" s="20" t="n">
        <v>0</v>
      </c>
    </row>
    <row r="10" spans="1:18">
      <c r="A10" s="15" t="s">
        <v>570</v>
      </c>
      <c r="B10" s="17" t="n">
        <v>10036</v>
      </c>
      <c r="C10" s="18">
        <f>(7907.0/B10*100)</f>
        <v/>
      </c>
      <c r="D10" s="19" t="n">
        <v>2129</v>
      </c>
      <c r="E10" s="18" t="n">
        <v>45.62242406</v>
      </c>
      <c r="F10" s="20" t="n">
        <v>1.79919517</v>
      </c>
      <c r="G10" s="18" t="n">
        <v>43.4240408</v>
      </c>
      <c r="H10" s="20" t="n">
        <v>1.85416535</v>
      </c>
      <c r="I10" s="18" t="s">
        <v>567</v>
      </c>
      <c r="J10" s="20" t="s">
        <v>567</v>
      </c>
      <c r="K10" s="18" t="n">
        <v>10.91135566</v>
      </c>
      <c r="L10" s="20" t="n">
        <v>0.93082429</v>
      </c>
      <c r="M10" s="18" t="n">
        <v>0.04217949</v>
      </c>
      <c r="N10" s="20" t="n">
        <v>0.029748</v>
      </c>
      <c r="O10" s="18" t="n">
        <v>0</v>
      </c>
      <c r="P10" s="20" t="n">
        <v>0</v>
      </c>
      <c r="Q10" s="18" t="n">
        <v>0</v>
      </c>
      <c r="R10" s="20" t="n">
        <v>0</v>
      </c>
    </row>
    <row r="11" spans="1:18">
      <c r="A11" s="15" t="s">
        <v>571</v>
      </c>
      <c r="B11" s="17" t="n">
        <v>3553</v>
      </c>
      <c r="C11" s="18">
        <f>(2825.0/B11*100)</f>
        <v/>
      </c>
      <c r="D11" s="19" t="n">
        <v>728</v>
      </c>
      <c r="E11" s="18" t="n">
        <v>49.73925189</v>
      </c>
      <c r="F11" s="20" t="n">
        <v>2.0281115</v>
      </c>
      <c r="G11" s="18" t="n">
        <v>17.85675975</v>
      </c>
      <c r="H11" s="20" t="n">
        <v>1.58478478</v>
      </c>
      <c r="I11" s="18" t="s">
        <v>567</v>
      </c>
      <c r="J11" s="20" t="s">
        <v>567</v>
      </c>
      <c r="K11" s="18" t="n">
        <v>32.40398836</v>
      </c>
      <c r="L11" s="20" t="n">
        <v>2.10584237</v>
      </c>
      <c r="M11" s="18" t="n">
        <v>0</v>
      </c>
      <c r="N11" s="20" t="n">
        <v>0</v>
      </c>
      <c r="O11" s="18" t="n">
        <v>0</v>
      </c>
      <c r="P11" s="20" t="n">
        <v>0</v>
      </c>
      <c r="Q11" s="18" t="n">
        <v>0</v>
      </c>
      <c r="R11" s="20" t="n">
        <v>0</v>
      </c>
    </row>
    <row r="12" spans="1:18">
      <c r="A12" s="15" t="s">
        <v>572</v>
      </c>
      <c r="B12" s="17" t="n">
        <v>3472</v>
      </c>
      <c r="C12" s="18">
        <f>(2744.0/B12*100)</f>
        <v/>
      </c>
      <c r="D12" s="19" t="n">
        <v>728</v>
      </c>
      <c r="E12" s="18" t="n">
        <v>46.41697477</v>
      </c>
      <c r="F12" s="20" t="n">
        <v>2.23017513</v>
      </c>
      <c r="G12" s="18" t="n">
        <v>26.74155149</v>
      </c>
      <c r="H12" s="20" t="n">
        <v>1.82380563</v>
      </c>
      <c r="I12" s="18" t="s">
        <v>567</v>
      </c>
      <c r="J12" s="20" t="s">
        <v>567</v>
      </c>
      <c r="K12" s="18" t="n">
        <v>26.84147374</v>
      </c>
      <c r="L12" s="20" t="n">
        <v>1.69178257</v>
      </c>
      <c r="M12" s="18" t="n">
        <v>0</v>
      </c>
      <c r="N12" s="20" t="n">
        <v>0</v>
      </c>
      <c r="O12" s="18" t="n">
        <v>0</v>
      </c>
      <c r="P12" s="20" t="n">
        <v>0</v>
      </c>
      <c r="Q12" s="18" t="n">
        <v>0</v>
      </c>
      <c r="R12" s="20" t="n">
        <v>0</v>
      </c>
    </row>
    <row r="13" spans="1:18">
      <c r="A13" s="15" t="s">
        <v>573</v>
      </c>
      <c r="B13" s="17" t="n">
        <v>3559</v>
      </c>
      <c r="C13" s="18">
        <f>(2847.0/B13*100)</f>
        <v/>
      </c>
      <c r="D13" s="19" t="n">
        <v>712</v>
      </c>
      <c r="E13" s="18" t="n">
        <v>52.23688035</v>
      </c>
      <c r="F13" s="20" t="n">
        <v>2.11791147</v>
      </c>
      <c r="G13" s="18" t="n">
        <v>28.6311803</v>
      </c>
      <c r="H13" s="20" t="n">
        <v>2.11635018</v>
      </c>
      <c r="I13" s="18" t="s">
        <v>567</v>
      </c>
      <c r="J13" s="20" t="s">
        <v>567</v>
      </c>
      <c r="K13" s="18" t="n">
        <v>19.10312733</v>
      </c>
      <c r="L13" s="20" t="n">
        <v>1.75248766</v>
      </c>
      <c r="M13" s="18" t="n">
        <v>0.02881202</v>
      </c>
      <c r="N13" s="20" t="n">
        <v>0.0285298</v>
      </c>
      <c r="O13" s="18" t="n">
        <v>0</v>
      </c>
      <c r="P13" s="20" t="n">
        <v>0</v>
      </c>
      <c r="Q13" s="18" t="n">
        <v>0</v>
      </c>
      <c r="R13" s="20" t="n">
        <v>0</v>
      </c>
    </row>
    <row r="14" spans="1:18">
      <c r="A14" s="15" t="s">
        <v>574</v>
      </c>
      <c r="B14" s="17" t="n">
        <v>2799</v>
      </c>
      <c r="C14" s="18">
        <f>(2192.0/B14*100)</f>
        <v/>
      </c>
      <c r="D14" s="19" t="n">
        <v>607</v>
      </c>
      <c r="E14" s="18" t="n">
        <v>44.8671826</v>
      </c>
      <c r="F14" s="20" t="n">
        <v>2.09853093</v>
      </c>
      <c r="G14" s="18" t="n">
        <v>41.88366187</v>
      </c>
      <c r="H14" s="20" t="n">
        <v>2.19058437</v>
      </c>
      <c r="I14" s="18" t="s">
        <v>567</v>
      </c>
      <c r="J14" s="20" t="s">
        <v>567</v>
      </c>
      <c r="K14" s="18" t="n">
        <v>13.24915553</v>
      </c>
      <c r="L14" s="20" t="n">
        <v>1.37251702</v>
      </c>
      <c r="M14" s="18" t="n">
        <v>0</v>
      </c>
      <c r="N14" s="20" t="n">
        <v>0</v>
      </c>
      <c r="O14" s="18" t="n">
        <v>0</v>
      </c>
      <c r="P14" s="20" t="n">
        <v>0</v>
      </c>
      <c r="Q14" s="18" t="n">
        <v>0</v>
      </c>
      <c r="R14" s="20" t="n">
        <v>0</v>
      </c>
    </row>
    <row r="15" spans="1:18">
      <c r="A15" s="15" t="s">
        <v>575</v>
      </c>
      <c r="B15" s="17" t="n">
        <v>3019</v>
      </c>
      <c r="C15" s="18">
        <f>(2409.0/B15*100)</f>
        <v/>
      </c>
      <c r="D15" s="19" t="n">
        <v>610</v>
      </c>
      <c r="E15" s="18" t="n">
        <v>46.52848477</v>
      </c>
      <c r="F15" s="20" t="n">
        <v>1.97556373</v>
      </c>
      <c r="G15" s="18" t="n">
        <v>40.29323565</v>
      </c>
      <c r="H15" s="20" t="n">
        <v>1.62888201</v>
      </c>
      <c r="I15" s="18" t="s">
        <v>567</v>
      </c>
      <c r="J15" s="20" t="s">
        <v>567</v>
      </c>
      <c r="K15" s="18" t="n">
        <v>13.17827958</v>
      </c>
      <c r="L15" s="20" t="n">
        <v>1.39744188</v>
      </c>
      <c r="M15" s="18" t="n">
        <v>0</v>
      </c>
      <c r="N15" s="20" t="n">
        <v>0</v>
      </c>
      <c r="O15" s="18" t="n">
        <v>0</v>
      </c>
      <c r="P15" s="20" t="n">
        <v>0</v>
      </c>
      <c r="Q15" s="18" t="n">
        <v>0</v>
      </c>
      <c r="R15" s="20" t="n">
        <v>0</v>
      </c>
    </row>
    <row r="16" spans="1:18">
      <c r="A16" s="15" t="s">
        <v>576</v>
      </c>
      <c r="B16" s="17" t="n">
        <v>2997</v>
      </c>
      <c r="C16" s="18">
        <f>(2380.0/B16*100)</f>
        <v/>
      </c>
      <c r="D16" s="19" t="n">
        <v>617</v>
      </c>
      <c r="E16" s="18" t="n">
        <v>31.47847378</v>
      </c>
      <c r="F16" s="20" t="n">
        <v>2.08766505</v>
      </c>
      <c r="G16" s="18" t="n">
        <v>35.12494241</v>
      </c>
      <c r="H16" s="20" t="n">
        <v>2.14405531</v>
      </c>
      <c r="I16" s="18" t="s">
        <v>567</v>
      </c>
      <c r="J16" s="20" t="s">
        <v>567</v>
      </c>
      <c r="K16" s="18" t="n">
        <v>33.39658382</v>
      </c>
      <c r="L16" s="20" t="n">
        <v>2.52721856</v>
      </c>
      <c r="M16" s="18" t="n">
        <v>0</v>
      </c>
      <c r="N16" s="20" t="n">
        <v>0</v>
      </c>
      <c r="O16" s="18" t="n">
        <v>0</v>
      </c>
      <c r="P16" s="20" t="n">
        <v>0</v>
      </c>
      <c r="Q16" s="18" t="n">
        <v>0</v>
      </c>
      <c r="R16" s="20" t="n">
        <v>0</v>
      </c>
    </row>
    <row r="17" spans="1:18">
      <c r="A17" s="15" t="s">
        <v>577</v>
      </c>
      <c r="B17" s="17" t="n">
        <v>3307</v>
      </c>
      <c r="C17" s="18">
        <f>(2622.0/B17*100)</f>
        <v/>
      </c>
      <c r="D17" s="19" t="n">
        <v>685</v>
      </c>
      <c r="E17" s="18" t="n">
        <v>34.47199762</v>
      </c>
      <c r="F17" s="20" t="n">
        <v>1.88487043</v>
      </c>
      <c r="G17" s="18" t="n">
        <v>39.26003564</v>
      </c>
      <c r="H17" s="20" t="n">
        <v>1.9185666</v>
      </c>
      <c r="I17" s="18" t="s">
        <v>567</v>
      </c>
      <c r="J17" s="20" t="s">
        <v>567</v>
      </c>
      <c r="K17" s="18" t="n">
        <v>26.26796674</v>
      </c>
      <c r="L17" s="20" t="n">
        <v>1.87011129</v>
      </c>
      <c r="M17" s="18" t="n">
        <v>0</v>
      </c>
      <c r="N17" s="20" t="n">
        <v>0</v>
      </c>
      <c r="O17" s="18" t="n">
        <v>0</v>
      </c>
      <c r="P17" s="20" t="n">
        <v>0</v>
      </c>
      <c r="Q17" s="18" t="n">
        <v>0</v>
      </c>
      <c r="R17" s="20" t="n">
        <v>0</v>
      </c>
    </row>
    <row r="18" spans="1:18">
      <c r="A18" s="15" t="s">
        <v>578</v>
      </c>
      <c r="B18" s="17" t="n">
        <v>2826</v>
      </c>
      <c r="C18" s="18">
        <f>(2221.0/B18*100)</f>
        <v/>
      </c>
      <c r="D18" s="19" t="n">
        <v>605</v>
      </c>
      <c r="E18" s="18" t="n">
        <v>51.88976573</v>
      </c>
      <c r="F18" s="20" t="n">
        <v>2.41315253</v>
      </c>
      <c r="G18" s="18" t="n">
        <v>17.9535742</v>
      </c>
      <c r="H18" s="20" t="n">
        <v>1.90861916</v>
      </c>
      <c r="I18" s="18" t="s">
        <v>567</v>
      </c>
      <c r="J18" s="20" t="s">
        <v>567</v>
      </c>
      <c r="K18" s="18" t="n">
        <v>30.15666007</v>
      </c>
      <c r="L18" s="20" t="n">
        <v>2.5027397</v>
      </c>
      <c r="M18" s="18" t="n">
        <v>0</v>
      </c>
      <c r="N18" s="20" t="n">
        <v>0</v>
      </c>
      <c r="O18" s="18" t="n">
        <v>0</v>
      </c>
      <c r="P18" s="20" t="n">
        <v>0</v>
      </c>
      <c r="Q18" s="18" t="n">
        <v>0</v>
      </c>
      <c r="R18" s="20" t="n">
        <v>0</v>
      </c>
    </row>
    <row r="19" spans="1:18">
      <c r="A19" s="15" t="s">
        <v>579</v>
      </c>
      <c r="B19" s="17" t="n">
        <v>2808</v>
      </c>
      <c r="C19" s="18">
        <f>(2237.0/B19*100)</f>
        <v/>
      </c>
      <c r="D19" s="19" t="n">
        <v>571</v>
      </c>
      <c r="E19" s="18" t="n">
        <v>31.51004699</v>
      </c>
      <c r="F19" s="20" t="n">
        <v>2.35939068</v>
      </c>
      <c r="G19" s="18" t="n">
        <v>40.16880944</v>
      </c>
      <c r="H19" s="20" t="n">
        <v>2.12522046</v>
      </c>
      <c r="I19" s="18" t="s">
        <v>567</v>
      </c>
      <c r="J19" s="20" t="s">
        <v>567</v>
      </c>
      <c r="K19" s="18" t="n">
        <v>28.17039328</v>
      </c>
      <c r="L19" s="20" t="n">
        <v>2.44709823</v>
      </c>
      <c r="M19" s="18" t="n">
        <v>0.15075028</v>
      </c>
      <c r="N19" s="20" t="n">
        <v>0.13921419</v>
      </c>
      <c r="O19" s="18" t="n">
        <v>0</v>
      </c>
      <c r="P19" s="20" t="n">
        <v>0</v>
      </c>
      <c r="Q19" s="18" t="n">
        <v>0</v>
      </c>
      <c r="R19" s="20" t="n">
        <v>0</v>
      </c>
    </row>
    <row r="20" spans="1:18">
      <c r="A20" s="15" t="s">
        <v>580</v>
      </c>
      <c r="B20" s="17" t="n">
        <v>1630</v>
      </c>
      <c r="C20" s="18">
        <f>(1281.0/B20*100)</f>
        <v/>
      </c>
      <c r="D20" s="19" t="n">
        <v>349</v>
      </c>
      <c r="E20" s="18" t="n">
        <v>48.87640399</v>
      </c>
      <c r="F20" s="20" t="n">
        <v>2.50016896</v>
      </c>
      <c r="G20" s="18" t="n">
        <v>27.5990622</v>
      </c>
      <c r="H20" s="20" t="n">
        <v>2.41318645</v>
      </c>
      <c r="I20" s="18" t="s">
        <v>567</v>
      </c>
      <c r="J20" s="20" t="s">
        <v>567</v>
      </c>
      <c r="K20" s="18" t="n">
        <v>22.64012161</v>
      </c>
      <c r="L20" s="20" t="n">
        <v>2.24481394</v>
      </c>
      <c r="M20" s="18" t="n">
        <v>0.88441221</v>
      </c>
      <c r="N20" s="20" t="n">
        <v>0.6298570100000001</v>
      </c>
      <c r="O20" s="18" t="n">
        <v>0</v>
      </c>
      <c r="P20" s="20" t="n">
        <v>0</v>
      </c>
      <c r="Q20" s="18" t="n">
        <v>0</v>
      </c>
      <c r="R20" s="20" t="n">
        <v>0</v>
      </c>
    </row>
    <row r="21" spans="1:18">
      <c r="A21" s="15" t="s">
        <v>581</v>
      </c>
      <c r="B21" s="17" t="n">
        <v>2908</v>
      </c>
      <c r="C21" s="18">
        <f>(2267.0/B21*100)</f>
        <v/>
      </c>
      <c r="D21" s="19" t="n">
        <v>641</v>
      </c>
      <c r="E21" s="18" t="n">
        <v>51.83278886</v>
      </c>
      <c r="F21" s="20" t="n">
        <v>2.49448145</v>
      </c>
      <c r="G21" s="18" t="n">
        <v>26.91340387</v>
      </c>
      <c r="H21" s="20" t="n">
        <v>2.0890471</v>
      </c>
      <c r="I21" s="18" t="s">
        <v>567</v>
      </c>
      <c r="J21" s="20" t="s">
        <v>567</v>
      </c>
      <c r="K21" s="18" t="n">
        <v>21.25380727</v>
      </c>
      <c r="L21" s="20" t="n">
        <v>1.94437071</v>
      </c>
      <c r="M21" s="18" t="n">
        <v>0</v>
      </c>
      <c r="N21" s="20" t="n">
        <v>0</v>
      </c>
      <c r="O21" s="18" t="n">
        <v>0</v>
      </c>
      <c r="P21" s="20" t="n">
        <v>0</v>
      </c>
      <c r="Q21" s="18" t="n">
        <v>0</v>
      </c>
      <c r="R21" s="20" t="n">
        <v>0</v>
      </c>
    </row>
    <row r="22" spans="1:18">
      <c r="A22" s="15" t="s">
        <v>582</v>
      </c>
      <c r="B22" s="17" t="n">
        <v>2931</v>
      </c>
      <c r="C22" s="18">
        <f>(2302.0/B22*100)</f>
        <v/>
      </c>
      <c r="D22" s="19" t="n">
        <v>629</v>
      </c>
      <c r="E22" s="18" t="n">
        <v>36.74838514</v>
      </c>
      <c r="F22" s="20" t="n">
        <v>1.95205642</v>
      </c>
      <c r="G22" s="18" t="n">
        <v>30.05316815</v>
      </c>
      <c r="H22" s="20" t="n">
        <v>2.30835996</v>
      </c>
      <c r="I22" s="18" t="s">
        <v>567</v>
      </c>
      <c r="J22" s="20" t="s">
        <v>567</v>
      </c>
      <c r="K22" s="18" t="n">
        <v>33.19844671</v>
      </c>
      <c r="L22" s="20" t="n">
        <v>2.2176759</v>
      </c>
      <c r="M22" s="18" t="n">
        <v>0</v>
      </c>
      <c r="N22" s="20" t="n">
        <v>0</v>
      </c>
      <c r="O22" s="18" t="n">
        <v>0</v>
      </c>
      <c r="P22" s="20" t="n">
        <v>0</v>
      </c>
      <c r="Q22" s="18" t="n">
        <v>0</v>
      </c>
      <c r="R22" s="20" t="n">
        <v>0</v>
      </c>
    </row>
    <row r="23" spans="1:18">
      <c r="A23" s="15" t="s">
        <v>583</v>
      </c>
      <c r="B23" s="17" t="n">
        <v>5791</v>
      </c>
      <c r="C23" s="18">
        <f>(4575.0/B23*100)</f>
        <v/>
      </c>
      <c r="D23" s="19" t="n">
        <v>1216</v>
      </c>
      <c r="E23" s="18" t="n">
        <v>40.20978373</v>
      </c>
      <c r="F23" s="20" t="n">
        <v>1.91558611</v>
      </c>
      <c r="G23" s="18" t="n">
        <v>25.27504099</v>
      </c>
      <c r="H23" s="20" t="n">
        <v>1.71665123</v>
      </c>
      <c r="I23" s="18" t="s">
        <v>567</v>
      </c>
      <c r="J23" s="20" t="s">
        <v>567</v>
      </c>
      <c r="K23" s="18" t="n">
        <v>34.51517529</v>
      </c>
      <c r="L23" s="20" t="n">
        <v>1.93884829</v>
      </c>
      <c r="M23" s="18" t="n">
        <v>0</v>
      </c>
      <c r="N23" s="20" t="n">
        <v>0</v>
      </c>
      <c r="O23" s="18" t="n">
        <v>0</v>
      </c>
      <c r="P23" s="20" t="n">
        <v>0</v>
      </c>
      <c r="Q23" s="18" t="n">
        <v>0</v>
      </c>
      <c r="R23" s="20" t="n">
        <v>0</v>
      </c>
    </row>
    <row r="24" spans="1:18">
      <c r="A24" s="15" t="s">
        <v>584</v>
      </c>
      <c r="B24" s="17" t="n">
        <v>3338</v>
      </c>
      <c r="C24" s="18">
        <f>(2647.0/B24*100)</f>
        <v/>
      </c>
      <c r="D24" s="19" t="n">
        <v>691</v>
      </c>
      <c r="E24" s="18" t="n">
        <v>35.56096643</v>
      </c>
      <c r="F24" s="20" t="n">
        <v>1.84267489</v>
      </c>
      <c r="G24" s="18" t="n">
        <v>32.60446925</v>
      </c>
      <c r="H24" s="20" t="n">
        <v>2.20281333</v>
      </c>
      <c r="I24" s="18" t="s">
        <v>567</v>
      </c>
      <c r="J24" s="20" t="s">
        <v>567</v>
      </c>
      <c r="K24" s="18" t="n">
        <v>31.83456432</v>
      </c>
      <c r="L24" s="20" t="n">
        <v>1.958171</v>
      </c>
      <c r="M24" s="18" t="n">
        <v>0</v>
      </c>
      <c r="N24" s="20" t="n">
        <v>0</v>
      </c>
      <c r="O24" s="18" t="n">
        <v>0</v>
      </c>
      <c r="P24" s="20" t="n">
        <v>0</v>
      </c>
      <c r="Q24" s="18" t="n">
        <v>0</v>
      </c>
      <c r="R24" s="20" t="n">
        <v>0</v>
      </c>
    </row>
    <row r="25" spans="1:18">
      <c r="A25" s="15" t="s">
        <v>585</v>
      </c>
      <c r="B25" s="17" t="n">
        <v>2912</v>
      </c>
      <c r="C25" s="18">
        <f>(2254.0/B25*100)</f>
        <v/>
      </c>
      <c r="D25" s="19" t="n">
        <v>658</v>
      </c>
      <c r="E25" s="18" t="n">
        <v>38.46166565</v>
      </c>
      <c r="F25" s="20" t="n">
        <v>2.14100442</v>
      </c>
      <c r="G25" s="18" t="n">
        <v>42.49294986</v>
      </c>
      <c r="H25" s="20" t="n">
        <v>2.52458733</v>
      </c>
      <c r="I25" s="18" t="s">
        <v>567</v>
      </c>
      <c r="J25" s="20" t="s">
        <v>567</v>
      </c>
      <c r="K25" s="18" t="n">
        <v>19.04538449</v>
      </c>
      <c r="L25" s="20" t="n">
        <v>1.68555613</v>
      </c>
      <c r="M25" s="18" t="n">
        <v>0</v>
      </c>
      <c r="N25" s="20" t="n">
        <v>0</v>
      </c>
      <c r="O25" s="18" t="n">
        <v>0</v>
      </c>
      <c r="P25" s="20" t="n">
        <v>0</v>
      </c>
      <c r="Q25" s="18" t="n">
        <v>0</v>
      </c>
      <c r="R25" s="20" t="n">
        <v>0</v>
      </c>
    </row>
    <row r="26" spans="1:18">
      <c r="A26" s="15" t="s">
        <v>586</v>
      </c>
      <c r="B26" s="17" t="n">
        <v>2450</v>
      </c>
      <c r="C26" s="18">
        <f>(1944.0/B26*100)</f>
        <v/>
      </c>
      <c r="D26" s="19" t="n">
        <v>506</v>
      </c>
      <c r="E26" s="18" t="n">
        <v>58.86528544</v>
      </c>
      <c r="F26" s="20" t="n">
        <v>2.45146055</v>
      </c>
      <c r="G26" s="18" t="n">
        <v>28.57001563</v>
      </c>
      <c r="H26" s="20" t="n">
        <v>2.29333928</v>
      </c>
      <c r="I26" s="18" t="s">
        <v>567</v>
      </c>
      <c r="J26" s="20" t="s">
        <v>567</v>
      </c>
      <c r="K26" s="18" t="n">
        <v>12.19017153</v>
      </c>
      <c r="L26" s="20" t="n">
        <v>1.67268087</v>
      </c>
      <c r="M26" s="18" t="n">
        <v>0.3745274</v>
      </c>
      <c r="N26" s="20" t="n">
        <v>0.29629414</v>
      </c>
      <c r="O26" s="18" t="n">
        <v>0</v>
      </c>
      <c r="P26" s="20" t="n">
        <v>0</v>
      </c>
      <c r="Q26" s="18" t="n">
        <v>0</v>
      </c>
      <c r="R26" s="20" t="n">
        <v>0</v>
      </c>
    </row>
    <row r="27" spans="1:18">
      <c r="A27" s="15" t="s">
        <v>587</v>
      </c>
      <c r="B27" s="17" t="n">
        <v>2616</v>
      </c>
      <c r="C27" s="18">
        <f>(2072.0/B27*100)</f>
        <v/>
      </c>
      <c r="D27" s="19" t="n">
        <v>544</v>
      </c>
      <c r="E27" s="18" t="n">
        <v>45.54464085</v>
      </c>
      <c r="F27" s="20" t="n">
        <v>2.18032268</v>
      </c>
      <c r="G27" s="18" t="n">
        <v>24.6205429</v>
      </c>
      <c r="H27" s="20" t="n">
        <v>1.90297203</v>
      </c>
      <c r="I27" s="18" t="s">
        <v>567</v>
      </c>
      <c r="J27" s="20" t="s">
        <v>567</v>
      </c>
      <c r="K27" s="18" t="n">
        <v>29.83481624</v>
      </c>
      <c r="L27" s="20" t="n">
        <v>2.07421232</v>
      </c>
      <c r="M27" s="18" t="n">
        <v>0</v>
      </c>
      <c r="N27" s="20" t="n">
        <v>0</v>
      </c>
      <c r="O27" s="18" t="n">
        <v>0</v>
      </c>
      <c r="P27" s="20" t="n">
        <v>0</v>
      </c>
      <c r="Q27" s="18" t="n">
        <v>0</v>
      </c>
      <c r="R27" s="20" t="n">
        <v>0</v>
      </c>
    </row>
    <row r="28" spans="1:18">
      <c r="A28" s="15" t="s">
        <v>588</v>
      </c>
      <c r="B28" s="17" t="n">
        <v>3765</v>
      </c>
      <c r="C28" s="18">
        <f>(3099.0/B28*100)</f>
        <v/>
      </c>
      <c r="D28" s="19" t="n">
        <v>666</v>
      </c>
      <c r="E28" s="18" t="n">
        <v>78.84055143</v>
      </c>
      <c r="F28" s="20" t="n">
        <v>1.96408754</v>
      </c>
      <c r="G28" s="18" t="n">
        <v>9.26703608</v>
      </c>
      <c r="H28" s="20" t="n">
        <v>1.27105067</v>
      </c>
      <c r="I28" s="18" t="s">
        <v>567</v>
      </c>
      <c r="J28" s="20" t="s">
        <v>567</v>
      </c>
      <c r="K28" s="18" t="n">
        <v>11.89241249</v>
      </c>
      <c r="L28" s="20" t="n">
        <v>1.41453308</v>
      </c>
      <c r="M28" s="18" t="n">
        <v>0</v>
      </c>
      <c r="N28" s="20" t="n">
        <v>0</v>
      </c>
      <c r="O28" s="18" t="n">
        <v>0</v>
      </c>
      <c r="P28" s="20" t="n">
        <v>0</v>
      </c>
      <c r="Q28" s="18" t="n">
        <v>0</v>
      </c>
      <c r="R28" s="20" t="n">
        <v>0</v>
      </c>
    </row>
    <row r="29" spans="1:18">
      <c r="A29" s="15" t="s">
        <v>589</v>
      </c>
      <c r="B29" s="17" t="n">
        <v>2685</v>
      </c>
      <c r="C29" s="18">
        <f>(2094.0/B29*100)</f>
        <v/>
      </c>
      <c r="D29" s="19" t="n">
        <v>591</v>
      </c>
      <c r="E29" s="18" t="n">
        <v>53.09314863</v>
      </c>
      <c r="F29" s="20" t="n">
        <v>2.53663859</v>
      </c>
      <c r="G29" s="18" t="n">
        <v>35.64458899</v>
      </c>
      <c r="H29" s="20" t="n">
        <v>2.40454259</v>
      </c>
      <c r="I29" s="18" t="s">
        <v>567</v>
      </c>
      <c r="J29" s="20" t="s">
        <v>567</v>
      </c>
      <c r="K29" s="18" t="n">
        <v>11.26226238</v>
      </c>
      <c r="L29" s="20" t="n">
        <v>1.50463035</v>
      </c>
      <c r="M29" s="18" t="n">
        <v>0</v>
      </c>
      <c r="N29" s="20" t="n">
        <v>0</v>
      </c>
      <c r="O29" s="18" t="n">
        <v>0</v>
      </c>
      <c r="P29" s="20" t="n">
        <v>0</v>
      </c>
      <c r="Q29" s="18" t="n">
        <v>0</v>
      </c>
      <c r="R29" s="20" t="n">
        <v>0</v>
      </c>
    </row>
    <row r="30" spans="1:18">
      <c r="A30" s="15" t="s">
        <v>590</v>
      </c>
      <c r="B30" s="17" t="n">
        <v>2263</v>
      </c>
      <c r="C30" s="18">
        <f>(1800.0/B30*100)</f>
        <v/>
      </c>
      <c r="D30" s="19" t="n">
        <v>463</v>
      </c>
      <c r="E30" s="18" t="n">
        <v>56.65221632</v>
      </c>
      <c r="F30" s="20" t="n">
        <v>2.40766616</v>
      </c>
      <c r="G30" s="18" t="n">
        <v>18.47221931</v>
      </c>
      <c r="H30" s="20" t="n">
        <v>1.73839105</v>
      </c>
      <c r="I30" s="18" t="s">
        <v>567</v>
      </c>
      <c r="J30" s="20" t="s">
        <v>567</v>
      </c>
      <c r="K30" s="18" t="n">
        <v>24.6771152</v>
      </c>
      <c r="L30" s="20" t="n">
        <v>2.1412755</v>
      </c>
      <c r="M30" s="18" t="n">
        <v>0.19844917</v>
      </c>
      <c r="N30" s="20" t="n">
        <v>0.20163275</v>
      </c>
      <c r="O30" s="18" t="n">
        <v>0</v>
      </c>
      <c r="P30" s="20" t="n">
        <v>0</v>
      </c>
      <c r="Q30" s="18" t="n">
        <v>0</v>
      </c>
      <c r="R30" s="20" t="n">
        <v>0</v>
      </c>
    </row>
    <row r="31" spans="1:18">
      <c r="A31" s="15" t="s">
        <v>591</v>
      </c>
      <c r="B31" s="17" t="n">
        <v>2750</v>
      </c>
      <c r="C31" s="18">
        <f>(2145.0/B31*100)</f>
        <v/>
      </c>
      <c r="D31" s="19" t="n">
        <v>605</v>
      </c>
      <c r="E31" s="18" t="n">
        <v>50.13507132</v>
      </c>
      <c r="F31" s="20" t="n">
        <v>1.96679832</v>
      </c>
      <c r="G31" s="18" t="n">
        <v>27.0453118</v>
      </c>
      <c r="H31" s="20" t="n">
        <v>1.87482357</v>
      </c>
      <c r="I31" s="18" t="s">
        <v>567</v>
      </c>
      <c r="J31" s="20" t="s">
        <v>567</v>
      </c>
      <c r="K31" s="18" t="n">
        <v>22.81961688</v>
      </c>
      <c r="L31" s="20" t="n">
        <v>1.80131997</v>
      </c>
      <c r="M31" s="18" t="n">
        <v>0</v>
      </c>
      <c r="N31" s="20" t="n">
        <v>0</v>
      </c>
      <c r="O31" s="18" t="n">
        <v>0</v>
      </c>
      <c r="P31" s="20" t="n">
        <v>0</v>
      </c>
      <c r="Q31" s="18" t="n">
        <v>0</v>
      </c>
      <c r="R31" s="20" t="n">
        <v>0</v>
      </c>
    </row>
    <row r="32" spans="1:18">
      <c r="A32" s="15" t="s">
        <v>592</v>
      </c>
      <c r="B32" s="17" t="n">
        <v>2269</v>
      </c>
      <c r="C32" s="18">
        <f>(1786.0/B32*100)</f>
        <v/>
      </c>
      <c r="D32" s="19" t="n">
        <v>483</v>
      </c>
      <c r="E32" s="18" t="n">
        <v>43.40543427</v>
      </c>
      <c r="F32" s="20" t="n">
        <v>2.30203908</v>
      </c>
      <c r="G32" s="18" t="n">
        <v>27.91125994</v>
      </c>
      <c r="H32" s="20" t="n">
        <v>2.11473166</v>
      </c>
      <c r="I32" s="18" t="s">
        <v>567</v>
      </c>
      <c r="J32" s="20" t="s">
        <v>567</v>
      </c>
      <c r="K32" s="18" t="n">
        <v>28.68330579</v>
      </c>
      <c r="L32" s="20" t="n">
        <v>1.90112906</v>
      </c>
      <c r="M32" s="18" t="n">
        <v>0</v>
      </c>
      <c r="N32" s="20" t="n">
        <v>0</v>
      </c>
      <c r="O32" s="18" t="n">
        <v>0</v>
      </c>
      <c r="P32" s="20" t="n">
        <v>0</v>
      </c>
      <c r="Q32" s="18" t="n">
        <v>0</v>
      </c>
      <c r="R32" s="20" t="n">
        <v>0</v>
      </c>
    </row>
    <row r="33" spans="1:18">
      <c r="A33" s="15" t="s">
        <v>593</v>
      </c>
      <c r="B33" s="17" t="n">
        <v>3674</v>
      </c>
      <c r="C33" s="18">
        <f>(2919.0/B33*100)</f>
        <v/>
      </c>
      <c r="D33" s="19" t="n">
        <v>755</v>
      </c>
      <c r="E33" s="18" t="n">
        <v>36.74233004</v>
      </c>
      <c r="F33" s="20" t="n">
        <v>2.15610474</v>
      </c>
      <c r="G33" s="18" t="n">
        <v>32.60261932</v>
      </c>
      <c r="H33" s="20" t="n">
        <v>2.2383146</v>
      </c>
      <c r="I33" s="18" t="s">
        <v>567</v>
      </c>
      <c r="J33" s="20" t="s">
        <v>567</v>
      </c>
      <c r="K33" s="18" t="n">
        <v>30.50119778</v>
      </c>
      <c r="L33" s="20" t="n">
        <v>2.12257019</v>
      </c>
      <c r="M33" s="18" t="n">
        <v>0.15385286</v>
      </c>
      <c r="N33" s="20" t="n">
        <v>0.16828716</v>
      </c>
      <c r="O33" s="18" t="n">
        <v>0</v>
      </c>
      <c r="P33" s="20" t="n">
        <v>0</v>
      </c>
      <c r="Q33" s="18" t="n">
        <v>0</v>
      </c>
      <c r="R33" s="20" t="n">
        <v>0</v>
      </c>
    </row>
    <row r="34" spans="1:18">
      <c r="A34" s="15" t="s">
        <v>594</v>
      </c>
      <c r="B34" s="17" t="n">
        <v>3315</v>
      </c>
      <c r="C34" s="18">
        <f>(2632.0/B34*100)</f>
        <v/>
      </c>
      <c r="D34" s="19" t="n">
        <v>683</v>
      </c>
      <c r="E34" s="18" t="n">
        <v>50.98091111</v>
      </c>
      <c r="F34" s="20" t="n">
        <v>1.94931491</v>
      </c>
      <c r="G34" s="18" t="n">
        <v>17.30355354</v>
      </c>
      <c r="H34" s="20" t="n">
        <v>1.347012</v>
      </c>
      <c r="I34" s="18" t="s">
        <v>567</v>
      </c>
      <c r="J34" s="20" t="s">
        <v>567</v>
      </c>
      <c r="K34" s="18" t="n">
        <v>31.61473093</v>
      </c>
      <c r="L34" s="20" t="n">
        <v>1.6138382</v>
      </c>
      <c r="M34" s="18" t="n">
        <v>0.10080441</v>
      </c>
      <c r="N34" s="20" t="n">
        <v>0.1459174</v>
      </c>
      <c r="O34" s="18" t="n">
        <v>0</v>
      </c>
      <c r="P34" s="20" t="n">
        <v>0</v>
      </c>
      <c r="Q34" s="18" t="n">
        <v>0</v>
      </c>
      <c r="R34" s="20" t="n">
        <v>0</v>
      </c>
    </row>
    <row r="35" spans="1:18">
      <c r="A35" s="15" t="s">
        <v>595</v>
      </c>
      <c r="B35" s="17" t="n">
        <v>3505</v>
      </c>
      <c r="C35" s="18">
        <f>(2782.0/B35*100)</f>
        <v/>
      </c>
      <c r="D35" s="19" t="n">
        <v>723</v>
      </c>
      <c r="E35" s="18" t="n">
        <v>61.95546148</v>
      </c>
      <c r="F35" s="20" t="n">
        <v>2.46783978</v>
      </c>
      <c r="G35" s="18" t="n">
        <v>17.92338112</v>
      </c>
      <c r="H35" s="20" t="n">
        <v>1.80218571</v>
      </c>
      <c r="I35" s="18" t="s">
        <v>567</v>
      </c>
      <c r="J35" s="20" t="s">
        <v>567</v>
      </c>
      <c r="K35" s="18" t="n">
        <v>19.87134271</v>
      </c>
      <c r="L35" s="20" t="n">
        <v>2.06766302</v>
      </c>
      <c r="M35" s="18" t="n">
        <v>0.24981469</v>
      </c>
      <c r="N35" s="20" t="n">
        <v>0.25129638</v>
      </c>
      <c r="O35" s="18" t="n">
        <v>0</v>
      </c>
      <c r="P35" s="20" t="n">
        <v>0</v>
      </c>
      <c r="Q35" s="18" t="n">
        <v>0</v>
      </c>
      <c r="R35" s="20" t="n">
        <v>0</v>
      </c>
    </row>
    <row r="36" spans="1:18">
      <c r="A36" s="15" t="s">
        <v>596</v>
      </c>
      <c r="B36" s="17" t="n">
        <v>3332</v>
      </c>
      <c r="C36" s="18">
        <f>(2641.0/B36*100)</f>
        <v/>
      </c>
      <c r="D36" s="19" t="n">
        <v>691</v>
      </c>
      <c r="E36" s="18" t="n">
        <v>42.00619754</v>
      </c>
      <c r="F36" s="20" t="n">
        <v>2.19751521</v>
      </c>
      <c r="G36" s="18" t="n">
        <v>32.74335025</v>
      </c>
      <c r="H36" s="20" t="n">
        <v>2.09976632</v>
      </c>
      <c r="I36" s="18" t="s">
        <v>567</v>
      </c>
      <c r="J36" s="20" t="s">
        <v>567</v>
      </c>
      <c r="K36" s="18" t="n">
        <v>25.25045221</v>
      </c>
      <c r="L36" s="20" t="n">
        <v>1.69314985</v>
      </c>
      <c r="M36" s="18" t="n">
        <v>0</v>
      </c>
      <c r="N36" s="20" t="n">
        <v>0</v>
      </c>
      <c r="O36" s="18" t="n">
        <v>0</v>
      </c>
      <c r="P36" s="20" t="n">
        <v>0</v>
      </c>
      <c r="Q36" s="18" t="n">
        <v>0</v>
      </c>
      <c r="R36" s="20" t="n">
        <v>0</v>
      </c>
    </row>
    <row r="37" spans="1:18">
      <c r="A37" s="15" t="s">
        <v>597</v>
      </c>
      <c r="B37" s="17" t="n">
        <v>2727</v>
      </c>
      <c r="C37" s="18">
        <f>(2175.0/B37*100)</f>
        <v/>
      </c>
      <c r="D37" s="19" t="n">
        <v>552</v>
      </c>
      <c r="E37" s="18" t="n">
        <v>41.66508704</v>
      </c>
      <c r="F37" s="20" t="n">
        <v>2.18868996</v>
      </c>
      <c r="G37" s="18" t="n">
        <v>30.74149887</v>
      </c>
      <c r="H37" s="20" t="n">
        <v>1.71923099</v>
      </c>
      <c r="I37" s="18" t="s">
        <v>567</v>
      </c>
      <c r="J37" s="20" t="s">
        <v>567</v>
      </c>
      <c r="K37" s="18" t="n">
        <v>27.42770126</v>
      </c>
      <c r="L37" s="20" t="n">
        <v>2.32374137</v>
      </c>
      <c r="M37" s="18" t="n">
        <v>0.16571283</v>
      </c>
      <c r="N37" s="20" t="n">
        <v>0.16547307</v>
      </c>
      <c r="O37" s="18" t="n">
        <v>0</v>
      </c>
      <c r="P37" s="20" t="n">
        <v>0</v>
      </c>
      <c r="Q37" s="18" t="n">
        <v>0</v>
      </c>
      <c r="R37" s="20" t="n">
        <v>0</v>
      </c>
    </row>
    <row r="38" spans="1:18">
      <c r="A38" s="15" t="s">
        <v>598</v>
      </c>
      <c r="B38" s="17" t="n">
        <v>3053</v>
      </c>
      <c r="C38" s="18">
        <f>(2417.0/B38*100)</f>
        <v/>
      </c>
      <c r="D38" s="19" t="n">
        <v>636</v>
      </c>
      <c r="E38" s="18" t="n">
        <v>51.69379725</v>
      </c>
      <c r="F38" s="20" t="n">
        <v>2.22179027</v>
      </c>
      <c r="G38" s="18" t="n">
        <v>21.94300341</v>
      </c>
      <c r="H38" s="20" t="n">
        <v>2.11288025</v>
      </c>
      <c r="I38" s="18" t="s">
        <v>567</v>
      </c>
      <c r="J38" s="20" t="s">
        <v>567</v>
      </c>
      <c r="K38" s="18" t="n">
        <v>24.29933284</v>
      </c>
      <c r="L38" s="20" t="n">
        <v>1.86534675</v>
      </c>
      <c r="M38" s="18" t="n">
        <v>2.0638665</v>
      </c>
      <c r="N38" s="20" t="n">
        <v>0.68157225</v>
      </c>
      <c r="O38" s="18" t="n">
        <v>0</v>
      </c>
      <c r="P38" s="20" t="n">
        <v>0</v>
      </c>
      <c r="Q38" s="18" t="n">
        <v>0</v>
      </c>
      <c r="R38" s="20" t="n">
        <v>0</v>
      </c>
    </row>
    <row r="39" spans="1:18">
      <c r="A39" s="15" t="s">
        <v>599</v>
      </c>
      <c r="B39" s="17" t="n">
        <v>2957</v>
      </c>
      <c r="C39" s="18">
        <f>(2305.0/B39*100)</f>
        <v/>
      </c>
      <c r="D39" s="19" t="n">
        <v>652</v>
      </c>
      <c r="E39" s="18" t="n">
        <v>59.78467269</v>
      </c>
      <c r="F39" s="20" t="n">
        <v>2.24202242</v>
      </c>
      <c r="G39" s="18" t="n">
        <v>8.357200430000001</v>
      </c>
      <c r="H39" s="20" t="n">
        <v>1.25016181</v>
      </c>
      <c r="I39" s="18" t="s">
        <v>567</v>
      </c>
      <c r="J39" s="20" t="s">
        <v>567</v>
      </c>
      <c r="K39" s="18" t="n">
        <v>31.85812689</v>
      </c>
      <c r="L39" s="20" t="n">
        <v>2.06666884</v>
      </c>
      <c r="M39" s="18" t="n">
        <v>0</v>
      </c>
      <c r="N39" s="20" t="n">
        <v>0</v>
      </c>
      <c r="O39" s="18" t="n">
        <v>0</v>
      </c>
      <c r="P39" s="20" t="n">
        <v>0</v>
      </c>
      <c r="Q39" s="18" t="n">
        <v>0</v>
      </c>
      <c r="R39" s="20" t="n">
        <v>0</v>
      </c>
    </row>
    <row r="40" spans="1:18">
      <c r="A40" s="15" t="s">
        <v>600</v>
      </c>
      <c r="B40" s="17" t="n">
        <v>7235</v>
      </c>
      <c r="C40" s="18">
        <f>(5631.0/B40*100)</f>
        <v/>
      </c>
      <c r="D40" s="19" t="n">
        <v>1604</v>
      </c>
      <c r="E40" s="18" t="n">
        <v>43.93032245</v>
      </c>
      <c r="F40" s="20" t="n">
        <v>1.98539581</v>
      </c>
      <c r="G40" s="18" t="n">
        <v>29.18662645</v>
      </c>
      <c r="H40" s="20" t="n">
        <v>1.96743274</v>
      </c>
      <c r="I40" s="18" t="s">
        <v>567</v>
      </c>
      <c r="J40" s="20" t="s">
        <v>567</v>
      </c>
      <c r="K40" s="18" t="n">
        <v>26.8830511</v>
      </c>
      <c r="L40" s="20" t="n">
        <v>1.52471196</v>
      </c>
      <c r="M40" s="18" t="n">
        <v>0</v>
      </c>
      <c r="N40" s="20" t="n">
        <v>0</v>
      </c>
      <c r="O40" s="18" t="n">
        <v>0</v>
      </c>
      <c r="P40" s="20" t="n">
        <v>0</v>
      </c>
      <c r="Q40" s="18" t="n">
        <v>0</v>
      </c>
      <c r="R40" s="20" t="n">
        <v>0</v>
      </c>
    </row>
    <row r="41" spans="1:18">
      <c r="A41" s="15" t="s">
        <v>601</v>
      </c>
      <c r="B41" s="17" t="n">
        <v>2858</v>
      </c>
      <c r="C41" s="18">
        <f>(2251.0/B41*100)</f>
        <v/>
      </c>
      <c r="D41" s="19" t="n">
        <v>607</v>
      </c>
      <c r="E41" s="18" t="n">
        <v>64.97649331</v>
      </c>
      <c r="F41" s="20" t="n">
        <v>2.23018354</v>
      </c>
      <c r="G41" s="18" t="n">
        <v>24.26446153</v>
      </c>
      <c r="H41" s="20" t="n">
        <v>1.96342048</v>
      </c>
      <c r="I41" s="18" t="s">
        <v>567</v>
      </c>
      <c r="J41" s="20" t="s">
        <v>567</v>
      </c>
      <c r="K41" s="18" t="n">
        <v>10.75904516</v>
      </c>
      <c r="L41" s="20" t="n">
        <v>1.76908319</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(9538.0/B46*100)</f>
        <v/>
      </c>
      <c r="D46" s="19" t="n">
        <v>1530</v>
      </c>
      <c r="E46" s="18" t="n">
        <v>53.32650987</v>
      </c>
      <c r="F46" s="20" t="n">
        <v>1.83072602</v>
      </c>
      <c r="G46" s="18" t="n">
        <v>7.61585482</v>
      </c>
      <c r="H46" s="20" t="n">
        <v>0.98682305</v>
      </c>
      <c r="I46" s="18" t="s">
        <v>567</v>
      </c>
      <c r="J46" s="20" t="s">
        <v>567</v>
      </c>
      <c r="K46" s="18" t="n">
        <v>38.50626293</v>
      </c>
      <c r="L46" s="20" t="n">
        <v>1.78377194</v>
      </c>
      <c r="M46" s="18" t="n">
        <v>0.5513723699999999</v>
      </c>
      <c r="N46" s="20" t="n">
        <v>0.24690182</v>
      </c>
      <c r="O46" s="18" t="n">
        <v>0</v>
      </c>
      <c r="P46" s="20" t="n">
        <v>0</v>
      </c>
      <c r="Q46" s="18" t="n">
        <v>0</v>
      </c>
      <c r="R46" s="20" t="n">
        <v>0</v>
      </c>
    </row>
    <row r="47" spans="1:18">
      <c r="A47" s="15" t="s">
        <v>607</v>
      </c>
      <c r="B47" s="17" t="n">
        <v>3105</v>
      </c>
      <c r="C47" s="18">
        <f>(2467.0/B47*100)</f>
        <v/>
      </c>
      <c r="D47" s="19" t="n">
        <v>638</v>
      </c>
      <c r="E47" s="18" t="n">
        <v>37.38521169</v>
      </c>
      <c r="F47" s="20" t="n">
        <v>2.14426464</v>
      </c>
      <c r="G47" s="18" t="n">
        <v>19.77078148</v>
      </c>
      <c r="H47" s="20" t="n">
        <v>1.99777513</v>
      </c>
      <c r="I47" s="18" t="s">
        <v>567</v>
      </c>
      <c r="J47" s="20" t="s">
        <v>567</v>
      </c>
      <c r="K47" s="18" t="n">
        <v>42.84400683</v>
      </c>
      <c r="L47" s="20" t="n">
        <v>2.40834946</v>
      </c>
      <c r="M47" s="18" t="n">
        <v>0</v>
      </c>
      <c r="N47" s="20" t="n">
        <v>0</v>
      </c>
      <c r="O47" s="18" t="n">
        <v>0</v>
      </c>
      <c r="P47" s="20" t="n">
        <v>0</v>
      </c>
      <c r="Q47" s="18" t="n">
        <v>0</v>
      </c>
      <c r="R47" s="20" t="n">
        <v>0</v>
      </c>
    </row>
    <row r="48" spans="1:18">
      <c r="A48" s="15" t="s">
        <v>608</v>
      </c>
      <c r="B48" s="17" t="n">
        <v>5159</v>
      </c>
      <c r="C48" s="18">
        <f>(4047.0/B48*100)</f>
        <v/>
      </c>
      <c r="D48" s="19" t="n">
        <v>1112</v>
      </c>
      <c r="E48" s="18" t="n">
        <v>33.74549497</v>
      </c>
      <c r="F48" s="20" t="n">
        <v>2.06901416</v>
      </c>
      <c r="G48" s="18" t="n">
        <v>47.82360001</v>
      </c>
      <c r="H48" s="20" t="n">
        <v>2.40440963</v>
      </c>
      <c r="I48" s="18" t="s">
        <v>567</v>
      </c>
      <c r="J48" s="20" t="s">
        <v>567</v>
      </c>
      <c r="K48" s="18" t="n">
        <v>18.43090502</v>
      </c>
      <c r="L48" s="20" t="n">
        <v>1.81206814</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(4482.0/B50*100)</f>
        <v/>
      </c>
      <c r="D50" s="19" t="n">
        <v>1155</v>
      </c>
      <c r="E50" s="18" t="n">
        <v>63.7466272</v>
      </c>
      <c r="F50" s="20" t="n">
        <v>2.01163752</v>
      </c>
      <c r="G50" s="18" t="n">
        <v>14.90712939</v>
      </c>
      <c r="H50" s="20" t="n">
        <v>1.46506232</v>
      </c>
      <c r="I50" s="18" t="s">
        <v>567</v>
      </c>
      <c r="J50" s="20" t="s">
        <v>567</v>
      </c>
      <c r="K50" s="18" t="n">
        <v>21.14561972</v>
      </c>
      <c r="L50" s="20" t="n">
        <v>1.69273578</v>
      </c>
      <c r="M50" s="18" t="n">
        <v>0.20062368</v>
      </c>
      <c r="N50" s="20" t="n">
        <v>0.15616169</v>
      </c>
      <c r="O50" s="18" t="n">
        <v>0</v>
      </c>
      <c r="P50" s="20" t="n">
        <v>0</v>
      </c>
      <c r="Q50" s="18" t="n">
        <v>0</v>
      </c>
      <c r="R50" s="20" t="n">
        <v>0</v>
      </c>
    </row>
    <row r="51" spans="1:18">
      <c r="A51" s="15" t="s">
        <v>611</v>
      </c>
      <c r="B51" s="17" t="n">
        <v>3372</v>
      </c>
      <c r="C51" s="18">
        <f>(2778.0/B51*100)</f>
        <v/>
      </c>
      <c r="D51" s="19" t="n">
        <v>594</v>
      </c>
      <c r="E51" s="18" t="n">
        <v>64.89315104000001</v>
      </c>
      <c r="F51" s="20" t="n">
        <v>2.26941265</v>
      </c>
      <c r="G51" s="18" t="n">
        <v>14.20108981</v>
      </c>
      <c r="H51" s="20" t="n">
        <v>1.60692393</v>
      </c>
      <c r="I51" s="18" t="s">
        <v>567</v>
      </c>
      <c r="J51" s="20" t="s">
        <v>567</v>
      </c>
      <c r="K51" s="18" t="n">
        <v>20.90575916</v>
      </c>
      <c r="L51" s="20" t="n">
        <v>2.13401429</v>
      </c>
      <c r="M51" s="18" t="n">
        <v>0</v>
      </c>
      <c r="N51" s="20" t="n">
        <v>0</v>
      </c>
      <c r="O51" s="18" t="n">
        <v>0</v>
      </c>
      <c r="P51" s="20" t="n">
        <v>0</v>
      </c>
      <c r="Q51" s="18" t="n">
        <v>0</v>
      </c>
      <c r="R51" s="20" t="n">
        <v>0</v>
      </c>
    </row>
    <row r="52" spans="1:18">
      <c r="A52" s="15" t="s">
        <v>612</v>
      </c>
      <c r="B52" s="17" t="n">
        <v>2796</v>
      </c>
      <c r="C52" s="18">
        <f>(2177.0/B52*100)</f>
        <v/>
      </c>
      <c r="D52" s="19" t="n">
        <v>619</v>
      </c>
      <c r="E52" s="18" t="n">
        <v>48.27841182</v>
      </c>
      <c r="F52" s="20" t="n">
        <v>1.86485739</v>
      </c>
      <c r="G52" s="18" t="n">
        <v>22.80146114</v>
      </c>
      <c r="H52" s="20" t="n">
        <v>1.75859156</v>
      </c>
      <c r="I52" s="18" t="s">
        <v>567</v>
      </c>
      <c r="J52" s="20" t="s">
        <v>567</v>
      </c>
      <c r="K52" s="18" t="n">
        <v>28.92012704</v>
      </c>
      <c r="L52" s="20" t="n">
        <v>2.08380098</v>
      </c>
      <c r="M52" s="18" t="n">
        <v>0</v>
      </c>
      <c r="N52" s="20" t="n">
        <v>0</v>
      </c>
      <c r="O52" s="18" t="n">
        <v>0</v>
      </c>
      <c r="P52" s="20" t="n">
        <v>0</v>
      </c>
      <c r="Q52" s="18" t="n">
        <v>0</v>
      </c>
      <c r="R52" s="20" t="n">
        <v>0</v>
      </c>
    </row>
    <row r="53" spans="1:18">
      <c r="A53" s="15" t="s">
        <v>613</v>
      </c>
      <c r="B53" s="17" t="n">
        <v>2811</v>
      </c>
      <c r="C53" s="18">
        <f>(2189.0/B53*100)</f>
        <v/>
      </c>
      <c r="D53" s="19" t="n">
        <v>622</v>
      </c>
      <c r="E53" s="18" t="n">
        <v>46.84810467</v>
      </c>
      <c r="F53" s="20" t="n">
        <v>2.11470309</v>
      </c>
      <c r="G53" s="18" t="n">
        <v>16.20722824</v>
      </c>
      <c r="H53" s="20" t="n">
        <v>1.38868124</v>
      </c>
      <c r="I53" s="18" t="s">
        <v>567</v>
      </c>
      <c r="J53" s="20" t="s">
        <v>567</v>
      </c>
      <c r="K53" s="18" t="n">
        <v>36.94466709</v>
      </c>
      <c r="L53" s="20" t="n">
        <v>2.03195175</v>
      </c>
      <c r="M53" s="18" t="n">
        <v>0</v>
      </c>
      <c r="N53" s="20" t="n">
        <v>0</v>
      </c>
      <c r="O53" s="18" t="n">
        <v>0</v>
      </c>
      <c r="P53" s="20" t="n">
        <v>0</v>
      </c>
      <c r="Q53" s="18" t="n">
        <v>0</v>
      </c>
      <c r="R53" s="20" t="n">
        <v>0</v>
      </c>
    </row>
    <row r="54" spans="1:18">
      <c r="A54" s="15" t="s">
        <v>614</v>
      </c>
      <c r="B54" s="17" t="n">
        <v>2266</v>
      </c>
      <c r="C54" s="18">
        <f>(1788.0/B54*100)</f>
        <v/>
      </c>
      <c r="D54" s="19" t="n">
        <v>478</v>
      </c>
      <c r="E54" s="18" t="n">
        <v>43.60709421</v>
      </c>
      <c r="F54" s="20" t="n">
        <v>2.43703953</v>
      </c>
      <c r="G54" s="18" t="n">
        <v>3.55538735</v>
      </c>
      <c r="H54" s="20" t="n">
        <v>1.20289572</v>
      </c>
      <c r="I54" s="18" t="s">
        <v>567</v>
      </c>
      <c r="J54" s="20" t="s">
        <v>567</v>
      </c>
      <c r="K54" s="18" t="n">
        <v>52.42456676</v>
      </c>
      <c r="L54" s="20" t="n">
        <v>2.40046225</v>
      </c>
      <c r="M54" s="18" t="n">
        <v>0.41295168</v>
      </c>
      <c r="N54" s="20" t="n">
        <v>0.39649044</v>
      </c>
      <c r="O54" s="18" t="n">
        <v>0</v>
      </c>
      <c r="P54" s="20" t="n">
        <v>0</v>
      </c>
      <c r="Q54" s="18" t="n">
        <v>0</v>
      </c>
      <c r="R54" s="20" t="n">
        <v>0</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(2106.0/B56*100)</f>
        <v/>
      </c>
      <c r="D56" s="19" t="n">
        <v>578</v>
      </c>
      <c r="E56" s="18" t="n">
        <v>29.26217423</v>
      </c>
      <c r="F56" s="20" t="n">
        <v>2.27461578</v>
      </c>
      <c r="G56" s="18" t="n">
        <v>58.63259941</v>
      </c>
      <c r="H56" s="20" t="n">
        <v>2.28679422</v>
      </c>
      <c r="I56" s="18" t="s">
        <v>567</v>
      </c>
      <c r="J56" s="20" t="s">
        <v>567</v>
      </c>
      <c r="K56" s="18" t="n">
        <v>12.10522637</v>
      </c>
      <c r="L56" s="20" t="n">
        <v>1.46515825</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(2571.0/B61*100)</f>
        <v/>
      </c>
      <c r="D61" s="19" t="n">
        <v>753</v>
      </c>
      <c r="E61" s="18" t="n">
        <v>59.87643012</v>
      </c>
      <c r="F61" s="20" t="n">
        <v>2.16741235</v>
      </c>
      <c r="G61" s="18" t="n">
        <v>16.50993581</v>
      </c>
      <c r="H61" s="20" t="n">
        <v>1.64411947</v>
      </c>
      <c r="I61" s="18" t="s">
        <v>567</v>
      </c>
      <c r="J61" s="20" t="s">
        <v>567</v>
      </c>
      <c r="K61" s="18" t="n">
        <v>23.61363407</v>
      </c>
      <c r="L61" s="20" t="n">
        <v>1.93267315</v>
      </c>
      <c r="M61" s="18" t="n">
        <v>0</v>
      </c>
      <c r="N61" s="20" t="n">
        <v>0</v>
      </c>
      <c r="O61" s="18" t="n">
        <v>0</v>
      </c>
      <c r="P61" s="20" t="n">
        <v>0</v>
      </c>
      <c r="Q61" s="18" t="n">
        <v>0</v>
      </c>
      <c r="R61" s="20" t="n">
        <v>0</v>
      </c>
    </row>
    <row r="62" spans="1:18">
      <c r="A62" s="15" t="s">
        <v>622</v>
      </c>
      <c r="B62" s="17" t="n">
        <v>2246</v>
      </c>
      <c r="C62" s="18">
        <f>(1819.0/B62*100)</f>
        <v/>
      </c>
      <c r="D62" s="19" t="n">
        <v>427</v>
      </c>
      <c r="E62" s="18" t="n">
        <v>46.13394459</v>
      </c>
      <c r="F62" s="20" t="n">
        <v>2.50656513</v>
      </c>
      <c r="G62" s="18" t="n">
        <v>45.88302998</v>
      </c>
      <c r="H62" s="20" t="n">
        <v>2.52935539</v>
      </c>
      <c r="I62" s="18" t="s">
        <v>567</v>
      </c>
      <c r="J62" s="20" t="s">
        <v>567</v>
      </c>
      <c r="K62" s="18" t="n">
        <v>7.98302543</v>
      </c>
      <c r="L62" s="20" t="n">
        <v>1.35488084</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(2301.0/B66*100)</f>
        <v/>
      </c>
      <c r="D66" s="19" t="n">
        <v>593</v>
      </c>
      <c r="E66" s="18" t="n">
        <v>31.4157294</v>
      </c>
      <c r="F66" s="20" t="n">
        <v>1.93777882</v>
      </c>
      <c r="G66" s="18" t="n">
        <v>14.41737276</v>
      </c>
      <c r="H66" s="20" t="n">
        <v>1.64954394</v>
      </c>
      <c r="I66" s="18" t="s">
        <v>567</v>
      </c>
      <c r="J66" s="20" t="s">
        <v>567</v>
      </c>
      <c r="K66" s="18" t="n">
        <v>53.50491276</v>
      </c>
      <c r="L66" s="20" t="n">
        <v>2.21983335</v>
      </c>
      <c r="M66" s="18" t="n">
        <v>0.66198508</v>
      </c>
      <c r="N66" s="20" t="n">
        <v>0.31531149</v>
      </c>
      <c r="O66" s="18" t="n">
        <v>0</v>
      </c>
      <c r="P66" s="20" t="n">
        <v>0</v>
      </c>
      <c r="Q66" s="18" t="n">
        <v>0</v>
      </c>
      <c r="R66" s="20" t="n">
        <v>0</v>
      </c>
    </row>
    <row r="67" spans="1:18">
      <c r="A67" s="15" t="s">
        <v>627</v>
      </c>
      <c r="B67" s="17" t="n">
        <v>3511</v>
      </c>
      <c r="C67" s="18">
        <f>(2931.0/B67*100)</f>
        <v/>
      </c>
      <c r="D67" s="19" t="n">
        <v>580</v>
      </c>
      <c r="E67" s="18" t="n">
        <v>72.12922666999999</v>
      </c>
      <c r="F67" s="20" t="n">
        <v>2.22948169</v>
      </c>
      <c r="G67" s="18" t="n">
        <v>7.24896789</v>
      </c>
      <c r="H67" s="20" t="n">
        <v>1.30870751</v>
      </c>
      <c r="I67" s="18" t="s">
        <v>567</v>
      </c>
      <c r="J67" s="20" t="s">
        <v>567</v>
      </c>
      <c r="K67" s="18" t="n">
        <v>20.43222874</v>
      </c>
      <c r="L67" s="20" t="n">
        <v>1.81204496</v>
      </c>
      <c r="M67" s="18" t="n">
        <v>0.1895767</v>
      </c>
      <c r="N67" s="20" t="n">
        <v>0.19349409</v>
      </c>
      <c r="O67" s="18" t="n">
        <v>0</v>
      </c>
      <c r="P67" s="20" t="n">
        <v>0</v>
      </c>
      <c r="Q67" s="18" t="n">
        <v>0</v>
      </c>
      <c r="R67" s="20" t="n">
        <v>0</v>
      </c>
    </row>
    <row r="68" spans="1:18">
      <c r="A68" s="15" t="s">
        <v>628</v>
      </c>
      <c r="B68" s="17" t="n">
        <v>6049</v>
      </c>
      <c r="C68" s="18">
        <f>(4734.0/B68*100)</f>
        <v/>
      </c>
      <c r="D68" s="19" t="n">
        <v>1315</v>
      </c>
      <c r="E68" s="18" t="n">
        <v>49.97063379</v>
      </c>
      <c r="F68" s="20" t="n">
        <v>1.37797134</v>
      </c>
      <c r="G68" s="18" t="n">
        <v>15.07711436</v>
      </c>
      <c r="H68" s="20" t="n">
        <v>0.95076397</v>
      </c>
      <c r="I68" s="18" t="s">
        <v>567</v>
      </c>
      <c r="J68" s="20" t="s">
        <v>567</v>
      </c>
      <c r="K68" s="18" t="n">
        <v>34.95225185</v>
      </c>
      <c r="L68" s="20" t="n">
        <v>1.15194864</v>
      </c>
      <c r="M68" s="18" t="n">
        <v>0</v>
      </c>
      <c r="N68" s="20" t="n">
        <v>0</v>
      </c>
      <c r="O68" s="18" t="n">
        <v>0</v>
      </c>
      <c r="P68" s="20" t="n">
        <v>0</v>
      </c>
      <c r="Q68" s="18" t="n">
        <v>0</v>
      </c>
      <c r="R68" s="20" t="n">
        <v>0</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(2331.0/B70*100)</f>
        <v/>
      </c>
      <c r="D70" s="19" t="n">
        <v>598</v>
      </c>
      <c r="E70" s="18" t="n">
        <v>41.00918347</v>
      </c>
      <c r="F70" s="20" t="n">
        <v>1.97501916</v>
      </c>
      <c r="G70" s="18" t="n">
        <v>37.4281302</v>
      </c>
      <c r="H70" s="20" t="n">
        <v>2.34751802</v>
      </c>
      <c r="I70" s="18" t="s">
        <v>567</v>
      </c>
      <c r="J70" s="20" t="s">
        <v>567</v>
      </c>
      <c r="K70" s="18" t="n">
        <v>21.3338019</v>
      </c>
      <c r="L70" s="20" t="n">
        <v>2.37041896</v>
      </c>
      <c r="M70" s="18" t="n">
        <v>0.22888443</v>
      </c>
      <c r="N70" s="20" t="n">
        <v>0.14031126</v>
      </c>
      <c r="O70" s="18" t="n">
        <v>0</v>
      </c>
      <c r="P70" s="20" t="n">
        <v>0</v>
      </c>
      <c r="Q70" s="18" t="n">
        <v>0</v>
      </c>
      <c r="R70" s="20" t="n">
        <v>0</v>
      </c>
    </row>
    <row r="71" spans="1:18">
      <c r="A71" s="15" t="s">
        <v>631</v>
      </c>
      <c r="B71" s="17" t="n">
        <v>3142</v>
      </c>
      <c r="C71" s="18">
        <f>(2450.0/B71*100)</f>
        <v/>
      </c>
      <c r="D71" s="19" t="n">
        <v>692</v>
      </c>
      <c r="E71" s="18" t="n">
        <v>50.35335482</v>
      </c>
      <c r="F71" s="20" t="n">
        <v>1.8626393</v>
      </c>
      <c r="G71" s="18" t="n">
        <v>42.64806612</v>
      </c>
      <c r="H71" s="20" t="n">
        <v>1.8243322</v>
      </c>
      <c r="I71" s="18" t="s">
        <v>567</v>
      </c>
      <c r="J71" s="20" t="s">
        <v>567</v>
      </c>
      <c r="K71" s="18" t="n">
        <v>6.99857906</v>
      </c>
      <c r="L71" s="20" t="n">
        <v>0.88179739</v>
      </c>
      <c r="M71" s="18" t="n">
        <v>0</v>
      </c>
      <c r="N71" s="20" t="n">
        <v>0</v>
      </c>
      <c r="O71" s="18" t="n">
        <v>0</v>
      </c>
      <c r="P71" s="20" t="n">
        <v>0</v>
      </c>
      <c r="Q71" s="18" t="n">
        <v>0</v>
      </c>
      <c r="R71" s="20" t="n">
        <v>0</v>
      </c>
    </row>
    <row r="72" spans="1:18">
      <c r="A72" s="15" t="s">
        <v>632</v>
      </c>
      <c r="B72" s="17" t="n">
        <v>3889</v>
      </c>
      <c r="C72" s="18">
        <f>(3025.0/B72*100)</f>
        <v/>
      </c>
      <c r="D72" s="19" t="n">
        <v>864</v>
      </c>
      <c r="E72" s="18" t="n">
        <v>32.44711181</v>
      </c>
      <c r="F72" s="20" t="n">
        <v>1.71323816</v>
      </c>
      <c r="G72" s="18" t="n">
        <v>54.6006563</v>
      </c>
      <c r="H72" s="20" t="n">
        <v>2.08252772</v>
      </c>
      <c r="I72" s="18" t="s">
        <v>567</v>
      </c>
      <c r="J72" s="20" t="s">
        <v>567</v>
      </c>
      <c r="K72" s="18" t="n">
        <v>12.95223189</v>
      </c>
      <c r="L72" s="20" t="n">
        <v>1.16657874</v>
      </c>
      <c r="M72" s="18" t="n">
        <v>0</v>
      </c>
      <c r="N72" s="20" t="n">
        <v>0</v>
      </c>
      <c r="O72" s="18" t="n">
        <v>0</v>
      </c>
      <c r="P72" s="20" t="n">
        <v>0</v>
      </c>
      <c r="Q72" s="18" t="n">
        <v>0</v>
      </c>
      <c r="R72" s="20" t="n">
        <v>0</v>
      </c>
    </row>
    <row r="73" spans="1:18">
      <c r="A73" s="15" t="s">
        <v>633</v>
      </c>
      <c r="B73" s="17" t="n">
        <v>3597</v>
      </c>
      <c r="C73" s="18">
        <f>(2893.0/B73*100)</f>
        <v/>
      </c>
      <c r="D73" s="19" t="n">
        <v>704</v>
      </c>
      <c r="E73" s="18" t="n">
        <v>85.41904232</v>
      </c>
      <c r="F73" s="20" t="n">
        <v>1.97332381</v>
      </c>
      <c r="G73" s="18" t="n">
        <v>4.87997724</v>
      </c>
      <c r="H73" s="20" t="n">
        <v>1.08754007</v>
      </c>
      <c r="I73" s="18" t="s">
        <v>567</v>
      </c>
      <c r="J73" s="20" t="s">
        <v>567</v>
      </c>
      <c r="K73" s="18" t="n">
        <v>9.617520020000001</v>
      </c>
      <c r="L73" s="20" t="n">
        <v>1.4506163</v>
      </c>
      <c r="M73" s="18" t="n">
        <v>0.08346041999999999</v>
      </c>
      <c r="N73" s="20" t="n">
        <v>0.08346824</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(1954.0/B75*100)</f>
        <v/>
      </c>
      <c r="D75" s="19" t="n">
        <v>452</v>
      </c>
      <c r="E75" s="18" t="n">
        <v>39.19088104</v>
      </c>
      <c r="F75" s="20" t="n">
        <v>2.53778053</v>
      </c>
      <c r="G75" s="18" t="n">
        <v>2.7813468</v>
      </c>
      <c r="H75" s="20" t="n">
        <v>0.8091286</v>
      </c>
      <c r="I75" s="18" t="s">
        <v>567</v>
      </c>
      <c r="J75" s="20" t="s">
        <v>567</v>
      </c>
      <c r="K75" s="18" t="n">
        <v>57.12490654</v>
      </c>
      <c r="L75" s="20" t="n">
        <v>2.74083365</v>
      </c>
      <c r="M75" s="18" t="n">
        <v>0.90286562</v>
      </c>
      <c r="N75" s="20" t="n">
        <v>0.43332094</v>
      </c>
      <c r="O75" s="18" t="n">
        <v>0</v>
      </c>
      <c r="P75" s="20" t="n">
        <v>0</v>
      </c>
      <c r="Q75" s="18" t="n">
        <v>0</v>
      </c>
      <c r="R75" s="20" t="n">
        <v>0</v>
      </c>
    </row>
    <row r="76" spans="1:18">
      <c r="A76" s="15" t="s">
        <v>636</v>
      </c>
      <c r="B76" s="17" t="n">
        <v>7052</v>
      </c>
      <c r="C76" s="18">
        <f>(5509.0/B76*100)</f>
        <v/>
      </c>
      <c r="D76" s="19" t="n">
        <v>1543</v>
      </c>
      <c r="E76" s="18" t="n">
        <v>58.98735252</v>
      </c>
      <c r="F76" s="20" t="n">
        <v>1.58427461</v>
      </c>
      <c r="G76" s="18" t="n">
        <v>15.57439739</v>
      </c>
      <c r="H76" s="20" t="n">
        <v>1.43217373</v>
      </c>
      <c r="I76" s="18" t="s">
        <v>567</v>
      </c>
      <c r="J76" s="20" t="s">
        <v>567</v>
      </c>
      <c r="K76" s="18" t="n">
        <v>25.37453576</v>
      </c>
      <c r="L76" s="20" t="n">
        <v>1.5612949</v>
      </c>
      <c r="M76" s="18" t="n">
        <v>0.06371433</v>
      </c>
      <c r="N76" s="20" t="n">
        <v>0.04574476</v>
      </c>
      <c r="O76" s="18" t="n">
        <v>0</v>
      </c>
      <c r="P76" s="20" t="n">
        <v>0</v>
      </c>
      <c r="Q76" s="18" t="n">
        <v>0</v>
      </c>
      <c r="R76" s="20" t="n">
        <v>0</v>
      </c>
    </row>
    <row r="77" spans="1:18">
      <c r="A77" s="15" t="s">
        <v>637</v>
      </c>
      <c r="B77" s="17" t="n">
        <v>2908</v>
      </c>
      <c r="C77" s="18">
        <f>(2297.0/B77*100)</f>
        <v/>
      </c>
      <c r="D77" s="19" t="n">
        <v>611</v>
      </c>
      <c r="E77" s="18" t="n">
        <v>37.02655176</v>
      </c>
      <c r="F77" s="20" t="n">
        <v>2.0901179</v>
      </c>
      <c r="G77" s="18" t="n">
        <v>15.96330392</v>
      </c>
      <c r="H77" s="20" t="n">
        <v>1.56843313</v>
      </c>
      <c r="I77" s="18" t="s">
        <v>567</v>
      </c>
      <c r="J77" s="20" t="s">
        <v>567</v>
      </c>
      <c r="K77" s="18" t="n">
        <v>47.01014433</v>
      </c>
      <c r="L77" s="20" t="n">
        <v>2.12923654</v>
      </c>
      <c r="M77" s="18" t="n">
        <v>0</v>
      </c>
      <c r="N77" s="20" t="n">
        <v>0</v>
      </c>
      <c r="O77" s="18" t="n">
        <v>0</v>
      </c>
      <c r="P77" s="20" t="n">
        <v>0</v>
      </c>
      <c r="Q77" s="18" t="n">
        <v>0</v>
      </c>
      <c r="R77" s="20" t="n">
        <v>0</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(3254.0/B81*100)</f>
        <v/>
      </c>
      <c r="D81" s="19" t="n">
        <v>909</v>
      </c>
      <c r="E81" s="18" t="n">
        <v>74.73714568</v>
      </c>
      <c r="F81" s="20" t="n">
        <v>2.09799358</v>
      </c>
      <c r="G81" s="18" t="n">
        <v>11.60834663</v>
      </c>
      <c r="H81" s="20" t="n">
        <v>1.31113571</v>
      </c>
      <c r="I81" s="18" t="s">
        <v>567</v>
      </c>
      <c r="J81" s="20" t="s">
        <v>567</v>
      </c>
      <c r="K81" s="18" t="n">
        <v>13.65450769</v>
      </c>
      <c r="L81" s="20" t="n">
        <v>1.62347882</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(5751.0/B7*100)</f>
        <v/>
      </c>
      <c r="D7" s="19" t="n">
        <v>1616</v>
      </c>
      <c r="E7" s="18" t="n">
        <v>55.76924327</v>
      </c>
      <c r="F7" s="20" t="n">
        <v>1.55583233</v>
      </c>
      <c r="G7" s="18" t="n">
        <v>42.94362982</v>
      </c>
      <c r="H7" s="20" t="n">
        <v>1.48631311</v>
      </c>
      <c r="I7" s="18" t="s">
        <v>567</v>
      </c>
      <c r="J7" s="20" t="s">
        <v>567</v>
      </c>
      <c r="K7" s="18" t="n">
        <v>0.22305983</v>
      </c>
      <c r="L7" s="20" t="n">
        <v>0.12274861</v>
      </c>
      <c r="M7" s="18" t="n">
        <v>0</v>
      </c>
      <c r="N7" s="20" t="n">
        <v>0</v>
      </c>
      <c r="O7" s="18" t="n">
        <v>0</v>
      </c>
      <c r="P7" s="20" t="n">
        <v>0</v>
      </c>
      <c r="Q7" s="18" t="n">
        <v>1.06406708</v>
      </c>
      <c r="R7" s="20" t="n">
        <v>0.28805784</v>
      </c>
    </row>
    <row r="8" spans="1:18">
      <c r="A8" s="15" t="s">
        <v>568</v>
      </c>
      <c r="B8" s="17" t="n">
        <v>3564</v>
      </c>
      <c r="C8" s="18">
        <f>(2786.0/B8*100)</f>
        <v/>
      </c>
      <c r="D8" s="19" t="n">
        <v>778</v>
      </c>
      <c r="E8" s="18" t="n">
        <v>34.0652086</v>
      </c>
      <c r="F8" s="20" t="n">
        <v>2.02807698</v>
      </c>
      <c r="G8" s="18" t="n">
        <v>65.2772082</v>
      </c>
      <c r="H8" s="20" t="n">
        <v>2.0569094</v>
      </c>
      <c r="I8" s="18" t="s">
        <v>567</v>
      </c>
      <c r="J8" s="20" t="s">
        <v>567</v>
      </c>
      <c r="K8" s="18" t="n">
        <v>0.30276859</v>
      </c>
      <c r="L8" s="20" t="n">
        <v>0.21155525</v>
      </c>
      <c r="M8" s="18" t="n">
        <v>0</v>
      </c>
      <c r="N8" s="20" t="n">
        <v>0</v>
      </c>
      <c r="O8" s="18" t="n">
        <v>0</v>
      </c>
      <c r="P8" s="20" t="n">
        <v>0</v>
      </c>
      <c r="Q8" s="18" t="n">
        <v>0.35481461</v>
      </c>
      <c r="R8" s="20" t="n">
        <v>0.31337621</v>
      </c>
    </row>
    <row r="9" spans="1:18">
      <c r="A9" s="15" t="s">
        <v>569</v>
      </c>
      <c r="B9" s="17" t="n">
        <v>4899</v>
      </c>
      <c r="C9" s="18">
        <f>(3837.0/B9*100)</f>
        <v/>
      </c>
      <c r="D9" s="19" t="n">
        <v>1062</v>
      </c>
      <c r="E9" s="18" t="n">
        <v>33.18249031</v>
      </c>
      <c r="F9" s="20" t="n">
        <v>1.65480046</v>
      </c>
      <c r="G9" s="18" t="n">
        <v>65.65503575</v>
      </c>
      <c r="H9" s="20" t="n">
        <v>1.59628866</v>
      </c>
      <c r="I9" s="18" t="s">
        <v>567</v>
      </c>
      <c r="J9" s="20" t="s">
        <v>567</v>
      </c>
      <c r="K9" s="18" t="n">
        <v>0.1944922</v>
      </c>
      <c r="L9" s="20" t="n">
        <v>0.10834388</v>
      </c>
      <c r="M9" s="18" t="n">
        <v>0</v>
      </c>
      <c r="N9" s="20" t="n">
        <v>0</v>
      </c>
      <c r="O9" s="18" t="n">
        <v>0</v>
      </c>
      <c r="P9" s="20" t="n">
        <v>0</v>
      </c>
      <c r="Q9" s="18" t="n">
        <v>0.96798174</v>
      </c>
      <c r="R9" s="20" t="n">
        <v>0.29957102</v>
      </c>
    </row>
    <row r="10" spans="1:18">
      <c r="A10" s="15" t="s">
        <v>570</v>
      </c>
      <c r="B10" s="17" t="n">
        <v>10036</v>
      </c>
      <c r="C10" s="18">
        <f>(7785.0/B10*100)</f>
        <v/>
      </c>
      <c r="D10" s="19" t="n">
        <v>2251</v>
      </c>
      <c r="E10" s="18" t="n">
        <v>44.73792085</v>
      </c>
      <c r="F10" s="20" t="n">
        <v>1.46550843</v>
      </c>
      <c r="G10" s="18" t="n">
        <v>54.44697304</v>
      </c>
      <c r="H10" s="20" t="n">
        <v>1.49485</v>
      </c>
      <c r="I10" s="18" t="s">
        <v>567</v>
      </c>
      <c r="J10" s="20" t="s">
        <v>567</v>
      </c>
      <c r="K10" s="18" t="n">
        <v>0.39804644</v>
      </c>
      <c r="L10" s="20" t="n">
        <v>0.21155616</v>
      </c>
      <c r="M10" s="18" t="n">
        <v>0</v>
      </c>
      <c r="N10" s="20" t="n">
        <v>0</v>
      </c>
      <c r="O10" s="18" t="n">
        <v>0</v>
      </c>
      <c r="P10" s="20" t="n">
        <v>0</v>
      </c>
      <c r="Q10" s="18" t="n">
        <v>0.41705967</v>
      </c>
      <c r="R10" s="20" t="n">
        <v>0.19487465</v>
      </c>
    </row>
    <row r="11" spans="1:18">
      <c r="A11" s="15" t="s">
        <v>571</v>
      </c>
      <c r="B11" s="17" t="n">
        <v>3553</v>
      </c>
      <c r="C11" s="18">
        <f>(2749.0/B11*100)</f>
        <v/>
      </c>
      <c r="D11" s="19" t="n">
        <v>804</v>
      </c>
      <c r="E11" s="18" t="n">
        <v>25.33010313</v>
      </c>
      <c r="F11" s="20" t="n">
        <v>2.00085017</v>
      </c>
      <c r="G11" s="18" t="n">
        <v>73.05131437999999</v>
      </c>
      <c r="H11" s="20" t="n">
        <v>2.01342952</v>
      </c>
      <c r="I11" s="18" t="s">
        <v>567</v>
      </c>
      <c r="J11" s="20" t="s">
        <v>567</v>
      </c>
      <c r="K11" s="18" t="n">
        <v>0</v>
      </c>
      <c r="L11" s="20" t="n">
        <v>0</v>
      </c>
      <c r="M11" s="18" t="n">
        <v>0</v>
      </c>
      <c r="N11" s="20" t="n">
        <v>0</v>
      </c>
      <c r="O11" s="18" t="n">
        <v>0</v>
      </c>
      <c r="P11" s="20" t="n">
        <v>0</v>
      </c>
      <c r="Q11" s="18" t="n">
        <v>1.61858249</v>
      </c>
      <c r="R11" s="20" t="n">
        <v>0.51533959</v>
      </c>
    </row>
    <row r="12" spans="1:18">
      <c r="A12" s="15" t="s">
        <v>572</v>
      </c>
      <c r="B12" s="17" t="n">
        <v>3472</v>
      </c>
      <c r="C12" s="18">
        <f>(2707.0/B12*100)</f>
        <v/>
      </c>
      <c r="D12" s="19" t="n">
        <v>765</v>
      </c>
      <c r="E12" s="18" t="n">
        <v>24.33608234</v>
      </c>
      <c r="F12" s="20" t="n">
        <v>1.6314492</v>
      </c>
      <c r="G12" s="18" t="n">
        <v>75.17766614999999</v>
      </c>
      <c r="H12" s="20" t="n">
        <v>1.62518077</v>
      </c>
      <c r="I12" s="18" t="s">
        <v>567</v>
      </c>
      <c r="J12" s="20" t="s">
        <v>567</v>
      </c>
      <c r="K12" s="18" t="n">
        <v>0</v>
      </c>
      <c r="L12" s="20" t="n">
        <v>0</v>
      </c>
      <c r="M12" s="18" t="n">
        <v>0</v>
      </c>
      <c r="N12" s="20" t="n">
        <v>0</v>
      </c>
      <c r="O12" s="18" t="n">
        <v>0</v>
      </c>
      <c r="P12" s="20" t="n">
        <v>0</v>
      </c>
      <c r="Q12" s="18" t="n">
        <v>0.48625151</v>
      </c>
      <c r="R12" s="20" t="n">
        <v>0.18608434</v>
      </c>
    </row>
    <row r="13" spans="1:18">
      <c r="A13" s="15" t="s">
        <v>573</v>
      </c>
      <c r="B13" s="17" t="n">
        <v>3559</v>
      </c>
      <c r="C13" s="18">
        <f>(2798.0/B13*100)</f>
        <v/>
      </c>
      <c r="D13" s="19" t="n">
        <v>761</v>
      </c>
      <c r="E13" s="18" t="n">
        <v>39.85221775</v>
      </c>
      <c r="F13" s="20" t="n">
        <v>2.01045636</v>
      </c>
      <c r="G13" s="18" t="n">
        <v>59.79945908</v>
      </c>
      <c r="H13" s="20" t="n">
        <v>1.98503413</v>
      </c>
      <c r="I13" s="18" t="s">
        <v>567</v>
      </c>
      <c r="J13" s="20" t="s">
        <v>567</v>
      </c>
      <c r="K13" s="18" t="n">
        <v>0</v>
      </c>
      <c r="L13" s="20" t="n">
        <v>0</v>
      </c>
      <c r="M13" s="18" t="n">
        <v>0</v>
      </c>
      <c r="N13" s="20" t="n">
        <v>0</v>
      </c>
      <c r="O13" s="18" t="n">
        <v>0</v>
      </c>
      <c r="P13" s="20" t="n">
        <v>0</v>
      </c>
      <c r="Q13" s="18" t="n">
        <v>0.34832316</v>
      </c>
      <c r="R13" s="20" t="n">
        <v>0.24614604</v>
      </c>
    </row>
    <row r="14" spans="1:18">
      <c r="A14" s="15" t="s">
        <v>574</v>
      </c>
      <c r="B14" s="17" t="n">
        <v>2799</v>
      </c>
      <c r="C14" s="18">
        <f>(2170.0/B14*100)</f>
        <v/>
      </c>
      <c r="D14" s="19" t="n">
        <v>629</v>
      </c>
      <c r="E14" s="18" t="n">
        <v>13.05579041</v>
      </c>
      <c r="F14" s="20" t="n">
        <v>1.32362408</v>
      </c>
      <c r="G14" s="18" t="n">
        <v>86.07755100999999</v>
      </c>
      <c r="H14" s="20" t="n">
        <v>1.37166342</v>
      </c>
      <c r="I14" s="18" t="s">
        <v>567</v>
      </c>
      <c r="J14" s="20" t="s">
        <v>567</v>
      </c>
      <c r="K14" s="18" t="n">
        <v>0.1441363</v>
      </c>
      <c r="L14" s="20" t="n">
        <v>0.14367076</v>
      </c>
      <c r="M14" s="18" t="n">
        <v>0</v>
      </c>
      <c r="N14" s="20" t="n">
        <v>0</v>
      </c>
      <c r="O14" s="18" t="n">
        <v>0</v>
      </c>
      <c r="P14" s="20" t="n">
        <v>0</v>
      </c>
      <c r="Q14" s="18" t="n">
        <v>0.72252228</v>
      </c>
      <c r="R14" s="20" t="n">
        <v>0.32230151</v>
      </c>
    </row>
    <row r="15" spans="1:18">
      <c r="A15" s="15" t="s">
        <v>575</v>
      </c>
      <c r="B15" s="17" t="n">
        <v>3019</v>
      </c>
      <c r="C15" s="18">
        <f>(2296.0/B15*100)</f>
        <v/>
      </c>
      <c r="D15" s="19" t="n">
        <v>723</v>
      </c>
      <c r="E15" s="18" t="n">
        <v>19.70758674</v>
      </c>
      <c r="F15" s="20" t="n">
        <v>1.44679176</v>
      </c>
      <c r="G15" s="18" t="n">
        <v>79.49806647</v>
      </c>
      <c r="H15" s="20" t="n">
        <v>1.42384889</v>
      </c>
      <c r="I15" s="18" t="s">
        <v>567</v>
      </c>
      <c r="J15" s="20" t="s">
        <v>567</v>
      </c>
      <c r="K15" s="18" t="n">
        <v>0.15508766</v>
      </c>
      <c r="L15" s="20" t="n">
        <v>0.17011839</v>
      </c>
      <c r="M15" s="18" t="n">
        <v>0</v>
      </c>
      <c r="N15" s="20" t="n">
        <v>0</v>
      </c>
      <c r="O15" s="18" t="n">
        <v>0</v>
      </c>
      <c r="P15" s="20" t="n">
        <v>0</v>
      </c>
      <c r="Q15" s="18" t="n">
        <v>0.6392591399999999</v>
      </c>
      <c r="R15" s="20" t="n">
        <v>0.28581063</v>
      </c>
    </row>
    <row r="16" spans="1:18">
      <c r="A16" s="15" t="s">
        <v>576</v>
      </c>
      <c r="B16" s="17" t="n">
        <v>2997</v>
      </c>
      <c r="C16" s="18">
        <f>(2322.0/B16*100)</f>
        <v/>
      </c>
      <c r="D16" s="19" t="n">
        <v>675</v>
      </c>
      <c r="E16" s="18" t="n">
        <v>18.78219967</v>
      </c>
      <c r="F16" s="20" t="n">
        <v>1.51619158</v>
      </c>
      <c r="G16" s="18" t="n">
        <v>79.87027953</v>
      </c>
      <c r="H16" s="20" t="n">
        <v>1.67298939</v>
      </c>
      <c r="I16" s="18" t="s">
        <v>567</v>
      </c>
      <c r="J16" s="20" t="s">
        <v>567</v>
      </c>
      <c r="K16" s="18" t="n">
        <v>0.64320372</v>
      </c>
      <c r="L16" s="20" t="n">
        <v>0.28153216</v>
      </c>
      <c r="M16" s="18" t="n">
        <v>0</v>
      </c>
      <c r="N16" s="20" t="n">
        <v>0</v>
      </c>
      <c r="O16" s="18" t="n">
        <v>0</v>
      </c>
      <c r="P16" s="20" t="n">
        <v>0</v>
      </c>
      <c r="Q16" s="18" t="n">
        <v>0.70431708</v>
      </c>
      <c r="R16" s="20" t="n">
        <v>0.33557068</v>
      </c>
    </row>
    <row r="17" spans="1:18">
      <c r="A17" s="15" t="s">
        <v>577</v>
      </c>
      <c r="B17" s="17" t="n">
        <v>3307</v>
      </c>
      <c r="C17" s="18">
        <f>(2576.0/B17*100)</f>
        <v/>
      </c>
      <c r="D17" s="19" t="n">
        <v>731</v>
      </c>
      <c r="E17" s="18" t="n">
        <v>36.08464525</v>
      </c>
      <c r="F17" s="20" t="n">
        <v>1.86673811</v>
      </c>
      <c r="G17" s="18" t="n">
        <v>63.1985008</v>
      </c>
      <c r="H17" s="20" t="n">
        <v>1.81694837</v>
      </c>
      <c r="I17" s="18" t="s">
        <v>567</v>
      </c>
      <c r="J17" s="20" t="s">
        <v>567</v>
      </c>
      <c r="K17" s="18" t="n">
        <v>0</v>
      </c>
      <c r="L17" s="20" t="n">
        <v>0</v>
      </c>
      <c r="M17" s="18" t="n">
        <v>0</v>
      </c>
      <c r="N17" s="20" t="n">
        <v>0</v>
      </c>
      <c r="O17" s="18" t="n">
        <v>0</v>
      </c>
      <c r="P17" s="20" t="n">
        <v>0</v>
      </c>
      <c r="Q17" s="18" t="n">
        <v>0.71685395</v>
      </c>
      <c r="R17" s="20" t="n">
        <v>0.32527705</v>
      </c>
    </row>
    <row r="18" spans="1:18">
      <c r="A18" s="15" t="s">
        <v>578</v>
      </c>
      <c r="B18" s="17" t="n">
        <v>2826</v>
      </c>
      <c r="C18" s="18">
        <f>(2210.0/B18*100)</f>
        <v/>
      </c>
      <c r="D18" s="19" t="n">
        <v>616</v>
      </c>
      <c r="E18" s="18" t="n">
        <v>28.61901344</v>
      </c>
      <c r="F18" s="20" t="n">
        <v>2.37073957</v>
      </c>
      <c r="G18" s="18" t="n">
        <v>69.93379586</v>
      </c>
      <c r="H18" s="20" t="n">
        <v>2.41840601</v>
      </c>
      <c r="I18" s="18" t="s">
        <v>567</v>
      </c>
      <c r="J18" s="20" t="s">
        <v>567</v>
      </c>
      <c r="K18" s="18" t="n">
        <v>0.13383922</v>
      </c>
      <c r="L18" s="20" t="n">
        <v>0.13346034</v>
      </c>
      <c r="M18" s="18" t="n">
        <v>0</v>
      </c>
      <c r="N18" s="20" t="n">
        <v>0</v>
      </c>
      <c r="O18" s="18" t="n">
        <v>0</v>
      </c>
      <c r="P18" s="20" t="n">
        <v>0</v>
      </c>
      <c r="Q18" s="18" t="n">
        <v>1.31335149</v>
      </c>
      <c r="R18" s="20" t="n">
        <v>0.4440621</v>
      </c>
    </row>
    <row r="19" spans="1:18">
      <c r="A19" s="15" t="s">
        <v>579</v>
      </c>
      <c r="B19" s="17" t="n">
        <v>2808</v>
      </c>
      <c r="C19" s="18">
        <f>(2184.0/B19*100)</f>
        <v/>
      </c>
      <c r="D19" s="19" t="n">
        <v>624</v>
      </c>
      <c r="E19" s="18" t="n">
        <v>28.26335403</v>
      </c>
      <c r="F19" s="20" t="n">
        <v>2.10667493</v>
      </c>
      <c r="G19" s="18" t="n">
        <v>70.75242866000001</v>
      </c>
      <c r="H19" s="20" t="n">
        <v>2.14456341</v>
      </c>
      <c r="I19" s="18" t="s">
        <v>567</v>
      </c>
      <c r="J19" s="20" t="s">
        <v>567</v>
      </c>
      <c r="K19" s="18" t="n">
        <v>0</v>
      </c>
      <c r="L19" s="20" t="n">
        <v>0</v>
      </c>
      <c r="M19" s="18" t="n">
        <v>0</v>
      </c>
      <c r="N19" s="20" t="n">
        <v>0</v>
      </c>
      <c r="O19" s="18" t="n">
        <v>0</v>
      </c>
      <c r="P19" s="20" t="n">
        <v>0</v>
      </c>
      <c r="Q19" s="18" t="n">
        <v>0.98421731</v>
      </c>
      <c r="R19" s="20" t="n">
        <v>0.45595587</v>
      </c>
    </row>
    <row r="20" spans="1:18">
      <c r="A20" s="15" t="s">
        <v>580</v>
      </c>
      <c r="B20" s="17" t="n">
        <v>1630</v>
      </c>
      <c r="C20" s="18">
        <f>(1265.0/B20*100)</f>
        <v/>
      </c>
      <c r="D20" s="19" t="n">
        <v>365</v>
      </c>
      <c r="E20" s="18" t="n">
        <v>22.00617744</v>
      </c>
      <c r="F20" s="20" t="n">
        <v>2.15678352</v>
      </c>
      <c r="G20" s="18" t="n">
        <v>76.6485113</v>
      </c>
      <c r="H20" s="20" t="n">
        <v>2.18938614</v>
      </c>
      <c r="I20" s="18" t="s">
        <v>567</v>
      </c>
      <c r="J20" s="20" t="s">
        <v>567</v>
      </c>
      <c r="K20" s="18" t="n">
        <v>0.26799834</v>
      </c>
      <c r="L20" s="20" t="n">
        <v>0.27033441</v>
      </c>
      <c r="M20" s="18" t="n">
        <v>0</v>
      </c>
      <c r="N20" s="20" t="n">
        <v>0</v>
      </c>
      <c r="O20" s="18" t="n">
        <v>0</v>
      </c>
      <c r="P20" s="20" t="n">
        <v>0</v>
      </c>
      <c r="Q20" s="18" t="n">
        <v>1.07731293</v>
      </c>
      <c r="R20" s="20" t="n">
        <v>0.5334025</v>
      </c>
    </row>
    <row r="21" spans="1:18">
      <c r="A21" s="15" t="s">
        <v>581</v>
      </c>
      <c r="B21" s="17" t="n">
        <v>2908</v>
      </c>
      <c r="C21" s="18">
        <f>(2256.0/B21*100)</f>
        <v/>
      </c>
      <c r="D21" s="19" t="n">
        <v>652</v>
      </c>
      <c r="E21" s="18" t="n">
        <v>65.47008047999999</v>
      </c>
      <c r="F21" s="20" t="n">
        <v>2.032238</v>
      </c>
      <c r="G21" s="18" t="n">
        <v>34.04538957</v>
      </c>
      <c r="H21" s="20" t="n">
        <v>2.03287917</v>
      </c>
      <c r="I21" s="18" t="s">
        <v>567</v>
      </c>
      <c r="J21" s="20" t="s">
        <v>567</v>
      </c>
      <c r="K21" s="18" t="n">
        <v>0</v>
      </c>
      <c r="L21" s="20" t="n">
        <v>0</v>
      </c>
      <c r="M21" s="18" t="n">
        <v>0</v>
      </c>
      <c r="N21" s="20" t="n">
        <v>0</v>
      </c>
      <c r="O21" s="18" t="n">
        <v>0</v>
      </c>
      <c r="P21" s="20" t="n">
        <v>0</v>
      </c>
      <c r="Q21" s="18" t="n">
        <v>0.48452995</v>
      </c>
      <c r="R21" s="20" t="n">
        <v>0.26229403</v>
      </c>
    </row>
    <row r="22" spans="1:18">
      <c r="A22" s="15" t="s">
        <v>582</v>
      </c>
      <c r="B22" s="17" t="n">
        <v>2931</v>
      </c>
      <c r="C22" s="18">
        <f>(2338.0/B22*100)</f>
        <v/>
      </c>
      <c r="D22" s="19" t="n">
        <v>593</v>
      </c>
      <c r="E22" s="18" t="n">
        <v>32.06987643</v>
      </c>
      <c r="F22" s="20" t="n">
        <v>2.28002013</v>
      </c>
      <c r="G22" s="18" t="n">
        <v>66.04772503</v>
      </c>
      <c r="H22" s="20" t="n">
        <v>2.48192308</v>
      </c>
      <c r="I22" s="18" t="s">
        <v>567</v>
      </c>
      <c r="J22" s="20" t="s">
        <v>567</v>
      </c>
      <c r="K22" s="18" t="n">
        <v>0.32504024</v>
      </c>
      <c r="L22" s="20" t="n">
        <v>0.27071416</v>
      </c>
      <c r="M22" s="18" t="n">
        <v>0</v>
      </c>
      <c r="N22" s="20" t="n">
        <v>0</v>
      </c>
      <c r="O22" s="18" t="n">
        <v>0</v>
      </c>
      <c r="P22" s="20" t="n">
        <v>0</v>
      </c>
      <c r="Q22" s="18" t="n">
        <v>1.5573583</v>
      </c>
      <c r="R22" s="20" t="n">
        <v>0.79518145</v>
      </c>
    </row>
    <row r="23" spans="1:18">
      <c r="A23" s="15" t="s">
        <v>583</v>
      </c>
      <c r="B23" s="17" t="n">
        <v>5791</v>
      </c>
      <c r="C23" s="18">
        <f>(4525.0/B23*100)</f>
        <v/>
      </c>
      <c r="D23" s="19" t="n">
        <v>1266</v>
      </c>
      <c r="E23" s="18" t="n">
        <v>32.10950768</v>
      </c>
      <c r="F23" s="20" t="n">
        <v>1.53512522</v>
      </c>
      <c r="G23" s="18" t="n">
        <v>67.12788807</v>
      </c>
      <c r="H23" s="20" t="n">
        <v>1.59924903</v>
      </c>
      <c r="I23" s="18" t="s">
        <v>567</v>
      </c>
      <c r="J23" s="20" t="s">
        <v>567</v>
      </c>
      <c r="K23" s="18" t="n">
        <v>0.38007441</v>
      </c>
      <c r="L23" s="20" t="n">
        <v>0.27291631</v>
      </c>
      <c r="M23" s="18" t="n">
        <v>0</v>
      </c>
      <c r="N23" s="20" t="n">
        <v>0</v>
      </c>
      <c r="O23" s="18" t="n">
        <v>0</v>
      </c>
      <c r="P23" s="20" t="n">
        <v>0</v>
      </c>
      <c r="Q23" s="18" t="n">
        <v>0.38252984</v>
      </c>
      <c r="R23" s="20" t="n">
        <v>0.31249425</v>
      </c>
    </row>
    <row r="24" spans="1:18">
      <c r="A24" s="15" t="s">
        <v>584</v>
      </c>
      <c r="B24" s="17" t="n">
        <v>3338</v>
      </c>
      <c r="C24" s="18">
        <f>(2601.0/B24*100)</f>
        <v/>
      </c>
      <c r="D24" s="19" t="n">
        <v>737</v>
      </c>
      <c r="E24" s="18" t="n">
        <v>55.44765908</v>
      </c>
      <c r="F24" s="20" t="n">
        <v>1.95567986</v>
      </c>
      <c r="G24" s="18" t="n">
        <v>43.60690178</v>
      </c>
      <c r="H24" s="20" t="n">
        <v>1.95699433</v>
      </c>
      <c r="I24" s="18" t="s">
        <v>567</v>
      </c>
      <c r="J24" s="20" t="s">
        <v>567</v>
      </c>
      <c r="K24" s="18" t="n">
        <v>0.22353495</v>
      </c>
      <c r="L24" s="20" t="n">
        <v>0.16105168</v>
      </c>
      <c r="M24" s="18" t="n">
        <v>0</v>
      </c>
      <c r="N24" s="20" t="n">
        <v>0</v>
      </c>
      <c r="O24" s="18" t="n">
        <v>0</v>
      </c>
      <c r="P24" s="20" t="n">
        <v>0</v>
      </c>
      <c r="Q24" s="18" t="n">
        <v>0.7219041899999999</v>
      </c>
      <c r="R24" s="20" t="n">
        <v>0.40518013</v>
      </c>
    </row>
    <row r="25" spans="1:18">
      <c r="A25" s="15" t="s">
        <v>585</v>
      </c>
      <c r="B25" s="17" t="n">
        <v>2912</v>
      </c>
      <c r="C25" s="18">
        <f>(2275.0/B25*100)</f>
        <v/>
      </c>
      <c r="D25" s="19" t="n">
        <v>637</v>
      </c>
      <c r="E25" s="18" t="n">
        <v>52.74749812</v>
      </c>
      <c r="F25" s="20" t="n">
        <v>2.23659522</v>
      </c>
      <c r="G25" s="18" t="n">
        <v>46.94814632</v>
      </c>
      <c r="H25" s="20" t="n">
        <v>2.23921002</v>
      </c>
      <c r="I25" s="18" t="s">
        <v>567</v>
      </c>
      <c r="J25" s="20" t="s">
        <v>567</v>
      </c>
      <c r="K25" s="18" t="n">
        <v>0</v>
      </c>
      <c r="L25" s="20" t="n">
        <v>0</v>
      </c>
      <c r="M25" s="18" t="n">
        <v>0</v>
      </c>
      <c r="N25" s="20" t="n">
        <v>0</v>
      </c>
      <c r="O25" s="18" t="n">
        <v>0</v>
      </c>
      <c r="P25" s="20" t="n">
        <v>0</v>
      </c>
      <c r="Q25" s="18" t="n">
        <v>0.30435555</v>
      </c>
      <c r="R25" s="20" t="n">
        <v>0.03961982</v>
      </c>
    </row>
    <row r="26" spans="1:18">
      <c r="A26" s="15" t="s">
        <v>586</v>
      </c>
      <c r="B26" s="17" t="n">
        <v>2450</v>
      </c>
      <c r="C26" s="18">
        <f>(1907.0/B26*100)</f>
        <v/>
      </c>
      <c r="D26" s="19" t="n">
        <v>543</v>
      </c>
      <c r="E26" s="18" t="n">
        <v>38.29860903</v>
      </c>
      <c r="F26" s="20" t="n">
        <v>2.46003894</v>
      </c>
      <c r="G26" s="18" t="n">
        <v>61.70139097</v>
      </c>
      <c r="H26" s="20" t="n">
        <v>2.46003894</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(2034.0/B27*100)</f>
        <v/>
      </c>
      <c r="D27" s="19" t="n">
        <v>582</v>
      </c>
      <c r="E27" s="18" t="n">
        <v>46.2694546</v>
      </c>
      <c r="F27" s="20" t="n">
        <v>2.11311169</v>
      </c>
      <c r="G27" s="18" t="n">
        <v>53.18382728</v>
      </c>
      <c r="H27" s="20" t="n">
        <v>2.11005359</v>
      </c>
      <c r="I27" s="18" t="s">
        <v>567</v>
      </c>
      <c r="J27" s="20" t="s">
        <v>567</v>
      </c>
      <c r="K27" s="18" t="n">
        <v>0</v>
      </c>
      <c r="L27" s="20" t="n">
        <v>0</v>
      </c>
      <c r="M27" s="18" t="n">
        <v>0</v>
      </c>
      <c r="N27" s="20" t="n">
        <v>0</v>
      </c>
      <c r="O27" s="18" t="n">
        <v>0</v>
      </c>
      <c r="P27" s="20" t="n">
        <v>0</v>
      </c>
      <c r="Q27" s="18" t="n">
        <v>0.54671812</v>
      </c>
      <c r="R27" s="20" t="n">
        <v>0.31526104</v>
      </c>
    </row>
    <row r="28" spans="1:18">
      <c r="A28" s="15" t="s">
        <v>588</v>
      </c>
      <c r="B28" s="17" t="n">
        <v>3765</v>
      </c>
      <c r="C28" s="18">
        <f>(2987.0/B28*100)</f>
        <v/>
      </c>
      <c r="D28" s="19" t="n">
        <v>778</v>
      </c>
      <c r="E28" s="18" t="n">
        <v>45.9958791</v>
      </c>
      <c r="F28" s="20" t="n">
        <v>1.6128962</v>
      </c>
      <c r="G28" s="18" t="n">
        <v>53.31971902</v>
      </c>
      <c r="H28" s="20" t="n">
        <v>1.70168871</v>
      </c>
      <c r="I28" s="18" t="s">
        <v>567</v>
      </c>
      <c r="J28" s="20" t="s">
        <v>567</v>
      </c>
      <c r="K28" s="18" t="n">
        <v>0.1173556</v>
      </c>
      <c r="L28" s="20" t="n">
        <v>0.11786354</v>
      </c>
      <c r="M28" s="18" t="n">
        <v>0</v>
      </c>
      <c r="N28" s="20" t="n">
        <v>0</v>
      </c>
      <c r="O28" s="18" t="n">
        <v>0</v>
      </c>
      <c r="P28" s="20" t="n">
        <v>0</v>
      </c>
      <c r="Q28" s="18" t="n">
        <v>0.56704629</v>
      </c>
      <c r="R28" s="20" t="n">
        <v>0.34926344</v>
      </c>
    </row>
    <row r="29" spans="1:18">
      <c r="A29" s="15" t="s">
        <v>589</v>
      </c>
      <c r="B29" s="17" t="n">
        <v>2685</v>
      </c>
      <c r="C29" s="18">
        <f>(2099.0/B29*100)</f>
        <v/>
      </c>
      <c r="D29" s="19" t="n">
        <v>586</v>
      </c>
      <c r="E29" s="18" t="n">
        <v>33.45484107</v>
      </c>
      <c r="F29" s="20" t="n">
        <v>1.70958383</v>
      </c>
      <c r="G29" s="18" t="n">
        <v>66.54515893</v>
      </c>
      <c r="H29" s="20" t="n">
        <v>1.70958383</v>
      </c>
      <c r="I29" s="18" t="s">
        <v>567</v>
      </c>
      <c r="J29" s="20" t="s">
        <v>567</v>
      </c>
      <c r="K29" s="18" t="n">
        <v>0</v>
      </c>
      <c r="L29" s="20" t="n">
        <v>0</v>
      </c>
      <c r="M29" s="18" t="n">
        <v>0</v>
      </c>
      <c r="N29" s="20" t="n">
        <v>0</v>
      </c>
      <c r="O29" s="18" t="n">
        <v>0</v>
      </c>
      <c r="P29" s="20" t="n">
        <v>0</v>
      </c>
      <c r="Q29" s="18" t="n">
        <v>0</v>
      </c>
      <c r="R29" s="20" t="n">
        <v>0</v>
      </c>
    </row>
    <row r="30" spans="1:18">
      <c r="A30" s="15" t="s">
        <v>590</v>
      </c>
      <c r="B30" s="17" t="n">
        <v>2263</v>
      </c>
      <c r="C30" s="18">
        <f>(1774.0/B30*100)</f>
        <v/>
      </c>
      <c r="D30" s="19" t="n">
        <v>489</v>
      </c>
      <c r="E30" s="18" t="n">
        <v>50.46659341</v>
      </c>
      <c r="F30" s="20" t="n">
        <v>3.08271634</v>
      </c>
      <c r="G30" s="18" t="n">
        <v>48.49258319</v>
      </c>
      <c r="H30" s="20" t="n">
        <v>2.9653881</v>
      </c>
      <c r="I30" s="18" t="s">
        <v>567</v>
      </c>
      <c r="J30" s="20" t="s">
        <v>567</v>
      </c>
      <c r="K30" s="18" t="n">
        <v>0</v>
      </c>
      <c r="L30" s="20" t="n">
        <v>0</v>
      </c>
      <c r="M30" s="18" t="n">
        <v>0</v>
      </c>
      <c r="N30" s="20" t="n">
        <v>0</v>
      </c>
      <c r="O30" s="18" t="n">
        <v>0</v>
      </c>
      <c r="P30" s="20" t="n">
        <v>0</v>
      </c>
      <c r="Q30" s="18" t="n">
        <v>1.0408234</v>
      </c>
      <c r="R30" s="20" t="n">
        <v>0.45441884</v>
      </c>
    </row>
    <row r="31" spans="1:18">
      <c r="A31" s="15" t="s">
        <v>591</v>
      </c>
      <c r="B31" s="17" t="n">
        <v>2750</v>
      </c>
      <c r="C31" s="18">
        <f>(2169.0/B31*100)</f>
        <v/>
      </c>
      <c r="D31" s="19" t="n">
        <v>581</v>
      </c>
      <c r="E31" s="18" t="n">
        <v>43.02855959</v>
      </c>
      <c r="F31" s="20" t="n">
        <v>2.01619125</v>
      </c>
      <c r="G31" s="18" t="n">
        <v>56.62626548</v>
      </c>
      <c r="H31" s="20" t="n">
        <v>2.01773788</v>
      </c>
      <c r="I31" s="18" t="s">
        <v>567</v>
      </c>
      <c r="J31" s="20" t="s">
        <v>567</v>
      </c>
      <c r="K31" s="18" t="n">
        <v>0.34517493</v>
      </c>
      <c r="L31" s="20" t="n">
        <v>0.24616672</v>
      </c>
      <c r="M31" s="18" t="n">
        <v>0</v>
      </c>
      <c r="N31" s="20" t="n">
        <v>0</v>
      </c>
      <c r="O31" s="18" t="n">
        <v>0</v>
      </c>
      <c r="P31" s="20" t="n">
        <v>0</v>
      </c>
      <c r="Q31" s="18" t="n">
        <v>0</v>
      </c>
      <c r="R31" s="20" t="n">
        <v>0</v>
      </c>
    </row>
    <row r="32" spans="1:18">
      <c r="A32" s="15" t="s">
        <v>592</v>
      </c>
      <c r="B32" s="17" t="n">
        <v>2269</v>
      </c>
      <c r="C32" s="18">
        <f>(1803.0/B32*100)</f>
        <v/>
      </c>
      <c r="D32" s="19" t="n">
        <v>466</v>
      </c>
      <c r="E32" s="18" t="n">
        <v>22.45550812</v>
      </c>
      <c r="F32" s="20" t="n">
        <v>2.04063755</v>
      </c>
      <c r="G32" s="18" t="n">
        <v>77.54449188</v>
      </c>
      <c r="H32" s="20" t="n">
        <v>2.04063755</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(2850.0/B33*100)</f>
        <v/>
      </c>
      <c r="D33" s="19" t="n">
        <v>824</v>
      </c>
      <c r="E33" s="18" t="n">
        <v>23.21106563</v>
      </c>
      <c r="F33" s="20" t="n">
        <v>1.93282437</v>
      </c>
      <c r="G33" s="18" t="n">
        <v>76.65278704000001</v>
      </c>
      <c r="H33" s="20" t="n">
        <v>1.91612061</v>
      </c>
      <c r="I33" s="18" t="s">
        <v>567</v>
      </c>
      <c r="J33" s="20" t="s">
        <v>567</v>
      </c>
      <c r="K33" s="18" t="n">
        <v>0</v>
      </c>
      <c r="L33" s="20" t="n">
        <v>0</v>
      </c>
      <c r="M33" s="18" t="n">
        <v>0</v>
      </c>
      <c r="N33" s="20" t="n">
        <v>0</v>
      </c>
      <c r="O33" s="18" t="n">
        <v>0</v>
      </c>
      <c r="P33" s="20" t="n">
        <v>0</v>
      </c>
      <c r="Q33" s="18" t="n">
        <v>0.13614733</v>
      </c>
      <c r="R33" s="20" t="n">
        <v>0.09410246</v>
      </c>
    </row>
    <row r="34" spans="1:18">
      <c r="A34" s="15" t="s">
        <v>594</v>
      </c>
      <c r="B34" s="17" t="n">
        <v>3315</v>
      </c>
      <c r="C34" s="18">
        <f>(2590.0/B34*100)</f>
        <v/>
      </c>
      <c r="D34" s="19" t="n">
        <v>725</v>
      </c>
      <c r="E34" s="18" t="n">
        <v>26.18303608</v>
      </c>
      <c r="F34" s="20" t="n">
        <v>1.62632343</v>
      </c>
      <c r="G34" s="18" t="n">
        <v>73.23884086</v>
      </c>
      <c r="H34" s="20" t="n">
        <v>1.63662819</v>
      </c>
      <c r="I34" s="18" t="s">
        <v>567</v>
      </c>
      <c r="J34" s="20" t="s">
        <v>567</v>
      </c>
      <c r="K34" s="18" t="n">
        <v>0</v>
      </c>
      <c r="L34" s="20" t="n">
        <v>0</v>
      </c>
      <c r="M34" s="18" t="n">
        <v>0</v>
      </c>
      <c r="N34" s="20" t="n">
        <v>0</v>
      </c>
      <c r="O34" s="18" t="n">
        <v>0</v>
      </c>
      <c r="P34" s="20" t="n">
        <v>0</v>
      </c>
      <c r="Q34" s="18" t="n">
        <v>0.57812306</v>
      </c>
      <c r="R34" s="20" t="n">
        <v>0.30323766</v>
      </c>
    </row>
    <row r="35" spans="1:18">
      <c r="A35" s="15" t="s">
        <v>595</v>
      </c>
      <c r="B35" s="17" t="n">
        <v>3505</v>
      </c>
      <c r="C35" s="18">
        <f>(2716.0/B35*100)</f>
        <v/>
      </c>
      <c r="D35" s="19" t="n">
        <v>789</v>
      </c>
      <c r="E35" s="18" t="n">
        <v>37.17694693</v>
      </c>
      <c r="F35" s="20" t="n">
        <v>2.34933171</v>
      </c>
      <c r="G35" s="18" t="n">
        <v>62.49939402</v>
      </c>
      <c r="H35" s="20" t="n">
        <v>2.39165167</v>
      </c>
      <c r="I35" s="18" t="s">
        <v>567</v>
      </c>
      <c r="J35" s="20" t="s">
        <v>567</v>
      </c>
      <c r="K35" s="18" t="n">
        <v>0.06369012</v>
      </c>
      <c r="L35" s="20" t="n">
        <v>0.06385511000000001</v>
      </c>
      <c r="M35" s="18" t="n">
        <v>0</v>
      </c>
      <c r="N35" s="20" t="n">
        <v>0</v>
      </c>
      <c r="O35" s="18" t="n">
        <v>0</v>
      </c>
      <c r="P35" s="20" t="n">
        <v>0</v>
      </c>
      <c r="Q35" s="18" t="n">
        <v>0.25996893</v>
      </c>
      <c r="R35" s="20" t="n">
        <v>0.21157056</v>
      </c>
    </row>
    <row r="36" spans="1:18">
      <c r="A36" s="15" t="s">
        <v>596</v>
      </c>
      <c r="B36" s="17" t="n">
        <v>3332</v>
      </c>
      <c r="C36" s="18">
        <f>(2611.0/B36*100)</f>
        <v/>
      </c>
      <c r="D36" s="19" t="n">
        <v>721</v>
      </c>
      <c r="E36" s="18" t="n">
        <v>19.63728747</v>
      </c>
      <c r="F36" s="20" t="n">
        <v>1.55604128</v>
      </c>
      <c r="G36" s="18" t="n">
        <v>79.49552647</v>
      </c>
      <c r="H36" s="20" t="n">
        <v>1.59039982</v>
      </c>
      <c r="I36" s="18" t="s">
        <v>567</v>
      </c>
      <c r="J36" s="20" t="s">
        <v>567</v>
      </c>
      <c r="K36" s="18" t="n">
        <v>0.15278508</v>
      </c>
      <c r="L36" s="20" t="n">
        <v>0.15288085</v>
      </c>
      <c r="M36" s="18" t="n">
        <v>0</v>
      </c>
      <c r="N36" s="20" t="n">
        <v>0</v>
      </c>
      <c r="O36" s="18" t="n">
        <v>0</v>
      </c>
      <c r="P36" s="20" t="n">
        <v>0</v>
      </c>
      <c r="Q36" s="18" t="n">
        <v>0.71440098</v>
      </c>
      <c r="R36" s="20" t="n">
        <v>0.38674396</v>
      </c>
    </row>
    <row r="37" spans="1:18">
      <c r="A37" s="15" t="s">
        <v>597</v>
      </c>
      <c r="B37" s="17" t="n">
        <v>2727</v>
      </c>
      <c r="C37" s="18">
        <f>(2111.0/B37*100)</f>
        <v/>
      </c>
      <c r="D37" s="19" t="n">
        <v>616</v>
      </c>
      <c r="E37" s="18" t="n">
        <v>59.2859149</v>
      </c>
      <c r="F37" s="20" t="n">
        <v>2.0187833</v>
      </c>
      <c r="G37" s="18" t="n">
        <v>39.46174615</v>
      </c>
      <c r="H37" s="20" t="n">
        <v>2.06963403</v>
      </c>
      <c r="I37" s="18" t="s">
        <v>567</v>
      </c>
      <c r="J37" s="20" t="s">
        <v>567</v>
      </c>
      <c r="K37" s="18" t="n">
        <v>0.68369619</v>
      </c>
      <c r="L37" s="20" t="n">
        <v>0.32926253</v>
      </c>
      <c r="M37" s="18" t="n">
        <v>0</v>
      </c>
      <c r="N37" s="20" t="n">
        <v>0</v>
      </c>
      <c r="O37" s="18" t="n">
        <v>0</v>
      </c>
      <c r="P37" s="20" t="n">
        <v>0</v>
      </c>
      <c r="Q37" s="18" t="n">
        <v>0.56864276</v>
      </c>
      <c r="R37" s="20" t="n">
        <v>0.28766121</v>
      </c>
    </row>
    <row r="38" spans="1:18">
      <c r="A38" s="15" t="s">
        <v>598</v>
      </c>
      <c r="B38" s="17" t="n">
        <v>3053</v>
      </c>
      <c r="C38" s="18">
        <f>(2325.0/B38*100)</f>
        <v/>
      </c>
      <c r="D38" s="19" t="n">
        <v>728</v>
      </c>
      <c r="E38" s="18" t="n">
        <v>24.76971854</v>
      </c>
      <c r="F38" s="20" t="n">
        <v>1.82449458</v>
      </c>
      <c r="G38" s="18" t="n">
        <v>75.08373573</v>
      </c>
      <c r="H38" s="20" t="n">
        <v>1.83821338</v>
      </c>
      <c r="I38" s="18" t="s">
        <v>567</v>
      </c>
      <c r="J38" s="20" t="s">
        <v>567</v>
      </c>
      <c r="K38" s="18" t="n">
        <v>0</v>
      </c>
      <c r="L38" s="20" t="n">
        <v>0</v>
      </c>
      <c r="M38" s="18" t="n">
        <v>0</v>
      </c>
      <c r="N38" s="20" t="n">
        <v>0</v>
      </c>
      <c r="O38" s="18" t="n">
        <v>0</v>
      </c>
      <c r="P38" s="20" t="n">
        <v>0</v>
      </c>
      <c r="Q38" s="18" t="n">
        <v>0.14654573</v>
      </c>
      <c r="R38" s="20" t="n">
        <v>0.12240698</v>
      </c>
    </row>
    <row r="39" spans="1:18">
      <c r="A39" s="15" t="s">
        <v>599</v>
      </c>
      <c r="B39" s="17" t="n">
        <v>2957</v>
      </c>
      <c r="C39" s="18">
        <f>(2311.0/B39*100)</f>
        <v/>
      </c>
      <c r="D39" s="19" t="n">
        <v>646</v>
      </c>
      <c r="E39" s="18" t="n">
        <v>42.55139213</v>
      </c>
      <c r="F39" s="20" t="n">
        <v>2.02324234</v>
      </c>
      <c r="G39" s="18" t="n">
        <v>56.74049871</v>
      </c>
      <c r="H39" s="20" t="n">
        <v>1.95811846</v>
      </c>
      <c r="I39" s="18" t="s">
        <v>567</v>
      </c>
      <c r="J39" s="20" t="s">
        <v>567</v>
      </c>
      <c r="K39" s="18" t="n">
        <v>0.19778019</v>
      </c>
      <c r="L39" s="20" t="n">
        <v>0.19739387</v>
      </c>
      <c r="M39" s="18" t="n">
        <v>0</v>
      </c>
      <c r="N39" s="20" t="n">
        <v>0</v>
      </c>
      <c r="O39" s="18" t="n">
        <v>0</v>
      </c>
      <c r="P39" s="20" t="n">
        <v>0</v>
      </c>
      <c r="Q39" s="18" t="n">
        <v>0.51032898</v>
      </c>
      <c r="R39" s="20" t="n">
        <v>0.27883034</v>
      </c>
    </row>
    <row r="40" spans="1:18">
      <c r="A40" s="15" t="s">
        <v>600</v>
      </c>
      <c r="B40" s="17" t="n">
        <v>7235</v>
      </c>
      <c r="C40" s="18">
        <f>(5585.0/B40*100)</f>
        <v/>
      </c>
      <c r="D40" s="19" t="n">
        <v>1650</v>
      </c>
      <c r="E40" s="18" t="n">
        <v>59.21201254</v>
      </c>
      <c r="F40" s="20" t="n">
        <v>2.16209957</v>
      </c>
      <c r="G40" s="18" t="n">
        <v>40.13029307</v>
      </c>
      <c r="H40" s="20" t="n">
        <v>2.17475296</v>
      </c>
      <c r="I40" s="18" t="s">
        <v>567</v>
      </c>
      <c r="J40" s="20" t="s">
        <v>567</v>
      </c>
      <c r="K40" s="18" t="n">
        <v>0.11166151</v>
      </c>
      <c r="L40" s="20" t="n">
        <v>0.10614547</v>
      </c>
      <c r="M40" s="18" t="n">
        <v>0</v>
      </c>
      <c r="N40" s="20" t="n">
        <v>0</v>
      </c>
      <c r="O40" s="18" t="n">
        <v>0</v>
      </c>
      <c r="P40" s="20" t="n">
        <v>0</v>
      </c>
      <c r="Q40" s="18" t="n">
        <v>0.54603287</v>
      </c>
      <c r="R40" s="20" t="n">
        <v>0.27698113</v>
      </c>
    </row>
    <row r="41" spans="1:18">
      <c r="A41" s="15" t="s">
        <v>601</v>
      </c>
      <c r="B41" s="17" t="n">
        <v>2858</v>
      </c>
      <c r="C41" s="18">
        <f>(2248.0/B41*100)</f>
        <v/>
      </c>
      <c r="D41" s="19" t="n">
        <v>610</v>
      </c>
      <c r="E41" s="18" t="n">
        <v>46.68914138</v>
      </c>
      <c r="F41" s="20" t="n">
        <v>2.44997968</v>
      </c>
      <c r="G41" s="18" t="n">
        <v>52.51828664</v>
      </c>
      <c r="H41" s="20" t="n">
        <v>2.37315585</v>
      </c>
      <c r="I41" s="18" t="s">
        <v>567</v>
      </c>
      <c r="J41" s="20" t="s">
        <v>567</v>
      </c>
      <c r="K41" s="18" t="n">
        <v>0.22435414</v>
      </c>
      <c r="L41" s="20" t="n">
        <v>0.18250691</v>
      </c>
      <c r="M41" s="18" t="n">
        <v>0</v>
      </c>
      <c r="N41" s="20" t="n">
        <v>0</v>
      </c>
      <c r="O41" s="18" t="n">
        <v>0</v>
      </c>
      <c r="P41" s="20" t="n">
        <v>0</v>
      </c>
      <c r="Q41" s="18" t="n">
        <v>0.56821784</v>
      </c>
      <c r="R41" s="20" t="n">
        <v>0.27137321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(8780.0/B46*100)</f>
        <v/>
      </c>
      <c r="D46" s="19" t="n">
        <v>2288</v>
      </c>
      <c r="E46" s="18" t="n">
        <v>56.42080324</v>
      </c>
      <c r="F46" s="20" t="n">
        <v>1.32024748</v>
      </c>
      <c r="G46" s="18" t="n">
        <v>41.48541322</v>
      </c>
      <c r="H46" s="20" t="n">
        <v>1.32154395</v>
      </c>
      <c r="I46" s="18" t="s">
        <v>567</v>
      </c>
      <c r="J46" s="20" t="s">
        <v>567</v>
      </c>
      <c r="K46" s="18" t="n">
        <v>0.51480916</v>
      </c>
      <c r="L46" s="20" t="n">
        <v>0.19633276</v>
      </c>
      <c r="M46" s="18" t="n">
        <v>0</v>
      </c>
      <c r="N46" s="20" t="n">
        <v>0</v>
      </c>
      <c r="O46" s="18" t="n">
        <v>0</v>
      </c>
      <c r="P46" s="20" t="n">
        <v>0</v>
      </c>
      <c r="Q46" s="18" t="n">
        <v>1.57897437</v>
      </c>
      <c r="R46" s="20" t="n">
        <v>0.33677849</v>
      </c>
    </row>
    <row r="47" spans="1:18">
      <c r="A47" s="15" t="s">
        <v>607</v>
      </c>
      <c r="B47" s="17" t="n">
        <v>3105</v>
      </c>
      <c r="C47" s="18">
        <f>(2435.0/B47*100)</f>
        <v/>
      </c>
      <c r="D47" s="19" t="n">
        <v>670</v>
      </c>
      <c r="E47" s="18" t="n">
        <v>45.44058304</v>
      </c>
      <c r="F47" s="20" t="n">
        <v>1.68880694</v>
      </c>
      <c r="G47" s="18" t="n">
        <v>53.3826824</v>
      </c>
      <c r="H47" s="20" t="n">
        <v>1.6691286</v>
      </c>
      <c r="I47" s="18" t="s">
        <v>567</v>
      </c>
      <c r="J47" s="20" t="s">
        <v>567</v>
      </c>
      <c r="K47" s="18" t="n">
        <v>0.43019766</v>
      </c>
      <c r="L47" s="20" t="n">
        <v>0.25894864</v>
      </c>
      <c r="M47" s="18" t="n">
        <v>0</v>
      </c>
      <c r="N47" s="20" t="n">
        <v>0</v>
      </c>
      <c r="O47" s="18" t="n">
        <v>0</v>
      </c>
      <c r="P47" s="20" t="n">
        <v>0</v>
      </c>
      <c r="Q47" s="18" t="n">
        <v>0.7465368999999999</v>
      </c>
      <c r="R47" s="20" t="n">
        <v>0.41068759</v>
      </c>
    </row>
    <row r="48" spans="1:18">
      <c r="A48" s="15" t="s">
        <v>608</v>
      </c>
      <c r="B48" s="17" t="n">
        <v>5159</v>
      </c>
      <c r="C48" s="18">
        <f>(4008.0/B48*100)</f>
        <v/>
      </c>
      <c r="D48" s="19" t="n">
        <v>1151</v>
      </c>
      <c r="E48" s="18" t="n">
        <v>57.61853509</v>
      </c>
      <c r="F48" s="20" t="n">
        <v>1.73200051</v>
      </c>
      <c r="G48" s="18" t="n">
        <v>41.66781262</v>
      </c>
      <c r="H48" s="20" t="n">
        <v>1.70373733</v>
      </c>
      <c r="I48" s="18" t="s">
        <v>567</v>
      </c>
      <c r="J48" s="20" t="s">
        <v>567</v>
      </c>
      <c r="K48" s="18" t="n">
        <v>0.20079681</v>
      </c>
      <c r="L48" s="20" t="n">
        <v>0.15535258</v>
      </c>
      <c r="M48" s="18" t="n">
        <v>0</v>
      </c>
      <c r="N48" s="20" t="n">
        <v>0</v>
      </c>
      <c r="O48" s="18" t="n">
        <v>0</v>
      </c>
      <c r="P48" s="20" t="n">
        <v>0</v>
      </c>
      <c r="Q48" s="18" t="n">
        <v>0.51285549</v>
      </c>
      <c r="R48" s="20" t="n">
        <v>0.29976919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(4403.0/B50*100)</f>
        <v/>
      </c>
      <c r="D50" s="19" t="n">
        <v>1234</v>
      </c>
      <c r="E50" s="18" t="n">
        <v>43.07176123</v>
      </c>
      <c r="F50" s="20" t="n">
        <v>2.11181708</v>
      </c>
      <c r="G50" s="18" t="n">
        <v>55.93676297</v>
      </c>
      <c r="H50" s="20" t="n">
        <v>2.02354176</v>
      </c>
      <c r="I50" s="18" t="s">
        <v>567</v>
      </c>
      <c r="J50" s="20" t="s">
        <v>567</v>
      </c>
      <c r="K50" s="18" t="n">
        <v>0.53674134</v>
      </c>
      <c r="L50" s="20" t="n">
        <v>0.31870721</v>
      </c>
      <c r="M50" s="18" t="n">
        <v>0</v>
      </c>
      <c r="N50" s="20" t="n">
        <v>0</v>
      </c>
      <c r="O50" s="18" t="n">
        <v>0</v>
      </c>
      <c r="P50" s="20" t="n">
        <v>0</v>
      </c>
      <c r="Q50" s="18" t="n">
        <v>0.45473445</v>
      </c>
      <c r="R50" s="20" t="n">
        <v>0.27951255</v>
      </c>
    </row>
    <row r="51" spans="1:18">
      <c r="A51" s="15" t="s">
        <v>611</v>
      </c>
      <c r="B51" s="17" t="n">
        <v>3372</v>
      </c>
      <c r="C51" s="18">
        <f>(2729.0/B51*100)</f>
        <v/>
      </c>
      <c r="D51" s="19" t="n">
        <v>643</v>
      </c>
      <c r="E51" s="18" t="n">
        <v>27.12511583</v>
      </c>
      <c r="F51" s="20" t="n">
        <v>1.70367873</v>
      </c>
      <c r="G51" s="18" t="n">
        <v>72.2953298</v>
      </c>
      <c r="H51" s="20" t="n">
        <v>1.72022946</v>
      </c>
      <c r="I51" s="18" t="s">
        <v>567</v>
      </c>
      <c r="J51" s="20" t="s">
        <v>567</v>
      </c>
      <c r="K51" s="18" t="n">
        <v>0</v>
      </c>
      <c r="L51" s="20" t="n">
        <v>0</v>
      </c>
      <c r="M51" s="18" t="n">
        <v>0</v>
      </c>
      <c r="N51" s="20" t="n">
        <v>0</v>
      </c>
      <c r="O51" s="18" t="n">
        <v>0</v>
      </c>
      <c r="P51" s="20" t="n">
        <v>0</v>
      </c>
      <c r="Q51" s="18" t="n">
        <v>0.57955437</v>
      </c>
      <c r="R51" s="20" t="n">
        <v>0.32751158</v>
      </c>
    </row>
    <row r="52" spans="1:18">
      <c r="A52" s="15" t="s">
        <v>612</v>
      </c>
      <c r="B52" s="17" t="n">
        <v>2796</v>
      </c>
      <c r="C52" s="18">
        <f>(2175.0/B52*100)</f>
        <v/>
      </c>
      <c r="D52" s="19" t="n">
        <v>621</v>
      </c>
      <c r="E52" s="18" t="n">
        <v>37.36665087</v>
      </c>
      <c r="F52" s="20" t="n">
        <v>1.67230066</v>
      </c>
      <c r="G52" s="18" t="n">
        <v>61.86030402</v>
      </c>
      <c r="H52" s="20" t="n">
        <v>1.74817019</v>
      </c>
      <c r="I52" s="18" t="s">
        <v>567</v>
      </c>
      <c r="J52" s="20" t="s">
        <v>567</v>
      </c>
      <c r="K52" s="18" t="n">
        <v>0.16462784</v>
      </c>
      <c r="L52" s="20" t="n">
        <v>0.16135095</v>
      </c>
      <c r="M52" s="18" t="n">
        <v>0</v>
      </c>
      <c r="N52" s="20" t="n">
        <v>0</v>
      </c>
      <c r="O52" s="18" t="n">
        <v>0</v>
      </c>
      <c r="P52" s="20" t="n">
        <v>0</v>
      </c>
      <c r="Q52" s="18" t="n">
        <v>0.60841727</v>
      </c>
      <c r="R52" s="20" t="n">
        <v>0.31789412</v>
      </c>
    </row>
    <row r="53" spans="1:18">
      <c r="A53" s="15" t="s">
        <v>613</v>
      </c>
      <c r="B53" s="17" t="n">
        <v>2811</v>
      </c>
      <c r="C53" s="18">
        <f>(2180.0/B53*100)</f>
        <v/>
      </c>
      <c r="D53" s="19" t="n">
        <v>631</v>
      </c>
      <c r="E53" s="18" t="n">
        <v>42.10617762</v>
      </c>
      <c r="F53" s="20" t="n">
        <v>2.00156462</v>
      </c>
      <c r="G53" s="18" t="n">
        <v>56.08096575</v>
      </c>
      <c r="H53" s="20" t="n">
        <v>2.02273881</v>
      </c>
      <c r="I53" s="18" t="s">
        <v>567</v>
      </c>
      <c r="J53" s="20" t="s">
        <v>567</v>
      </c>
      <c r="K53" s="18" t="n">
        <v>0.21175905</v>
      </c>
      <c r="L53" s="20" t="n">
        <v>0.21228595</v>
      </c>
      <c r="M53" s="18" t="n">
        <v>0</v>
      </c>
      <c r="N53" s="20" t="n">
        <v>0</v>
      </c>
      <c r="O53" s="18" t="n">
        <v>0</v>
      </c>
      <c r="P53" s="20" t="n">
        <v>0</v>
      </c>
      <c r="Q53" s="18" t="n">
        <v>1.60109758</v>
      </c>
      <c r="R53" s="20" t="n">
        <v>0.42214479</v>
      </c>
    </row>
    <row r="54" spans="1:18">
      <c r="A54" s="15" t="s">
        <v>614</v>
      </c>
      <c r="B54" s="17" t="n">
        <v>2266</v>
      </c>
      <c r="C54" s="18">
        <f>(1787.0/B54*100)</f>
        <v/>
      </c>
      <c r="D54" s="19" t="n">
        <v>479</v>
      </c>
      <c r="E54" s="18" t="n">
        <v>54.85333676</v>
      </c>
      <c r="F54" s="20" t="n">
        <v>2.21947039</v>
      </c>
      <c r="G54" s="18" t="n">
        <v>38.9823398</v>
      </c>
      <c r="H54" s="20" t="n">
        <v>2.13620191</v>
      </c>
      <c r="I54" s="18" t="s">
        <v>567</v>
      </c>
      <c r="J54" s="20" t="s">
        <v>567</v>
      </c>
      <c r="K54" s="18" t="n">
        <v>2.43477283</v>
      </c>
      <c r="L54" s="20" t="n">
        <v>0.74647663</v>
      </c>
      <c r="M54" s="18" t="n">
        <v>0</v>
      </c>
      <c r="N54" s="20" t="n">
        <v>0</v>
      </c>
      <c r="O54" s="18" t="n">
        <v>0</v>
      </c>
      <c r="P54" s="20" t="n">
        <v>0</v>
      </c>
      <c r="Q54" s="18" t="n">
        <v>3.7295506</v>
      </c>
      <c r="R54" s="20" t="n">
        <v>0.94868042</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(2086.0/B56*100)</f>
        <v/>
      </c>
      <c r="D56" s="19" t="n">
        <v>598</v>
      </c>
      <c r="E56" s="18" t="n">
        <v>36.71259778</v>
      </c>
      <c r="F56" s="20" t="n">
        <v>2.15180727</v>
      </c>
      <c r="G56" s="18" t="n">
        <v>62.1212548</v>
      </c>
      <c r="H56" s="20" t="n">
        <v>2.17871642</v>
      </c>
      <c r="I56" s="18" t="s">
        <v>567</v>
      </c>
      <c r="J56" s="20" t="s">
        <v>567</v>
      </c>
      <c r="K56" s="18" t="n">
        <v>0.14159862</v>
      </c>
      <c r="L56" s="20" t="n">
        <v>0.14221087</v>
      </c>
      <c r="M56" s="18" t="n">
        <v>0</v>
      </c>
      <c r="N56" s="20" t="n">
        <v>0</v>
      </c>
      <c r="O56" s="18" t="n">
        <v>0</v>
      </c>
      <c r="P56" s="20" t="n">
        <v>0</v>
      </c>
      <c r="Q56" s="18" t="n">
        <v>1.0245488</v>
      </c>
      <c r="R56" s="20" t="n">
        <v>0.41197144</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(2598.0/B61*100)</f>
        <v/>
      </c>
      <c r="D61" s="19" t="n">
        <v>726</v>
      </c>
      <c r="E61" s="18" t="n">
        <v>52.25776543</v>
      </c>
      <c r="F61" s="20" t="n">
        <v>2.21259709</v>
      </c>
      <c r="G61" s="18" t="n">
        <v>46.94395332</v>
      </c>
      <c r="H61" s="20" t="n">
        <v>2.23010225</v>
      </c>
      <c r="I61" s="18" t="s">
        <v>567</v>
      </c>
      <c r="J61" s="20" t="s">
        <v>567</v>
      </c>
      <c r="K61" s="18" t="n">
        <v>0.044755</v>
      </c>
      <c r="L61" s="20" t="n">
        <v>0.04487091</v>
      </c>
      <c r="M61" s="18" t="n">
        <v>0</v>
      </c>
      <c r="N61" s="20" t="n">
        <v>0</v>
      </c>
      <c r="O61" s="18" t="n">
        <v>0</v>
      </c>
      <c r="P61" s="20" t="n">
        <v>0</v>
      </c>
      <c r="Q61" s="18" t="n">
        <v>0.75352625</v>
      </c>
      <c r="R61" s="20" t="n">
        <v>0.32308407</v>
      </c>
    </row>
    <row r="62" spans="1:18">
      <c r="A62" s="15" t="s">
        <v>622</v>
      </c>
      <c r="B62" s="17" t="n">
        <v>2246</v>
      </c>
      <c r="C62" s="18">
        <f>(1735.0/B62*100)</f>
        <v/>
      </c>
      <c r="D62" s="19" t="n">
        <v>511</v>
      </c>
      <c r="E62" s="18" t="n">
        <v>42.62683014</v>
      </c>
      <c r="F62" s="20" t="n">
        <v>2.03324452</v>
      </c>
      <c r="G62" s="18" t="n">
        <v>57.37316986</v>
      </c>
      <c r="H62" s="20" t="n">
        <v>2.03324452</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(2306.0/B66*100)</f>
        <v/>
      </c>
      <c r="D66" s="19" t="n">
        <v>588</v>
      </c>
      <c r="E66" s="18" t="n">
        <v>48.49646372</v>
      </c>
      <c r="F66" s="20" t="n">
        <v>1.91935406</v>
      </c>
      <c r="G66" s="18" t="n">
        <v>48.36611169</v>
      </c>
      <c r="H66" s="20" t="n">
        <v>1.91276414</v>
      </c>
      <c r="I66" s="18" t="s">
        <v>567</v>
      </c>
      <c r="J66" s="20" t="s">
        <v>567</v>
      </c>
      <c r="K66" s="18" t="n">
        <v>0.16527681</v>
      </c>
      <c r="L66" s="20" t="n">
        <v>0.16270417</v>
      </c>
      <c r="M66" s="18" t="n">
        <v>0</v>
      </c>
      <c r="N66" s="20" t="n">
        <v>0</v>
      </c>
      <c r="O66" s="18" t="n">
        <v>0</v>
      </c>
      <c r="P66" s="20" t="n">
        <v>0</v>
      </c>
      <c r="Q66" s="18" t="n">
        <v>2.97214778</v>
      </c>
      <c r="R66" s="20" t="n">
        <v>0.7256759699999999</v>
      </c>
    </row>
    <row r="67" spans="1:18">
      <c r="A67" s="15" t="s">
        <v>627</v>
      </c>
      <c r="B67" s="17" t="n">
        <v>3511</v>
      </c>
      <c r="C67" s="18">
        <f>(2744.0/B67*100)</f>
        <v/>
      </c>
      <c r="D67" s="19" t="n">
        <v>767</v>
      </c>
      <c r="E67" s="18" t="n">
        <v>43.60948712</v>
      </c>
      <c r="F67" s="20" t="n">
        <v>2.10894107</v>
      </c>
      <c r="G67" s="18" t="n">
        <v>55.3176326</v>
      </c>
      <c r="H67" s="20" t="n">
        <v>2.11364656</v>
      </c>
      <c r="I67" s="18" t="s">
        <v>567</v>
      </c>
      <c r="J67" s="20" t="s">
        <v>567</v>
      </c>
      <c r="K67" s="18" t="n">
        <v>0.34698848</v>
      </c>
      <c r="L67" s="20" t="n">
        <v>0.34741703</v>
      </c>
      <c r="M67" s="18" t="n">
        <v>0</v>
      </c>
      <c r="N67" s="20" t="n">
        <v>0</v>
      </c>
      <c r="O67" s="18" t="n">
        <v>0</v>
      </c>
      <c r="P67" s="20" t="n">
        <v>0</v>
      </c>
      <c r="Q67" s="18" t="n">
        <v>0.72589181</v>
      </c>
      <c r="R67" s="20" t="n">
        <v>0.2915141</v>
      </c>
    </row>
    <row r="68" spans="1:18">
      <c r="A68" s="15" t="s">
        <v>628</v>
      </c>
      <c r="B68" s="17" t="n">
        <v>6049</v>
      </c>
      <c r="C68" s="18">
        <f>(4682.0/B68*100)</f>
        <v/>
      </c>
      <c r="D68" s="19" t="n">
        <v>1367</v>
      </c>
      <c r="E68" s="18" t="n">
        <v>44.40305071</v>
      </c>
      <c r="F68" s="20" t="n">
        <v>1.34216372</v>
      </c>
      <c r="G68" s="18" t="n">
        <v>52.38554765</v>
      </c>
      <c r="H68" s="20" t="n">
        <v>1.3814602</v>
      </c>
      <c r="I68" s="18" t="s">
        <v>567</v>
      </c>
      <c r="J68" s="20" t="s">
        <v>567</v>
      </c>
      <c r="K68" s="18" t="n">
        <v>1.47208855</v>
      </c>
      <c r="L68" s="20" t="n">
        <v>0.31594581</v>
      </c>
      <c r="M68" s="18" t="n">
        <v>0</v>
      </c>
      <c r="N68" s="20" t="n">
        <v>0</v>
      </c>
      <c r="O68" s="18" t="n">
        <v>0</v>
      </c>
      <c r="P68" s="20" t="n">
        <v>0</v>
      </c>
      <c r="Q68" s="18" t="n">
        <v>1.73931308</v>
      </c>
      <c r="R68" s="20" t="n">
        <v>0.35169701</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(2293.0/B70*100)</f>
        <v/>
      </c>
      <c r="D70" s="19" t="n">
        <v>636</v>
      </c>
      <c r="E70" s="18" t="n">
        <v>19.33544421</v>
      </c>
      <c r="F70" s="20" t="n">
        <v>2.19997788</v>
      </c>
      <c r="G70" s="18" t="n">
        <v>80.11409712</v>
      </c>
      <c r="H70" s="20" t="n">
        <v>2.28214253</v>
      </c>
      <c r="I70" s="18" t="s">
        <v>567</v>
      </c>
      <c r="J70" s="20" t="s">
        <v>567</v>
      </c>
      <c r="K70" s="18" t="n">
        <v>0</v>
      </c>
      <c r="L70" s="20" t="n">
        <v>0</v>
      </c>
      <c r="M70" s="18" t="n">
        <v>0</v>
      </c>
      <c r="N70" s="20" t="n">
        <v>0</v>
      </c>
      <c r="O70" s="18" t="n">
        <v>0</v>
      </c>
      <c r="P70" s="20" t="n">
        <v>0</v>
      </c>
      <c r="Q70" s="18" t="n">
        <v>0.55045867</v>
      </c>
      <c r="R70" s="20" t="n">
        <v>0.31477459</v>
      </c>
    </row>
    <row r="71" spans="1:18">
      <c r="A71" s="15" t="s">
        <v>631</v>
      </c>
      <c r="B71" s="17" t="n">
        <v>3142</v>
      </c>
      <c r="C71" s="18">
        <f>(2462.0/B71*100)</f>
        <v/>
      </c>
      <c r="D71" s="19" t="n">
        <v>680</v>
      </c>
      <c r="E71" s="18" t="n">
        <v>46.97086007</v>
      </c>
      <c r="F71" s="20" t="n">
        <v>2.10320271</v>
      </c>
      <c r="G71" s="18" t="n">
        <v>52.47643987</v>
      </c>
      <c r="H71" s="20" t="n">
        <v>2.13567655</v>
      </c>
      <c r="I71" s="18" t="s">
        <v>567</v>
      </c>
      <c r="J71" s="20" t="s">
        <v>567</v>
      </c>
      <c r="K71" s="18" t="n">
        <v>0.29217583</v>
      </c>
      <c r="L71" s="20" t="n">
        <v>0.20746555</v>
      </c>
      <c r="M71" s="18" t="n">
        <v>0</v>
      </c>
      <c r="N71" s="20" t="n">
        <v>0</v>
      </c>
      <c r="O71" s="18" t="n">
        <v>0</v>
      </c>
      <c r="P71" s="20" t="n">
        <v>0</v>
      </c>
      <c r="Q71" s="18" t="n">
        <v>0.26052423</v>
      </c>
      <c r="R71" s="20" t="n">
        <v>0.18363497</v>
      </c>
    </row>
    <row r="72" spans="1:18">
      <c r="A72" s="15" t="s">
        <v>632</v>
      </c>
      <c r="B72" s="17" t="n">
        <v>3889</v>
      </c>
      <c r="C72" s="18">
        <f>(3054.0/B72*100)</f>
        <v/>
      </c>
      <c r="D72" s="19" t="n">
        <v>835</v>
      </c>
      <c r="E72" s="18" t="n">
        <v>27.22524232</v>
      </c>
      <c r="F72" s="20" t="n">
        <v>1.65174868</v>
      </c>
      <c r="G72" s="18" t="n">
        <v>72.36244788</v>
      </c>
      <c r="H72" s="20" t="n">
        <v>1.65899905</v>
      </c>
      <c r="I72" s="18" t="s">
        <v>567</v>
      </c>
      <c r="J72" s="20" t="s">
        <v>567</v>
      </c>
      <c r="K72" s="18" t="n">
        <v>0.07917202</v>
      </c>
      <c r="L72" s="20" t="n">
        <v>0.08151708000000001</v>
      </c>
      <c r="M72" s="18" t="n">
        <v>0</v>
      </c>
      <c r="N72" s="20" t="n">
        <v>0</v>
      </c>
      <c r="O72" s="18" t="n">
        <v>0</v>
      </c>
      <c r="P72" s="20" t="n">
        <v>0</v>
      </c>
      <c r="Q72" s="18" t="n">
        <v>0.33313779</v>
      </c>
      <c r="R72" s="20" t="n">
        <v>0.20537345</v>
      </c>
    </row>
    <row r="73" spans="1:18">
      <c r="A73" s="15" t="s">
        <v>633</v>
      </c>
      <c r="B73" s="17" t="n">
        <v>3597</v>
      </c>
      <c r="C73" s="18">
        <f>(2798.0/B73*100)</f>
        <v/>
      </c>
      <c r="D73" s="19" t="n">
        <v>799</v>
      </c>
      <c r="E73" s="18" t="n">
        <v>47.539394</v>
      </c>
      <c r="F73" s="20" t="n">
        <v>2.52366386</v>
      </c>
      <c r="G73" s="18" t="n">
        <v>51.38150155</v>
      </c>
      <c r="H73" s="20" t="n">
        <v>2.59906752</v>
      </c>
      <c r="I73" s="18" t="s">
        <v>567</v>
      </c>
      <c r="J73" s="20" t="s">
        <v>567</v>
      </c>
      <c r="K73" s="18" t="n">
        <v>0</v>
      </c>
      <c r="L73" s="20" t="n">
        <v>0</v>
      </c>
      <c r="M73" s="18" t="n">
        <v>0</v>
      </c>
      <c r="N73" s="20" t="n">
        <v>0</v>
      </c>
      <c r="O73" s="18" t="n">
        <v>0</v>
      </c>
      <c r="P73" s="20" t="n">
        <v>0</v>
      </c>
      <c r="Q73" s="18" t="n">
        <v>1.07910445</v>
      </c>
      <c r="R73" s="20" t="n">
        <v>0.45402361</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(1912.0/B75*100)</f>
        <v/>
      </c>
      <c r="D75" s="19" t="n">
        <v>494</v>
      </c>
      <c r="E75" s="18" t="n">
        <v>64.48385759999999</v>
      </c>
      <c r="F75" s="20" t="n">
        <v>2.14788615</v>
      </c>
      <c r="G75" s="18" t="n">
        <v>33.07879807</v>
      </c>
      <c r="H75" s="20" t="n">
        <v>2.30155801</v>
      </c>
      <c r="I75" s="18" t="s">
        <v>567</v>
      </c>
      <c r="J75" s="20" t="s">
        <v>567</v>
      </c>
      <c r="K75" s="18" t="n">
        <v>0.54113825</v>
      </c>
      <c r="L75" s="20" t="n">
        <v>0.31941762</v>
      </c>
      <c r="M75" s="18" t="n">
        <v>0</v>
      </c>
      <c r="N75" s="20" t="n">
        <v>0</v>
      </c>
      <c r="O75" s="18" t="n">
        <v>0</v>
      </c>
      <c r="P75" s="20" t="n">
        <v>0</v>
      </c>
      <c r="Q75" s="18" t="n">
        <v>1.89620609</v>
      </c>
      <c r="R75" s="20" t="n">
        <v>0.79082634</v>
      </c>
    </row>
    <row r="76" spans="1:18">
      <c r="A76" s="15" t="s">
        <v>636</v>
      </c>
      <c r="B76" s="17" t="n">
        <v>7052</v>
      </c>
      <c r="C76" s="18">
        <f>(5485.0/B76*100)</f>
        <v/>
      </c>
      <c r="D76" s="19" t="n">
        <v>1567</v>
      </c>
      <c r="E76" s="18" t="n">
        <v>51.01471383</v>
      </c>
      <c r="F76" s="20" t="n">
        <v>1.67529509</v>
      </c>
      <c r="G76" s="18" t="n">
        <v>46.21711825</v>
      </c>
      <c r="H76" s="20" t="n">
        <v>1.65402252</v>
      </c>
      <c r="I76" s="18" t="s">
        <v>567</v>
      </c>
      <c r="J76" s="20" t="s">
        <v>567</v>
      </c>
      <c r="K76" s="18" t="n">
        <v>0.94588542</v>
      </c>
      <c r="L76" s="20" t="n">
        <v>0.32931263</v>
      </c>
      <c r="M76" s="18" t="n">
        <v>0</v>
      </c>
      <c r="N76" s="20" t="n">
        <v>0</v>
      </c>
      <c r="O76" s="18" t="n">
        <v>0</v>
      </c>
      <c r="P76" s="20" t="n">
        <v>0</v>
      </c>
      <c r="Q76" s="18" t="n">
        <v>1.82228249</v>
      </c>
      <c r="R76" s="20" t="n">
        <v>0.5047582900000001</v>
      </c>
    </row>
    <row r="77" spans="1:18">
      <c r="A77" s="15" t="s">
        <v>637</v>
      </c>
      <c r="B77" s="17" t="n">
        <v>2908</v>
      </c>
      <c r="C77" s="18">
        <f>(2270.0/B77*100)</f>
        <v/>
      </c>
      <c r="D77" s="19" t="n">
        <v>638</v>
      </c>
      <c r="E77" s="18" t="n">
        <v>30.63737419</v>
      </c>
      <c r="F77" s="20" t="n">
        <v>1.74397439</v>
      </c>
      <c r="G77" s="18" t="n">
        <v>68.5501072</v>
      </c>
      <c r="H77" s="20" t="n">
        <v>1.68331112</v>
      </c>
      <c r="I77" s="18" t="s">
        <v>567</v>
      </c>
      <c r="J77" s="20" t="s">
        <v>567</v>
      </c>
      <c r="K77" s="18" t="n">
        <v>0</v>
      </c>
      <c r="L77" s="20" t="n">
        <v>0</v>
      </c>
      <c r="M77" s="18" t="n">
        <v>0</v>
      </c>
      <c r="N77" s="20" t="n">
        <v>0</v>
      </c>
      <c r="O77" s="18" t="n">
        <v>0</v>
      </c>
      <c r="P77" s="20" t="n">
        <v>0</v>
      </c>
      <c r="Q77" s="18" t="n">
        <v>0.81251861</v>
      </c>
      <c r="R77" s="20" t="n">
        <v>0.46245657</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(3230.0/B81*100)</f>
        <v/>
      </c>
      <c r="D81" s="19" t="n">
        <v>933</v>
      </c>
      <c r="E81" s="18" t="n">
        <v>60.58637609</v>
      </c>
      <c r="F81" s="20" t="n">
        <v>1.88061089</v>
      </c>
      <c r="G81" s="18" t="n">
        <v>38.94728233</v>
      </c>
      <c r="H81" s="20" t="n">
        <v>1.88182385</v>
      </c>
      <c r="I81" s="18" t="s">
        <v>567</v>
      </c>
      <c r="J81" s="20" t="s">
        <v>567</v>
      </c>
      <c r="K81" s="18" t="n">
        <v>0</v>
      </c>
      <c r="L81" s="20" t="n">
        <v>0</v>
      </c>
      <c r="M81" s="18" t="n">
        <v>0</v>
      </c>
      <c r="N81" s="20" t="n">
        <v>0</v>
      </c>
      <c r="O81" s="18" t="n">
        <v>0</v>
      </c>
      <c r="P81" s="20" t="n">
        <v>0</v>
      </c>
      <c r="Q81" s="18" t="n">
        <v>0.46634158</v>
      </c>
      <c r="R81" s="20" t="n">
        <v>0.2653082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(5752.0/B7*100)</f>
        <v/>
      </c>
      <c r="D7" s="19" t="n">
        <v>1615</v>
      </c>
      <c r="E7" s="18" t="n">
        <v>27.39740001</v>
      </c>
      <c r="F7" s="20" t="n">
        <v>1.60439733</v>
      </c>
      <c r="G7" s="18" t="n">
        <v>71.43999586</v>
      </c>
      <c r="H7" s="20" t="n">
        <v>1.62901702</v>
      </c>
      <c r="I7" s="18" t="s">
        <v>567</v>
      </c>
      <c r="J7" s="20" t="s">
        <v>567</v>
      </c>
      <c r="K7" s="18" t="n">
        <v>0.22324318</v>
      </c>
      <c r="L7" s="20" t="n">
        <v>0.12284815</v>
      </c>
      <c r="M7" s="18" t="n">
        <v>0</v>
      </c>
      <c r="N7" s="20" t="n">
        <v>0</v>
      </c>
      <c r="O7" s="18" t="n">
        <v>0</v>
      </c>
      <c r="P7" s="20" t="n">
        <v>0</v>
      </c>
      <c r="Q7" s="18" t="n">
        <v>0.93936095</v>
      </c>
      <c r="R7" s="20" t="n">
        <v>0.2489084</v>
      </c>
    </row>
    <row r="8" spans="1:18">
      <c r="A8" s="15" t="s">
        <v>568</v>
      </c>
      <c r="B8" s="17" t="n">
        <v>3564</v>
      </c>
      <c r="C8" s="18">
        <f>(2786.0/B8*100)</f>
        <v/>
      </c>
      <c r="D8" s="19" t="n">
        <v>778</v>
      </c>
      <c r="E8" s="18" t="n">
        <v>27.9437432</v>
      </c>
      <c r="F8" s="20" t="n">
        <v>1.84010956</v>
      </c>
      <c r="G8" s="18" t="n">
        <v>71.60332055000001</v>
      </c>
      <c r="H8" s="20" t="n">
        <v>1.88273051</v>
      </c>
      <c r="I8" s="18" t="s">
        <v>567</v>
      </c>
      <c r="J8" s="20" t="s">
        <v>567</v>
      </c>
      <c r="K8" s="18" t="n">
        <v>0.30276859</v>
      </c>
      <c r="L8" s="20" t="n">
        <v>0.21155525</v>
      </c>
      <c r="M8" s="18" t="n">
        <v>0</v>
      </c>
      <c r="N8" s="20" t="n">
        <v>0</v>
      </c>
      <c r="O8" s="18" t="n">
        <v>0</v>
      </c>
      <c r="P8" s="20" t="n">
        <v>0</v>
      </c>
      <c r="Q8" s="18" t="n">
        <v>0.15016766</v>
      </c>
      <c r="R8" s="20" t="n">
        <v>0.15135057</v>
      </c>
    </row>
    <row r="9" spans="1:18">
      <c r="A9" s="15" t="s">
        <v>569</v>
      </c>
      <c r="B9" s="17" t="n">
        <v>4899</v>
      </c>
      <c r="C9" s="18">
        <f>(3837.0/B9*100)</f>
        <v/>
      </c>
      <c r="D9" s="19" t="n">
        <v>1062</v>
      </c>
      <c r="E9" s="18" t="n">
        <v>46.4581498</v>
      </c>
      <c r="F9" s="20" t="n">
        <v>1.73434715</v>
      </c>
      <c r="G9" s="18" t="n">
        <v>52.75702337</v>
      </c>
      <c r="H9" s="20" t="n">
        <v>1.75715859</v>
      </c>
      <c r="I9" s="18" t="s">
        <v>567</v>
      </c>
      <c r="J9" s="20" t="s">
        <v>567</v>
      </c>
      <c r="K9" s="18" t="n">
        <v>0.1944922</v>
      </c>
      <c r="L9" s="20" t="n">
        <v>0.10834388</v>
      </c>
      <c r="M9" s="18" t="n">
        <v>0</v>
      </c>
      <c r="N9" s="20" t="n">
        <v>0</v>
      </c>
      <c r="O9" s="18" t="n">
        <v>0</v>
      </c>
      <c r="P9" s="20" t="n">
        <v>0</v>
      </c>
      <c r="Q9" s="18" t="n">
        <v>0.59033464</v>
      </c>
      <c r="R9" s="20" t="n">
        <v>0.23933878</v>
      </c>
    </row>
    <row r="10" spans="1:18">
      <c r="A10" s="15" t="s">
        <v>570</v>
      </c>
      <c r="B10" s="17" t="n">
        <v>10036</v>
      </c>
      <c r="C10" s="18">
        <f>(7781.0/B10*100)</f>
        <v/>
      </c>
      <c r="D10" s="19" t="n">
        <v>2255</v>
      </c>
      <c r="E10" s="18" t="n">
        <v>26.81214303</v>
      </c>
      <c r="F10" s="20" t="n">
        <v>1.46043755</v>
      </c>
      <c r="G10" s="18" t="n">
        <v>72.50291785</v>
      </c>
      <c r="H10" s="20" t="n">
        <v>1.4215771</v>
      </c>
      <c r="I10" s="18" t="s">
        <v>567</v>
      </c>
      <c r="J10" s="20" t="s">
        <v>567</v>
      </c>
      <c r="K10" s="18" t="n">
        <v>0.41829362</v>
      </c>
      <c r="L10" s="20" t="n">
        <v>0.21198695</v>
      </c>
      <c r="M10" s="18" t="n">
        <v>0</v>
      </c>
      <c r="N10" s="20" t="n">
        <v>0</v>
      </c>
      <c r="O10" s="18" t="n">
        <v>0</v>
      </c>
      <c r="P10" s="20" t="n">
        <v>0</v>
      </c>
      <c r="Q10" s="18" t="n">
        <v>0.2666455</v>
      </c>
      <c r="R10" s="20" t="n">
        <v>0.13010241</v>
      </c>
    </row>
    <row r="11" spans="1:18">
      <c r="A11" s="15" t="s">
        <v>571</v>
      </c>
      <c r="B11" s="17" t="n">
        <v>3553</v>
      </c>
      <c r="C11" s="18">
        <f>(2749.0/B11*100)</f>
        <v/>
      </c>
      <c r="D11" s="19" t="n">
        <v>804</v>
      </c>
      <c r="E11" s="18" t="n">
        <v>34.94150963</v>
      </c>
      <c r="F11" s="20" t="n">
        <v>1.86745796</v>
      </c>
      <c r="G11" s="18" t="n">
        <v>63.64999667</v>
      </c>
      <c r="H11" s="20" t="n">
        <v>1.82488089</v>
      </c>
      <c r="I11" s="18" t="s">
        <v>567</v>
      </c>
      <c r="J11" s="20" t="s">
        <v>567</v>
      </c>
      <c r="K11" s="18" t="n">
        <v>0</v>
      </c>
      <c r="L11" s="20" t="n">
        <v>0</v>
      </c>
      <c r="M11" s="18" t="n">
        <v>0</v>
      </c>
      <c r="N11" s="20" t="n">
        <v>0</v>
      </c>
      <c r="O11" s="18" t="n">
        <v>0</v>
      </c>
      <c r="P11" s="20" t="n">
        <v>0</v>
      </c>
      <c r="Q11" s="18" t="n">
        <v>1.40849369</v>
      </c>
      <c r="R11" s="20" t="n">
        <v>0.5668661</v>
      </c>
    </row>
    <row r="12" spans="1:18">
      <c r="A12" s="15" t="s">
        <v>572</v>
      </c>
      <c r="B12" s="17" t="n">
        <v>3472</v>
      </c>
      <c r="C12" s="18">
        <f>(2707.0/B12*100)</f>
        <v/>
      </c>
      <c r="D12" s="19" t="n">
        <v>765</v>
      </c>
      <c r="E12" s="18" t="n">
        <v>22.93601131</v>
      </c>
      <c r="F12" s="20" t="n">
        <v>1.88679153</v>
      </c>
      <c r="G12" s="18" t="n">
        <v>76.62943705000001</v>
      </c>
      <c r="H12" s="20" t="n">
        <v>1.93421742</v>
      </c>
      <c r="I12" s="18" t="s">
        <v>567</v>
      </c>
      <c r="J12" s="20" t="s">
        <v>567</v>
      </c>
      <c r="K12" s="18" t="n">
        <v>0</v>
      </c>
      <c r="L12" s="20" t="n">
        <v>0</v>
      </c>
      <c r="M12" s="18" t="n">
        <v>0</v>
      </c>
      <c r="N12" s="20" t="n">
        <v>0</v>
      </c>
      <c r="O12" s="18" t="n">
        <v>0</v>
      </c>
      <c r="P12" s="20" t="n">
        <v>0</v>
      </c>
      <c r="Q12" s="18" t="n">
        <v>0.43455164</v>
      </c>
      <c r="R12" s="20" t="n">
        <v>0.28084519</v>
      </c>
    </row>
    <row r="13" spans="1:18">
      <c r="A13" s="15" t="s">
        <v>573</v>
      </c>
      <c r="B13" s="17" t="n">
        <v>3559</v>
      </c>
      <c r="C13" s="18">
        <f>(2796.0/B13*100)</f>
        <v/>
      </c>
      <c r="D13" s="19" t="n">
        <v>763</v>
      </c>
      <c r="E13" s="18" t="n">
        <v>19.04819948</v>
      </c>
      <c r="F13" s="20" t="n">
        <v>1.56903923</v>
      </c>
      <c r="G13" s="18" t="n">
        <v>80.51811145000001</v>
      </c>
      <c r="H13" s="20" t="n">
        <v>1.58171652</v>
      </c>
      <c r="I13" s="18" t="s">
        <v>567</v>
      </c>
      <c r="J13" s="20" t="s">
        <v>567</v>
      </c>
      <c r="K13" s="18" t="n">
        <v>0.0719886</v>
      </c>
      <c r="L13" s="20" t="n">
        <v>0.07220168</v>
      </c>
      <c r="M13" s="18" t="n">
        <v>0</v>
      </c>
      <c r="N13" s="20" t="n">
        <v>0</v>
      </c>
      <c r="O13" s="18" t="n">
        <v>0</v>
      </c>
      <c r="P13" s="20" t="n">
        <v>0</v>
      </c>
      <c r="Q13" s="18" t="n">
        <v>0.36170047</v>
      </c>
      <c r="R13" s="20" t="n">
        <v>0.17822775</v>
      </c>
    </row>
    <row r="14" spans="1:18">
      <c r="A14" s="15" t="s">
        <v>574</v>
      </c>
      <c r="B14" s="17" t="n">
        <v>2799</v>
      </c>
      <c r="C14" s="18">
        <f>(2170.0/B14*100)</f>
        <v/>
      </c>
      <c r="D14" s="19" t="n">
        <v>629</v>
      </c>
      <c r="E14" s="18" t="n">
        <v>12.18423101</v>
      </c>
      <c r="F14" s="20" t="n">
        <v>1.57222515</v>
      </c>
      <c r="G14" s="18" t="n">
        <v>87.1610697</v>
      </c>
      <c r="H14" s="20" t="n">
        <v>1.55286132</v>
      </c>
      <c r="I14" s="18" t="s">
        <v>567</v>
      </c>
      <c r="J14" s="20" t="s">
        <v>567</v>
      </c>
      <c r="K14" s="18" t="n">
        <v>0.1441363</v>
      </c>
      <c r="L14" s="20" t="n">
        <v>0.14367076</v>
      </c>
      <c r="M14" s="18" t="n">
        <v>0</v>
      </c>
      <c r="N14" s="20" t="n">
        <v>0</v>
      </c>
      <c r="O14" s="18" t="n">
        <v>0</v>
      </c>
      <c r="P14" s="20" t="n">
        <v>0</v>
      </c>
      <c r="Q14" s="18" t="n">
        <v>0.51056299</v>
      </c>
      <c r="R14" s="20" t="n">
        <v>0.25822051</v>
      </c>
    </row>
    <row r="15" spans="1:18">
      <c r="A15" s="15" t="s">
        <v>575</v>
      </c>
      <c r="B15" s="17" t="n">
        <v>3019</v>
      </c>
      <c r="C15" s="18">
        <f>(2296.0/B15*100)</f>
        <v/>
      </c>
      <c r="D15" s="19" t="n">
        <v>723</v>
      </c>
      <c r="E15" s="18" t="n">
        <v>23.61914216</v>
      </c>
      <c r="F15" s="20" t="n">
        <v>1.83527256</v>
      </c>
      <c r="G15" s="18" t="n">
        <v>75.57647357</v>
      </c>
      <c r="H15" s="20" t="n">
        <v>1.76753827</v>
      </c>
      <c r="I15" s="18" t="s">
        <v>567</v>
      </c>
      <c r="J15" s="20" t="s">
        <v>567</v>
      </c>
      <c r="K15" s="18" t="n">
        <v>0.15508766</v>
      </c>
      <c r="L15" s="20" t="n">
        <v>0.17011839</v>
      </c>
      <c r="M15" s="18" t="n">
        <v>0</v>
      </c>
      <c r="N15" s="20" t="n">
        <v>0</v>
      </c>
      <c r="O15" s="18" t="n">
        <v>0</v>
      </c>
      <c r="P15" s="20" t="n">
        <v>0</v>
      </c>
      <c r="Q15" s="18" t="n">
        <v>0.64929662</v>
      </c>
      <c r="R15" s="20" t="n">
        <v>0.2906371</v>
      </c>
    </row>
    <row r="16" spans="1:18">
      <c r="A16" s="15" t="s">
        <v>576</v>
      </c>
      <c r="B16" s="17" t="n">
        <v>2997</v>
      </c>
      <c r="C16" s="18">
        <f>(2321.0/B16*100)</f>
        <v/>
      </c>
      <c r="D16" s="19" t="n">
        <v>676</v>
      </c>
      <c r="E16" s="18" t="n">
        <v>28.49515956</v>
      </c>
      <c r="F16" s="20" t="n">
        <v>1.66672309</v>
      </c>
      <c r="G16" s="18" t="n">
        <v>69.12574857</v>
      </c>
      <c r="H16" s="20" t="n">
        <v>1.84461098</v>
      </c>
      <c r="I16" s="18" t="s">
        <v>567</v>
      </c>
      <c r="J16" s="20" t="s">
        <v>567</v>
      </c>
      <c r="K16" s="18" t="n">
        <v>0.64226648</v>
      </c>
      <c r="L16" s="20" t="n">
        <v>0.28158706</v>
      </c>
      <c r="M16" s="18" t="n">
        <v>0</v>
      </c>
      <c r="N16" s="20" t="n">
        <v>0</v>
      </c>
      <c r="O16" s="18" t="n">
        <v>0</v>
      </c>
      <c r="P16" s="20" t="n">
        <v>0</v>
      </c>
      <c r="Q16" s="18" t="n">
        <v>1.73682539</v>
      </c>
      <c r="R16" s="20" t="n">
        <v>0.62903346</v>
      </c>
    </row>
    <row r="17" spans="1:18">
      <c r="A17" s="15" t="s">
        <v>577</v>
      </c>
      <c r="B17" s="17" t="n">
        <v>3307</v>
      </c>
      <c r="C17" s="18">
        <f>(2576.0/B17*100)</f>
        <v/>
      </c>
      <c r="D17" s="19" t="n">
        <v>731</v>
      </c>
      <c r="E17" s="18" t="n">
        <v>22.50067315</v>
      </c>
      <c r="F17" s="20" t="n">
        <v>1.39830223</v>
      </c>
      <c r="G17" s="18" t="n">
        <v>77.26290465</v>
      </c>
      <c r="H17" s="20" t="n">
        <v>1.42712626</v>
      </c>
      <c r="I17" s="18" t="s">
        <v>567</v>
      </c>
      <c r="J17" s="20" t="s">
        <v>567</v>
      </c>
      <c r="K17" s="18" t="n">
        <v>0</v>
      </c>
      <c r="L17" s="20" t="n">
        <v>0</v>
      </c>
      <c r="M17" s="18" t="n">
        <v>0</v>
      </c>
      <c r="N17" s="20" t="n">
        <v>0</v>
      </c>
      <c r="O17" s="18" t="n">
        <v>0</v>
      </c>
      <c r="P17" s="20" t="n">
        <v>0</v>
      </c>
      <c r="Q17" s="18" t="n">
        <v>0.23642221</v>
      </c>
      <c r="R17" s="20" t="n">
        <v>0.14425866</v>
      </c>
    </row>
    <row r="18" spans="1:18">
      <c r="A18" s="15" t="s">
        <v>578</v>
      </c>
      <c r="B18" s="17" t="n">
        <v>2826</v>
      </c>
      <c r="C18" s="18">
        <f>(2210.0/B18*100)</f>
        <v/>
      </c>
      <c r="D18" s="19" t="n">
        <v>616</v>
      </c>
      <c r="E18" s="18" t="n">
        <v>35.88420324</v>
      </c>
      <c r="F18" s="20" t="n">
        <v>2.28669558</v>
      </c>
      <c r="G18" s="18" t="n">
        <v>62.67923889</v>
      </c>
      <c r="H18" s="20" t="n">
        <v>2.26806545</v>
      </c>
      <c r="I18" s="18" t="s">
        <v>567</v>
      </c>
      <c r="J18" s="20" t="s">
        <v>567</v>
      </c>
      <c r="K18" s="18" t="n">
        <v>0.13383922</v>
      </c>
      <c r="L18" s="20" t="n">
        <v>0.13346034</v>
      </c>
      <c r="M18" s="18" t="n">
        <v>0</v>
      </c>
      <c r="N18" s="20" t="n">
        <v>0</v>
      </c>
      <c r="O18" s="18" t="n">
        <v>0</v>
      </c>
      <c r="P18" s="20" t="n">
        <v>0</v>
      </c>
      <c r="Q18" s="18" t="n">
        <v>1.30271866</v>
      </c>
      <c r="R18" s="20" t="n">
        <v>0.43795078</v>
      </c>
    </row>
    <row r="19" spans="1:18">
      <c r="A19" s="15" t="s">
        <v>579</v>
      </c>
      <c r="B19" s="17" t="n">
        <v>2808</v>
      </c>
      <c r="C19" s="18">
        <f>(2184.0/B19*100)</f>
        <v/>
      </c>
      <c r="D19" s="19" t="n">
        <v>624</v>
      </c>
      <c r="E19" s="18" t="n">
        <v>24.64158413</v>
      </c>
      <c r="F19" s="20" t="n">
        <v>2.02018407</v>
      </c>
      <c r="G19" s="18" t="n">
        <v>74.98563763999999</v>
      </c>
      <c r="H19" s="20" t="n">
        <v>2.14311215</v>
      </c>
      <c r="I19" s="18" t="s">
        <v>567</v>
      </c>
      <c r="J19" s="20" t="s">
        <v>567</v>
      </c>
      <c r="K19" s="18" t="n">
        <v>0</v>
      </c>
      <c r="L19" s="20" t="n">
        <v>0</v>
      </c>
      <c r="M19" s="18" t="n">
        <v>0</v>
      </c>
      <c r="N19" s="20" t="n">
        <v>0</v>
      </c>
      <c r="O19" s="18" t="n">
        <v>0</v>
      </c>
      <c r="P19" s="20" t="n">
        <v>0</v>
      </c>
      <c r="Q19" s="18" t="n">
        <v>0.37277823</v>
      </c>
      <c r="R19" s="20" t="n">
        <v>0.34492733</v>
      </c>
    </row>
    <row r="20" spans="1:18">
      <c r="A20" s="15" t="s">
        <v>580</v>
      </c>
      <c r="B20" s="17" t="n">
        <v>1630</v>
      </c>
      <c r="C20" s="18">
        <f>(1265.0/B20*100)</f>
        <v/>
      </c>
      <c r="D20" s="19" t="n">
        <v>365</v>
      </c>
      <c r="E20" s="18" t="n">
        <v>36.42814788</v>
      </c>
      <c r="F20" s="20" t="n">
        <v>2.39029446</v>
      </c>
      <c r="G20" s="18" t="n">
        <v>62.77693706</v>
      </c>
      <c r="H20" s="20" t="n">
        <v>2.48447131</v>
      </c>
      <c r="I20" s="18" t="s">
        <v>567</v>
      </c>
      <c r="J20" s="20" t="s">
        <v>567</v>
      </c>
      <c r="K20" s="18" t="n">
        <v>0.26799834</v>
      </c>
      <c r="L20" s="20" t="n">
        <v>0.27033441</v>
      </c>
      <c r="M20" s="18" t="n">
        <v>0</v>
      </c>
      <c r="N20" s="20" t="n">
        <v>0</v>
      </c>
      <c r="O20" s="18" t="n">
        <v>0</v>
      </c>
      <c r="P20" s="20" t="n">
        <v>0</v>
      </c>
      <c r="Q20" s="18" t="n">
        <v>0.5269167300000001</v>
      </c>
      <c r="R20" s="20" t="n">
        <v>0.36850285</v>
      </c>
    </row>
    <row r="21" spans="1:18">
      <c r="A21" s="15" t="s">
        <v>581</v>
      </c>
      <c r="B21" s="17" t="n">
        <v>2908</v>
      </c>
      <c r="C21" s="18">
        <f>(2256.0/B21*100)</f>
        <v/>
      </c>
      <c r="D21" s="19" t="n">
        <v>652</v>
      </c>
      <c r="E21" s="18" t="n">
        <v>29.37839416</v>
      </c>
      <c r="F21" s="20" t="n">
        <v>1.93609135</v>
      </c>
      <c r="G21" s="18" t="n">
        <v>70.47932247</v>
      </c>
      <c r="H21" s="20" t="n">
        <v>1.95024495</v>
      </c>
      <c r="I21" s="18" t="s">
        <v>567</v>
      </c>
      <c r="J21" s="20" t="s">
        <v>567</v>
      </c>
      <c r="K21" s="18" t="n">
        <v>0</v>
      </c>
      <c r="L21" s="20" t="n">
        <v>0</v>
      </c>
      <c r="M21" s="18" t="n">
        <v>0</v>
      </c>
      <c r="N21" s="20" t="n">
        <v>0</v>
      </c>
      <c r="O21" s="18" t="n">
        <v>0</v>
      </c>
      <c r="P21" s="20" t="n">
        <v>0</v>
      </c>
      <c r="Q21" s="18" t="n">
        <v>0.14228337</v>
      </c>
      <c r="R21" s="20" t="n">
        <v>0.14174467</v>
      </c>
    </row>
    <row r="22" spans="1:18">
      <c r="A22" s="15" t="s">
        <v>582</v>
      </c>
      <c r="B22" s="17" t="n">
        <v>2931</v>
      </c>
      <c r="C22" s="18">
        <f>(2338.0/B22*100)</f>
        <v/>
      </c>
      <c r="D22" s="19" t="n">
        <v>593</v>
      </c>
      <c r="E22" s="18" t="n">
        <v>40.08079047</v>
      </c>
      <c r="F22" s="20" t="n">
        <v>1.78801612</v>
      </c>
      <c r="G22" s="18" t="n">
        <v>58.70395888</v>
      </c>
      <c r="H22" s="20" t="n">
        <v>1.91318508</v>
      </c>
      <c r="I22" s="18" t="s">
        <v>567</v>
      </c>
      <c r="J22" s="20" t="s">
        <v>567</v>
      </c>
      <c r="K22" s="18" t="n">
        <v>0.32504024</v>
      </c>
      <c r="L22" s="20" t="n">
        <v>0.27071416</v>
      </c>
      <c r="M22" s="18" t="n">
        <v>0</v>
      </c>
      <c r="N22" s="20" t="n">
        <v>0</v>
      </c>
      <c r="O22" s="18" t="n">
        <v>0</v>
      </c>
      <c r="P22" s="20" t="n">
        <v>0</v>
      </c>
      <c r="Q22" s="18" t="n">
        <v>0.89021041</v>
      </c>
      <c r="R22" s="20" t="n">
        <v>0.45804371</v>
      </c>
    </row>
    <row r="23" spans="1:18">
      <c r="A23" s="15" t="s">
        <v>583</v>
      </c>
      <c r="B23" s="17" t="n">
        <v>5791</v>
      </c>
      <c r="C23" s="18">
        <f>(4524.0/B23*100)</f>
        <v/>
      </c>
      <c r="D23" s="19" t="n">
        <v>1267</v>
      </c>
      <c r="E23" s="18" t="n">
        <v>23.30324462</v>
      </c>
      <c r="F23" s="20" t="n">
        <v>1.73947424</v>
      </c>
      <c r="G23" s="18" t="n">
        <v>75.43420901</v>
      </c>
      <c r="H23" s="20" t="n">
        <v>1.75248557</v>
      </c>
      <c r="I23" s="18" t="s">
        <v>567</v>
      </c>
      <c r="J23" s="20" t="s">
        <v>567</v>
      </c>
      <c r="K23" s="18" t="n">
        <v>0.37975899</v>
      </c>
      <c r="L23" s="20" t="n">
        <v>0.27270014</v>
      </c>
      <c r="M23" s="18" t="n">
        <v>0</v>
      </c>
      <c r="N23" s="20" t="n">
        <v>0</v>
      </c>
      <c r="O23" s="18" t="n">
        <v>0</v>
      </c>
      <c r="P23" s="20" t="n">
        <v>0</v>
      </c>
      <c r="Q23" s="18" t="n">
        <v>0.88278737</v>
      </c>
      <c r="R23" s="20" t="n">
        <v>0.37092726</v>
      </c>
    </row>
    <row r="24" spans="1:18">
      <c r="A24" s="15" t="s">
        <v>584</v>
      </c>
      <c r="B24" s="17" t="n">
        <v>3338</v>
      </c>
      <c r="C24" s="18">
        <f>(2601.0/B24*100)</f>
        <v/>
      </c>
      <c r="D24" s="19" t="n">
        <v>737</v>
      </c>
      <c r="E24" s="18" t="n">
        <v>27.02541587</v>
      </c>
      <c r="F24" s="20" t="n">
        <v>2.01076224</v>
      </c>
      <c r="G24" s="18" t="n">
        <v>71.89437181</v>
      </c>
      <c r="H24" s="20" t="n">
        <v>2.18984593</v>
      </c>
      <c r="I24" s="18" t="s">
        <v>567</v>
      </c>
      <c r="J24" s="20" t="s">
        <v>567</v>
      </c>
      <c r="K24" s="18" t="n">
        <v>0.22353495</v>
      </c>
      <c r="L24" s="20" t="n">
        <v>0.16105168</v>
      </c>
      <c r="M24" s="18" t="n">
        <v>0</v>
      </c>
      <c r="N24" s="20" t="n">
        <v>0</v>
      </c>
      <c r="O24" s="18" t="n">
        <v>0</v>
      </c>
      <c r="P24" s="20" t="n">
        <v>0</v>
      </c>
      <c r="Q24" s="18" t="n">
        <v>0.85667737</v>
      </c>
      <c r="R24" s="20" t="n">
        <v>0.42418582</v>
      </c>
    </row>
    <row r="25" spans="1:18">
      <c r="A25" s="15" t="s">
        <v>585</v>
      </c>
      <c r="B25" s="17" t="n">
        <v>2912</v>
      </c>
      <c r="C25" s="18">
        <f>(2275.0/B25*100)</f>
        <v/>
      </c>
      <c r="D25" s="19" t="n">
        <v>637</v>
      </c>
      <c r="E25" s="18" t="n">
        <v>27.89024024</v>
      </c>
      <c r="F25" s="20" t="n">
        <v>1.96889857</v>
      </c>
      <c r="G25" s="18" t="n">
        <v>71.8054042</v>
      </c>
      <c r="H25" s="20" t="n">
        <v>1.96759526</v>
      </c>
      <c r="I25" s="18" t="s">
        <v>567</v>
      </c>
      <c r="J25" s="20" t="s">
        <v>567</v>
      </c>
      <c r="K25" s="18" t="n">
        <v>0</v>
      </c>
      <c r="L25" s="20" t="n">
        <v>0</v>
      </c>
      <c r="M25" s="18" t="n">
        <v>0</v>
      </c>
      <c r="N25" s="20" t="n">
        <v>0</v>
      </c>
      <c r="O25" s="18" t="n">
        <v>0</v>
      </c>
      <c r="P25" s="20" t="n">
        <v>0</v>
      </c>
      <c r="Q25" s="18" t="n">
        <v>0.30435555</v>
      </c>
      <c r="R25" s="20" t="n">
        <v>0.03961982</v>
      </c>
    </row>
    <row r="26" spans="1:18">
      <c r="A26" s="15" t="s">
        <v>586</v>
      </c>
      <c r="B26" s="17" t="n">
        <v>2450</v>
      </c>
      <c r="C26" s="18">
        <f>(1907.0/B26*100)</f>
        <v/>
      </c>
      <c r="D26" s="19" t="n">
        <v>543</v>
      </c>
      <c r="E26" s="18" t="n">
        <v>20.2415355</v>
      </c>
      <c r="F26" s="20" t="n">
        <v>1.54142217</v>
      </c>
      <c r="G26" s="18" t="n">
        <v>79.7584645</v>
      </c>
      <c r="H26" s="20" t="n">
        <v>1.54142217</v>
      </c>
      <c r="I26" s="18" t="s">
        <v>567</v>
      </c>
      <c r="J26" s="20" t="s">
        <v>567</v>
      </c>
      <c r="K26" s="18" t="n">
        <v>0</v>
      </c>
      <c r="L26" s="20" t="n">
        <v>0</v>
      </c>
      <c r="M26" s="18" t="n">
        <v>0</v>
      </c>
      <c r="N26" s="20" t="n">
        <v>0</v>
      </c>
      <c r="O26" s="18" t="n">
        <v>0</v>
      </c>
      <c r="P26" s="20" t="n">
        <v>0</v>
      </c>
      <c r="Q26" s="18" t="n">
        <v>0</v>
      </c>
      <c r="R26" s="20" t="n">
        <v>0</v>
      </c>
    </row>
    <row r="27" spans="1:18">
      <c r="A27" s="15" t="s">
        <v>587</v>
      </c>
      <c r="B27" s="17" t="n">
        <v>2616</v>
      </c>
      <c r="C27" s="18">
        <f>(2034.0/B27*100)</f>
        <v/>
      </c>
      <c r="D27" s="19" t="n">
        <v>582</v>
      </c>
      <c r="E27" s="18" t="n">
        <v>32.53657667</v>
      </c>
      <c r="F27" s="20" t="n">
        <v>1.84620501</v>
      </c>
      <c r="G27" s="18" t="n">
        <v>66.60537203</v>
      </c>
      <c r="H27" s="20" t="n">
        <v>1.84856751</v>
      </c>
      <c r="I27" s="18" t="s">
        <v>567</v>
      </c>
      <c r="J27" s="20" t="s">
        <v>567</v>
      </c>
      <c r="K27" s="18" t="n">
        <v>0</v>
      </c>
      <c r="L27" s="20" t="n">
        <v>0</v>
      </c>
      <c r="M27" s="18" t="n">
        <v>0</v>
      </c>
      <c r="N27" s="20" t="n">
        <v>0</v>
      </c>
      <c r="O27" s="18" t="n">
        <v>0</v>
      </c>
      <c r="P27" s="20" t="n">
        <v>0</v>
      </c>
      <c r="Q27" s="18" t="n">
        <v>0.8580513</v>
      </c>
      <c r="R27" s="20" t="n">
        <v>0.28977762</v>
      </c>
    </row>
    <row r="28" spans="1:18">
      <c r="A28" s="15" t="s">
        <v>588</v>
      </c>
      <c r="B28" s="17" t="n">
        <v>3765</v>
      </c>
      <c r="C28" s="18">
        <f>(2987.0/B28*100)</f>
        <v/>
      </c>
      <c r="D28" s="19" t="n">
        <v>778</v>
      </c>
      <c r="E28" s="18" t="n">
        <v>39.02427908</v>
      </c>
      <c r="F28" s="20" t="n">
        <v>2.03727675</v>
      </c>
      <c r="G28" s="18" t="n">
        <v>57.4434231</v>
      </c>
      <c r="H28" s="20" t="n">
        <v>2.08504464</v>
      </c>
      <c r="I28" s="18" t="s">
        <v>567</v>
      </c>
      <c r="J28" s="20" t="s">
        <v>567</v>
      </c>
      <c r="K28" s="18" t="n">
        <v>0.1173556</v>
      </c>
      <c r="L28" s="20" t="n">
        <v>0.11786354</v>
      </c>
      <c r="M28" s="18" t="n">
        <v>0</v>
      </c>
      <c r="N28" s="20" t="n">
        <v>0</v>
      </c>
      <c r="O28" s="18" t="n">
        <v>0</v>
      </c>
      <c r="P28" s="20" t="n">
        <v>0</v>
      </c>
      <c r="Q28" s="18" t="n">
        <v>3.41494223</v>
      </c>
      <c r="R28" s="20" t="n">
        <v>0.80861816</v>
      </c>
    </row>
    <row r="29" spans="1:18">
      <c r="A29" s="15" t="s">
        <v>589</v>
      </c>
      <c r="B29" s="17" t="n">
        <v>2685</v>
      </c>
      <c r="C29" s="18">
        <f>(2099.0/B29*100)</f>
        <v/>
      </c>
      <c r="D29" s="19" t="n">
        <v>586</v>
      </c>
      <c r="E29" s="18" t="n">
        <v>37.68216699</v>
      </c>
      <c r="F29" s="20" t="n">
        <v>2.01612005</v>
      </c>
      <c r="G29" s="18" t="n">
        <v>62.14992799</v>
      </c>
      <c r="H29" s="20" t="n">
        <v>2.0076486</v>
      </c>
      <c r="I29" s="18" t="s">
        <v>567</v>
      </c>
      <c r="J29" s="20" t="s">
        <v>567</v>
      </c>
      <c r="K29" s="18" t="n">
        <v>0.16790502</v>
      </c>
      <c r="L29" s="20" t="n">
        <v>0.16568474</v>
      </c>
      <c r="M29" s="18" t="n">
        <v>0</v>
      </c>
      <c r="N29" s="20" t="n">
        <v>0</v>
      </c>
      <c r="O29" s="18" t="n">
        <v>0</v>
      </c>
      <c r="P29" s="20" t="n">
        <v>0</v>
      </c>
      <c r="Q29" s="18" t="n">
        <v>0</v>
      </c>
      <c r="R29" s="20" t="n">
        <v>0</v>
      </c>
    </row>
    <row r="30" spans="1:18">
      <c r="A30" s="15" t="s">
        <v>590</v>
      </c>
      <c r="B30" s="17" t="n">
        <v>2263</v>
      </c>
      <c r="C30" s="18">
        <f>(1774.0/B30*100)</f>
        <v/>
      </c>
      <c r="D30" s="19" t="n">
        <v>489</v>
      </c>
      <c r="E30" s="18" t="n">
        <v>23.8128746</v>
      </c>
      <c r="F30" s="20" t="n">
        <v>1.87826903</v>
      </c>
      <c r="G30" s="18" t="n">
        <v>74.97964134999999</v>
      </c>
      <c r="H30" s="20" t="n">
        <v>1.85451142</v>
      </c>
      <c r="I30" s="18" t="s">
        <v>567</v>
      </c>
      <c r="J30" s="20" t="s">
        <v>567</v>
      </c>
      <c r="K30" s="18" t="n">
        <v>0</v>
      </c>
      <c r="L30" s="20" t="n">
        <v>0</v>
      </c>
      <c r="M30" s="18" t="n">
        <v>0</v>
      </c>
      <c r="N30" s="20" t="n">
        <v>0</v>
      </c>
      <c r="O30" s="18" t="n">
        <v>0</v>
      </c>
      <c r="P30" s="20" t="n">
        <v>0</v>
      </c>
      <c r="Q30" s="18" t="n">
        <v>1.20748406</v>
      </c>
      <c r="R30" s="20" t="n">
        <v>0.48713676</v>
      </c>
    </row>
    <row r="31" spans="1:18">
      <c r="A31" s="15" t="s">
        <v>591</v>
      </c>
      <c r="B31" s="17" t="n">
        <v>2750</v>
      </c>
      <c r="C31" s="18">
        <f>(2169.0/B31*100)</f>
        <v/>
      </c>
      <c r="D31" s="19" t="n">
        <v>581</v>
      </c>
      <c r="E31" s="18" t="n">
        <v>22.19770622</v>
      </c>
      <c r="F31" s="20" t="n">
        <v>1.94190644</v>
      </c>
      <c r="G31" s="18" t="n">
        <v>76.99754396</v>
      </c>
      <c r="H31" s="20" t="n">
        <v>1.95494696</v>
      </c>
      <c r="I31" s="18" t="s">
        <v>567</v>
      </c>
      <c r="J31" s="20" t="s">
        <v>567</v>
      </c>
      <c r="K31" s="18" t="n">
        <v>0.4730162</v>
      </c>
      <c r="L31" s="20" t="n">
        <v>0.27269747</v>
      </c>
      <c r="M31" s="18" t="n">
        <v>0</v>
      </c>
      <c r="N31" s="20" t="n">
        <v>0</v>
      </c>
      <c r="O31" s="18" t="n">
        <v>0</v>
      </c>
      <c r="P31" s="20" t="n">
        <v>0</v>
      </c>
      <c r="Q31" s="18" t="n">
        <v>0.33173363</v>
      </c>
      <c r="R31" s="20" t="n">
        <v>0.24207346</v>
      </c>
    </row>
    <row r="32" spans="1:18">
      <c r="A32" s="15" t="s">
        <v>592</v>
      </c>
      <c r="B32" s="17" t="n">
        <v>2269</v>
      </c>
      <c r="C32" s="18">
        <f>(1802.0/B32*100)</f>
        <v/>
      </c>
      <c r="D32" s="19" t="n">
        <v>467</v>
      </c>
      <c r="E32" s="18" t="n">
        <v>34.94281771</v>
      </c>
      <c r="F32" s="20" t="n">
        <v>2.535868</v>
      </c>
      <c r="G32" s="18" t="n">
        <v>65.05718229</v>
      </c>
      <c r="H32" s="20" t="n">
        <v>2.535868</v>
      </c>
      <c r="I32" s="18" t="s">
        <v>567</v>
      </c>
      <c r="J32" s="20" t="s">
        <v>567</v>
      </c>
      <c r="K32" s="18" t="n">
        <v>0</v>
      </c>
      <c r="L32" s="20" t="n">
        <v>0</v>
      </c>
      <c r="M32" s="18" t="n">
        <v>0</v>
      </c>
      <c r="N32" s="20" t="n">
        <v>0</v>
      </c>
      <c r="O32" s="18" t="n">
        <v>0</v>
      </c>
      <c r="P32" s="20" t="n">
        <v>0</v>
      </c>
      <c r="Q32" s="18" t="n">
        <v>0</v>
      </c>
      <c r="R32" s="20" t="n">
        <v>0</v>
      </c>
    </row>
    <row r="33" spans="1:18">
      <c r="A33" s="15" t="s">
        <v>593</v>
      </c>
      <c r="B33" s="17" t="n">
        <v>3674</v>
      </c>
      <c r="C33" s="18">
        <f>(2849.0/B33*100)</f>
        <v/>
      </c>
      <c r="D33" s="19" t="n">
        <v>825</v>
      </c>
      <c r="E33" s="18" t="n">
        <v>31.94926959</v>
      </c>
      <c r="F33" s="20" t="n">
        <v>2.31386704</v>
      </c>
      <c r="G33" s="18" t="n">
        <v>67.91483454999999</v>
      </c>
      <c r="H33" s="20" t="n">
        <v>2.31750076</v>
      </c>
      <c r="I33" s="18" t="s">
        <v>567</v>
      </c>
      <c r="J33" s="20" t="s">
        <v>567</v>
      </c>
      <c r="K33" s="18" t="n">
        <v>0</v>
      </c>
      <c r="L33" s="20" t="n">
        <v>0</v>
      </c>
      <c r="M33" s="18" t="n">
        <v>0</v>
      </c>
      <c r="N33" s="20" t="n">
        <v>0</v>
      </c>
      <c r="O33" s="18" t="n">
        <v>0</v>
      </c>
      <c r="P33" s="20" t="n">
        <v>0</v>
      </c>
      <c r="Q33" s="18" t="n">
        <v>0.13589586</v>
      </c>
      <c r="R33" s="20" t="n">
        <v>0.09392049</v>
      </c>
    </row>
    <row r="34" spans="1:18">
      <c r="A34" s="15" t="s">
        <v>594</v>
      </c>
      <c r="B34" s="17" t="n">
        <v>3315</v>
      </c>
      <c r="C34" s="18">
        <f>(2590.0/B34*100)</f>
        <v/>
      </c>
      <c r="D34" s="19" t="n">
        <v>725</v>
      </c>
      <c r="E34" s="18" t="n">
        <v>22.6143322</v>
      </c>
      <c r="F34" s="20" t="n">
        <v>1.5124016</v>
      </c>
      <c r="G34" s="18" t="n">
        <v>75.62912506000001</v>
      </c>
      <c r="H34" s="20" t="n">
        <v>1.60821754</v>
      </c>
      <c r="I34" s="18" t="s">
        <v>567</v>
      </c>
      <c r="J34" s="20" t="s">
        <v>567</v>
      </c>
      <c r="K34" s="18" t="n">
        <v>0</v>
      </c>
      <c r="L34" s="20" t="n">
        <v>0</v>
      </c>
      <c r="M34" s="18" t="n">
        <v>0</v>
      </c>
      <c r="N34" s="20" t="n">
        <v>0</v>
      </c>
      <c r="O34" s="18" t="n">
        <v>0</v>
      </c>
      <c r="P34" s="20" t="n">
        <v>0</v>
      </c>
      <c r="Q34" s="18" t="n">
        <v>1.75654274</v>
      </c>
      <c r="R34" s="20" t="n">
        <v>0.60355466</v>
      </c>
    </row>
    <row r="35" spans="1:18">
      <c r="A35" s="15" t="s">
        <v>595</v>
      </c>
      <c r="B35" s="17" t="n">
        <v>3505</v>
      </c>
      <c r="C35" s="18">
        <f>(2714.0/B35*100)</f>
        <v/>
      </c>
      <c r="D35" s="19" t="n">
        <v>791</v>
      </c>
      <c r="E35" s="18" t="n">
        <v>16.60532387</v>
      </c>
      <c r="F35" s="20" t="n">
        <v>1.46578073</v>
      </c>
      <c r="G35" s="18" t="n">
        <v>83.08137776</v>
      </c>
      <c r="H35" s="20" t="n">
        <v>1.47736495</v>
      </c>
      <c r="I35" s="18" t="s">
        <v>567</v>
      </c>
      <c r="J35" s="20" t="s">
        <v>567</v>
      </c>
      <c r="K35" s="18" t="n">
        <v>0.06352963</v>
      </c>
      <c r="L35" s="20" t="n">
        <v>0.06369082</v>
      </c>
      <c r="M35" s="18" t="n">
        <v>0</v>
      </c>
      <c r="N35" s="20" t="n">
        <v>0</v>
      </c>
      <c r="O35" s="18" t="n">
        <v>0</v>
      </c>
      <c r="P35" s="20" t="n">
        <v>0</v>
      </c>
      <c r="Q35" s="18" t="n">
        <v>0.24976874</v>
      </c>
      <c r="R35" s="20" t="n">
        <v>0.20150581</v>
      </c>
    </row>
    <row r="36" spans="1:18">
      <c r="A36" s="15" t="s">
        <v>596</v>
      </c>
      <c r="B36" s="17" t="n">
        <v>3332</v>
      </c>
      <c r="C36" s="18">
        <f>(2611.0/B36*100)</f>
        <v/>
      </c>
      <c r="D36" s="19" t="n">
        <v>721</v>
      </c>
      <c r="E36" s="18" t="n">
        <v>32.85572058</v>
      </c>
      <c r="F36" s="20" t="n">
        <v>1.88644139</v>
      </c>
      <c r="G36" s="18" t="n">
        <v>66.47218864</v>
      </c>
      <c r="H36" s="20" t="n">
        <v>1.92511184</v>
      </c>
      <c r="I36" s="18" t="s">
        <v>567</v>
      </c>
      <c r="J36" s="20" t="s">
        <v>567</v>
      </c>
      <c r="K36" s="18" t="n">
        <v>0.15278508</v>
      </c>
      <c r="L36" s="20" t="n">
        <v>0.15288085</v>
      </c>
      <c r="M36" s="18" t="n">
        <v>0</v>
      </c>
      <c r="N36" s="20" t="n">
        <v>0</v>
      </c>
      <c r="O36" s="18" t="n">
        <v>0</v>
      </c>
      <c r="P36" s="20" t="n">
        <v>0</v>
      </c>
      <c r="Q36" s="18" t="n">
        <v>0.5193057</v>
      </c>
      <c r="R36" s="20" t="n">
        <v>0.30499408</v>
      </c>
    </row>
    <row r="37" spans="1:18">
      <c r="A37" s="15" t="s">
        <v>597</v>
      </c>
      <c r="B37" s="17" t="n">
        <v>2727</v>
      </c>
      <c r="C37" s="18">
        <f>(2111.0/B37*100)</f>
        <v/>
      </c>
      <c r="D37" s="19" t="n">
        <v>616</v>
      </c>
      <c r="E37" s="18" t="n">
        <v>21.4640377</v>
      </c>
      <c r="F37" s="20" t="n">
        <v>1.98462767</v>
      </c>
      <c r="G37" s="18" t="n">
        <v>76.92954258</v>
      </c>
      <c r="H37" s="20" t="n">
        <v>2.09706801</v>
      </c>
      <c r="I37" s="18" t="s">
        <v>567</v>
      </c>
      <c r="J37" s="20" t="s">
        <v>567</v>
      </c>
      <c r="K37" s="18" t="n">
        <v>0.68369619</v>
      </c>
      <c r="L37" s="20" t="n">
        <v>0.32926253</v>
      </c>
      <c r="M37" s="18" t="n">
        <v>0</v>
      </c>
      <c r="N37" s="20" t="n">
        <v>0</v>
      </c>
      <c r="O37" s="18" t="n">
        <v>0</v>
      </c>
      <c r="P37" s="20" t="n">
        <v>0</v>
      </c>
      <c r="Q37" s="18" t="n">
        <v>0.92272353</v>
      </c>
      <c r="R37" s="20" t="n">
        <v>0.3790668</v>
      </c>
    </row>
    <row r="38" spans="1:18">
      <c r="A38" s="15" t="s">
        <v>598</v>
      </c>
      <c r="B38" s="17" t="n">
        <v>3053</v>
      </c>
      <c r="C38" s="18">
        <f>(2325.0/B38*100)</f>
        <v/>
      </c>
      <c r="D38" s="19" t="n">
        <v>728</v>
      </c>
      <c r="E38" s="18" t="n">
        <v>24.21536818</v>
      </c>
      <c r="F38" s="20" t="n">
        <v>1.58158216</v>
      </c>
      <c r="G38" s="18" t="n">
        <v>75.31689005</v>
      </c>
      <c r="H38" s="20" t="n">
        <v>1.5519193</v>
      </c>
      <c r="I38" s="18" t="s">
        <v>567</v>
      </c>
      <c r="J38" s="20" t="s">
        <v>567</v>
      </c>
      <c r="K38" s="18" t="n">
        <v>0</v>
      </c>
      <c r="L38" s="20" t="n">
        <v>0</v>
      </c>
      <c r="M38" s="18" t="n">
        <v>0</v>
      </c>
      <c r="N38" s="20" t="n">
        <v>0</v>
      </c>
      <c r="O38" s="18" t="n">
        <v>0</v>
      </c>
      <c r="P38" s="20" t="n">
        <v>0</v>
      </c>
      <c r="Q38" s="18" t="n">
        <v>0.46774176</v>
      </c>
      <c r="R38" s="20" t="n">
        <v>0.24073415</v>
      </c>
    </row>
    <row r="39" spans="1:18">
      <c r="A39" s="15" t="s">
        <v>599</v>
      </c>
      <c r="B39" s="17" t="n">
        <v>2957</v>
      </c>
      <c r="C39" s="18">
        <f>(2311.0/B39*100)</f>
        <v/>
      </c>
      <c r="D39" s="19" t="n">
        <v>646</v>
      </c>
      <c r="E39" s="18" t="n">
        <v>41.31310741</v>
      </c>
      <c r="F39" s="20" t="n">
        <v>2.63213811</v>
      </c>
      <c r="G39" s="18" t="n">
        <v>57.55909798</v>
      </c>
      <c r="H39" s="20" t="n">
        <v>2.6270981</v>
      </c>
      <c r="I39" s="18" t="s">
        <v>567</v>
      </c>
      <c r="J39" s="20" t="s">
        <v>567</v>
      </c>
      <c r="K39" s="18" t="n">
        <v>0.19778019</v>
      </c>
      <c r="L39" s="20" t="n">
        <v>0.19739387</v>
      </c>
      <c r="M39" s="18" t="n">
        <v>0</v>
      </c>
      <c r="N39" s="20" t="n">
        <v>0</v>
      </c>
      <c r="O39" s="18" t="n">
        <v>0</v>
      </c>
      <c r="P39" s="20" t="n">
        <v>0</v>
      </c>
      <c r="Q39" s="18" t="n">
        <v>0.93001441</v>
      </c>
      <c r="R39" s="20" t="n">
        <v>0.40709506</v>
      </c>
    </row>
    <row r="40" spans="1:18">
      <c r="A40" s="15" t="s">
        <v>600</v>
      </c>
      <c r="B40" s="17" t="n">
        <v>7235</v>
      </c>
      <c r="C40" s="18">
        <f>(5585.0/B40*100)</f>
        <v/>
      </c>
      <c r="D40" s="19" t="n">
        <v>1650</v>
      </c>
      <c r="E40" s="18" t="n">
        <v>36.37198208</v>
      </c>
      <c r="F40" s="20" t="n">
        <v>1.82276098</v>
      </c>
      <c r="G40" s="18" t="n">
        <v>63.15089336</v>
      </c>
      <c r="H40" s="20" t="n">
        <v>1.81904128</v>
      </c>
      <c r="I40" s="18" t="s">
        <v>567</v>
      </c>
      <c r="J40" s="20" t="s">
        <v>567</v>
      </c>
      <c r="K40" s="18" t="n">
        <v>0.11166151</v>
      </c>
      <c r="L40" s="20" t="n">
        <v>0.10614547</v>
      </c>
      <c r="M40" s="18" t="n">
        <v>0</v>
      </c>
      <c r="N40" s="20" t="n">
        <v>0</v>
      </c>
      <c r="O40" s="18" t="n">
        <v>0</v>
      </c>
      <c r="P40" s="20" t="n">
        <v>0</v>
      </c>
      <c r="Q40" s="18" t="n">
        <v>0.36546305</v>
      </c>
      <c r="R40" s="20" t="n">
        <v>0.22413128</v>
      </c>
    </row>
    <row r="41" spans="1:18">
      <c r="A41" s="15" t="s">
        <v>601</v>
      </c>
      <c r="B41" s="17" t="n">
        <v>2858</v>
      </c>
      <c r="C41" s="18">
        <f>(2248.0/B41*100)</f>
        <v/>
      </c>
      <c r="D41" s="19" t="n">
        <v>610</v>
      </c>
      <c r="E41" s="18" t="n">
        <v>26.92603945</v>
      </c>
      <c r="F41" s="20" t="n">
        <v>2.06912388</v>
      </c>
      <c r="G41" s="18" t="n">
        <v>72.37372378000001</v>
      </c>
      <c r="H41" s="20" t="n">
        <v>2.13141839</v>
      </c>
      <c r="I41" s="18" t="s">
        <v>567</v>
      </c>
      <c r="J41" s="20" t="s">
        <v>567</v>
      </c>
      <c r="K41" s="18" t="n">
        <v>0.22435414</v>
      </c>
      <c r="L41" s="20" t="n">
        <v>0.18250691</v>
      </c>
      <c r="M41" s="18" t="n">
        <v>0</v>
      </c>
      <c r="N41" s="20" t="n">
        <v>0</v>
      </c>
      <c r="O41" s="18" t="n">
        <v>0</v>
      </c>
      <c r="P41" s="20" t="n">
        <v>0</v>
      </c>
      <c r="Q41" s="18" t="n">
        <v>0.47588263</v>
      </c>
      <c r="R41" s="20" t="n">
        <v>0.25083246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(8779.0/B46*100)</f>
        <v/>
      </c>
      <c r="D46" s="19" t="n">
        <v>2289</v>
      </c>
      <c r="E46" s="18" t="n">
        <v>57.29632561</v>
      </c>
      <c r="F46" s="20" t="n">
        <v>1.28997621</v>
      </c>
      <c r="G46" s="18" t="n">
        <v>36.5091179</v>
      </c>
      <c r="H46" s="20" t="n">
        <v>1.2866228</v>
      </c>
      <c r="I46" s="18" t="s">
        <v>567</v>
      </c>
      <c r="J46" s="20" t="s">
        <v>567</v>
      </c>
      <c r="K46" s="18" t="n">
        <v>0.57842045</v>
      </c>
      <c r="L46" s="20" t="n">
        <v>0.20485853</v>
      </c>
      <c r="M46" s="18" t="n">
        <v>0</v>
      </c>
      <c r="N46" s="20" t="n">
        <v>0</v>
      </c>
      <c r="O46" s="18" t="n">
        <v>0</v>
      </c>
      <c r="P46" s="20" t="n">
        <v>0</v>
      </c>
      <c r="Q46" s="18" t="n">
        <v>5.61613605</v>
      </c>
      <c r="R46" s="20" t="n">
        <v>0.75249618</v>
      </c>
    </row>
    <row r="47" spans="1:18">
      <c r="A47" s="15" t="s">
        <v>607</v>
      </c>
      <c r="B47" s="17" t="n">
        <v>3105</v>
      </c>
      <c r="C47" s="18">
        <f>(2435.0/B47*100)</f>
        <v/>
      </c>
      <c r="D47" s="19" t="n">
        <v>670</v>
      </c>
      <c r="E47" s="18" t="n">
        <v>34.8847342</v>
      </c>
      <c r="F47" s="20" t="n">
        <v>2.33798131</v>
      </c>
      <c r="G47" s="18" t="n">
        <v>62.85058257</v>
      </c>
      <c r="H47" s="20" t="n">
        <v>2.37735495</v>
      </c>
      <c r="I47" s="18" t="s">
        <v>567</v>
      </c>
      <c r="J47" s="20" t="s">
        <v>567</v>
      </c>
      <c r="K47" s="18" t="n">
        <v>0.43019766</v>
      </c>
      <c r="L47" s="20" t="n">
        <v>0.25894864</v>
      </c>
      <c r="M47" s="18" t="n">
        <v>0</v>
      </c>
      <c r="N47" s="20" t="n">
        <v>0</v>
      </c>
      <c r="O47" s="18" t="n">
        <v>0</v>
      </c>
      <c r="P47" s="20" t="n">
        <v>0</v>
      </c>
      <c r="Q47" s="18" t="n">
        <v>1.83448557</v>
      </c>
      <c r="R47" s="20" t="n">
        <v>0.53175698</v>
      </c>
    </row>
    <row r="48" spans="1:18">
      <c r="A48" s="15" t="s">
        <v>608</v>
      </c>
      <c r="B48" s="17" t="n">
        <v>5159</v>
      </c>
      <c r="C48" s="18">
        <f>(4008.0/B48*100)</f>
        <v/>
      </c>
      <c r="D48" s="19" t="n">
        <v>1151</v>
      </c>
      <c r="E48" s="18" t="n">
        <v>30.20275332</v>
      </c>
      <c r="F48" s="20" t="n">
        <v>1.50801986</v>
      </c>
      <c r="G48" s="18" t="n">
        <v>68.73200462</v>
      </c>
      <c r="H48" s="20" t="n">
        <v>1.54677478</v>
      </c>
      <c r="I48" s="18" t="s">
        <v>567</v>
      </c>
      <c r="J48" s="20" t="s">
        <v>567</v>
      </c>
      <c r="K48" s="18" t="n">
        <v>0.20079681</v>
      </c>
      <c r="L48" s="20" t="n">
        <v>0.15535258</v>
      </c>
      <c r="M48" s="18" t="n">
        <v>0</v>
      </c>
      <c r="N48" s="20" t="n">
        <v>0</v>
      </c>
      <c r="O48" s="18" t="n">
        <v>0</v>
      </c>
      <c r="P48" s="20" t="n">
        <v>0</v>
      </c>
      <c r="Q48" s="18" t="n">
        <v>0.8644452500000001</v>
      </c>
      <c r="R48" s="20" t="n">
        <v>0.39064272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(4402.0/B50*100)</f>
        <v/>
      </c>
      <c r="D50" s="19" t="n">
        <v>1235</v>
      </c>
      <c r="E50" s="18" t="n">
        <v>47.89602841</v>
      </c>
      <c r="F50" s="20" t="n">
        <v>2.42578349</v>
      </c>
      <c r="G50" s="18" t="n">
        <v>49.05625504</v>
      </c>
      <c r="H50" s="20" t="n">
        <v>2.39971653</v>
      </c>
      <c r="I50" s="18" t="s">
        <v>567</v>
      </c>
      <c r="J50" s="20" t="s">
        <v>567</v>
      </c>
      <c r="K50" s="18" t="n">
        <v>0.53659808</v>
      </c>
      <c r="L50" s="20" t="n">
        <v>0.31862785</v>
      </c>
      <c r="M50" s="18" t="n">
        <v>0</v>
      </c>
      <c r="N50" s="20" t="n">
        <v>0</v>
      </c>
      <c r="O50" s="18" t="n">
        <v>0</v>
      </c>
      <c r="P50" s="20" t="n">
        <v>0</v>
      </c>
      <c r="Q50" s="18" t="n">
        <v>2.51111847</v>
      </c>
      <c r="R50" s="20" t="n">
        <v>0.66739036</v>
      </c>
    </row>
    <row r="51" spans="1:18">
      <c r="A51" s="15" t="s">
        <v>611</v>
      </c>
      <c r="B51" s="17" t="n">
        <v>3372</v>
      </c>
      <c r="C51" s="18">
        <f>(2727.0/B51*100)</f>
        <v/>
      </c>
      <c r="D51" s="19" t="n">
        <v>645</v>
      </c>
      <c r="E51" s="18" t="n">
        <v>50.37524845</v>
      </c>
      <c r="F51" s="20" t="n">
        <v>2.35902237</v>
      </c>
      <c r="G51" s="18" t="n">
        <v>47.50695604</v>
      </c>
      <c r="H51" s="20" t="n">
        <v>2.36752536</v>
      </c>
      <c r="I51" s="18" t="s">
        <v>567</v>
      </c>
      <c r="J51" s="20" t="s">
        <v>567</v>
      </c>
      <c r="K51" s="18" t="n">
        <v>0.14728685</v>
      </c>
      <c r="L51" s="20" t="n">
        <v>0.14760136</v>
      </c>
      <c r="M51" s="18" t="n">
        <v>0</v>
      </c>
      <c r="N51" s="20" t="n">
        <v>0</v>
      </c>
      <c r="O51" s="18" t="n">
        <v>0</v>
      </c>
      <c r="P51" s="20" t="n">
        <v>0</v>
      </c>
      <c r="Q51" s="18" t="n">
        <v>1.97050866</v>
      </c>
      <c r="R51" s="20" t="n">
        <v>0.54971607</v>
      </c>
    </row>
    <row r="52" spans="1:18">
      <c r="A52" s="15" t="s">
        <v>612</v>
      </c>
      <c r="B52" s="17" t="n">
        <v>2796</v>
      </c>
      <c r="C52" s="18">
        <f>(2175.0/B52*100)</f>
        <v/>
      </c>
      <c r="D52" s="19" t="n">
        <v>621</v>
      </c>
      <c r="E52" s="18" t="n">
        <v>26.81296703</v>
      </c>
      <c r="F52" s="20" t="n">
        <v>1.65411605</v>
      </c>
      <c r="G52" s="18" t="n">
        <v>72.8911619</v>
      </c>
      <c r="H52" s="20" t="n">
        <v>1.64470438</v>
      </c>
      <c r="I52" s="18" t="s">
        <v>567</v>
      </c>
      <c r="J52" s="20" t="s">
        <v>567</v>
      </c>
      <c r="K52" s="18" t="n">
        <v>0.16462784</v>
      </c>
      <c r="L52" s="20" t="n">
        <v>0.16135095</v>
      </c>
      <c r="M52" s="18" t="n">
        <v>0</v>
      </c>
      <c r="N52" s="20" t="n">
        <v>0</v>
      </c>
      <c r="O52" s="18" t="n">
        <v>0</v>
      </c>
      <c r="P52" s="20" t="n">
        <v>0</v>
      </c>
      <c r="Q52" s="18" t="n">
        <v>0.13124323</v>
      </c>
      <c r="R52" s="20" t="n">
        <v>0.13073787</v>
      </c>
    </row>
    <row r="53" spans="1:18">
      <c r="A53" s="15" t="s">
        <v>613</v>
      </c>
      <c r="B53" s="17" t="n">
        <v>2811</v>
      </c>
      <c r="C53" s="18">
        <f>(2180.0/B53*100)</f>
        <v/>
      </c>
      <c r="D53" s="19" t="n">
        <v>631</v>
      </c>
      <c r="E53" s="18" t="n">
        <v>45.94109443</v>
      </c>
      <c r="F53" s="20" t="n">
        <v>1.99171797</v>
      </c>
      <c r="G53" s="18" t="n">
        <v>51.35695065</v>
      </c>
      <c r="H53" s="20" t="n">
        <v>2.08238288</v>
      </c>
      <c r="I53" s="18" t="s">
        <v>567</v>
      </c>
      <c r="J53" s="20" t="s">
        <v>567</v>
      </c>
      <c r="K53" s="18" t="n">
        <v>0.21175905</v>
      </c>
      <c r="L53" s="20" t="n">
        <v>0.21228595</v>
      </c>
      <c r="M53" s="18" t="n">
        <v>0</v>
      </c>
      <c r="N53" s="20" t="n">
        <v>0</v>
      </c>
      <c r="O53" s="18" t="n">
        <v>0</v>
      </c>
      <c r="P53" s="20" t="n">
        <v>0</v>
      </c>
      <c r="Q53" s="18" t="n">
        <v>2.49019587</v>
      </c>
      <c r="R53" s="20" t="n">
        <v>0.59626421</v>
      </c>
    </row>
    <row r="54" spans="1:18">
      <c r="A54" s="15" t="s">
        <v>614</v>
      </c>
      <c r="B54" s="17" t="n">
        <v>2266</v>
      </c>
      <c r="C54" s="18">
        <f>(1787.0/B54*100)</f>
        <v/>
      </c>
      <c r="D54" s="19" t="n">
        <v>479</v>
      </c>
      <c r="E54" s="18" t="n">
        <v>52.62167344</v>
      </c>
      <c r="F54" s="20" t="n">
        <v>2.34176159</v>
      </c>
      <c r="G54" s="18" t="n">
        <v>29.91236089</v>
      </c>
      <c r="H54" s="20" t="n">
        <v>2.29149258</v>
      </c>
      <c r="I54" s="18" t="s">
        <v>567</v>
      </c>
      <c r="J54" s="20" t="s">
        <v>567</v>
      </c>
      <c r="K54" s="18" t="n">
        <v>3.67337851</v>
      </c>
      <c r="L54" s="20" t="n">
        <v>0.89732216</v>
      </c>
      <c r="M54" s="18" t="n">
        <v>0</v>
      </c>
      <c r="N54" s="20" t="n">
        <v>0</v>
      </c>
      <c r="O54" s="18" t="n">
        <v>0</v>
      </c>
      <c r="P54" s="20" t="n">
        <v>0</v>
      </c>
      <c r="Q54" s="18" t="n">
        <v>13.79258715</v>
      </c>
      <c r="R54" s="20" t="n">
        <v>1.7892296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(2086.0/B56*100)</f>
        <v/>
      </c>
      <c r="D56" s="19" t="n">
        <v>598</v>
      </c>
      <c r="E56" s="18" t="n">
        <v>23.59467193</v>
      </c>
      <c r="F56" s="20" t="n">
        <v>2.16060991</v>
      </c>
      <c r="G56" s="18" t="n">
        <v>75.67416464</v>
      </c>
      <c r="H56" s="20" t="n">
        <v>2.1339277</v>
      </c>
      <c r="I56" s="18" t="s">
        <v>567</v>
      </c>
      <c r="J56" s="20" t="s">
        <v>567</v>
      </c>
      <c r="K56" s="18" t="n">
        <v>0.14159862</v>
      </c>
      <c r="L56" s="20" t="n">
        <v>0.14221087</v>
      </c>
      <c r="M56" s="18" t="n">
        <v>0</v>
      </c>
      <c r="N56" s="20" t="n">
        <v>0</v>
      </c>
      <c r="O56" s="18" t="n">
        <v>0</v>
      </c>
      <c r="P56" s="20" t="n">
        <v>0</v>
      </c>
      <c r="Q56" s="18" t="n">
        <v>0.5895648100000001</v>
      </c>
      <c r="R56" s="20" t="n">
        <v>0.29245055</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(2598.0/B61*100)</f>
        <v/>
      </c>
      <c r="D61" s="19" t="n">
        <v>726</v>
      </c>
      <c r="E61" s="18" t="n">
        <v>22.49011412</v>
      </c>
      <c r="F61" s="20" t="n">
        <v>1.84205952</v>
      </c>
      <c r="G61" s="18" t="n">
        <v>77.11269953</v>
      </c>
      <c r="H61" s="20" t="n">
        <v>1.83118151</v>
      </c>
      <c r="I61" s="18" t="s">
        <v>567</v>
      </c>
      <c r="J61" s="20" t="s">
        <v>567</v>
      </c>
      <c r="K61" s="18" t="n">
        <v>0.044755</v>
      </c>
      <c r="L61" s="20" t="n">
        <v>0.04487091</v>
      </c>
      <c r="M61" s="18" t="n">
        <v>0</v>
      </c>
      <c r="N61" s="20" t="n">
        <v>0</v>
      </c>
      <c r="O61" s="18" t="n">
        <v>0</v>
      </c>
      <c r="P61" s="20" t="n">
        <v>0</v>
      </c>
      <c r="Q61" s="18" t="n">
        <v>0.35243135</v>
      </c>
      <c r="R61" s="20" t="n">
        <v>0.23877278</v>
      </c>
    </row>
    <row r="62" spans="1:18">
      <c r="A62" s="15" t="s">
        <v>622</v>
      </c>
      <c r="B62" s="17" t="n">
        <v>2246</v>
      </c>
      <c r="C62" s="18">
        <f>(1734.0/B62*100)</f>
        <v/>
      </c>
      <c r="D62" s="19" t="n">
        <v>512</v>
      </c>
      <c r="E62" s="18" t="n">
        <v>27.36407928</v>
      </c>
      <c r="F62" s="20" t="n">
        <v>1.96898759</v>
      </c>
      <c r="G62" s="18" t="n">
        <v>72.63592072</v>
      </c>
      <c r="H62" s="20" t="n">
        <v>1.96898759</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(2303.0/B66*100)</f>
        <v/>
      </c>
      <c r="D66" s="19" t="n">
        <v>591</v>
      </c>
      <c r="E66" s="18" t="n">
        <v>35.3148391</v>
      </c>
      <c r="F66" s="20" t="n">
        <v>2.09161818</v>
      </c>
      <c r="G66" s="18" t="n">
        <v>59.68799763</v>
      </c>
      <c r="H66" s="20" t="n">
        <v>1.99130992</v>
      </c>
      <c r="I66" s="18" t="s">
        <v>567</v>
      </c>
      <c r="J66" s="20" t="s">
        <v>567</v>
      </c>
      <c r="K66" s="18" t="n">
        <v>0.16442028</v>
      </c>
      <c r="L66" s="20" t="n">
        <v>0.16186992</v>
      </c>
      <c r="M66" s="18" t="n">
        <v>0</v>
      </c>
      <c r="N66" s="20" t="n">
        <v>0</v>
      </c>
      <c r="O66" s="18" t="n">
        <v>0</v>
      </c>
      <c r="P66" s="20" t="n">
        <v>0</v>
      </c>
      <c r="Q66" s="18" t="n">
        <v>4.83274299</v>
      </c>
      <c r="R66" s="20" t="n">
        <v>0.72075701</v>
      </c>
    </row>
    <row r="67" spans="1:18">
      <c r="A67" s="15" t="s">
        <v>627</v>
      </c>
      <c r="B67" s="17" t="n">
        <v>3511</v>
      </c>
      <c r="C67" s="18">
        <f>(2744.0/B67*100)</f>
        <v/>
      </c>
      <c r="D67" s="19" t="n">
        <v>767</v>
      </c>
      <c r="E67" s="18" t="n">
        <v>47.75814114</v>
      </c>
      <c r="F67" s="20" t="n">
        <v>2.17010924</v>
      </c>
      <c r="G67" s="18" t="n">
        <v>48.61189921</v>
      </c>
      <c r="H67" s="20" t="n">
        <v>2.02780736</v>
      </c>
      <c r="I67" s="18" t="s">
        <v>567</v>
      </c>
      <c r="J67" s="20" t="s">
        <v>567</v>
      </c>
      <c r="K67" s="18" t="n">
        <v>0.34698848</v>
      </c>
      <c r="L67" s="20" t="n">
        <v>0.34741703</v>
      </c>
      <c r="M67" s="18" t="n">
        <v>0</v>
      </c>
      <c r="N67" s="20" t="n">
        <v>0</v>
      </c>
      <c r="O67" s="18" t="n">
        <v>0</v>
      </c>
      <c r="P67" s="20" t="n">
        <v>0</v>
      </c>
      <c r="Q67" s="18" t="n">
        <v>3.28297117</v>
      </c>
      <c r="R67" s="20" t="n">
        <v>0.6603472</v>
      </c>
    </row>
    <row r="68" spans="1:18">
      <c r="A68" s="15" t="s">
        <v>628</v>
      </c>
      <c r="B68" s="17" t="n">
        <v>6049</v>
      </c>
      <c r="C68" s="18">
        <f>(4680.0/B68*100)</f>
        <v/>
      </c>
      <c r="D68" s="19" t="n">
        <v>1369</v>
      </c>
      <c r="E68" s="18" t="n">
        <v>40.74334842</v>
      </c>
      <c r="F68" s="20" t="n">
        <v>1.37513865</v>
      </c>
      <c r="G68" s="18" t="n">
        <v>54.47881948</v>
      </c>
      <c r="H68" s="20" t="n">
        <v>1.44292416</v>
      </c>
      <c r="I68" s="18" t="s">
        <v>567</v>
      </c>
      <c r="J68" s="20" t="s">
        <v>567</v>
      </c>
      <c r="K68" s="18" t="n">
        <v>1.6129637</v>
      </c>
      <c r="L68" s="20" t="n">
        <v>0.32827447</v>
      </c>
      <c r="M68" s="18" t="n">
        <v>0</v>
      </c>
      <c r="N68" s="20" t="n">
        <v>0</v>
      </c>
      <c r="O68" s="18" t="n">
        <v>0</v>
      </c>
      <c r="P68" s="20" t="n">
        <v>0</v>
      </c>
      <c r="Q68" s="18" t="n">
        <v>3.1648684</v>
      </c>
      <c r="R68" s="20" t="n">
        <v>0.46186323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(2293.0/B70*100)</f>
        <v/>
      </c>
      <c r="D70" s="19" t="n">
        <v>636</v>
      </c>
      <c r="E70" s="18" t="n">
        <v>17.22032882</v>
      </c>
      <c r="F70" s="20" t="n">
        <v>1.72142472</v>
      </c>
      <c r="G70" s="18" t="n">
        <v>82.09450293</v>
      </c>
      <c r="H70" s="20" t="n">
        <v>1.79376631</v>
      </c>
      <c r="I70" s="18" t="s">
        <v>567</v>
      </c>
      <c r="J70" s="20" t="s">
        <v>567</v>
      </c>
      <c r="K70" s="18" t="n">
        <v>0</v>
      </c>
      <c r="L70" s="20" t="n">
        <v>0</v>
      </c>
      <c r="M70" s="18" t="n">
        <v>0</v>
      </c>
      <c r="N70" s="20" t="n">
        <v>0</v>
      </c>
      <c r="O70" s="18" t="n">
        <v>0</v>
      </c>
      <c r="P70" s="20" t="n">
        <v>0</v>
      </c>
      <c r="Q70" s="18" t="n">
        <v>0.68516825</v>
      </c>
      <c r="R70" s="20" t="n">
        <v>0.42301094</v>
      </c>
    </row>
    <row r="71" spans="1:18">
      <c r="A71" s="15" t="s">
        <v>631</v>
      </c>
      <c r="B71" s="17" t="n">
        <v>3142</v>
      </c>
      <c r="C71" s="18">
        <f>(2462.0/B71*100)</f>
        <v/>
      </c>
      <c r="D71" s="19" t="n">
        <v>680</v>
      </c>
      <c r="E71" s="18" t="n">
        <v>40.57054089</v>
      </c>
      <c r="F71" s="20" t="n">
        <v>1.70448982</v>
      </c>
      <c r="G71" s="18" t="n">
        <v>59.13728328</v>
      </c>
      <c r="H71" s="20" t="n">
        <v>1.75509169</v>
      </c>
      <c r="I71" s="18" t="s">
        <v>567</v>
      </c>
      <c r="J71" s="20" t="s">
        <v>567</v>
      </c>
      <c r="K71" s="18" t="n">
        <v>0.29217583</v>
      </c>
      <c r="L71" s="20" t="n">
        <v>0.20746555</v>
      </c>
      <c r="M71" s="18" t="n">
        <v>0</v>
      </c>
      <c r="N71" s="20" t="n">
        <v>0</v>
      </c>
      <c r="O71" s="18" t="n">
        <v>0</v>
      </c>
      <c r="P71" s="20" t="n">
        <v>0</v>
      </c>
      <c r="Q71" s="18" t="n">
        <v>0</v>
      </c>
      <c r="R71" s="20" t="n">
        <v>0</v>
      </c>
    </row>
    <row r="72" spans="1:18">
      <c r="A72" s="15" t="s">
        <v>632</v>
      </c>
      <c r="B72" s="17" t="n">
        <v>3889</v>
      </c>
      <c r="C72" s="18">
        <f>(3053.0/B72*100)</f>
        <v/>
      </c>
      <c r="D72" s="19" t="n">
        <v>836</v>
      </c>
      <c r="E72" s="18" t="n">
        <v>16.07740576</v>
      </c>
      <c r="F72" s="20" t="n">
        <v>1.40440897</v>
      </c>
      <c r="G72" s="18" t="n">
        <v>83.51055191</v>
      </c>
      <c r="H72" s="20" t="n">
        <v>1.42814349</v>
      </c>
      <c r="I72" s="18" t="s">
        <v>567</v>
      </c>
      <c r="J72" s="20" t="s">
        <v>567</v>
      </c>
      <c r="K72" s="18" t="n">
        <v>0.07912066</v>
      </c>
      <c r="L72" s="20" t="n">
        <v>0.08146328999999999</v>
      </c>
      <c r="M72" s="18" t="n">
        <v>0</v>
      </c>
      <c r="N72" s="20" t="n">
        <v>0</v>
      </c>
      <c r="O72" s="18" t="n">
        <v>0</v>
      </c>
      <c r="P72" s="20" t="n">
        <v>0</v>
      </c>
      <c r="Q72" s="18" t="n">
        <v>0.33292167</v>
      </c>
      <c r="R72" s="20" t="n">
        <v>0.20516504</v>
      </c>
    </row>
    <row r="73" spans="1:18">
      <c r="A73" s="15" t="s">
        <v>633</v>
      </c>
      <c r="B73" s="17" t="n">
        <v>3597</v>
      </c>
      <c r="C73" s="18">
        <f>(2794.0/B73*100)</f>
        <v/>
      </c>
      <c r="D73" s="19" t="n">
        <v>803</v>
      </c>
      <c r="E73" s="18" t="n">
        <v>42.98812005</v>
      </c>
      <c r="F73" s="20" t="n">
        <v>2.17900734</v>
      </c>
      <c r="G73" s="18" t="n">
        <v>56.28968158</v>
      </c>
      <c r="H73" s="20" t="n">
        <v>2.22046564</v>
      </c>
      <c r="I73" s="18" t="s">
        <v>567</v>
      </c>
      <c r="J73" s="20" t="s">
        <v>567</v>
      </c>
      <c r="K73" s="18" t="n">
        <v>0</v>
      </c>
      <c r="L73" s="20" t="n">
        <v>0</v>
      </c>
      <c r="M73" s="18" t="n">
        <v>0</v>
      </c>
      <c r="N73" s="20" t="n">
        <v>0</v>
      </c>
      <c r="O73" s="18" t="n">
        <v>0</v>
      </c>
      <c r="P73" s="20" t="n">
        <v>0</v>
      </c>
      <c r="Q73" s="18" t="n">
        <v>0.72219837</v>
      </c>
      <c r="R73" s="20" t="n">
        <v>0.3396048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(1912.0/B75*100)</f>
        <v/>
      </c>
      <c r="D75" s="19" t="n">
        <v>494</v>
      </c>
      <c r="E75" s="18" t="n">
        <v>32.31182352</v>
      </c>
      <c r="F75" s="20" t="n">
        <v>2.22021201</v>
      </c>
      <c r="G75" s="18" t="n">
        <v>64.79530472</v>
      </c>
      <c r="H75" s="20" t="n">
        <v>2.34508451</v>
      </c>
      <c r="I75" s="18" t="s">
        <v>567</v>
      </c>
      <c r="J75" s="20" t="s">
        <v>567</v>
      </c>
      <c r="K75" s="18" t="n">
        <v>0.71992999</v>
      </c>
      <c r="L75" s="20" t="n">
        <v>0.37689895</v>
      </c>
      <c r="M75" s="18" t="n">
        <v>0</v>
      </c>
      <c r="N75" s="20" t="n">
        <v>0</v>
      </c>
      <c r="O75" s="18" t="n">
        <v>0</v>
      </c>
      <c r="P75" s="20" t="n">
        <v>0</v>
      </c>
      <c r="Q75" s="18" t="n">
        <v>2.17294177</v>
      </c>
      <c r="R75" s="20" t="n">
        <v>0.79168029</v>
      </c>
    </row>
    <row r="76" spans="1:18">
      <c r="A76" s="15" t="s">
        <v>636</v>
      </c>
      <c r="B76" s="17" t="n">
        <v>7052</v>
      </c>
      <c r="C76" s="18">
        <f>(5484.0/B76*100)</f>
        <v/>
      </c>
      <c r="D76" s="19" t="n">
        <v>1568</v>
      </c>
      <c r="E76" s="18" t="n">
        <v>41.43534534</v>
      </c>
      <c r="F76" s="20" t="n">
        <v>1.5550427</v>
      </c>
      <c r="G76" s="18" t="n">
        <v>55.32065334</v>
      </c>
      <c r="H76" s="20" t="n">
        <v>1.56584553</v>
      </c>
      <c r="I76" s="18" t="s">
        <v>567</v>
      </c>
      <c r="J76" s="20" t="s">
        <v>567</v>
      </c>
      <c r="K76" s="18" t="n">
        <v>1.0578212</v>
      </c>
      <c r="L76" s="20" t="n">
        <v>0.32674888</v>
      </c>
      <c r="M76" s="18" t="n">
        <v>0</v>
      </c>
      <c r="N76" s="20" t="n">
        <v>0</v>
      </c>
      <c r="O76" s="18" t="n">
        <v>0</v>
      </c>
      <c r="P76" s="20" t="n">
        <v>0</v>
      </c>
      <c r="Q76" s="18" t="n">
        <v>2.18618012</v>
      </c>
      <c r="R76" s="20" t="n">
        <v>0.47207661</v>
      </c>
    </row>
    <row r="77" spans="1:18">
      <c r="A77" s="15" t="s">
        <v>637</v>
      </c>
      <c r="B77" s="17" t="n">
        <v>2908</v>
      </c>
      <c r="C77" s="18">
        <f>(2270.0/B77*100)</f>
        <v/>
      </c>
      <c r="D77" s="19" t="n">
        <v>638</v>
      </c>
      <c r="E77" s="18" t="n">
        <v>37.39402972</v>
      </c>
      <c r="F77" s="20" t="n">
        <v>1.95275407</v>
      </c>
      <c r="G77" s="18" t="n">
        <v>61.2303492</v>
      </c>
      <c r="H77" s="20" t="n">
        <v>1.97654193</v>
      </c>
      <c r="I77" s="18" t="s">
        <v>567</v>
      </c>
      <c r="J77" s="20" t="s">
        <v>567</v>
      </c>
      <c r="K77" s="18" t="n">
        <v>0</v>
      </c>
      <c r="L77" s="20" t="n">
        <v>0</v>
      </c>
      <c r="M77" s="18" t="n">
        <v>0</v>
      </c>
      <c r="N77" s="20" t="n">
        <v>0</v>
      </c>
      <c r="O77" s="18" t="n">
        <v>0</v>
      </c>
      <c r="P77" s="20" t="n">
        <v>0</v>
      </c>
      <c r="Q77" s="18" t="n">
        <v>1.37562108</v>
      </c>
      <c r="R77" s="20" t="n">
        <v>0.52022496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(3230.0/B81*100)</f>
        <v/>
      </c>
      <c r="D81" s="19" t="n">
        <v>933</v>
      </c>
      <c r="E81" s="18" t="n">
        <v>58.98596279</v>
      </c>
      <c r="F81" s="20" t="n">
        <v>1.94956205</v>
      </c>
      <c r="G81" s="18" t="n">
        <v>40.62800243</v>
      </c>
      <c r="H81" s="20" t="n">
        <v>1.94239182</v>
      </c>
      <c r="I81" s="18" t="s">
        <v>567</v>
      </c>
      <c r="J81" s="20" t="s">
        <v>567</v>
      </c>
      <c r="K81" s="18" t="n">
        <v>0</v>
      </c>
      <c r="L81" s="20" t="n">
        <v>0</v>
      </c>
      <c r="M81" s="18" t="n">
        <v>0</v>
      </c>
      <c r="N81" s="20" t="n">
        <v>0</v>
      </c>
      <c r="O81" s="18" t="n">
        <v>0</v>
      </c>
      <c r="P81" s="20" t="n">
        <v>0</v>
      </c>
      <c r="Q81" s="18" t="n">
        <v>0.38603478</v>
      </c>
      <c r="R81" s="20" t="n">
        <v>0.21963413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(5752.0/B7*100)</f>
        <v/>
      </c>
      <c r="D7" s="19" t="n">
        <v>1615</v>
      </c>
      <c r="E7" s="18" t="n">
        <v>7.41383861</v>
      </c>
      <c r="F7" s="20" t="n">
        <v>0.6933836</v>
      </c>
      <c r="G7" s="18" t="n">
        <v>91.15508665999999</v>
      </c>
      <c r="H7" s="20" t="n">
        <v>0.71348411</v>
      </c>
      <c r="I7" s="18" t="s">
        <v>567</v>
      </c>
      <c r="J7" s="20" t="s">
        <v>567</v>
      </c>
      <c r="K7" s="18" t="n">
        <v>0.22301034</v>
      </c>
      <c r="L7" s="20" t="n">
        <v>0.12271444</v>
      </c>
      <c r="M7" s="18" t="n">
        <v>0</v>
      </c>
      <c r="N7" s="20" t="n">
        <v>0</v>
      </c>
      <c r="O7" s="18" t="n">
        <v>0</v>
      </c>
      <c r="P7" s="20" t="n">
        <v>0</v>
      </c>
      <c r="Q7" s="18" t="n">
        <v>1.20806439</v>
      </c>
      <c r="R7" s="20" t="n">
        <v>0.33087995</v>
      </c>
    </row>
    <row r="8" spans="1:18">
      <c r="A8" s="15" t="s">
        <v>568</v>
      </c>
      <c r="B8" s="17" t="n">
        <v>3564</v>
      </c>
      <c r="C8" s="18">
        <f>(2786.0/B8*100)</f>
        <v/>
      </c>
      <c r="D8" s="19" t="n">
        <v>778</v>
      </c>
      <c r="E8" s="18" t="n">
        <v>8.8881561</v>
      </c>
      <c r="F8" s="20" t="n">
        <v>1.27890536</v>
      </c>
      <c r="G8" s="18" t="n">
        <v>89.91720057000001</v>
      </c>
      <c r="H8" s="20" t="n">
        <v>1.39299674</v>
      </c>
      <c r="I8" s="18" t="s">
        <v>567</v>
      </c>
      <c r="J8" s="20" t="s">
        <v>567</v>
      </c>
      <c r="K8" s="18" t="n">
        <v>0.30276859</v>
      </c>
      <c r="L8" s="20" t="n">
        <v>0.21155525</v>
      </c>
      <c r="M8" s="18" t="n">
        <v>0</v>
      </c>
      <c r="N8" s="20" t="n">
        <v>0</v>
      </c>
      <c r="O8" s="18" t="n">
        <v>0</v>
      </c>
      <c r="P8" s="20" t="n">
        <v>0</v>
      </c>
      <c r="Q8" s="18" t="n">
        <v>0.89187474</v>
      </c>
      <c r="R8" s="20" t="n">
        <v>0.33507367</v>
      </c>
    </row>
    <row r="9" spans="1:18">
      <c r="A9" s="15" t="s">
        <v>569</v>
      </c>
      <c r="B9" s="17" t="n">
        <v>4899</v>
      </c>
      <c r="C9" s="18">
        <f>(3837.0/B9*100)</f>
        <v/>
      </c>
      <c r="D9" s="19" t="n">
        <v>1062</v>
      </c>
      <c r="E9" s="18" t="n">
        <v>7.73290119</v>
      </c>
      <c r="F9" s="20" t="n">
        <v>0.92908722</v>
      </c>
      <c r="G9" s="18" t="n">
        <v>90.56211080999999</v>
      </c>
      <c r="H9" s="20" t="n">
        <v>1.04752209</v>
      </c>
      <c r="I9" s="18" t="s">
        <v>567</v>
      </c>
      <c r="J9" s="20" t="s">
        <v>567</v>
      </c>
      <c r="K9" s="18" t="n">
        <v>0.1944922</v>
      </c>
      <c r="L9" s="20" t="n">
        <v>0.10834388</v>
      </c>
      <c r="M9" s="18" t="n">
        <v>0</v>
      </c>
      <c r="N9" s="20" t="n">
        <v>0</v>
      </c>
      <c r="O9" s="18" t="n">
        <v>0</v>
      </c>
      <c r="P9" s="20" t="n">
        <v>0</v>
      </c>
      <c r="Q9" s="18" t="n">
        <v>1.5104958</v>
      </c>
      <c r="R9" s="20" t="n">
        <v>0.39128781</v>
      </c>
    </row>
    <row r="10" spans="1:18">
      <c r="A10" s="15" t="s">
        <v>570</v>
      </c>
      <c r="B10" s="17" t="n">
        <v>10036</v>
      </c>
      <c r="C10" s="18">
        <f>(7784.0/B10*100)</f>
        <v/>
      </c>
      <c r="D10" s="19" t="n">
        <v>2252</v>
      </c>
      <c r="E10" s="18" t="n">
        <v>6.02393307</v>
      </c>
      <c r="F10" s="20" t="n">
        <v>0.74412786</v>
      </c>
      <c r="G10" s="18" t="n">
        <v>92.56438823000001</v>
      </c>
      <c r="H10" s="20" t="n">
        <v>0.78624626</v>
      </c>
      <c r="I10" s="18" t="s">
        <v>567</v>
      </c>
      <c r="J10" s="20" t="s">
        <v>567</v>
      </c>
      <c r="K10" s="18" t="n">
        <v>0.41881906</v>
      </c>
      <c r="L10" s="20" t="n">
        <v>0.21226202</v>
      </c>
      <c r="M10" s="18" t="n">
        <v>0</v>
      </c>
      <c r="N10" s="20" t="n">
        <v>0</v>
      </c>
      <c r="O10" s="18" t="n">
        <v>0</v>
      </c>
      <c r="P10" s="20" t="n">
        <v>0</v>
      </c>
      <c r="Q10" s="18" t="n">
        <v>0.99285965</v>
      </c>
      <c r="R10" s="20" t="n">
        <v>0.28975175</v>
      </c>
    </row>
    <row r="11" spans="1:18">
      <c r="A11" s="15" t="s">
        <v>571</v>
      </c>
      <c r="B11" s="17" t="n">
        <v>3553</v>
      </c>
      <c r="C11" s="18">
        <f>(2751.0/B11*100)</f>
        <v/>
      </c>
      <c r="D11" s="19" t="n">
        <v>802</v>
      </c>
      <c r="E11" s="18" t="n">
        <v>10.22365831</v>
      </c>
      <c r="F11" s="20" t="n">
        <v>1.58436583</v>
      </c>
      <c r="G11" s="18" t="n">
        <v>86.86132050000001</v>
      </c>
      <c r="H11" s="20" t="n">
        <v>1.76592066</v>
      </c>
      <c r="I11" s="18" t="s">
        <v>567</v>
      </c>
      <c r="J11" s="20" t="s">
        <v>567</v>
      </c>
      <c r="K11" s="18" t="n">
        <v>0</v>
      </c>
      <c r="L11" s="20" t="n">
        <v>0</v>
      </c>
      <c r="M11" s="18" t="n">
        <v>0</v>
      </c>
      <c r="N11" s="20" t="n">
        <v>0</v>
      </c>
      <c r="O11" s="18" t="n">
        <v>0</v>
      </c>
      <c r="P11" s="20" t="n">
        <v>0</v>
      </c>
      <c r="Q11" s="18" t="n">
        <v>2.91502119</v>
      </c>
      <c r="R11" s="20" t="n">
        <v>0.68488457</v>
      </c>
    </row>
    <row r="12" spans="1:18">
      <c r="A12" s="15" t="s">
        <v>572</v>
      </c>
      <c r="B12" s="17" t="n">
        <v>3472</v>
      </c>
      <c r="C12" s="18">
        <f>(2707.0/B12*100)</f>
        <v/>
      </c>
      <c r="D12" s="19" t="n">
        <v>765</v>
      </c>
      <c r="E12" s="18" t="n">
        <v>7.13785834</v>
      </c>
      <c r="F12" s="20" t="n">
        <v>1.00738601</v>
      </c>
      <c r="G12" s="18" t="n">
        <v>91.8244986</v>
      </c>
      <c r="H12" s="20" t="n">
        <v>1.09379046</v>
      </c>
      <c r="I12" s="18" t="s">
        <v>567</v>
      </c>
      <c r="J12" s="20" t="s">
        <v>567</v>
      </c>
      <c r="K12" s="18" t="n">
        <v>0</v>
      </c>
      <c r="L12" s="20" t="n">
        <v>0</v>
      </c>
      <c r="M12" s="18" t="n">
        <v>0</v>
      </c>
      <c r="N12" s="20" t="n">
        <v>0</v>
      </c>
      <c r="O12" s="18" t="n">
        <v>0</v>
      </c>
      <c r="P12" s="20" t="n">
        <v>0</v>
      </c>
      <c r="Q12" s="18" t="n">
        <v>1.03764306</v>
      </c>
      <c r="R12" s="20" t="n">
        <v>0.50080629</v>
      </c>
    </row>
    <row r="13" spans="1:18">
      <c r="A13" s="15" t="s">
        <v>573</v>
      </c>
      <c r="B13" s="17" t="n">
        <v>3559</v>
      </c>
      <c r="C13" s="18">
        <f>(2796.0/B13*100)</f>
        <v/>
      </c>
      <c r="D13" s="19" t="n">
        <v>763</v>
      </c>
      <c r="E13" s="18" t="n">
        <v>7.22303675</v>
      </c>
      <c r="F13" s="20" t="n">
        <v>1.09789307</v>
      </c>
      <c r="G13" s="18" t="n">
        <v>91.80774241</v>
      </c>
      <c r="H13" s="20" t="n">
        <v>1.2152609</v>
      </c>
      <c r="I13" s="18" t="s">
        <v>567</v>
      </c>
      <c r="J13" s="20" t="s">
        <v>567</v>
      </c>
      <c r="K13" s="18" t="n">
        <v>0.15460806</v>
      </c>
      <c r="L13" s="20" t="n">
        <v>0.11193588</v>
      </c>
      <c r="M13" s="18" t="n">
        <v>0</v>
      </c>
      <c r="N13" s="20" t="n">
        <v>0</v>
      </c>
      <c r="O13" s="18" t="n">
        <v>0</v>
      </c>
      <c r="P13" s="20" t="n">
        <v>0</v>
      </c>
      <c r="Q13" s="18" t="n">
        <v>0.81461278</v>
      </c>
      <c r="R13" s="20" t="n">
        <v>0.4485928</v>
      </c>
    </row>
    <row r="14" spans="1:18">
      <c r="A14" s="15" t="s">
        <v>574</v>
      </c>
      <c r="B14" s="17" t="n">
        <v>2799</v>
      </c>
      <c r="C14" s="18">
        <f>(2170.0/B14*100)</f>
        <v/>
      </c>
      <c r="D14" s="19" t="n">
        <v>629</v>
      </c>
      <c r="E14" s="18" t="n">
        <v>6.90303829</v>
      </c>
      <c r="F14" s="20" t="n">
        <v>1.13179802</v>
      </c>
      <c r="G14" s="18" t="n">
        <v>92.31091626</v>
      </c>
      <c r="H14" s="20" t="n">
        <v>1.19413384</v>
      </c>
      <c r="I14" s="18" t="s">
        <v>567</v>
      </c>
      <c r="J14" s="20" t="s">
        <v>567</v>
      </c>
      <c r="K14" s="18" t="n">
        <v>0.1441363</v>
      </c>
      <c r="L14" s="20" t="n">
        <v>0.14367076</v>
      </c>
      <c r="M14" s="18" t="n">
        <v>0</v>
      </c>
      <c r="N14" s="20" t="n">
        <v>0</v>
      </c>
      <c r="O14" s="18" t="n">
        <v>0</v>
      </c>
      <c r="P14" s="20" t="n">
        <v>0</v>
      </c>
      <c r="Q14" s="18" t="n">
        <v>0.64190915</v>
      </c>
      <c r="R14" s="20" t="n">
        <v>0.29044367</v>
      </c>
    </row>
    <row r="15" spans="1:18">
      <c r="A15" s="15" t="s">
        <v>575</v>
      </c>
      <c r="B15" s="17" t="n">
        <v>3019</v>
      </c>
      <c r="C15" s="18">
        <f>(2296.0/B15*100)</f>
        <v/>
      </c>
      <c r="D15" s="19" t="n">
        <v>723</v>
      </c>
      <c r="E15" s="18" t="n">
        <v>7.38336084</v>
      </c>
      <c r="F15" s="20" t="n">
        <v>1.09878699</v>
      </c>
      <c r="G15" s="18" t="n">
        <v>91.53362957</v>
      </c>
      <c r="H15" s="20" t="n">
        <v>1.15815378</v>
      </c>
      <c r="I15" s="18" t="s">
        <v>567</v>
      </c>
      <c r="J15" s="20" t="s">
        <v>567</v>
      </c>
      <c r="K15" s="18" t="n">
        <v>0.15508766</v>
      </c>
      <c r="L15" s="20" t="n">
        <v>0.17011839</v>
      </c>
      <c r="M15" s="18" t="n">
        <v>0</v>
      </c>
      <c r="N15" s="20" t="n">
        <v>0</v>
      </c>
      <c r="O15" s="18" t="n">
        <v>0</v>
      </c>
      <c r="P15" s="20" t="n">
        <v>0</v>
      </c>
      <c r="Q15" s="18" t="n">
        <v>0.92792193</v>
      </c>
      <c r="R15" s="20" t="n">
        <v>0.34187082</v>
      </c>
    </row>
    <row r="16" spans="1:18">
      <c r="A16" s="15" t="s">
        <v>576</v>
      </c>
      <c r="B16" s="17" t="n">
        <v>2997</v>
      </c>
      <c r="C16" s="18">
        <f>(2321.0/B16*100)</f>
        <v/>
      </c>
      <c r="D16" s="19" t="n">
        <v>676</v>
      </c>
      <c r="E16" s="18" t="n">
        <v>8.884938760000001</v>
      </c>
      <c r="F16" s="20" t="n">
        <v>1.1765042</v>
      </c>
      <c r="G16" s="18" t="n">
        <v>87.53747459</v>
      </c>
      <c r="H16" s="20" t="n">
        <v>1.45686043</v>
      </c>
      <c r="I16" s="18" t="s">
        <v>567</v>
      </c>
      <c r="J16" s="20" t="s">
        <v>567</v>
      </c>
      <c r="K16" s="18" t="n">
        <v>0.64226648</v>
      </c>
      <c r="L16" s="20" t="n">
        <v>0.28158706</v>
      </c>
      <c r="M16" s="18" t="n">
        <v>0</v>
      </c>
      <c r="N16" s="20" t="n">
        <v>0</v>
      </c>
      <c r="O16" s="18" t="n">
        <v>0</v>
      </c>
      <c r="P16" s="20" t="n">
        <v>0</v>
      </c>
      <c r="Q16" s="18" t="n">
        <v>2.93532017</v>
      </c>
      <c r="R16" s="20" t="n">
        <v>0.61330209</v>
      </c>
    </row>
    <row r="17" spans="1:18">
      <c r="A17" s="15" t="s">
        <v>577</v>
      </c>
      <c r="B17" s="17" t="n">
        <v>3307</v>
      </c>
      <c r="C17" s="18">
        <f>(2576.0/B17*100)</f>
        <v/>
      </c>
      <c r="D17" s="19" t="n">
        <v>731</v>
      </c>
      <c r="E17" s="18" t="n">
        <v>8.87130616</v>
      </c>
      <c r="F17" s="20" t="n">
        <v>1.03432627</v>
      </c>
      <c r="G17" s="18" t="n">
        <v>90.45394820999999</v>
      </c>
      <c r="H17" s="20" t="n">
        <v>1.10079351</v>
      </c>
      <c r="I17" s="18" t="s">
        <v>567</v>
      </c>
      <c r="J17" s="20" t="s">
        <v>567</v>
      </c>
      <c r="K17" s="18" t="n">
        <v>0</v>
      </c>
      <c r="L17" s="20" t="n">
        <v>0</v>
      </c>
      <c r="M17" s="18" t="n">
        <v>0</v>
      </c>
      <c r="N17" s="20" t="n">
        <v>0</v>
      </c>
      <c r="O17" s="18" t="n">
        <v>0</v>
      </c>
      <c r="P17" s="20" t="n">
        <v>0</v>
      </c>
      <c r="Q17" s="18" t="n">
        <v>0.67474563</v>
      </c>
      <c r="R17" s="20" t="n">
        <v>0.29895431</v>
      </c>
    </row>
    <row r="18" spans="1:18">
      <c r="A18" s="15" t="s">
        <v>578</v>
      </c>
      <c r="B18" s="17" t="n">
        <v>2826</v>
      </c>
      <c r="C18" s="18">
        <f>(2211.0/B18*100)</f>
        <v/>
      </c>
      <c r="D18" s="19" t="n">
        <v>615</v>
      </c>
      <c r="E18" s="18" t="n">
        <v>12.02888775</v>
      </c>
      <c r="F18" s="20" t="n">
        <v>1.49265404</v>
      </c>
      <c r="G18" s="18" t="n">
        <v>85.46323752000001</v>
      </c>
      <c r="H18" s="20" t="n">
        <v>1.91402769</v>
      </c>
      <c r="I18" s="18" t="s">
        <v>567</v>
      </c>
      <c r="J18" s="20" t="s">
        <v>567</v>
      </c>
      <c r="K18" s="18" t="n">
        <v>0.13429789</v>
      </c>
      <c r="L18" s="20" t="n">
        <v>0.13390859</v>
      </c>
      <c r="M18" s="18" t="n">
        <v>0</v>
      </c>
      <c r="N18" s="20" t="n">
        <v>0</v>
      </c>
      <c r="O18" s="18" t="n">
        <v>0</v>
      </c>
      <c r="P18" s="20" t="n">
        <v>0</v>
      </c>
      <c r="Q18" s="18" t="n">
        <v>2.37357684</v>
      </c>
      <c r="R18" s="20" t="n">
        <v>0.80194376</v>
      </c>
    </row>
    <row r="19" spans="1:18">
      <c r="A19" s="15" t="s">
        <v>579</v>
      </c>
      <c r="B19" s="17" t="n">
        <v>2808</v>
      </c>
      <c r="C19" s="18">
        <f>(2185.0/B19*100)</f>
        <v/>
      </c>
      <c r="D19" s="19" t="n">
        <v>623</v>
      </c>
      <c r="E19" s="18" t="n">
        <v>11.00972735</v>
      </c>
      <c r="F19" s="20" t="n">
        <v>1.76943758</v>
      </c>
      <c r="G19" s="18" t="n">
        <v>87.07936290000001</v>
      </c>
      <c r="H19" s="20" t="n">
        <v>2.09227312</v>
      </c>
      <c r="I19" s="18" t="s">
        <v>567</v>
      </c>
      <c r="J19" s="20" t="s">
        <v>567</v>
      </c>
      <c r="K19" s="18" t="n">
        <v>0</v>
      </c>
      <c r="L19" s="20" t="n">
        <v>0</v>
      </c>
      <c r="M19" s="18" t="n">
        <v>0</v>
      </c>
      <c r="N19" s="20" t="n">
        <v>0</v>
      </c>
      <c r="O19" s="18" t="n">
        <v>0</v>
      </c>
      <c r="P19" s="20" t="n">
        <v>0</v>
      </c>
      <c r="Q19" s="18" t="n">
        <v>1.91090975</v>
      </c>
      <c r="R19" s="20" t="n">
        <v>0.8702872699999999</v>
      </c>
    </row>
    <row r="20" spans="1:18">
      <c r="A20" s="15" t="s">
        <v>580</v>
      </c>
      <c r="B20" s="17" t="n">
        <v>1630</v>
      </c>
      <c r="C20" s="18">
        <f>(1265.0/B20*100)</f>
        <v/>
      </c>
      <c r="D20" s="19" t="n">
        <v>365</v>
      </c>
      <c r="E20" s="18" t="n">
        <v>9.47023231</v>
      </c>
      <c r="F20" s="20" t="n">
        <v>1.42691518</v>
      </c>
      <c r="G20" s="18" t="n">
        <v>88.91883661999999</v>
      </c>
      <c r="H20" s="20" t="n">
        <v>1.60556694</v>
      </c>
      <c r="I20" s="18" t="s">
        <v>567</v>
      </c>
      <c r="J20" s="20" t="s">
        <v>567</v>
      </c>
      <c r="K20" s="18" t="n">
        <v>0.26799834</v>
      </c>
      <c r="L20" s="20" t="n">
        <v>0.27033441</v>
      </c>
      <c r="M20" s="18" t="n">
        <v>0</v>
      </c>
      <c r="N20" s="20" t="n">
        <v>0</v>
      </c>
      <c r="O20" s="18" t="n">
        <v>0</v>
      </c>
      <c r="P20" s="20" t="n">
        <v>0</v>
      </c>
      <c r="Q20" s="18" t="n">
        <v>1.34293274</v>
      </c>
      <c r="R20" s="20" t="n">
        <v>0.83585133</v>
      </c>
    </row>
    <row r="21" spans="1:18">
      <c r="A21" s="15" t="s">
        <v>581</v>
      </c>
      <c r="B21" s="17" t="n">
        <v>2908</v>
      </c>
      <c r="C21" s="18">
        <f>(2256.0/B21*100)</f>
        <v/>
      </c>
      <c r="D21" s="19" t="n">
        <v>652</v>
      </c>
      <c r="E21" s="18" t="n">
        <v>9.19306276</v>
      </c>
      <c r="F21" s="20" t="n">
        <v>1.24904012</v>
      </c>
      <c r="G21" s="18" t="n">
        <v>90.04470261</v>
      </c>
      <c r="H21" s="20" t="n">
        <v>1.2720173</v>
      </c>
      <c r="I21" s="18" t="s">
        <v>567</v>
      </c>
      <c r="J21" s="20" t="s">
        <v>567</v>
      </c>
      <c r="K21" s="18" t="n">
        <v>0.20866309</v>
      </c>
      <c r="L21" s="20" t="n">
        <v>0.17432168</v>
      </c>
      <c r="M21" s="18" t="n">
        <v>0</v>
      </c>
      <c r="N21" s="20" t="n">
        <v>0</v>
      </c>
      <c r="O21" s="18" t="n">
        <v>0</v>
      </c>
      <c r="P21" s="20" t="n">
        <v>0</v>
      </c>
      <c r="Q21" s="18" t="n">
        <v>0.55357154</v>
      </c>
      <c r="R21" s="20" t="n">
        <v>0.266391</v>
      </c>
    </row>
    <row r="22" spans="1:18">
      <c r="A22" s="15" t="s">
        <v>582</v>
      </c>
      <c r="B22" s="17" t="n">
        <v>2931</v>
      </c>
      <c r="C22" s="18">
        <f>(2338.0/B22*100)</f>
        <v/>
      </c>
      <c r="D22" s="19" t="n">
        <v>593</v>
      </c>
      <c r="E22" s="18" t="n">
        <v>11.77925404</v>
      </c>
      <c r="F22" s="20" t="n">
        <v>1.58176004</v>
      </c>
      <c r="G22" s="18" t="n">
        <v>85.56355722000001</v>
      </c>
      <c r="H22" s="20" t="n">
        <v>1.96706868</v>
      </c>
      <c r="I22" s="18" t="s">
        <v>567</v>
      </c>
      <c r="J22" s="20" t="s">
        <v>567</v>
      </c>
      <c r="K22" s="18" t="n">
        <v>0.32504024</v>
      </c>
      <c r="L22" s="20" t="n">
        <v>0.27071416</v>
      </c>
      <c r="M22" s="18" t="n">
        <v>0</v>
      </c>
      <c r="N22" s="20" t="n">
        <v>0</v>
      </c>
      <c r="O22" s="18" t="n">
        <v>0</v>
      </c>
      <c r="P22" s="20" t="n">
        <v>0</v>
      </c>
      <c r="Q22" s="18" t="n">
        <v>2.33214849</v>
      </c>
      <c r="R22" s="20" t="n">
        <v>0.7845409800000001</v>
      </c>
    </row>
    <row r="23" spans="1:18">
      <c r="A23" s="15" t="s">
        <v>583</v>
      </c>
      <c r="B23" s="17" t="n">
        <v>5791</v>
      </c>
      <c r="C23" s="18">
        <f>(4525.0/B23*100)</f>
        <v/>
      </c>
      <c r="D23" s="19" t="n">
        <v>1266</v>
      </c>
      <c r="E23" s="18" t="n">
        <v>8.75153735</v>
      </c>
      <c r="F23" s="20" t="n">
        <v>1.15967976</v>
      </c>
      <c r="G23" s="18" t="n">
        <v>88.83566758000001</v>
      </c>
      <c r="H23" s="20" t="n">
        <v>1.5107599</v>
      </c>
      <c r="I23" s="18" t="s">
        <v>567</v>
      </c>
      <c r="J23" s="20" t="s">
        <v>567</v>
      </c>
      <c r="K23" s="18" t="n">
        <v>0.38007441</v>
      </c>
      <c r="L23" s="20" t="n">
        <v>0.27291631</v>
      </c>
      <c r="M23" s="18" t="n">
        <v>0</v>
      </c>
      <c r="N23" s="20" t="n">
        <v>0</v>
      </c>
      <c r="O23" s="18" t="n">
        <v>0</v>
      </c>
      <c r="P23" s="20" t="n">
        <v>0</v>
      </c>
      <c r="Q23" s="18" t="n">
        <v>2.03272066</v>
      </c>
      <c r="R23" s="20" t="n">
        <v>1.00945889</v>
      </c>
    </row>
    <row r="24" spans="1:18">
      <c r="A24" s="15" t="s">
        <v>584</v>
      </c>
      <c r="B24" s="17" t="n">
        <v>3338</v>
      </c>
      <c r="C24" s="18">
        <f>(2601.0/B24*100)</f>
        <v/>
      </c>
      <c r="D24" s="19" t="n">
        <v>737</v>
      </c>
      <c r="E24" s="18" t="n">
        <v>8.595972270000001</v>
      </c>
      <c r="F24" s="20" t="n">
        <v>1.22192658</v>
      </c>
      <c r="G24" s="18" t="n">
        <v>89.74601525999999</v>
      </c>
      <c r="H24" s="20" t="n">
        <v>1.3535534</v>
      </c>
      <c r="I24" s="18" t="s">
        <v>567</v>
      </c>
      <c r="J24" s="20" t="s">
        <v>567</v>
      </c>
      <c r="K24" s="18" t="n">
        <v>0.22353495</v>
      </c>
      <c r="L24" s="20" t="n">
        <v>0.16105168</v>
      </c>
      <c r="M24" s="18" t="n">
        <v>0</v>
      </c>
      <c r="N24" s="20" t="n">
        <v>0</v>
      </c>
      <c r="O24" s="18" t="n">
        <v>0</v>
      </c>
      <c r="P24" s="20" t="n">
        <v>0</v>
      </c>
      <c r="Q24" s="18" t="n">
        <v>1.43447752</v>
      </c>
      <c r="R24" s="20" t="n">
        <v>0.5046958499999999</v>
      </c>
    </row>
    <row r="25" spans="1:18">
      <c r="A25" s="15" t="s">
        <v>585</v>
      </c>
      <c r="B25" s="17" t="n">
        <v>2912</v>
      </c>
      <c r="C25" s="18">
        <f>(2276.0/B25*100)</f>
        <v/>
      </c>
      <c r="D25" s="19" t="n">
        <v>636</v>
      </c>
      <c r="E25" s="18" t="n">
        <v>9.89548173</v>
      </c>
      <c r="F25" s="20" t="n">
        <v>1.23802498</v>
      </c>
      <c r="G25" s="18" t="n">
        <v>88.91267148</v>
      </c>
      <c r="H25" s="20" t="n">
        <v>1.3091132</v>
      </c>
      <c r="I25" s="18" t="s">
        <v>567</v>
      </c>
      <c r="J25" s="20" t="s">
        <v>567</v>
      </c>
      <c r="K25" s="18" t="n">
        <v>0</v>
      </c>
      <c r="L25" s="20" t="n">
        <v>0</v>
      </c>
      <c r="M25" s="18" t="n">
        <v>0</v>
      </c>
      <c r="N25" s="20" t="n">
        <v>0</v>
      </c>
      <c r="O25" s="18" t="n">
        <v>0</v>
      </c>
      <c r="P25" s="20" t="n">
        <v>0</v>
      </c>
      <c r="Q25" s="18" t="n">
        <v>1.1918468</v>
      </c>
      <c r="R25" s="20" t="n">
        <v>0.3765031</v>
      </c>
    </row>
    <row r="26" spans="1:18">
      <c r="A26" s="15" t="s">
        <v>586</v>
      </c>
      <c r="B26" s="17" t="n">
        <v>2450</v>
      </c>
      <c r="C26" s="18">
        <f>(1907.0/B26*100)</f>
        <v/>
      </c>
      <c r="D26" s="19" t="n">
        <v>543</v>
      </c>
      <c r="E26" s="18" t="n">
        <v>9.17818398</v>
      </c>
      <c r="F26" s="20" t="n">
        <v>1.28048365</v>
      </c>
      <c r="G26" s="18" t="n">
        <v>90.68053723</v>
      </c>
      <c r="H26" s="20" t="n">
        <v>1.26576569</v>
      </c>
      <c r="I26" s="18" t="s">
        <v>567</v>
      </c>
      <c r="J26" s="20" t="s">
        <v>567</v>
      </c>
      <c r="K26" s="18" t="n">
        <v>0</v>
      </c>
      <c r="L26" s="20" t="n">
        <v>0</v>
      </c>
      <c r="M26" s="18" t="n">
        <v>0</v>
      </c>
      <c r="N26" s="20" t="n">
        <v>0</v>
      </c>
      <c r="O26" s="18" t="n">
        <v>0</v>
      </c>
      <c r="P26" s="20" t="n">
        <v>0</v>
      </c>
      <c r="Q26" s="18" t="n">
        <v>0.14127878</v>
      </c>
      <c r="R26" s="20" t="n">
        <v>0.13766386</v>
      </c>
    </row>
    <row r="27" spans="1:18">
      <c r="A27" s="15" t="s">
        <v>587</v>
      </c>
      <c r="B27" s="17" t="n">
        <v>2616</v>
      </c>
      <c r="C27" s="18">
        <f>(2034.0/B27*100)</f>
        <v/>
      </c>
      <c r="D27" s="19" t="n">
        <v>582</v>
      </c>
      <c r="E27" s="18" t="n">
        <v>8.919068469999999</v>
      </c>
      <c r="F27" s="20" t="n">
        <v>1.11636434</v>
      </c>
      <c r="G27" s="18" t="n">
        <v>90.22603466</v>
      </c>
      <c r="H27" s="20" t="n">
        <v>1.14229803</v>
      </c>
      <c r="I27" s="18" t="s">
        <v>567</v>
      </c>
      <c r="J27" s="20" t="s">
        <v>567</v>
      </c>
      <c r="K27" s="18" t="n">
        <v>0</v>
      </c>
      <c r="L27" s="20" t="n">
        <v>0</v>
      </c>
      <c r="M27" s="18" t="n">
        <v>0</v>
      </c>
      <c r="N27" s="20" t="n">
        <v>0</v>
      </c>
      <c r="O27" s="18" t="n">
        <v>0</v>
      </c>
      <c r="P27" s="20" t="n">
        <v>0</v>
      </c>
      <c r="Q27" s="18" t="n">
        <v>0.85489688</v>
      </c>
      <c r="R27" s="20" t="n">
        <v>0.378101</v>
      </c>
    </row>
    <row r="28" spans="1:18">
      <c r="A28" s="15" t="s">
        <v>588</v>
      </c>
      <c r="B28" s="17" t="n">
        <v>3765</v>
      </c>
      <c r="C28" s="18">
        <f>(2990.0/B28*100)</f>
        <v/>
      </c>
      <c r="D28" s="19" t="n">
        <v>775</v>
      </c>
      <c r="E28" s="18" t="n">
        <v>12.3929602</v>
      </c>
      <c r="F28" s="20" t="n">
        <v>1.63104266</v>
      </c>
      <c r="G28" s="18" t="n">
        <v>83.32916345</v>
      </c>
      <c r="H28" s="20" t="n">
        <v>1.81615265</v>
      </c>
      <c r="I28" s="18" t="s">
        <v>567</v>
      </c>
      <c r="J28" s="20" t="s">
        <v>567</v>
      </c>
      <c r="K28" s="18" t="n">
        <v>0.26290125</v>
      </c>
      <c r="L28" s="20" t="n">
        <v>0.18645519</v>
      </c>
      <c r="M28" s="18" t="n">
        <v>0</v>
      </c>
      <c r="N28" s="20" t="n">
        <v>0</v>
      </c>
      <c r="O28" s="18" t="n">
        <v>0</v>
      </c>
      <c r="P28" s="20" t="n">
        <v>0</v>
      </c>
      <c r="Q28" s="18" t="n">
        <v>4.01497511</v>
      </c>
      <c r="R28" s="20" t="n">
        <v>0.70599651</v>
      </c>
    </row>
    <row r="29" spans="1:18">
      <c r="A29" s="15" t="s">
        <v>589</v>
      </c>
      <c r="B29" s="17" t="n">
        <v>2685</v>
      </c>
      <c r="C29" s="18">
        <f>(2099.0/B29*100)</f>
        <v/>
      </c>
      <c r="D29" s="19" t="n">
        <v>586</v>
      </c>
      <c r="E29" s="18" t="n">
        <v>10.00555041</v>
      </c>
      <c r="F29" s="20" t="n">
        <v>1.43270558</v>
      </c>
      <c r="G29" s="18" t="n">
        <v>89.51369582</v>
      </c>
      <c r="H29" s="20" t="n">
        <v>1.44790493</v>
      </c>
      <c r="I29" s="18" t="s">
        <v>567</v>
      </c>
      <c r="J29" s="20" t="s">
        <v>567</v>
      </c>
      <c r="K29" s="18" t="n">
        <v>0.16790502</v>
      </c>
      <c r="L29" s="20" t="n">
        <v>0.16568474</v>
      </c>
      <c r="M29" s="18" t="n">
        <v>0</v>
      </c>
      <c r="N29" s="20" t="n">
        <v>0</v>
      </c>
      <c r="O29" s="18" t="n">
        <v>0</v>
      </c>
      <c r="P29" s="20" t="n">
        <v>0</v>
      </c>
      <c r="Q29" s="18" t="n">
        <v>0.31284875</v>
      </c>
      <c r="R29" s="20" t="n">
        <v>0.23150056</v>
      </c>
    </row>
    <row r="30" spans="1:18">
      <c r="A30" s="15" t="s">
        <v>590</v>
      </c>
      <c r="B30" s="17" t="n">
        <v>2263</v>
      </c>
      <c r="C30" s="18">
        <f>(1774.0/B30*100)</f>
        <v/>
      </c>
      <c r="D30" s="19" t="n">
        <v>489</v>
      </c>
      <c r="E30" s="18" t="n">
        <v>7.33924426</v>
      </c>
      <c r="F30" s="20" t="n">
        <v>1.34174986</v>
      </c>
      <c r="G30" s="18" t="n">
        <v>91.04570854000001</v>
      </c>
      <c r="H30" s="20" t="n">
        <v>1.47749918</v>
      </c>
      <c r="I30" s="18" t="s">
        <v>567</v>
      </c>
      <c r="J30" s="20" t="s">
        <v>567</v>
      </c>
      <c r="K30" s="18" t="n">
        <v>0</v>
      </c>
      <c r="L30" s="20" t="n">
        <v>0</v>
      </c>
      <c r="M30" s="18" t="n">
        <v>0</v>
      </c>
      <c r="N30" s="20" t="n">
        <v>0</v>
      </c>
      <c r="O30" s="18" t="n">
        <v>0</v>
      </c>
      <c r="P30" s="20" t="n">
        <v>0</v>
      </c>
      <c r="Q30" s="18" t="n">
        <v>1.6150472</v>
      </c>
      <c r="R30" s="20" t="n">
        <v>0.63834563</v>
      </c>
    </row>
    <row r="31" spans="1:18">
      <c r="A31" s="15" t="s">
        <v>591</v>
      </c>
      <c r="B31" s="17" t="n">
        <v>2750</v>
      </c>
      <c r="C31" s="18">
        <f>(2169.0/B31*100)</f>
        <v/>
      </c>
      <c r="D31" s="19" t="n">
        <v>581</v>
      </c>
      <c r="E31" s="18" t="n">
        <v>9.35057986</v>
      </c>
      <c r="F31" s="20" t="n">
        <v>1.35347922</v>
      </c>
      <c r="G31" s="18" t="n">
        <v>90.17640394</v>
      </c>
      <c r="H31" s="20" t="n">
        <v>1.37761247</v>
      </c>
      <c r="I31" s="18" t="s">
        <v>567</v>
      </c>
      <c r="J31" s="20" t="s">
        <v>567</v>
      </c>
      <c r="K31" s="18" t="n">
        <v>0.4730162</v>
      </c>
      <c r="L31" s="20" t="n">
        <v>0.27269747</v>
      </c>
      <c r="M31" s="18" t="n">
        <v>0</v>
      </c>
      <c r="N31" s="20" t="n">
        <v>0</v>
      </c>
      <c r="O31" s="18" t="n">
        <v>0</v>
      </c>
      <c r="P31" s="20" t="n">
        <v>0</v>
      </c>
      <c r="Q31" s="18" t="n">
        <v>0</v>
      </c>
      <c r="R31" s="20" t="n">
        <v>0</v>
      </c>
    </row>
    <row r="32" spans="1:18">
      <c r="A32" s="15" t="s">
        <v>592</v>
      </c>
      <c r="B32" s="17" t="n">
        <v>2269</v>
      </c>
      <c r="C32" s="18">
        <f>(1803.0/B32*100)</f>
        <v/>
      </c>
      <c r="D32" s="19" t="n">
        <v>466</v>
      </c>
      <c r="E32" s="18" t="n">
        <v>9.06862679</v>
      </c>
      <c r="F32" s="20" t="n">
        <v>1.28588871</v>
      </c>
      <c r="G32" s="18" t="n">
        <v>90.14257614</v>
      </c>
      <c r="H32" s="20" t="n">
        <v>1.37385737</v>
      </c>
      <c r="I32" s="18" t="s">
        <v>567</v>
      </c>
      <c r="J32" s="20" t="s">
        <v>567</v>
      </c>
      <c r="K32" s="18" t="n">
        <v>0</v>
      </c>
      <c r="L32" s="20" t="n">
        <v>0</v>
      </c>
      <c r="M32" s="18" t="n">
        <v>0</v>
      </c>
      <c r="N32" s="20" t="n">
        <v>0</v>
      </c>
      <c r="O32" s="18" t="n">
        <v>0</v>
      </c>
      <c r="P32" s="20" t="n">
        <v>0</v>
      </c>
      <c r="Q32" s="18" t="n">
        <v>0.78879707</v>
      </c>
      <c r="R32" s="20" t="n">
        <v>0.37335557</v>
      </c>
    </row>
    <row r="33" spans="1:18">
      <c r="A33" s="15" t="s">
        <v>593</v>
      </c>
      <c r="B33" s="17" t="n">
        <v>3674</v>
      </c>
      <c r="C33" s="18">
        <f>(2851.0/B33*100)</f>
        <v/>
      </c>
      <c r="D33" s="19" t="n">
        <v>823</v>
      </c>
      <c r="E33" s="18" t="n">
        <v>8.31858252</v>
      </c>
      <c r="F33" s="20" t="n">
        <v>1.1766074</v>
      </c>
      <c r="G33" s="18" t="n">
        <v>91.37063748999999</v>
      </c>
      <c r="H33" s="20" t="n">
        <v>1.18252246</v>
      </c>
      <c r="I33" s="18" t="s">
        <v>567</v>
      </c>
      <c r="J33" s="20" t="s">
        <v>567</v>
      </c>
      <c r="K33" s="18" t="n">
        <v>0</v>
      </c>
      <c r="L33" s="20" t="n">
        <v>0</v>
      </c>
      <c r="M33" s="18" t="n">
        <v>0</v>
      </c>
      <c r="N33" s="20" t="n">
        <v>0</v>
      </c>
      <c r="O33" s="18" t="n">
        <v>0</v>
      </c>
      <c r="P33" s="20" t="n">
        <v>0</v>
      </c>
      <c r="Q33" s="18" t="n">
        <v>0.31077999</v>
      </c>
      <c r="R33" s="20" t="n">
        <v>0.14776818</v>
      </c>
    </row>
    <row r="34" spans="1:18">
      <c r="A34" s="15" t="s">
        <v>594</v>
      </c>
      <c r="B34" s="17" t="n">
        <v>3315</v>
      </c>
      <c r="C34" s="18">
        <f>(2590.0/B34*100)</f>
        <v/>
      </c>
      <c r="D34" s="19" t="n">
        <v>725</v>
      </c>
      <c r="E34" s="18" t="n">
        <v>11.43243763</v>
      </c>
      <c r="F34" s="20" t="n">
        <v>1.40576708</v>
      </c>
      <c r="G34" s="18" t="n">
        <v>85.21310003000001</v>
      </c>
      <c r="H34" s="20" t="n">
        <v>1.4812583</v>
      </c>
      <c r="I34" s="18" t="s">
        <v>567</v>
      </c>
      <c r="J34" s="20" t="s">
        <v>567</v>
      </c>
      <c r="K34" s="18" t="n">
        <v>0</v>
      </c>
      <c r="L34" s="20" t="n">
        <v>0</v>
      </c>
      <c r="M34" s="18" t="n">
        <v>0</v>
      </c>
      <c r="N34" s="20" t="n">
        <v>0</v>
      </c>
      <c r="O34" s="18" t="n">
        <v>0</v>
      </c>
      <c r="P34" s="20" t="n">
        <v>0</v>
      </c>
      <c r="Q34" s="18" t="n">
        <v>3.35446234</v>
      </c>
      <c r="R34" s="20" t="n">
        <v>0.82606559</v>
      </c>
    </row>
    <row r="35" spans="1:18">
      <c r="A35" s="15" t="s">
        <v>595</v>
      </c>
      <c r="B35" s="17" t="n">
        <v>3505</v>
      </c>
      <c r="C35" s="18">
        <f>(2714.0/B35*100)</f>
        <v/>
      </c>
      <c r="D35" s="19" t="n">
        <v>791</v>
      </c>
      <c r="E35" s="18" t="n">
        <v>7.41485515</v>
      </c>
      <c r="F35" s="20" t="n">
        <v>1.09126283</v>
      </c>
      <c r="G35" s="18" t="n">
        <v>91.57587294</v>
      </c>
      <c r="H35" s="20" t="n">
        <v>1.13202825</v>
      </c>
      <c r="I35" s="18" t="s">
        <v>567</v>
      </c>
      <c r="J35" s="20" t="s">
        <v>567</v>
      </c>
      <c r="K35" s="18" t="n">
        <v>0.06352963</v>
      </c>
      <c r="L35" s="20" t="n">
        <v>0.06369082</v>
      </c>
      <c r="M35" s="18" t="n">
        <v>0</v>
      </c>
      <c r="N35" s="20" t="n">
        <v>0</v>
      </c>
      <c r="O35" s="18" t="n">
        <v>0</v>
      </c>
      <c r="P35" s="20" t="n">
        <v>0</v>
      </c>
      <c r="Q35" s="18" t="n">
        <v>0.94574227</v>
      </c>
      <c r="R35" s="20" t="n">
        <v>0.34613267</v>
      </c>
    </row>
    <row r="36" spans="1:18">
      <c r="A36" s="15" t="s">
        <v>596</v>
      </c>
      <c r="B36" s="17" t="n">
        <v>3332</v>
      </c>
      <c r="C36" s="18">
        <f>(2611.0/B36*100)</f>
        <v/>
      </c>
      <c r="D36" s="19" t="n">
        <v>721</v>
      </c>
      <c r="E36" s="18" t="n">
        <v>6.27635797</v>
      </c>
      <c r="F36" s="20" t="n">
        <v>0.9169559900000001</v>
      </c>
      <c r="G36" s="18" t="n">
        <v>91.79462017</v>
      </c>
      <c r="H36" s="20" t="n">
        <v>1.06695764</v>
      </c>
      <c r="I36" s="18" t="s">
        <v>567</v>
      </c>
      <c r="J36" s="20" t="s">
        <v>567</v>
      </c>
      <c r="K36" s="18" t="n">
        <v>0.38963867</v>
      </c>
      <c r="L36" s="20" t="n">
        <v>0.29262785</v>
      </c>
      <c r="M36" s="18" t="n">
        <v>0</v>
      </c>
      <c r="N36" s="20" t="n">
        <v>0</v>
      </c>
      <c r="O36" s="18" t="n">
        <v>0</v>
      </c>
      <c r="P36" s="20" t="n">
        <v>0</v>
      </c>
      <c r="Q36" s="18" t="n">
        <v>1.53938319</v>
      </c>
      <c r="R36" s="20" t="n">
        <v>0.57796632</v>
      </c>
    </row>
    <row r="37" spans="1:18">
      <c r="A37" s="15" t="s">
        <v>597</v>
      </c>
      <c r="B37" s="17" t="n">
        <v>2727</v>
      </c>
      <c r="C37" s="18">
        <f>(2111.0/B37*100)</f>
        <v/>
      </c>
      <c r="D37" s="19" t="n">
        <v>616</v>
      </c>
      <c r="E37" s="18" t="n">
        <v>7.53408063</v>
      </c>
      <c r="F37" s="20" t="n">
        <v>1.22649603</v>
      </c>
      <c r="G37" s="18" t="n">
        <v>89.54318585999999</v>
      </c>
      <c r="H37" s="20" t="n">
        <v>1.38532348</v>
      </c>
      <c r="I37" s="18" t="s">
        <v>567</v>
      </c>
      <c r="J37" s="20" t="s">
        <v>567</v>
      </c>
      <c r="K37" s="18" t="n">
        <v>0.68369619</v>
      </c>
      <c r="L37" s="20" t="n">
        <v>0.32926253</v>
      </c>
      <c r="M37" s="18" t="n">
        <v>0</v>
      </c>
      <c r="N37" s="20" t="n">
        <v>0</v>
      </c>
      <c r="O37" s="18" t="n">
        <v>0</v>
      </c>
      <c r="P37" s="20" t="n">
        <v>0</v>
      </c>
      <c r="Q37" s="18" t="n">
        <v>2.23903732</v>
      </c>
      <c r="R37" s="20" t="n">
        <v>0.63821334</v>
      </c>
    </row>
    <row r="38" spans="1:18">
      <c r="A38" s="15" t="s">
        <v>598</v>
      </c>
      <c r="B38" s="17" t="n">
        <v>3053</v>
      </c>
      <c r="C38" s="18">
        <f>(2325.0/B38*100)</f>
        <v/>
      </c>
      <c r="D38" s="19" t="n">
        <v>728</v>
      </c>
      <c r="E38" s="18" t="n">
        <v>7.86146952</v>
      </c>
      <c r="F38" s="20" t="n">
        <v>1.18848712</v>
      </c>
      <c r="G38" s="18" t="n">
        <v>91.46448316</v>
      </c>
      <c r="H38" s="20" t="n">
        <v>1.21580216</v>
      </c>
      <c r="I38" s="18" t="s">
        <v>567</v>
      </c>
      <c r="J38" s="20" t="s">
        <v>567</v>
      </c>
      <c r="K38" s="18" t="n">
        <v>0</v>
      </c>
      <c r="L38" s="20" t="n">
        <v>0</v>
      </c>
      <c r="M38" s="18" t="n">
        <v>0</v>
      </c>
      <c r="N38" s="20" t="n">
        <v>0</v>
      </c>
      <c r="O38" s="18" t="n">
        <v>0</v>
      </c>
      <c r="P38" s="20" t="n">
        <v>0</v>
      </c>
      <c r="Q38" s="18" t="n">
        <v>0.67404732</v>
      </c>
      <c r="R38" s="20" t="n">
        <v>0.29290146</v>
      </c>
    </row>
    <row r="39" spans="1:18">
      <c r="A39" s="15" t="s">
        <v>599</v>
      </c>
      <c r="B39" s="17" t="n">
        <v>2957</v>
      </c>
      <c r="C39" s="18">
        <f>(2311.0/B39*100)</f>
        <v/>
      </c>
      <c r="D39" s="19" t="n">
        <v>646</v>
      </c>
      <c r="E39" s="18" t="n">
        <v>21.73822842</v>
      </c>
      <c r="F39" s="20" t="n">
        <v>2.03827011</v>
      </c>
      <c r="G39" s="18" t="n">
        <v>76.74331970999999</v>
      </c>
      <c r="H39" s="20" t="n">
        <v>2.09584887</v>
      </c>
      <c r="I39" s="18" t="s">
        <v>567</v>
      </c>
      <c r="J39" s="20" t="s">
        <v>567</v>
      </c>
      <c r="K39" s="18" t="n">
        <v>0.19778019</v>
      </c>
      <c r="L39" s="20" t="n">
        <v>0.19739387</v>
      </c>
      <c r="M39" s="18" t="n">
        <v>0</v>
      </c>
      <c r="N39" s="20" t="n">
        <v>0</v>
      </c>
      <c r="O39" s="18" t="n">
        <v>0</v>
      </c>
      <c r="P39" s="20" t="n">
        <v>0</v>
      </c>
      <c r="Q39" s="18" t="n">
        <v>1.32067169</v>
      </c>
      <c r="R39" s="20" t="n">
        <v>0.54416452</v>
      </c>
    </row>
    <row r="40" spans="1:18">
      <c r="A40" s="15" t="s">
        <v>600</v>
      </c>
      <c r="B40" s="17" t="n">
        <v>7235</v>
      </c>
      <c r="C40" s="18">
        <f>(5586.0/B40*100)</f>
        <v/>
      </c>
      <c r="D40" s="19" t="n">
        <v>1649</v>
      </c>
      <c r="E40" s="18" t="n">
        <v>10.61217147</v>
      </c>
      <c r="F40" s="20" t="n">
        <v>1.24651012</v>
      </c>
      <c r="G40" s="18" t="n">
        <v>88.65471676999999</v>
      </c>
      <c r="H40" s="20" t="n">
        <v>1.25680719</v>
      </c>
      <c r="I40" s="18" t="s">
        <v>567</v>
      </c>
      <c r="J40" s="20" t="s">
        <v>567</v>
      </c>
      <c r="K40" s="18" t="n">
        <v>0.11167419</v>
      </c>
      <c r="L40" s="20" t="n">
        <v>0.10615732</v>
      </c>
      <c r="M40" s="18" t="n">
        <v>0</v>
      </c>
      <c r="N40" s="20" t="n">
        <v>0</v>
      </c>
      <c r="O40" s="18" t="n">
        <v>0</v>
      </c>
      <c r="P40" s="20" t="n">
        <v>0</v>
      </c>
      <c r="Q40" s="18" t="n">
        <v>0.62143757</v>
      </c>
      <c r="R40" s="20" t="n">
        <v>0.27502483</v>
      </c>
    </row>
    <row r="41" spans="1:18">
      <c r="A41" s="15" t="s">
        <v>601</v>
      </c>
      <c r="B41" s="17" t="n">
        <v>2858</v>
      </c>
      <c r="C41" s="18">
        <f>(2254.0/B41*100)</f>
        <v/>
      </c>
      <c r="D41" s="19" t="n">
        <v>604</v>
      </c>
      <c r="E41" s="18" t="n">
        <v>7.40706426</v>
      </c>
      <c r="F41" s="20" t="n">
        <v>1.19638761</v>
      </c>
      <c r="G41" s="18" t="n">
        <v>90.98850849999999</v>
      </c>
      <c r="H41" s="20" t="n">
        <v>1.23921432</v>
      </c>
      <c r="I41" s="18" t="s">
        <v>567</v>
      </c>
      <c r="J41" s="20" t="s">
        <v>567</v>
      </c>
      <c r="K41" s="18" t="n">
        <v>0.22615465</v>
      </c>
      <c r="L41" s="20" t="n">
        <v>0.18392273</v>
      </c>
      <c r="M41" s="18" t="n">
        <v>0</v>
      </c>
      <c r="N41" s="20" t="n">
        <v>0</v>
      </c>
      <c r="O41" s="18" t="n">
        <v>0</v>
      </c>
      <c r="P41" s="20" t="n">
        <v>0</v>
      </c>
      <c r="Q41" s="18" t="n">
        <v>1.37827259</v>
      </c>
      <c r="R41" s="20" t="n">
        <v>0.44223102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(8822.0/B46*100)</f>
        <v/>
      </c>
      <c r="D46" s="19" t="n">
        <v>2246</v>
      </c>
      <c r="E46" s="18" t="n">
        <v>14.89133868</v>
      </c>
      <c r="F46" s="20" t="n">
        <v>1.00442878</v>
      </c>
      <c r="G46" s="18" t="n">
        <v>77.12315836000001</v>
      </c>
      <c r="H46" s="20" t="n">
        <v>1.16407733</v>
      </c>
      <c r="I46" s="18" t="s">
        <v>567</v>
      </c>
      <c r="J46" s="20" t="s">
        <v>567</v>
      </c>
      <c r="K46" s="18" t="n">
        <v>0.60603955</v>
      </c>
      <c r="L46" s="20" t="n">
        <v>0.20754786</v>
      </c>
      <c r="M46" s="18" t="n">
        <v>0</v>
      </c>
      <c r="N46" s="20" t="n">
        <v>0</v>
      </c>
      <c r="O46" s="18" t="n">
        <v>0</v>
      </c>
      <c r="P46" s="20" t="n">
        <v>0</v>
      </c>
      <c r="Q46" s="18" t="n">
        <v>7.3794634</v>
      </c>
      <c r="R46" s="20" t="n">
        <v>0.87900672</v>
      </c>
    </row>
    <row r="47" spans="1:18">
      <c r="A47" s="15" t="s">
        <v>607</v>
      </c>
      <c r="B47" s="17" t="n">
        <v>3105</v>
      </c>
      <c r="C47" s="18">
        <f>(2436.0/B47*100)</f>
        <v/>
      </c>
      <c r="D47" s="19" t="n">
        <v>669</v>
      </c>
      <c r="E47" s="18" t="n">
        <v>13.69301286</v>
      </c>
      <c r="F47" s="20" t="n">
        <v>1.42392256</v>
      </c>
      <c r="G47" s="18" t="n">
        <v>80.33948294</v>
      </c>
      <c r="H47" s="20" t="n">
        <v>1.82668828</v>
      </c>
      <c r="I47" s="18" t="s">
        <v>567</v>
      </c>
      <c r="J47" s="20" t="s">
        <v>567</v>
      </c>
      <c r="K47" s="18" t="n">
        <v>0.43092302</v>
      </c>
      <c r="L47" s="20" t="n">
        <v>0.25936578</v>
      </c>
      <c r="M47" s="18" t="n">
        <v>0</v>
      </c>
      <c r="N47" s="20" t="n">
        <v>0</v>
      </c>
      <c r="O47" s="18" t="n">
        <v>0</v>
      </c>
      <c r="P47" s="20" t="n">
        <v>0</v>
      </c>
      <c r="Q47" s="18" t="n">
        <v>5.53658118</v>
      </c>
      <c r="R47" s="20" t="n">
        <v>1.04165912</v>
      </c>
    </row>
    <row r="48" spans="1:18">
      <c r="A48" s="15" t="s">
        <v>608</v>
      </c>
      <c r="B48" s="17" t="n">
        <v>5159</v>
      </c>
      <c r="C48" s="18">
        <f>(4008.0/B48*100)</f>
        <v/>
      </c>
      <c r="D48" s="19" t="n">
        <v>1151</v>
      </c>
      <c r="E48" s="18" t="n">
        <v>7.99852056</v>
      </c>
      <c r="F48" s="20" t="n">
        <v>1.07276387</v>
      </c>
      <c r="G48" s="18" t="n">
        <v>89.54907839000001</v>
      </c>
      <c r="H48" s="20" t="n">
        <v>1.41397857</v>
      </c>
      <c r="I48" s="18" t="s">
        <v>567</v>
      </c>
      <c r="J48" s="20" t="s">
        <v>567</v>
      </c>
      <c r="K48" s="18" t="n">
        <v>0.27216526</v>
      </c>
      <c r="L48" s="20" t="n">
        <v>0.1805635</v>
      </c>
      <c r="M48" s="18" t="n">
        <v>0</v>
      </c>
      <c r="N48" s="20" t="n">
        <v>0</v>
      </c>
      <c r="O48" s="18" t="n">
        <v>0</v>
      </c>
      <c r="P48" s="20" t="n">
        <v>0</v>
      </c>
      <c r="Q48" s="18" t="n">
        <v>2.18023578</v>
      </c>
      <c r="R48" s="20" t="n">
        <v>0.62668745</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(4406.0/B50*100)</f>
        <v/>
      </c>
      <c r="D50" s="19" t="n">
        <v>1231</v>
      </c>
      <c r="E50" s="18" t="n">
        <v>11.19405914</v>
      </c>
      <c r="F50" s="20" t="n">
        <v>1.12277184</v>
      </c>
      <c r="G50" s="18" t="n">
        <v>84.13078625</v>
      </c>
      <c r="H50" s="20" t="n">
        <v>1.53627528</v>
      </c>
      <c r="I50" s="18" t="s">
        <v>567</v>
      </c>
      <c r="J50" s="20" t="s">
        <v>567</v>
      </c>
      <c r="K50" s="18" t="n">
        <v>0.5386883099999999</v>
      </c>
      <c r="L50" s="20" t="n">
        <v>0.31988768</v>
      </c>
      <c r="M50" s="18" t="n">
        <v>0</v>
      </c>
      <c r="N50" s="20" t="n">
        <v>0</v>
      </c>
      <c r="O50" s="18" t="n">
        <v>0</v>
      </c>
      <c r="P50" s="20" t="n">
        <v>0</v>
      </c>
      <c r="Q50" s="18" t="n">
        <v>4.1364663</v>
      </c>
      <c r="R50" s="20" t="n">
        <v>1.04021823</v>
      </c>
    </row>
    <row r="51" spans="1:18">
      <c r="A51" s="15" t="s">
        <v>611</v>
      </c>
      <c r="B51" s="17" t="n">
        <v>3372</v>
      </c>
      <c r="C51" s="18">
        <f>(2729.0/B51*100)</f>
        <v/>
      </c>
      <c r="D51" s="19" t="n">
        <v>643</v>
      </c>
      <c r="E51" s="18" t="n">
        <v>12.23331713</v>
      </c>
      <c r="F51" s="20" t="n">
        <v>1.34518914</v>
      </c>
      <c r="G51" s="18" t="n">
        <v>85.02463133000001</v>
      </c>
      <c r="H51" s="20" t="n">
        <v>1.47325149</v>
      </c>
      <c r="I51" s="18" t="s">
        <v>567</v>
      </c>
      <c r="J51" s="20" t="s">
        <v>567</v>
      </c>
      <c r="K51" s="18" t="n">
        <v>0.36089904</v>
      </c>
      <c r="L51" s="20" t="n">
        <v>0.25342007</v>
      </c>
      <c r="M51" s="18" t="n">
        <v>0</v>
      </c>
      <c r="N51" s="20" t="n">
        <v>0</v>
      </c>
      <c r="O51" s="18" t="n">
        <v>0</v>
      </c>
      <c r="P51" s="20" t="n">
        <v>0</v>
      </c>
      <c r="Q51" s="18" t="n">
        <v>2.3811525</v>
      </c>
      <c r="R51" s="20" t="n">
        <v>0.73651647</v>
      </c>
    </row>
    <row r="52" spans="1:18">
      <c r="A52" s="15" t="s">
        <v>612</v>
      </c>
      <c r="B52" s="17" t="n">
        <v>2796</v>
      </c>
      <c r="C52" s="18">
        <f>(2175.0/B52*100)</f>
        <v/>
      </c>
      <c r="D52" s="19" t="n">
        <v>621</v>
      </c>
      <c r="E52" s="18" t="n">
        <v>8.681715670000001</v>
      </c>
      <c r="F52" s="20" t="n">
        <v>1.13905266</v>
      </c>
      <c r="G52" s="18" t="n">
        <v>90.46856898999999</v>
      </c>
      <c r="H52" s="20" t="n">
        <v>1.15342257</v>
      </c>
      <c r="I52" s="18" t="s">
        <v>567</v>
      </c>
      <c r="J52" s="20" t="s">
        <v>567</v>
      </c>
      <c r="K52" s="18" t="n">
        <v>0.16462784</v>
      </c>
      <c r="L52" s="20" t="n">
        <v>0.16135095</v>
      </c>
      <c r="M52" s="18" t="n">
        <v>0</v>
      </c>
      <c r="N52" s="20" t="n">
        <v>0</v>
      </c>
      <c r="O52" s="18" t="n">
        <v>0</v>
      </c>
      <c r="P52" s="20" t="n">
        <v>0</v>
      </c>
      <c r="Q52" s="18" t="n">
        <v>0.6850875</v>
      </c>
      <c r="R52" s="20" t="n">
        <v>0.3436578</v>
      </c>
    </row>
    <row r="53" spans="1:18">
      <c r="A53" s="15" t="s">
        <v>613</v>
      </c>
      <c r="B53" s="17" t="n">
        <v>2811</v>
      </c>
      <c r="C53" s="18">
        <f>(2181.0/B53*100)</f>
        <v/>
      </c>
      <c r="D53" s="19" t="n">
        <v>630</v>
      </c>
      <c r="E53" s="18" t="n">
        <v>17.95071475</v>
      </c>
      <c r="F53" s="20" t="n">
        <v>1.55844107</v>
      </c>
      <c r="G53" s="18" t="n">
        <v>78.06479989</v>
      </c>
      <c r="H53" s="20" t="n">
        <v>1.68791806</v>
      </c>
      <c r="I53" s="18" t="s">
        <v>567</v>
      </c>
      <c r="J53" s="20" t="s">
        <v>567</v>
      </c>
      <c r="K53" s="18" t="n">
        <v>0.21201755</v>
      </c>
      <c r="L53" s="20" t="n">
        <v>0.21254825</v>
      </c>
      <c r="M53" s="18" t="n">
        <v>0</v>
      </c>
      <c r="N53" s="20" t="n">
        <v>0</v>
      </c>
      <c r="O53" s="18" t="n">
        <v>0</v>
      </c>
      <c r="P53" s="20" t="n">
        <v>0</v>
      </c>
      <c r="Q53" s="18" t="n">
        <v>3.77246781</v>
      </c>
      <c r="R53" s="20" t="n">
        <v>0.64693554</v>
      </c>
    </row>
    <row r="54" spans="1:18">
      <c r="A54" s="15" t="s">
        <v>614</v>
      </c>
      <c r="B54" s="17" t="n">
        <v>2266</v>
      </c>
      <c r="C54" s="18">
        <f>(1788.0/B54*100)</f>
        <v/>
      </c>
      <c r="D54" s="19" t="n">
        <v>478</v>
      </c>
      <c r="E54" s="18" t="n">
        <v>23.81045884</v>
      </c>
      <c r="F54" s="20" t="n">
        <v>1.96877041</v>
      </c>
      <c r="G54" s="18" t="n">
        <v>60.33223829</v>
      </c>
      <c r="H54" s="20" t="n">
        <v>2.33480604</v>
      </c>
      <c r="I54" s="18" t="s">
        <v>567</v>
      </c>
      <c r="J54" s="20" t="s">
        <v>567</v>
      </c>
      <c r="K54" s="18" t="n">
        <v>3.91897915</v>
      </c>
      <c r="L54" s="20" t="n">
        <v>0.9371021</v>
      </c>
      <c r="M54" s="18" t="n">
        <v>0</v>
      </c>
      <c r="N54" s="20" t="n">
        <v>0</v>
      </c>
      <c r="O54" s="18" t="n">
        <v>0</v>
      </c>
      <c r="P54" s="20" t="n">
        <v>0</v>
      </c>
      <c r="Q54" s="18" t="n">
        <v>11.93832372</v>
      </c>
      <c r="R54" s="20" t="n">
        <v>1.52212281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(2088.0/B56*100)</f>
        <v/>
      </c>
      <c r="D56" s="19" t="n">
        <v>596</v>
      </c>
      <c r="E56" s="18" t="n">
        <v>8.35094102</v>
      </c>
      <c r="F56" s="20" t="n">
        <v>1.20421285</v>
      </c>
      <c r="G56" s="18" t="n">
        <v>90.78920736000001</v>
      </c>
      <c r="H56" s="20" t="n">
        <v>1.2934368</v>
      </c>
      <c r="I56" s="18" t="s">
        <v>567</v>
      </c>
      <c r="J56" s="20" t="s">
        <v>567</v>
      </c>
      <c r="K56" s="18" t="n">
        <v>0.14208591</v>
      </c>
      <c r="L56" s="20" t="n">
        <v>0.14272059</v>
      </c>
      <c r="M56" s="18" t="n">
        <v>0</v>
      </c>
      <c r="N56" s="20" t="n">
        <v>0</v>
      </c>
      <c r="O56" s="18" t="n">
        <v>0</v>
      </c>
      <c r="P56" s="20" t="n">
        <v>0</v>
      </c>
      <c r="Q56" s="18" t="n">
        <v>0.7177657200000001</v>
      </c>
      <c r="R56" s="20" t="n">
        <v>0.35746022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(2598.0/B61*100)</f>
        <v/>
      </c>
      <c r="D61" s="19" t="n">
        <v>726</v>
      </c>
      <c r="E61" s="18" t="n">
        <v>8.72564163</v>
      </c>
      <c r="F61" s="20" t="n">
        <v>1.11096138</v>
      </c>
      <c r="G61" s="18" t="n">
        <v>90.10436727</v>
      </c>
      <c r="H61" s="20" t="n">
        <v>1.19170628</v>
      </c>
      <c r="I61" s="18" t="s">
        <v>567</v>
      </c>
      <c r="J61" s="20" t="s">
        <v>567</v>
      </c>
      <c r="K61" s="18" t="n">
        <v>0.044755</v>
      </c>
      <c r="L61" s="20" t="n">
        <v>0.04487091</v>
      </c>
      <c r="M61" s="18" t="n">
        <v>0</v>
      </c>
      <c r="N61" s="20" t="n">
        <v>0</v>
      </c>
      <c r="O61" s="18" t="n">
        <v>0</v>
      </c>
      <c r="P61" s="20" t="n">
        <v>0</v>
      </c>
      <c r="Q61" s="18" t="n">
        <v>1.1252361</v>
      </c>
      <c r="R61" s="20" t="n">
        <v>0.57996134</v>
      </c>
    </row>
    <row r="62" spans="1:18">
      <c r="A62" s="15" t="s">
        <v>622</v>
      </c>
      <c r="B62" s="17" t="n">
        <v>2246</v>
      </c>
      <c r="C62" s="18">
        <f>(1734.0/B62*100)</f>
        <v/>
      </c>
      <c r="D62" s="19" t="n">
        <v>512</v>
      </c>
      <c r="E62" s="18" t="n">
        <v>6.63824197</v>
      </c>
      <c r="F62" s="20" t="n">
        <v>1.00243698</v>
      </c>
      <c r="G62" s="18" t="n">
        <v>93.16786161</v>
      </c>
      <c r="H62" s="20" t="n">
        <v>1.01134091</v>
      </c>
      <c r="I62" s="18" t="s">
        <v>567</v>
      </c>
      <c r="J62" s="20" t="s">
        <v>567</v>
      </c>
      <c r="K62" s="18" t="n">
        <v>0</v>
      </c>
      <c r="L62" s="20" t="n">
        <v>0</v>
      </c>
      <c r="M62" s="18" t="n">
        <v>0</v>
      </c>
      <c r="N62" s="20" t="n">
        <v>0</v>
      </c>
      <c r="O62" s="18" t="n">
        <v>0</v>
      </c>
      <c r="P62" s="20" t="n">
        <v>0</v>
      </c>
      <c r="Q62" s="18" t="n">
        <v>0.19389643</v>
      </c>
      <c r="R62" s="20" t="n">
        <v>0.19292669</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(2309.0/B66*100)</f>
        <v/>
      </c>
      <c r="D66" s="19" t="n">
        <v>585</v>
      </c>
      <c r="E66" s="18" t="n">
        <v>12.36379006</v>
      </c>
      <c r="F66" s="20" t="n">
        <v>1.59446163</v>
      </c>
      <c r="G66" s="18" t="n">
        <v>78.80800422</v>
      </c>
      <c r="H66" s="20" t="n">
        <v>1.73296622</v>
      </c>
      <c r="I66" s="18" t="s">
        <v>567</v>
      </c>
      <c r="J66" s="20" t="s">
        <v>567</v>
      </c>
      <c r="K66" s="18" t="n">
        <v>0.16613911</v>
      </c>
      <c r="L66" s="20" t="n">
        <v>0.16355521</v>
      </c>
      <c r="M66" s="18" t="n">
        <v>0</v>
      </c>
      <c r="N66" s="20" t="n">
        <v>0</v>
      </c>
      <c r="O66" s="18" t="n">
        <v>0</v>
      </c>
      <c r="P66" s="20" t="n">
        <v>0</v>
      </c>
      <c r="Q66" s="18" t="n">
        <v>8.662066619999999</v>
      </c>
      <c r="R66" s="20" t="n">
        <v>0.94925722</v>
      </c>
    </row>
    <row r="67" spans="1:18">
      <c r="A67" s="15" t="s">
        <v>627</v>
      </c>
      <c r="B67" s="17" t="n">
        <v>3511</v>
      </c>
      <c r="C67" s="18">
        <f>(2754.0/B67*100)</f>
        <v/>
      </c>
      <c r="D67" s="19" t="n">
        <v>757</v>
      </c>
      <c r="E67" s="18" t="n">
        <v>17.50407874</v>
      </c>
      <c r="F67" s="20" t="n">
        <v>1.39447317</v>
      </c>
      <c r="G67" s="18" t="n">
        <v>79.04487955</v>
      </c>
      <c r="H67" s="20" t="n">
        <v>1.61680705</v>
      </c>
      <c r="I67" s="18" t="s">
        <v>567</v>
      </c>
      <c r="J67" s="20" t="s">
        <v>567</v>
      </c>
      <c r="K67" s="18" t="n">
        <v>0.35219895</v>
      </c>
      <c r="L67" s="20" t="n">
        <v>0.3520576</v>
      </c>
      <c r="M67" s="18" t="n">
        <v>0</v>
      </c>
      <c r="N67" s="20" t="n">
        <v>0</v>
      </c>
      <c r="O67" s="18" t="n">
        <v>0</v>
      </c>
      <c r="P67" s="20" t="n">
        <v>0</v>
      </c>
      <c r="Q67" s="18" t="n">
        <v>3.09884275</v>
      </c>
      <c r="R67" s="20" t="n">
        <v>0.60778355</v>
      </c>
    </row>
    <row r="68" spans="1:18">
      <c r="A68" s="15" t="s">
        <v>628</v>
      </c>
      <c r="B68" s="17" t="n">
        <v>6049</v>
      </c>
      <c r="C68" s="18">
        <f>(4680.0/B68*100)</f>
        <v/>
      </c>
      <c r="D68" s="19" t="n">
        <v>1369</v>
      </c>
      <c r="E68" s="18" t="n">
        <v>19.27436898</v>
      </c>
      <c r="F68" s="20" t="n">
        <v>1.07114498</v>
      </c>
      <c r="G68" s="18" t="n">
        <v>75.03662267</v>
      </c>
      <c r="H68" s="20" t="n">
        <v>1.12819116</v>
      </c>
      <c r="I68" s="18" t="s">
        <v>567</v>
      </c>
      <c r="J68" s="20" t="s">
        <v>567</v>
      </c>
      <c r="K68" s="18" t="n">
        <v>1.6129637</v>
      </c>
      <c r="L68" s="20" t="n">
        <v>0.32827447</v>
      </c>
      <c r="M68" s="18" t="n">
        <v>0</v>
      </c>
      <c r="N68" s="20" t="n">
        <v>0</v>
      </c>
      <c r="O68" s="18" t="n">
        <v>0</v>
      </c>
      <c r="P68" s="20" t="n">
        <v>0</v>
      </c>
      <c r="Q68" s="18" t="n">
        <v>4.07604465</v>
      </c>
      <c r="R68" s="20" t="n">
        <v>0.62399775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(2297.0/B70*100)</f>
        <v/>
      </c>
      <c r="D70" s="19" t="n">
        <v>632</v>
      </c>
      <c r="E70" s="18" t="n">
        <v>6.34004802</v>
      </c>
      <c r="F70" s="20" t="n">
        <v>1.09099442</v>
      </c>
      <c r="G70" s="18" t="n">
        <v>92.53873350000001</v>
      </c>
      <c r="H70" s="20" t="n">
        <v>1.26683534</v>
      </c>
      <c r="I70" s="18" t="s">
        <v>567</v>
      </c>
      <c r="J70" s="20" t="s">
        <v>567</v>
      </c>
      <c r="K70" s="18" t="n">
        <v>0.14254256</v>
      </c>
      <c r="L70" s="20" t="n">
        <v>0.14102278</v>
      </c>
      <c r="M70" s="18" t="n">
        <v>0</v>
      </c>
      <c r="N70" s="20" t="n">
        <v>0</v>
      </c>
      <c r="O70" s="18" t="n">
        <v>0</v>
      </c>
      <c r="P70" s="20" t="n">
        <v>0</v>
      </c>
      <c r="Q70" s="18" t="n">
        <v>0.97867592</v>
      </c>
      <c r="R70" s="20" t="n">
        <v>0.67180074</v>
      </c>
    </row>
    <row r="71" spans="1:18">
      <c r="A71" s="15" t="s">
        <v>631</v>
      </c>
      <c r="B71" s="17" t="n">
        <v>3142</v>
      </c>
      <c r="C71" s="18">
        <f>(2462.0/B71*100)</f>
        <v/>
      </c>
      <c r="D71" s="19" t="n">
        <v>680</v>
      </c>
      <c r="E71" s="18" t="n">
        <v>7.75259092</v>
      </c>
      <c r="F71" s="20" t="n">
        <v>1.21909405</v>
      </c>
      <c r="G71" s="18" t="n">
        <v>91.87857552</v>
      </c>
      <c r="H71" s="20" t="n">
        <v>1.24173424</v>
      </c>
      <c r="I71" s="18" t="s">
        <v>567</v>
      </c>
      <c r="J71" s="20" t="s">
        <v>567</v>
      </c>
      <c r="K71" s="18" t="n">
        <v>0.29217583</v>
      </c>
      <c r="L71" s="20" t="n">
        <v>0.20746555</v>
      </c>
      <c r="M71" s="18" t="n">
        <v>0</v>
      </c>
      <c r="N71" s="20" t="n">
        <v>0</v>
      </c>
      <c r="O71" s="18" t="n">
        <v>0</v>
      </c>
      <c r="P71" s="20" t="n">
        <v>0</v>
      </c>
      <c r="Q71" s="18" t="n">
        <v>0.07665772999999999</v>
      </c>
      <c r="R71" s="20" t="n">
        <v>0.07649747</v>
      </c>
    </row>
    <row r="72" spans="1:18">
      <c r="A72" s="15" t="s">
        <v>632</v>
      </c>
      <c r="B72" s="17" t="n">
        <v>3889</v>
      </c>
      <c r="C72" s="18">
        <f>(3053.0/B72*100)</f>
        <v/>
      </c>
      <c r="D72" s="19" t="n">
        <v>836</v>
      </c>
      <c r="E72" s="18" t="n">
        <v>6.74742194</v>
      </c>
      <c r="F72" s="20" t="n">
        <v>1.05755947</v>
      </c>
      <c r="G72" s="18" t="n">
        <v>92.23293451000001</v>
      </c>
      <c r="H72" s="20" t="n">
        <v>1.10735652</v>
      </c>
      <c r="I72" s="18" t="s">
        <v>567</v>
      </c>
      <c r="J72" s="20" t="s">
        <v>567</v>
      </c>
      <c r="K72" s="18" t="n">
        <v>0.2233331</v>
      </c>
      <c r="L72" s="20" t="n">
        <v>0.17085088</v>
      </c>
      <c r="M72" s="18" t="n">
        <v>0</v>
      </c>
      <c r="N72" s="20" t="n">
        <v>0</v>
      </c>
      <c r="O72" s="18" t="n">
        <v>0</v>
      </c>
      <c r="P72" s="20" t="n">
        <v>0</v>
      </c>
      <c r="Q72" s="18" t="n">
        <v>0.79631045</v>
      </c>
      <c r="R72" s="20" t="n">
        <v>0.27602201</v>
      </c>
    </row>
    <row r="73" spans="1:18">
      <c r="A73" s="15" t="s">
        <v>633</v>
      </c>
      <c r="B73" s="17" t="n">
        <v>3597</v>
      </c>
      <c r="C73" s="18">
        <f>(2797.0/B73*100)</f>
        <v/>
      </c>
      <c r="D73" s="19" t="n">
        <v>800</v>
      </c>
      <c r="E73" s="18" t="n">
        <v>9.95463758</v>
      </c>
      <c r="F73" s="20" t="n">
        <v>1.14207478</v>
      </c>
      <c r="G73" s="18" t="n">
        <v>85.59525471000001</v>
      </c>
      <c r="H73" s="20" t="n">
        <v>1.50951887</v>
      </c>
      <c r="I73" s="18" t="s">
        <v>567</v>
      </c>
      <c r="J73" s="20" t="s">
        <v>567</v>
      </c>
      <c r="K73" s="18" t="n">
        <v>0</v>
      </c>
      <c r="L73" s="20" t="n">
        <v>0</v>
      </c>
      <c r="M73" s="18" t="n">
        <v>0</v>
      </c>
      <c r="N73" s="20" t="n">
        <v>0</v>
      </c>
      <c r="O73" s="18" t="n">
        <v>0</v>
      </c>
      <c r="P73" s="20" t="n">
        <v>0</v>
      </c>
      <c r="Q73" s="18" t="n">
        <v>4.4501077</v>
      </c>
      <c r="R73" s="20" t="n">
        <v>0.86691095</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(1913.0/B75*100)</f>
        <v/>
      </c>
      <c r="D75" s="19" t="n">
        <v>493</v>
      </c>
      <c r="E75" s="18" t="n">
        <v>14.87665062</v>
      </c>
      <c r="F75" s="20" t="n">
        <v>1.68349322</v>
      </c>
      <c r="G75" s="18" t="n">
        <v>81.38915711999999</v>
      </c>
      <c r="H75" s="20" t="n">
        <v>1.96434852</v>
      </c>
      <c r="I75" s="18" t="s">
        <v>567</v>
      </c>
      <c r="J75" s="20" t="s">
        <v>567</v>
      </c>
      <c r="K75" s="18" t="n">
        <v>0.721303</v>
      </c>
      <c r="L75" s="20" t="n">
        <v>0.37757425</v>
      </c>
      <c r="M75" s="18" t="n">
        <v>0</v>
      </c>
      <c r="N75" s="20" t="n">
        <v>0</v>
      </c>
      <c r="O75" s="18" t="n">
        <v>0</v>
      </c>
      <c r="P75" s="20" t="n">
        <v>0</v>
      </c>
      <c r="Q75" s="18" t="n">
        <v>3.01288926</v>
      </c>
      <c r="R75" s="20" t="n">
        <v>1.02515967</v>
      </c>
    </row>
    <row r="76" spans="1:18">
      <c r="A76" s="15" t="s">
        <v>636</v>
      </c>
      <c r="B76" s="17" t="n">
        <v>7052</v>
      </c>
      <c r="C76" s="18">
        <f>(5485.0/B76*100)</f>
        <v/>
      </c>
      <c r="D76" s="19" t="n">
        <v>1567</v>
      </c>
      <c r="E76" s="18" t="n">
        <v>15.76820221</v>
      </c>
      <c r="F76" s="20" t="n">
        <v>1.17305999</v>
      </c>
      <c r="G76" s="18" t="n">
        <v>80.43473535</v>
      </c>
      <c r="H76" s="20" t="n">
        <v>1.43419897</v>
      </c>
      <c r="I76" s="18" t="s">
        <v>567</v>
      </c>
      <c r="J76" s="20" t="s">
        <v>567</v>
      </c>
      <c r="K76" s="18" t="n">
        <v>1.05822399</v>
      </c>
      <c r="L76" s="20" t="n">
        <v>0.32685671</v>
      </c>
      <c r="M76" s="18" t="n">
        <v>0</v>
      </c>
      <c r="N76" s="20" t="n">
        <v>0</v>
      </c>
      <c r="O76" s="18" t="n">
        <v>0</v>
      </c>
      <c r="P76" s="20" t="n">
        <v>0</v>
      </c>
      <c r="Q76" s="18" t="n">
        <v>2.73883845</v>
      </c>
      <c r="R76" s="20" t="n">
        <v>0.63177599</v>
      </c>
    </row>
    <row r="77" spans="1:18">
      <c r="A77" s="15" t="s">
        <v>637</v>
      </c>
      <c r="B77" s="17" t="n">
        <v>2908</v>
      </c>
      <c r="C77" s="18">
        <f>(2271.0/B77*100)</f>
        <v/>
      </c>
      <c r="D77" s="19" t="n">
        <v>637</v>
      </c>
      <c r="E77" s="18" t="n">
        <v>11.22421811</v>
      </c>
      <c r="F77" s="20" t="n">
        <v>1.36872749</v>
      </c>
      <c r="G77" s="18" t="n">
        <v>84.39153415</v>
      </c>
      <c r="H77" s="20" t="n">
        <v>1.63825885</v>
      </c>
      <c r="I77" s="18" t="s">
        <v>567</v>
      </c>
      <c r="J77" s="20" t="s">
        <v>567</v>
      </c>
      <c r="K77" s="18" t="n">
        <v>0</v>
      </c>
      <c r="L77" s="20" t="n">
        <v>0</v>
      </c>
      <c r="M77" s="18" t="n">
        <v>0</v>
      </c>
      <c r="N77" s="20" t="n">
        <v>0</v>
      </c>
      <c r="O77" s="18" t="n">
        <v>0</v>
      </c>
      <c r="P77" s="20" t="n">
        <v>0</v>
      </c>
      <c r="Q77" s="18" t="n">
        <v>4.38424773</v>
      </c>
      <c r="R77" s="20" t="n">
        <v>1.0452698</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(3230.0/B81*100)</f>
        <v/>
      </c>
      <c r="D81" s="19" t="n">
        <v>933</v>
      </c>
      <c r="E81" s="18" t="n">
        <v>5.50388238</v>
      </c>
      <c r="F81" s="20" t="n">
        <v>0.78314081</v>
      </c>
      <c r="G81" s="18" t="n">
        <v>92.92324465</v>
      </c>
      <c r="H81" s="20" t="n">
        <v>0.92865661</v>
      </c>
      <c r="I81" s="18" t="s">
        <v>567</v>
      </c>
      <c r="J81" s="20" t="s">
        <v>567</v>
      </c>
      <c r="K81" s="18" t="n">
        <v>0</v>
      </c>
      <c r="L81" s="20" t="n">
        <v>0</v>
      </c>
      <c r="M81" s="18" t="n">
        <v>0</v>
      </c>
      <c r="N81" s="20" t="n">
        <v>0</v>
      </c>
      <c r="O81" s="18" t="n">
        <v>0</v>
      </c>
      <c r="P81" s="20" t="n">
        <v>0</v>
      </c>
      <c r="Q81" s="18" t="n">
        <v>1.57287297</v>
      </c>
      <c r="R81" s="20" t="n">
        <v>0.49811492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(5752.0/B7*100)</f>
        <v/>
      </c>
      <c r="D7" s="19" t="n">
        <v>1615</v>
      </c>
      <c r="E7" s="18" t="n">
        <v>22.6880529</v>
      </c>
      <c r="F7" s="20" t="n">
        <v>1.32327316</v>
      </c>
      <c r="G7" s="18" t="n">
        <v>75.88087237000001</v>
      </c>
      <c r="H7" s="20" t="n">
        <v>1.36642365</v>
      </c>
      <c r="I7" s="18" t="s">
        <v>567</v>
      </c>
      <c r="J7" s="20" t="s">
        <v>567</v>
      </c>
      <c r="K7" s="18" t="n">
        <v>0.22301034</v>
      </c>
      <c r="L7" s="20" t="n">
        <v>0.12271444</v>
      </c>
      <c r="M7" s="18" t="n">
        <v>0</v>
      </c>
      <c r="N7" s="20" t="n">
        <v>0</v>
      </c>
      <c r="O7" s="18" t="n">
        <v>0</v>
      </c>
      <c r="P7" s="20" t="n">
        <v>0</v>
      </c>
      <c r="Q7" s="18" t="n">
        <v>1.20806439</v>
      </c>
      <c r="R7" s="20" t="n">
        <v>0.33087995</v>
      </c>
    </row>
    <row r="8" spans="1:18">
      <c r="A8" s="15" t="s">
        <v>568</v>
      </c>
      <c r="B8" s="17" t="n">
        <v>3564</v>
      </c>
      <c r="C8" s="18">
        <f>(2786.0/B8*100)</f>
        <v/>
      </c>
      <c r="D8" s="19" t="n">
        <v>778</v>
      </c>
      <c r="E8" s="18" t="n">
        <v>23.56976067</v>
      </c>
      <c r="F8" s="20" t="n">
        <v>1.85591376</v>
      </c>
      <c r="G8" s="18" t="n">
        <v>75.235596</v>
      </c>
      <c r="H8" s="20" t="n">
        <v>1.89686874</v>
      </c>
      <c r="I8" s="18" t="s">
        <v>567</v>
      </c>
      <c r="J8" s="20" t="s">
        <v>567</v>
      </c>
      <c r="K8" s="18" t="n">
        <v>0.30276859</v>
      </c>
      <c r="L8" s="20" t="n">
        <v>0.21155525</v>
      </c>
      <c r="M8" s="18" t="n">
        <v>0</v>
      </c>
      <c r="N8" s="20" t="n">
        <v>0</v>
      </c>
      <c r="O8" s="18" t="n">
        <v>0</v>
      </c>
      <c r="P8" s="20" t="n">
        <v>0</v>
      </c>
      <c r="Q8" s="18" t="n">
        <v>0.89187474</v>
      </c>
      <c r="R8" s="20" t="n">
        <v>0.33507367</v>
      </c>
    </row>
    <row r="9" spans="1:18">
      <c r="A9" s="15" t="s">
        <v>569</v>
      </c>
      <c r="B9" s="17" t="n">
        <v>4899</v>
      </c>
      <c r="C9" s="18">
        <f>(3837.0/B9*100)</f>
        <v/>
      </c>
      <c r="D9" s="19" t="n">
        <v>1062</v>
      </c>
      <c r="E9" s="18" t="n">
        <v>29.46046575</v>
      </c>
      <c r="F9" s="20" t="n">
        <v>1.5442132</v>
      </c>
      <c r="G9" s="18" t="n">
        <v>68.83454625</v>
      </c>
      <c r="H9" s="20" t="n">
        <v>1.58970919</v>
      </c>
      <c r="I9" s="18" t="s">
        <v>567</v>
      </c>
      <c r="J9" s="20" t="s">
        <v>567</v>
      </c>
      <c r="K9" s="18" t="n">
        <v>0.1944922</v>
      </c>
      <c r="L9" s="20" t="n">
        <v>0.10834388</v>
      </c>
      <c r="M9" s="18" t="n">
        <v>0</v>
      </c>
      <c r="N9" s="20" t="n">
        <v>0</v>
      </c>
      <c r="O9" s="18" t="n">
        <v>0</v>
      </c>
      <c r="P9" s="20" t="n">
        <v>0</v>
      </c>
      <c r="Q9" s="18" t="n">
        <v>1.5104958</v>
      </c>
      <c r="R9" s="20" t="n">
        <v>0.39128781</v>
      </c>
    </row>
    <row r="10" spans="1:18">
      <c r="A10" s="15" t="s">
        <v>570</v>
      </c>
      <c r="B10" s="17" t="n">
        <v>10036</v>
      </c>
      <c r="C10" s="18">
        <f>(7784.0/B10*100)</f>
        <v/>
      </c>
      <c r="D10" s="19" t="n">
        <v>2252</v>
      </c>
      <c r="E10" s="18" t="n">
        <v>18.94498132</v>
      </c>
      <c r="F10" s="20" t="n">
        <v>1.19159882</v>
      </c>
      <c r="G10" s="18" t="n">
        <v>79.64333997</v>
      </c>
      <c r="H10" s="20" t="n">
        <v>1.27910531</v>
      </c>
      <c r="I10" s="18" t="s">
        <v>567</v>
      </c>
      <c r="J10" s="20" t="s">
        <v>567</v>
      </c>
      <c r="K10" s="18" t="n">
        <v>0.41881906</v>
      </c>
      <c r="L10" s="20" t="n">
        <v>0.21226202</v>
      </c>
      <c r="M10" s="18" t="n">
        <v>0</v>
      </c>
      <c r="N10" s="20" t="n">
        <v>0</v>
      </c>
      <c r="O10" s="18" t="n">
        <v>0</v>
      </c>
      <c r="P10" s="20" t="n">
        <v>0</v>
      </c>
      <c r="Q10" s="18" t="n">
        <v>0.99285965</v>
      </c>
      <c r="R10" s="20" t="n">
        <v>0.28975175</v>
      </c>
    </row>
    <row r="11" spans="1:18">
      <c r="A11" s="15" t="s">
        <v>571</v>
      </c>
      <c r="B11" s="17" t="n">
        <v>3553</v>
      </c>
      <c r="C11" s="18">
        <f>(2751.0/B11*100)</f>
        <v/>
      </c>
      <c r="D11" s="19" t="n">
        <v>802</v>
      </c>
      <c r="E11" s="18" t="n">
        <v>24.16840185</v>
      </c>
      <c r="F11" s="20" t="n">
        <v>1.8642113</v>
      </c>
      <c r="G11" s="18" t="n">
        <v>72.91657696</v>
      </c>
      <c r="H11" s="20" t="n">
        <v>1.99511681</v>
      </c>
      <c r="I11" s="18" t="s">
        <v>567</v>
      </c>
      <c r="J11" s="20" t="s">
        <v>567</v>
      </c>
      <c r="K11" s="18" t="n">
        <v>0</v>
      </c>
      <c r="L11" s="20" t="n">
        <v>0</v>
      </c>
      <c r="M11" s="18" t="n">
        <v>0</v>
      </c>
      <c r="N11" s="20" t="n">
        <v>0</v>
      </c>
      <c r="O11" s="18" t="n">
        <v>0</v>
      </c>
      <c r="P11" s="20" t="n">
        <v>0</v>
      </c>
      <c r="Q11" s="18" t="n">
        <v>2.91502119</v>
      </c>
      <c r="R11" s="20" t="n">
        <v>0.68488457</v>
      </c>
    </row>
    <row r="12" spans="1:18">
      <c r="A12" s="15" t="s">
        <v>572</v>
      </c>
      <c r="B12" s="17" t="n">
        <v>3472</v>
      </c>
      <c r="C12" s="18">
        <f>(2707.0/B12*100)</f>
        <v/>
      </c>
      <c r="D12" s="19" t="n">
        <v>765</v>
      </c>
      <c r="E12" s="18" t="n">
        <v>16.91046374</v>
      </c>
      <c r="F12" s="20" t="n">
        <v>1.46174383</v>
      </c>
      <c r="G12" s="18" t="n">
        <v>82.05189319999999</v>
      </c>
      <c r="H12" s="20" t="n">
        <v>1.40939106</v>
      </c>
      <c r="I12" s="18" t="s">
        <v>567</v>
      </c>
      <c r="J12" s="20" t="s">
        <v>567</v>
      </c>
      <c r="K12" s="18" t="n">
        <v>0</v>
      </c>
      <c r="L12" s="20" t="n">
        <v>0</v>
      </c>
      <c r="M12" s="18" t="n">
        <v>0</v>
      </c>
      <c r="N12" s="20" t="n">
        <v>0</v>
      </c>
      <c r="O12" s="18" t="n">
        <v>0</v>
      </c>
      <c r="P12" s="20" t="n">
        <v>0</v>
      </c>
      <c r="Q12" s="18" t="n">
        <v>1.03764306</v>
      </c>
      <c r="R12" s="20" t="n">
        <v>0.50080629</v>
      </c>
    </row>
    <row r="13" spans="1:18">
      <c r="A13" s="15" t="s">
        <v>573</v>
      </c>
      <c r="B13" s="17" t="n">
        <v>3559</v>
      </c>
      <c r="C13" s="18">
        <f>(2796.0/B13*100)</f>
        <v/>
      </c>
      <c r="D13" s="19" t="n">
        <v>763</v>
      </c>
      <c r="E13" s="18" t="n">
        <v>21.02185056</v>
      </c>
      <c r="F13" s="20" t="n">
        <v>1.66431873</v>
      </c>
      <c r="G13" s="18" t="n">
        <v>78.0089286</v>
      </c>
      <c r="H13" s="20" t="n">
        <v>1.63461207</v>
      </c>
      <c r="I13" s="18" t="s">
        <v>567</v>
      </c>
      <c r="J13" s="20" t="s">
        <v>567</v>
      </c>
      <c r="K13" s="18" t="n">
        <v>0.15460806</v>
      </c>
      <c r="L13" s="20" t="n">
        <v>0.11193588</v>
      </c>
      <c r="M13" s="18" t="n">
        <v>0</v>
      </c>
      <c r="N13" s="20" t="n">
        <v>0</v>
      </c>
      <c r="O13" s="18" t="n">
        <v>0</v>
      </c>
      <c r="P13" s="20" t="n">
        <v>0</v>
      </c>
      <c r="Q13" s="18" t="n">
        <v>0.81461278</v>
      </c>
      <c r="R13" s="20" t="n">
        <v>0.4485928</v>
      </c>
    </row>
    <row r="14" spans="1:18">
      <c r="A14" s="15" t="s">
        <v>574</v>
      </c>
      <c r="B14" s="17" t="n">
        <v>2799</v>
      </c>
      <c r="C14" s="18">
        <f>(2170.0/B14*100)</f>
        <v/>
      </c>
      <c r="D14" s="19" t="n">
        <v>629</v>
      </c>
      <c r="E14" s="18" t="n">
        <v>21.34113442</v>
      </c>
      <c r="F14" s="20" t="n">
        <v>1.65249628</v>
      </c>
      <c r="G14" s="18" t="n">
        <v>77.87282012999999</v>
      </c>
      <c r="H14" s="20" t="n">
        <v>1.67287402</v>
      </c>
      <c r="I14" s="18" t="s">
        <v>567</v>
      </c>
      <c r="J14" s="20" t="s">
        <v>567</v>
      </c>
      <c r="K14" s="18" t="n">
        <v>0.1441363</v>
      </c>
      <c r="L14" s="20" t="n">
        <v>0.14367076</v>
      </c>
      <c r="M14" s="18" t="n">
        <v>0</v>
      </c>
      <c r="N14" s="20" t="n">
        <v>0</v>
      </c>
      <c r="O14" s="18" t="n">
        <v>0</v>
      </c>
      <c r="P14" s="20" t="n">
        <v>0</v>
      </c>
      <c r="Q14" s="18" t="n">
        <v>0.64190915</v>
      </c>
      <c r="R14" s="20" t="n">
        <v>0.29044367</v>
      </c>
    </row>
    <row r="15" spans="1:18">
      <c r="A15" s="15" t="s">
        <v>575</v>
      </c>
      <c r="B15" s="17" t="n">
        <v>3019</v>
      </c>
      <c r="C15" s="18">
        <f>(2296.0/B15*100)</f>
        <v/>
      </c>
      <c r="D15" s="19" t="n">
        <v>723</v>
      </c>
      <c r="E15" s="18" t="n">
        <v>19.97782519</v>
      </c>
      <c r="F15" s="20" t="n">
        <v>1.45585437</v>
      </c>
      <c r="G15" s="18" t="n">
        <v>78.93916523</v>
      </c>
      <c r="H15" s="20" t="n">
        <v>1.46304643</v>
      </c>
      <c r="I15" s="18" t="s">
        <v>567</v>
      </c>
      <c r="J15" s="20" t="s">
        <v>567</v>
      </c>
      <c r="K15" s="18" t="n">
        <v>0.15508766</v>
      </c>
      <c r="L15" s="20" t="n">
        <v>0.17011839</v>
      </c>
      <c r="M15" s="18" t="n">
        <v>0</v>
      </c>
      <c r="N15" s="20" t="n">
        <v>0</v>
      </c>
      <c r="O15" s="18" t="n">
        <v>0</v>
      </c>
      <c r="P15" s="20" t="n">
        <v>0</v>
      </c>
      <c r="Q15" s="18" t="n">
        <v>0.92792193</v>
      </c>
      <c r="R15" s="20" t="n">
        <v>0.34187082</v>
      </c>
    </row>
    <row r="16" spans="1:18">
      <c r="A16" s="15" t="s">
        <v>576</v>
      </c>
      <c r="B16" s="17" t="n">
        <v>2997</v>
      </c>
      <c r="C16" s="18">
        <f>(2321.0/B16*100)</f>
        <v/>
      </c>
      <c r="D16" s="19" t="n">
        <v>676</v>
      </c>
      <c r="E16" s="18" t="n">
        <v>26.65372293</v>
      </c>
      <c r="F16" s="20" t="n">
        <v>1.53980558</v>
      </c>
      <c r="G16" s="18" t="n">
        <v>69.76869042</v>
      </c>
      <c r="H16" s="20" t="n">
        <v>1.74778326</v>
      </c>
      <c r="I16" s="18" t="s">
        <v>567</v>
      </c>
      <c r="J16" s="20" t="s">
        <v>567</v>
      </c>
      <c r="K16" s="18" t="n">
        <v>0.64226648</v>
      </c>
      <c r="L16" s="20" t="n">
        <v>0.28158706</v>
      </c>
      <c r="M16" s="18" t="n">
        <v>0</v>
      </c>
      <c r="N16" s="20" t="n">
        <v>0</v>
      </c>
      <c r="O16" s="18" t="n">
        <v>0</v>
      </c>
      <c r="P16" s="20" t="n">
        <v>0</v>
      </c>
      <c r="Q16" s="18" t="n">
        <v>2.93532017</v>
      </c>
      <c r="R16" s="20" t="n">
        <v>0.61330209</v>
      </c>
    </row>
    <row r="17" spans="1:18">
      <c r="A17" s="15" t="s">
        <v>577</v>
      </c>
      <c r="B17" s="17" t="n">
        <v>3307</v>
      </c>
      <c r="C17" s="18">
        <f>(2576.0/B17*100)</f>
        <v/>
      </c>
      <c r="D17" s="19" t="n">
        <v>731</v>
      </c>
      <c r="E17" s="18" t="n">
        <v>25.15391509</v>
      </c>
      <c r="F17" s="20" t="n">
        <v>1.84302542</v>
      </c>
      <c r="G17" s="18" t="n">
        <v>74.17133928</v>
      </c>
      <c r="H17" s="20" t="n">
        <v>1.90136827</v>
      </c>
      <c r="I17" s="18" t="s">
        <v>567</v>
      </c>
      <c r="J17" s="20" t="s">
        <v>567</v>
      </c>
      <c r="K17" s="18" t="n">
        <v>0</v>
      </c>
      <c r="L17" s="20" t="n">
        <v>0</v>
      </c>
      <c r="M17" s="18" t="n">
        <v>0</v>
      </c>
      <c r="N17" s="20" t="n">
        <v>0</v>
      </c>
      <c r="O17" s="18" t="n">
        <v>0</v>
      </c>
      <c r="P17" s="20" t="n">
        <v>0</v>
      </c>
      <c r="Q17" s="18" t="n">
        <v>0.67474563</v>
      </c>
      <c r="R17" s="20" t="n">
        <v>0.29895431</v>
      </c>
    </row>
    <row r="18" spans="1:18">
      <c r="A18" s="15" t="s">
        <v>578</v>
      </c>
      <c r="B18" s="17" t="n">
        <v>2826</v>
      </c>
      <c r="C18" s="18">
        <f>(2211.0/B18*100)</f>
        <v/>
      </c>
      <c r="D18" s="19" t="n">
        <v>615</v>
      </c>
      <c r="E18" s="18" t="n">
        <v>41.29498563</v>
      </c>
      <c r="F18" s="20" t="n">
        <v>2.28085395</v>
      </c>
      <c r="G18" s="18" t="n">
        <v>56.19713964</v>
      </c>
      <c r="H18" s="20" t="n">
        <v>2.41832798</v>
      </c>
      <c r="I18" s="18" t="s">
        <v>567</v>
      </c>
      <c r="J18" s="20" t="s">
        <v>567</v>
      </c>
      <c r="K18" s="18" t="n">
        <v>0.13429789</v>
      </c>
      <c r="L18" s="20" t="n">
        <v>0.13390859</v>
      </c>
      <c r="M18" s="18" t="n">
        <v>0</v>
      </c>
      <c r="N18" s="20" t="n">
        <v>0</v>
      </c>
      <c r="O18" s="18" t="n">
        <v>0</v>
      </c>
      <c r="P18" s="20" t="n">
        <v>0</v>
      </c>
      <c r="Q18" s="18" t="n">
        <v>2.37357684</v>
      </c>
      <c r="R18" s="20" t="n">
        <v>0.80194376</v>
      </c>
    </row>
    <row r="19" spans="1:18">
      <c r="A19" s="15" t="s">
        <v>579</v>
      </c>
      <c r="B19" s="17" t="n">
        <v>2808</v>
      </c>
      <c r="C19" s="18">
        <f>(2185.0/B19*100)</f>
        <v/>
      </c>
      <c r="D19" s="19" t="n">
        <v>623</v>
      </c>
      <c r="E19" s="18" t="n">
        <v>24.54659771</v>
      </c>
      <c r="F19" s="20" t="n">
        <v>1.88029283</v>
      </c>
      <c r="G19" s="18" t="n">
        <v>73.54249254</v>
      </c>
      <c r="H19" s="20" t="n">
        <v>2.14157176</v>
      </c>
      <c r="I19" s="18" t="s">
        <v>567</v>
      </c>
      <c r="J19" s="20" t="s">
        <v>567</v>
      </c>
      <c r="K19" s="18" t="n">
        <v>0</v>
      </c>
      <c r="L19" s="20" t="n">
        <v>0</v>
      </c>
      <c r="M19" s="18" t="n">
        <v>0</v>
      </c>
      <c r="N19" s="20" t="n">
        <v>0</v>
      </c>
      <c r="O19" s="18" t="n">
        <v>0</v>
      </c>
      <c r="P19" s="20" t="n">
        <v>0</v>
      </c>
      <c r="Q19" s="18" t="n">
        <v>1.91090975</v>
      </c>
      <c r="R19" s="20" t="n">
        <v>0.8702872699999999</v>
      </c>
    </row>
    <row r="20" spans="1:18">
      <c r="A20" s="15" t="s">
        <v>580</v>
      </c>
      <c r="B20" s="17" t="n">
        <v>1630</v>
      </c>
      <c r="C20" s="18">
        <f>(1265.0/B20*100)</f>
        <v/>
      </c>
      <c r="D20" s="19" t="n">
        <v>365</v>
      </c>
      <c r="E20" s="18" t="n">
        <v>16.47809643</v>
      </c>
      <c r="F20" s="20" t="n">
        <v>1.94982345</v>
      </c>
      <c r="G20" s="18" t="n">
        <v>81.9109725</v>
      </c>
      <c r="H20" s="20" t="n">
        <v>2.11405577</v>
      </c>
      <c r="I20" s="18" t="s">
        <v>567</v>
      </c>
      <c r="J20" s="20" t="s">
        <v>567</v>
      </c>
      <c r="K20" s="18" t="n">
        <v>0.26799834</v>
      </c>
      <c r="L20" s="20" t="n">
        <v>0.27033441</v>
      </c>
      <c r="M20" s="18" t="n">
        <v>0</v>
      </c>
      <c r="N20" s="20" t="n">
        <v>0</v>
      </c>
      <c r="O20" s="18" t="n">
        <v>0</v>
      </c>
      <c r="P20" s="20" t="n">
        <v>0</v>
      </c>
      <c r="Q20" s="18" t="n">
        <v>1.34293274</v>
      </c>
      <c r="R20" s="20" t="n">
        <v>0.83585133</v>
      </c>
    </row>
    <row r="21" spans="1:18">
      <c r="A21" s="15" t="s">
        <v>581</v>
      </c>
      <c r="B21" s="17" t="n">
        <v>2908</v>
      </c>
      <c r="C21" s="18">
        <f>(2256.0/B21*100)</f>
        <v/>
      </c>
      <c r="D21" s="19" t="n">
        <v>652</v>
      </c>
      <c r="E21" s="18" t="n">
        <v>34.43874217</v>
      </c>
      <c r="F21" s="20" t="n">
        <v>1.86180098</v>
      </c>
      <c r="G21" s="18" t="n">
        <v>64.79902319999999</v>
      </c>
      <c r="H21" s="20" t="n">
        <v>1.82761655</v>
      </c>
      <c r="I21" s="18" t="s">
        <v>567</v>
      </c>
      <c r="J21" s="20" t="s">
        <v>567</v>
      </c>
      <c r="K21" s="18" t="n">
        <v>0.20866309</v>
      </c>
      <c r="L21" s="20" t="n">
        <v>0.17432168</v>
      </c>
      <c r="M21" s="18" t="n">
        <v>0</v>
      </c>
      <c r="N21" s="20" t="n">
        <v>0</v>
      </c>
      <c r="O21" s="18" t="n">
        <v>0</v>
      </c>
      <c r="P21" s="20" t="n">
        <v>0</v>
      </c>
      <c r="Q21" s="18" t="n">
        <v>0.55357154</v>
      </c>
      <c r="R21" s="20" t="n">
        <v>0.266391</v>
      </c>
    </row>
    <row r="22" spans="1:18">
      <c r="A22" s="15" t="s">
        <v>582</v>
      </c>
      <c r="B22" s="17" t="n">
        <v>2931</v>
      </c>
      <c r="C22" s="18">
        <f>(2338.0/B22*100)</f>
        <v/>
      </c>
      <c r="D22" s="19" t="n">
        <v>593</v>
      </c>
      <c r="E22" s="18" t="n">
        <v>37.64399398</v>
      </c>
      <c r="F22" s="20" t="n">
        <v>2.1702949</v>
      </c>
      <c r="G22" s="18" t="n">
        <v>59.69881729</v>
      </c>
      <c r="H22" s="20" t="n">
        <v>2.20644033</v>
      </c>
      <c r="I22" s="18" t="s">
        <v>567</v>
      </c>
      <c r="J22" s="20" t="s">
        <v>567</v>
      </c>
      <c r="K22" s="18" t="n">
        <v>0.32504024</v>
      </c>
      <c r="L22" s="20" t="n">
        <v>0.27071416</v>
      </c>
      <c r="M22" s="18" t="n">
        <v>0</v>
      </c>
      <c r="N22" s="20" t="n">
        <v>0</v>
      </c>
      <c r="O22" s="18" t="n">
        <v>0</v>
      </c>
      <c r="P22" s="20" t="n">
        <v>0</v>
      </c>
      <c r="Q22" s="18" t="n">
        <v>2.33214849</v>
      </c>
      <c r="R22" s="20" t="n">
        <v>0.7845409800000001</v>
      </c>
    </row>
    <row r="23" spans="1:18">
      <c r="A23" s="15" t="s">
        <v>583</v>
      </c>
      <c r="B23" s="17" t="n">
        <v>5791</v>
      </c>
      <c r="C23" s="18">
        <f>(4525.0/B23*100)</f>
        <v/>
      </c>
      <c r="D23" s="19" t="n">
        <v>1266</v>
      </c>
      <c r="E23" s="18" t="n">
        <v>26.97518626</v>
      </c>
      <c r="F23" s="20" t="n">
        <v>1.82130589</v>
      </c>
      <c r="G23" s="18" t="n">
        <v>70.61201867</v>
      </c>
      <c r="H23" s="20" t="n">
        <v>2.07635949</v>
      </c>
      <c r="I23" s="18" t="s">
        <v>567</v>
      </c>
      <c r="J23" s="20" t="s">
        <v>567</v>
      </c>
      <c r="K23" s="18" t="n">
        <v>0.38007441</v>
      </c>
      <c r="L23" s="20" t="n">
        <v>0.27291631</v>
      </c>
      <c r="M23" s="18" t="n">
        <v>0</v>
      </c>
      <c r="N23" s="20" t="n">
        <v>0</v>
      </c>
      <c r="O23" s="18" t="n">
        <v>0</v>
      </c>
      <c r="P23" s="20" t="n">
        <v>0</v>
      </c>
      <c r="Q23" s="18" t="n">
        <v>2.03272066</v>
      </c>
      <c r="R23" s="20" t="n">
        <v>1.00945889</v>
      </c>
    </row>
    <row r="24" spans="1:18">
      <c r="A24" s="15" t="s">
        <v>584</v>
      </c>
      <c r="B24" s="17" t="n">
        <v>3338</v>
      </c>
      <c r="C24" s="18">
        <f>(2601.0/B24*100)</f>
        <v/>
      </c>
      <c r="D24" s="19" t="n">
        <v>737</v>
      </c>
      <c r="E24" s="18" t="n">
        <v>10.15734973</v>
      </c>
      <c r="F24" s="20" t="n">
        <v>1.32634404</v>
      </c>
      <c r="G24" s="18" t="n">
        <v>88.1846378</v>
      </c>
      <c r="H24" s="20" t="n">
        <v>1.52680047</v>
      </c>
      <c r="I24" s="18" t="s">
        <v>567</v>
      </c>
      <c r="J24" s="20" t="s">
        <v>567</v>
      </c>
      <c r="K24" s="18" t="n">
        <v>0.22353495</v>
      </c>
      <c r="L24" s="20" t="n">
        <v>0.16105168</v>
      </c>
      <c r="M24" s="18" t="n">
        <v>0</v>
      </c>
      <c r="N24" s="20" t="n">
        <v>0</v>
      </c>
      <c r="O24" s="18" t="n">
        <v>0</v>
      </c>
      <c r="P24" s="20" t="n">
        <v>0</v>
      </c>
      <c r="Q24" s="18" t="n">
        <v>1.43447752</v>
      </c>
      <c r="R24" s="20" t="n">
        <v>0.5046958499999999</v>
      </c>
    </row>
    <row r="25" spans="1:18">
      <c r="A25" s="15" t="s">
        <v>585</v>
      </c>
      <c r="B25" s="17" t="n">
        <v>2912</v>
      </c>
      <c r="C25" s="18">
        <f>(2276.0/B25*100)</f>
        <v/>
      </c>
      <c r="D25" s="19" t="n">
        <v>636</v>
      </c>
      <c r="E25" s="18" t="n">
        <v>22.96534162</v>
      </c>
      <c r="F25" s="20" t="n">
        <v>1.44322927</v>
      </c>
      <c r="G25" s="18" t="n">
        <v>75.84281158</v>
      </c>
      <c r="H25" s="20" t="n">
        <v>1.64757894</v>
      </c>
      <c r="I25" s="18" t="s">
        <v>567</v>
      </c>
      <c r="J25" s="20" t="s">
        <v>567</v>
      </c>
      <c r="K25" s="18" t="n">
        <v>0</v>
      </c>
      <c r="L25" s="20" t="n">
        <v>0</v>
      </c>
      <c r="M25" s="18" t="n">
        <v>0</v>
      </c>
      <c r="N25" s="20" t="n">
        <v>0</v>
      </c>
      <c r="O25" s="18" t="n">
        <v>0</v>
      </c>
      <c r="P25" s="20" t="n">
        <v>0</v>
      </c>
      <c r="Q25" s="18" t="n">
        <v>1.1918468</v>
      </c>
      <c r="R25" s="20" t="n">
        <v>0.3765031</v>
      </c>
    </row>
    <row r="26" spans="1:18">
      <c r="A26" s="15" t="s">
        <v>586</v>
      </c>
      <c r="B26" s="17" t="n">
        <v>2450</v>
      </c>
      <c r="C26" s="18">
        <f>(1907.0/B26*100)</f>
        <v/>
      </c>
      <c r="D26" s="19" t="n">
        <v>543</v>
      </c>
      <c r="E26" s="18" t="n">
        <v>25.7001649</v>
      </c>
      <c r="F26" s="20" t="n">
        <v>1.56692658</v>
      </c>
      <c r="G26" s="18" t="n">
        <v>74.15855632</v>
      </c>
      <c r="H26" s="20" t="n">
        <v>1.57360343</v>
      </c>
      <c r="I26" s="18" t="s">
        <v>567</v>
      </c>
      <c r="J26" s="20" t="s">
        <v>567</v>
      </c>
      <c r="K26" s="18" t="n">
        <v>0</v>
      </c>
      <c r="L26" s="20" t="n">
        <v>0</v>
      </c>
      <c r="M26" s="18" t="n">
        <v>0</v>
      </c>
      <c r="N26" s="20" t="n">
        <v>0</v>
      </c>
      <c r="O26" s="18" t="n">
        <v>0</v>
      </c>
      <c r="P26" s="20" t="n">
        <v>0</v>
      </c>
      <c r="Q26" s="18" t="n">
        <v>0.14127878</v>
      </c>
      <c r="R26" s="20" t="n">
        <v>0.13766386</v>
      </c>
    </row>
    <row r="27" spans="1:18">
      <c r="A27" s="15" t="s">
        <v>587</v>
      </c>
      <c r="B27" s="17" t="n">
        <v>2616</v>
      </c>
      <c r="C27" s="18">
        <f>(2034.0/B27*100)</f>
        <v/>
      </c>
      <c r="D27" s="19" t="n">
        <v>582</v>
      </c>
      <c r="E27" s="18" t="n">
        <v>25.6106394</v>
      </c>
      <c r="F27" s="20" t="n">
        <v>1.91192619</v>
      </c>
      <c r="G27" s="18" t="n">
        <v>73.53446372000001</v>
      </c>
      <c r="H27" s="20" t="n">
        <v>1.86329991</v>
      </c>
      <c r="I27" s="18" t="s">
        <v>567</v>
      </c>
      <c r="J27" s="20" t="s">
        <v>567</v>
      </c>
      <c r="K27" s="18" t="n">
        <v>0</v>
      </c>
      <c r="L27" s="20" t="n">
        <v>0</v>
      </c>
      <c r="M27" s="18" t="n">
        <v>0</v>
      </c>
      <c r="N27" s="20" t="n">
        <v>0</v>
      </c>
      <c r="O27" s="18" t="n">
        <v>0</v>
      </c>
      <c r="P27" s="20" t="n">
        <v>0</v>
      </c>
      <c r="Q27" s="18" t="n">
        <v>0.85489688</v>
      </c>
      <c r="R27" s="20" t="n">
        <v>0.378101</v>
      </c>
    </row>
    <row r="28" spans="1:18">
      <c r="A28" s="15" t="s">
        <v>588</v>
      </c>
      <c r="B28" s="17" t="n">
        <v>3765</v>
      </c>
      <c r="C28" s="18">
        <f>(2990.0/B28*100)</f>
        <v/>
      </c>
      <c r="D28" s="19" t="n">
        <v>775</v>
      </c>
      <c r="E28" s="18" t="n">
        <v>39.17114945</v>
      </c>
      <c r="F28" s="20" t="n">
        <v>1.83230565</v>
      </c>
      <c r="G28" s="18" t="n">
        <v>56.55097419</v>
      </c>
      <c r="H28" s="20" t="n">
        <v>1.94051537</v>
      </c>
      <c r="I28" s="18" t="s">
        <v>567</v>
      </c>
      <c r="J28" s="20" t="s">
        <v>567</v>
      </c>
      <c r="K28" s="18" t="n">
        <v>0.26290125</v>
      </c>
      <c r="L28" s="20" t="n">
        <v>0.18645519</v>
      </c>
      <c r="M28" s="18" t="n">
        <v>0</v>
      </c>
      <c r="N28" s="20" t="n">
        <v>0</v>
      </c>
      <c r="O28" s="18" t="n">
        <v>0</v>
      </c>
      <c r="P28" s="20" t="n">
        <v>0</v>
      </c>
      <c r="Q28" s="18" t="n">
        <v>4.01497511</v>
      </c>
      <c r="R28" s="20" t="n">
        <v>0.70599651</v>
      </c>
    </row>
    <row r="29" spans="1:18">
      <c r="A29" s="15" t="s">
        <v>589</v>
      </c>
      <c r="B29" s="17" t="n">
        <v>2685</v>
      </c>
      <c r="C29" s="18">
        <f>(2099.0/B29*100)</f>
        <v/>
      </c>
      <c r="D29" s="19" t="n">
        <v>586</v>
      </c>
      <c r="E29" s="18" t="n">
        <v>32.333977</v>
      </c>
      <c r="F29" s="20" t="n">
        <v>1.93058749</v>
      </c>
      <c r="G29" s="18" t="n">
        <v>67.18526923</v>
      </c>
      <c r="H29" s="20" t="n">
        <v>1.95218061</v>
      </c>
      <c r="I29" s="18" t="s">
        <v>567</v>
      </c>
      <c r="J29" s="20" t="s">
        <v>567</v>
      </c>
      <c r="K29" s="18" t="n">
        <v>0.16790502</v>
      </c>
      <c r="L29" s="20" t="n">
        <v>0.16568474</v>
      </c>
      <c r="M29" s="18" t="n">
        <v>0</v>
      </c>
      <c r="N29" s="20" t="n">
        <v>0</v>
      </c>
      <c r="O29" s="18" t="n">
        <v>0</v>
      </c>
      <c r="P29" s="20" t="n">
        <v>0</v>
      </c>
      <c r="Q29" s="18" t="n">
        <v>0.31284875</v>
      </c>
      <c r="R29" s="20" t="n">
        <v>0.23150056</v>
      </c>
    </row>
    <row r="30" spans="1:18">
      <c r="A30" s="15" t="s">
        <v>590</v>
      </c>
      <c r="B30" s="17" t="n">
        <v>2263</v>
      </c>
      <c r="C30" s="18">
        <f>(1774.0/B30*100)</f>
        <v/>
      </c>
      <c r="D30" s="19" t="n">
        <v>489</v>
      </c>
      <c r="E30" s="18" t="n">
        <v>20.56058952</v>
      </c>
      <c r="F30" s="20" t="n">
        <v>1.92021674</v>
      </c>
      <c r="G30" s="18" t="n">
        <v>77.82436328</v>
      </c>
      <c r="H30" s="20" t="n">
        <v>1.93991948</v>
      </c>
      <c r="I30" s="18" t="s">
        <v>567</v>
      </c>
      <c r="J30" s="20" t="s">
        <v>567</v>
      </c>
      <c r="K30" s="18" t="n">
        <v>0</v>
      </c>
      <c r="L30" s="20" t="n">
        <v>0</v>
      </c>
      <c r="M30" s="18" t="n">
        <v>0</v>
      </c>
      <c r="N30" s="20" t="n">
        <v>0</v>
      </c>
      <c r="O30" s="18" t="n">
        <v>0</v>
      </c>
      <c r="P30" s="20" t="n">
        <v>0</v>
      </c>
      <c r="Q30" s="18" t="n">
        <v>1.6150472</v>
      </c>
      <c r="R30" s="20" t="n">
        <v>0.63834563</v>
      </c>
    </row>
    <row r="31" spans="1:18">
      <c r="A31" s="15" t="s">
        <v>591</v>
      </c>
      <c r="B31" s="17" t="n">
        <v>2750</v>
      </c>
      <c r="C31" s="18">
        <f>(2169.0/B31*100)</f>
        <v/>
      </c>
      <c r="D31" s="19" t="n">
        <v>581</v>
      </c>
      <c r="E31" s="18" t="n">
        <v>22.68130713</v>
      </c>
      <c r="F31" s="20" t="n">
        <v>1.84645511</v>
      </c>
      <c r="G31" s="18" t="n">
        <v>76.84567667</v>
      </c>
      <c r="H31" s="20" t="n">
        <v>1.88994965</v>
      </c>
      <c r="I31" s="18" t="s">
        <v>567</v>
      </c>
      <c r="J31" s="20" t="s">
        <v>567</v>
      </c>
      <c r="K31" s="18" t="n">
        <v>0.4730162</v>
      </c>
      <c r="L31" s="20" t="n">
        <v>0.27269747</v>
      </c>
      <c r="M31" s="18" t="n">
        <v>0</v>
      </c>
      <c r="N31" s="20" t="n">
        <v>0</v>
      </c>
      <c r="O31" s="18" t="n">
        <v>0</v>
      </c>
      <c r="P31" s="20" t="n">
        <v>0</v>
      </c>
      <c r="Q31" s="18" t="n">
        <v>0</v>
      </c>
      <c r="R31" s="20" t="n">
        <v>0</v>
      </c>
    </row>
    <row r="32" spans="1:18">
      <c r="A32" s="15" t="s">
        <v>592</v>
      </c>
      <c r="B32" s="17" t="n">
        <v>2269</v>
      </c>
      <c r="C32" s="18">
        <f>(1803.0/B32*100)</f>
        <v/>
      </c>
      <c r="D32" s="19" t="n">
        <v>466</v>
      </c>
      <c r="E32" s="18" t="n">
        <v>26.25807069</v>
      </c>
      <c r="F32" s="20" t="n">
        <v>2.23032688</v>
      </c>
      <c r="G32" s="18" t="n">
        <v>72.95313225</v>
      </c>
      <c r="H32" s="20" t="n">
        <v>2.26422533</v>
      </c>
      <c r="I32" s="18" t="s">
        <v>567</v>
      </c>
      <c r="J32" s="20" t="s">
        <v>567</v>
      </c>
      <c r="K32" s="18" t="n">
        <v>0</v>
      </c>
      <c r="L32" s="20" t="n">
        <v>0</v>
      </c>
      <c r="M32" s="18" t="n">
        <v>0</v>
      </c>
      <c r="N32" s="20" t="n">
        <v>0</v>
      </c>
      <c r="O32" s="18" t="n">
        <v>0</v>
      </c>
      <c r="P32" s="20" t="n">
        <v>0</v>
      </c>
      <c r="Q32" s="18" t="n">
        <v>0.78879707</v>
      </c>
      <c r="R32" s="20" t="n">
        <v>0.37335557</v>
      </c>
    </row>
    <row r="33" spans="1:18">
      <c r="A33" s="15" t="s">
        <v>593</v>
      </c>
      <c r="B33" s="17" t="n">
        <v>3674</v>
      </c>
      <c r="C33" s="18">
        <f>(2851.0/B33*100)</f>
        <v/>
      </c>
      <c r="D33" s="19" t="n">
        <v>823</v>
      </c>
      <c r="E33" s="18" t="n">
        <v>24.61276719</v>
      </c>
      <c r="F33" s="20" t="n">
        <v>1.81577995</v>
      </c>
      <c r="G33" s="18" t="n">
        <v>75.07645282</v>
      </c>
      <c r="H33" s="20" t="n">
        <v>1.80004538</v>
      </c>
      <c r="I33" s="18" t="s">
        <v>567</v>
      </c>
      <c r="J33" s="20" t="s">
        <v>567</v>
      </c>
      <c r="K33" s="18" t="n">
        <v>0</v>
      </c>
      <c r="L33" s="20" t="n">
        <v>0</v>
      </c>
      <c r="M33" s="18" t="n">
        <v>0</v>
      </c>
      <c r="N33" s="20" t="n">
        <v>0</v>
      </c>
      <c r="O33" s="18" t="n">
        <v>0</v>
      </c>
      <c r="P33" s="20" t="n">
        <v>0</v>
      </c>
      <c r="Q33" s="18" t="n">
        <v>0.31077999</v>
      </c>
      <c r="R33" s="20" t="n">
        <v>0.14776818</v>
      </c>
    </row>
    <row r="34" spans="1:18">
      <c r="A34" s="15" t="s">
        <v>594</v>
      </c>
      <c r="B34" s="17" t="n">
        <v>3315</v>
      </c>
      <c r="C34" s="18">
        <f>(2590.0/B34*100)</f>
        <v/>
      </c>
      <c r="D34" s="19" t="n">
        <v>725</v>
      </c>
      <c r="E34" s="18" t="n">
        <v>28.38141849</v>
      </c>
      <c r="F34" s="20" t="n">
        <v>1.805209</v>
      </c>
      <c r="G34" s="18" t="n">
        <v>68.26411917</v>
      </c>
      <c r="H34" s="20" t="n">
        <v>1.84791113</v>
      </c>
      <c r="I34" s="18" t="s">
        <v>567</v>
      </c>
      <c r="J34" s="20" t="s">
        <v>567</v>
      </c>
      <c r="K34" s="18" t="n">
        <v>0</v>
      </c>
      <c r="L34" s="20" t="n">
        <v>0</v>
      </c>
      <c r="M34" s="18" t="n">
        <v>0</v>
      </c>
      <c r="N34" s="20" t="n">
        <v>0</v>
      </c>
      <c r="O34" s="18" t="n">
        <v>0</v>
      </c>
      <c r="P34" s="20" t="n">
        <v>0</v>
      </c>
      <c r="Q34" s="18" t="n">
        <v>3.35446234</v>
      </c>
      <c r="R34" s="20" t="n">
        <v>0.82606559</v>
      </c>
    </row>
    <row r="35" spans="1:18">
      <c r="A35" s="15" t="s">
        <v>595</v>
      </c>
      <c r="B35" s="17" t="n">
        <v>3505</v>
      </c>
      <c r="C35" s="18">
        <f>(2714.0/B35*100)</f>
        <v/>
      </c>
      <c r="D35" s="19" t="n">
        <v>791</v>
      </c>
      <c r="E35" s="18" t="n">
        <v>24.46123994</v>
      </c>
      <c r="F35" s="20" t="n">
        <v>1.69947496</v>
      </c>
      <c r="G35" s="18" t="n">
        <v>74.52948816</v>
      </c>
      <c r="H35" s="20" t="n">
        <v>1.6928969</v>
      </c>
      <c r="I35" s="18" t="s">
        <v>567</v>
      </c>
      <c r="J35" s="20" t="s">
        <v>567</v>
      </c>
      <c r="K35" s="18" t="n">
        <v>0.06352963</v>
      </c>
      <c r="L35" s="20" t="n">
        <v>0.06369082</v>
      </c>
      <c r="M35" s="18" t="n">
        <v>0</v>
      </c>
      <c r="N35" s="20" t="n">
        <v>0</v>
      </c>
      <c r="O35" s="18" t="n">
        <v>0</v>
      </c>
      <c r="P35" s="20" t="n">
        <v>0</v>
      </c>
      <c r="Q35" s="18" t="n">
        <v>0.94574227</v>
      </c>
      <c r="R35" s="20" t="n">
        <v>0.34613267</v>
      </c>
    </row>
    <row r="36" spans="1:18">
      <c r="A36" s="15" t="s">
        <v>596</v>
      </c>
      <c r="B36" s="17" t="n">
        <v>3332</v>
      </c>
      <c r="C36" s="18">
        <f>(2611.0/B36*100)</f>
        <v/>
      </c>
      <c r="D36" s="19" t="n">
        <v>721</v>
      </c>
      <c r="E36" s="18" t="n">
        <v>20.92972396</v>
      </c>
      <c r="F36" s="20" t="n">
        <v>1.52257093</v>
      </c>
      <c r="G36" s="18" t="n">
        <v>77.14125417</v>
      </c>
      <c r="H36" s="20" t="n">
        <v>1.5776605</v>
      </c>
      <c r="I36" s="18" t="s">
        <v>567</v>
      </c>
      <c r="J36" s="20" t="s">
        <v>567</v>
      </c>
      <c r="K36" s="18" t="n">
        <v>0.38963867</v>
      </c>
      <c r="L36" s="20" t="n">
        <v>0.29262785</v>
      </c>
      <c r="M36" s="18" t="n">
        <v>0</v>
      </c>
      <c r="N36" s="20" t="n">
        <v>0</v>
      </c>
      <c r="O36" s="18" t="n">
        <v>0</v>
      </c>
      <c r="P36" s="20" t="n">
        <v>0</v>
      </c>
      <c r="Q36" s="18" t="n">
        <v>1.53938319</v>
      </c>
      <c r="R36" s="20" t="n">
        <v>0.57796632</v>
      </c>
    </row>
    <row r="37" spans="1:18">
      <c r="A37" s="15" t="s">
        <v>597</v>
      </c>
      <c r="B37" s="17" t="n">
        <v>2727</v>
      </c>
      <c r="C37" s="18">
        <f>(2111.0/B37*100)</f>
        <v/>
      </c>
      <c r="D37" s="19" t="n">
        <v>616</v>
      </c>
      <c r="E37" s="18" t="n">
        <v>25.90950263</v>
      </c>
      <c r="F37" s="20" t="n">
        <v>1.95110282</v>
      </c>
      <c r="G37" s="18" t="n">
        <v>71.16776385</v>
      </c>
      <c r="H37" s="20" t="n">
        <v>1.96146644</v>
      </c>
      <c r="I37" s="18" t="s">
        <v>567</v>
      </c>
      <c r="J37" s="20" t="s">
        <v>567</v>
      </c>
      <c r="K37" s="18" t="n">
        <v>0.68369619</v>
      </c>
      <c r="L37" s="20" t="n">
        <v>0.32926253</v>
      </c>
      <c r="M37" s="18" t="n">
        <v>0</v>
      </c>
      <c r="N37" s="20" t="n">
        <v>0</v>
      </c>
      <c r="O37" s="18" t="n">
        <v>0</v>
      </c>
      <c r="P37" s="20" t="n">
        <v>0</v>
      </c>
      <c r="Q37" s="18" t="n">
        <v>2.23903732</v>
      </c>
      <c r="R37" s="20" t="n">
        <v>0.63821334</v>
      </c>
    </row>
    <row r="38" spans="1:18">
      <c r="A38" s="15" t="s">
        <v>598</v>
      </c>
      <c r="B38" s="17" t="n">
        <v>3053</v>
      </c>
      <c r="C38" s="18">
        <f>(2325.0/B38*100)</f>
        <v/>
      </c>
      <c r="D38" s="19" t="n">
        <v>728</v>
      </c>
      <c r="E38" s="18" t="n">
        <v>21.3409977</v>
      </c>
      <c r="F38" s="20" t="n">
        <v>1.75329571</v>
      </c>
      <c r="G38" s="18" t="n">
        <v>77.98495498</v>
      </c>
      <c r="H38" s="20" t="n">
        <v>1.73976797</v>
      </c>
      <c r="I38" s="18" t="s">
        <v>567</v>
      </c>
      <c r="J38" s="20" t="s">
        <v>567</v>
      </c>
      <c r="K38" s="18" t="n">
        <v>0</v>
      </c>
      <c r="L38" s="20" t="n">
        <v>0</v>
      </c>
      <c r="M38" s="18" t="n">
        <v>0</v>
      </c>
      <c r="N38" s="20" t="n">
        <v>0</v>
      </c>
      <c r="O38" s="18" t="n">
        <v>0</v>
      </c>
      <c r="P38" s="20" t="n">
        <v>0</v>
      </c>
      <c r="Q38" s="18" t="n">
        <v>0.67404732</v>
      </c>
      <c r="R38" s="20" t="n">
        <v>0.29290146</v>
      </c>
    </row>
    <row r="39" spans="1:18">
      <c r="A39" s="15" t="s">
        <v>599</v>
      </c>
      <c r="B39" s="17" t="n">
        <v>2957</v>
      </c>
      <c r="C39" s="18">
        <f>(2311.0/B39*100)</f>
        <v/>
      </c>
      <c r="D39" s="19" t="n">
        <v>646</v>
      </c>
      <c r="E39" s="18" t="n">
        <v>56.97308076</v>
      </c>
      <c r="F39" s="20" t="n">
        <v>2.36052353</v>
      </c>
      <c r="G39" s="18" t="n">
        <v>41.50846736</v>
      </c>
      <c r="H39" s="20" t="n">
        <v>2.38734649</v>
      </c>
      <c r="I39" s="18" t="s">
        <v>567</v>
      </c>
      <c r="J39" s="20" t="s">
        <v>567</v>
      </c>
      <c r="K39" s="18" t="n">
        <v>0.19778019</v>
      </c>
      <c r="L39" s="20" t="n">
        <v>0.19739387</v>
      </c>
      <c r="M39" s="18" t="n">
        <v>0</v>
      </c>
      <c r="N39" s="20" t="n">
        <v>0</v>
      </c>
      <c r="O39" s="18" t="n">
        <v>0</v>
      </c>
      <c r="P39" s="20" t="n">
        <v>0</v>
      </c>
      <c r="Q39" s="18" t="n">
        <v>1.32067169</v>
      </c>
      <c r="R39" s="20" t="n">
        <v>0.54416452</v>
      </c>
    </row>
    <row r="40" spans="1:18">
      <c r="A40" s="15" t="s">
        <v>600</v>
      </c>
      <c r="B40" s="17" t="n">
        <v>7235</v>
      </c>
      <c r="C40" s="18">
        <f>(5586.0/B40*100)</f>
        <v/>
      </c>
      <c r="D40" s="19" t="n">
        <v>1649</v>
      </c>
      <c r="E40" s="18" t="n">
        <v>28.54072597</v>
      </c>
      <c r="F40" s="20" t="n">
        <v>1.5405976</v>
      </c>
      <c r="G40" s="18" t="n">
        <v>70.72616227</v>
      </c>
      <c r="H40" s="20" t="n">
        <v>1.53850315</v>
      </c>
      <c r="I40" s="18" t="s">
        <v>567</v>
      </c>
      <c r="J40" s="20" t="s">
        <v>567</v>
      </c>
      <c r="K40" s="18" t="n">
        <v>0.11167419</v>
      </c>
      <c r="L40" s="20" t="n">
        <v>0.10615732</v>
      </c>
      <c r="M40" s="18" t="n">
        <v>0</v>
      </c>
      <c r="N40" s="20" t="n">
        <v>0</v>
      </c>
      <c r="O40" s="18" t="n">
        <v>0</v>
      </c>
      <c r="P40" s="20" t="n">
        <v>0</v>
      </c>
      <c r="Q40" s="18" t="n">
        <v>0.62143757</v>
      </c>
      <c r="R40" s="20" t="n">
        <v>0.27502483</v>
      </c>
    </row>
    <row r="41" spans="1:18">
      <c r="A41" s="15" t="s">
        <v>601</v>
      </c>
      <c r="B41" s="17" t="n">
        <v>2858</v>
      </c>
      <c r="C41" s="18">
        <f>(2254.0/B41*100)</f>
        <v/>
      </c>
      <c r="D41" s="19" t="n">
        <v>604</v>
      </c>
      <c r="E41" s="18" t="n">
        <v>23.24040361</v>
      </c>
      <c r="F41" s="20" t="n">
        <v>1.76285177</v>
      </c>
      <c r="G41" s="18" t="n">
        <v>75.15516915000001</v>
      </c>
      <c r="H41" s="20" t="n">
        <v>1.87779478</v>
      </c>
      <c r="I41" s="18" t="s">
        <v>567</v>
      </c>
      <c r="J41" s="20" t="s">
        <v>567</v>
      </c>
      <c r="K41" s="18" t="n">
        <v>0.22615465</v>
      </c>
      <c r="L41" s="20" t="n">
        <v>0.18392273</v>
      </c>
      <c r="M41" s="18" t="n">
        <v>0</v>
      </c>
      <c r="N41" s="20" t="n">
        <v>0</v>
      </c>
      <c r="O41" s="18" t="n">
        <v>0</v>
      </c>
      <c r="P41" s="20" t="n">
        <v>0</v>
      </c>
      <c r="Q41" s="18" t="n">
        <v>1.37827259</v>
      </c>
      <c r="R41" s="20" t="n">
        <v>0.44223102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(8822.0/B46*100)</f>
        <v/>
      </c>
      <c r="D46" s="19" t="n">
        <v>2246</v>
      </c>
      <c r="E46" s="18" t="n">
        <v>45.92260682</v>
      </c>
      <c r="F46" s="20" t="n">
        <v>1.32841666</v>
      </c>
      <c r="G46" s="18" t="n">
        <v>46.09189022</v>
      </c>
      <c r="H46" s="20" t="n">
        <v>1.40301461</v>
      </c>
      <c r="I46" s="18" t="s">
        <v>567</v>
      </c>
      <c r="J46" s="20" t="s">
        <v>567</v>
      </c>
      <c r="K46" s="18" t="n">
        <v>0.60603955</v>
      </c>
      <c r="L46" s="20" t="n">
        <v>0.20754786</v>
      </c>
      <c r="M46" s="18" t="n">
        <v>0</v>
      </c>
      <c r="N46" s="20" t="n">
        <v>0</v>
      </c>
      <c r="O46" s="18" t="n">
        <v>0</v>
      </c>
      <c r="P46" s="20" t="n">
        <v>0</v>
      </c>
      <c r="Q46" s="18" t="n">
        <v>7.3794634</v>
      </c>
      <c r="R46" s="20" t="n">
        <v>0.87900672</v>
      </c>
    </row>
    <row r="47" spans="1:18">
      <c r="A47" s="15" t="s">
        <v>607</v>
      </c>
      <c r="B47" s="17" t="n">
        <v>3105</v>
      </c>
      <c r="C47" s="18">
        <f>(2436.0/B47*100)</f>
        <v/>
      </c>
      <c r="D47" s="19" t="n">
        <v>669</v>
      </c>
      <c r="E47" s="18" t="n">
        <v>34.52567465</v>
      </c>
      <c r="F47" s="20" t="n">
        <v>2.16618697</v>
      </c>
      <c r="G47" s="18" t="n">
        <v>59.50682114</v>
      </c>
      <c r="H47" s="20" t="n">
        <v>2.4925806</v>
      </c>
      <c r="I47" s="18" t="s">
        <v>567</v>
      </c>
      <c r="J47" s="20" t="s">
        <v>567</v>
      </c>
      <c r="K47" s="18" t="n">
        <v>0.43092302</v>
      </c>
      <c r="L47" s="20" t="n">
        <v>0.25936578</v>
      </c>
      <c r="M47" s="18" t="n">
        <v>0</v>
      </c>
      <c r="N47" s="20" t="n">
        <v>0</v>
      </c>
      <c r="O47" s="18" t="n">
        <v>0</v>
      </c>
      <c r="P47" s="20" t="n">
        <v>0</v>
      </c>
      <c r="Q47" s="18" t="n">
        <v>5.53658118</v>
      </c>
      <c r="R47" s="20" t="n">
        <v>1.04165912</v>
      </c>
    </row>
    <row r="48" spans="1:18">
      <c r="A48" s="15" t="s">
        <v>608</v>
      </c>
      <c r="B48" s="17" t="n">
        <v>5159</v>
      </c>
      <c r="C48" s="18">
        <f>(4008.0/B48*100)</f>
        <v/>
      </c>
      <c r="D48" s="19" t="n">
        <v>1151</v>
      </c>
      <c r="E48" s="18" t="n">
        <v>33.28577308</v>
      </c>
      <c r="F48" s="20" t="n">
        <v>1.7753968</v>
      </c>
      <c r="G48" s="18" t="n">
        <v>64.26182587</v>
      </c>
      <c r="H48" s="20" t="n">
        <v>1.8618242</v>
      </c>
      <c r="I48" s="18" t="s">
        <v>567</v>
      </c>
      <c r="J48" s="20" t="s">
        <v>567</v>
      </c>
      <c r="K48" s="18" t="n">
        <v>0.27216526</v>
      </c>
      <c r="L48" s="20" t="n">
        <v>0.1805635</v>
      </c>
      <c r="M48" s="18" t="n">
        <v>0</v>
      </c>
      <c r="N48" s="20" t="n">
        <v>0</v>
      </c>
      <c r="O48" s="18" t="n">
        <v>0</v>
      </c>
      <c r="P48" s="20" t="n">
        <v>0</v>
      </c>
      <c r="Q48" s="18" t="n">
        <v>2.18023578</v>
      </c>
      <c r="R48" s="20" t="n">
        <v>0.62668745</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(4406.0/B50*100)</f>
        <v/>
      </c>
      <c r="D50" s="19" t="n">
        <v>1231</v>
      </c>
      <c r="E50" s="18" t="n">
        <v>35.56383652</v>
      </c>
      <c r="F50" s="20" t="n">
        <v>2.25571579</v>
      </c>
      <c r="G50" s="18" t="n">
        <v>59.76100887</v>
      </c>
      <c r="H50" s="20" t="n">
        <v>2.32474571</v>
      </c>
      <c r="I50" s="18" t="s">
        <v>567</v>
      </c>
      <c r="J50" s="20" t="s">
        <v>567</v>
      </c>
      <c r="K50" s="18" t="n">
        <v>0.5386883099999999</v>
      </c>
      <c r="L50" s="20" t="n">
        <v>0.31988768</v>
      </c>
      <c r="M50" s="18" t="n">
        <v>0</v>
      </c>
      <c r="N50" s="20" t="n">
        <v>0</v>
      </c>
      <c r="O50" s="18" t="n">
        <v>0</v>
      </c>
      <c r="P50" s="20" t="n">
        <v>0</v>
      </c>
      <c r="Q50" s="18" t="n">
        <v>4.1364663</v>
      </c>
      <c r="R50" s="20" t="n">
        <v>1.04021823</v>
      </c>
    </row>
    <row r="51" spans="1:18">
      <c r="A51" s="15" t="s">
        <v>611</v>
      </c>
      <c r="B51" s="17" t="n">
        <v>3372</v>
      </c>
      <c r="C51" s="18">
        <f>(2729.0/B51*100)</f>
        <v/>
      </c>
      <c r="D51" s="19" t="n">
        <v>643</v>
      </c>
      <c r="E51" s="18" t="n">
        <v>37.67987991</v>
      </c>
      <c r="F51" s="20" t="n">
        <v>2.49152992</v>
      </c>
      <c r="G51" s="18" t="n">
        <v>59.57806855</v>
      </c>
      <c r="H51" s="20" t="n">
        <v>2.32188911</v>
      </c>
      <c r="I51" s="18" t="s">
        <v>567</v>
      </c>
      <c r="J51" s="20" t="s">
        <v>567</v>
      </c>
      <c r="K51" s="18" t="n">
        <v>0.36089904</v>
      </c>
      <c r="L51" s="20" t="n">
        <v>0.25342007</v>
      </c>
      <c r="M51" s="18" t="n">
        <v>0</v>
      </c>
      <c r="N51" s="20" t="n">
        <v>0</v>
      </c>
      <c r="O51" s="18" t="n">
        <v>0</v>
      </c>
      <c r="P51" s="20" t="n">
        <v>0</v>
      </c>
      <c r="Q51" s="18" t="n">
        <v>2.3811525</v>
      </c>
      <c r="R51" s="20" t="n">
        <v>0.73651647</v>
      </c>
    </row>
    <row r="52" spans="1:18">
      <c r="A52" s="15" t="s">
        <v>612</v>
      </c>
      <c r="B52" s="17" t="n">
        <v>2796</v>
      </c>
      <c r="C52" s="18">
        <f>(2175.0/B52*100)</f>
        <v/>
      </c>
      <c r="D52" s="19" t="n">
        <v>621</v>
      </c>
      <c r="E52" s="18" t="n">
        <v>30.7934442</v>
      </c>
      <c r="F52" s="20" t="n">
        <v>1.87985852</v>
      </c>
      <c r="G52" s="18" t="n">
        <v>68.35684046</v>
      </c>
      <c r="H52" s="20" t="n">
        <v>1.84140485</v>
      </c>
      <c r="I52" s="18" t="s">
        <v>567</v>
      </c>
      <c r="J52" s="20" t="s">
        <v>567</v>
      </c>
      <c r="K52" s="18" t="n">
        <v>0.16462784</v>
      </c>
      <c r="L52" s="20" t="n">
        <v>0.16135095</v>
      </c>
      <c r="M52" s="18" t="n">
        <v>0</v>
      </c>
      <c r="N52" s="20" t="n">
        <v>0</v>
      </c>
      <c r="O52" s="18" t="n">
        <v>0</v>
      </c>
      <c r="P52" s="20" t="n">
        <v>0</v>
      </c>
      <c r="Q52" s="18" t="n">
        <v>0.6850875</v>
      </c>
      <c r="R52" s="20" t="n">
        <v>0.3436578</v>
      </c>
    </row>
    <row r="53" spans="1:18">
      <c r="A53" s="15" t="s">
        <v>613</v>
      </c>
      <c r="B53" s="17" t="n">
        <v>2811</v>
      </c>
      <c r="C53" s="18">
        <f>(2181.0/B53*100)</f>
        <v/>
      </c>
      <c r="D53" s="19" t="n">
        <v>630</v>
      </c>
      <c r="E53" s="18" t="n">
        <v>35.35143303</v>
      </c>
      <c r="F53" s="20" t="n">
        <v>1.94968876</v>
      </c>
      <c r="G53" s="18" t="n">
        <v>60.66408161</v>
      </c>
      <c r="H53" s="20" t="n">
        <v>1.96210851</v>
      </c>
      <c r="I53" s="18" t="s">
        <v>567</v>
      </c>
      <c r="J53" s="20" t="s">
        <v>567</v>
      </c>
      <c r="K53" s="18" t="n">
        <v>0.21201755</v>
      </c>
      <c r="L53" s="20" t="n">
        <v>0.21254825</v>
      </c>
      <c r="M53" s="18" t="n">
        <v>0</v>
      </c>
      <c r="N53" s="20" t="n">
        <v>0</v>
      </c>
      <c r="O53" s="18" t="n">
        <v>0</v>
      </c>
      <c r="P53" s="20" t="n">
        <v>0</v>
      </c>
      <c r="Q53" s="18" t="n">
        <v>3.77246781</v>
      </c>
      <c r="R53" s="20" t="n">
        <v>0.64693554</v>
      </c>
    </row>
    <row r="54" spans="1:18">
      <c r="A54" s="15" t="s">
        <v>614</v>
      </c>
      <c r="B54" s="17" t="n">
        <v>2266</v>
      </c>
      <c r="C54" s="18">
        <f>(1788.0/B54*100)</f>
        <v/>
      </c>
      <c r="D54" s="19" t="n">
        <v>478</v>
      </c>
      <c r="E54" s="18" t="n">
        <v>52.0161906</v>
      </c>
      <c r="F54" s="20" t="n">
        <v>2.51796707</v>
      </c>
      <c r="G54" s="18" t="n">
        <v>32.12650653</v>
      </c>
      <c r="H54" s="20" t="n">
        <v>2.502499</v>
      </c>
      <c r="I54" s="18" t="s">
        <v>567</v>
      </c>
      <c r="J54" s="20" t="s">
        <v>567</v>
      </c>
      <c r="K54" s="18" t="n">
        <v>3.91897915</v>
      </c>
      <c r="L54" s="20" t="n">
        <v>0.9371021</v>
      </c>
      <c r="M54" s="18" t="n">
        <v>0</v>
      </c>
      <c r="N54" s="20" t="n">
        <v>0</v>
      </c>
      <c r="O54" s="18" t="n">
        <v>0</v>
      </c>
      <c r="P54" s="20" t="n">
        <v>0</v>
      </c>
      <c r="Q54" s="18" t="n">
        <v>11.93832372</v>
      </c>
      <c r="R54" s="20" t="n">
        <v>1.52212281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(2088.0/B56*100)</f>
        <v/>
      </c>
      <c r="D56" s="19" t="n">
        <v>596</v>
      </c>
      <c r="E56" s="18" t="n">
        <v>17.66999201</v>
      </c>
      <c r="F56" s="20" t="n">
        <v>1.75052189</v>
      </c>
      <c r="G56" s="18" t="n">
        <v>81.47015637</v>
      </c>
      <c r="H56" s="20" t="n">
        <v>1.7807211</v>
      </c>
      <c r="I56" s="18" t="s">
        <v>567</v>
      </c>
      <c r="J56" s="20" t="s">
        <v>567</v>
      </c>
      <c r="K56" s="18" t="n">
        <v>0.14208591</v>
      </c>
      <c r="L56" s="20" t="n">
        <v>0.14272059</v>
      </c>
      <c r="M56" s="18" t="n">
        <v>0</v>
      </c>
      <c r="N56" s="20" t="n">
        <v>0</v>
      </c>
      <c r="O56" s="18" t="n">
        <v>0</v>
      </c>
      <c r="P56" s="20" t="n">
        <v>0</v>
      </c>
      <c r="Q56" s="18" t="n">
        <v>0.7177657200000001</v>
      </c>
      <c r="R56" s="20" t="n">
        <v>0.35746022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(2598.0/B61*100)</f>
        <v/>
      </c>
      <c r="D61" s="19" t="n">
        <v>726</v>
      </c>
      <c r="E61" s="18" t="n">
        <v>32.03020353</v>
      </c>
      <c r="F61" s="20" t="n">
        <v>1.82934067</v>
      </c>
      <c r="G61" s="18" t="n">
        <v>66.79980537</v>
      </c>
      <c r="H61" s="20" t="n">
        <v>1.85634511</v>
      </c>
      <c r="I61" s="18" t="s">
        <v>567</v>
      </c>
      <c r="J61" s="20" t="s">
        <v>567</v>
      </c>
      <c r="K61" s="18" t="n">
        <v>0.044755</v>
      </c>
      <c r="L61" s="20" t="n">
        <v>0.04487091</v>
      </c>
      <c r="M61" s="18" t="n">
        <v>0</v>
      </c>
      <c r="N61" s="20" t="n">
        <v>0</v>
      </c>
      <c r="O61" s="18" t="n">
        <v>0</v>
      </c>
      <c r="P61" s="20" t="n">
        <v>0</v>
      </c>
      <c r="Q61" s="18" t="n">
        <v>1.1252361</v>
      </c>
      <c r="R61" s="20" t="n">
        <v>0.57996134</v>
      </c>
    </row>
    <row r="62" spans="1:18">
      <c r="A62" s="15" t="s">
        <v>622</v>
      </c>
      <c r="B62" s="17" t="n">
        <v>2246</v>
      </c>
      <c r="C62" s="18">
        <f>(1734.0/B62*100)</f>
        <v/>
      </c>
      <c r="D62" s="19" t="n">
        <v>512</v>
      </c>
      <c r="E62" s="18" t="n">
        <v>21.31072201</v>
      </c>
      <c r="F62" s="20" t="n">
        <v>1.71897021</v>
      </c>
      <c r="G62" s="18" t="n">
        <v>78.49538156</v>
      </c>
      <c r="H62" s="20" t="n">
        <v>1.71019974</v>
      </c>
      <c r="I62" s="18" t="s">
        <v>567</v>
      </c>
      <c r="J62" s="20" t="s">
        <v>567</v>
      </c>
      <c r="K62" s="18" t="n">
        <v>0</v>
      </c>
      <c r="L62" s="20" t="n">
        <v>0</v>
      </c>
      <c r="M62" s="18" t="n">
        <v>0</v>
      </c>
      <c r="N62" s="20" t="n">
        <v>0</v>
      </c>
      <c r="O62" s="18" t="n">
        <v>0</v>
      </c>
      <c r="P62" s="20" t="n">
        <v>0</v>
      </c>
      <c r="Q62" s="18" t="n">
        <v>0.19389643</v>
      </c>
      <c r="R62" s="20" t="n">
        <v>0.19292669</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(2309.0/B66*100)</f>
        <v/>
      </c>
      <c r="D66" s="19" t="n">
        <v>585</v>
      </c>
      <c r="E66" s="18" t="n">
        <v>42.20241866</v>
      </c>
      <c r="F66" s="20" t="n">
        <v>2.14445543</v>
      </c>
      <c r="G66" s="18" t="n">
        <v>48.96937562</v>
      </c>
      <c r="H66" s="20" t="n">
        <v>1.99100783</v>
      </c>
      <c r="I66" s="18" t="s">
        <v>567</v>
      </c>
      <c r="J66" s="20" t="s">
        <v>567</v>
      </c>
      <c r="K66" s="18" t="n">
        <v>0.16613911</v>
      </c>
      <c r="L66" s="20" t="n">
        <v>0.16355521</v>
      </c>
      <c r="M66" s="18" t="n">
        <v>0</v>
      </c>
      <c r="N66" s="20" t="n">
        <v>0</v>
      </c>
      <c r="O66" s="18" t="n">
        <v>0</v>
      </c>
      <c r="P66" s="20" t="n">
        <v>0</v>
      </c>
      <c r="Q66" s="18" t="n">
        <v>8.662066619999999</v>
      </c>
      <c r="R66" s="20" t="n">
        <v>0.94925722</v>
      </c>
    </row>
    <row r="67" spans="1:18">
      <c r="A67" s="15" t="s">
        <v>627</v>
      </c>
      <c r="B67" s="17" t="n">
        <v>3511</v>
      </c>
      <c r="C67" s="18">
        <f>(2754.0/B67*100)</f>
        <v/>
      </c>
      <c r="D67" s="19" t="n">
        <v>757</v>
      </c>
      <c r="E67" s="18" t="n">
        <v>42.06418018</v>
      </c>
      <c r="F67" s="20" t="n">
        <v>2.03089531</v>
      </c>
      <c r="G67" s="18" t="n">
        <v>54.48477811</v>
      </c>
      <c r="H67" s="20" t="n">
        <v>2.04958364</v>
      </c>
      <c r="I67" s="18" t="s">
        <v>567</v>
      </c>
      <c r="J67" s="20" t="s">
        <v>567</v>
      </c>
      <c r="K67" s="18" t="n">
        <v>0.35219895</v>
      </c>
      <c r="L67" s="20" t="n">
        <v>0.3520576</v>
      </c>
      <c r="M67" s="18" t="n">
        <v>0</v>
      </c>
      <c r="N67" s="20" t="n">
        <v>0</v>
      </c>
      <c r="O67" s="18" t="n">
        <v>0</v>
      </c>
      <c r="P67" s="20" t="n">
        <v>0</v>
      </c>
      <c r="Q67" s="18" t="n">
        <v>3.09884275</v>
      </c>
      <c r="R67" s="20" t="n">
        <v>0.60778355</v>
      </c>
    </row>
    <row r="68" spans="1:18">
      <c r="A68" s="15" t="s">
        <v>628</v>
      </c>
      <c r="B68" s="17" t="n">
        <v>6049</v>
      </c>
      <c r="C68" s="18">
        <f>(4680.0/B68*100)</f>
        <v/>
      </c>
      <c r="D68" s="19" t="n">
        <v>1369</v>
      </c>
      <c r="E68" s="18" t="n">
        <v>43.71990723</v>
      </c>
      <c r="F68" s="20" t="n">
        <v>1.25621101</v>
      </c>
      <c r="G68" s="18" t="n">
        <v>50.59108443</v>
      </c>
      <c r="H68" s="20" t="n">
        <v>1.26388678</v>
      </c>
      <c r="I68" s="18" t="s">
        <v>567</v>
      </c>
      <c r="J68" s="20" t="s">
        <v>567</v>
      </c>
      <c r="K68" s="18" t="n">
        <v>1.6129637</v>
      </c>
      <c r="L68" s="20" t="n">
        <v>0.32827447</v>
      </c>
      <c r="M68" s="18" t="n">
        <v>0</v>
      </c>
      <c r="N68" s="20" t="n">
        <v>0</v>
      </c>
      <c r="O68" s="18" t="n">
        <v>0</v>
      </c>
      <c r="P68" s="20" t="n">
        <v>0</v>
      </c>
      <c r="Q68" s="18" t="n">
        <v>4.07604465</v>
      </c>
      <c r="R68" s="20" t="n">
        <v>0.62399775</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(2297.0/B70*100)</f>
        <v/>
      </c>
      <c r="D70" s="19" t="n">
        <v>632</v>
      </c>
      <c r="E70" s="18" t="n">
        <v>22.62603843</v>
      </c>
      <c r="F70" s="20" t="n">
        <v>2.10068545</v>
      </c>
      <c r="G70" s="18" t="n">
        <v>76.25274309</v>
      </c>
      <c r="H70" s="20" t="n">
        <v>2.30112351</v>
      </c>
      <c r="I70" s="18" t="s">
        <v>567</v>
      </c>
      <c r="J70" s="20" t="s">
        <v>567</v>
      </c>
      <c r="K70" s="18" t="n">
        <v>0.14254256</v>
      </c>
      <c r="L70" s="20" t="n">
        <v>0.14102278</v>
      </c>
      <c r="M70" s="18" t="n">
        <v>0</v>
      </c>
      <c r="N70" s="20" t="n">
        <v>0</v>
      </c>
      <c r="O70" s="18" t="n">
        <v>0</v>
      </c>
      <c r="P70" s="20" t="n">
        <v>0</v>
      </c>
      <c r="Q70" s="18" t="n">
        <v>0.97867592</v>
      </c>
      <c r="R70" s="20" t="n">
        <v>0.67180074</v>
      </c>
    </row>
    <row r="71" spans="1:18">
      <c r="A71" s="15" t="s">
        <v>631</v>
      </c>
      <c r="B71" s="17" t="n">
        <v>3142</v>
      </c>
      <c r="C71" s="18">
        <f>(2462.0/B71*100)</f>
        <v/>
      </c>
      <c r="D71" s="19" t="n">
        <v>680</v>
      </c>
      <c r="E71" s="18" t="n">
        <v>23.4133912</v>
      </c>
      <c r="F71" s="20" t="n">
        <v>1.44729954</v>
      </c>
      <c r="G71" s="18" t="n">
        <v>76.21777523999999</v>
      </c>
      <c r="H71" s="20" t="n">
        <v>1.48688731</v>
      </c>
      <c r="I71" s="18" t="s">
        <v>567</v>
      </c>
      <c r="J71" s="20" t="s">
        <v>567</v>
      </c>
      <c r="K71" s="18" t="n">
        <v>0.29217583</v>
      </c>
      <c r="L71" s="20" t="n">
        <v>0.20746555</v>
      </c>
      <c r="M71" s="18" t="n">
        <v>0</v>
      </c>
      <c r="N71" s="20" t="n">
        <v>0</v>
      </c>
      <c r="O71" s="18" t="n">
        <v>0</v>
      </c>
      <c r="P71" s="20" t="n">
        <v>0</v>
      </c>
      <c r="Q71" s="18" t="n">
        <v>0.07665772999999999</v>
      </c>
      <c r="R71" s="20" t="n">
        <v>0.07649747</v>
      </c>
    </row>
    <row r="72" spans="1:18">
      <c r="A72" s="15" t="s">
        <v>632</v>
      </c>
      <c r="B72" s="17" t="n">
        <v>3889</v>
      </c>
      <c r="C72" s="18">
        <f>(3053.0/B72*100)</f>
        <v/>
      </c>
      <c r="D72" s="19" t="n">
        <v>836</v>
      </c>
      <c r="E72" s="18" t="n">
        <v>16.17681333</v>
      </c>
      <c r="F72" s="20" t="n">
        <v>1.3436507</v>
      </c>
      <c r="G72" s="18" t="n">
        <v>82.80354312</v>
      </c>
      <c r="H72" s="20" t="n">
        <v>1.32238698</v>
      </c>
      <c r="I72" s="18" t="s">
        <v>567</v>
      </c>
      <c r="J72" s="20" t="s">
        <v>567</v>
      </c>
      <c r="K72" s="18" t="n">
        <v>0.2233331</v>
      </c>
      <c r="L72" s="20" t="n">
        <v>0.17085088</v>
      </c>
      <c r="M72" s="18" t="n">
        <v>0</v>
      </c>
      <c r="N72" s="20" t="n">
        <v>0</v>
      </c>
      <c r="O72" s="18" t="n">
        <v>0</v>
      </c>
      <c r="P72" s="20" t="n">
        <v>0</v>
      </c>
      <c r="Q72" s="18" t="n">
        <v>0.79631045</v>
      </c>
      <c r="R72" s="20" t="n">
        <v>0.27602201</v>
      </c>
    </row>
    <row r="73" spans="1:18">
      <c r="A73" s="15" t="s">
        <v>633</v>
      </c>
      <c r="B73" s="17" t="n">
        <v>3597</v>
      </c>
      <c r="C73" s="18">
        <f>(2797.0/B73*100)</f>
        <v/>
      </c>
      <c r="D73" s="19" t="n">
        <v>800</v>
      </c>
      <c r="E73" s="18" t="n">
        <v>29.87452167</v>
      </c>
      <c r="F73" s="20" t="n">
        <v>2.03764248</v>
      </c>
      <c r="G73" s="18" t="n">
        <v>65.67537063</v>
      </c>
      <c r="H73" s="20" t="n">
        <v>1.97195283</v>
      </c>
      <c r="I73" s="18" t="s">
        <v>567</v>
      </c>
      <c r="J73" s="20" t="s">
        <v>567</v>
      </c>
      <c r="K73" s="18" t="n">
        <v>0</v>
      </c>
      <c r="L73" s="20" t="n">
        <v>0</v>
      </c>
      <c r="M73" s="18" t="n">
        <v>0</v>
      </c>
      <c r="N73" s="20" t="n">
        <v>0</v>
      </c>
      <c r="O73" s="18" t="n">
        <v>0</v>
      </c>
      <c r="P73" s="20" t="n">
        <v>0</v>
      </c>
      <c r="Q73" s="18" t="n">
        <v>4.4501077</v>
      </c>
      <c r="R73" s="20" t="n">
        <v>0.86691095</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(1913.0/B75*100)</f>
        <v/>
      </c>
      <c r="D75" s="19" t="n">
        <v>493</v>
      </c>
      <c r="E75" s="18" t="n">
        <v>44.06538309</v>
      </c>
      <c r="F75" s="20" t="n">
        <v>2.36288672</v>
      </c>
      <c r="G75" s="18" t="n">
        <v>52.20042465</v>
      </c>
      <c r="H75" s="20" t="n">
        <v>2.44985982</v>
      </c>
      <c r="I75" s="18" t="s">
        <v>567</v>
      </c>
      <c r="J75" s="20" t="s">
        <v>567</v>
      </c>
      <c r="K75" s="18" t="n">
        <v>0.721303</v>
      </c>
      <c r="L75" s="20" t="n">
        <v>0.37757425</v>
      </c>
      <c r="M75" s="18" t="n">
        <v>0</v>
      </c>
      <c r="N75" s="20" t="n">
        <v>0</v>
      </c>
      <c r="O75" s="18" t="n">
        <v>0</v>
      </c>
      <c r="P75" s="20" t="n">
        <v>0</v>
      </c>
      <c r="Q75" s="18" t="n">
        <v>3.01288926</v>
      </c>
      <c r="R75" s="20" t="n">
        <v>1.02515967</v>
      </c>
    </row>
    <row r="76" spans="1:18">
      <c r="A76" s="15" t="s">
        <v>636</v>
      </c>
      <c r="B76" s="17" t="n">
        <v>7052</v>
      </c>
      <c r="C76" s="18">
        <f>(5485.0/B76*100)</f>
        <v/>
      </c>
      <c r="D76" s="19" t="n">
        <v>1567</v>
      </c>
      <c r="E76" s="18" t="n">
        <v>42.01386747</v>
      </c>
      <c r="F76" s="20" t="n">
        <v>1.80445577</v>
      </c>
      <c r="G76" s="18" t="n">
        <v>54.1890701</v>
      </c>
      <c r="H76" s="20" t="n">
        <v>1.86953024</v>
      </c>
      <c r="I76" s="18" t="s">
        <v>567</v>
      </c>
      <c r="J76" s="20" t="s">
        <v>567</v>
      </c>
      <c r="K76" s="18" t="n">
        <v>1.05822399</v>
      </c>
      <c r="L76" s="20" t="n">
        <v>0.32685671</v>
      </c>
      <c r="M76" s="18" t="n">
        <v>0</v>
      </c>
      <c r="N76" s="20" t="n">
        <v>0</v>
      </c>
      <c r="O76" s="18" t="n">
        <v>0</v>
      </c>
      <c r="P76" s="20" t="n">
        <v>0</v>
      </c>
      <c r="Q76" s="18" t="n">
        <v>2.73883845</v>
      </c>
      <c r="R76" s="20" t="n">
        <v>0.63177599</v>
      </c>
    </row>
    <row r="77" spans="1:18">
      <c r="A77" s="15" t="s">
        <v>637</v>
      </c>
      <c r="B77" s="17" t="n">
        <v>2908</v>
      </c>
      <c r="C77" s="18">
        <f>(2271.0/B77*100)</f>
        <v/>
      </c>
      <c r="D77" s="19" t="n">
        <v>637</v>
      </c>
      <c r="E77" s="18" t="n">
        <v>34.22200434</v>
      </c>
      <c r="F77" s="20" t="n">
        <v>1.91732264</v>
      </c>
      <c r="G77" s="18" t="n">
        <v>61.39374792</v>
      </c>
      <c r="H77" s="20" t="n">
        <v>2.12480731</v>
      </c>
      <c r="I77" s="18" t="s">
        <v>567</v>
      </c>
      <c r="J77" s="20" t="s">
        <v>567</v>
      </c>
      <c r="K77" s="18" t="n">
        <v>0</v>
      </c>
      <c r="L77" s="20" t="n">
        <v>0</v>
      </c>
      <c r="M77" s="18" t="n">
        <v>0</v>
      </c>
      <c r="N77" s="20" t="n">
        <v>0</v>
      </c>
      <c r="O77" s="18" t="n">
        <v>0</v>
      </c>
      <c r="P77" s="20" t="n">
        <v>0</v>
      </c>
      <c r="Q77" s="18" t="n">
        <v>4.38424773</v>
      </c>
      <c r="R77" s="20" t="n">
        <v>1.0452698</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(3230.0/B81*100)</f>
        <v/>
      </c>
      <c r="D81" s="19" t="n">
        <v>933</v>
      </c>
      <c r="E81" s="18" t="n">
        <v>41.24842488</v>
      </c>
      <c r="F81" s="20" t="n">
        <v>1.86775433</v>
      </c>
      <c r="G81" s="18" t="n">
        <v>57.17870215</v>
      </c>
      <c r="H81" s="20" t="n">
        <v>1.88334531</v>
      </c>
      <c r="I81" s="18" t="s">
        <v>567</v>
      </c>
      <c r="J81" s="20" t="s">
        <v>567</v>
      </c>
      <c r="K81" s="18" t="n">
        <v>0</v>
      </c>
      <c r="L81" s="20" t="n">
        <v>0</v>
      </c>
      <c r="M81" s="18" t="n">
        <v>0</v>
      </c>
      <c r="N81" s="20" t="n">
        <v>0</v>
      </c>
      <c r="O81" s="18" t="n">
        <v>0</v>
      </c>
      <c r="P81" s="20" t="n">
        <v>0</v>
      </c>
      <c r="Q81" s="18" t="n">
        <v>1.57287297</v>
      </c>
      <c r="R81" s="20" t="n">
        <v>0.49811492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(5756.0/B7*100)</f>
        <v/>
      </c>
      <c r="D7" s="19" t="n">
        <v>1611</v>
      </c>
      <c r="E7" s="18" t="n">
        <v>35.80562643</v>
      </c>
      <c r="F7" s="20" t="n">
        <v>1.63836292</v>
      </c>
      <c r="G7" s="18" t="n">
        <v>56.6215437</v>
      </c>
      <c r="H7" s="20" t="n">
        <v>1.68758768</v>
      </c>
      <c r="I7" s="18" t="s">
        <v>567</v>
      </c>
      <c r="J7" s="20" t="s">
        <v>567</v>
      </c>
      <c r="K7" s="18" t="n">
        <v>0.43079467</v>
      </c>
      <c r="L7" s="20" t="n">
        <v>0.17552114</v>
      </c>
      <c r="M7" s="18" t="n">
        <v>0.11265258</v>
      </c>
      <c r="N7" s="20" t="n">
        <v>0.07306211999999999</v>
      </c>
      <c r="O7" s="18" t="n">
        <v>0</v>
      </c>
      <c r="P7" s="20" t="n">
        <v>0</v>
      </c>
      <c r="Q7" s="18" t="n">
        <v>7.02938262</v>
      </c>
      <c r="R7" s="20" t="n">
        <v>0.78443073</v>
      </c>
    </row>
    <row r="8" spans="1:18">
      <c r="A8" s="15" t="s">
        <v>568</v>
      </c>
      <c r="B8" s="17" t="n">
        <v>3564</v>
      </c>
      <c r="C8" s="18">
        <f>(2787.0/B8*100)</f>
        <v/>
      </c>
      <c r="D8" s="19" t="n">
        <v>777</v>
      </c>
      <c r="E8" s="18" t="n">
        <v>46.92512624</v>
      </c>
      <c r="F8" s="20" t="n">
        <v>1.91162009</v>
      </c>
      <c r="G8" s="18" t="n">
        <v>41.63147722</v>
      </c>
      <c r="H8" s="20" t="n">
        <v>2.28030536</v>
      </c>
      <c r="I8" s="18" t="s">
        <v>567</v>
      </c>
      <c r="J8" s="20" t="s">
        <v>567</v>
      </c>
      <c r="K8" s="18" t="n">
        <v>0.30295917</v>
      </c>
      <c r="L8" s="20" t="n">
        <v>0.21168657</v>
      </c>
      <c r="M8" s="18" t="n">
        <v>0</v>
      </c>
      <c r="N8" s="20" t="n">
        <v>0</v>
      </c>
      <c r="O8" s="18" t="n">
        <v>0</v>
      </c>
      <c r="P8" s="20" t="n">
        <v>0</v>
      </c>
      <c r="Q8" s="18" t="n">
        <v>11.14043737</v>
      </c>
      <c r="R8" s="20" t="n">
        <v>1.36044041</v>
      </c>
    </row>
    <row r="9" spans="1:18">
      <c r="A9" s="15" t="s">
        <v>569</v>
      </c>
      <c r="B9" s="17" t="n">
        <v>4899</v>
      </c>
      <c r="C9" s="18">
        <f>(3840.0/B9*100)</f>
        <v/>
      </c>
      <c r="D9" s="19" t="n">
        <v>1059</v>
      </c>
      <c r="E9" s="18" t="n">
        <v>40.35420187</v>
      </c>
      <c r="F9" s="20" t="n">
        <v>1.57433137</v>
      </c>
      <c r="G9" s="18" t="n">
        <v>51.3276885</v>
      </c>
      <c r="H9" s="20" t="n">
        <v>1.74925794</v>
      </c>
      <c r="I9" s="18" t="s">
        <v>567</v>
      </c>
      <c r="J9" s="20" t="s">
        <v>567</v>
      </c>
      <c r="K9" s="18" t="n">
        <v>0.19527852</v>
      </c>
      <c r="L9" s="20" t="n">
        <v>0.10878517</v>
      </c>
      <c r="M9" s="18" t="n">
        <v>0.6898919999999999</v>
      </c>
      <c r="N9" s="20" t="n">
        <v>0.2132317</v>
      </c>
      <c r="O9" s="18" t="n">
        <v>0</v>
      </c>
      <c r="P9" s="20" t="n">
        <v>0</v>
      </c>
      <c r="Q9" s="18" t="n">
        <v>7.43293912</v>
      </c>
      <c r="R9" s="20" t="n">
        <v>0.8584836300000001</v>
      </c>
    </row>
    <row r="10" spans="1:18">
      <c r="A10" s="15" t="s">
        <v>570</v>
      </c>
      <c r="B10" s="17" t="n">
        <v>10036</v>
      </c>
      <c r="C10" s="18">
        <f>(7788.0/B10*100)</f>
        <v/>
      </c>
      <c r="D10" s="19" t="n">
        <v>2248</v>
      </c>
      <c r="E10" s="18" t="n">
        <v>36.13870252</v>
      </c>
      <c r="F10" s="20" t="n">
        <v>1.55950371</v>
      </c>
      <c r="G10" s="18" t="n">
        <v>59.04913146</v>
      </c>
      <c r="H10" s="20" t="n">
        <v>1.71329023</v>
      </c>
      <c r="I10" s="18" t="s">
        <v>567</v>
      </c>
      <c r="J10" s="20" t="s">
        <v>567</v>
      </c>
      <c r="K10" s="18" t="n">
        <v>0.42421366</v>
      </c>
      <c r="L10" s="20" t="n">
        <v>0.21251013</v>
      </c>
      <c r="M10" s="18" t="n">
        <v>0.00562742</v>
      </c>
      <c r="N10" s="20" t="n">
        <v>0.008026490000000001</v>
      </c>
      <c r="O10" s="18" t="n">
        <v>0</v>
      </c>
      <c r="P10" s="20" t="n">
        <v>0</v>
      </c>
      <c r="Q10" s="18" t="n">
        <v>4.38232494</v>
      </c>
      <c r="R10" s="20" t="n">
        <v>0.69567753</v>
      </c>
    </row>
    <row r="11" spans="1:18">
      <c r="A11" s="15" t="s">
        <v>571</v>
      </c>
      <c r="B11" s="17" t="n">
        <v>3553</v>
      </c>
      <c r="C11" s="18">
        <f>(2756.0/B11*100)</f>
        <v/>
      </c>
      <c r="D11" s="19" t="n">
        <v>797</v>
      </c>
      <c r="E11" s="18" t="n">
        <v>59.74453333</v>
      </c>
      <c r="F11" s="20" t="n">
        <v>2.21413239</v>
      </c>
      <c r="G11" s="18" t="n">
        <v>30.19267222</v>
      </c>
      <c r="H11" s="20" t="n">
        <v>2.15138272</v>
      </c>
      <c r="I11" s="18" t="s">
        <v>567</v>
      </c>
      <c r="J11" s="20" t="s">
        <v>567</v>
      </c>
      <c r="K11" s="18" t="n">
        <v>0</v>
      </c>
      <c r="L11" s="20" t="n">
        <v>0</v>
      </c>
      <c r="M11" s="18" t="n">
        <v>0</v>
      </c>
      <c r="N11" s="20" t="n">
        <v>0</v>
      </c>
      <c r="O11" s="18" t="n">
        <v>0</v>
      </c>
      <c r="P11" s="20" t="n">
        <v>0</v>
      </c>
      <c r="Q11" s="18" t="n">
        <v>10.06279445</v>
      </c>
      <c r="R11" s="20" t="n">
        <v>1.46743447</v>
      </c>
    </row>
    <row r="12" spans="1:18">
      <c r="A12" s="15" t="s">
        <v>572</v>
      </c>
      <c r="B12" s="17" t="n">
        <v>3472</v>
      </c>
      <c r="C12" s="18">
        <f>(2707.0/B12*100)</f>
        <v/>
      </c>
      <c r="D12" s="19" t="n">
        <v>765</v>
      </c>
      <c r="E12" s="18" t="n">
        <v>33.1838285</v>
      </c>
      <c r="F12" s="20" t="n">
        <v>1.8374984</v>
      </c>
      <c r="G12" s="18" t="n">
        <v>55.78786901</v>
      </c>
      <c r="H12" s="20" t="n">
        <v>2.14322583</v>
      </c>
      <c r="I12" s="18" t="s">
        <v>567</v>
      </c>
      <c r="J12" s="20" t="s">
        <v>567</v>
      </c>
      <c r="K12" s="18" t="n">
        <v>0</v>
      </c>
      <c r="L12" s="20" t="n">
        <v>0</v>
      </c>
      <c r="M12" s="18" t="n">
        <v>0</v>
      </c>
      <c r="N12" s="20" t="n">
        <v>0</v>
      </c>
      <c r="O12" s="18" t="n">
        <v>0</v>
      </c>
      <c r="P12" s="20" t="n">
        <v>0</v>
      </c>
      <c r="Q12" s="18" t="n">
        <v>11.02830249</v>
      </c>
      <c r="R12" s="20" t="n">
        <v>1.43160908</v>
      </c>
    </row>
    <row r="13" spans="1:18">
      <c r="A13" s="15" t="s">
        <v>573</v>
      </c>
      <c r="B13" s="17" t="n">
        <v>3559</v>
      </c>
      <c r="C13" s="18">
        <f>(2798.0/B13*100)</f>
        <v/>
      </c>
      <c r="D13" s="19" t="n">
        <v>761</v>
      </c>
      <c r="E13" s="18" t="n">
        <v>38.02162177</v>
      </c>
      <c r="F13" s="20" t="n">
        <v>2.16080828</v>
      </c>
      <c r="G13" s="18" t="n">
        <v>56.48557421</v>
      </c>
      <c r="H13" s="20" t="n">
        <v>2.26190272</v>
      </c>
      <c r="I13" s="18" t="s">
        <v>567</v>
      </c>
      <c r="J13" s="20" t="s">
        <v>567</v>
      </c>
      <c r="K13" s="18" t="n">
        <v>0.23024052</v>
      </c>
      <c r="L13" s="20" t="n">
        <v>0.12650514</v>
      </c>
      <c r="M13" s="18" t="n">
        <v>0</v>
      </c>
      <c r="N13" s="20" t="n">
        <v>0</v>
      </c>
      <c r="O13" s="18" t="n">
        <v>0</v>
      </c>
      <c r="P13" s="20" t="n">
        <v>0</v>
      </c>
      <c r="Q13" s="18" t="n">
        <v>5.2625635</v>
      </c>
      <c r="R13" s="20" t="n">
        <v>0.9428167200000001</v>
      </c>
    </row>
    <row r="14" spans="1:18">
      <c r="A14" s="15" t="s">
        <v>574</v>
      </c>
      <c r="B14" s="17" t="n">
        <v>2799</v>
      </c>
      <c r="C14" s="18">
        <f>(2170.0/B14*100)</f>
        <v/>
      </c>
      <c r="D14" s="19" t="n">
        <v>629</v>
      </c>
      <c r="E14" s="18" t="n">
        <v>28.3663355</v>
      </c>
      <c r="F14" s="20" t="n">
        <v>2.22047195</v>
      </c>
      <c r="G14" s="18" t="n">
        <v>66.90541561000001</v>
      </c>
      <c r="H14" s="20" t="n">
        <v>2.41490209</v>
      </c>
      <c r="I14" s="18" t="s">
        <v>567</v>
      </c>
      <c r="J14" s="20" t="s">
        <v>567</v>
      </c>
      <c r="K14" s="18" t="n">
        <v>0.1441363</v>
      </c>
      <c r="L14" s="20" t="n">
        <v>0.14367076</v>
      </c>
      <c r="M14" s="18" t="n">
        <v>0</v>
      </c>
      <c r="N14" s="20" t="n">
        <v>0</v>
      </c>
      <c r="O14" s="18" t="n">
        <v>0</v>
      </c>
      <c r="P14" s="20" t="n">
        <v>0</v>
      </c>
      <c r="Q14" s="18" t="n">
        <v>4.58411259</v>
      </c>
      <c r="R14" s="20" t="n">
        <v>0.97424132</v>
      </c>
    </row>
    <row r="15" spans="1:18">
      <c r="A15" s="15" t="s">
        <v>575</v>
      </c>
      <c r="B15" s="17" t="n">
        <v>3019</v>
      </c>
      <c r="C15" s="18">
        <f>(2296.0/B15*100)</f>
        <v/>
      </c>
      <c r="D15" s="19" t="n">
        <v>723</v>
      </c>
      <c r="E15" s="18" t="n">
        <v>46.09217342</v>
      </c>
      <c r="F15" s="20" t="n">
        <v>1.83319031</v>
      </c>
      <c r="G15" s="18" t="n">
        <v>47.72450742</v>
      </c>
      <c r="H15" s="20" t="n">
        <v>2.09642462</v>
      </c>
      <c r="I15" s="18" t="s">
        <v>567</v>
      </c>
      <c r="J15" s="20" t="s">
        <v>567</v>
      </c>
      <c r="K15" s="18" t="n">
        <v>0.15508766</v>
      </c>
      <c r="L15" s="20" t="n">
        <v>0.17011839</v>
      </c>
      <c r="M15" s="18" t="n">
        <v>0</v>
      </c>
      <c r="N15" s="20" t="n">
        <v>0</v>
      </c>
      <c r="O15" s="18" t="n">
        <v>0</v>
      </c>
      <c r="P15" s="20" t="n">
        <v>0</v>
      </c>
      <c r="Q15" s="18" t="n">
        <v>6.02823151</v>
      </c>
      <c r="R15" s="20" t="n">
        <v>0.99377869</v>
      </c>
    </row>
    <row r="16" spans="1:18">
      <c r="A16" s="15" t="s">
        <v>576</v>
      </c>
      <c r="B16" s="17" t="n">
        <v>2997</v>
      </c>
      <c r="C16" s="18">
        <f>(2321.0/B16*100)</f>
        <v/>
      </c>
      <c r="D16" s="19" t="n">
        <v>676</v>
      </c>
      <c r="E16" s="18" t="n">
        <v>35.50244784</v>
      </c>
      <c r="F16" s="20" t="n">
        <v>1.57599251</v>
      </c>
      <c r="G16" s="18" t="n">
        <v>50.42460633</v>
      </c>
      <c r="H16" s="20" t="n">
        <v>1.86898628</v>
      </c>
      <c r="I16" s="18" t="s">
        <v>567</v>
      </c>
      <c r="J16" s="20" t="s">
        <v>567</v>
      </c>
      <c r="K16" s="18" t="n">
        <v>0.64204049</v>
      </c>
      <c r="L16" s="20" t="n">
        <v>0.28142424</v>
      </c>
      <c r="M16" s="18" t="n">
        <v>0</v>
      </c>
      <c r="N16" s="20" t="n">
        <v>0</v>
      </c>
      <c r="O16" s="18" t="n">
        <v>0</v>
      </c>
      <c r="P16" s="20" t="n">
        <v>0</v>
      </c>
      <c r="Q16" s="18" t="n">
        <v>13.43090533</v>
      </c>
      <c r="R16" s="20" t="n">
        <v>1.35763668</v>
      </c>
    </row>
    <row r="17" spans="1:18">
      <c r="A17" s="15" t="s">
        <v>577</v>
      </c>
      <c r="B17" s="17" t="n">
        <v>3307</v>
      </c>
      <c r="C17" s="18">
        <f>(2578.0/B17*100)</f>
        <v/>
      </c>
      <c r="D17" s="19" t="n">
        <v>729</v>
      </c>
      <c r="E17" s="18" t="n">
        <v>29.50617173</v>
      </c>
      <c r="F17" s="20" t="n">
        <v>1.99632762</v>
      </c>
      <c r="G17" s="18" t="n">
        <v>61.98072289</v>
      </c>
      <c r="H17" s="20" t="n">
        <v>2.0882675</v>
      </c>
      <c r="I17" s="18" t="s">
        <v>567</v>
      </c>
      <c r="J17" s="20" t="s">
        <v>567</v>
      </c>
      <c r="K17" s="18" t="n">
        <v>0</v>
      </c>
      <c r="L17" s="20" t="n">
        <v>0</v>
      </c>
      <c r="M17" s="18" t="n">
        <v>0</v>
      </c>
      <c r="N17" s="20" t="n">
        <v>0</v>
      </c>
      <c r="O17" s="18" t="n">
        <v>0</v>
      </c>
      <c r="P17" s="20" t="n">
        <v>0</v>
      </c>
      <c r="Q17" s="18" t="n">
        <v>8.513105380000001</v>
      </c>
      <c r="R17" s="20" t="n">
        <v>1.11806959</v>
      </c>
    </row>
    <row r="18" spans="1:18">
      <c r="A18" s="15" t="s">
        <v>578</v>
      </c>
      <c r="B18" s="17" t="n">
        <v>2826</v>
      </c>
      <c r="C18" s="18">
        <f>(2210.0/B18*100)</f>
        <v/>
      </c>
      <c r="D18" s="19" t="n">
        <v>616</v>
      </c>
      <c r="E18" s="18" t="n">
        <v>60.84568893</v>
      </c>
      <c r="F18" s="20" t="n">
        <v>2.24721516</v>
      </c>
      <c r="G18" s="18" t="n">
        <v>26.35279909</v>
      </c>
      <c r="H18" s="20" t="n">
        <v>2.26824513</v>
      </c>
      <c r="I18" s="18" t="s">
        <v>567</v>
      </c>
      <c r="J18" s="20" t="s">
        <v>567</v>
      </c>
      <c r="K18" s="18" t="n">
        <v>0.13382698</v>
      </c>
      <c r="L18" s="20" t="n">
        <v>0.13344493</v>
      </c>
      <c r="M18" s="18" t="n">
        <v>0.12313941</v>
      </c>
      <c r="N18" s="20" t="n">
        <v>0.1232169</v>
      </c>
      <c r="O18" s="18" t="n">
        <v>0</v>
      </c>
      <c r="P18" s="20" t="n">
        <v>0</v>
      </c>
      <c r="Q18" s="18" t="n">
        <v>12.54454558</v>
      </c>
      <c r="R18" s="20" t="n">
        <v>1.51177296</v>
      </c>
    </row>
    <row r="19" spans="1:18">
      <c r="A19" s="15" t="s">
        <v>579</v>
      </c>
      <c r="B19" s="17" t="n">
        <v>2808</v>
      </c>
      <c r="C19" s="18">
        <f>(2185.0/B19*100)</f>
        <v/>
      </c>
      <c r="D19" s="19" t="n">
        <v>623</v>
      </c>
      <c r="E19" s="18" t="n">
        <v>28.3727353</v>
      </c>
      <c r="F19" s="20" t="n">
        <v>2.06778648</v>
      </c>
      <c r="G19" s="18" t="n">
        <v>60.39448737</v>
      </c>
      <c r="H19" s="20" t="n">
        <v>1.9573186</v>
      </c>
      <c r="I19" s="18" t="s">
        <v>567</v>
      </c>
      <c r="J19" s="20" t="s">
        <v>567</v>
      </c>
      <c r="K19" s="18" t="n">
        <v>0</v>
      </c>
      <c r="L19" s="20" t="n">
        <v>0</v>
      </c>
      <c r="M19" s="18" t="n">
        <v>0</v>
      </c>
      <c r="N19" s="20" t="n">
        <v>0</v>
      </c>
      <c r="O19" s="18" t="n">
        <v>0</v>
      </c>
      <c r="P19" s="20" t="n">
        <v>0</v>
      </c>
      <c r="Q19" s="18" t="n">
        <v>11.23277733</v>
      </c>
      <c r="R19" s="20" t="n">
        <v>1.30310324</v>
      </c>
    </row>
    <row r="20" spans="1:18">
      <c r="A20" s="15" t="s">
        <v>580</v>
      </c>
      <c r="B20" s="17" t="n">
        <v>1630</v>
      </c>
      <c r="C20" s="18">
        <f>(1267.0/B20*100)</f>
        <v/>
      </c>
      <c r="D20" s="19" t="n">
        <v>363</v>
      </c>
      <c r="E20" s="18" t="n">
        <v>42.03887211</v>
      </c>
      <c r="F20" s="20" t="n">
        <v>2.1406885</v>
      </c>
      <c r="G20" s="18" t="n">
        <v>49.78642123</v>
      </c>
      <c r="H20" s="20" t="n">
        <v>2.34049491</v>
      </c>
      <c r="I20" s="18" t="s">
        <v>567</v>
      </c>
      <c r="J20" s="20" t="s">
        <v>567</v>
      </c>
      <c r="K20" s="18" t="n">
        <v>0.53791341</v>
      </c>
      <c r="L20" s="20" t="n">
        <v>0.3861759</v>
      </c>
      <c r="M20" s="18" t="n">
        <v>0</v>
      </c>
      <c r="N20" s="20" t="n">
        <v>0</v>
      </c>
      <c r="O20" s="18" t="n">
        <v>0</v>
      </c>
      <c r="P20" s="20" t="n">
        <v>0</v>
      </c>
      <c r="Q20" s="18" t="n">
        <v>7.63679325</v>
      </c>
      <c r="R20" s="20" t="n">
        <v>1.28642614</v>
      </c>
    </row>
    <row r="21" spans="1:18">
      <c r="A21" s="15" t="s">
        <v>581</v>
      </c>
      <c r="B21" s="17" t="n">
        <v>2908</v>
      </c>
      <c r="C21" s="18">
        <f>(2257.0/B21*100)</f>
        <v/>
      </c>
      <c r="D21" s="19" t="n">
        <v>651</v>
      </c>
      <c r="E21" s="18" t="n">
        <v>29.14430153</v>
      </c>
      <c r="F21" s="20" t="n">
        <v>1.87832104</v>
      </c>
      <c r="G21" s="18" t="n">
        <v>66.08372099</v>
      </c>
      <c r="H21" s="20" t="n">
        <v>1.82289925</v>
      </c>
      <c r="I21" s="18" t="s">
        <v>567</v>
      </c>
      <c r="J21" s="20" t="s">
        <v>567</v>
      </c>
      <c r="K21" s="18" t="n">
        <v>0.2089426</v>
      </c>
      <c r="L21" s="20" t="n">
        <v>0.17455358</v>
      </c>
      <c r="M21" s="18" t="n">
        <v>0</v>
      </c>
      <c r="N21" s="20" t="n">
        <v>0</v>
      </c>
      <c r="O21" s="18" t="n">
        <v>0</v>
      </c>
      <c r="P21" s="20" t="n">
        <v>0</v>
      </c>
      <c r="Q21" s="18" t="n">
        <v>4.56303489</v>
      </c>
      <c r="R21" s="20" t="n">
        <v>0.79884495</v>
      </c>
    </row>
    <row r="22" spans="1:18">
      <c r="A22" s="15" t="s">
        <v>582</v>
      </c>
      <c r="B22" s="17" t="n">
        <v>2931</v>
      </c>
      <c r="C22" s="18">
        <f>(2339.0/B22*100)</f>
        <v/>
      </c>
      <c r="D22" s="19" t="n">
        <v>592</v>
      </c>
      <c r="E22" s="18" t="n">
        <v>50.74202244</v>
      </c>
      <c r="F22" s="20" t="n">
        <v>2.49826798</v>
      </c>
      <c r="G22" s="18" t="n">
        <v>40.38354911</v>
      </c>
      <c r="H22" s="20" t="n">
        <v>2.49669474</v>
      </c>
      <c r="I22" s="18" t="s">
        <v>567</v>
      </c>
      <c r="J22" s="20" t="s">
        <v>567</v>
      </c>
      <c r="K22" s="18" t="n">
        <v>0.32544699</v>
      </c>
      <c r="L22" s="20" t="n">
        <v>0.27104887</v>
      </c>
      <c r="M22" s="18" t="n">
        <v>0</v>
      </c>
      <c r="N22" s="20" t="n">
        <v>0</v>
      </c>
      <c r="O22" s="18" t="n">
        <v>0</v>
      </c>
      <c r="P22" s="20" t="n">
        <v>0</v>
      </c>
      <c r="Q22" s="18" t="n">
        <v>8.548981449999999</v>
      </c>
      <c r="R22" s="20" t="n">
        <v>1.31656703</v>
      </c>
    </row>
    <row r="23" spans="1:18">
      <c r="A23" s="15" t="s">
        <v>583</v>
      </c>
      <c r="B23" s="17" t="n">
        <v>5791</v>
      </c>
      <c r="C23" s="18">
        <f>(4525.0/B23*100)</f>
        <v/>
      </c>
      <c r="D23" s="19" t="n">
        <v>1266</v>
      </c>
      <c r="E23" s="18" t="n">
        <v>57.13175395</v>
      </c>
      <c r="F23" s="20" t="n">
        <v>2.41137785</v>
      </c>
      <c r="G23" s="18" t="n">
        <v>30.01522965</v>
      </c>
      <c r="H23" s="20" t="n">
        <v>1.70874142</v>
      </c>
      <c r="I23" s="18" t="s">
        <v>567</v>
      </c>
      <c r="J23" s="20" t="s">
        <v>567</v>
      </c>
      <c r="K23" s="18" t="n">
        <v>0.38007441</v>
      </c>
      <c r="L23" s="20" t="n">
        <v>0.27291631</v>
      </c>
      <c r="M23" s="18" t="n">
        <v>0.87184929</v>
      </c>
      <c r="N23" s="20" t="n">
        <v>0.32049783</v>
      </c>
      <c r="O23" s="18" t="n">
        <v>0</v>
      </c>
      <c r="P23" s="20" t="n">
        <v>0</v>
      </c>
      <c r="Q23" s="18" t="n">
        <v>11.60109269</v>
      </c>
      <c r="R23" s="20" t="n">
        <v>1.78645162</v>
      </c>
    </row>
    <row r="24" spans="1:18">
      <c r="A24" s="15" t="s">
        <v>584</v>
      </c>
      <c r="B24" s="17" t="n">
        <v>3338</v>
      </c>
      <c r="C24" s="18">
        <f>(2602.0/B24*100)</f>
        <v/>
      </c>
      <c r="D24" s="19" t="n">
        <v>736</v>
      </c>
      <c r="E24" s="18" t="n">
        <v>40.38406048</v>
      </c>
      <c r="F24" s="20" t="n">
        <v>1.82322602</v>
      </c>
      <c r="G24" s="18" t="n">
        <v>51.96134808</v>
      </c>
      <c r="H24" s="20" t="n">
        <v>1.6473524</v>
      </c>
      <c r="I24" s="18" t="s">
        <v>567</v>
      </c>
      <c r="J24" s="20" t="s">
        <v>567</v>
      </c>
      <c r="K24" s="18" t="n">
        <v>0.22382227</v>
      </c>
      <c r="L24" s="20" t="n">
        <v>0.16125871</v>
      </c>
      <c r="M24" s="18" t="n">
        <v>0</v>
      </c>
      <c r="N24" s="20" t="n">
        <v>0</v>
      </c>
      <c r="O24" s="18" t="n">
        <v>0</v>
      </c>
      <c r="P24" s="20" t="n">
        <v>0</v>
      </c>
      <c r="Q24" s="18" t="n">
        <v>7.43076917</v>
      </c>
      <c r="R24" s="20" t="n">
        <v>1.03816614</v>
      </c>
    </row>
    <row r="25" spans="1:18">
      <c r="A25" s="15" t="s">
        <v>585</v>
      </c>
      <c r="B25" s="17" t="n">
        <v>2912</v>
      </c>
      <c r="C25" s="18">
        <f>(2275.0/B25*100)</f>
        <v/>
      </c>
      <c r="D25" s="19" t="n">
        <v>637</v>
      </c>
      <c r="E25" s="18" t="n">
        <v>32.92971224</v>
      </c>
      <c r="F25" s="20" t="n">
        <v>1.90673723</v>
      </c>
      <c r="G25" s="18" t="n">
        <v>59.62347527</v>
      </c>
      <c r="H25" s="20" t="n">
        <v>2.2168401</v>
      </c>
      <c r="I25" s="18" t="s">
        <v>567</v>
      </c>
      <c r="J25" s="20" t="s">
        <v>567</v>
      </c>
      <c r="K25" s="18" t="n">
        <v>0</v>
      </c>
      <c r="L25" s="20" t="n">
        <v>0</v>
      </c>
      <c r="M25" s="18" t="n">
        <v>0</v>
      </c>
      <c r="N25" s="20" t="n">
        <v>0</v>
      </c>
      <c r="O25" s="18" t="n">
        <v>0</v>
      </c>
      <c r="P25" s="20" t="n">
        <v>0</v>
      </c>
      <c r="Q25" s="18" t="n">
        <v>7.44681249</v>
      </c>
      <c r="R25" s="20" t="n">
        <v>1.13043064</v>
      </c>
    </row>
    <row r="26" spans="1:18">
      <c r="A26" s="15" t="s">
        <v>586</v>
      </c>
      <c r="B26" s="17" t="n">
        <v>2450</v>
      </c>
      <c r="C26" s="18">
        <f>(1908.0/B26*100)</f>
        <v/>
      </c>
      <c r="D26" s="19" t="n">
        <v>542</v>
      </c>
      <c r="E26" s="18" t="n">
        <v>57.17456696</v>
      </c>
      <c r="F26" s="20" t="n">
        <v>1.83187678</v>
      </c>
      <c r="G26" s="18" t="n">
        <v>38.43788555</v>
      </c>
      <c r="H26" s="20" t="n">
        <v>1.93889336</v>
      </c>
      <c r="I26" s="18" t="s">
        <v>567</v>
      </c>
      <c r="J26" s="20" t="s">
        <v>567</v>
      </c>
      <c r="K26" s="18" t="n">
        <v>0</v>
      </c>
      <c r="L26" s="20" t="n">
        <v>0</v>
      </c>
      <c r="M26" s="18" t="n">
        <v>0</v>
      </c>
      <c r="N26" s="20" t="n">
        <v>0</v>
      </c>
      <c r="O26" s="18" t="n">
        <v>0</v>
      </c>
      <c r="P26" s="20" t="n">
        <v>0</v>
      </c>
      <c r="Q26" s="18" t="n">
        <v>4.38754748</v>
      </c>
      <c r="R26" s="20" t="n">
        <v>0.81705914</v>
      </c>
    </row>
    <row r="27" spans="1:18">
      <c r="A27" s="15" t="s">
        <v>587</v>
      </c>
      <c r="B27" s="17" t="n">
        <v>2616</v>
      </c>
      <c r="C27" s="18">
        <f>(2036.0/B27*100)</f>
        <v/>
      </c>
      <c r="D27" s="19" t="n">
        <v>580</v>
      </c>
      <c r="E27" s="18" t="n">
        <v>41.0301426</v>
      </c>
      <c r="F27" s="20" t="n">
        <v>2.03564897</v>
      </c>
      <c r="G27" s="18" t="n">
        <v>49.11929961</v>
      </c>
      <c r="H27" s="20" t="n">
        <v>2.09577786</v>
      </c>
      <c r="I27" s="18" t="s">
        <v>567</v>
      </c>
      <c r="J27" s="20" t="s">
        <v>567</v>
      </c>
      <c r="K27" s="18" t="n">
        <v>0</v>
      </c>
      <c r="L27" s="20" t="n">
        <v>0</v>
      </c>
      <c r="M27" s="18" t="n">
        <v>0</v>
      </c>
      <c r="N27" s="20" t="n">
        <v>0</v>
      </c>
      <c r="O27" s="18" t="n">
        <v>0</v>
      </c>
      <c r="P27" s="20" t="n">
        <v>0</v>
      </c>
      <c r="Q27" s="18" t="n">
        <v>9.85055779</v>
      </c>
      <c r="R27" s="20" t="n">
        <v>1.15127932</v>
      </c>
    </row>
    <row r="28" spans="1:18">
      <c r="A28" s="15" t="s">
        <v>588</v>
      </c>
      <c r="B28" s="17" t="n">
        <v>3765</v>
      </c>
      <c r="C28" s="18">
        <f>(3007.0/B28*100)</f>
        <v/>
      </c>
      <c r="D28" s="19" t="n">
        <v>758</v>
      </c>
      <c r="E28" s="18" t="n">
        <v>78.34402531000001</v>
      </c>
      <c r="F28" s="20" t="n">
        <v>1.68740615</v>
      </c>
      <c r="G28" s="18" t="n">
        <v>17.60291654</v>
      </c>
      <c r="H28" s="20" t="n">
        <v>1.54164377</v>
      </c>
      <c r="I28" s="18" t="s">
        <v>567</v>
      </c>
      <c r="J28" s="20" t="s">
        <v>567</v>
      </c>
      <c r="K28" s="18" t="n">
        <v>0.26937221</v>
      </c>
      <c r="L28" s="20" t="n">
        <v>0.19126026</v>
      </c>
      <c r="M28" s="18" t="n">
        <v>0.56995839</v>
      </c>
      <c r="N28" s="20" t="n">
        <v>0.32576596</v>
      </c>
      <c r="O28" s="18" t="n">
        <v>0</v>
      </c>
      <c r="P28" s="20" t="n">
        <v>0</v>
      </c>
      <c r="Q28" s="18" t="n">
        <v>3.21372755</v>
      </c>
      <c r="R28" s="20" t="n">
        <v>0.79014246</v>
      </c>
    </row>
    <row r="29" spans="1:18">
      <c r="A29" s="15" t="s">
        <v>589</v>
      </c>
      <c r="B29" s="17" t="n">
        <v>2685</v>
      </c>
      <c r="C29" s="18">
        <f>(2101.0/B29*100)</f>
        <v/>
      </c>
      <c r="D29" s="19" t="n">
        <v>584</v>
      </c>
      <c r="E29" s="18" t="n">
        <v>38.42915705</v>
      </c>
      <c r="F29" s="20" t="n">
        <v>1.91635795</v>
      </c>
      <c r="G29" s="18" t="n">
        <v>59.35793523</v>
      </c>
      <c r="H29" s="20" t="n">
        <v>1.91224067</v>
      </c>
      <c r="I29" s="18" t="s">
        <v>567</v>
      </c>
      <c r="J29" s="20" t="s">
        <v>567</v>
      </c>
      <c r="K29" s="18" t="n">
        <v>0.16836148</v>
      </c>
      <c r="L29" s="20" t="n">
        <v>0.16614294</v>
      </c>
      <c r="M29" s="18" t="n">
        <v>0</v>
      </c>
      <c r="N29" s="20" t="n">
        <v>0</v>
      </c>
      <c r="O29" s="18" t="n">
        <v>0</v>
      </c>
      <c r="P29" s="20" t="n">
        <v>0</v>
      </c>
      <c r="Q29" s="18" t="n">
        <v>2.04454624</v>
      </c>
      <c r="R29" s="20" t="n">
        <v>0.67132457</v>
      </c>
    </row>
    <row r="30" spans="1:18">
      <c r="A30" s="15" t="s">
        <v>590</v>
      </c>
      <c r="B30" s="17" t="n">
        <v>2263</v>
      </c>
      <c r="C30" s="18">
        <f>(1778.0/B30*100)</f>
        <v/>
      </c>
      <c r="D30" s="19" t="n">
        <v>485</v>
      </c>
      <c r="E30" s="18" t="n">
        <v>31.83959975</v>
      </c>
      <c r="F30" s="20" t="n">
        <v>2.16535203</v>
      </c>
      <c r="G30" s="18" t="n">
        <v>59.27362067</v>
      </c>
      <c r="H30" s="20" t="n">
        <v>2.12520883</v>
      </c>
      <c r="I30" s="18" t="s">
        <v>567</v>
      </c>
      <c r="J30" s="20" t="s">
        <v>567</v>
      </c>
      <c r="K30" s="18" t="n">
        <v>0</v>
      </c>
      <c r="L30" s="20" t="n">
        <v>0</v>
      </c>
      <c r="M30" s="18" t="n">
        <v>0.13204701</v>
      </c>
      <c r="N30" s="20" t="n">
        <v>0.13116966</v>
      </c>
      <c r="O30" s="18" t="n">
        <v>0</v>
      </c>
      <c r="P30" s="20" t="n">
        <v>0</v>
      </c>
      <c r="Q30" s="18" t="n">
        <v>8.75473257</v>
      </c>
      <c r="R30" s="20" t="n">
        <v>1.40927828</v>
      </c>
    </row>
    <row r="31" spans="1:18">
      <c r="A31" s="15" t="s">
        <v>591</v>
      </c>
      <c r="B31" s="17" t="n">
        <v>2750</v>
      </c>
      <c r="C31" s="18">
        <f>(2170.0/B31*100)</f>
        <v/>
      </c>
      <c r="D31" s="19" t="n">
        <v>580</v>
      </c>
      <c r="E31" s="18" t="n">
        <v>48.10809097</v>
      </c>
      <c r="F31" s="20" t="n">
        <v>1.88340662</v>
      </c>
      <c r="G31" s="18" t="n">
        <v>45.04364054</v>
      </c>
      <c r="H31" s="20" t="n">
        <v>2.0876763</v>
      </c>
      <c r="I31" s="18" t="s">
        <v>567</v>
      </c>
      <c r="J31" s="20" t="s">
        <v>567</v>
      </c>
      <c r="K31" s="18" t="n">
        <v>0.62991138</v>
      </c>
      <c r="L31" s="20" t="n">
        <v>0.30927078</v>
      </c>
      <c r="M31" s="18" t="n">
        <v>0.34291227</v>
      </c>
      <c r="N31" s="20" t="n">
        <v>0.39448408</v>
      </c>
      <c r="O31" s="18" t="n">
        <v>0</v>
      </c>
      <c r="P31" s="20" t="n">
        <v>0</v>
      </c>
      <c r="Q31" s="18" t="n">
        <v>5.87544484</v>
      </c>
      <c r="R31" s="20" t="n">
        <v>1.07310219</v>
      </c>
    </row>
    <row r="32" spans="1:18">
      <c r="A32" s="15" t="s">
        <v>592</v>
      </c>
      <c r="B32" s="17" t="n">
        <v>2269</v>
      </c>
      <c r="C32" s="18">
        <f>(1805.0/B32*100)</f>
        <v/>
      </c>
      <c r="D32" s="19" t="n">
        <v>464</v>
      </c>
      <c r="E32" s="18" t="n">
        <v>30.14445285</v>
      </c>
      <c r="F32" s="20" t="n">
        <v>2.02274782</v>
      </c>
      <c r="G32" s="18" t="n">
        <v>58.90525359</v>
      </c>
      <c r="H32" s="20" t="n">
        <v>2.23638872</v>
      </c>
      <c r="I32" s="18" t="s">
        <v>567</v>
      </c>
      <c r="J32" s="20" t="s">
        <v>567</v>
      </c>
      <c r="K32" s="18" t="n">
        <v>0</v>
      </c>
      <c r="L32" s="20" t="n">
        <v>0</v>
      </c>
      <c r="M32" s="18" t="n">
        <v>0</v>
      </c>
      <c r="N32" s="20" t="n">
        <v>0</v>
      </c>
      <c r="O32" s="18" t="n">
        <v>0</v>
      </c>
      <c r="P32" s="20" t="n">
        <v>0</v>
      </c>
      <c r="Q32" s="18" t="n">
        <v>10.95029356</v>
      </c>
      <c r="R32" s="20" t="n">
        <v>1.66886008</v>
      </c>
    </row>
    <row r="33" spans="1:18">
      <c r="A33" s="15" t="s">
        <v>593</v>
      </c>
      <c r="B33" s="17" t="n">
        <v>3674</v>
      </c>
      <c r="C33" s="18">
        <f>(2858.0/B33*100)</f>
        <v/>
      </c>
      <c r="D33" s="19" t="n">
        <v>816</v>
      </c>
      <c r="E33" s="18" t="n">
        <v>44.75232235</v>
      </c>
      <c r="F33" s="20" t="n">
        <v>2.44805976</v>
      </c>
      <c r="G33" s="18" t="n">
        <v>45.30704697</v>
      </c>
      <c r="H33" s="20" t="n">
        <v>2.48898366</v>
      </c>
      <c r="I33" s="18" t="s">
        <v>567</v>
      </c>
      <c r="J33" s="20" t="s">
        <v>567</v>
      </c>
      <c r="K33" s="18" t="n">
        <v>0</v>
      </c>
      <c r="L33" s="20" t="n">
        <v>0</v>
      </c>
      <c r="M33" s="18" t="n">
        <v>0.01084975</v>
      </c>
      <c r="N33" s="20" t="n">
        <v>0.00694048</v>
      </c>
      <c r="O33" s="18" t="n">
        <v>0</v>
      </c>
      <c r="P33" s="20" t="n">
        <v>0</v>
      </c>
      <c r="Q33" s="18" t="n">
        <v>9.92978093</v>
      </c>
      <c r="R33" s="20" t="n">
        <v>1.33131301</v>
      </c>
    </row>
    <row r="34" spans="1:18">
      <c r="A34" s="15" t="s">
        <v>594</v>
      </c>
      <c r="B34" s="17" t="n">
        <v>3315</v>
      </c>
      <c r="C34" s="18">
        <f>(2592.0/B34*100)</f>
        <v/>
      </c>
      <c r="D34" s="19" t="n">
        <v>723</v>
      </c>
      <c r="E34" s="18" t="n">
        <v>39.4462096</v>
      </c>
      <c r="F34" s="20" t="n">
        <v>1.93704347</v>
      </c>
      <c r="G34" s="18" t="n">
        <v>46.82032974</v>
      </c>
      <c r="H34" s="20" t="n">
        <v>1.84778191</v>
      </c>
      <c r="I34" s="18" t="s">
        <v>567</v>
      </c>
      <c r="J34" s="20" t="s">
        <v>567</v>
      </c>
      <c r="K34" s="18" t="n">
        <v>0</v>
      </c>
      <c r="L34" s="20" t="n">
        <v>0</v>
      </c>
      <c r="M34" s="18" t="n">
        <v>0.34861444</v>
      </c>
      <c r="N34" s="20" t="n">
        <v>0.28579255</v>
      </c>
      <c r="O34" s="18" t="n">
        <v>0</v>
      </c>
      <c r="P34" s="20" t="n">
        <v>0</v>
      </c>
      <c r="Q34" s="18" t="n">
        <v>13.38484622</v>
      </c>
      <c r="R34" s="20" t="n">
        <v>1.65497813</v>
      </c>
    </row>
    <row r="35" spans="1:18">
      <c r="A35" s="15" t="s">
        <v>595</v>
      </c>
      <c r="B35" s="17" t="n">
        <v>3505</v>
      </c>
      <c r="C35" s="18">
        <f>(2714.0/B35*100)</f>
        <v/>
      </c>
      <c r="D35" s="19" t="n">
        <v>791</v>
      </c>
      <c r="E35" s="18" t="n">
        <v>37.54630437</v>
      </c>
      <c r="F35" s="20" t="n">
        <v>2.32862895</v>
      </c>
      <c r="G35" s="18" t="n">
        <v>54.47455146</v>
      </c>
      <c r="H35" s="20" t="n">
        <v>2.41900282</v>
      </c>
      <c r="I35" s="18" t="s">
        <v>567</v>
      </c>
      <c r="J35" s="20" t="s">
        <v>567</v>
      </c>
      <c r="K35" s="18" t="n">
        <v>0.06352963</v>
      </c>
      <c r="L35" s="20" t="n">
        <v>0.06369082</v>
      </c>
      <c r="M35" s="18" t="n">
        <v>0.22397316</v>
      </c>
      <c r="N35" s="20" t="n">
        <v>0.22464619</v>
      </c>
      <c r="O35" s="18" t="n">
        <v>0</v>
      </c>
      <c r="P35" s="20" t="n">
        <v>0</v>
      </c>
      <c r="Q35" s="18" t="n">
        <v>7.69164136</v>
      </c>
      <c r="R35" s="20" t="n">
        <v>0.98605201</v>
      </c>
    </row>
    <row r="36" spans="1:18">
      <c r="A36" s="15" t="s">
        <v>596</v>
      </c>
      <c r="B36" s="17" t="n">
        <v>3332</v>
      </c>
      <c r="C36" s="18">
        <f>(2615.0/B36*100)</f>
        <v/>
      </c>
      <c r="D36" s="19" t="n">
        <v>717</v>
      </c>
      <c r="E36" s="18" t="n">
        <v>45.94782624</v>
      </c>
      <c r="F36" s="20" t="n">
        <v>1.72351696</v>
      </c>
      <c r="G36" s="18" t="n">
        <v>47.20191902</v>
      </c>
      <c r="H36" s="20" t="n">
        <v>1.76260012</v>
      </c>
      <c r="I36" s="18" t="s">
        <v>567</v>
      </c>
      <c r="J36" s="20" t="s">
        <v>567</v>
      </c>
      <c r="K36" s="18" t="n">
        <v>0.39198834</v>
      </c>
      <c r="L36" s="20" t="n">
        <v>0.29452181</v>
      </c>
      <c r="M36" s="18" t="n">
        <v>0</v>
      </c>
      <c r="N36" s="20" t="n">
        <v>0</v>
      </c>
      <c r="O36" s="18" t="n">
        <v>0</v>
      </c>
      <c r="P36" s="20" t="n">
        <v>0</v>
      </c>
      <c r="Q36" s="18" t="n">
        <v>6.4582664</v>
      </c>
      <c r="R36" s="20" t="n">
        <v>1.05987477</v>
      </c>
    </row>
    <row r="37" spans="1:18">
      <c r="A37" s="15" t="s">
        <v>597</v>
      </c>
      <c r="B37" s="17" t="n">
        <v>2727</v>
      </c>
      <c r="C37" s="18">
        <f>(2115.0/B37*100)</f>
        <v/>
      </c>
      <c r="D37" s="19" t="n">
        <v>612</v>
      </c>
      <c r="E37" s="18" t="n">
        <v>35.55070142</v>
      </c>
      <c r="F37" s="20" t="n">
        <v>2.18064539</v>
      </c>
      <c r="G37" s="18" t="n">
        <v>51.27097144</v>
      </c>
      <c r="H37" s="20" t="n">
        <v>2.47635126</v>
      </c>
      <c r="I37" s="18" t="s">
        <v>567</v>
      </c>
      <c r="J37" s="20" t="s">
        <v>567</v>
      </c>
      <c r="K37" s="18" t="n">
        <v>0.68761982</v>
      </c>
      <c r="L37" s="20" t="n">
        <v>0.33096908</v>
      </c>
      <c r="M37" s="18" t="n">
        <v>0</v>
      </c>
      <c r="N37" s="20" t="n">
        <v>0</v>
      </c>
      <c r="O37" s="18" t="n">
        <v>0</v>
      </c>
      <c r="P37" s="20" t="n">
        <v>0</v>
      </c>
      <c r="Q37" s="18" t="n">
        <v>12.49070732</v>
      </c>
      <c r="R37" s="20" t="n">
        <v>1.64432002</v>
      </c>
    </row>
    <row r="38" spans="1:18">
      <c r="A38" s="15" t="s">
        <v>598</v>
      </c>
      <c r="B38" s="17" t="n">
        <v>3053</v>
      </c>
      <c r="C38" s="18">
        <f>(2325.0/B38*100)</f>
        <v/>
      </c>
      <c r="D38" s="19" t="n">
        <v>728</v>
      </c>
      <c r="E38" s="18" t="n">
        <v>33.47838155</v>
      </c>
      <c r="F38" s="20" t="n">
        <v>1.82740309</v>
      </c>
      <c r="G38" s="18" t="n">
        <v>57.75066661</v>
      </c>
      <c r="H38" s="20" t="n">
        <v>1.93448307</v>
      </c>
      <c r="I38" s="18" t="s">
        <v>567</v>
      </c>
      <c r="J38" s="20" t="s">
        <v>567</v>
      </c>
      <c r="K38" s="18" t="n">
        <v>0</v>
      </c>
      <c r="L38" s="20" t="n">
        <v>0</v>
      </c>
      <c r="M38" s="18" t="n">
        <v>2.08904168</v>
      </c>
      <c r="N38" s="20" t="n">
        <v>0.55491302</v>
      </c>
      <c r="O38" s="18" t="n">
        <v>0</v>
      </c>
      <c r="P38" s="20" t="n">
        <v>0</v>
      </c>
      <c r="Q38" s="18" t="n">
        <v>6.68191015</v>
      </c>
      <c r="R38" s="20" t="n">
        <v>1.07510615</v>
      </c>
    </row>
    <row r="39" spans="1:18">
      <c r="A39" s="15" t="s">
        <v>599</v>
      </c>
      <c r="B39" s="17" t="n">
        <v>2957</v>
      </c>
      <c r="C39" s="18">
        <f>(2312.0/B39*100)</f>
        <v/>
      </c>
      <c r="D39" s="19" t="n">
        <v>645</v>
      </c>
      <c r="E39" s="18" t="n">
        <v>45.38374673</v>
      </c>
      <c r="F39" s="20" t="n">
        <v>2.11394529</v>
      </c>
      <c r="G39" s="18" t="n">
        <v>47.12829953</v>
      </c>
      <c r="H39" s="20" t="n">
        <v>2.26085816</v>
      </c>
      <c r="I39" s="18" t="s">
        <v>567</v>
      </c>
      <c r="J39" s="20" t="s">
        <v>567</v>
      </c>
      <c r="K39" s="18" t="n">
        <v>0.19820878</v>
      </c>
      <c r="L39" s="20" t="n">
        <v>0.19783157</v>
      </c>
      <c r="M39" s="18" t="n">
        <v>0</v>
      </c>
      <c r="N39" s="20" t="n">
        <v>0</v>
      </c>
      <c r="O39" s="18" t="n">
        <v>0</v>
      </c>
      <c r="P39" s="20" t="n">
        <v>0</v>
      </c>
      <c r="Q39" s="18" t="n">
        <v>7.28974497</v>
      </c>
      <c r="R39" s="20" t="n">
        <v>1.24484172</v>
      </c>
    </row>
    <row r="40" spans="1:18">
      <c r="A40" s="15" t="s">
        <v>600</v>
      </c>
      <c r="B40" s="17" t="n">
        <v>7235</v>
      </c>
      <c r="C40" s="18">
        <f>(5585.0/B40*100)</f>
        <v/>
      </c>
      <c r="D40" s="19" t="n">
        <v>1650</v>
      </c>
      <c r="E40" s="18" t="n">
        <v>29.78961255</v>
      </c>
      <c r="F40" s="20" t="n">
        <v>1.8501991</v>
      </c>
      <c r="G40" s="18" t="n">
        <v>63.53107254</v>
      </c>
      <c r="H40" s="20" t="n">
        <v>1.88530327</v>
      </c>
      <c r="I40" s="18" t="s">
        <v>567</v>
      </c>
      <c r="J40" s="20" t="s">
        <v>567</v>
      </c>
      <c r="K40" s="18" t="n">
        <v>0.11166151</v>
      </c>
      <c r="L40" s="20" t="n">
        <v>0.10614547</v>
      </c>
      <c r="M40" s="18" t="n">
        <v>0.04540995</v>
      </c>
      <c r="N40" s="20" t="n">
        <v>0.04396883</v>
      </c>
      <c r="O40" s="18" t="n">
        <v>0</v>
      </c>
      <c r="P40" s="20" t="n">
        <v>0</v>
      </c>
      <c r="Q40" s="18" t="n">
        <v>6.52224345</v>
      </c>
      <c r="R40" s="20" t="n">
        <v>1.15986095</v>
      </c>
    </row>
    <row r="41" spans="1:18">
      <c r="A41" s="15" t="s">
        <v>601</v>
      </c>
      <c r="B41" s="17" t="n">
        <v>2858</v>
      </c>
      <c r="C41" s="18">
        <f>(2250.0/B41*100)</f>
        <v/>
      </c>
      <c r="D41" s="19" t="n">
        <v>608</v>
      </c>
      <c r="E41" s="18" t="n">
        <v>43.35851295</v>
      </c>
      <c r="F41" s="20" t="n">
        <v>2.51987073</v>
      </c>
      <c r="G41" s="18" t="n">
        <v>53.68078009</v>
      </c>
      <c r="H41" s="20" t="n">
        <v>2.33320452</v>
      </c>
      <c r="I41" s="18" t="s">
        <v>567</v>
      </c>
      <c r="J41" s="20" t="s">
        <v>567</v>
      </c>
      <c r="K41" s="18" t="n">
        <v>0.22491117</v>
      </c>
      <c r="L41" s="20" t="n">
        <v>0.1829559</v>
      </c>
      <c r="M41" s="18" t="n">
        <v>0</v>
      </c>
      <c r="N41" s="20" t="n">
        <v>0</v>
      </c>
      <c r="O41" s="18" t="n">
        <v>0</v>
      </c>
      <c r="P41" s="20" t="n">
        <v>0</v>
      </c>
      <c r="Q41" s="18" t="n">
        <v>2.73579579</v>
      </c>
      <c r="R41" s="20" t="n">
        <v>0.77337804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(8925.0/B46*100)</f>
        <v/>
      </c>
      <c r="D46" s="19" t="n">
        <v>2143</v>
      </c>
      <c r="E46" s="18" t="n">
        <v>61.81609423</v>
      </c>
      <c r="F46" s="20" t="n">
        <v>1.43018594</v>
      </c>
      <c r="G46" s="18" t="n">
        <v>19.08153444</v>
      </c>
      <c r="H46" s="20" t="n">
        <v>1.32737173</v>
      </c>
      <c r="I46" s="18" t="s">
        <v>567</v>
      </c>
      <c r="J46" s="20" t="s">
        <v>567</v>
      </c>
      <c r="K46" s="18" t="n">
        <v>0.71931208</v>
      </c>
      <c r="L46" s="20" t="n">
        <v>0.22836874</v>
      </c>
      <c r="M46" s="18" t="n">
        <v>0.54742886</v>
      </c>
      <c r="N46" s="20" t="n">
        <v>0.25190352</v>
      </c>
      <c r="O46" s="18" t="n">
        <v>0</v>
      </c>
      <c r="P46" s="20" t="n">
        <v>0</v>
      </c>
      <c r="Q46" s="18" t="n">
        <v>17.83563039</v>
      </c>
      <c r="R46" s="20" t="n">
        <v>1.10526435</v>
      </c>
    </row>
    <row r="47" spans="1:18">
      <c r="A47" s="15" t="s">
        <v>607</v>
      </c>
      <c r="B47" s="17" t="n">
        <v>3105</v>
      </c>
      <c r="C47" s="18">
        <f>(2439.0/B47*100)</f>
        <v/>
      </c>
      <c r="D47" s="19" t="n">
        <v>666</v>
      </c>
      <c r="E47" s="18" t="n">
        <v>39.35930892</v>
      </c>
      <c r="F47" s="20" t="n">
        <v>1.90807411</v>
      </c>
      <c r="G47" s="18" t="n">
        <v>38.82554742</v>
      </c>
      <c r="H47" s="20" t="n">
        <v>2.39162997</v>
      </c>
      <c r="I47" s="18" t="s">
        <v>567</v>
      </c>
      <c r="J47" s="20" t="s">
        <v>567</v>
      </c>
      <c r="K47" s="18" t="n">
        <v>0.43336611</v>
      </c>
      <c r="L47" s="20" t="n">
        <v>0.26069285</v>
      </c>
      <c r="M47" s="18" t="n">
        <v>0.28391585</v>
      </c>
      <c r="N47" s="20" t="n">
        <v>0.20177625</v>
      </c>
      <c r="O47" s="18" t="n">
        <v>0</v>
      </c>
      <c r="P47" s="20" t="n">
        <v>0</v>
      </c>
      <c r="Q47" s="18" t="n">
        <v>21.0978617</v>
      </c>
      <c r="R47" s="20" t="n">
        <v>1.77423365</v>
      </c>
    </row>
    <row r="48" spans="1:18">
      <c r="A48" s="15" t="s">
        <v>608</v>
      </c>
      <c r="B48" s="17" t="n">
        <v>5159</v>
      </c>
      <c r="C48" s="18">
        <f>(4010.0/B48*100)</f>
        <v/>
      </c>
      <c r="D48" s="19" t="n">
        <v>1149</v>
      </c>
      <c r="E48" s="18" t="n">
        <v>42.57970037</v>
      </c>
      <c r="F48" s="20" t="n">
        <v>1.87913657</v>
      </c>
      <c r="G48" s="18" t="n">
        <v>49.16966883</v>
      </c>
      <c r="H48" s="20" t="n">
        <v>1.97511462</v>
      </c>
      <c r="I48" s="18" t="s">
        <v>567</v>
      </c>
      <c r="J48" s="20" t="s">
        <v>567</v>
      </c>
      <c r="K48" s="18" t="n">
        <v>0.27287786</v>
      </c>
      <c r="L48" s="20" t="n">
        <v>0.18102709</v>
      </c>
      <c r="M48" s="18" t="n">
        <v>0</v>
      </c>
      <c r="N48" s="20" t="n">
        <v>0</v>
      </c>
      <c r="O48" s="18" t="n">
        <v>0</v>
      </c>
      <c r="P48" s="20" t="n">
        <v>0</v>
      </c>
      <c r="Q48" s="18" t="n">
        <v>7.97775294</v>
      </c>
      <c r="R48" s="20" t="n">
        <v>1.11345408</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(4420.0/B50*100)</f>
        <v/>
      </c>
      <c r="D50" s="19" t="n">
        <v>1217</v>
      </c>
      <c r="E50" s="18" t="n">
        <v>71.28090486000001</v>
      </c>
      <c r="F50" s="20" t="n">
        <v>1.99090866</v>
      </c>
      <c r="G50" s="18" t="n">
        <v>24.56730361</v>
      </c>
      <c r="H50" s="20" t="n">
        <v>1.89717328</v>
      </c>
      <c r="I50" s="18" t="s">
        <v>567</v>
      </c>
      <c r="J50" s="20" t="s">
        <v>567</v>
      </c>
      <c r="K50" s="18" t="n">
        <v>0.93683346</v>
      </c>
      <c r="L50" s="20" t="n">
        <v>0.48017637</v>
      </c>
      <c r="M50" s="18" t="n">
        <v>0.01807662</v>
      </c>
      <c r="N50" s="20" t="n">
        <v>0.0181463</v>
      </c>
      <c r="O50" s="18" t="n">
        <v>0</v>
      </c>
      <c r="P50" s="20" t="n">
        <v>0</v>
      </c>
      <c r="Q50" s="18" t="n">
        <v>3.19688144</v>
      </c>
      <c r="R50" s="20" t="n">
        <v>0.57456173</v>
      </c>
    </row>
    <row r="51" spans="1:18">
      <c r="A51" s="15" t="s">
        <v>611</v>
      </c>
      <c r="B51" s="17" t="n">
        <v>3372</v>
      </c>
      <c r="C51" s="18">
        <f>(2735.0/B51*100)</f>
        <v/>
      </c>
      <c r="D51" s="19" t="n">
        <v>637</v>
      </c>
      <c r="E51" s="18" t="n">
        <v>65.97631079999999</v>
      </c>
      <c r="F51" s="20" t="n">
        <v>1.84566715</v>
      </c>
      <c r="G51" s="18" t="n">
        <v>26.75420744</v>
      </c>
      <c r="H51" s="20" t="n">
        <v>1.59791823</v>
      </c>
      <c r="I51" s="18" t="s">
        <v>567</v>
      </c>
      <c r="J51" s="20" t="s">
        <v>567</v>
      </c>
      <c r="K51" s="18" t="n">
        <v>0.56080279</v>
      </c>
      <c r="L51" s="20" t="n">
        <v>0.30528729</v>
      </c>
      <c r="M51" s="18" t="n">
        <v>0.15179095</v>
      </c>
      <c r="N51" s="20" t="n">
        <v>0.15295323</v>
      </c>
      <c r="O51" s="18" t="n">
        <v>0</v>
      </c>
      <c r="P51" s="20" t="n">
        <v>0</v>
      </c>
      <c r="Q51" s="18" t="n">
        <v>6.55688803</v>
      </c>
      <c r="R51" s="20" t="n">
        <v>1.07823513</v>
      </c>
    </row>
    <row r="52" spans="1:18">
      <c r="A52" s="15" t="s">
        <v>612</v>
      </c>
      <c r="B52" s="17" t="n">
        <v>2796</v>
      </c>
      <c r="C52" s="18">
        <f>(2175.0/B52*100)</f>
        <v/>
      </c>
      <c r="D52" s="19" t="n">
        <v>621</v>
      </c>
      <c r="E52" s="18" t="n">
        <v>36.72866466</v>
      </c>
      <c r="F52" s="20" t="n">
        <v>1.90208337</v>
      </c>
      <c r="G52" s="18" t="n">
        <v>51.82940339</v>
      </c>
      <c r="H52" s="20" t="n">
        <v>2.11530284</v>
      </c>
      <c r="I52" s="18" t="s">
        <v>567</v>
      </c>
      <c r="J52" s="20" t="s">
        <v>567</v>
      </c>
      <c r="K52" s="18" t="n">
        <v>0.16462784</v>
      </c>
      <c r="L52" s="20" t="n">
        <v>0.16135095</v>
      </c>
      <c r="M52" s="18" t="n">
        <v>0</v>
      </c>
      <c r="N52" s="20" t="n">
        <v>0</v>
      </c>
      <c r="O52" s="18" t="n">
        <v>0</v>
      </c>
      <c r="P52" s="20" t="n">
        <v>0</v>
      </c>
      <c r="Q52" s="18" t="n">
        <v>11.27730411</v>
      </c>
      <c r="R52" s="20" t="n">
        <v>1.18053545</v>
      </c>
    </row>
    <row r="53" spans="1:18">
      <c r="A53" s="15" t="s">
        <v>613</v>
      </c>
      <c r="B53" s="17" t="n">
        <v>2811</v>
      </c>
      <c r="C53" s="18">
        <f>(2180.0/B53*100)</f>
        <v/>
      </c>
      <c r="D53" s="19" t="n">
        <v>631</v>
      </c>
      <c r="E53" s="18" t="n">
        <v>49.75542816</v>
      </c>
      <c r="F53" s="20" t="n">
        <v>2.075301</v>
      </c>
      <c r="G53" s="18" t="n">
        <v>33.74442182</v>
      </c>
      <c r="H53" s="20" t="n">
        <v>2.0466535</v>
      </c>
      <c r="I53" s="18" t="s">
        <v>567</v>
      </c>
      <c r="J53" s="20" t="s">
        <v>567</v>
      </c>
      <c r="K53" s="18" t="n">
        <v>0.21191655</v>
      </c>
      <c r="L53" s="20" t="n">
        <v>0.21244721</v>
      </c>
      <c r="M53" s="18" t="n">
        <v>0</v>
      </c>
      <c r="N53" s="20" t="n">
        <v>0</v>
      </c>
      <c r="O53" s="18" t="n">
        <v>0</v>
      </c>
      <c r="P53" s="20" t="n">
        <v>0</v>
      </c>
      <c r="Q53" s="18" t="n">
        <v>16.28823347</v>
      </c>
      <c r="R53" s="20" t="n">
        <v>1.4083961</v>
      </c>
    </row>
    <row r="54" spans="1:18">
      <c r="A54" s="15" t="s">
        <v>614</v>
      </c>
      <c r="B54" s="17" t="n">
        <v>2266</v>
      </c>
      <c r="C54" s="18">
        <f>(1790.0/B54*100)</f>
        <v/>
      </c>
      <c r="D54" s="19" t="n">
        <v>476</v>
      </c>
      <c r="E54" s="18" t="n">
        <v>67.80705072000001</v>
      </c>
      <c r="F54" s="20" t="n">
        <v>2.55356332</v>
      </c>
      <c r="G54" s="18" t="n">
        <v>7.18337346</v>
      </c>
      <c r="H54" s="20" t="n">
        <v>1.15200249</v>
      </c>
      <c r="I54" s="18" t="s">
        <v>567</v>
      </c>
      <c r="J54" s="20" t="s">
        <v>567</v>
      </c>
      <c r="K54" s="18" t="n">
        <v>6.75911895</v>
      </c>
      <c r="L54" s="20" t="n">
        <v>1.41877859</v>
      </c>
      <c r="M54" s="18" t="n">
        <v>0.85706832</v>
      </c>
      <c r="N54" s="20" t="n">
        <v>0.62829682</v>
      </c>
      <c r="O54" s="18" t="n">
        <v>0</v>
      </c>
      <c r="P54" s="20" t="n">
        <v>0</v>
      </c>
      <c r="Q54" s="18" t="n">
        <v>17.39338855</v>
      </c>
      <c r="R54" s="20" t="n">
        <v>2.37444978</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(2088.0/B56*100)</f>
        <v/>
      </c>
      <c r="D56" s="19" t="n">
        <v>596</v>
      </c>
      <c r="E56" s="18" t="n">
        <v>47.99308645</v>
      </c>
      <c r="F56" s="20" t="n">
        <v>2.35295532</v>
      </c>
      <c r="G56" s="18" t="n">
        <v>46.91291205</v>
      </c>
      <c r="H56" s="20" t="n">
        <v>2.18853714</v>
      </c>
      <c r="I56" s="18" t="s">
        <v>567</v>
      </c>
      <c r="J56" s="20" t="s">
        <v>567</v>
      </c>
      <c r="K56" s="18" t="n">
        <v>0.444689</v>
      </c>
      <c r="L56" s="20" t="n">
        <v>0.35703117</v>
      </c>
      <c r="M56" s="18" t="n">
        <v>0</v>
      </c>
      <c r="N56" s="20" t="n">
        <v>0</v>
      </c>
      <c r="O56" s="18" t="n">
        <v>0</v>
      </c>
      <c r="P56" s="20" t="n">
        <v>0</v>
      </c>
      <c r="Q56" s="18" t="n">
        <v>4.6493125</v>
      </c>
      <c r="R56" s="20" t="n">
        <v>0.93913327</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(2598.0/B61*100)</f>
        <v/>
      </c>
      <c r="D61" s="19" t="n">
        <v>726</v>
      </c>
      <c r="E61" s="18" t="n">
        <v>39.82901362</v>
      </c>
      <c r="F61" s="20" t="n">
        <v>1.86963293</v>
      </c>
      <c r="G61" s="18" t="n">
        <v>53.1701906</v>
      </c>
      <c r="H61" s="20" t="n">
        <v>2.01120999</v>
      </c>
      <c r="I61" s="18" t="s">
        <v>567</v>
      </c>
      <c r="J61" s="20" t="s">
        <v>567</v>
      </c>
      <c r="K61" s="18" t="n">
        <v>0.044755</v>
      </c>
      <c r="L61" s="20" t="n">
        <v>0.04487091</v>
      </c>
      <c r="M61" s="18" t="n">
        <v>0</v>
      </c>
      <c r="N61" s="20" t="n">
        <v>0</v>
      </c>
      <c r="O61" s="18" t="n">
        <v>0</v>
      </c>
      <c r="P61" s="20" t="n">
        <v>0</v>
      </c>
      <c r="Q61" s="18" t="n">
        <v>6.95604078</v>
      </c>
      <c r="R61" s="20" t="n">
        <v>0.9939793</v>
      </c>
    </row>
    <row r="62" spans="1:18">
      <c r="A62" s="15" t="s">
        <v>622</v>
      </c>
      <c r="B62" s="17" t="n">
        <v>2246</v>
      </c>
      <c r="C62" s="18">
        <f>(1734.0/B62*100)</f>
        <v/>
      </c>
      <c r="D62" s="19" t="n">
        <v>512</v>
      </c>
      <c r="E62" s="18" t="n">
        <v>43.91572206</v>
      </c>
      <c r="F62" s="20" t="n">
        <v>2.07114338</v>
      </c>
      <c r="G62" s="18" t="n">
        <v>51.57893545</v>
      </c>
      <c r="H62" s="20" t="n">
        <v>2.06896983</v>
      </c>
      <c r="I62" s="18" t="s">
        <v>567</v>
      </c>
      <c r="J62" s="20" t="s">
        <v>567</v>
      </c>
      <c r="K62" s="18" t="n">
        <v>0</v>
      </c>
      <c r="L62" s="20" t="n">
        <v>0</v>
      </c>
      <c r="M62" s="18" t="n">
        <v>0</v>
      </c>
      <c r="N62" s="20" t="n">
        <v>0</v>
      </c>
      <c r="O62" s="18" t="n">
        <v>0</v>
      </c>
      <c r="P62" s="20" t="n">
        <v>0</v>
      </c>
      <c r="Q62" s="18" t="n">
        <v>4.50534249</v>
      </c>
      <c r="R62" s="20" t="n">
        <v>0.83314491</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(2309.0/B66*100)</f>
        <v/>
      </c>
      <c r="D66" s="19" t="n">
        <v>585</v>
      </c>
      <c r="E66" s="18" t="n">
        <v>38.7914774</v>
      </c>
      <c r="F66" s="20" t="n">
        <v>2.11544385</v>
      </c>
      <c r="G66" s="18" t="n">
        <v>31.57373248</v>
      </c>
      <c r="H66" s="20" t="n">
        <v>1.9722328</v>
      </c>
      <c r="I66" s="18" t="s">
        <v>567</v>
      </c>
      <c r="J66" s="20" t="s">
        <v>567</v>
      </c>
      <c r="K66" s="18" t="n">
        <v>0.39631019</v>
      </c>
      <c r="L66" s="20" t="n">
        <v>0.28158658</v>
      </c>
      <c r="M66" s="18" t="n">
        <v>0</v>
      </c>
      <c r="N66" s="20" t="n">
        <v>0</v>
      </c>
      <c r="O66" s="18" t="n">
        <v>0</v>
      </c>
      <c r="P66" s="20" t="n">
        <v>0</v>
      </c>
      <c r="Q66" s="18" t="n">
        <v>29.23847993</v>
      </c>
      <c r="R66" s="20" t="n">
        <v>2.01717304</v>
      </c>
    </row>
    <row r="67" spans="1:18">
      <c r="A67" s="15" t="s">
        <v>627</v>
      </c>
      <c r="B67" s="17" t="n">
        <v>3511</v>
      </c>
      <c r="C67" s="18">
        <f>(2772.0/B67*100)</f>
        <v/>
      </c>
      <c r="D67" s="19" t="n">
        <v>739</v>
      </c>
      <c r="E67" s="18" t="n">
        <v>83.24633215</v>
      </c>
      <c r="F67" s="20" t="n">
        <v>1.68224206</v>
      </c>
      <c r="G67" s="18" t="n">
        <v>9.622066719999999</v>
      </c>
      <c r="H67" s="20" t="n">
        <v>1.39731763</v>
      </c>
      <c r="I67" s="18" t="s">
        <v>567</v>
      </c>
      <c r="J67" s="20" t="s">
        <v>567</v>
      </c>
      <c r="K67" s="18" t="n">
        <v>0.36165344</v>
      </c>
      <c r="L67" s="20" t="n">
        <v>0.36150645</v>
      </c>
      <c r="M67" s="18" t="n">
        <v>0.2000833</v>
      </c>
      <c r="N67" s="20" t="n">
        <v>0.143888</v>
      </c>
      <c r="O67" s="18" t="n">
        <v>0</v>
      </c>
      <c r="P67" s="20" t="n">
        <v>0</v>
      </c>
      <c r="Q67" s="18" t="n">
        <v>6.56986438</v>
      </c>
      <c r="R67" s="20" t="n">
        <v>0.92351774</v>
      </c>
    </row>
    <row r="68" spans="1:18">
      <c r="A68" s="15" t="s">
        <v>628</v>
      </c>
      <c r="B68" s="17" t="n">
        <v>6049</v>
      </c>
      <c r="C68" s="18">
        <f>(4680.0/B68*100)</f>
        <v/>
      </c>
      <c r="D68" s="19" t="n">
        <v>1369</v>
      </c>
      <c r="E68" s="18" t="n">
        <v>58.93985891</v>
      </c>
      <c r="F68" s="20" t="n">
        <v>1.33629617</v>
      </c>
      <c r="G68" s="18" t="n">
        <v>24.04139903</v>
      </c>
      <c r="H68" s="20" t="n">
        <v>1.19174197</v>
      </c>
      <c r="I68" s="18" t="s">
        <v>567</v>
      </c>
      <c r="J68" s="20" t="s">
        <v>567</v>
      </c>
      <c r="K68" s="18" t="n">
        <v>2.04604213</v>
      </c>
      <c r="L68" s="20" t="n">
        <v>0.35358524</v>
      </c>
      <c r="M68" s="18" t="n">
        <v>0</v>
      </c>
      <c r="N68" s="20" t="n">
        <v>0</v>
      </c>
      <c r="O68" s="18" t="n">
        <v>0</v>
      </c>
      <c r="P68" s="20" t="n">
        <v>0</v>
      </c>
      <c r="Q68" s="18" t="n">
        <v>14.97269992</v>
      </c>
      <c r="R68" s="20" t="n">
        <v>1.00066426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(2300.0/B70*100)</f>
        <v/>
      </c>
      <c r="D70" s="19" t="n">
        <v>629</v>
      </c>
      <c r="E70" s="18" t="n">
        <v>39.58667904</v>
      </c>
      <c r="F70" s="20" t="n">
        <v>2.35765909</v>
      </c>
      <c r="G70" s="18" t="n">
        <v>52.99046174</v>
      </c>
      <c r="H70" s="20" t="n">
        <v>2.69930806</v>
      </c>
      <c r="I70" s="18" t="s">
        <v>567</v>
      </c>
      <c r="J70" s="20" t="s">
        <v>567</v>
      </c>
      <c r="K70" s="18" t="n">
        <v>0.14321997</v>
      </c>
      <c r="L70" s="20" t="n">
        <v>0.14167696</v>
      </c>
      <c r="M70" s="18" t="n">
        <v>0.17668475</v>
      </c>
      <c r="N70" s="20" t="n">
        <v>0.17551181</v>
      </c>
      <c r="O70" s="18" t="n">
        <v>0</v>
      </c>
      <c r="P70" s="20" t="n">
        <v>0</v>
      </c>
      <c r="Q70" s="18" t="n">
        <v>7.10295451</v>
      </c>
      <c r="R70" s="20" t="n">
        <v>1.07098118</v>
      </c>
    </row>
    <row r="71" spans="1:18">
      <c r="A71" s="15" t="s">
        <v>631</v>
      </c>
      <c r="B71" s="17" t="n">
        <v>3142</v>
      </c>
      <c r="C71" s="18">
        <f>(2462.0/B71*100)</f>
        <v/>
      </c>
      <c r="D71" s="19" t="n">
        <v>680</v>
      </c>
      <c r="E71" s="18" t="n">
        <v>23.58996571</v>
      </c>
      <c r="F71" s="20" t="n">
        <v>1.5013955</v>
      </c>
      <c r="G71" s="18" t="n">
        <v>74.01693204</v>
      </c>
      <c r="H71" s="20" t="n">
        <v>1.5841258</v>
      </c>
      <c r="I71" s="18" t="s">
        <v>567</v>
      </c>
      <c r="J71" s="20" t="s">
        <v>567</v>
      </c>
      <c r="K71" s="18" t="n">
        <v>0.29217583</v>
      </c>
      <c r="L71" s="20" t="n">
        <v>0.20746555</v>
      </c>
      <c r="M71" s="18" t="n">
        <v>0</v>
      </c>
      <c r="N71" s="20" t="n">
        <v>0</v>
      </c>
      <c r="O71" s="18" t="n">
        <v>0</v>
      </c>
      <c r="P71" s="20" t="n">
        <v>0</v>
      </c>
      <c r="Q71" s="18" t="n">
        <v>2.10092642</v>
      </c>
      <c r="R71" s="20" t="n">
        <v>0.45227788</v>
      </c>
    </row>
    <row r="72" spans="1:18">
      <c r="A72" s="15" t="s">
        <v>632</v>
      </c>
      <c r="B72" s="17" t="n">
        <v>3889</v>
      </c>
      <c r="C72" s="18">
        <f>(3053.0/B72*100)</f>
        <v/>
      </c>
      <c r="D72" s="19" t="n">
        <v>836</v>
      </c>
      <c r="E72" s="18" t="n">
        <v>15.43918333</v>
      </c>
      <c r="F72" s="20" t="n">
        <v>1.49541374</v>
      </c>
      <c r="G72" s="18" t="n">
        <v>78.98523093</v>
      </c>
      <c r="H72" s="20" t="n">
        <v>1.6511505</v>
      </c>
      <c r="I72" s="18" t="s">
        <v>567</v>
      </c>
      <c r="J72" s="20" t="s">
        <v>567</v>
      </c>
      <c r="K72" s="18" t="n">
        <v>0.2233331</v>
      </c>
      <c r="L72" s="20" t="n">
        <v>0.17085088</v>
      </c>
      <c r="M72" s="18" t="n">
        <v>0</v>
      </c>
      <c r="N72" s="20" t="n">
        <v>0</v>
      </c>
      <c r="O72" s="18" t="n">
        <v>0</v>
      </c>
      <c r="P72" s="20" t="n">
        <v>0</v>
      </c>
      <c r="Q72" s="18" t="n">
        <v>5.35225265</v>
      </c>
      <c r="R72" s="20" t="n">
        <v>0.8301734200000001</v>
      </c>
    </row>
    <row r="73" spans="1:18">
      <c r="A73" s="15" t="s">
        <v>633</v>
      </c>
      <c r="B73" s="17" t="n">
        <v>3597</v>
      </c>
      <c r="C73" s="18">
        <f>(2800.0/B73*100)</f>
        <v/>
      </c>
      <c r="D73" s="19" t="n">
        <v>797</v>
      </c>
      <c r="E73" s="18" t="n">
        <v>80.55330238000001</v>
      </c>
      <c r="F73" s="20" t="n">
        <v>1.97740684</v>
      </c>
      <c r="G73" s="18" t="n">
        <v>14.70029993</v>
      </c>
      <c r="H73" s="20" t="n">
        <v>1.84896178</v>
      </c>
      <c r="I73" s="18" t="s">
        <v>567</v>
      </c>
      <c r="J73" s="20" t="s">
        <v>567</v>
      </c>
      <c r="K73" s="18" t="n">
        <v>0.1751279</v>
      </c>
      <c r="L73" s="20" t="n">
        <v>0.12778696</v>
      </c>
      <c r="M73" s="18" t="n">
        <v>0</v>
      </c>
      <c r="N73" s="20" t="n">
        <v>0</v>
      </c>
      <c r="O73" s="18" t="n">
        <v>0</v>
      </c>
      <c r="P73" s="20" t="n">
        <v>0</v>
      </c>
      <c r="Q73" s="18" t="n">
        <v>4.5712698</v>
      </c>
      <c r="R73" s="20" t="n">
        <v>0.91299477</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(1916.0/B75*100)</f>
        <v/>
      </c>
      <c r="D75" s="19" t="n">
        <v>490</v>
      </c>
      <c r="E75" s="18" t="n">
        <v>53.05158996</v>
      </c>
      <c r="F75" s="20" t="n">
        <v>2.33174012</v>
      </c>
      <c r="G75" s="18" t="n">
        <v>23.04767174</v>
      </c>
      <c r="H75" s="20" t="n">
        <v>2.32692774</v>
      </c>
      <c r="I75" s="18" t="s">
        <v>567</v>
      </c>
      <c r="J75" s="20" t="s">
        <v>567</v>
      </c>
      <c r="K75" s="18" t="n">
        <v>0.7253698</v>
      </c>
      <c r="L75" s="20" t="n">
        <v>0.37966969</v>
      </c>
      <c r="M75" s="18" t="n">
        <v>0</v>
      </c>
      <c r="N75" s="20" t="n">
        <v>0</v>
      </c>
      <c r="O75" s="18" t="n">
        <v>0</v>
      </c>
      <c r="P75" s="20" t="n">
        <v>0</v>
      </c>
      <c r="Q75" s="18" t="n">
        <v>23.17536849</v>
      </c>
      <c r="R75" s="20" t="n">
        <v>2.07556806</v>
      </c>
    </row>
    <row r="76" spans="1:18">
      <c r="A76" s="15" t="s">
        <v>636</v>
      </c>
      <c r="B76" s="17" t="n">
        <v>7052</v>
      </c>
      <c r="C76" s="18">
        <f>(5488.0/B76*100)</f>
        <v/>
      </c>
      <c r="D76" s="19" t="n">
        <v>1564</v>
      </c>
      <c r="E76" s="18" t="n">
        <v>56.71172015</v>
      </c>
      <c r="F76" s="20" t="n">
        <v>1.76695569</v>
      </c>
      <c r="G76" s="18" t="n">
        <v>33.10165633</v>
      </c>
      <c r="H76" s="20" t="n">
        <v>1.80240468</v>
      </c>
      <c r="I76" s="18" t="s">
        <v>567</v>
      </c>
      <c r="J76" s="20" t="s">
        <v>567</v>
      </c>
      <c r="K76" s="18" t="n">
        <v>1.0802513</v>
      </c>
      <c r="L76" s="20" t="n">
        <v>0.32841918</v>
      </c>
      <c r="M76" s="18" t="n">
        <v>0.34434683</v>
      </c>
      <c r="N76" s="20" t="n">
        <v>0.2514198</v>
      </c>
      <c r="O76" s="18" t="n">
        <v>0</v>
      </c>
      <c r="P76" s="20" t="n">
        <v>0</v>
      </c>
      <c r="Q76" s="18" t="n">
        <v>8.76202539</v>
      </c>
      <c r="R76" s="20" t="n">
        <v>0.78211314</v>
      </c>
    </row>
    <row r="77" spans="1:18">
      <c r="A77" s="15" t="s">
        <v>637</v>
      </c>
      <c r="B77" s="17" t="n">
        <v>2908</v>
      </c>
      <c r="C77" s="18">
        <f>(2277.0/B77*100)</f>
        <v/>
      </c>
      <c r="D77" s="19" t="n">
        <v>631</v>
      </c>
      <c r="E77" s="18" t="n">
        <v>52.57107109</v>
      </c>
      <c r="F77" s="20" t="n">
        <v>2.09306792</v>
      </c>
      <c r="G77" s="18" t="n">
        <v>32.07858982</v>
      </c>
      <c r="H77" s="20" t="n">
        <v>1.95300185</v>
      </c>
      <c r="I77" s="18" t="s">
        <v>567</v>
      </c>
      <c r="J77" s="20" t="s">
        <v>567</v>
      </c>
      <c r="K77" s="18" t="n">
        <v>0.26485832</v>
      </c>
      <c r="L77" s="20" t="n">
        <v>0.19065065</v>
      </c>
      <c r="M77" s="18" t="n">
        <v>0.14359283</v>
      </c>
      <c r="N77" s="20" t="n">
        <v>0.15143546</v>
      </c>
      <c r="O77" s="18" t="n">
        <v>0</v>
      </c>
      <c r="P77" s="20" t="n">
        <v>0</v>
      </c>
      <c r="Q77" s="18" t="n">
        <v>14.94188794</v>
      </c>
      <c r="R77" s="20" t="n">
        <v>1.84121645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(3232.0/B81*100)</f>
        <v/>
      </c>
      <c r="D81" s="19" t="n">
        <v>931</v>
      </c>
      <c r="E81" s="18" t="n">
        <v>78.19358714000001</v>
      </c>
      <c r="F81" s="20" t="n">
        <v>1.6990957</v>
      </c>
      <c r="G81" s="18" t="n">
        <v>19.98422146</v>
      </c>
      <c r="H81" s="20" t="n">
        <v>1.64260166</v>
      </c>
      <c r="I81" s="18" t="s">
        <v>567</v>
      </c>
      <c r="J81" s="20" t="s">
        <v>567</v>
      </c>
      <c r="K81" s="18" t="n">
        <v>0</v>
      </c>
      <c r="L81" s="20" t="n">
        <v>0</v>
      </c>
      <c r="M81" s="18" t="n">
        <v>0</v>
      </c>
      <c r="N81" s="20" t="n">
        <v>0</v>
      </c>
      <c r="O81" s="18" t="n">
        <v>0</v>
      </c>
      <c r="P81" s="20" t="n">
        <v>0</v>
      </c>
      <c r="Q81" s="18" t="n">
        <v>1.8221914</v>
      </c>
      <c r="R81" s="20" t="n">
        <v>0.52187218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841</v>
      </c>
    </row>
    <row customHeight="1" ht="30" r="4" spans="1:20">
      <c r="A4" s="6" t="n"/>
      <c r="B4" s="7" t="s">
        <v>551</v>
      </c>
      <c r="C4" s="7" t="s">
        <v>552</v>
      </c>
      <c r="D4" s="8" t="s">
        <v>551</v>
      </c>
      <c r="E4" s="9" t="s">
        <v>662</v>
      </c>
      <c r="F4" s="10" t="n"/>
      <c r="G4" s="9" t="s">
        <v>754</v>
      </c>
      <c r="H4" s="10" t="n"/>
      <c r="I4" s="9" t="s">
        <v>663</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7367</v>
      </c>
      <c r="C7" s="18">
        <f>(5757.0/B7*100)</f>
        <v/>
      </c>
      <c r="D7" s="19" t="n">
        <v>1610</v>
      </c>
      <c r="E7" s="18" t="n">
        <v>69.25504398</v>
      </c>
      <c r="F7" s="20" t="n">
        <v>1.39409024</v>
      </c>
      <c r="G7" s="18" t="n">
        <v>23.81943972</v>
      </c>
      <c r="H7" s="20" t="n">
        <v>1.22068235</v>
      </c>
      <c r="I7" s="18" t="n">
        <v>5.29142744</v>
      </c>
      <c r="J7" s="20" t="n">
        <v>0.66877237</v>
      </c>
      <c r="K7" s="18" t="s">
        <v>567</v>
      </c>
      <c r="L7" s="20" t="s">
        <v>567</v>
      </c>
      <c r="M7" s="18" t="n">
        <v>0.43101929</v>
      </c>
      <c r="N7" s="20" t="n">
        <v>0.17561693</v>
      </c>
      <c r="O7" s="18" t="n">
        <v>0</v>
      </c>
      <c r="P7" s="20" t="n">
        <v>0</v>
      </c>
      <c r="Q7" s="18" t="n">
        <v>0</v>
      </c>
      <c r="R7" s="20" t="n">
        <v>0</v>
      </c>
      <c r="S7" s="18" t="n">
        <v>1.20306957</v>
      </c>
      <c r="T7" s="20" t="n">
        <v>0.3598101</v>
      </c>
    </row>
    <row r="8" spans="1:20">
      <c r="A8" s="15" t="s">
        <v>568</v>
      </c>
      <c r="B8" s="17" t="n">
        <v>3564</v>
      </c>
      <c r="C8" s="18">
        <f>(2787.0/B8*100)</f>
        <v/>
      </c>
      <c r="D8" s="19" t="n">
        <v>777</v>
      </c>
      <c r="E8" s="18" t="n">
        <v>73.18964542000001</v>
      </c>
      <c r="F8" s="20" t="n">
        <v>1.62779277</v>
      </c>
      <c r="G8" s="18" t="n">
        <v>21.94712921</v>
      </c>
      <c r="H8" s="20" t="n">
        <v>1.67586635</v>
      </c>
      <c r="I8" s="18" t="n">
        <v>3.59089146</v>
      </c>
      <c r="J8" s="20" t="n">
        <v>0.7672327799999999</v>
      </c>
      <c r="K8" s="18" t="s">
        <v>567</v>
      </c>
      <c r="L8" s="20" t="s">
        <v>567</v>
      </c>
      <c r="M8" s="18" t="n">
        <v>0.30295917</v>
      </c>
      <c r="N8" s="20" t="n">
        <v>0.21168657</v>
      </c>
      <c r="O8" s="18" t="n">
        <v>0</v>
      </c>
      <c r="P8" s="20" t="n">
        <v>0</v>
      </c>
      <c r="Q8" s="18" t="n">
        <v>0</v>
      </c>
      <c r="R8" s="20" t="n">
        <v>0</v>
      </c>
      <c r="S8" s="18" t="n">
        <v>0.96937473</v>
      </c>
      <c r="T8" s="20" t="n">
        <v>0.38830734</v>
      </c>
    </row>
    <row r="9" spans="1:20">
      <c r="A9" s="15" t="s">
        <v>569</v>
      </c>
      <c r="B9" s="17" t="n">
        <v>4899</v>
      </c>
      <c r="C9" s="18">
        <f>(3840.0/B9*100)</f>
        <v/>
      </c>
      <c r="D9" s="19" t="n">
        <v>1059</v>
      </c>
      <c r="E9" s="18" t="n">
        <v>74.89909682</v>
      </c>
      <c r="F9" s="20" t="n">
        <v>1.18991672</v>
      </c>
      <c r="G9" s="18" t="n">
        <v>21.83858989</v>
      </c>
      <c r="H9" s="20" t="n">
        <v>1.22923731</v>
      </c>
      <c r="I9" s="18" t="n">
        <v>2.14471549</v>
      </c>
      <c r="J9" s="20" t="n">
        <v>0.45670384</v>
      </c>
      <c r="K9" s="18" t="s">
        <v>567</v>
      </c>
      <c r="L9" s="20" t="s">
        <v>567</v>
      </c>
      <c r="M9" s="18" t="n">
        <v>0.19527852</v>
      </c>
      <c r="N9" s="20" t="n">
        <v>0.10878517</v>
      </c>
      <c r="O9" s="18" t="n">
        <v>0</v>
      </c>
      <c r="P9" s="20" t="n">
        <v>0</v>
      </c>
      <c r="Q9" s="18" t="n">
        <v>0</v>
      </c>
      <c r="R9" s="20" t="n">
        <v>0</v>
      </c>
      <c r="S9" s="18" t="n">
        <v>0.92231929</v>
      </c>
      <c r="T9" s="20" t="n">
        <v>0.34338165</v>
      </c>
    </row>
    <row r="10" spans="1:20">
      <c r="A10" s="15" t="s">
        <v>570</v>
      </c>
      <c r="B10" s="17" t="n">
        <v>10036</v>
      </c>
      <c r="C10" s="18">
        <f>(7787.0/B10*100)</f>
        <v/>
      </c>
      <c r="D10" s="19" t="n">
        <v>2249</v>
      </c>
      <c r="E10" s="18" t="n">
        <v>70.74362336</v>
      </c>
      <c r="F10" s="20" t="n">
        <v>1.42069474</v>
      </c>
      <c r="G10" s="18" t="n">
        <v>21.03957533</v>
      </c>
      <c r="H10" s="20" t="n">
        <v>1.15477482</v>
      </c>
      <c r="I10" s="18" t="n">
        <v>6.53799117</v>
      </c>
      <c r="J10" s="20" t="n">
        <v>0.7367730300000001</v>
      </c>
      <c r="K10" s="18" t="s">
        <v>567</v>
      </c>
      <c r="L10" s="20" t="s">
        <v>567</v>
      </c>
      <c r="M10" s="18" t="n">
        <v>0.42417129</v>
      </c>
      <c r="N10" s="20" t="n">
        <v>0.21248824</v>
      </c>
      <c r="O10" s="18" t="n">
        <v>0</v>
      </c>
      <c r="P10" s="20" t="n">
        <v>0</v>
      </c>
      <c r="Q10" s="18" t="n">
        <v>0</v>
      </c>
      <c r="R10" s="20" t="n">
        <v>0</v>
      </c>
      <c r="S10" s="18" t="n">
        <v>1.25463885</v>
      </c>
      <c r="T10" s="20" t="n">
        <v>0.35282461</v>
      </c>
    </row>
    <row r="11" spans="1:20">
      <c r="A11" s="15" t="s">
        <v>571</v>
      </c>
      <c r="B11" s="17" t="n">
        <v>3553</v>
      </c>
      <c r="C11" s="18">
        <f>(2755.0/B11*100)</f>
        <v/>
      </c>
      <c r="D11" s="19" t="n">
        <v>798</v>
      </c>
      <c r="E11" s="18" t="n">
        <v>79.41717251999999</v>
      </c>
      <c r="F11" s="20" t="n">
        <v>1.81057196</v>
      </c>
      <c r="G11" s="18" t="n">
        <v>16.22497728</v>
      </c>
      <c r="H11" s="20" t="n">
        <v>1.65210375</v>
      </c>
      <c r="I11" s="18" t="n">
        <v>1.99421964</v>
      </c>
      <c r="J11" s="20" t="n">
        <v>0.4794355</v>
      </c>
      <c r="K11" s="18" t="s">
        <v>567</v>
      </c>
      <c r="L11" s="20" t="s">
        <v>567</v>
      </c>
      <c r="M11" s="18" t="n">
        <v>0</v>
      </c>
      <c r="N11" s="20" t="n">
        <v>0</v>
      </c>
      <c r="O11" s="18" t="n">
        <v>0</v>
      </c>
      <c r="P11" s="20" t="n">
        <v>0</v>
      </c>
      <c r="Q11" s="18" t="n">
        <v>0</v>
      </c>
      <c r="R11" s="20" t="n">
        <v>0</v>
      </c>
      <c r="S11" s="18" t="n">
        <v>2.36363056</v>
      </c>
      <c r="T11" s="20" t="n">
        <v>0.45205289</v>
      </c>
    </row>
    <row r="12" spans="1:20">
      <c r="A12" s="15" t="s">
        <v>572</v>
      </c>
      <c r="B12" s="17" t="n">
        <v>3472</v>
      </c>
      <c r="C12" s="18">
        <f>(2707.0/B12*100)</f>
        <v/>
      </c>
      <c r="D12" s="19" t="n">
        <v>765</v>
      </c>
      <c r="E12" s="18" t="n">
        <v>77.9985781</v>
      </c>
      <c r="F12" s="20" t="n">
        <v>1.50873571</v>
      </c>
      <c r="G12" s="18" t="n">
        <v>18.20336066</v>
      </c>
      <c r="H12" s="20" t="n">
        <v>1.46006878</v>
      </c>
      <c r="I12" s="18" t="n">
        <v>2.63973908</v>
      </c>
      <c r="J12" s="20" t="n">
        <v>0.6017173</v>
      </c>
      <c r="K12" s="18" t="s">
        <v>567</v>
      </c>
      <c r="L12" s="20" t="s">
        <v>567</v>
      </c>
      <c r="M12" s="18" t="n">
        <v>0</v>
      </c>
      <c r="N12" s="20" t="n">
        <v>0</v>
      </c>
      <c r="O12" s="18" t="n">
        <v>0</v>
      </c>
      <c r="P12" s="20" t="n">
        <v>0</v>
      </c>
      <c r="Q12" s="18" t="n">
        <v>0</v>
      </c>
      <c r="R12" s="20" t="n">
        <v>0</v>
      </c>
      <c r="S12" s="18" t="n">
        <v>1.15832215</v>
      </c>
      <c r="T12" s="20" t="n">
        <v>0.42372014</v>
      </c>
    </row>
    <row r="13" spans="1:20">
      <c r="A13" s="15" t="s">
        <v>573</v>
      </c>
      <c r="B13" s="17" t="n">
        <v>3559</v>
      </c>
      <c r="C13" s="18">
        <f>(2797.0/B13*100)</f>
        <v/>
      </c>
      <c r="D13" s="19" t="n">
        <v>762</v>
      </c>
      <c r="E13" s="18" t="n">
        <v>72.16548098</v>
      </c>
      <c r="F13" s="20" t="n">
        <v>1.7458693</v>
      </c>
      <c r="G13" s="18" t="n">
        <v>22.48983402</v>
      </c>
      <c r="H13" s="20" t="n">
        <v>1.50369925</v>
      </c>
      <c r="I13" s="18" t="n">
        <v>3.64618671</v>
      </c>
      <c r="J13" s="20" t="n">
        <v>0.79964145</v>
      </c>
      <c r="K13" s="18" t="s">
        <v>567</v>
      </c>
      <c r="L13" s="20" t="s">
        <v>567</v>
      </c>
      <c r="M13" s="18" t="n">
        <v>0.51204857</v>
      </c>
      <c r="N13" s="20" t="n">
        <v>0.30381433</v>
      </c>
      <c r="O13" s="18" t="n">
        <v>0</v>
      </c>
      <c r="P13" s="20" t="n">
        <v>0</v>
      </c>
      <c r="Q13" s="18" t="n">
        <v>0</v>
      </c>
      <c r="R13" s="20" t="n">
        <v>0</v>
      </c>
      <c r="S13" s="18" t="n">
        <v>1.18644972</v>
      </c>
      <c r="T13" s="20" t="n">
        <v>0.49067514</v>
      </c>
    </row>
    <row r="14" spans="1:20">
      <c r="A14" s="15" t="s">
        <v>574</v>
      </c>
      <c r="B14" s="17" t="n">
        <v>2799</v>
      </c>
      <c r="C14" s="18">
        <f>(2170.0/B14*100)</f>
        <v/>
      </c>
      <c r="D14" s="19" t="n">
        <v>629</v>
      </c>
      <c r="E14" s="18" t="n">
        <v>72.21343251</v>
      </c>
      <c r="F14" s="20" t="n">
        <v>1.76382084</v>
      </c>
      <c r="G14" s="18" t="n">
        <v>24.7585723</v>
      </c>
      <c r="H14" s="20" t="n">
        <v>1.69132385</v>
      </c>
      <c r="I14" s="18" t="n">
        <v>2.40188935</v>
      </c>
      <c r="J14" s="20" t="n">
        <v>0.57204725</v>
      </c>
      <c r="K14" s="18" t="s">
        <v>567</v>
      </c>
      <c r="L14" s="20" t="s">
        <v>567</v>
      </c>
      <c r="M14" s="18" t="n">
        <v>0.1441363</v>
      </c>
      <c r="N14" s="20" t="n">
        <v>0.14367076</v>
      </c>
      <c r="O14" s="18" t="n">
        <v>0</v>
      </c>
      <c r="P14" s="20" t="n">
        <v>0</v>
      </c>
      <c r="Q14" s="18" t="n">
        <v>0</v>
      </c>
      <c r="R14" s="20" t="n">
        <v>0</v>
      </c>
      <c r="S14" s="18" t="n">
        <v>0.48196955</v>
      </c>
      <c r="T14" s="20" t="n">
        <v>0.17794035</v>
      </c>
    </row>
    <row r="15" spans="1:20">
      <c r="A15" s="15" t="s">
        <v>575</v>
      </c>
      <c r="B15" s="17" t="n">
        <v>3019</v>
      </c>
      <c r="C15" s="18">
        <f>(2296.0/B15*100)</f>
        <v/>
      </c>
      <c r="D15" s="19" t="n">
        <v>723</v>
      </c>
      <c r="E15" s="18" t="n">
        <v>59.34800054</v>
      </c>
      <c r="F15" s="20" t="n">
        <v>1.78645807</v>
      </c>
      <c r="G15" s="18" t="n">
        <v>34.02113111</v>
      </c>
      <c r="H15" s="20" t="n">
        <v>1.92161292</v>
      </c>
      <c r="I15" s="18" t="n">
        <v>5.32229699</v>
      </c>
      <c r="J15" s="20" t="n">
        <v>0.96321185</v>
      </c>
      <c r="K15" s="18" t="s">
        <v>567</v>
      </c>
      <c r="L15" s="20" t="s">
        <v>567</v>
      </c>
      <c r="M15" s="18" t="n">
        <v>0.15508766</v>
      </c>
      <c r="N15" s="20" t="n">
        <v>0.17011839</v>
      </c>
      <c r="O15" s="18" t="n">
        <v>0</v>
      </c>
      <c r="P15" s="20" t="n">
        <v>0</v>
      </c>
      <c r="Q15" s="18" t="n">
        <v>0</v>
      </c>
      <c r="R15" s="20" t="n">
        <v>0</v>
      </c>
      <c r="S15" s="18" t="n">
        <v>1.1534837</v>
      </c>
      <c r="T15" s="20" t="n">
        <v>0.44412643</v>
      </c>
    </row>
    <row r="16" spans="1:20">
      <c r="A16" s="15" t="s">
        <v>576</v>
      </c>
      <c r="B16" s="17" t="n">
        <v>2997</v>
      </c>
      <c r="C16" s="18">
        <f>(2322.0/B16*100)</f>
        <v/>
      </c>
      <c r="D16" s="19" t="n">
        <v>675</v>
      </c>
      <c r="E16" s="18" t="n">
        <v>72.66012557000001</v>
      </c>
      <c r="F16" s="20" t="n">
        <v>1.75982706</v>
      </c>
      <c r="G16" s="18" t="n">
        <v>19.30773342</v>
      </c>
      <c r="H16" s="20" t="n">
        <v>1.50493816</v>
      </c>
      <c r="I16" s="18" t="n">
        <v>3.95059</v>
      </c>
      <c r="J16" s="20" t="n">
        <v>0.73720614</v>
      </c>
      <c r="K16" s="18" t="s">
        <v>567</v>
      </c>
      <c r="L16" s="20" t="s">
        <v>567</v>
      </c>
      <c r="M16" s="18" t="n">
        <v>0.64308131</v>
      </c>
      <c r="N16" s="20" t="n">
        <v>0.28193751</v>
      </c>
      <c r="O16" s="18" t="n">
        <v>0</v>
      </c>
      <c r="P16" s="20" t="n">
        <v>0</v>
      </c>
      <c r="Q16" s="18" t="n">
        <v>0</v>
      </c>
      <c r="R16" s="20" t="n">
        <v>0</v>
      </c>
      <c r="S16" s="18" t="n">
        <v>3.4384697</v>
      </c>
      <c r="T16" s="20" t="n">
        <v>0.72459752</v>
      </c>
    </row>
    <row r="17" spans="1:20">
      <c r="A17" s="15" t="s">
        <v>577</v>
      </c>
      <c r="B17" s="17" t="n">
        <v>3307</v>
      </c>
      <c r="C17" s="18">
        <f>(2578.0/B17*100)</f>
        <v/>
      </c>
      <c r="D17" s="19" t="n">
        <v>729</v>
      </c>
      <c r="E17" s="18" t="n">
        <v>75.23099489000001</v>
      </c>
      <c r="F17" s="20" t="n">
        <v>1.80405685</v>
      </c>
      <c r="G17" s="18" t="n">
        <v>19.01356248</v>
      </c>
      <c r="H17" s="20" t="n">
        <v>1.73532804</v>
      </c>
      <c r="I17" s="18" t="n">
        <v>4.39884362</v>
      </c>
      <c r="J17" s="20" t="n">
        <v>0.79041837</v>
      </c>
      <c r="K17" s="18" t="s">
        <v>567</v>
      </c>
      <c r="L17" s="20" t="s">
        <v>567</v>
      </c>
      <c r="M17" s="18" t="n">
        <v>0</v>
      </c>
      <c r="N17" s="20" t="n">
        <v>0</v>
      </c>
      <c r="O17" s="18" t="n">
        <v>0</v>
      </c>
      <c r="P17" s="20" t="n">
        <v>0</v>
      </c>
      <c r="Q17" s="18" t="n">
        <v>0</v>
      </c>
      <c r="R17" s="20" t="n">
        <v>0</v>
      </c>
      <c r="S17" s="18" t="n">
        <v>1.35659902</v>
      </c>
      <c r="T17" s="20" t="n">
        <v>0.43620093</v>
      </c>
    </row>
    <row r="18" spans="1:20">
      <c r="A18" s="15" t="s">
        <v>578</v>
      </c>
      <c r="B18" s="17" t="n">
        <v>2826</v>
      </c>
      <c r="C18" s="18">
        <f>(2210.0/B18*100)</f>
        <v/>
      </c>
      <c r="D18" s="19" t="n">
        <v>616</v>
      </c>
      <c r="E18" s="18" t="n">
        <v>78.76116523</v>
      </c>
      <c r="F18" s="20" t="n">
        <v>2.25471475</v>
      </c>
      <c r="G18" s="18" t="n">
        <v>16.73062264</v>
      </c>
      <c r="H18" s="20" t="n">
        <v>2.03285472</v>
      </c>
      <c r="I18" s="18" t="n">
        <v>2.72849894</v>
      </c>
      <c r="J18" s="20" t="n">
        <v>0.74886555</v>
      </c>
      <c r="K18" s="18" t="s">
        <v>567</v>
      </c>
      <c r="L18" s="20" t="s">
        <v>567</v>
      </c>
      <c r="M18" s="18" t="n">
        <v>0.13382698</v>
      </c>
      <c r="N18" s="20" t="n">
        <v>0.13344493</v>
      </c>
      <c r="O18" s="18" t="n">
        <v>0</v>
      </c>
      <c r="P18" s="20" t="n">
        <v>0</v>
      </c>
      <c r="Q18" s="18" t="n">
        <v>0</v>
      </c>
      <c r="R18" s="20" t="n">
        <v>0</v>
      </c>
      <c r="S18" s="18" t="n">
        <v>1.64588621</v>
      </c>
      <c r="T18" s="20" t="n">
        <v>0.59634681</v>
      </c>
    </row>
    <row r="19" spans="1:20">
      <c r="A19" s="15" t="s">
        <v>579</v>
      </c>
      <c r="B19" s="17" t="n">
        <v>2808</v>
      </c>
      <c r="C19" s="18">
        <f>(2185.0/B19*100)</f>
        <v/>
      </c>
      <c r="D19" s="19" t="n">
        <v>623</v>
      </c>
      <c r="E19" s="18" t="n">
        <v>65.75682301000001</v>
      </c>
      <c r="F19" s="20" t="n">
        <v>1.84844786</v>
      </c>
      <c r="G19" s="18" t="n">
        <v>30.94514621</v>
      </c>
      <c r="H19" s="20" t="n">
        <v>1.88887795</v>
      </c>
      <c r="I19" s="18" t="n">
        <v>2.74338781</v>
      </c>
      <c r="J19" s="20" t="n">
        <v>0.64074704</v>
      </c>
      <c r="K19" s="18" t="s">
        <v>567</v>
      </c>
      <c r="L19" s="20" t="s">
        <v>567</v>
      </c>
      <c r="M19" s="18" t="n">
        <v>0</v>
      </c>
      <c r="N19" s="20" t="n">
        <v>0</v>
      </c>
      <c r="O19" s="18" t="n">
        <v>0</v>
      </c>
      <c r="P19" s="20" t="n">
        <v>0</v>
      </c>
      <c r="Q19" s="18" t="n">
        <v>0</v>
      </c>
      <c r="R19" s="20" t="n">
        <v>0</v>
      </c>
      <c r="S19" s="18" t="n">
        <v>0.55464296</v>
      </c>
      <c r="T19" s="20" t="n">
        <v>0.374811</v>
      </c>
    </row>
    <row r="20" spans="1:20">
      <c r="A20" s="15" t="s">
        <v>580</v>
      </c>
      <c r="B20" s="17" t="n">
        <v>1630</v>
      </c>
      <c r="C20" s="18">
        <f>(1266.0/B20*100)</f>
        <v/>
      </c>
      <c r="D20" s="19" t="n">
        <v>364</v>
      </c>
      <c r="E20" s="18" t="n">
        <v>78.23389129</v>
      </c>
      <c r="F20" s="20" t="n">
        <v>2.28210917</v>
      </c>
      <c r="G20" s="18" t="n">
        <v>16.74228111</v>
      </c>
      <c r="H20" s="20" t="n">
        <v>2.15068442</v>
      </c>
      <c r="I20" s="18" t="n">
        <v>1.9575237</v>
      </c>
      <c r="J20" s="20" t="n">
        <v>0.74025617</v>
      </c>
      <c r="K20" s="18" t="s">
        <v>567</v>
      </c>
      <c r="L20" s="20" t="s">
        <v>567</v>
      </c>
      <c r="M20" s="18" t="n">
        <v>0.5361400200000001</v>
      </c>
      <c r="N20" s="20" t="n">
        <v>0.38498096</v>
      </c>
      <c r="O20" s="18" t="n">
        <v>0</v>
      </c>
      <c r="P20" s="20" t="n">
        <v>0</v>
      </c>
      <c r="Q20" s="18" t="n">
        <v>0</v>
      </c>
      <c r="R20" s="20" t="n">
        <v>0</v>
      </c>
      <c r="S20" s="18" t="n">
        <v>2.53016388</v>
      </c>
      <c r="T20" s="20" t="n">
        <v>0.82125864</v>
      </c>
    </row>
    <row r="21" spans="1:20">
      <c r="A21" s="15" t="s">
        <v>581</v>
      </c>
      <c r="B21" s="17" t="n">
        <v>2908</v>
      </c>
      <c r="C21" s="18">
        <f>(2257.0/B21*100)</f>
        <v/>
      </c>
      <c r="D21" s="19" t="n">
        <v>651</v>
      </c>
      <c r="E21" s="18" t="n">
        <v>75.94579098</v>
      </c>
      <c r="F21" s="20" t="n">
        <v>1.81219666</v>
      </c>
      <c r="G21" s="18" t="n">
        <v>18.62704504</v>
      </c>
      <c r="H21" s="20" t="n">
        <v>1.43881402</v>
      </c>
      <c r="I21" s="18" t="n">
        <v>3.99364149</v>
      </c>
      <c r="J21" s="20" t="n">
        <v>0.8839582499999999</v>
      </c>
      <c r="K21" s="18" t="s">
        <v>567</v>
      </c>
      <c r="L21" s="20" t="s">
        <v>567</v>
      </c>
      <c r="M21" s="18" t="n">
        <v>0.2089426</v>
      </c>
      <c r="N21" s="20" t="n">
        <v>0.17455358</v>
      </c>
      <c r="O21" s="18" t="n">
        <v>0</v>
      </c>
      <c r="P21" s="20" t="n">
        <v>0</v>
      </c>
      <c r="Q21" s="18" t="n">
        <v>0</v>
      </c>
      <c r="R21" s="20" t="n">
        <v>0</v>
      </c>
      <c r="S21" s="18" t="n">
        <v>1.22457989</v>
      </c>
      <c r="T21" s="20" t="n">
        <v>0.42800523</v>
      </c>
    </row>
    <row r="22" spans="1:20">
      <c r="A22" s="15" t="s">
        <v>582</v>
      </c>
      <c r="B22" s="17" t="n">
        <v>2931</v>
      </c>
      <c r="C22" s="18">
        <f>(2338.0/B22*100)</f>
        <v/>
      </c>
      <c r="D22" s="19" t="n">
        <v>593</v>
      </c>
      <c r="E22" s="18" t="n">
        <v>70.61203389000001</v>
      </c>
      <c r="F22" s="20" t="n">
        <v>2.4596699</v>
      </c>
      <c r="G22" s="18" t="n">
        <v>24.10579034</v>
      </c>
      <c r="H22" s="20" t="n">
        <v>1.98328938</v>
      </c>
      <c r="I22" s="18" t="n">
        <v>3.32845345</v>
      </c>
      <c r="J22" s="20" t="n">
        <v>1.03709638</v>
      </c>
      <c r="K22" s="18" t="s">
        <v>567</v>
      </c>
      <c r="L22" s="20" t="s">
        <v>567</v>
      </c>
      <c r="M22" s="18" t="n">
        <v>0.32504024</v>
      </c>
      <c r="N22" s="20" t="n">
        <v>0.27071416</v>
      </c>
      <c r="O22" s="18" t="n">
        <v>0</v>
      </c>
      <c r="P22" s="20" t="n">
        <v>0</v>
      </c>
      <c r="Q22" s="18" t="n">
        <v>0</v>
      </c>
      <c r="R22" s="20" t="n">
        <v>0</v>
      </c>
      <c r="S22" s="18" t="n">
        <v>1.62868207</v>
      </c>
      <c r="T22" s="20" t="n">
        <v>0.46093797</v>
      </c>
    </row>
    <row r="23" spans="1:20">
      <c r="A23" s="15" t="s">
        <v>583</v>
      </c>
      <c r="B23" s="17" t="n">
        <v>5791</v>
      </c>
      <c r="C23" s="18">
        <f>(4525.0/B23*100)</f>
        <v/>
      </c>
      <c r="D23" s="19" t="n">
        <v>1266</v>
      </c>
      <c r="E23" s="18" t="n">
        <v>79.31030899</v>
      </c>
      <c r="F23" s="20" t="n">
        <v>1.5634908</v>
      </c>
      <c r="G23" s="18" t="n">
        <v>17.64777877</v>
      </c>
      <c r="H23" s="20" t="n">
        <v>1.42528182</v>
      </c>
      <c r="I23" s="18" t="n">
        <v>0.84619673</v>
      </c>
      <c r="J23" s="20" t="n">
        <v>0.34840555</v>
      </c>
      <c r="K23" s="18" t="s">
        <v>567</v>
      </c>
      <c r="L23" s="20" t="s">
        <v>567</v>
      </c>
      <c r="M23" s="18" t="n">
        <v>0.46515552</v>
      </c>
      <c r="N23" s="20" t="n">
        <v>0.28813617</v>
      </c>
      <c r="O23" s="18" t="n">
        <v>0</v>
      </c>
      <c r="P23" s="20" t="n">
        <v>0</v>
      </c>
      <c r="Q23" s="18" t="n">
        <v>0</v>
      </c>
      <c r="R23" s="20" t="n">
        <v>0</v>
      </c>
      <c r="S23" s="18" t="n">
        <v>1.73056</v>
      </c>
      <c r="T23" s="20" t="n">
        <v>0.57072113</v>
      </c>
    </row>
    <row r="24" spans="1:20">
      <c r="A24" s="15" t="s">
        <v>584</v>
      </c>
      <c r="B24" s="17" t="n">
        <v>3338</v>
      </c>
      <c r="C24" s="18">
        <f>(2602.0/B24*100)</f>
        <v/>
      </c>
      <c r="D24" s="19" t="n">
        <v>736</v>
      </c>
      <c r="E24" s="18" t="n">
        <v>64.23385278000001</v>
      </c>
      <c r="F24" s="20" t="n">
        <v>1.80866862</v>
      </c>
      <c r="G24" s="18" t="n">
        <v>31.29027647</v>
      </c>
      <c r="H24" s="20" t="n">
        <v>1.86602361</v>
      </c>
      <c r="I24" s="18" t="n">
        <v>3.42840004</v>
      </c>
      <c r="J24" s="20" t="n">
        <v>0.71656133</v>
      </c>
      <c r="K24" s="18" t="s">
        <v>567</v>
      </c>
      <c r="L24" s="20" t="s">
        <v>567</v>
      </c>
      <c r="M24" s="18" t="n">
        <v>0.22382227</v>
      </c>
      <c r="N24" s="20" t="n">
        <v>0.16125871</v>
      </c>
      <c r="O24" s="18" t="n">
        <v>0</v>
      </c>
      <c r="P24" s="20" t="n">
        <v>0</v>
      </c>
      <c r="Q24" s="18" t="n">
        <v>0</v>
      </c>
      <c r="R24" s="20" t="n">
        <v>0</v>
      </c>
      <c r="S24" s="18" t="n">
        <v>0.82364844</v>
      </c>
      <c r="T24" s="20" t="n">
        <v>0.32949277</v>
      </c>
    </row>
    <row r="25" spans="1:20">
      <c r="A25" s="15" t="s">
        <v>585</v>
      </c>
      <c r="B25" s="17" t="n">
        <v>2912</v>
      </c>
      <c r="C25" s="18">
        <f>(2275.0/B25*100)</f>
        <v/>
      </c>
      <c r="D25" s="19" t="n">
        <v>637</v>
      </c>
      <c r="E25" s="18" t="n">
        <v>78.41241178</v>
      </c>
      <c r="F25" s="20" t="n">
        <v>1.50044674</v>
      </c>
      <c r="G25" s="18" t="n">
        <v>17.55050356</v>
      </c>
      <c r="H25" s="20" t="n">
        <v>1.56665258</v>
      </c>
      <c r="I25" s="18" t="n">
        <v>3.44439535</v>
      </c>
      <c r="J25" s="20" t="n">
        <v>0.85364642</v>
      </c>
      <c r="K25" s="18" t="s">
        <v>567</v>
      </c>
      <c r="L25" s="20" t="s">
        <v>567</v>
      </c>
      <c r="M25" s="18" t="n">
        <v>0</v>
      </c>
      <c r="N25" s="20" t="n">
        <v>0</v>
      </c>
      <c r="O25" s="18" t="n">
        <v>0</v>
      </c>
      <c r="P25" s="20" t="n">
        <v>0</v>
      </c>
      <c r="Q25" s="18" t="n">
        <v>0</v>
      </c>
      <c r="R25" s="20" t="n">
        <v>0</v>
      </c>
      <c r="S25" s="18" t="n">
        <v>0.59268931</v>
      </c>
      <c r="T25" s="20" t="n">
        <v>0.2973378</v>
      </c>
    </row>
    <row r="26" spans="1:20">
      <c r="A26" s="15" t="s">
        <v>586</v>
      </c>
      <c r="B26" s="17" t="n">
        <v>2450</v>
      </c>
      <c r="C26" s="18">
        <f>(1908.0/B26*100)</f>
        <v/>
      </c>
      <c r="D26" s="19" t="n">
        <v>542</v>
      </c>
      <c r="E26" s="18" t="n">
        <v>79.52145114</v>
      </c>
      <c r="F26" s="20" t="n">
        <v>2.07810853</v>
      </c>
      <c r="G26" s="18" t="n">
        <v>18.31555731</v>
      </c>
      <c r="H26" s="20" t="n">
        <v>1.91107327</v>
      </c>
      <c r="I26" s="18" t="n">
        <v>1.96221197</v>
      </c>
      <c r="J26" s="20" t="n">
        <v>0.6635274799999999</v>
      </c>
      <c r="K26" s="18" t="s">
        <v>567</v>
      </c>
      <c r="L26" s="20" t="s">
        <v>567</v>
      </c>
      <c r="M26" s="18" t="n">
        <v>0</v>
      </c>
      <c r="N26" s="20" t="n">
        <v>0</v>
      </c>
      <c r="O26" s="18" t="n">
        <v>0</v>
      </c>
      <c r="P26" s="20" t="n">
        <v>0</v>
      </c>
      <c r="Q26" s="18" t="n">
        <v>0</v>
      </c>
      <c r="R26" s="20" t="n">
        <v>0</v>
      </c>
      <c r="S26" s="18" t="n">
        <v>0.20077957</v>
      </c>
      <c r="T26" s="20" t="n">
        <v>0.19910308</v>
      </c>
    </row>
    <row r="27" spans="1:20">
      <c r="A27" s="15" t="s">
        <v>587</v>
      </c>
      <c r="B27" s="17" t="n">
        <v>2616</v>
      </c>
      <c r="C27" s="18">
        <f>(2035.0/B27*100)</f>
        <v/>
      </c>
      <c r="D27" s="19" t="n">
        <v>581</v>
      </c>
      <c r="E27" s="18" t="n">
        <v>75.83511322</v>
      </c>
      <c r="F27" s="20" t="n">
        <v>1.63832389</v>
      </c>
      <c r="G27" s="18" t="n">
        <v>19.35910682</v>
      </c>
      <c r="H27" s="20" t="n">
        <v>1.46920655</v>
      </c>
      <c r="I27" s="18" t="n">
        <v>3.41765078</v>
      </c>
      <c r="J27" s="20" t="n">
        <v>0.71459835</v>
      </c>
      <c r="K27" s="18" t="s">
        <v>567</v>
      </c>
      <c r="L27" s="20" t="s">
        <v>567</v>
      </c>
      <c r="M27" s="18" t="n">
        <v>0</v>
      </c>
      <c r="N27" s="20" t="n">
        <v>0</v>
      </c>
      <c r="O27" s="18" t="n">
        <v>0</v>
      </c>
      <c r="P27" s="20" t="n">
        <v>0</v>
      </c>
      <c r="Q27" s="18" t="n">
        <v>0</v>
      </c>
      <c r="R27" s="20" t="n">
        <v>0</v>
      </c>
      <c r="S27" s="18" t="n">
        <v>1.38812918</v>
      </c>
      <c r="T27" s="20" t="n">
        <v>0.46610488</v>
      </c>
    </row>
    <row r="28" spans="1:20">
      <c r="A28" s="15" t="s">
        <v>588</v>
      </c>
      <c r="B28" s="17" t="n">
        <v>3765</v>
      </c>
      <c r="C28" s="18">
        <f>(2998.0/B28*100)</f>
        <v/>
      </c>
      <c r="D28" s="19" t="n">
        <v>767</v>
      </c>
      <c r="E28" s="18" t="n">
        <v>84.42273894</v>
      </c>
      <c r="F28" s="20" t="n">
        <v>1.42758309</v>
      </c>
      <c r="G28" s="18" t="n">
        <v>12.63814624</v>
      </c>
      <c r="H28" s="20" t="n">
        <v>1.34110265</v>
      </c>
      <c r="I28" s="18" t="n">
        <v>1.781675</v>
      </c>
      <c r="J28" s="20" t="n">
        <v>0.67436181</v>
      </c>
      <c r="K28" s="18" t="s">
        <v>567</v>
      </c>
      <c r="L28" s="20" t="s">
        <v>567</v>
      </c>
      <c r="M28" s="18" t="n">
        <v>0.2660843</v>
      </c>
      <c r="N28" s="20" t="n">
        <v>0.18873646</v>
      </c>
      <c r="O28" s="18" t="n">
        <v>0</v>
      </c>
      <c r="P28" s="20" t="n">
        <v>0</v>
      </c>
      <c r="Q28" s="18" t="n">
        <v>0</v>
      </c>
      <c r="R28" s="20" t="n">
        <v>0</v>
      </c>
      <c r="S28" s="18" t="n">
        <v>0.89135552</v>
      </c>
      <c r="T28" s="20" t="n">
        <v>0.33397164</v>
      </c>
    </row>
    <row r="29" spans="1:20">
      <c r="A29" s="15" t="s">
        <v>589</v>
      </c>
      <c r="B29" s="17" t="n">
        <v>2685</v>
      </c>
      <c r="C29" s="18">
        <f>(2100.0/B29*100)</f>
        <v/>
      </c>
      <c r="D29" s="19" t="n">
        <v>585</v>
      </c>
      <c r="E29" s="18" t="n">
        <v>67.71130065</v>
      </c>
      <c r="F29" s="20" t="n">
        <v>1.93036783</v>
      </c>
      <c r="G29" s="18" t="n">
        <v>28.50639075</v>
      </c>
      <c r="H29" s="20" t="n">
        <v>1.89048212</v>
      </c>
      <c r="I29" s="18" t="n">
        <v>3.48869743</v>
      </c>
      <c r="J29" s="20" t="n">
        <v>0.67905207</v>
      </c>
      <c r="K29" s="18" t="s">
        <v>567</v>
      </c>
      <c r="L29" s="20" t="s">
        <v>567</v>
      </c>
      <c r="M29" s="18" t="n">
        <v>0.16813427</v>
      </c>
      <c r="N29" s="20" t="n">
        <v>0.16591884</v>
      </c>
      <c r="O29" s="18" t="n">
        <v>0</v>
      </c>
      <c r="P29" s="20" t="n">
        <v>0</v>
      </c>
      <c r="Q29" s="18" t="n">
        <v>0</v>
      </c>
      <c r="R29" s="20" t="n">
        <v>0</v>
      </c>
      <c r="S29" s="18" t="n">
        <v>0.1254769</v>
      </c>
      <c r="T29" s="20" t="n">
        <v>0.17188577</v>
      </c>
    </row>
    <row r="30" spans="1:20">
      <c r="A30" s="15" t="s">
        <v>590</v>
      </c>
      <c r="B30" s="17" t="n">
        <v>2263</v>
      </c>
      <c r="C30" s="18">
        <f>(1775.0/B30*100)</f>
        <v/>
      </c>
      <c r="D30" s="19" t="n">
        <v>488</v>
      </c>
      <c r="E30" s="18" t="n">
        <v>64.35646345000001</v>
      </c>
      <c r="F30" s="20" t="n">
        <v>1.91629888</v>
      </c>
      <c r="G30" s="18" t="n">
        <v>25.85707361</v>
      </c>
      <c r="H30" s="20" t="n">
        <v>1.96054081</v>
      </c>
      <c r="I30" s="18" t="n">
        <v>6.6667061</v>
      </c>
      <c r="J30" s="20" t="n">
        <v>1.1435384</v>
      </c>
      <c r="K30" s="18" t="s">
        <v>567</v>
      </c>
      <c r="L30" s="20" t="s">
        <v>567</v>
      </c>
      <c r="M30" s="18" t="n">
        <v>0</v>
      </c>
      <c r="N30" s="20" t="n">
        <v>0</v>
      </c>
      <c r="O30" s="18" t="n">
        <v>0</v>
      </c>
      <c r="P30" s="20" t="n">
        <v>0</v>
      </c>
      <c r="Q30" s="18" t="n">
        <v>0</v>
      </c>
      <c r="R30" s="20" t="n">
        <v>0</v>
      </c>
      <c r="S30" s="18" t="n">
        <v>3.11975684</v>
      </c>
      <c r="T30" s="20" t="n">
        <v>0.79820674</v>
      </c>
    </row>
    <row r="31" spans="1:20">
      <c r="A31" s="15" t="s">
        <v>591</v>
      </c>
      <c r="B31" s="17" t="n">
        <v>2750</v>
      </c>
      <c r="C31" s="18">
        <f>(2169.0/B31*100)</f>
        <v/>
      </c>
      <c r="D31" s="19" t="n">
        <v>581</v>
      </c>
      <c r="E31" s="18" t="n">
        <v>66.28808416</v>
      </c>
      <c r="F31" s="20" t="n">
        <v>2.24663972</v>
      </c>
      <c r="G31" s="18" t="n">
        <v>24.84455335</v>
      </c>
      <c r="H31" s="20" t="n">
        <v>2.05331509</v>
      </c>
      <c r="I31" s="18" t="n">
        <v>6.59047219</v>
      </c>
      <c r="J31" s="20" t="n">
        <v>0.99498224</v>
      </c>
      <c r="K31" s="18" t="s">
        <v>567</v>
      </c>
      <c r="L31" s="20" t="s">
        <v>567</v>
      </c>
      <c r="M31" s="18" t="n">
        <v>0.62893477</v>
      </c>
      <c r="N31" s="20" t="n">
        <v>0.30875953</v>
      </c>
      <c r="O31" s="18" t="n">
        <v>0</v>
      </c>
      <c r="P31" s="20" t="n">
        <v>0</v>
      </c>
      <c r="Q31" s="18" t="n">
        <v>0</v>
      </c>
      <c r="R31" s="20" t="n">
        <v>0</v>
      </c>
      <c r="S31" s="18" t="n">
        <v>1.64795552</v>
      </c>
      <c r="T31" s="20" t="n">
        <v>0.53667804</v>
      </c>
    </row>
    <row r="32" spans="1:20">
      <c r="A32" s="15" t="s">
        <v>592</v>
      </c>
      <c r="B32" s="17" t="n">
        <v>2269</v>
      </c>
      <c r="C32" s="18">
        <f>(1804.0/B32*100)</f>
        <v/>
      </c>
      <c r="D32" s="19" t="n">
        <v>465</v>
      </c>
      <c r="E32" s="18" t="n">
        <v>69.63193387</v>
      </c>
      <c r="F32" s="20" t="n">
        <v>2.01846234</v>
      </c>
      <c r="G32" s="18" t="n">
        <v>28.04423018</v>
      </c>
      <c r="H32" s="20" t="n">
        <v>2.1179988</v>
      </c>
      <c r="I32" s="18" t="n">
        <v>1.64993858</v>
      </c>
      <c r="J32" s="20" t="n">
        <v>0.6302658799999999</v>
      </c>
      <c r="K32" s="18" t="s">
        <v>567</v>
      </c>
      <c r="L32" s="20" t="s">
        <v>567</v>
      </c>
      <c r="M32" s="18" t="n">
        <v>0.18317783</v>
      </c>
      <c r="N32" s="20" t="n">
        <v>0.18238072</v>
      </c>
      <c r="O32" s="18" t="n">
        <v>0</v>
      </c>
      <c r="P32" s="20" t="n">
        <v>0</v>
      </c>
      <c r="Q32" s="18" t="n">
        <v>0</v>
      </c>
      <c r="R32" s="20" t="n">
        <v>0</v>
      </c>
      <c r="S32" s="18" t="n">
        <v>0.49071955</v>
      </c>
      <c r="T32" s="20" t="n">
        <v>0.33505145</v>
      </c>
    </row>
    <row r="33" spans="1:20">
      <c r="A33" s="15" t="s">
        <v>593</v>
      </c>
      <c r="B33" s="17" t="n">
        <v>3674</v>
      </c>
      <c r="C33" s="18">
        <f>(2855.0/B33*100)</f>
        <v/>
      </c>
      <c r="D33" s="19" t="n">
        <v>819</v>
      </c>
      <c r="E33" s="18" t="n">
        <v>77.06659283</v>
      </c>
      <c r="F33" s="20" t="n">
        <v>1.95521104</v>
      </c>
      <c r="G33" s="18" t="n">
        <v>20.10440825</v>
      </c>
      <c r="H33" s="20" t="n">
        <v>1.79917811</v>
      </c>
      <c r="I33" s="18" t="n">
        <v>2.08546671</v>
      </c>
      <c r="J33" s="20" t="n">
        <v>0.7043460499999999</v>
      </c>
      <c r="K33" s="18" t="s">
        <v>567</v>
      </c>
      <c r="L33" s="20" t="s">
        <v>567</v>
      </c>
      <c r="M33" s="18" t="n">
        <v>0</v>
      </c>
      <c r="N33" s="20" t="n">
        <v>0</v>
      </c>
      <c r="O33" s="18" t="n">
        <v>0</v>
      </c>
      <c r="P33" s="20" t="n">
        <v>0</v>
      </c>
      <c r="Q33" s="18" t="n">
        <v>0</v>
      </c>
      <c r="R33" s="20" t="n">
        <v>0</v>
      </c>
      <c r="S33" s="18" t="n">
        <v>0.74353221</v>
      </c>
      <c r="T33" s="20" t="n">
        <v>0.39842786</v>
      </c>
    </row>
    <row r="34" spans="1:20">
      <c r="A34" s="15" t="s">
        <v>594</v>
      </c>
      <c r="B34" s="17" t="n">
        <v>3315</v>
      </c>
      <c r="C34" s="18">
        <f>(2593.0/B34*100)</f>
        <v/>
      </c>
      <c r="D34" s="19" t="n">
        <v>722</v>
      </c>
      <c r="E34" s="18" t="n">
        <v>68.29545157</v>
      </c>
      <c r="F34" s="20" t="n">
        <v>1.35562393</v>
      </c>
      <c r="G34" s="18" t="n">
        <v>27.51478658</v>
      </c>
      <c r="H34" s="20" t="n">
        <v>1.345792</v>
      </c>
      <c r="I34" s="18" t="n">
        <v>2.09785338</v>
      </c>
      <c r="J34" s="20" t="n">
        <v>0.59500653</v>
      </c>
      <c r="K34" s="18" t="s">
        <v>567</v>
      </c>
      <c r="L34" s="20" t="s">
        <v>567</v>
      </c>
      <c r="M34" s="18" t="n">
        <v>0</v>
      </c>
      <c r="N34" s="20" t="n">
        <v>0</v>
      </c>
      <c r="O34" s="18" t="n">
        <v>0</v>
      </c>
      <c r="P34" s="20" t="n">
        <v>0</v>
      </c>
      <c r="Q34" s="18" t="n">
        <v>0</v>
      </c>
      <c r="R34" s="20" t="n">
        <v>0</v>
      </c>
      <c r="S34" s="18" t="n">
        <v>2.09190846</v>
      </c>
      <c r="T34" s="20" t="n">
        <v>0.60529442</v>
      </c>
    </row>
    <row r="35" spans="1:20">
      <c r="A35" s="15" t="s">
        <v>595</v>
      </c>
      <c r="B35" s="17" t="n">
        <v>3505</v>
      </c>
      <c r="C35" s="18">
        <f>(2715.0/B35*100)</f>
        <v/>
      </c>
      <c r="D35" s="19" t="n">
        <v>790</v>
      </c>
      <c r="E35" s="18" t="n">
        <v>63.95974475</v>
      </c>
      <c r="F35" s="20" t="n">
        <v>2.14699599</v>
      </c>
      <c r="G35" s="18" t="n">
        <v>32.02236377</v>
      </c>
      <c r="H35" s="20" t="n">
        <v>2.00827424</v>
      </c>
      <c r="I35" s="18" t="n">
        <v>3.14076331</v>
      </c>
      <c r="J35" s="20" t="n">
        <v>0.76070132</v>
      </c>
      <c r="K35" s="18" t="s">
        <v>567</v>
      </c>
      <c r="L35" s="20" t="s">
        <v>567</v>
      </c>
      <c r="M35" s="18" t="n">
        <v>0.06356571</v>
      </c>
      <c r="N35" s="20" t="n">
        <v>0.06372692000000001</v>
      </c>
      <c r="O35" s="18" t="n">
        <v>0</v>
      </c>
      <c r="P35" s="20" t="n">
        <v>0</v>
      </c>
      <c r="Q35" s="18" t="n">
        <v>0</v>
      </c>
      <c r="R35" s="20" t="n">
        <v>0</v>
      </c>
      <c r="S35" s="18" t="n">
        <v>0.81356246</v>
      </c>
      <c r="T35" s="20" t="n">
        <v>0.43748755</v>
      </c>
    </row>
    <row r="36" spans="1:20">
      <c r="A36" s="15" t="s">
        <v>596</v>
      </c>
      <c r="B36" s="17" t="n">
        <v>3332</v>
      </c>
      <c r="C36" s="18">
        <f>(2613.0/B36*100)</f>
        <v/>
      </c>
      <c r="D36" s="19" t="n">
        <v>719</v>
      </c>
      <c r="E36" s="18" t="n">
        <v>77.83175464</v>
      </c>
      <c r="F36" s="20" t="n">
        <v>1.61889257</v>
      </c>
      <c r="G36" s="18" t="n">
        <v>18.69002736</v>
      </c>
      <c r="H36" s="20" t="n">
        <v>1.59489582</v>
      </c>
      <c r="I36" s="18" t="n">
        <v>1.59734793</v>
      </c>
      <c r="J36" s="20" t="n">
        <v>0.47253472</v>
      </c>
      <c r="K36" s="18" t="s">
        <v>567</v>
      </c>
      <c r="L36" s="20" t="s">
        <v>567</v>
      </c>
      <c r="M36" s="18" t="n">
        <v>0.39054474</v>
      </c>
      <c r="N36" s="20" t="n">
        <v>0.29341445</v>
      </c>
      <c r="O36" s="18" t="n">
        <v>0</v>
      </c>
      <c r="P36" s="20" t="n">
        <v>0</v>
      </c>
      <c r="Q36" s="18" t="n">
        <v>0</v>
      </c>
      <c r="R36" s="20" t="n">
        <v>0</v>
      </c>
      <c r="S36" s="18" t="n">
        <v>1.49032533</v>
      </c>
      <c r="T36" s="20" t="n">
        <v>0.4243623</v>
      </c>
    </row>
    <row r="37" spans="1:20">
      <c r="A37" s="15" t="s">
        <v>597</v>
      </c>
      <c r="B37" s="17" t="n">
        <v>2727</v>
      </c>
      <c r="C37" s="18">
        <f>(2114.0/B37*100)</f>
        <v/>
      </c>
      <c r="D37" s="19" t="n">
        <v>613</v>
      </c>
      <c r="E37" s="18" t="n">
        <v>67.5951877</v>
      </c>
      <c r="F37" s="20" t="n">
        <v>2.0276339</v>
      </c>
      <c r="G37" s="18" t="n">
        <v>25.33406813</v>
      </c>
      <c r="H37" s="20" t="n">
        <v>2.13183121</v>
      </c>
      <c r="I37" s="18" t="n">
        <v>3.2680552</v>
      </c>
      <c r="J37" s="20" t="n">
        <v>0.97104619</v>
      </c>
      <c r="K37" s="18" t="s">
        <v>567</v>
      </c>
      <c r="L37" s="20" t="s">
        <v>567</v>
      </c>
      <c r="M37" s="18" t="n">
        <v>0.68650035</v>
      </c>
      <c r="N37" s="20" t="n">
        <v>0.33049355</v>
      </c>
      <c r="O37" s="18" t="n">
        <v>0</v>
      </c>
      <c r="P37" s="20" t="n">
        <v>0</v>
      </c>
      <c r="Q37" s="18" t="n">
        <v>0</v>
      </c>
      <c r="R37" s="20" t="n">
        <v>0</v>
      </c>
      <c r="S37" s="18" t="n">
        <v>3.11618862</v>
      </c>
      <c r="T37" s="20" t="n">
        <v>0.69423844</v>
      </c>
    </row>
    <row r="38" spans="1:20">
      <c r="A38" s="15" t="s">
        <v>598</v>
      </c>
      <c r="B38" s="17" t="n">
        <v>3053</v>
      </c>
      <c r="C38" s="18">
        <f>(2325.0/B38*100)</f>
        <v/>
      </c>
      <c r="D38" s="19" t="n">
        <v>728</v>
      </c>
      <c r="E38" s="18" t="n">
        <v>73.55449457</v>
      </c>
      <c r="F38" s="20" t="n">
        <v>1.79169378</v>
      </c>
      <c r="G38" s="18" t="n">
        <v>23.13188743</v>
      </c>
      <c r="H38" s="20" t="n">
        <v>1.87481158</v>
      </c>
      <c r="I38" s="18" t="n">
        <v>2.63887235</v>
      </c>
      <c r="J38" s="20" t="n">
        <v>0.7459474</v>
      </c>
      <c r="K38" s="18" t="s">
        <v>567</v>
      </c>
      <c r="L38" s="20" t="s">
        <v>567</v>
      </c>
      <c r="M38" s="18" t="n">
        <v>0</v>
      </c>
      <c r="N38" s="20" t="n">
        <v>0</v>
      </c>
      <c r="O38" s="18" t="n">
        <v>0</v>
      </c>
      <c r="P38" s="20" t="n">
        <v>0</v>
      </c>
      <c r="Q38" s="18" t="n">
        <v>0</v>
      </c>
      <c r="R38" s="20" t="n">
        <v>0</v>
      </c>
      <c r="S38" s="18" t="n">
        <v>0.67474565</v>
      </c>
      <c r="T38" s="20" t="n">
        <v>0.21455286</v>
      </c>
    </row>
    <row r="39" spans="1:20">
      <c r="A39" s="15" t="s">
        <v>599</v>
      </c>
      <c r="B39" s="17" t="n">
        <v>2957</v>
      </c>
      <c r="C39" s="18">
        <f>(2312.0/B39*100)</f>
        <v/>
      </c>
      <c r="D39" s="19" t="n">
        <v>645</v>
      </c>
      <c r="E39" s="18" t="n">
        <v>83.74175031</v>
      </c>
      <c r="F39" s="20" t="n">
        <v>1.66911702</v>
      </c>
      <c r="G39" s="18" t="n">
        <v>12.52954736</v>
      </c>
      <c r="H39" s="20" t="n">
        <v>1.50105254</v>
      </c>
      <c r="I39" s="18" t="n">
        <v>2.86588696</v>
      </c>
      <c r="J39" s="20" t="n">
        <v>0.809423</v>
      </c>
      <c r="K39" s="18" t="s">
        <v>567</v>
      </c>
      <c r="L39" s="20" t="s">
        <v>567</v>
      </c>
      <c r="M39" s="18" t="n">
        <v>0.19820878</v>
      </c>
      <c r="N39" s="20" t="n">
        <v>0.19783157</v>
      </c>
      <c r="O39" s="18" t="n">
        <v>0</v>
      </c>
      <c r="P39" s="20" t="n">
        <v>0</v>
      </c>
      <c r="Q39" s="18" t="n">
        <v>0</v>
      </c>
      <c r="R39" s="20" t="n">
        <v>0</v>
      </c>
      <c r="S39" s="18" t="n">
        <v>0.66460659</v>
      </c>
      <c r="T39" s="20" t="n">
        <v>0.30272417</v>
      </c>
    </row>
    <row r="40" spans="1:20">
      <c r="A40" s="15" t="s">
        <v>600</v>
      </c>
      <c r="B40" s="17" t="n">
        <v>7235</v>
      </c>
      <c r="C40" s="18">
        <f>(5585.0/B40*100)</f>
        <v/>
      </c>
      <c r="D40" s="19" t="n">
        <v>1650</v>
      </c>
      <c r="E40" s="18" t="n">
        <v>73.21816308</v>
      </c>
      <c r="F40" s="20" t="n">
        <v>1.46126007</v>
      </c>
      <c r="G40" s="18" t="n">
        <v>22.26902443</v>
      </c>
      <c r="H40" s="20" t="n">
        <v>1.38111783</v>
      </c>
      <c r="I40" s="18" t="n">
        <v>3.68691453</v>
      </c>
      <c r="J40" s="20" t="n">
        <v>0.5767120100000001</v>
      </c>
      <c r="K40" s="18" t="s">
        <v>567</v>
      </c>
      <c r="L40" s="20" t="s">
        <v>567</v>
      </c>
      <c r="M40" s="18" t="n">
        <v>0.11166151</v>
      </c>
      <c r="N40" s="20" t="n">
        <v>0.10614547</v>
      </c>
      <c r="O40" s="18" t="n">
        <v>0</v>
      </c>
      <c r="P40" s="20" t="n">
        <v>0</v>
      </c>
      <c r="Q40" s="18" t="n">
        <v>0</v>
      </c>
      <c r="R40" s="20" t="n">
        <v>0</v>
      </c>
      <c r="S40" s="18" t="n">
        <v>0.71423644</v>
      </c>
      <c r="T40" s="20" t="n">
        <v>0.32620982</v>
      </c>
    </row>
    <row r="41" spans="1:20">
      <c r="A41" s="15" t="s">
        <v>601</v>
      </c>
      <c r="B41" s="17" t="n">
        <v>2858</v>
      </c>
      <c r="C41" s="18">
        <f>(2248.0/B41*100)</f>
        <v/>
      </c>
      <c r="D41" s="19" t="n">
        <v>610</v>
      </c>
      <c r="E41" s="18" t="n">
        <v>67.62352850000001</v>
      </c>
      <c r="F41" s="20" t="n">
        <v>2.35972679</v>
      </c>
      <c r="G41" s="18" t="n">
        <v>25.33249365</v>
      </c>
      <c r="H41" s="20" t="n">
        <v>1.96681556</v>
      </c>
      <c r="I41" s="18" t="n">
        <v>6.39581065</v>
      </c>
      <c r="J41" s="20" t="n">
        <v>1.09437153</v>
      </c>
      <c r="K41" s="18" t="s">
        <v>567</v>
      </c>
      <c r="L41" s="20" t="s">
        <v>567</v>
      </c>
      <c r="M41" s="18" t="n">
        <v>0.22435414</v>
      </c>
      <c r="N41" s="20" t="n">
        <v>0.18250691</v>
      </c>
      <c r="O41" s="18" t="n">
        <v>0</v>
      </c>
      <c r="P41" s="20" t="n">
        <v>0</v>
      </c>
      <c r="Q41" s="18" t="n">
        <v>0</v>
      </c>
      <c r="R41" s="20" t="n">
        <v>0</v>
      </c>
      <c r="S41" s="18" t="n">
        <v>0.42381306</v>
      </c>
      <c r="T41" s="20" t="n">
        <v>0.24174253</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c r="S44" s="18" t="s">
        <v>567</v>
      </c>
      <c r="T44" s="20" t="s">
        <v>567</v>
      </c>
    </row>
    <row r="45" spans="1:20">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c r="S45" s="18" t="s">
        <v>567</v>
      </c>
      <c r="T45" s="20" t="s">
        <v>567</v>
      </c>
    </row>
    <row r="46" spans="1:20">
      <c r="A46" s="15" t="s">
        <v>606</v>
      </c>
      <c r="B46" s="17" t="n">
        <v>11068</v>
      </c>
      <c r="C46" s="18">
        <f>(8898.0/B46*100)</f>
        <v/>
      </c>
      <c r="D46" s="19" t="n">
        <v>2170</v>
      </c>
      <c r="E46" s="18" t="n">
        <v>77.21809257</v>
      </c>
      <c r="F46" s="20" t="n">
        <v>1.24898431</v>
      </c>
      <c r="G46" s="18" t="n">
        <v>18.08760512</v>
      </c>
      <c r="H46" s="20" t="n">
        <v>1.15846315</v>
      </c>
      <c r="I46" s="18" t="n">
        <v>1.94185365</v>
      </c>
      <c r="J46" s="20" t="n">
        <v>0.45082075</v>
      </c>
      <c r="K46" s="18" t="s">
        <v>567</v>
      </c>
      <c r="L46" s="20" t="s">
        <v>567</v>
      </c>
      <c r="M46" s="18" t="n">
        <v>0.7352318799999999</v>
      </c>
      <c r="N46" s="20" t="n">
        <v>0.22691899</v>
      </c>
      <c r="O46" s="18" t="n">
        <v>0</v>
      </c>
      <c r="P46" s="20" t="n">
        <v>0</v>
      </c>
      <c r="Q46" s="18" t="n">
        <v>0</v>
      </c>
      <c r="R46" s="20" t="n">
        <v>0</v>
      </c>
      <c r="S46" s="18" t="n">
        <v>2.01721677</v>
      </c>
      <c r="T46" s="20" t="n">
        <v>0.41927708</v>
      </c>
    </row>
    <row r="47" spans="1:20">
      <c r="A47" s="15" t="s">
        <v>607</v>
      </c>
      <c r="B47" s="17" t="n">
        <v>3105</v>
      </c>
      <c r="C47" s="18">
        <f>(2438.0/B47*100)</f>
        <v/>
      </c>
      <c r="D47" s="19" t="n">
        <v>667</v>
      </c>
      <c r="E47" s="18" t="n">
        <v>78.81200556</v>
      </c>
      <c r="F47" s="20" t="n">
        <v>1.85489653</v>
      </c>
      <c r="G47" s="18" t="n">
        <v>18.97199034</v>
      </c>
      <c r="H47" s="20" t="n">
        <v>1.75647135</v>
      </c>
      <c r="I47" s="18" t="n">
        <v>0.43707188</v>
      </c>
      <c r="J47" s="20" t="n">
        <v>0.14264405</v>
      </c>
      <c r="K47" s="18" t="s">
        <v>567</v>
      </c>
      <c r="L47" s="20" t="s">
        <v>567</v>
      </c>
      <c r="M47" s="18" t="n">
        <v>0.43273747</v>
      </c>
      <c r="N47" s="20" t="n">
        <v>0.26030157</v>
      </c>
      <c r="O47" s="18" t="n">
        <v>0</v>
      </c>
      <c r="P47" s="20" t="n">
        <v>0</v>
      </c>
      <c r="Q47" s="18" t="n">
        <v>0</v>
      </c>
      <c r="R47" s="20" t="n">
        <v>0</v>
      </c>
      <c r="S47" s="18" t="n">
        <v>1.34619475</v>
      </c>
      <c r="T47" s="20" t="n">
        <v>0.49684805</v>
      </c>
    </row>
    <row r="48" spans="1:20">
      <c r="A48" s="15" t="s">
        <v>608</v>
      </c>
      <c r="B48" s="17" t="n">
        <v>5159</v>
      </c>
      <c r="C48" s="18">
        <f>(4010.0/B48*100)</f>
        <v/>
      </c>
      <c r="D48" s="19" t="n">
        <v>1149</v>
      </c>
      <c r="E48" s="18" t="n">
        <v>62.23569257</v>
      </c>
      <c r="F48" s="20" t="n">
        <v>2.2163108</v>
      </c>
      <c r="G48" s="18" t="n">
        <v>26.07357932</v>
      </c>
      <c r="H48" s="20" t="n">
        <v>1.43285414</v>
      </c>
      <c r="I48" s="18" t="n">
        <v>10.74124373</v>
      </c>
      <c r="J48" s="20" t="n">
        <v>1.55187464</v>
      </c>
      <c r="K48" s="18" t="s">
        <v>567</v>
      </c>
      <c r="L48" s="20" t="s">
        <v>567</v>
      </c>
      <c r="M48" s="18" t="n">
        <v>0.27287786</v>
      </c>
      <c r="N48" s="20" t="n">
        <v>0.18102709</v>
      </c>
      <c r="O48" s="18" t="n">
        <v>0</v>
      </c>
      <c r="P48" s="20" t="n">
        <v>0</v>
      </c>
      <c r="Q48" s="18" t="n">
        <v>0</v>
      </c>
      <c r="R48" s="20" t="n">
        <v>0</v>
      </c>
      <c r="S48" s="18" t="n">
        <v>0.67660652</v>
      </c>
      <c r="T48" s="20" t="n">
        <v>0.36746977</v>
      </c>
    </row>
    <row r="49" spans="1:20">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c r="S49" s="18" t="s">
        <v>567</v>
      </c>
      <c r="T49" s="20" t="s">
        <v>567</v>
      </c>
    </row>
    <row r="50" spans="1:20">
      <c r="A50" s="15" t="s">
        <v>610</v>
      </c>
      <c r="B50" s="17" t="n">
        <v>5637</v>
      </c>
      <c r="C50" s="18">
        <f>(4414.0/B50*100)</f>
        <v/>
      </c>
      <c r="D50" s="19" t="n">
        <v>1223</v>
      </c>
      <c r="E50" s="18" t="n">
        <v>75.79273971000001</v>
      </c>
      <c r="F50" s="20" t="n">
        <v>1.47476725</v>
      </c>
      <c r="G50" s="18" t="n">
        <v>20.78310229</v>
      </c>
      <c r="H50" s="20" t="n">
        <v>1.37023252</v>
      </c>
      <c r="I50" s="18" t="n">
        <v>1.4745311</v>
      </c>
      <c r="J50" s="20" t="n">
        <v>0.42097291</v>
      </c>
      <c r="K50" s="18" t="s">
        <v>567</v>
      </c>
      <c r="L50" s="20" t="s">
        <v>567</v>
      </c>
      <c r="M50" s="18" t="n">
        <v>1.06748499</v>
      </c>
      <c r="N50" s="20" t="n">
        <v>0.4966631</v>
      </c>
      <c r="O50" s="18" t="n">
        <v>0</v>
      </c>
      <c r="P50" s="20" t="n">
        <v>0</v>
      </c>
      <c r="Q50" s="18" t="n">
        <v>0</v>
      </c>
      <c r="R50" s="20" t="n">
        <v>0</v>
      </c>
      <c r="S50" s="18" t="n">
        <v>0.88214191</v>
      </c>
      <c r="T50" s="20" t="n">
        <v>0.34824972</v>
      </c>
    </row>
    <row r="51" spans="1:20">
      <c r="A51" s="15" t="s">
        <v>611</v>
      </c>
      <c r="B51" s="17" t="n">
        <v>3372</v>
      </c>
      <c r="C51" s="18">
        <f>(2732.0/B51*100)</f>
        <v/>
      </c>
      <c r="D51" s="19" t="n">
        <v>640</v>
      </c>
      <c r="E51" s="18" t="n">
        <v>81.94194654</v>
      </c>
      <c r="F51" s="20" t="n">
        <v>1.53118034</v>
      </c>
      <c r="G51" s="18" t="n">
        <v>14.8491682</v>
      </c>
      <c r="H51" s="20" t="n">
        <v>1.60002239</v>
      </c>
      <c r="I51" s="18" t="n">
        <v>1.56304529</v>
      </c>
      <c r="J51" s="20" t="n">
        <v>0.4839983</v>
      </c>
      <c r="K51" s="18" t="s">
        <v>567</v>
      </c>
      <c r="L51" s="20" t="s">
        <v>567</v>
      </c>
      <c r="M51" s="18" t="n">
        <v>0.55821152</v>
      </c>
      <c r="N51" s="20" t="n">
        <v>0.30407528</v>
      </c>
      <c r="O51" s="18" t="n">
        <v>0</v>
      </c>
      <c r="P51" s="20" t="n">
        <v>0</v>
      </c>
      <c r="Q51" s="18" t="n">
        <v>0</v>
      </c>
      <c r="R51" s="20" t="n">
        <v>0</v>
      </c>
      <c r="S51" s="18" t="n">
        <v>1.08762845</v>
      </c>
      <c r="T51" s="20" t="n">
        <v>0.37091497</v>
      </c>
    </row>
    <row r="52" spans="1:20">
      <c r="A52" s="15" t="s">
        <v>612</v>
      </c>
      <c r="B52" s="17" t="n">
        <v>2796</v>
      </c>
      <c r="C52" s="18">
        <f>(2175.0/B52*100)</f>
        <v/>
      </c>
      <c r="D52" s="19" t="n">
        <v>621</v>
      </c>
      <c r="E52" s="18" t="n">
        <v>75.96922850999999</v>
      </c>
      <c r="F52" s="20" t="n">
        <v>1.52779124</v>
      </c>
      <c r="G52" s="18" t="n">
        <v>21.7723887</v>
      </c>
      <c r="H52" s="20" t="n">
        <v>1.46878387</v>
      </c>
      <c r="I52" s="18" t="n">
        <v>1.34257599</v>
      </c>
      <c r="J52" s="20" t="n">
        <v>0.47686486</v>
      </c>
      <c r="K52" s="18" t="s">
        <v>567</v>
      </c>
      <c r="L52" s="20" t="s">
        <v>567</v>
      </c>
      <c r="M52" s="18" t="n">
        <v>0.16462784</v>
      </c>
      <c r="N52" s="20" t="n">
        <v>0.16135095</v>
      </c>
      <c r="O52" s="18" t="n">
        <v>0</v>
      </c>
      <c r="P52" s="20" t="n">
        <v>0</v>
      </c>
      <c r="Q52" s="18" t="n">
        <v>0</v>
      </c>
      <c r="R52" s="20" t="n">
        <v>0</v>
      </c>
      <c r="S52" s="18" t="n">
        <v>0.75117896</v>
      </c>
      <c r="T52" s="20" t="n">
        <v>0.3520245</v>
      </c>
    </row>
    <row r="53" spans="1:20">
      <c r="A53" s="15" t="s">
        <v>613</v>
      </c>
      <c r="B53" s="17" t="n">
        <v>2811</v>
      </c>
      <c r="C53" s="18">
        <f>(2181.0/B53*100)</f>
        <v/>
      </c>
      <c r="D53" s="19" t="n">
        <v>630</v>
      </c>
      <c r="E53" s="18" t="n">
        <v>71.70983397000001</v>
      </c>
      <c r="F53" s="20" t="n">
        <v>1.78045198</v>
      </c>
      <c r="G53" s="18" t="n">
        <v>24.31592399</v>
      </c>
      <c r="H53" s="20" t="n">
        <v>1.71755636</v>
      </c>
      <c r="I53" s="18" t="n">
        <v>2.12733654</v>
      </c>
      <c r="J53" s="20" t="n">
        <v>0.63495789</v>
      </c>
      <c r="K53" s="18" t="s">
        <v>567</v>
      </c>
      <c r="L53" s="20" t="s">
        <v>567</v>
      </c>
      <c r="M53" s="18" t="n">
        <v>0.21214224</v>
      </c>
      <c r="N53" s="20" t="n">
        <v>0.21267339</v>
      </c>
      <c r="O53" s="18" t="n">
        <v>0</v>
      </c>
      <c r="P53" s="20" t="n">
        <v>0</v>
      </c>
      <c r="Q53" s="18" t="n">
        <v>0</v>
      </c>
      <c r="R53" s="20" t="n">
        <v>0</v>
      </c>
      <c r="S53" s="18" t="n">
        <v>1.63476325</v>
      </c>
      <c r="T53" s="20" t="n">
        <v>0.4025989</v>
      </c>
    </row>
    <row r="54" spans="1:20">
      <c r="A54" s="15" t="s">
        <v>614</v>
      </c>
      <c r="B54" s="17" t="n">
        <v>2266</v>
      </c>
      <c r="C54" s="18">
        <f>(1789.0/B54*100)</f>
        <v/>
      </c>
      <c r="D54" s="19" t="n">
        <v>477</v>
      </c>
      <c r="E54" s="18" t="n">
        <v>75.85555932</v>
      </c>
      <c r="F54" s="20" t="n">
        <v>2.02149863</v>
      </c>
      <c r="G54" s="18" t="n">
        <v>11.31366516</v>
      </c>
      <c r="H54" s="20" t="n">
        <v>1.44985182</v>
      </c>
      <c r="I54" s="18" t="n">
        <v>2.18692535</v>
      </c>
      <c r="J54" s="20" t="n">
        <v>0.6490968499999999</v>
      </c>
      <c r="K54" s="18" t="s">
        <v>567</v>
      </c>
      <c r="L54" s="20" t="s">
        <v>567</v>
      </c>
      <c r="M54" s="18" t="n">
        <v>6.74728431</v>
      </c>
      <c r="N54" s="20" t="n">
        <v>1.41739576</v>
      </c>
      <c r="O54" s="18" t="n">
        <v>0</v>
      </c>
      <c r="P54" s="20" t="n">
        <v>0</v>
      </c>
      <c r="Q54" s="18" t="n">
        <v>0</v>
      </c>
      <c r="R54" s="20" t="n">
        <v>0</v>
      </c>
      <c r="S54" s="18" t="n">
        <v>3.89656586</v>
      </c>
      <c r="T54" s="20" t="n">
        <v>1.16803901</v>
      </c>
    </row>
    <row r="55" spans="1:20">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c r="S55" s="18" t="s">
        <v>567</v>
      </c>
      <c r="T55" s="20" t="s">
        <v>567</v>
      </c>
    </row>
    <row r="56" spans="1:20">
      <c r="A56" s="15" t="s">
        <v>616</v>
      </c>
      <c r="B56" s="17" t="n">
        <v>2684</v>
      </c>
      <c r="C56" s="18">
        <f>(2088.0/B56*100)</f>
        <v/>
      </c>
      <c r="D56" s="19" t="n">
        <v>596</v>
      </c>
      <c r="E56" s="18" t="n">
        <v>69.45544673000001</v>
      </c>
      <c r="F56" s="20" t="n">
        <v>1.75916005</v>
      </c>
      <c r="G56" s="18" t="n">
        <v>21.19865384</v>
      </c>
      <c r="H56" s="20" t="n">
        <v>1.68288435</v>
      </c>
      <c r="I56" s="18" t="n">
        <v>8.39984797</v>
      </c>
      <c r="J56" s="20" t="n">
        <v>1.2100009</v>
      </c>
      <c r="K56" s="18" t="s">
        <v>567</v>
      </c>
      <c r="L56" s="20" t="s">
        <v>567</v>
      </c>
      <c r="M56" s="18" t="n">
        <v>0.444689</v>
      </c>
      <c r="N56" s="20" t="n">
        <v>0.35703117</v>
      </c>
      <c r="O56" s="18" t="n">
        <v>0</v>
      </c>
      <c r="P56" s="20" t="n">
        <v>0</v>
      </c>
      <c r="Q56" s="18" t="n">
        <v>0</v>
      </c>
      <c r="R56" s="20" t="n">
        <v>0</v>
      </c>
      <c r="S56" s="18" t="n">
        <v>0.50136245</v>
      </c>
      <c r="T56" s="20" t="n">
        <v>0.28627533</v>
      </c>
    </row>
    <row r="57" spans="1:20">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c r="S57" s="18" t="s">
        <v>567</v>
      </c>
      <c r="T57" s="20" t="s">
        <v>567</v>
      </c>
    </row>
    <row r="58" spans="1:20">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c r="S58" s="18" t="s">
        <v>567</v>
      </c>
      <c r="T58" s="20" t="s">
        <v>567</v>
      </c>
    </row>
    <row r="59" spans="1:20">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c r="S59" s="18" t="s">
        <v>567</v>
      </c>
      <c r="T59" s="20" t="s">
        <v>567</v>
      </c>
    </row>
    <row r="60" spans="1:20">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c r="S60" s="18" t="s">
        <v>567</v>
      </c>
      <c r="T60" s="20" t="s">
        <v>567</v>
      </c>
    </row>
    <row r="61" spans="1:20">
      <c r="A61" s="15" t="s">
        <v>621</v>
      </c>
      <c r="B61" s="17" t="n">
        <v>3324</v>
      </c>
      <c r="C61" s="18">
        <f>(2598.0/B61*100)</f>
        <v/>
      </c>
      <c r="D61" s="19" t="n">
        <v>726</v>
      </c>
      <c r="E61" s="18" t="n">
        <v>66.19811579</v>
      </c>
      <c r="F61" s="20" t="n">
        <v>2.00895553</v>
      </c>
      <c r="G61" s="18" t="n">
        <v>29.47264739</v>
      </c>
      <c r="H61" s="20" t="n">
        <v>1.95446966</v>
      </c>
      <c r="I61" s="18" t="n">
        <v>3.96437285</v>
      </c>
      <c r="J61" s="20" t="n">
        <v>0.8073736</v>
      </c>
      <c r="K61" s="18" t="s">
        <v>567</v>
      </c>
      <c r="L61" s="20" t="s">
        <v>567</v>
      </c>
      <c r="M61" s="18" t="n">
        <v>0.044755</v>
      </c>
      <c r="N61" s="20" t="n">
        <v>0.04487091</v>
      </c>
      <c r="O61" s="18" t="n">
        <v>0</v>
      </c>
      <c r="P61" s="20" t="n">
        <v>0</v>
      </c>
      <c r="Q61" s="18" t="n">
        <v>0</v>
      </c>
      <c r="R61" s="20" t="n">
        <v>0</v>
      </c>
      <c r="S61" s="18" t="n">
        <v>0.32010896</v>
      </c>
      <c r="T61" s="20" t="n">
        <v>0.21596015</v>
      </c>
    </row>
    <row r="62" spans="1:20">
      <c r="A62" s="15" t="s">
        <v>622</v>
      </c>
      <c r="B62" s="17" t="n">
        <v>2246</v>
      </c>
      <c r="C62" s="18">
        <f>(1734.0/B62*100)</f>
        <v/>
      </c>
      <c r="D62" s="19" t="n">
        <v>512</v>
      </c>
      <c r="E62" s="18" t="n">
        <v>70.46404805</v>
      </c>
      <c r="F62" s="20" t="n">
        <v>2.35939248</v>
      </c>
      <c r="G62" s="18" t="n">
        <v>20.96834358</v>
      </c>
      <c r="H62" s="20" t="n">
        <v>2.02832565</v>
      </c>
      <c r="I62" s="18" t="n">
        <v>8.1713849</v>
      </c>
      <c r="J62" s="20" t="n">
        <v>1.2359933</v>
      </c>
      <c r="K62" s="18" t="s">
        <v>567</v>
      </c>
      <c r="L62" s="20" t="s">
        <v>567</v>
      </c>
      <c r="M62" s="18" t="n">
        <v>0</v>
      </c>
      <c r="N62" s="20" t="n">
        <v>0</v>
      </c>
      <c r="O62" s="18" t="n">
        <v>0</v>
      </c>
      <c r="P62" s="20" t="n">
        <v>0</v>
      </c>
      <c r="Q62" s="18" t="n">
        <v>0</v>
      </c>
      <c r="R62" s="20" t="n">
        <v>0</v>
      </c>
      <c r="S62" s="18" t="n">
        <v>0.39622347</v>
      </c>
      <c r="T62" s="20" t="n">
        <v>0.27821201</v>
      </c>
    </row>
    <row r="63" spans="1:20">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c r="S63" s="18" t="s">
        <v>567</v>
      </c>
      <c r="T63" s="20" t="s">
        <v>567</v>
      </c>
    </row>
    <row r="64" spans="1:20">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c r="S64" s="18" t="s">
        <v>567</v>
      </c>
      <c r="T64" s="20" t="s">
        <v>567</v>
      </c>
    </row>
    <row r="65" spans="1:20">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c r="S65" s="18" t="s">
        <v>567</v>
      </c>
      <c r="T65" s="20" t="s">
        <v>567</v>
      </c>
    </row>
    <row r="66" spans="1:20">
      <c r="A66" s="15" t="s">
        <v>626</v>
      </c>
      <c r="B66" s="17" t="n">
        <v>2894</v>
      </c>
      <c r="C66" s="18">
        <f>(2310.0/B66*100)</f>
        <v/>
      </c>
      <c r="D66" s="19" t="n">
        <v>584</v>
      </c>
      <c r="E66" s="18" t="n">
        <v>70.68485554</v>
      </c>
      <c r="F66" s="20" t="n">
        <v>2.03913932</v>
      </c>
      <c r="G66" s="18" t="n">
        <v>22.38514926</v>
      </c>
      <c r="H66" s="20" t="n">
        <v>1.87341902</v>
      </c>
      <c r="I66" s="18" t="n">
        <v>1.5300289</v>
      </c>
      <c r="J66" s="20" t="n">
        <v>0.56018517</v>
      </c>
      <c r="K66" s="18" t="s">
        <v>567</v>
      </c>
      <c r="L66" s="20" t="s">
        <v>567</v>
      </c>
      <c r="M66" s="18" t="n">
        <v>0.3970009</v>
      </c>
      <c r="N66" s="20" t="n">
        <v>0.28207269</v>
      </c>
      <c r="O66" s="18" t="n">
        <v>0</v>
      </c>
      <c r="P66" s="20" t="n">
        <v>0</v>
      </c>
      <c r="Q66" s="18" t="n">
        <v>0</v>
      </c>
      <c r="R66" s="20" t="n">
        <v>0</v>
      </c>
      <c r="S66" s="18" t="n">
        <v>5.00296541</v>
      </c>
      <c r="T66" s="20" t="n">
        <v>0.96800087</v>
      </c>
    </row>
    <row r="67" spans="1:20">
      <c r="A67" s="15" t="s">
        <v>627</v>
      </c>
      <c r="B67" s="17" t="n">
        <v>3511</v>
      </c>
      <c r="C67" s="18">
        <f>(2761.0/B67*100)</f>
        <v/>
      </c>
      <c r="D67" s="19" t="n">
        <v>750</v>
      </c>
      <c r="E67" s="18" t="n">
        <v>79.57137453</v>
      </c>
      <c r="F67" s="20" t="n">
        <v>1.6643409</v>
      </c>
      <c r="G67" s="18" t="n">
        <v>16.54757538</v>
      </c>
      <c r="H67" s="20" t="n">
        <v>1.55472178</v>
      </c>
      <c r="I67" s="18" t="n">
        <v>2.79420152</v>
      </c>
      <c r="J67" s="20" t="n">
        <v>0.67286598</v>
      </c>
      <c r="K67" s="18" t="s">
        <v>567</v>
      </c>
      <c r="L67" s="20" t="s">
        <v>567</v>
      </c>
      <c r="M67" s="18" t="n">
        <v>0.35621403</v>
      </c>
      <c r="N67" s="20" t="n">
        <v>0.35606159</v>
      </c>
      <c r="O67" s="18" t="n">
        <v>0</v>
      </c>
      <c r="P67" s="20" t="n">
        <v>0</v>
      </c>
      <c r="Q67" s="18" t="n">
        <v>0</v>
      </c>
      <c r="R67" s="20" t="n">
        <v>0</v>
      </c>
      <c r="S67" s="18" t="n">
        <v>0.7306345400000001</v>
      </c>
      <c r="T67" s="20" t="n">
        <v>0.35506307</v>
      </c>
    </row>
    <row r="68" spans="1:20">
      <c r="A68" s="15" t="s">
        <v>628</v>
      </c>
      <c r="B68" s="17" t="n">
        <v>6049</v>
      </c>
      <c r="C68" s="18">
        <f>(4682.0/B68*100)</f>
        <v/>
      </c>
      <c r="D68" s="19" t="n">
        <v>1367</v>
      </c>
      <c r="E68" s="18" t="n">
        <v>77.81789734</v>
      </c>
      <c r="F68" s="20" t="n">
        <v>1.08508323</v>
      </c>
      <c r="G68" s="18" t="n">
        <v>12.85751835</v>
      </c>
      <c r="H68" s="20" t="n">
        <v>0.94984126</v>
      </c>
      <c r="I68" s="18" t="n">
        <v>3.57274584</v>
      </c>
      <c r="J68" s="20" t="n">
        <v>0.48358235</v>
      </c>
      <c r="K68" s="18" t="s">
        <v>567</v>
      </c>
      <c r="L68" s="20" t="s">
        <v>567</v>
      </c>
      <c r="M68" s="18" t="n">
        <v>2.12444621</v>
      </c>
      <c r="N68" s="20" t="n">
        <v>0.36072468</v>
      </c>
      <c r="O68" s="18" t="n">
        <v>0</v>
      </c>
      <c r="P68" s="20" t="n">
        <v>0</v>
      </c>
      <c r="Q68" s="18" t="n">
        <v>0</v>
      </c>
      <c r="R68" s="20" t="n">
        <v>0</v>
      </c>
      <c r="S68" s="18" t="n">
        <v>3.62739226</v>
      </c>
      <c r="T68" s="20" t="n">
        <v>0.49874924</v>
      </c>
    </row>
    <row r="69" spans="1:20">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c r="S69" s="18" t="s">
        <v>567</v>
      </c>
      <c r="T69" s="20" t="s">
        <v>567</v>
      </c>
    </row>
    <row r="70" spans="1:20">
      <c r="A70" s="15" t="s">
        <v>630</v>
      </c>
      <c r="B70" s="17" t="n">
        <v>2929</v>
      </c>
      <c r="C70" s="18">
        <f>(2300.0/B70*100)</f>
        <v/>
      </c>
      <c r="D70" s="19" t="n">
        <v>629</v>
      </c>
      <c r="E70" s="18" t="n">
        <v>78.11348709000001</v>
      </c>
      <c r="F70" s="20" t="n">
        <v>1.82062634</v>
      </c>
      <c r="G70" s="18" t="n">
        <v>20.26706763</v>
      </c>
      <c r="H70" s="20" t="n">
        <v>1.71905252</v>
      </c>
      <c r="I70" s="18" t="n">
        <v>1.16951699</v>
      </c>
      <c r="J70" s="20" t="n">
        <v>0.41903587</v>
      </c>
      <c r="K70" s="18" t="s">
        <v>567</v>
      </c>
      <c r="L70" s="20" t="s">
        <v>567</v>
      </c>
      <c r="M70" s="18" t="n">
        <v>0.14321997</v>
      </c>
      <c r="N70" s="20" t="n">
        <v>0.14167696</v>
      </c>
      <c r="O70" s="18" t="n">
        <v>0</v>
      </c>
      <c r="P70" s="20" t="n">
        <v>0</v>
      </c>
      <c r="Q70" s="18" t="n">
        <v>0</v>
      </c>
      <c r="R70" s="20" t="n">
        <v>0</v>
      </c>
      <c r="S70" s="18" t="n">
        <v>0.30670833</v>
      </c>
      <c r="T70" s="20" t="n">
        <v>0.18509962</v>
      </c>
    </row>
    <row r="71" spans="1:20">
      <c r="A71" s="15" t="s">
        <v>631</v>
      </c>
      <c r="B71" s="17" t="n">
        <v>3142</v>
      </c>
      <c r="C71" s="18">
        <f>(2462.0/B71*100)</f>
        <v/>
      </c>
      <c r="D71" s="19" t="n">
        <v>680</v>
      </c>
      <c r="E71" s="18" t="n">
        <v>62.77544344</v>
      </c>
      <c r="F71" s="20" t="n">
        <v>1.92668365</v>
      </c>
      <c r="G71" s="18" t="n">
        <v>27.86934389</v>
      </c>
      <c r="H71" s="20" t="n">
        <v>1.73244677</v>
      </c>
      <c r="I71" s="18" t="n">
        <v>8.727691009999999</v>
      </c>
      <c r="J71" s="20" t="n">
        <v>1.2147895</v>
      </c>
      <c r="K71" s="18" t="s">
        <v>567</v>
      </c>
      <c r="L71" s="20" t="s">
        <v>567</v>
      </c>
      <c r="M71" s="18" t="n">
        <v>0.29217583</v>
      </c>
      <c r="N71" s="20" t="n">
        <v>0.20746555</v>
      </c>
      <c r="O71" s="18" t="n">
        <v>0</v>
      </c>
      <c r="P71" s="20" t="n">
        <v>0</v>
      </c>
      <c r="Q71" s="18" t="n">
        <v>0</v>
      </c>
      <c r="R71" s="20" t="n">
        <v>0</v>
      </c>
      <c r="S71" s="18" t="n">
        <v>0.33534583</v>
      </c>
      <c r="T71" s="20" t="n">
        <v>0.19475093</v>
      </c>
    </row>
    <row r="72" spans="1:20">
      <c r="A72" s="15" t="s">
        <v>632</v>
      </c>
      <c r="B72" s="17" t="n">
        <v>3889</v>
      </c>
      <c r="C72" s="18">
        <f>(3053.0/B72*100)</f>
        <v/>
      </c>
      <c r="D72" s="19" t="n">
        <v>836</v>
      </c>
      <c r="E72" s="18" t="n">
        <v>74.32235451</v>
      </c>
      <c r="F72" s="20" t="n">
        <v>1.93537244</v>
      </c>
      <c r="G72" s="18" t="n">
        <v>14.35364936</v>
      </c>
      <c r="H72" s="20" t="n">
        <v>1.43078587</v>
      </c>
      <c r="I72" s="18" t="n">
        <v>10.32050324</v>
      </c>
      <c r="J72" s="20" t="n">
        <v>1.14813113</v>
      </c>
      <c r="K72" s="18" t="s">
        <v>567</v>
      </c>
      <c r="L72" s="20" t="s">
        <v>567</v>
      </c>
      <c r="M72" s="18" t="n">
        <v>0.2233331</v>
      </c>
      <c r="N72" s="20" t="n">
        <v>0.17085088</v>
      </c>
      <c r="O72" s="18" t="n">
        <v>0</v>
      </c>
      <c r="P72" s="20" t="n">
        <v>0</v>
      </c>
      <c r="Q72" s="18" t="n">
        <v>0</v>
      </c>
      <c r="R72" s="20" t="n">
        <v>0</v>
      </c>
      <c r="S72" s="18" t="n">
        <v>0.7801598</v>
      </c>
      <c r="T72" s="20" t="n">
        <v>0.2343147</v>
      </c>
    </row>
    <row r="73" spans="1:20">
      <c r="A73" s="15" t="s">
        <v>633</v>
      </c>
      <c r="B73" s="17" t="n">
        <v>3597</v>
      </c>
      <c r="C73" s="18">
        <f>(2801.0/B73*100)</f>
        <v/>
      </c>
      <c r="D73" s="19" t="n">
        <v>796</v>
      </c>
      <c r="E73" s="18" t="n">
        <v>83.27205533</v>
      </c>
      <c r="F73" s="20" t="n">
        <v>1.5774755</v>
      </c>
      <c r="G73" s="18" t="n">
        <v>13.46686926</v>
      </c>
      <c r="H73" s="20" t="n">
        <v>1.43264443</v>
      </c>
      <c r="I73" s="18" t="n">
        <v>2.4289337</v>
      </c>
      <c r="J73" s="20" t="n">
        <v>0.65665296</v>
      </c>
      <c r="K73" s="18" t="s">
        <v>567</v>
      </c>
      <c r="L73" s="20" t="s">
        <v>567</v>
      </c>
      <c r="M73" s="18" t="n">
        <v>0.17544067</v>
      </c>
      <c r="N73" s="20" t="n">
        <v>0.12801794</v>
      </c>
      <c r="O73" s="18" t="n">
        <v>0</v>
      </c>
      <c r="P73" s="20" t="n">
        <v>0</v>
      </c>
      <c r="Q73" s="18" t="n">
        <v>0</v>
      </c>
      <c r="R73" s="20" t="n">
        <v>0</v>
      </c>
      <c r="S73" s="18" t="n">
        <v>0.65670105</v>
      </c>
      <c r="T73" s="20" t="n">
        <v>0.34945109</v>
      </c>
    </row>
    <row r="74" spans="1:20">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c r="S74" s="18" t="s">
        <v>567</v>
      </c>
      <c r="T74" s="20" t="s">
        <v>567</v>
      </c>
    </row>
    <row r="75" spans="1:20">
      <c r="A75" s="15" t="s">
        <v>635</v>
      </c>
      <c r="B75" s="17" t="n">
        <v>2406</v>
      </c>
      <c r="C75" s="18">
        <f>(1915.0/B75*100)</f>
        <v/>
      </c>
      <c r="D75" s="19" t="n">
        <v>491</v>
      </c>
      <c r="E75" s="18" t="n">
        <v>86.12216434</v>
      </c>
      <c r="F75" s="20" t="n">
        <v>1.74382514</v>
      </c>
      <c r="G75" s="18" t="n">
        <v>11.23026008</v>
      </c>
      <c r="H75" s="20" t="n">
        <v>1.66823438</v>
      </c>
      <c r="I75" s="18" t="n">
        <v>0.81865023</v>
      </c>
      <c r="J75" s="20" t="n">
        <v>0.3786063</v>
      </c>
      <c r="K75" s="18" t="s">
        <v>567</v>
      </c>
      <c r="L75" s="20" t="s">
        <v>567</v>
      </c>
      <c r="M75" s="18" t="n">
        <v>0.7239984900000001</v>
      </c>
      <c r="N75" s="20" t="n">
        <v>0.37911536</v>
      </c>
      <c r="O75" s="18" t="n">
        <v>0</v>
      </c>
      <c r="P75" s="20" t="n">
        <v>0</v>
      </c>
      <c r="Q75" s="18" t="n">
        <v>0</v>
      </c>
      <c r="R75" s="20" t="n">
        <v>0</v>
      </c>
      <c r="S75" s="18" t="n">
        <v>1.10492685</v>
      </c>
      <c r="T75" s="20" t="n">
        <v>0.52884486</v>
      </c>
    </row>
    <row r="76" spans="1:20">
      <c r="A76" s="15" t="s">
        <v>636</v>
      </c>
      <c r="B76" s="17" t="n">
        <v>7052</v>
      </c>
      <c r="C76" s="18">
        <f>(5487.0/B76*100)</f>
        <v/>
      </c>
      <c r="D76" s="19" t="n">
        <v>1565</v>
      </c>
      <c r="E76" s="18" t="n">
        <v>75.49179853</v>
      </c>
      <c r="F76" s="20" t="n">
        <v>1.4957894</v>
      </c>
      <c r="G76" s="18" t="n">
        <v>17.459306</v>
      </c>
      <c r="H76" s="20" t="n">
        <v>1.34759453</v>
      </c>
      <c r="I76" s="18" t="n">
        <v>3.34795179</v>
      </c>
      <c r="J76" s="20" t="n">
        <v>0.53917332</v>
      </c>
      <c r="K76" s="18" t="s">
        <v>567</v>
      </c>
      <c r="L76" s="20" t="s">
        <v>567</v>
      </c>
      <c r="M76" s="18" t="n">
        <v>1.07928719</v>
      </c>
      <c r="N76" s="20" t="n">
        <v>0.32809801</v>
      </c>
      <c r="O76" s="18" t="n">
        <v>0</v>
      </c>
      <c r="P76" s="20" t="n">
        <v>0</v>
      </c>
      <c r="Q76" s="18" t="n">
        <v>0</v>
      </c>
      <c r="R76" s="20" t="n">
        <v>0</v>
      </c>
      <c r="S76" s="18" t="n">
        <v>2.62165649</v>
      </c>
      <c r="T76" s="20" t="n">
        <v>0.40446041</v>
      </c>
    </row>
    <row r="77" spans="1:20">
      <c r="A77" s="15" t="s">
        <v>637</v>
      </c>
      <c r="B77" s="17" t="n">
        <v>2908</v>
      </c>
      <c r="C77" s="18">
        <f>(2276.0/B77*100)</f>
        <v/>
      </c>
      <c r="D77" s="19" t="n">
        <v>632</v>
      </c>
      <c r="E77" s="18" t="n">
        <v>78.43472504</v>
      </c>
      <c r="F77" s="20" t="n">
        <v>1.60968121</v>
      </c>
      <c r="G77" s="18" t="n">
        <v>17.08298285</v>
      </c>
      <c r="H77" s="20" t="n">
        <v>1.58773398</v>
      </c>
      <c r="I77" s="18" t="n">
        <v>1.92679323</v>
      </c>
      <c r="J77" s="20" t="n">
        <v>0.65753465</v>
      </c>
      <c r="K77" s="18" t="s">
        <v>567</v>
      </c>
      <c r="L77" s="20" t="s">
        <v>567</v>
      </c>
      <c r="M77" s="18" t="n">
        <v>0.26434035</v>
      </c>
      <c r="N77" s="20" t="n">
        <v>0.19056326</v>
      </c>
      <c r="O77" s="18" t="n">
        <v>0</v>
      </c>
      <c r="P77" s="20" t="n">
        <v>0</v>
      </c>
      <c r="Q77" s="18" t="n">
        <v>0</v>
      </c>
      <c r="R77" s="20" t="n">
        <v>0</v>
      </c>
      <c r="S77" s="18" t="n">
        <v>2.29115853</v>
      </c>
      <c r="T77" s="20" t="n">
        <v>0.5593295700000001</v>
      </c>
    </row>
    <row r="78" spans="1:20">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c r="S78" s="18" t="s">
        <v>567</v>
      </c>
      <c r="T78" s="20" t="s">
        <v>567</v>
      </c>
    </row>
    <row customHeight="1" ht="25" r="79" spans="1:20">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c r="S79" s="18" t="s">
        <v>567</v>
      </c>
      <c r="T79" s="20" t="s">
        <v>567</v>
      </c>
    </row>
    <row r="80" spans="1:20">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4163</v>
      </c>
      <c r="C81" s="18">
        <f>(3231.0/B81*100)</f>
        <v/>
      </c>
      <c r="D81" s="19" t="n">
        <v>932</v>
      </c>
      <c r="E81" s="18" t="n">
        <v>79.25735016</v>
      </c>
      <c r="F81" s="20" t="n">
        <v>1.6655095</v>
      </c>
      <c r="G81" s="18" t="n">
        <v>16.74956021</v>
      </c>
      <c r="H81" s="20" t="n">
        <v>1.42112996</v>
      </c>
      <c r="I81" s="18" t="n">
        <v>3.43190957</v>
      </c>
      <c r="J81" s="20" t="n">
        <v>0.6489748400000001</v>
      </c>
      <c r="K81" s="18" t="s">
        <v>567</v>
      </c>
      <c r="L81" s="20" t="s">
        <v>567</v>
      </c>
      <c r="M81" s="18" t="n">
        <v>0</v>
      </c>
      <c r="N81" s="20" t="n">
        <v>0</v>
      </c>
      <c r="O81" s="18" t="n">
        <v>0</v>
      </c>
      <c r="P81" s="20" t="n">
        <v>0</v>
      </c>
      <c r="Q81" s="18" t="n">
        <v>0</v>
      </c>
      <c r="R81" s="20" t="n">
        <v>0</v>
      </c>
      <c r="S81" s="18" t="n">
        <v>0.56118005</v>
      </c>
      <c r="T81" s="20" t="n">
        <v>0.25287565</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(5755.0/B7*100)</f>
        <v/>
      </c>
      <c r="D7" s="19" t="n">
        <v>1612</v>
      </c>
      <c r="E7" s="18" t="n">
        <v>52.58051936</v>
      </c>
      <c r="F7" s="20" t="n">
        <v>1.55689832</v>
      </c>
      <c r="G7" s="18" t="n">
        <v>44.30146808</v>
      </c>
      <c r="H7" s="20" t="n">
        <v>1.5560777</v>
      </c>
      <c r="I7" s="18" t="s">
        <v>567</v>
      </c>
      <c r="J7" s="20" t="s">
        <v>567</v>
      </c>
      <c r="K7" s="18" t="n">
        <v>0.43061486</v>
      </c>
      <c r="L7" s="20" t="n">
        <v>0.1754424</v>
      </c>
      <c r="M7" s="18" t="n">
        <v>0.11260556</v>
      </c>
      <c r="N7" s="20" t="n">
        <v>0.0730344</v>
      </c>
      <c r="O7" s="18" t="n">
        <v>0</v>
      </c>
      <c r="P7" s="20" t="n">
        <v>0</v>
      </c>
      <c r="Q7" s="18" t="n">
        <v>2.57479213</v>
      </c>
      <c r="R7" s="20" t="n">
        <v>0.50904225</v>
      </c>
    </row>
    <row r="8" spans="1:18">
      <c r="A8" s="15" t="s">
        <v>568</v>
      </c>
      <c r="B8" s="17" t="n">
        <v>3564</v>
      </c>
      <c r="C8" s="18">
        <f>(2787.0/B8*100)</f>
        <v/>
      </c>
      <c r="D8" s="19" t="n">
        <v>777</v>
      </c>
      <c r="E8" s="18" t="n">
        <v>66.31694641</v>
      </c>
      <c r="F8" s="20" t="n">
        <v>1.98881787</v>
      </c>
      <c r="G8" s="18" t="n">
        <v>31.57503388</v>
      </c>
      <c r="H8" s="20" t="n">
        <v>1.8999216</v>
      </c>
      <c r="I8" s="18" t="s">
        <v>567</v>
      </c>
      <c r="J8" s="20" t="s">
        <v>567</v>
      </c>
      <c r="K8" s="18" t="n">
        <v>0.30295917</v>
      </c>
      <c r="L8" s="20" t="n">
        <v>0.21168657</v>
      </c>
      <c r="M8" s="18" t="n">
        <v>0</v>
      </c>
      <c r="N8" s="20" t="n">
        <v>0</v>
      </c>
      <c r="O8" s="18" t="n">
        <v>0</v>
      </c>
      <c r="P8" s="20" t="n">
        <v>0</v>
      </c>
      <c r="Q8" s="18" t="n">
        <v>1.80506054</v>
      </c>
      <c r="R8" s="20" t="n">
        <v>0.46465656</v>
      </c>
    </row>
    <row r="9" spans="1:18">
      <c r="A9" s="15" t="s">
        <v>569</v>
      </c>
      <c r="B9" s="17" t="n">
        <v>4899</v>
      </c>
      <c r="C9" s="18">
        <f>(3840.0/B9*100)</f>
        <v/>
      </c>
      <c r="D9" s="19" t="n">
        <v>1059</v>
      </c>
      <c r="E9" s="18" t="n">
        <v>62.20732309</v>
      </c>
      <c r="F9" s="20" t="n">
        <v>1.7158828</v>
      </c>
      <c r="G9" s="18" t="n">
        <v>35.96752987</v>
      </c>
      <c r="H9" s="20" t="n">
        <v>1.70173224</v>
      </c>
      <c r="I9" s="18" t="s">
        <v>567</v>
      </c>
      <c r="J9" s="20" t="s">
        <v>567</v>
      </c>
      <c r="K9" s="18" t="n">
        <v>0.19527852</v>
      </c>
      <c r="L9" s="20" t="n">
        <v>0.10878517</v>
      </c>
      <c r="M9" s="18" t="n">
        <v>0.6898919999999999</v>
      </c>
      <c r="N9" s="20" t="n">
        <v>0.2132317</v>
      </c>
      <c r="O9" s="18" t="n">
        <v>0</v>
      </c>
      <c r="P9" s="20" t="n">
        <v>0</v>
      </c>
      <c r="Q9" s="18" t="n">
        <v>0.93997653</v>
      </c>
      <c r="R9" s="20" t="n">
        <v>0.3037988</v>
      </c>
    </row>
    <row r="10" spans="1:18">
      <c r="A10" s="15" t="s">
        <v>570</v>
      </c>
      <c r="B10" s="17" t="n">
        <v>10036</v>
      </c>
      <c r="C10" s="18">
        <f>(7788.0/B10*100)</f>
        <v/>
      </c>
      <c r="D10" s="19" t="n">
        <v>2248</v>
      </c>
      <c r="E10" s="18" t="n">
        <v>55.40065271</v>
      </c>
      <c r="F10" s="20" t="n">
        <v>1.44233132</v>
      </c>
      <c r="G10" s="18" t="n">
        <v>42.91667789</v>
      </c>
      <c r="H10" s="20" t="n">
        <v>1.51635963</v>
      </c>
      <c r="I10" s="18" t="s">
        <v>567</v>
      </c>
      <c r="J10" s="20" t="s">
        <v>567</v>
      </c>
      <c r="K10" s="18" t="n">
        <v>0.46676772</v>
      </c>
      <c r="L10" s="20" t="n">
        <v>0.21676295</v>
      </c>
      <c r="M10" s="18" t="n">
        <v>0.00562742</v>
      </c>
      <c r="N10" s="20" t="n">
        <v>0.008026490000000001</v>
      </c>
      <c r="O10" s="18" t="n">
        <v>0</v>
      </c>
      <c r="P10" s="20" t="n">
        <v>0</v>
      </c>
      <c r="Q10" s="18" t="n">
        <v>1.21027425</v>
      </c>
      <c r="R10" s="20" t="n">
        <v>0.30764894</v>
      </c>
    </row>
    <row r="11" spans="1:18">
      <c r="A11" s="15" t="s">
        <v>571</v>
      </c>
      <c r="B11" s="17" t="n">
        <v>3553</v>
      </c>
      <c r="C11" s="18">
        <f>(2756.0/B11*100)</f>
        <v/>
      </c>
      <c r="D11" s="19" t="n">
        <v>797</v>
      </c>
      <c r="E11" s="18" t="n">
        <v>71.54099866999999</v>
      </c>
      <c r="F11" s="20" t="n">
        <v>2.24707061</v>
      </c>
      <c r="G11" s="18" t="n">
        <v>24.60343759</v>
      </c>
      <c r="H11" s="20" t="n">
        <v>2.04363948</v>
      </c>
      <c r="I11" s="18" t="s">
        <v>567</v>
      </c>
      <c r="J11" s="20" t="s">
        <v>567</v>
      </c>
      <c r="K11" s="18" t="n">
        <v>0</v>
      </c>
      <c r="L11" s="20" t="n">
        <v>0</v>
      </c>
      <c r="M11" s="18" t="n">
        <v>0</v>
      </c>
      <c r="N11" s="20" t="n">
        <v>0</v>
      </c>
      <c r="O11" s="18" t="n">
        <v>0</v>
      </c>
      <c r="P11" s="20" t="n">
        <v>0</v>
      </c>
      <c r="Q11" s="18" t="n">
        <v>3.85556374</v>
      </c>
      <c r="R11" s="20" t="n">
        <v>0.85411162</v>
      </c>
    </row>
    <row r="12" spans="1:18">
      <c r="A12" s="15" t="s">
        <v>572</v>
      </c>
      <c r="B12" s="17" t="n">
        <v>3472</v>
      </c>
      <c r="C12" s="18">
        <f>(2707.0/B12*100)</f>
        <v/>
      </c>
      <c r="D12" s="19" t="n">
        <v>765</v>
      </c>
      <c r="E12" s="18" t="n">
        <v>64.31087724</v>
      </c>
      <c r="F12" s="20" t="n">
        <v>1.9882924</v>
      </c>
      <c r="G12" s="18" t="n">
        <v>33.94331691</v>
      </c>
      <c r="H12" s="20" t="n">
        <v>1.88854056</v>
      </c>
      <c r="I12" s="18" t="s">
        <v>567</v>
      </c>
      <c r="J12" s="20" t="s">
        <v>567</v>
      </c>
      <c r="K12" s="18" t="n">
        <v>0</v>
      </c>
      <c r="L12" s="20" t="n">
        <v>0</v>
      </c>
      <c r="M12" s="18" t="n">
        <v>0</v>
      </c>
      <c r="N12" s="20" t="n">
        <v>0</v>
      </c>
      <c r="O12" s="18" t="n">
        <v>0</v>
      </c>
      <c r="P12" s="20" t="n">
        <v>0</v>
      </c>
      <c r="Q12" s="18" t="n">
        <v>1.74580584</v>
      </c>
      <c r="R12" s="20" t="n">
        <v>0.53389286</v>
      </c>
    </row>
    <row r="13" spans="1:18">
      <c r="A13" s="15" t="s">
        <v>573</v>
      </c>
      <c r="B13" s="17" t="n">
        <v>3559</v>
      </c>
      <c r="C13" s="18">
        <f>(2798.0/B13*100)</f>
        <v/>
      </c>
      <c r="D13" s="19" t="n">
        <v>761</v>
      </c>
      <c r="E13" s="18" t="n">
        <v>63.3227782</v>
      </c>
      <c r="F13" s="20" t="n">
        <v>2.10506148</v>
      </c>
      <c r="G13" s="18" t="n">
        <v>35.01091638</v>
      </c>
      <c r="H13" s="20" t="n">
        <v>2.07513879</v>
      </c>
      <c r="I13" s="18" t="s">
        <v>567</v>
      </c>
      <c r="J13" s="20" t="s">
        <v>567</v>
      </c>
      <c r="K13" s="18" t="n">
        <v>0.51215462</v>
      </c>
      <c r="L13" s="20" t="n">
        <v>0.30387878</v>
      </c>
      <c r="M13" s="18" t="n">
        <v>0</v>
      </c>
      <c r="N13" s="20" t="n">
        <v>0</v>
      </c>
      <c r="O13" s="18" t="n">
        <v>0</v>
      </c>
      <c r="P13" s="20" t="n">
        <v>0</v>
      </c>
      <c r="Q13" s="18" t="n">
        <v>1.1541508</v>
      </c>
      <c r="R13" s="20" t="n">
        <v>0.38591759</v>
      </c>
    </row>
    <row r="14" spans="1:18">
      <c r="A14" s="15" t="s">
        <v>574</v>
      </c>
      <c r="B14" s="17" t="n">
        <v>2799</v>
      </c>
      <c r="C14" s="18">
        <f>(2170.0/B14*100)</f>
        <v/>
      </c>
      <c r="D14" s="19" t="n">
        <v>629</v>
      </c>
      <c r="E14" s="18" t="n">
        <v>50.31563734</v>
      </c>
      <c r="F14" s="20" t="n">
        <v>2.36555598</v>
      </c>
      <c r="G14" s="18" t="n">
        <v>49.28416794</v>
      </c>
      <c r="H14" s="20" t="n">
        <v>2.3594453</v>
      </c>
      <c r="I14" s="18" t="s">
        <v>567</v>
      </c>
      <c r="J14" s="20" t="s">
        <v>567</v>
      </c>
      <c r="K14" s="18" t="n">
        <v>0.1441363</v>
      </c>
      <c r="L14" s="20" t="n">
        <v>0.14367076</v>
      </c>
      <c r="M14" s="18" t="n">
        <v>0</v>
      </c>
      <c r="N14" s="20" t="n">
        <v>0</v>
      </c>
      <c r="O14" s="18" t="n">
        <v>0</v>
      </c>
      <c r="P14" s="20" t="n">
        <v>0</v>
      </c>
      <c r="Q14" s="18" t="n">
        <v>0.25605842</v>
      </c>
      <c r="R14" s="20" t="n">
        <v>0.18039322</v>
      </c>
    </row>
    <row r="15" spans="1:18">
      <c r="A15" s="15" t="s">
        <v>575</v>
      </c>
      <c r="B15" s="17" t="n">
        <v>3019</v>
      </c>
      <c r="C15" s="18">
        <f>(2296.0/B15*100)</f>
        <v/>
      </c>
      <c r="D15" s="19" t="n">
        <v>723</v>
      </c>
      <c r="E15" s="18" t="n">
        <v>55.49712792</v>
      </c>
      <c r="F15" s="20" t="n">
        <v>1.87027253</v>
      </c>
      <c r="G15" s="18" t="n">
        <v>43.14190486</v>
      </c>
      <c r="H15" s="20" t="n">
        <v>1.86344959</v>
      </c>
      <c r="I15" s="18" t="s">
        <v>567</v>
      </c>
      <c r="J15" s="20" t="s">
        <v>567</v>
      </c>
      <c r="K15" s="18" t="n">
        <v>0.15508766</v>
      </c>
      <c r="L15" s="20" t="n">
        <v>0.17011839</v>
      </c>
      <c r="M15" s="18" t="n">
        <v>0</v>
      </c>
      <c r="N15" s="20" t="n">
        <v>0</v>
      </c>
      <c r="O15" s="18" t="n">
        <v>0</v>
      </c>
      <c r="P15" s="20" t="n">
        <v>0</v>
      </c>
      <c r="Q15" s="18" t="n">
        <v>1.20587956</v>
      </c>
      <c r="R15" s="20" t="n">
        <v>0.39484442</v>
      </c>
    </row>
    <row r="16" spans="1:18">
      <c r="A16" s="15" t="s">
        <v>576</v>
      </c>
      <c r="B16" s="17" t="n">
        <v>2997</v>
      </c>
      <c r="C16" s="18">
        <f>(2321.0/B16*100)</f>
        <v/>
      </c>
      <c r="D16" s="19" t="n">
        <v>676</v>
      </c>
      <c r="E16" s="18" t="n">
        <v>59.53704128</v>
      </c>
      <c r="F16" s="20" t="n">
        <v>1.8191832</v>
      </c>
      <c r="G16" s="18" t="n">
        <v>35.92239315</v>
      </c>
      <c r="H16" s="20" t="n">
        <v>1.75721199</v>
      </c>
      <c r="I16" s="18" t="s">
        <v>567</v>
      </c>
      <c r="J16" s="20" t="s">
        <v>567</v>
      </c>
      <c r="K16" s="18" t="n">
        <v>0.64204049</v>
      </c>
      <c r="L16" s="20" t="n">
        <v>0.28142424</v>
      </c>
      <c r="M16" s="18" t="n">
        <v>0</v>
      </c>
      <c r="N16" s="20" t="n">
        <v>0</v>
      </c>
      <c r="O16" s="18" t="n">
        <v>0</v>
      </c>
      <c r="P16" s="20" t="n">
        <v>0</v>
      </c>
      <c r="Q16" s="18" t="n">
        <v>3.89852508</v>
      </c>
      <c r="R16" s="20" t="n">
        <v>0.77073523</v>
      </c>
    </row>
    <row r="17" spans="1:18">
      <c r="A17" s="15" t="s">
        <v>577</v>
      </c>
      <c r="B17" s="17" t="n">
        <v>3307</v>
      </c>
      <c r="C17" s="18">
        <f>(2578.0/B17*100)</f>
        <v/>
      </c>
      <c r="D17" s="19" t="n">
        <v>729</v>
      </c>
      <c r="E17" s="18" t="n">
        <v>55.22586248</v>
      </c>
      <c r="F17" s="20" t="n">
        <v>1.88331669</v>
      </c>
      <c r="G17" s="18" t="n">
        <v>42.62955838</v>
      </c>
      <c r="H17" s="20" t="n">
        <v>1.92091098</v>
      </c>
      <c r="I17" s="18" t="s">
        <v>567</v>
      </c>
      <c r="J17" s="20" t="s">
        <v>567</v>
      </c>
      <c r="K17" s="18" t="n">
        <v>0.16869497</v>
      </c>
      <c r="L17" s="20" t="n">
        <v>0.18819708</v>
      </c>
      <c r="M17" s="18" t="n">
        <v>0</v>
      </c>
      <c r="N17" s="20" t="n">
        <v>0</v>
      </c>
      <c r="O17" s="18" t="n">
        <v>0</v>
      </c>
      <c r="P17" s="20" t="n">
        <v>0</v>
      </c>
      <c r="Q17" s="18" t="n">
        <v>1.97588417</v>
      </c>
      <c r="R17" s="20" t="n">
        <v>0.53496329</v>
      </c>
    </row>
    <row r="18" spans="1:18">
      <c r="A18" s="15" t="s">
        <v>578</v>
      </c>
      <c r="B18" s="17" t="n">
        <v>2826</v>
      </c>
      <c r="C18" s="18">
        <f>(2210.0/B18*100)</f>
        <v/>
      </c>
      <c r="D18" s="19" t="n">
        <v>616</v>
      </c>
      <c r="E18" s="18" t="n">
        <v>68.11511351999999</v>
      </c>
      <c r="F18" s="20" t="n">
        <v>2.23556192</v>
      </c>
      <c r="G18" s="18" t="n">
        <v>30.53651305</v>
      </c>
      <c r="H18" s="20" t="n">
        <v>2.26725121</v>
      </c>
      <c r="I18" s="18" t="s">
        <v>567</v>
      </c>
      <c r="J18" s="20" t="s">
        <v>567</v>
      </c>
      <c r="K18" s="18" t="n">
        <v>0.13382698</v>
      </c>
      <c r="L18" s="20" t="n">
        <v>0.13344493</v>
      </c>
      <c r="M18" s="18" t="n">
        <v>0.12313941</v>
      </c>
      <c r="N18" s="20" t="n">
        <v>0.1232169</v>
      </c>
      <c r="O18" s="18" t="n">
        <v>0</v>
      </c>
      <c r="P18" s="20" t="n">
        <v>0</v>
      </c>
      <c r="Q18" s="18" t="n">
        <v>1.09140703</v>
      </c>
      <c r="R18" s="20" t="n">
        <v>0.43040275</v>
      </c>
    </row>
    <row r="19" spans="1:18">
      <c r="A19" s="15" t="s">
        <v>579</v>
      </c>
      <c r="B19" s="17" t="n">
        <v>2808</v>
      </c>
      <c r="C19" s="18">
        <f>(2185.0/B19*100)</f>
        <v/>
      </c>
      <c r="D19" s="19" t="n">
        <v>623</v>
      </c>
      <c r="E19" s="18" t="n">
        <v>72.53617994</v>
      </c>
      <c r="F19" s="20" t="n">
        <v>1.85628349</v>
      </c>
      <c r="G19" s="18" t="n">
        <v>26.35509376</v>
      </c>
      <c r="H19" s="20" t="n">
        <v>1.9215919</v>
      </c>
      <c r="I19" s="18" t="s">
        <v>567</v>
      </c>
      <c r="J19" s="20" t="s">
        <v>567</v>
      </c>
      <c r="K19" s="18" t="n">
        <v>0</v>
      </c>
      <c r="L19" s="20" t="n">
        <v>0</v>
      </c>
      <c r="M19" s="18" t="n">
        <v>0</v>
      </c>
      <c r="N19" s="20" t="n">
        <v>0</v>
      </c>
      <c r="O19" s="18" t="n">
        <v>0</v>
      </c>
      <c r="P19" s="20" t="n">
        <v>0</v>
      </c>
      <c r="Q19" s="18" t="n">
        <v>1.1087263</v>
      </c>
      <c r="R19" s="20" t="n">
        <v>0.45955722</v>
      </c>
    </row>
    <row r="20" spans="1:18">
      <c r="A20" s="15" t="s">
        <v>580</v>
      </c>
      <c r="B20" s="17" t="n">
        <v>1630</v>
      </c>
      <c r="C20" s="18">
        <f>(1267.0/B20*100)</f>
        <v/>
      </c>
      <c r="D20" s="19" t="n">
        <v>363</v>
      </c>
      <c r="E20" s="18" t="n">
        <v>72.50382439000001</v>
      </c>
      <c r="F20" s="20" t="n">
        <v>2.20439488</v>
      </c>
      <c r="G20" s="18" t="n">
        <v>24.13179224</v>
      </c>
      <c r="H20" s="20" t="n">
        <v>2.09326973</v>
      </c>
      <c r="I20" s="18" t="s">
        <v>567</v>
      </c>
      <c r="J20" s="20" t="s">
        <v>567</v>
      </c>
      <c r="K20" s="18" t="n">
        <v>0.53791341</v>
      </c>
      <c r="L20" s="20" t="n">
        <v>0.3861759</v>
      </c>
      <c r="M20" s="18" t="n">
        <v>0</v>
      </c>
      <c r="N20" s="20" t="n">
        <v>0</v>
      </c>
      <c r="O20" s="18" t="n">
        <v>0</v>
      </c>
      <c r="P20" s="20" t="n">
        <v>0</v>
      </c>
      <c r="Q20" s="18" t="n">
        <v>2.82646996</v>
      </c>
      <c r="R20" s="20" t="n">
        <v>0.79075354</v>
      </c>
    </row>
    <row r="21" spans="1:18">
      <c r="A21" s="15" t="s">
        <v>581</v>
      </c>
      <c r="B21" s="17" t="n">
        <v>2908</v>
      </c>
      <c r="C21" s="18">
        <f>(2257.0/B21*100)</f>
        <v/>
      </c>
      <c r="D21" s="19" t="n">
        <v>651</v>
      </c>
      <c r="E21" s="18" t="n">
        <v>64.55194167000001</v>
      </c>
      <c r="F21" s="20" t="n">
        <v>1.69823172</v>
      </c>
      <c r="G21" s="18" t="n">
        <v>33.529363</v>
      </c>
      <c r="H21" s="20" t="n">
        <v>1.67856322</v>
      </c>
      <c r="I21" s="18" t="s">
        <v>567</v>
      </c>
      <c r="J21" s="20" t="s">
        <v>567</v>
      </c>
      <c r="K21" s="18" t="n">
        <v>0.2089426</v>
      </c>
      <c r="L21" s="20" t="n">
        <v>0.17455358</v>
      </c>
      <c r="M21" s="18" t="n">
        <v>0</v>
      </c>
      <c r="N21" s="20" t="n">
        <v>0</v>
      </c>
      <c r="O21" s="18" t="n">
        <v>0</v>
      </c>
      <c r="P21" s="20" t="n">
        <v>0</v>
      </c>
      <c r="Q21" s="18" t="n">
        <v>1.70975274</v>
      </c>
      <c r="R21" s="20" t="n">
        <v>0.53437818</v>
      </c>
    </row>
    <row r="22" spans="1:18">
      <c r="A22" s="15" t="s">
        <v>582</v>
      </c>
      <c r="B22" s="17" t="n">
        <v>2931</v>
      </c>
      <c r="C22" s="18">
        <f>(2339.0/B22*100)</f>
        <v/>
      </c>
      <c r="D22" s="19" t="n">
        <v>592</v>
      </c>
      <c r="E22" s="18" t="n">
        <v>67.30176385</v>
      </c>
      <c r="F22" s="20" t="n">
        <v>2.27525033</v>
      </c>
      <c r="G22" s="18" t="n">
        <v>29.95728704</v>
      </c>
      <c r="H22" s="20" t="n">
        <v>2.30193901</v>
      </c>
      <c r="I22" s="18" t="s">
        <v>567</v>
      </c>
      <c r="J22" s="20" t="s">
        <v>567</v>
      </c>
      <c r="K22" s="18" t="n">
        <v>0.32544699</v>
      </c>
      <c r="L22" s="20" t="n">
        <v>0.27104887</v>
      </c>
      <c r="M22" s="18" t="n">
        <v>0</v>
      </c>
      <c r="N22" s="20" t="n">
        <v>0</v>
      </c>
      <c r="O22" s="18" t="n">
        <v>0</v>
      </c>
      <c r="P22" s="20" t="n">
        <v>0</v>
      </c>
      <c r="Q22" s="18" t="n">
        <v>2.41550212</v>
      </c>
      <c r="R22" s="20" t="n">
        <v>0.7812773</v>
      </c>
    </row>
    <row r="23" spans="1:18">
      <c r="A23" s="15" t="s">
        <v>583</v>
      </c>
      <c r="B23" s="17" t="n">
        <v>5791</v>
      </c>
      <c r="C23" s="18">
        <f>(4525.0/B23*100)</f>
        <v/>
      </c>
      <c r="D23" s="19" t="n">
        <v>1266</v>
      </c>
      <c r="E23" s="18" t="n">
        <v>63.38278214</v>
      </c>
      <c r="F23" s="20" t="n">
        <v>1.61572081</v>
      </c>
      <c r="G23" s="18" t="n">
        <v>33.05858437</v>
      </c>
      <c r="H23" s="20" t="n">
        <v>1.70316892</v>
      </c>
      <c r="I23" s="18" t="s">
        <v>567</v>
      </c>
      <c r="J23" s="20" t="s">
        <v>567</v>
      </c>
      <c r="K23" s="18" t="n">
        <v>0.46976829</v>
      </c>
      <c r="L23" s="20" t="n">
        <v>0.28825066</v>
      </c>
      <c r="M23" s="18" t="n">
        <v>0</v>
      </c>
      <c r="N23" s="20" t="n">
        <v>0</v>
      </c>
      <c r="O23" s="18" t="n">
        <v>0</v>
      </c>
      <c r="P23" s="20" t="n">
        <v>0</v>
      </c>
      <c r="Q23" s="18" t="n">
        <v>3.0888652</v>
      </c>
      <c r="R23" s="20" t="n">
        <v>0.77441236</v>
      </c>
    </row>
    <row r="24" spans="1:18">
      <c r="A24" s="15" t="s">
        <v>584</v>
      </c>
      <c r="B24" s="17" t="n">
        <v>3338</v>
      </c>
      <c r="C24" s="18">
        <f>(2602.0/B24*100)</f>
        <v/>
      </c>
      <c r="D24" s="19" t="n">
        <v>736</v>
      </c>
      <c r="E24" s="18" t="n">
        <v>49.1992154</v>
      </c>
      <c r="F24" s="20" t="n">
        <v>2.12626479</v>
      </c>
      <c r="G24" s="18" t="n">
        <v>48.10250682</v>
      </c>
      <c r="H24" s="20" t="n">
        <v>2.16211729</v>
      </c>
      <c r="I24" s="18" t="s">
        <v>567</v>
      </c>
      <c r="J24" s="20" t="s">
        <v>567</v>
      </c>
      <c r="K24" s="18" t="n">
        <v>0.22382227</v>
      </c>
      <c r="L24" s="20" t="n">
        <v>0.16125871</v>
      </c>
      <c r="M24" s="18" t="n">
        <v>0</v>
      </c>
      <c r="N24" s="20" t="n">
        <v>0</v>
      </c>
      <c r="O24" s="18" t="n">
        <v>0</v>
      </c>
      <c r="P24" s="20" t="n">
        <v>0</v>
      </c>
      <c r="Q24" s="18" t="n">
        <v>2.4744555</v>
      </c>
      <c r="R24" s="20" t="n">
        <v>0.54844296</v>
      </c>
    </row>
    <row r="25" spans="1:18">
      <c r="A25" s="15" t="s">
        <v>585</v>
      </c>
      <c r="B25" s="17" t="n">
        <v>2912</v>
      </c>
      <c r="C25" s="18">
        <f>(2275.0/B25*100)</f>
        <v/>
      </c>
      <c r="D25" s="19" t="n">
        <v>637</v>
      </c>
      <c r="E25" s="18" t="n">
        <v>60.48794534</v>
      </c>
      <c r="F25" s="20" t="n">
        <v>1.98737987</v>
      </c>
      <c r="G25" s="18" t="n">
        <v>38.11087035</v>
      </c>
      <c r="H25" s="20" t="n">
        <v>1.96282843</v>
      </c>
      <c r="I25" s="18" t="s">
        <v>567</v>
      </c>
      <c r="J25" s="20" t="s">
        <v>567</v>
      </c>
      <c r="K25" s="18" t="n">
        <v>0</v>
      </c>
      <c r="L25" s="20" t="n">
        <v>0</v>
      </c>
      <c r="M25" s="18" t="n">
        <v>0</v>
      </c>
      <c r="N25" s="20" t="n">
        <v>0</v>
      </c>
      <c r="O25" s="18" t="n">
        <v>0</v>
      </c>
      <c r="P25" s="20" t="n">
        <v>0</v>
      </c>
      <c r="Q25" s="18" t="n">
        <v>1.40118431</v>
      </c>
      <c r="R25" s="20" t="n">
        <v>0.5070040099999999</v>
      </c>
    </row>
    <row r="26" spans="1:18">
      <c r="A26" s="15" t="s">
        <v>586</v>
      </c>
      <c r="B26" s="17" t="n">
        <v>2450</v>
      </c>
      <c r="C26" s="18">
        <f>(1908.0/B26*100)</f>
        <v/>
      </c>
      <c r="D26" s="19" t="n">
        <v>542</v>
      </c>
      <c r="E26" s="18" t="n">
        <v>62.74814509</v>
      </c>
      <c r="F26" s="20" t="n">
        <v>2.753791</v>
      </c>
      <c r="G26" s="18" t="n">
        <v>36.96604497</v>
      </c>
      <c r="H26" s="20" t="n">
        <v>2.75583713</v>
      </c>
      <c r="I26" s="18" t="s">
        <v>567</v>
      </c>
      <c r="J26" s="20" t="s">
        <v>567</v>
      </c>
      <c r="K26" s="18" t="n">
        <v>0</v>
      </c>
      <c r="L26" s="20" t="n">
        <v>0</v>
      </c>
      <c r="M26" s="18" t="n">
        <v>0</v>
      </c>
      <c r="N26" s="20" t="n">
        <v>0</v>
      </c>
      <c r="O26" s="18" t="n">
        <v>0</v>
      </c>
      <c r="P26" s="20" t="n">
        <v>0</v>
      </c>
      <c r="Q26" s="18" t="n">
        <v>0.28580993</v>
      </c>
      <c r="R26" s="20" t="n">
        <v>0.18844974</v>
      </c>
    </row>
    <row r="27" spans="1:18">
      <c r="A27" s="15" t="s">
        <v>587</v>
      </c>
      <c r="B27" s="17" t="n">
        <v>2616</v>
      </c>
      <c r="C27" s="18">
        <f>(2036.0/B27*100)</f>
        <v/>
      </c>
      <c r="D27" s="19" t="n">
        <v>580</v>
      </c>
      <c r="E27" s="18" t="n">
        <v>65.10179066000001</v>
      </c>
      <c r="F27" s="20" t="n">
        <v>1.89377159</v>
      </c>
      <c r="G27" s="18" t="n">
        <v>32.46080406</v>
      </c>
      <c r="H27" s="20" t="n">
        <v>1.76705213</v>
      </c>
      <c r="I27" s="18" t="s">
        <v>567</v>
      </c>
      <c r="J27" s="20" t="s">
        <v>567</v>
      </c>
      <c r="K27" s="18" t="n">
        <v>0</v>
      </c>
      <c r="L27" s="20" t="n">
        <v>0</v>
      </c>
      <c r="M27" s="18" t="n">
        <v>0</v>
      </c>
      <c r="N27" s="20" t="n">
        <v>0</v>
      </c>
      <c r="O27" s="18" t="n">
        <v>0</v>
      </c>
      <c r="P27" s="20" t="n">
        <v>0</v>
      </c>
      <c r="Q27" s="18" t="n">
        <v>2.43740528</v>
      </c>
      <c r="R27" s="20" t="n">
        <v>0.66100578</v>
      </c>
    </row>
    <row r="28" spans="1:18">
      <c r="A28" s="15" t="s">
        <v>588</v>
      </c>
      <c r="B28" s="17" t="n">
        <v>3765</v>
      </c>
      <c r="C28" s="18">
        <f>(3007.0/B28*100)</f>
        <v/>
      </c>
      <c r="D28" s="19" t="n">
        <v>758</v>
      </c>
      <c r="E28" s="18" t="n">
        <v>72.29973724</v>
      </c>
      <c r="F28" s="20" t="n">
        <v>1.60391076</v>
      </c>
      <c r="G28" s="18" t="n">
        <v>25.46939769</v>
      </c>
      <c r="H28" s="20" t="n">
        <v>1.6410582</v>
      </c>
      <c r="I28" s="18" t="s">
        <v>567</v>
      </c>
      <c r="J28" s="20" t="s">
        <v>567</v>
      </c>
      <c r="K28" s="18" t="n">
        <v>0.35574311</v>
      </c>
      <c r="L28" s="20" t="n">
        <v>0.20913037</v>
      </c>
      <c r="M28" s="18" t="n">
        <v>0.56995839</v>
      </c>
      <c r="N28" s="20" t="n">
        <v>0.32576596</v>
      </c>
      <c r="O28" s="18" t="n">
        <v>0</v>
      </c>
      <c r="P28" s="20" t="n">
        <v>0</v>
      </c>
      <c r="Q28" s="18" t="n">
        <v>1.30516357</v>
      </c>
      <c r="R28" s="20" t="n">
        <v>0.52208896</v>
      </c>
    </row>
    <row r="29" spans="1:18">
      <c r="A29" s="15" t="s">
        <v>589</v>
      </c>
      <c r="B29" s="17" t="n">
        <v>2685</v>
      </c>
      <c r="C29" s="18">
        <f>(2100.0/B29*100)</f>
        <v/>
      </c>
      <c r="D29" s="19" t="n">
        <v>585</v>
      </c>
      <c r="E29" s="18" t="n">
        <v>57.42493387</v>
      </c>
      <c r="F29" s="20" t="n">
        <v>2.24696513</v>
      </c>
      <c r="G29" s="18" t="n">
        <v>42.40693186</v>
      </c>
      <c r="H29" s="20" t="n">
        <v>2.2148853</v>
      </c>
      <c r="I29" s="18" t="s">
        <v>567</v>
      </c>
      <c r="J29" s="20" t="s">
        <v>567</v>
      </c>
      <c r="K29" s="18" t="n">
        <v>0.16813427</v>
      </c>
      <c r="L29" s="20" t="n">
        <v>0.16591884</v>
      </c>
      <c r="M29" s="18" t="n">
        <v>0</v>
      </c>
      <c r="N29" s="20" t="n">
        <v>0</v>
      </c>
      <c r="O29" s="18" t="n">
        <v>0</v>
      </c>
      <c r="P29" s="20" t="n">
        <v>0</v>
      </c>
      <c r="Q29" s="18" t="n">
        <v>0</v>
      </c>
      <c r="R29" s="20" t="n">
        <v>0</v>
      </c>
    </row>
    <row r="30" spans="1:18">
      <c r="A30" s="15" t="s">
        <v>590</v>
      </c>
      <c r="B30" s="17" t="n">
        <v>2263</v>
      </c>
      <c r="C30" s="18">
        <f>(1778.0/B30*100)</f>
        <v/>
      </c>
      <c r="D30" s="19" t="n">
        <v>485</v>
      </c>
      <c r="E30" s="18" t="n">
        <v>51.72130717</v>
      </c>
      <c r="F30" s="20" t="n">
        <v>2.66197895</v>
      </c>
      <c r="G30" s="18" t="n">
        <v>44.71715059</v>
      </c>
      <c r="H30" s="20" t="n">
        <v>2.50695794</v>
      </c>
      <c r="I30" s="18" t="s">
        <v>567</v>
      </c>
      <c r="J30" s="20" t="s">
        <v>567</v>
      </c>
      <c r="K30" s="18" t="n">
        <v>0</v>
      </c>
      <c r="L30" s="20" t="n">
        <v>0</v>
      </c>
      <c r="M30" s="18" t="n">
        <v>0</v>
      </c>
      <c r="N30" s="20" t="n">
        <v>0</v>
      </c>
      <c r="O30" s="18" t="n">
        <v>0</v>
      </c>
      <c r="P30" s="20" t="n">
        <v>0</v>
      </c>
      <c r="Q30" s="18" t="n">
        <v>3.56154224</v>
      </c>
      <c r="R30" s="20" t="n">
        <v>0.90262073</v>
      </c>
    </row>
    <row r="31" spans="1:18">
      <c r="A31" s="15" t="s">
        <v>591</v>
      </c>
      <c r="B31" s="17" t="n">
        <v>2750</v>
      </c>
      <c r="C31" s="18">
        <f>(2170.0/B31*100)</f>
        <v/>
      </c>
      <c r="D31" s="19" t="n">
        <v>580</v>
      </c>
      <c r="E31" s="18" t="n">
        <v>61.14350132</v>
      </c>
      <c r="F31" s="20" t="n">
        <v>2.2223989</v>
      </c>
      <c r="G31" s="18" t="n">
        <v>35.89164121</v>
      </c>
      <c r="H31" s="20" t="n">
        <v>2.11428275</v>
      </c>
      <c r="I31" s="18" t="s">
        <v>567</v>
      </c>
      <c r="J31" s="20" t="s">
        <v>567</v>
      </c>
      <c r="K31" s="18" t="n">
        <v>0.62991138</v>
      </c>
      <c r="L31" s="20" t="n">
        <v>0.30927078</v>
      </c>
      <c r="M31" s="18" t="n">
        <v>0.34291227</v>
      </c>
      <c r="N31" s="20" t="n">
        <v>0.39448408</v>
      </c>
      <c r="O31" s="18" t="n">
        <v>0</v>
      </c>
      <c r="P31" s="20" t="n">
        <v>0</v>
      </c>
      <c r="Q31" s="18" t="n">
        <v>1.99203382</v>
      </c>
      <c r="R31" s="20" t="n">
        <v>0.67592113</v>
      </c>
    </row>
    <row r="32" spans="1:18">
      <c r="A32" s="15" t="s">
        <v>592</v>
      </c>
      <c r="B32" s="17" t="n">
        <v>2269</v>
      </c>
      <c r="C32" s="18">
        <f>(1805.0/B32*100)</f>
        <v/>
      </c>
      <c r="D32" s="19" t="n">
        <v>464</v>
      </c>
      <c r="E32" s="18" t="n">
        <v>68.20563878999999</v>
      </c>
      <c r="F32" s="20" t="n">
        <v>2.33720693</v>
      </c>
      <c r="G32" s="18" t="n">
        <v>30.35726246</v>
      </c>
      <c r="H32" s="20" t="n">
        <v>2.30853685</v>
      </c>
      <c r="I32" s="18" t="s">
        <v>567</v>
      </c>
      <c r="J32" s="20" t="s">
        <v>567</v>
      </c>
      <c r="K32" s="18" t="n">
        <v>0.18378895</v>
      </c>
      <c r="L32" s="20" t="n">
        <v>0.18298919</v>
      </c>
      <c r="M32" s="18" t="n">
        <v>0</v>
      </c>
      <c r="N32" s="20" t="n">
        <v>0</v>
      </c>
      <c r="O32" s="18" t="n">
        <v>0</v>
      </c>
      <c r="P32" s="20" t="n">
        <v>0</v>
      </c>
      <c r="Q32" s="18" t="n">
        <v>1.25330979</v>
      </c>
      <c r="R32" s="20" t="n">
        <v>0.5143436</v>
      </c>
    </row>
    <row r="33" spans="1:18">
      <c r="A33" s="15" t="s">
        <v>593</v>
      </c>
      <c r="B33" s="17" t="n">
        <v>3674</v>
      </c>
      <c r="C33" s="18">
        <f>(2858.0/B33*100)</f>
        <v/>
      </c>
      <c r="D33" s="19" t="n">
        <v>816</v>
      </c>
      <c r="E33" s="18" t="n">
        <v>62.23727526</v>
      </c>
      <c r="F33" s="20" t="n">
        <v>1.99872718</v>
      </c>
      <c r="G33" s="18" t="n">
        <v>36.6522578</v>
      </c>
      <c r="H33" s="20" t="n">
        <v>1.9213318</v>
      </c>
      <c r="I33" s="18" t="s">
        <v>567</v>
      </c>
      <c r="J33" s="20" t="s">
        <v>567</v>
      </c>
      <c r="K33" s="18" t="n">
        <v>0</v>
      </c>
      <c r="L33" s="20" t="n">
        <v>0</v>
      </c>
      <c r="M33" s="18" t="n">
        <v>0.01084975</v>
      </c>
      <c r="N33" s="20" t="n">
        <v>0.00694048</v>
      </c>
      <c r="O33" s="18" t="n">
        <v>0</v>
      </c>
      <c r="P33" s="20" t="n">
        <v>0</v>
      </c>
      <c r="Q33" s="18" t="n">
        <v>1.09961719</v>
      </c>
      <c r="R33" s="20" t="n">
        <v>0.37957504</v>
      </c>
    </row>
    <row r="34" spans="1:18">
      <c r="A34" s="15" t="s">
        <v>594</v>
      </c>
      <c r="B34" s="17" t="n">
        <v>3315</v>
      </c>
      <c r="C34" s="18">
        <f>(2592.0/B34*100)</f>
        <v/>
      </c>
      <c r="D34" s="19" t="n">
        <v>723</v>
      </c>
      <c r="E34" s="18" t="n">
        <v>72.87416577</v>
      </c>
      <c r="F34" s="20" t="n">
        <v>1.99269784</v>
      </c>
      <c r="G34" s="18" t="n">
        <v>24.53581454</v>
      </c>
      <c r="H34" s="20" t="n">
        <v>1.93715419</v>
      </c>
      <c r="I34" s="18" t="s">
        <v>567</v>
      </c>
      <c r="J34" s="20" t="s">
        <v>567</v>
      </c>
      <c r="K34" s="18" t="n">
        <v>0</v>
      </c>
      <c r="L34" s="20" t="n">
        <v>0</v>
      </c>
      <c r="M34" s="18" t="n">
        <v>0.34861444</v>
      </c>
      <c r="N34" s="20" t="n">
        <v>0.28579255</v>
      </c>
      <c r="O34" s="18" t="n">
        <v>0</v>
      </c>
      <c r="P34" s="20" t="n">
        <v>0</v>
      </c>
      <c r="Q34" s="18" t="n">
        <v>2.24140526</v>
      </c>
      <c r="R34" s="20" t="n">
        <v>0.80709717</v>
      </c>
    </row>
    <row r="35" spans="1:18">
      <c r="A35" s="15" t="s">
        <v>595</v>
      </c>
      <c r="B35" s="17" t="n">
        <v>3505</v>
      </c>
      <c r="C35" s="18">
        <f>(2714.0/B35*100)</f>
        <v/>
      </c>
      <c r="D35" s="19" t="n">
        <v>791</v>
      </c>
      <c r="E35" s="18" t="n">
        <v>62.2448171</v>
      </c>
      <c r="F35" s="20" t="n">
        <v>1.75687885</v>
      </c>
      <c r="G35" s="18" t="n">
        <v>36.87411296</v>
      </c>
      <c r="H35" s="20" t="n">
        <v>1.75788034</v>
      </c>
      <c r="I35" s="18" t="s">
        <v>567</v>
      </c>
      <c r="J35" s="20" t="s">
        <v>567</v>
      </c>
      <c r="K35" s="18" t="n">
        <v>0.06352963</v>
      </c>
      <c r="L35" s="20" t="n">
        <v>0.06369082</v>
      </c>
      <c r="M35" s="18" t="n">
        <v>0.22397316</v>
      </c>
      <c r="N35" s="20" t="n">
        <v>0.22464619</v>
      </c>
      <c r="O35" s="18" t="n">
        <v>0</v>
      </c>
      <c r="P35" s="20" t="n">
        <v>0</v>
      </c>
      <c r="Q35" s="18" t="n">
        <v>0.59356715</v>
      </c>
      <c r="R35" s="20" t="n">
        <v>0.3030866</v>
      </c>
    </row>
    <row r="36" spans="1:18">
      <c r="A36" s="15" t="s">
        <v>596</v>
      </c>
      <c r="B36" s="17" t="n">
        <v>3332</v>
      </c>
      <c r="C36" s="18">
        <f>(2615.0/B36*100)</f>
        <v/>
      </c>
      <c r="D36" s="19" t="n">
        <v>717</v>
      </c>
      <c r="E36" s="18" t="n">
        <v>61.60697364</v>
      </c>
      <c r="F36" s="20" t="n">
        <v>1.96724273</v>
      </c>
      <c r="G36" s="18" t="n">
        <v>36.1307462</v>
      </c>
      <c r="H36" s="20" t="n">
        <v>1.98782319</v>
      </c>
      <c r="I36" s="18" t="s">
        <v>567</v>
      </c>
      <c r="J36" s="20" t="s">
        <v>567</v>
      </c>
      <c r="K36" s="18" t="n">
        <v>0.39198834</v>
      </c>
      <c r="L36" s="20" t="n">
        <v>0.29452181</v>
      </c>
      <c r="M36" s="18" t="n">
        <v>0</v>
      </c>
      <c r="N36" s="20" t="n">
        <v>0</v>
      </c>
      <c r="O36" s="18" t="n">
        <v>0</v>
      </c>
      <c r="P36" s="20" t="n">
        <v>0</v>
      </c>
      <c r="Q36" s="18" t="n">
        <v>1.87029183</v>
      </c>
      <c r="R36" s="20" t="n">
        <v>0.44450626</v>
      </c>
    </row>
    <row r="37" spans="1:18">
      <c r="A37" s="15" t="s">
        <v>597</v>
      </c>
      <c r="B37" s="17" t="n">
        <v>2727</v>
      </c>
      <c r="C37" s="18">
        <f>(2115.0/B37*100)</f>
        <v/>
      </c>
      <c r="D37" s="19" t="n">
        <v>612</v>
      </c>
      <c r="E37" s="18" t="n">
        <v>64.74967345</v>
      </c>
      <c r="F37" s="20" t="n">
        <v>1.96483195</v>
      </c>
      <c r="G37" s="18" t="n">
        <v>31.36753998</v>
      </c>
      <c r="H37" s="20" t="n">
        <v>1.95901422</v>
      </c>
      <c r="I37" s="18" t="s">
        <v>567</v>
      </c>
      <c r="J37" s="20" t="s">
        <v>567</v>
      </c>
      <c r="K37" s="18" t="n">
        <v>0.68761982</v>
      </c>
      <c r="L37" s="20" t="n">
        <v>0.33096908</v>
      </c>
      <c r="M37" s="18" t="n">
        <v>0</v>
      </c>
      <c r="N37" s="20" t="n">
        <v>0</v>
      </c>
      <c r="O37" s="18" t="n">
        <v>0</v>
      </c>
      <c r="P37" s="20" t="n">
        <v>0</v>
      </c>
      <c r="Q37" s="18" t="n">
        <v>3.19516675</v>
      </c>
      <c r="R37" s="20" t="n">
        <v>0.65679189</v>
      </c>
    </row>
    <row r="38" spans="1:18">
      <c r="A38" s="15" t="s">
        <v>598</v>
      </c>
      <c r="B38" s="17" t="n">
        <v>3053</v>
      </c>
      <c r="C38" s="18">
        <f>(2325.0/B38*100)</f>
        <v/>
      </c>
      <c r="D38" s="19" t="n">
        <v>728</v>
      </c>
      <c r="E38" s="18" t="n">
        <v>57.15846007</v>
      </c>
      <c r="F38" s="20" t="n">
        <v>2.3378612</v>
      </c>
      <c r="G38" s="18" t="n">
        <v>39.98503767</v>
      </c>
      <c r="H38" s="20" t="n">
        <v>2.31879371</v>
      </c>
      <c r="I38" s="18" t="s">
        <v>567</v>
      </c>
      <c r="J38" s="20" t="s">
        <v>567</v>
      </c>
      <c r="K38" s="18" t="n">
        <v>0</v>
      </c>
      <c r="L38" s="20" t="n">
        <v>0</v>
      </c>
      <c r="M38" s="18" t="n">
        <v>1.71666442</v>
      </c>
      <c r="N38" s="20" t="n">
        <v>0.5336838</v>
      </c>
      <c r="O38" s="18" t="n">
        <v>0</v>
      </c>
      <c r="P38" s="20" t="n">
        <v>0</v>
      </c>
      <c r="Q38" s="18" t="n">
        <v>1.13983785</v>
      </c>
      <c r="R38" s="20" t="n">
        <v>0.36057321</v>
      </c>
    </row>
    <row r="39" spans="1:18">
      <c r="A39" s="15" t="s">
        <v>599</v>
      </c>
      <c r="B39" s="17" t="n">
        <v>2957</v>
      </c>
      <c r="C39" s="18">
        <f>(2313.0/B39*100)</f>
        <v/>
      </c>
      <c r="D39" s="19" t="n">
        <v>644</v>
      </c>
      <c r="E39" s="18" t="n">
        <v>84.90466934</v>
      </c>
      <c r="F39" s="20" t="n">
        <v>1.42504385</v>
      </c>
      <c r="G39" s="18" t="n">
        <v>13.20095643</v>
      </c>
      <c r="H39" s="20" t="n">
        <v>1.51038095</v>
      </c>
      <c r="I39" s="18" t="s">
        <v>567</v>
      </c>
      <c r="J39" s="20" t="s">
        <v>567</v>
      </c>
      <c r="K39" s="18" t="n">
        <v>0.19837597</v>
      </c>
      <c r="L39" s="20" t="n">
        <v>0.19799613</v>
      </c>
      <c r="M39" s="18" t="n">
        <v>0</v>
      </c>
      <c r="N39" s="20" t="n">
        <v>0</v>
      </c>
      <c r="O39" s="18" t="n">
        <v>0</v>
      </c>
      <c r="P39" s="20" t="n">
        <v>0</v>
      </c>
      <c r="Q39" s="18" t="n">
        <v>1.69599826</v>
      </c>
      <c r="R39" s="20" t="n">
        <v>0.57082232</v>
      </c>
    </row>
    <row r="40" spans="1:18">
      <c r="A40" s="15" t="s">
        <v>600</v>
      </c>
      <c r="B40" s="17" t="n">
        <v>7235</v>
      </c>
      <c r="C40" s="18">
        <f>(5585.0/B40*100)</f>
        <v/>
      </c>
      <c r="D40" s="19" t="n">
        <v>1650</v>
      </c>
      <c r="E40" s="18" t="n">
        <v>58.44481284</v>
      </c>
      <c r="F40" s="20" t="n">
        <v>1.93390259</v>
      </c>
      <c r="G40" s="18" t="n">
        <v>39.46703054</v>
      </c>
      <c r="H40" s="20" t="n">
        <v>2.06642148</v>
      </c>
      <c r="I40" s="18" t="s">
        <v>567</v>
      </c>
      <c r="J40" s="20" t="s">
        <v>567</v>
      </c>
      <c r="K40" s="18" t="n">
        <v>0.1321385</v>
      </c>
      <c r="L40" s="20" t="n">
        <v>0.10805098</v>
      </c>
      <c r="M40" s="18" t="n">
        <v>0.04540995</v>
      </c>
      <c r="N40" s="20" t="n">
        <v>0.04396883</v>
      </c>
      <c r="O40" s="18" t="n">
        <v>0</v>
      </c>
      <c r="P40" s="20" t="n">
        <v>0</v>
      </c>
      <c r="Q40" s="18" t="n">
        <v>1.91060818</v>
      </c>
      <c r="R40" s="20" t="n">
        <v>0.42591716</v>
      </c>
    </row>
    <row r="41" spans="1:18">
      <c r="A41" s="15" t="s">
        <v>601</v>
      </c>
      <c r="B41" s="17" t="n">
        <v>2858</v>
      </c>
      <c r="C41" s="18">
        <f>(2250.0/B41*100)</f>
        <v/>
      </c>
      <c r="D41" s="19" t="n">
        <v>608</v>
      </c>
      <c r="E41" s="18" t="n">
        <v>63.29310737</v>
      </c>
      <c r="F41" s="20" t="n">
        <v>2.46188189</v>
      </c>
      <c r="G41" s="18" t="n">
        <v>35.31028899</v>
      </c>
      <c r="H41" s="20" t="n">
        <v>2.42578057</v>
      </c>
      <c r="I41" s="18" t="s">
        <v>567</v>
      </c>
      <c r="J41" s="20" t="s">
        <v>567</v>
      </c>
      <c r="K41" s="18" t="n">
        <v>0.22491117</v>
      </c>
      <c r="L41" s="20" t="n">
        <v>0.1829559</v>
      </c>
      <c r="M41" s="18" t="n">
        <v>0</v>
      </c>
      <c r="N41" s="20" t="n">
        <v>0</v>
      </c>
      <c r="O41" s="18" t="n">
        <v>0</v>
      </c>
      <c r="P41" s="20" t="n">
        <v>0</v>
      </c>
      <c r="Q41" s="18" t="n">
        <v>1.17169247</v>
      </c>
      <c r="R41" s="20" t="n">
        <v>0.40148783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(8924.0/B46*100)</f>
        <v/>
      </c>
      <c r="D46" s="19" t="n">
        <v>2144</v>
      </c>
      <c r="E46" s="18" t="n">
        <v>67.63227841</v>
      </c>
      <c r="F46" s="20" t="n">
        <v>1.47846724</v>
      </c>
      <c r="G46" s="18" t="n">
        <v>26.69398474</v>
      </c>
      <c r="H46" s="20" t="n">
        <v>1.29287593</v>
      </c>
      <c r="I46" s="18" t="s">
        <v>567</v>
      </c>
      <c r="J46" s="20" t="s">
        <v>567</v>
      </c>
      <c r="K46" s="18" t="n">
        <v>0.99505382</v>
      </c>
      <c r="L46" s="20" t="n">
        <v>0.25985498</v>
      </c>
      <c r="M46" s="18" t="n">
        <v>0.54734489</v>
      </c>
      <c r="N46" s="20" t="n">
        <v>0.25186139</v>
      </c>
      <c r="O46" s="18" t="n">
        <v>0</v>
      </c>
      <c r="P46" s="20" t="n">
        <v>0</v>
      </c>
      <c r="Q46" s="18" t="n">
        <v>4.13133813</v>
      </c>
      <c r="R46" s="20" t="n">
        <v>0.49072887</v>
      </c>
    </row>
    <row r="47" spans="1:18">
      <c r="A47" s="15" t="s">
        <v>607</v>
      </c>
      <c r="B47" s="17" t="n">
        <v>3105</v>
      </c>
      <c r="C47" s="18">
        <f>(2439.0/B47*100)</f>
        <v/>
      </c>
      <c r="D47" s="19" t="n">
        <v>666</v>
      </c>
      <c r="E47" s="18" t="n">
        <v>67.43922254</v>
      </c>
      <c r="F47" s="20" t="n">
        <v>2.29736493</v>
      </c>
      <c r="G47" s="18" t="n">
        <v>29.28073468</v>
      </c>
      <c r="H47" s="20" t="n">
        <v>2.34009896</v>
      </c>
      <c r="I47" s="18" t="s">
        <v>567</v>
      </c>
      <c r="J47" s="20" t="s">
        <v>567</v>
      </c>
      <c r="K47" s="18" t="n">
        <v>0.43336611</v>
      </c>
      <c r="L47" s="20" t="n">
        <v>0.26069285</v>
      </c>
      <c r="M47" s="18" t="n">
        <v>0.28391585</v>
      </c>
      <c r="N47" s="20" t="n">
        <v>0.20177625</v>
      </c>
      <c r="O47" s="18" t="n">
        <v>0</v>
      </c>
      <c r="P47" s="20" t="n">
        <v>0</v>
      </c>
      <c r="Q47" s="18" t="n">
        <v>2.56276082</v>
      </c>
      <c r="R47" s="20" t="n">
        <v>0.69511131</v>
      </c>
    </row>
    <row r="48" spans="1:18">
      <c r="A48" s="15" t="s">
        <v>608</v>
      </c>
      <c r="B48" s="17" t="n">
        <v>5159</v>
      </c>
      <c r="C48" s="18">
        <f>(4010.0/B48*100)</f>
        <v/>
      </c>
      <c r="D48" s="19" t="n">
        <v>1149</v>
      </c>
      <c r="E48" s="18" t="n">
        <v>58.49817769</v>
      </c>
      <c r="F48" s="20" t="n">
        <v>2.11837933</v>
      </c>
      <c r="G48" s="18" t="n">
        <v>40.78716632</v>
      </c>
      <c r="H48" s="20" t="n">
        <v>2.14159214</v>
      </c>
      <c r="I48" s="18" t="s">
        <v>567</v>
      </c>
      <c r="J48" s="20" t="s">
        <v>567</v>
      </c>
      <c r="K48" s="18" t="n">
        <v>0.27287786</v>
      </c>
      <c r="L48" s="20" t="n">
        <v>0.18102709</v>
      </c>
      <c r="M48" s="18" t="n">
        <v>0</v>
      </c>
      <c r="N48" s="20" t="n">
        <v>0</v>
      </c>
      <c r="O48" s="18" t="n">
        <v>0</v>
      </c>
      <c r="P48" s="20" t="n">
        <v>0</v>
      </c>
      <c r="Q48" s="18" t="n">
        <v>0.44177812</v>
      </c>
      <c r="R48" s="20" t="n">
        <v>0.30568802</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(4420.0/B50*100)</f>
        <v/>
      </c>
      <c r="D50" s="19" t="n">
        <v>1217</v>
      </c>
      <c r="E50" s="18" t="n">
        <v>73.16818275999999</v>
      </c>
      <c r="F50" s="20" t="n">
        <v>1.58963889</v>
      </c>
      <c r="G50" s="18" t="n">
        <v>23.9229248</v>
      </c>
      <c r="H50" s="20" t="n">
        <v>1.5163866</v>
      </c>
      <c r="I50" s="18" t="s">
        <v>567</v>
      </c>
      <c r="J50" s="20" t="s">
        <v>567</v>
      </c>
      <c r="K50" s="18" t="n">
        <v>1.07470786</v>
      </c>
      <c r="L50" s="20" t="n">
        <v>0.5001289799999999</v>
      </c>
      <c r="M50" s="18" t="n">
        <v>0.01807662</v>
      </c>
      <c r="N50" s="20" t="n">
        <v>0.0181463</v>
      </c>
      <c r="O50" s="18" t="n">
        <v>0</v>
      </c>
      <c r="P50" s="20" t="n">
        <v>0</v>
      </c>
      <c r="Q50" s="18" t="n">
        <v>1.81610795</v>
      </c>
      <c r="R50" s="20" t="n">
        <v>0.52843416</v>
      </c>
    </row>
    <row r="51" spans="1:18">
      <c r="A51" s="15" t="s">
        <v>611</v>
      </c>
      <c r="B51" s="17" t="n">
        <v>3372</v>
      </c>
      <c r="C51" s="18">
        <f>(2734.0/B51*100)</f>
        <v/>
      </c>
      <c r="D51" s="19" t="n">
        <v>638</v>
      </c>
      <c r="E51" s="18" t="n">
        <v>80.01048517</v>
      </c>
      <c r="F51" s="20" t="n">
        <v>1.82967995</v>
      </c>
      <c r="G51" s="18" t="n">
        <v>16.30470027</v>
      </c>
      <c r="H51" s="20" t="n">
        <v>1.58721566</v>
      </c>
      <c r="I51" s="18" t="s">
        <v>567</v>
      </c>
      <c r="J51" s="20" t="s">
        <v>567</v>
      </c>
      <c r="K51" s="18" t="n">
        <v>0.55985759</v>
      </c>
      <c r="L51" s="20" t="n">
        <v>0.30479081</v>
      </c>
      <c r="M51" s="18" t="n">
        <v>0.15153512</v>
      </c>
      <c r="N51" s="20" t="n">
        <v>0.15269874</v>
      </c>
      <c r="O51" s="18" t="n">
        <v>0</v>
      </c>
      <c r="P51" s="20" t="n">
        <v>0</v>
      </c>
      <c r="Q51" s="18" t="n">
        <v>2.97342186</v>
      </c>
      <c r="R51" s="20" t="n">
        <v>0.73735473</v>
      </c>
    </row>
    <row r="52" spans="1:18">
      <c r="A52" s="15" t="s">
        <v>612</v>
      </c>
      <c r="B52" s="17" t="n">
        <v>2796</v>
      </c>
      <c r="C52" s="18">
        <f>(2175.0/B52*100)</f>
        <v/>
      </c>
      <c r="D52" s="19" t="n">
        <v>621</v>
      </c>
      <c r="E52" s="18" t="n">
        <v>67.22717772</v>
      </c>
      <c r="F52" s="20" t="n">
        <v>1.89595879</v>
      </c>
      <c r="G52" s="18" t="n">
        <v>31.17277944</v>
      </c>
      <c r="H52" s="20" t="n">
        <v>1.84045364</v>
      </c>
      <c r="I52" s="18" t="s">
        <v>567</v>
      </c>
      <c r="J52" s="20" t="s">
        <v>567</v>
      </c>
      <c r="K52" s="18" t="n">
        <v>0.16462784</v>
      </c>
      <c r="L52" s="20" t="n">
        <v>0.16135095</v>
      </c>
      <c r="M52" s="18" t="n">
        <v>0</v>
      </c>
      <c r="N52" s="20" t="n">
        <v>0</v>
      </c>
      <c r="O52" s="18" t="n">
        <v>0</v>
      </c>
      <c r="P52" s="20" t="n">
        <v>0</v>
      </c>
      <c r="Q52" s="18" t="n">
        <v>1.435415</v>
      </c>
      <c r="R52" s="20" t="n">
        <v>0.39189875</v>
      </c>
    </row>
    <row r="53" spans="1:18">
      <c r="A53" s="15" t="s">
        <v>613</v>
      </c>
      <c r="B53" s="17" t="n">
        <v>2811</v>
      </c>
      <c r="C53" s="18">
        <f>(2180.0/B53*100)</f>
        <v/>
      </c>
      <c r="D53" s="19" t="n">
        <v>631</v>
      </c>
      <c r="E53" s="18" t="n">
        <v>76.33420285</v>
      </c>
      <c r="F53" s="20" t="n">
        <v>2.0208061</v>
      </c>
      <c r="G53" s="18" t="n">
        <v>21.7075599</v>
      </c>
      <c r="H53" s="20" t="n">
        <v>1.89956464</v>
      </c>
      <c r="I53" s="18" t="s">
        <v>567</v>
      </c>
      <c r="J53" s="20" t="s">
        <v>567</v>
      </c>
      <c r="K53" s="18" t="n">
        <v>0.21191655</v>
      </c>
      <c r="L53" s="20" t="n">
        <v>0.21244721</v>
      </c>
      <c r="M53" s="18" t="n">
        <v>0</v>
      </c>
      <c r="N53" s="20" t="n">
        <v>0</v>
      </c>
      <c r="O53" s="18" t="n">
        <v>0</v>
      </c>
      <c r="P53" s="20" t="n">
        <v>0</v>
      </c>
      <c r="Q53" s="18" t="n">
        <v>1.7463207</v>
      </c>
      <c r="R53" s="20" t="n">
        <v>0.48918054</v>
      </c>
    </row>
    <row r="54" spans="1:18">
      <c r="A54" s="15" t="s">
        <v>614</v>
      </c>
      <c r="B54" s="17" t="n">
        <v>2266</v>
      </c>
      <c r="C54" s="18">
        <f>(1789.0/B54*100)</f>
        <v/>
      </c>
      <c r="D54" s="19" t="n">
        <v>477</v>
      </c>
      <c r="E54" s="18" t="n">
        <v>81.37012586</v>
      </c>
      <c r="F54" s="20" t="n">
        <v>2.16317617</v>
      </c>
      <c r="G54" s="18" t="n">
        <v>6.11946463</v>
      </c>
      <c r="H54" s="20" t="n">
        <v>1.31559445</v>
      </c>
      <c r="I54" s="18" t="s">
        <v>567</v>
      </c>
      <c r="J54" s="20" t="s">
        <v>567</v>
      </c>
      <c r="K54" s="18" t="n">
        <v>7.19539997</v>
      </c>
      <c r="L54" s="20" t="n">
        <v>1.47173968</v>
      </c>
      <c r="M54" s="18" t="n">
        <v>0.85556767</v>
      </c>
      <c r="N54" s="20" t="n">
        <v>0.62721516</v>
      </c>
      <c r="O54" s="18" t="n">
        <v>0</v>
      </c>
      <c r="P54" s="20" t="n">
        <v>0</v>
      </c>
      <c r="Q54" s="18" t="n">
        <v>4.45944187</v>
      </c>
      <c r="R54" s="20" t="n">
        <v>1.08037159</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(2088.0/B56*100)</f>
        <v/>
      </c>
      <c r="D56" s="19" t="n">
        <v>596</v>
      </c>
      <c r="E56" s="18" t="n">
        <v>64.2014034</v>
      </c>
      <c r="F56" s="20" t="n">
        <v>2.3037468</v>
      </c>
      <c r="G56" s="18" t="n">
        <v>34.65817456</v>
      </c>
      <c r="H56" s="20" t="n">
        <v>2.25462624</v>
      </c>
      <c r="I56" s="18" t="s">
        <v>567</v>
      </c>
      <c r="J56" s="20" t="s">
        <v>567</v>
      </c>
      <c r="K56" s="18" t="n">
        <v>0.444689</v>
      </c>
      <c r="L56" s="20" t="n">
        <v>0.35703117</v>
      </c>
      <c r="M56" s="18" t="n">
        <v>0</v>
      </c>
      <c r="N56" s="20" t="n">
        <v>0</v>
      </c>
      <c r="O56" s="18" t="n">
        <v>0</v>
      </c>
      <c r="P56" s="20" t="n">
        <v>0</v>
      </c>
      <c r="Q56" s="18" t="n">
        <v>0.69573304</v>
      </c>
      <c r="R56" s="20" t="n">
        <v>0.35004329</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(2598.0/B61*100)</f>
        <v/>
      </c>
      <c r="D61" s="19" t="n">
        <v>726</v>
      </c>
      <c r="E61" s="18" t="n">
        <v>73.13032198000001</v>
      </c>
      <c r="F61" s="20" t="n">
        <v>1.65803574</v>
      </c>
      <c r="G61" s="18" t="n">
        <v>26.13705237</v>
      </c>
      <c r="H61" s="20" t="n">
        <v>1.65535204</v>
      </c>
      <c r="I61" s="18" t="s">
        <v>567</v>
      </c>
      <c r="J61" s="20" t="s">
        <v>567</v>
      </c>
      <c r="K61" s="18" t="n">
        <v>0.044755</v>
      </c>
      <c r="L61" s="20" t="n">
        <v>0.04487091</v>
      </c>
      <c r="M61" s="18" t="n">
        <v>0</v>
      </c>
      <c r="N61" s="20" t="n">
        <v>0</v>
      </c>
      <c r="O61" s="18" t="n">
        <v>0</v>
      </c>
      <c r="P61" s="20" t="n">
        <v>0</v>
      </c>
      <c r="Q61" s="18" t="n">
        <v>0.68787065</v>
      </c>
      <c r="R61" s="20" t="n">
        <v>0.32629596</v>
      </c>
    </row>
    <row r="62" spans="1:18">
      <c r="A62" s="15" t="s">
        <v>622</v>
      </c>
      <c r="B62" s="17" t="n">
        <v>2246</v>
      </c>
      <c r="C62" s="18">
        <f>(1734.0/B62*100)</f>
        <v/>
      </c>
      <c r="D62" s="19" t="n">
        <v>512</v>
      </c>
      <c r="E62" s="18" t="n">
        <v>63.65768043</v>
      </c>
      <c r="F62" s="20" t="n">
        <v>2.2932619</v>
      </c>
      <c r="G62" s="18" t="n">
        <v>36.14842314</v>
      </c>
      <c r="H62" s="20" t="n">
        <v>2.3138357</v>
      </c>
      <c r="I62" s="18" t="s">
        <v>567</v>
      </c>
      <c r="J62" s="20" t="s">
        <v>567</v>
      </c>
      <c r="K62" s="18" t="n">
        <v>0</v>
      </c>
      <c r="L62" s="20" t="n">
        <v>0</v>
      </c>
      <c r="M62" s="18" t="n">
        <v>0</v>
      </c>
      <c r="N62" s="20" t="n">
        <v>0</v>
      </c>
      <c r="O62" s="18" t="n">
        <v>0</v>
      </c>
      <c r="P62" s="20" t="n">
        <v>0</v>
      </c>
      <c r="Q62" s="18" t="n">
        <v>0.19389643</v>
      </c>
      <c r="R62" s="20" t="n">
        <v>0.19241779</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(2309.0/B66*100)</f>
        <v/>
      </c>
      <c r="D66" s="19" t="n">
        <v>585</v>
      </c>
      <c r="E66" s="18" t="n">
        <v>70.32180520999999</v>
      </c>
      <c r="F66" s="20" t="n">
        <v>2.20259406</v>
      </c>
      <c r="G66" s="18" t="n">
        <v>22.72088363</v>
      </c>
      <c r="H66" s="20" t="n">
        <v>1.78496459</v>
      </c>
      <c r="I66" s="18" t="s">
        <v>567</v>
      </c>
      <c r="J66" s="20" t="s">
        <v>567</v>
      </c>
      <c r="K66" s="18" t="n">
        <v>0.39631019</v>
      </c>
      <c r="L66" s="20" t="n">
        <v>0.28158658</v>
      </c>
      <c r="M66" s="18" t="n">
        <v>0</v>
      </c>
      <c r="N66" s="20" t="n">
        <v>0</v>
      </c>
      <c r="O66" s="18" t="n">
        <v>0</v>
      </c>
      <c r="P66" s="20" t="n">
        <v>0</v>
      </c>
      <c r="Q66" s="18" t="n">
        <v>6.56100097</v>
      </c>
      <c r="R66" s="20" t="n">
        <v>1.11049514</v>
      </c>
    </row>
    <row r="67" spans="1:18">
      <c r="A67" s="15" t="s">
        <v>627</v>
      </c>
      <c r="B67" s="17" t="n">
        <v>3511</v>
      </c>
      <c r="C67" s="18">
        <f>(2772.0/B67*100)</f>
        <v/>
      </c>
      <c r="D67" s="19" t="n">
        <v>739</v>
      </c>
      <c r="E67" s="18" t="n">
        <v>81.473337</v>
      </c>
      <c r="F67" s="20" t="n">
        <v>1.44428883</v>
      </c>
      <c r="G67" s="18" t="n">
        <v>16.26059359</v>
      </c>
      <c r="H67" s="20" t="n">
        <v>1.15909633</v>
      </c>
      <c r="I67" s="18" t="s">
        <v>567</v>
      </c>
      <c r="J67" s="20" t="s">
        <v>567</v>
      </c>
      <c r="K67" s="18" t="n">
        <v>0.48543188</v>
      </c>
      <c r="L67" s="20" t="n">
        <v>0.38270444</v>
      </c>
      <c r="M67" s="18" t="n">
        <v>0.2000833</v>
      </c>
      <c r="N67" s="20" t="n">
        <v>0.143888</v>
      </c>
      <c r="O67" s="18" t="n">
        <v>0</v>
      </c>
      <c r="P67" s="20" t="n">
        <v>0</v>
      </c>
      <c r="Q67" s="18" t="n">
        <v>1.58055423</v>
      </c>
      <c r="R67" s="20" t="n">
        <v>0.53409869</v>
      </c>
    </row>
    <row r="68" spans="1:18">
      <c r="A68" s="15" t="s">
        <v>628</v>
      </c>
      <c r="B68" s="17" t="n">
        <v>6049</v>
      </c>
      <c r="C68" s="18">
        <f>(4680.0/B68*100)</f>
        <v/>
      </c>
      <c r="D68" s="19" t="n">
        <v>1369</v>
      </c>
      <c r="E68" s="18" t="n">
        <v>78.58594768</v>
      </c>
      <c r="F68" s="20" t="n">
        <v>1.14060179</v>
      </c>
      <c r="G68" s="18" t="n">
        <v>15.5496599</v>
      </c>
      <c r="H68" s="20" t="n">
        <v>0.92520366</v>
      </c>
      <c r="I68" s="18" t="s">
        <v>567</v>
      </c>
      <c r="J68" s="20" t="s">
        <v>567</v>
      </c>
      <c r="K68" s="18" t="n">
        <v>2.19036485</v>
      </c>
      <c r="L68" s="20" t="n">
        <v>0.3517517</v>
      </c>
      <c r="M68" s="18" t="n">
        <v>0</v>
      </c>
      <c r="N68" s="20" t="n">
        <v>0</v>
      </c>
      <c r="O68" s="18" t="n">
        <v>0</v>
      </c>
      <c r="P68" s="20" t="n">
        <v>0</v>
      </c>
      <c r="Q68" s="18" t="n">
        <v>3.67402757</v>
      </c>
      <c r="R68" s="20" t="n">
        <v>0.5466716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(2300.0/B70*100)</f>
        <v/>
      </c>
      <c r="D70" s="19" t="n">
        <v>629</v>
      </c>
      <c r="E70" s="18" t="n">
        <v>64.8811412</v>
      </c>
      <c r="F70" s="20" t="n">
        <v>2.48730331</v>
      </c>
      <c r="G70" s="18" t="n">
        <v>34.06258157</v>
      </c>
      <c r="H70" s="20" t="n">
        <v>2.44676907</v>
      </c>
      <c r="I70" s="18" t="s">
        <v>567</v>
      </c>
      <c r="J70" s="20" t="s">
        <v>567</v>
      </c>
      <c r="K70" s="18" t="n">
        <v>0.14321997</v>
      </c>
      <c r="L70" s="20" t="n">
        <v>0.14167696</v>
      </c>
      <c r="M70" s="18" t="n">
        <v>0.17668475</v>
      </c>
      <c r="N70" s="20" t="n">
        <v>0.17551181</v>
      </c>
      <c r="O70" s="18" t="n">
        <v>0</v>
      </c>
      <c r="P70" s="20" t="n">
        <v>0</v>
      </c>
      <c r="Q70" s="18" t="n">
        <v>0.73637251</v>
      </c>
      <c r="R70" s="20" t="n">
        <v>0.30462625</v>
      </c>
    </row>
    <row r="71" spans="1:18">
      <c r="A71" s="15" t="s">
        <v>631</v>
      </c>
      <c r="B71" s="17" t="n">
        <v>3142</v>
      </c>
      <c r="C71" s="18">
        <f>(2462.0/B71*100)</f>
        <v/>
      </c>
      <c r="D71" s="19" t="n">
        <v>680</v>
      </c>
      <c r="E71" s="18" t="n">
        <v>54.64619633</v>
      </c>
      <c r="F71" s="20" t="n">
        <v>2.14345648</v>
      </c>
      <c r="G71" s="18" t="n">
        <v>44.28638971</v>
      </c>
      <c r="H71" s="20" t="n">
        <v>2.07186272</v>
      </c>
      <c r="I71" s="18" t="s">
        <v>567</v>
      </c>
      <c r="J71" s="20" t="s">
        <v>567</v>
      </c>
      <c r="K71" s="18" t="n">
        <v>0.29217583</v>
      </c>
      <c r="L71" s="20" t="n">
        <v>0.20746555</v>
      </c>
      <c r="M71" s="18" t="n">
        <v>0</v>
      </c>
      <c r="N71" s="20" t="n">
        <v>0</v>
      </c>
      <c r="O71" s="18" t="n">
        <v>0</v>
      </c>
      <c r="P71" s="20" t="n">
        <v>0</v>
      </c>
      <c r="Q71" s="18" t="n">
        <v>0.77523813</v>
      </c>
      <c r="R71" s="20" t="n">
        <v>0.30493807</v>
      </c>
    </row>
    <row r="72" spans="1:18">
      <c r="A72" s="15" t="s">
        <v>632</v>
      </c>
      <c r="B72" s="17" t="n">
        <v>3889</v>
      </c>
      <c r="C72" s="18">
        <f>(3053.0/B72*100)</f>
        <v/>
      </c>
      <c r="D72" s="19" t="n">
        <v>836</v>
      </c>
      <c r="E72" s="18" t="n">
        <v>56.92435814</v>
      </c>
      <c r="F72" s="20" t="n">
        <v>1.92485445</v>
      </c>
      <c r="G72" s="18" t="n">
        <v>42.22059495</v>
      </c>
      <c r="H72" s="20" t="n">
        <v>1.9476795</v>
      </c>
      <c r="I72" s="18" t="s">
        <v>567</v>
      </c>
      <c r="J72" s="20" t="s">
        <v>567</v>
      </c>
      <c r="K72" s="18" t="n">
        <v>0.2233331</v>
      </c>
      <c r="L72" s="20" t="n">
        <v>0.17085088</v>
      </c>
      <c r="M72" s="18" t="n">
        <v>0</v>
      </c>
      <c r="N72" s="20" t="n">
        <v>0</v>
      </c>
      <c r="O72" s="18" t="n">
        <v>0</v>
      </c>
      <c r="P72" s="20" t="n">
        <v>0</v>
      </c>
      <c r="Q72" s="18" t="n">
        <v>0.63171382</v>
      </c>
      <c r="R72" s="20" t="n">
        <v>0.19018347</v>
      </c>
    </row>
    <row r="73" spans="1:18">
      <c r="A73" s="15" t="s">
        <v>633</v>
      </c>
      <c r="B73" s="17" t="n">
        <v>3597</v>
      </c>
      <c r="C73" s="18">
        <f>(2800.0/B73*100)</f>
        <v/>
      </c>
      <c r="D73" s="19" t="n">
        <v>797</v>
      </c>
      <c r="E73" s="18" t="n">
        <v>86.49843125</v>
      </c>
      <c r="F73" s="20" t="n">
        <v>1.79548743</v>
      </c>
      <c r="G73" s="18" t="n">
        <v>12.25280788</v>
      </c>
      <c r="H73" s="20" t="n">
        <v>1.76646754</v>
      </c>
      <c r="I73" s="18" t="s">
        <v>567</v>
      </c>
      <c r="J73" s="20" t="s">
        <v>567</v>
      </c>
      <c r="K73" s="18" t="n">
        <v>0.1751279</v>
      </c>
      <c r="L73" s="20" t="n">
        <v>0.12778696</v>
      </c>
      <c r="M73" s="18" t="n">
        <v>0</v>
      </c>
      <c r="N73" s="20" t="n">
        <v>0</v>
      </c>
      <c r="O73" s="18" t="n">
        <v>0</v>
      </c>
      <c r="P73" s="20" t="n">
        <v>0</v>
      </c>
      <c r="Q73" s="18" t="n">
        <v>1.07363297</v>
      </c>
      <c r="R73" s="20" t="n">
        <v>0.43565849</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(1916.0/B75*100)</f>
        <v/>
      </c>
      <c r="D75" s="19" t="n">
        <v>490</v>
      </c>
      <c r="E75" s="18" t="n">
        <v>88.80254476</v>
      </c>
      <c r="F75" s="20" t="n">
        <v>1.37218985</v>
      </c>
      <c r="G75" s="18" t="n">
        <v>8.538801169999999</v>
      </c>
      <c r="H75" s="20" t="n">
        <v>1.11038922</v>
      </c>
      <c r="I75" s="18" t="s">
        <v>567</v>
      </c>
      <c r="J75" s="20" t="s">
        <v>567</v>
      </c>
      <c r="K75" s="18" t="n">
        <v>0.91959266</v>
      </c>
      <c r="L75" s="20" t="n">
        <v>0.4130475</v>
      </c>
      <c r="M75" s="18" t="n">
        <v>0</v>
      </c>
      <c r="N75" s="20" t="n">
        <v>0</v>
      </c>
      <c r="O75" s="18" t="n">
        <v>0</v>
      </c>
      <c r="P75" s="20" t="n">
        <v>0</v>
      </c>
      <c r="Q75" s="18" t="n">
        <v>1.73906141</v>
      </c>
      <c r="R75" s="20" t="n">
        <v>0.50904376</v>
      </c>
    </row>
    <row r="76" spans="1:18">
      <c r="A76" s="15" t="s">
        <v>636</v>
      </c>
      <c r="B76" s="17" t="n">
        <v>7052</v>
      </c>
      <c r="C76" s="18">
        <f>(5488.0/B76*100)</f>
        <v/>
      </c>
      <c r="D76" s="19" t="n">
        <v>1564</v>
      </c>
      <c r="E76" s="18" t="n">
        <v>75.78034743000001</v>
      </c>
      <c r="F76" s="20" t="n">
        <v>1.28794901</v>
      </c>
      <c r="G76" s="18" t="n">
        <v>19.95715817</v>
      </c>
      <c r="H76" s="20" t="n">
        <v>1.21724179</v>
      </c>
      <c r="I76" s="18" t="s">
        <v>567</v>
      </c>
      <c r="J76" s="20" t="s">
        <v>567</v>
      </c>
      <c r="K76" s="18" t="n">
        <v>1.0802513</v>
      </c>
      <c r="L76" s="20" t="n">
        <v>0.32841918</v>
      </c>
      <c r="M76" s="18" t="n">
        <v>0.34434683</v>
      </c>
      <c r="N76" s="20" t="n">
        <v>0.2514198</v>
      </c>
      <c r="O76" s="18" t="n">
        <v>0</v>
      </c>
      <c r="P76" s="20" t="n">
        <v>0</v>
      </c>
      <c r="Q76" s="18" t="n">
        <v>2.83789626</v>
      </c>
      <c r="R76" s="20" t="n">
        <v>0.46272953</v>
      </c>
    </row>
    <row r="77" spans="1:18">
      <c r="A77" s="15" t="s">
        <v>637</v>
      </c>
      <c r="B77" s="17" t="n">
        <v>2908</v>
      </c>
      <c r="C77" s="18">
        <f>(2277.0/B77*100)</f>
        <v/>
      </c>
      <c r="D77" s="19" t="n">
        <v>631</v>
      </c>
      <c r="E77" s="18" t="n">
        <v>68.24385064000001</v>
      </c>
      <c r="F77" s="20" t="n">
        <v>2.13780951</v>
      </c>
      <c r="G77" s="18" t="n">
        <v>28.40496052</v>
      </c>
      <c r="H77" s="20" t="n">
        <v>2.06091111</v>
      </c>
      <c r="I77" s="18" t="s">
        <v>567</v>
      </c>
      <c r="J77" s="20" t="s">
        <v>567</v>
      </c>
      <c r="K77" s="18" t="n">
        <v>0.26485832</v>
      </c>
      <c r="L77" s="20" t="n">
        <v>0.19065065</v>
      </c>
      <c r="M77" s="18" t="n">
        <v>0.23814588</v>
      </c>
      <c r="N77" s="20" t="n">
        <v>0.1781215</v>
      </c>
      <c r="O77" s="18" t="n">
        <v>0</v>
      </c>
      <c r="P77" s="20" t="n">
        <v>0</v>
      </c>
      <c r="Q77" s="18" t="n">
        <v>2.84818464</v>
      </c>
      <c r="R77" s="20" t="n">
        <v>0.7149363</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(3232.0/B81*100)</f>
        <v/>
      </c>
      <c r="D81" s="19" t="n">
        <v>931</v>
      </c>
      <c r="E81" s="18" t="n">
        <v>79.73016074</v>
      </c>
      <c r="F81" s="20" t="n">
        <v>1.47454737</v>
      </c>
      <c r="G81" s="18" t="n">
        <v>19.52808326</v>
      </c>
      <c r="H81" s="20" t="n">
        <v>1.45911461</v>
      </c>
      <c r="I81" s="18" t="s">
        <v>567</v>
      </c>
      <c r="J81" s="20" t="s">
        <v>567</v>
      </c>
      <c r="K81" s="18" t="n">
        <v>0</v>
      </c>
      <c r="L81" s="20" t="n">
        <v>0</v>
      </c>
      <c r="M81" s="18" t="n">
        <v>0</v>
      </c>
      <c r="N81" s="20" t="n">
        <v>0</v>
      </c>
      <c r="O81" s="18" t="n">
        <v>0</v>
      </c>
      <c r="P81" s="20" t="n">
        <v>0</v>
      </c>
      <c r="Q81" s="18" t="n">
        <v>0.741756</v>
      </c>
      <c r="R81" s="20" t="n">
        <v>0.33290292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(5765.0/B7*100)</f>
        <v/>
      </c>
      <c r="D7" s="19" t="n">
        <v>1602</v>
      </c>
      <c r="E7" s="18" t="n">
        <v>76.13420385000001</v>
      </c>
      <c r="F7" s="20" t="n">
        <v>1.0040742</v>
      </c>
      <c r="G7" s="18" t="n">
        <v>8.33027274</v>
      </c>
      <c r="H7" s="20" t="n">
        <v>0.76815204</v>
      </c>
      <c r="I7" s="18" t="s">
        <v>567</v>
      </c>
      <c r="J7" s="20" t="s">
        <v>567</v>
      </c>
      <c r="K7" s="18" t="n">
        <v>0.4905982</v>
      </c>
      <c r="L7" s="20" t="n">
        <v>0.18586343</v>
      </c>
      <c r="M7" s="18" t="n">
        <v>0</v>
      </c>
      <c r="N7" s="20" t="n">
        <v>0</v>
      </c>
      <c r="O7" s="18" t="n">
        <v>0</v>
      </c>
      <c r="P7" s="20" t="n">
        <v>0</v>
      </c>
      <c r="Q7" s="18" t="n">
        <v>15.04492521</v>
      </c>
      <c r="R7" s="20" t="n">
        <v>1.04279975</v>
      </c>
    </row>
    <row r="8" spans="1:18">
      <c r="A8" s="15" t="s">
        <v>568</v>
      </c>
      <c r="B8" s="17" t="n">
        <v>3564</v>
      </c>
      <c r="C8" s="18">
        <f>(2787.0/B8*100)</f>
        <v/>
      </c>
      <c r="D8" s="19" t="n">
        <v>777</v>
      </c>
      <c r="E8" s="18" t="n">
        <v>76.65157318999999</v>
      </c>
      <c r="F8" s="20" t="n">
        <v>1.72812667</v>
      </c>
      <c r="G8" s="18" t="n">
        <v>9.033980209999999</v>
      </c>
      <c r="H8" s="20" t="n">
        <v>1.06182054</v>
      </c>
      <c r="I8" s="18" t="s">
        <v>567</v>
      </c>
      <c r="J8" s="20" t="s">
        <v>567</v>
      </c>
      <c r="K8" s="18" t="n">
        <v>0.30295917</v>
      </c>
      <c r="L8" s="20" t="n">
        <v>0.21168657</v>
      </c>
      <c r="M8" s="18" t="n">
        <v>0</v>
      </c>
      <c r="N8" s="20" t="n">
        <v>0</v>
      </c>
      <c r="O8" s="18" t="n">
        <v>0</v>
      </c>
      <c r="P8" s="20" t="n">
        <v>0</v>
      </c>
      <c r="Q8" s="18" t="n">
        <v>14.01148742</v>
      </c>
      <c r="R8" s="20" t="n">
        <v>1.50164544</v>
      </c>
    </row>
    <row r="9" spans="1:18">
      <c r="A9" s="15" t="s">
        <v>569</v>
      </c>
      <c r="B9" s="17" t="n">
        <v>4899</v>
      </c>
      <c r="C9" s="18">
        <f>(3842.0/B9*100)</f>
        <v/>
      </c>
      <c r="D9" s="19" t="n">
        <v>1057</v>
      </c>
      <c r="E9" s="18" t="n">
        <v>79.29425338</v>
      </c>
      <c r="F9" s="20" t="n">
        <v>1.2151219</v>
      </c>
      <c r="G9" s="18" t="n">
        <v>8.3079705</v>
      </c>
      <c r="H9" s="20" t="n">
        <v>0.9152373499999999</v>
      </c>
      <c r="I9" s="18" t="s">
        <v>567</v>
      </c>
      <c r="J9" s="20" t="s">
        <v>567</v>
      </c>
      <c r="K9" s="18" t="n">
        <v>0.19574011</v>
      </c>
      <c r="L9" s="20" t="n">
        <v>0.10904269</v>
      </c>
      <c r="M9" s="18" t="n">
        <v>0</v>
      </c>
      <c r="N9" s="20" t="n">
        <v>0</v>
      </c>
      <c r="O9" s="18" t="n">
        <v>0</v>
      </c>
      <c r="P9" s="20" t="n">
        <v>0</v>
      </c>
      <c r="Q9" s="18" t="n">
        <v>12.202036</v>
      </c>
      <c r="R9" s="20" t="n">
        <v>1.01603</v>
      </c>
    </row>
    <row r="10" spans="1:18">
      <c r="A10" s="15" t="s">
        <v>570</v>
      </c>
      <c r="B10" s="17" t="n">
        <v>10036</v>
      </c>
      <c r="C10" s="18">
        <f>(7793.0/B10*100)</f>
        <v/>
      </c>
      <c r="D10" s="19" t="n">
        <v>2243</v>
      </c>
      <c r="E10" s="18" t="n">
        <v>78.3188566</v>
      </c>
      <c r="F10" s="20" t="n">
        <v>1.21283231</v>
      </c>
      <c r="G10" s="18" t="n">
        <v>7.84273898</v>
      </c>
      <c r="H10" s="20" t="n">
        <v>0.7408327300000001</v>
      </c>
      <c r="I10" s="18" t="s">
        <v>567</v>
      </c>
      <c r="J10" s="20" t="s">
        <v>567</v>
      </c>
      <c r="K10" s="18" t="n">
        <v>0.46824676</v>
      </c>
      <c r="L10" s="20" t="n">
        <v>0.21747108</v>
      </c>
      <c r="M10" s="18" t="n">
        <v>0</v>
      </c>
      <c r="N10" s="20" t="n">
        <v>0</v>
      </c>
      <c r="O10" s="18" t="n">
        <v>0</v>
      </c>
      <c r="P10" s="20" t="n">
        <v>0</v>
      </c>
      <c r="Q10" s="18" t="n">
        <v>13.37015767</v>
      </c>
      <c r="R10" s="20" t="n">
        <v>1.0448543</v>
      </c>
    </row>
    <row r="11" spans="1:18">
      <c r="A11" s="15" t="s">
        <v>571</v>
      </c>
      <c r="B11" s="17" t="n">
        <v>3553</v>
      </c>
      <c r="C11" s="18">
        <f>(2764.0/B11*100)</f>
        <v/>
      </c>
      <c r="D11" s="19" t="n">
        <v>789</v>
      </c>
      <c r="E11" s="18" t="n">
        <v>75.65308761</v>
      </c>
      <c r="F11" s="20" t="n">
        <v>2.05760448</v>
      </c>
      <c r="G11" s="18" t="n">
        <v>2.75724445</v>
      </c>
      <c r="H11" s="20" t="n">
        <v>0.74130843</v>
      </c>
      <c r="I11" s="18" t="s">
        <v>567</v>
      </c>
      <c r="J11" s="20" t="s">
        <v>567</v>
      </c>
      <c r="K11" s="18" t="n">
        <v>0.05384173</v>
      </c>
      <c r="L11" s="20" t="n">
        <v>0.05345451</v>
      </c>
      <c r="M11" s="18" t="n">
        <v>0</v>
      </c>
      <c r="N11" s="20" t="n">
        <v>0</v>
      </c>
      <c r="O11" s="18" t="n">
        <v>0</v>
      </c>
      <c r="P11" s="20" t="n">
        <v>0</v>
      </c>
      <c r="Q11" s="18" t="n">
        <v>21.53582621</v>
      </c>
      <c r="R11" s="20" t="n">
        <v>1.72319727</v>
      </c>
    </row>
    <row r="12" spans="1:18">
      <c r="A12" s="15" t="s">
        <v>572</v>
      </c>
      <c r="B12" s="17" t="n">
        <v>3472</v>
      </c>
      <c r="C12" s="18">
        <f>(2707.0/B12*100)</f>
        <v/>
      </c>
      <c r="D12" s="19" t="n">
        <v>765</v>
      </c>
      <c r="E12" s="18" t="n">
        <v>81.25571764</v>
      </c>
      <c r="F12" s="20" t="n">
        <v>1.76075128</v>
      </c>
      <c r="G12" s="18" t="n">
        <v>4.46246994</v>
      </c>
      <c r="H12" s="20" t="n">
        <v>0.74700327</v>
      </c>
      <c r="I12" s="18" t="s">
        <v>567</v>
      </c>
      <c r="J12" s="20" t="s">
        <v>567</v>
      </c>
      <c r="K12" s="18" t="n">
        <v>0</v>
      </c>
      <c r="L12" s="20" t="n">
        <v>0</v>
      </c>
      <c r="M12" s="18" t="n">
        <v>0</v>
      </c>
      <c r="N12" s="20" t="n">
        <v>0</v>
      </c>
      <c r="O12" s="18" t="n">
        <v>0</v>
      </c>
      <c r="P12" s="20" t="n">
        <v>0</v>
      </c>
      <c r="Q12" s="18" t="n">
        <v>14.28181242</v>
      </c>
      <c r="R12" s="20" t="n">
        <v>1.59818556</v>
      </c>
    </row>
    <row r="13" spans="1:18">
      <c r="A13" s="15" t="s">
        <v>573</v>
      </c>
      <c r="B13" s="17" t="n">
        <v>3559</v>
      </c>
      <c r="C13" s="18">
        <f>(2799.0/B13*100)</f>
        <v/>
      </c>
      <c r="D13" s="19" t="n">
        <v>760</v>
      </c>
      <c r="E13" s="18" t="n">
        <v>83.30036486</v>
      </c>
      <c r="F13" s="20" t="n">
        <v>1.68568855</v>
      </c>
      <c r="G13" s="18" t="n">
        <v>6.28646137</v>
      </c>
      <c r="H13" s="20" t="n">
        <v>1.15004008</v>
      </c>
      <c r="I13" s="18" t="s">
        <v>567</v>
      </c>
      <c r="J13" s="20" t="s">
        <v>567</v>
      </c>
      <c r="K13" s="18" t="n">
        <v>0.5122687299999999</v>
      </c>
      <c r="L13" s="20" t="n">
        <v>0.30394375</v>
      </c>
      <c r="M13" s="18" t="n">
        <v>0</v>
      </c>
      <c r="N13" s="20" t="n">
        <v>0</v>
      </c>
      <c r="O13" s="18" t="n">
        <v>0</v>
      </c>
      <c r="P13" s="20" t="n">
        <v>0</v>
      </c>
      <c r="Q13" s="18" t="n">
        <v>9.900905030000001</v>
      </c>
      <c r="R13" s="20" t="n">
        <v>1.27889128</v>
      </c>
    </row>
    <row r="14" spans="1:18">
      <c r="A14" s="15" t="s">
        <v>574</v>
      </c>
      <c r="B14" s="17" t="n">
        <v>2799</v>
      </c>
      <c r="C14" s="18">
        <f>(2172.0/B14*100)</f>
        <v/>
      </c>
      <c r="D14" s="19" t="n">
        <v>627</v>
      </c>
      <c r="E14" s="18" t="n">
        <v>82.58687691999999</v>
      </c>
      <c r="F14" s="20" t="n">
        <v>1.79605991</v>
      </c>
      <c r="G14" s="18" t="n">
        <v>8.278046570000001</v>
      </c>
      <c r="H14" s="20" t="n">
        <v>1.16363597</v>
      </c>
      <c r="I14" s="18" t="s">
        <v>567</v>
      </c>
      <c r="J14" s="20" t="s">
        <v>567</v>
      </c>
      <c r="K14" s="18" t="n">
        <v>0.14464337</v>
      </c>
      <c r="L14" s="20" t="n">
        <v>0.14419897</v>
      </c>
      <c r="M14" s="18" t="n">
        <v>0</v>
      </c>
      <c r="N14" s="20" t="n">
        <v>0</v>
      </c>
      <c r="O14" s="18" t="n">
        <v>0</v>
      </c>
      <c r="P14" s="20" t="n">
        <v>0</v>
      </c>
      <c r="Q14" s="18" t="n">
        <v>8.99043314</v>
      </c>
      <c r="R14" s="20" t="n">
        <v>1.25128927</v>
      </c>
    </row>
    <row r="15" spans="1:18">
      <c r="A15" s="15" t="s">
        <v>575</v>
      </c>
      <c r="B15" s="17" t="n">
        <v>3019</v>
      </c>
      <c r="C15" s="18">
        <f>(2296.0/B15*100)</f>
        <v/>
      </c>
      <c r="D15" s="19" t="n">
        <v>723</v>
      </c>
      <c r="E15" s="18" t="n">
        <v>81.91243106</v>
      </c>
      <c r="F15" s="20" t="n">
        <v>1.62218391</v>
      </c>
      <c r="G15" s="18" t="n">
        <v>8.03118448</v>
      </c>
      <c r="H15" s="20" t="n">
        <v>1.0908461</v>
      </c>
      <c r="I15" s="18" t="s">
        <v>567</v>
      </c>
      <c r="J15" s="20" t="s">
        <v>567</v>
      </c>
      <c r="K15" s="18" t="n">
        <v>0.15508766</v>
      </c>
      <c r="L15" s="20" t="n">
        <v>0.17011839</v>
      </c>
      <c r="M15" s="18" t="n">
        <v>0</v>
      </c>
      <c r="N15" s="20" t="n">
        <v>0</v>
      </c>
      <c r="O15" s="18" t="n">
        <v>0</v>
      </c>
      <c r="P15" s="20" t="n">
        <v>0</v>
      </c>
      <c r="Q15" s="18" t="n">
        <v>9.901296800000001</v>
      </c>
      <c r="R15" s="20" t="n">
        <v>1.20429509</v>
      </c>
    </row>
    <row r="16" spans="1:18">
      <c r="A16" s="15" t="s">
        <v>576</v>
      </c>
      <c r="B16" s="17" t="n">
        <v>2997</v>
      </c>
      <c r="C16" s="18">
        <f>(2323.0/B16*100)</f>
        <v/>
      </c>
      <c r="D16" s="19" t="n">
        <v>674</v>
      </c>
      <c r="E16" s="18" t="n">
        <v>77.16811466999999</v>
      </c>
      <c r="F16" s="20" t="n">
        <v>1.71515523</v>
      </c>
      <c r="G16" s="18" t="n">
        <v>7.73481468</v>
      </c>
      <c r="H16" s="20" t="n">
        <v>0.9895578</v>
      </c>
      <c r="I16" s="18" t="s">
        <v>567</v>
      </c>
      <c r="J16" s="20" t="s">
        <v>567</v>
      </c>
      <c r="K16" s="18" t="n">
        <v>0.79213787</v>
      </c>
      <c r="L16" s="20" t="n">
        <v>0.3362205</v>
      </c>
      <c r="M16" s="18" t="n">
        <v>0</v>
      </c>
      <c r="N16" s="20" t="n">
        <v>0</v>
      </c>
      <c r="O16" s="18" t="n">
        <v>0</v>
      </c>
      <c r="P16" s="20" t="n">
        <v>0</v>
      </c>
      <c r="Q16" s="18" t="n">
        <v>14.30493279</v>
      </c>
      <c r="R16" s="20" t="n">
        <v>1.48718634</v>
      </c>
    </row>
    <row r="17" spans="1:18">
      <c r="A17" s="15" t="s">
        <v>577</v>
      </c>
      <c r="B17" s="17" t="n">
        <v>3307</v>
      </c>
      <c r="C17" s="18">
        <f>(2582.0/B17*100)</f>
        <v/>
      </c>
      <c r="D17" s="19" t="n">
        <v>725</v>
      </c>
      <c r="E17" s="18" t="n">
        <v>74.50167872</v>
      </c>
      <c r="F17" s="20" t="n">
        <v>1.8927317</v>
      </c>
      <c r="G17" s="18" t="n">
        <v>12.41240605</v>
      </c>
      <c r="H17" s="20" t="n">
        <v>1.30414664</v>
      </c>
      <c r="I17" s="18" t="s">
        <v>567</v>
      </c>
      <c r="J17" s="20" t="s">
        <v>567</v>
      </c>
      <c r="K17" s="18" t="n">
        <v>0.16956954</v>
      </c>
      <c r="L17" s="20" t="n">
        <v>0.18917505</v>
      </c>
      <c r="M17" s="18" t="n">
        <v>0</v>
      </c>
      <c r="N17" s="20" t="n">
        <v>0</v>
      </c>
      <c r="O17" s="18" t="n">
        <v>0</v>
      </c>
      <c r="P17" s="20" t="n">
        <v>0</v>
      </c>
      <c r="Q17" s="18" t="n">
        <v>12.91634569</v>
      </c>
      <c r="R17" s="20" t="n">
        <v>1.50655798</v>
      </c>
    </row>
    <row r="18" spans="1:18">
      <c r="A18" s="15" t="s">
        <v>578</v>
      </c>
      <c r="B18" s="17" t="n">
        <v>2826</v>
      </c>
      <c r="C18" s="18">
        <f>(2212.0/B18*100)</f>
        <v/>
      </c>
      <c r="D18" s="19" t="n">
        <v>614</v>
      </c>
      <c r="E18" s="18" t="n">
        <v>82.56308951</v>
      </c>
      <c r="F18" s="20" t="n">
        <v>1.97293576</v>
      </c>
      <c r="G18" s="18" t="n">
        <v>2.52015394</v>
      </c>
      <c r="H18" s="20" t="n">
        <v>0.44417668</v>
      </c>
      <c r="I18" s="18" t="s">
        <v>567</v>
      </c>
      <c r="J18" s="20" t="s">
        <v>567</v>
      </c>
      <c r="K18" s="18" t="n">
        <v>0.13426041</v>
      </c>
      <c r="L18" s="20" t="n">
        <v>0.1338724</v>
      </c>
      <c r="M18" s="18" t="n">
        <v>0</v>
      </c>
      <c r="N18" s="20" t="n">
        <v>0</v>
      </c>
      <c r="O18" s="18" t="n">
        <v>0</v>
      </c>
      <c r="P18" s="20" t="n">
        <v>0</v>
      </c>
      <c r="Q18" s="18" t="n">
        <v>14.78249614</v>
      </c>
      <c r="R18" s="20" t="n">
        <v>2.01333584</v>
      </c>
    </row>
    <row r="19" spans="1:18">
      <c r="A19" s="15" t="s">
        <v>579</v>
      </c>
      <c r="B19" s="17" t="n">
        <v>2808</v>
      </c>
      <c r="C19" s="18">
        <f>(2186.0/B19*100)</f>
        <v/>
      </c>
      <c r="D19" s="19" t="n">
        <v>622</v>
      </c>
      <c r="E19" s="18" t="n">
        <v>81.27970876000001</v>
      </c>
      <c r="F19" s="20" t="n">
        <v>1.70866698</v>
      </c>
      <c r="G19" s="18" t="n">
        <v>5.53411364</v>
      </c>
      <c r="H19" s="20" t="n">
        <v>0.88033876</v>
      </c>
      <c r="I19" s="18" t="s">
        <v>567</v>
      </c>
      <c r="J19" s="20" t="s">
        <v>567</v>
      </c>
      <c r="K19" s="18" t="n">
        <v>0</v>
      </c>
      <c r="L19" s="20" t="n">
        <v>0</v>
      </c>
      <c r="M19" s="18" t="n">
        <v>0</v>
      </c>
      <c r="N19" s="20" t="n">
        <v>0</v>
      </c>
      <c r="O19" s="18" t="n">
        <v>0</v>
      </c>
      <c r="P19" s="20" t="n">
        <v>0</v>
      </c>
      <c r="Q19" s="18" t="n">
        <v>13.1861776</v>
      </c>
      <c r="R19" s="20" t="n">
        <v>1.46447746</v>
      </c>
    </row>
    <row r="20" spans="1:18">
      <c r="A20" s="15" t="s">
        <v>580</v>
      </c>
      <c r="B20" s="17" t="n">
        <v>1630</v>
      </c>
      <c r="C20" s="18">
        <f>(1268.0/B20*100)</f>
        <v/>
      </c>
      <c r="D20" s="19" t="n">
        <v>362</v>
      </c>
      <c r="E20" s="18" t="n">
        <v>79.88227107</v>
      </c>
      <c r="F20" s="20" t="n">
        <v>2.21006106</v>
      </c>
      <c r="G20" s="18" t="n">
        <v>3.30420338</v>
      </c>
      <c r="H20" s="20" t="n">
        <v>1.0400423</v>
      </c>
      <c r="I20" s="18" t="s">
        <v>567</v>
      </c>
      <c r="J20" s="20" t="s">
        <v>567</v>
      </c>
      <c r="K20" s="18" t="n">
        <v>0.53938684</v>
      </c>
      <c r="L20" s="20" t="n">
        <v>0.3872764</v>
      </c>
      <c r="M20" s="18" t="n">
        <v>0</v>
      </c>
      <c r="N20" s="20" t="n">
        <v>0</v>
      </c>
      <c r="O20" s="18" t="n">
        <v>0</v>
      </c>
      <c r="P20" s="20" t="n">
        <v>0</v>
      </c>
      <c r="Q20" s="18" t="n">
        <v>16.27413871</v>
      </c>
      <c r="R20" s="20" t="n">
        <v>2.14098031</v>
      </c>
    </row>
    <row r="21" spans="1:18">
      <c r="A21" s="15" t="s">
        <v>581</v>
      </c>
      <c r="B21" s="17" t="n">
        <v>2908</v>
      </c>
      <c r="C21" s="18">
        <f>(2256.0/B21*100)</f>
        <v/>
      </c>
      <c r="D21" s="19" t="n">
        <v>652</v>
      </c>
      <c r="E21" s="18" t="n">
        <v>83.57478232</v>
      </c>
      <c r="F21" s="20" t="n">
        <v>1.4667791</v>
      </c>
      <c r="G21" s="18" t="n">
        <v>7.90097914</v>
      </c>
      <c r="H21" s="20" t="n">
        <v>0.96254491</v>
      </c>
      <c r="I21" s="18" t="s">
        <v>567</v>
      </c>
      <c r="J21" s="20" t="s">
        <v>567</v>
      </c>
      <c r="K21" s="18" t="n">
        <v>0.34946199</v>
      </c>
      <c r="L21" s="20" t="n">
        <v>0.21437179</v>
      </c>
      <c r="M21" s="18" t="n">
        <v>0</v>
      </c>
      <c r="N21" s="20" t="n">
        <v>0</v>
      </c>
      <c r="O21" s="18" t="n">
        <v>0</v>
      </c>
      <c r="P21" s="20" t="n">
        <v>0</v>
      </c>
      <c r="Q21" s="18" t="n">
        <v>8.174776550000001</v>
      </c>
      <c r="R21" s="20" t="n">
        <v>1.06436511</v>
      </c>
    </row>
    <row r="22" spans="1:18">
      <c r="A22" s="15" t="s">
        <v>582</v>
      </c>
      <c r="B22" s="17" t="n">
        <v>2931</v>
      </c>
      <c r="C22" s="18">
        <f>(2343.0/B22*100)</f>
        <v/>
      </c>
      <c r="D22" s="19" t="n">
        <v>588</v>
      </c>
      <c r="E22" s="18" t="n">
        <v>82.81094426999999</v>
      </c>
      <c r="F22" s="20" t="n">
        <v>1.54726702</v>
      </c>
      <c r="G22" s="18" t="n">
        <v>5.17887117</v>
      </c>
      <c r="H22" s="20" t="n">
        <v>1.03201398</v>
      </c>
      <c r="I22" s="18" t="s">
        <v>567</v>
      </c>
      <c r="J22" s="20" t="s">
        <v>567</v>
      </c>
      <c r="K22" s="18" t="n">
        <v>0.32812012</v>
      </c>
      <c r="L22" s="20" t="n">
        <v>0.27298505</v>
      </c>
      <c r="M22" s="18" t="n">
        <v>0</v>
      </c>
      <c r="N22" s="20" t="n">
        <v>0</v>
      </c>
      <c r="O22" s="18" t="n">
        <v>0</v>
      </c>
      <c r="P22" s="20" t="n">
        <v>0</v>
      </c>
      <c r="Q22" s="18" t="n">
        <v>11.68206443</v>
      </c>
      <c r="R22" s="20" t="n">
        <v>1.56065619</v>
      </c>
    </row>
    <row r="23" spans="1:18">
      <c r="A23" s="15" t="s">
        <v>583</v>
      </c>
      <c r="B23" s="17" t="n">
        <v>5791</v>
      </c>
      <c r="C23" s="18">
        <f>(4527.0/B23*100)</f>
        <v/>
      </c>
      <c r="D23" s="19" t="n">
        <v>1264</v>
      </c>
      <c r="E23" s="18" t="n">
        <v>71.14048418</v>
      </c>
      <c r="F23" s="20" t="n">
        <v>1.54898371</v>
      </c>
      <c r="G23" s="18" t="n">
        <v>7.74736642</v>
      </c>
      <c r="H23" s="20" t="n">
        <v>1.02770042</v>
      </c>
      <c r="I23" s="18" t="s">
        <v>567</v>
      </c>
      <c r="J23" s="20" t="s">
        <v>567</v>
      </c>
      <c r="K23" s="18" t="n">
        <v>0.66211192</v>
      </c>
      <c r="L23" s="20" t="n">
        <v>0.34941769</v>
      </c>
      <c r="M23" s="18" t="n">
        <v>0</v>
      </c>
      <c r="N23" s="20" t="n">
        <v>0</v>
      </c>
      <c r="O23" s="18" t="n">
        <v>0</v>
      </c>
      <c r="P23" s="20" t="n">
        <v>0</v>
      </c>
      <c r="Q23" s="18" t="n">
        <v>20.45003749</v>
      </c>
      <c r="R23" s="20" t="n">
        <v>1.57767029</v>
      </c>
    </row>
    <row r="24" spans="1:18">
      <c r="A24" s="15" t="s">
        <v>584</v>
      </c>
      <c r="B24" s="17" t="n">
        <v>3338</v>
      </c>
      <c r="C24" s="18">
        <f>(2603.0/B24*100)</f>
        <v/>
      </c>
      <c r="D24" s="19" t="n">
        <v>735</v>
      </c>
      <c r="E24" s="18" t="n">
        <v>78.73984383</v>
      </c>
      <c r="F24" s="20" t="n">
        <v>1.54230486</v>
      </c>
      <c r="G24" s="18" t="n">
        <v>10.1101824</v>
      </c>
      <c r="H24" s="20" t="n">
        <v>1.22969082</v>
      </c>
      <c r="I24" s="18" t="s">
        <v>567</v>
      </c>
      <c r="J24" s="20" t="s">
        <v>567</v>
      </c>
      <c r="K24" s="18" t="n">
        <v>0.2241286</v>
      </c>
      <c r="L24" s="20" t="n">
        <v>0.1614797</v>
      </c>
      <c r="M24" s="18" t="n">
        <v>0</v>
      </c>
      <c r="N24" s="20" t="n">
        <v>0</v>
      </c>
      <c r="O24" s="18" t="n">
        <v>0</v>
      </c>
      <c r="P24" s="20" t="n">
        <v>0</v>
      </c>
      <c r="Q24" s="18" t="n">
        <v>10.92584517</v>
      </c>
      <c r="R24" s="20" t="n">
        <v>1.20957045</v>
      </c>
    </row>
    <row r="25" spans="1:18">
      <c r="A25" s="15" t="s">
        <v>585</v>
      </c>
      <c r="B25" s="17" t="n">
        <v>2912</v>
      </c>
      <c r="C25" s="18">
        <f>(2275.0/B25*100)</f>
        <v/>
      </c>
      <c r="D25" s="19" t="n">
        <v>637</v>
      </c>
      <c r="E25" s="18" t="n">
        <v>80.90341811</v>
      </c>
      <c r="F25" s="20" t="n">
        <v>1.6171341</v>
      </c>
      <c r="G25" s="18" t="n">
        <v>7.88574311</v>
      </c>
      <c r="H25" s="20" t="n">
        <v>1.00809375</v>
      </c>
      <c r="I25" s="18" t="s">
        <v>567</v>
      </c>
      <c r="J25" s="20" t="s">
        <v>567</v>
      </c>
      <c r="K25" s="18" t="n">
        <v>0</v>
      </c>
      <c r="L25" s="20" t="n">
        <v>0</v>
      </c>
      <c r="M25" s="18" t="n">
        <v>0</v>
      </c>
      <c r="N25" s="20" t="n">
        <v>0</v>
      </c>
      <c r="O25" s="18" t="n">
        <v>0</v>
      </c>
      <c r="P25" s="20" t="n">
        <v>0</v>
      </c>
      <c r="Q25" s="18" t="n">
        <v>11.21083877</v>
      </c>
      <c r="R25" s="20" t="n">
        <v>1.21691555</v>
      </c>
    </row>
    <row r="26" spans="1:18">
      <c r="A26" s="15" t="s">
        <v>586</v>
      </c>
      <c r="B26" s="17" t="n">
        <v>2450</v>
      </c>
      <c r="C26" s="18">
        <f>(1908.0/B26*100)</f>
        <v/>
      </c>
      <c r="D26" s="19" t="n">
        <v>542</v>
      </c>
      <c r="E26" s="18" t="n">
        <v>81.36349104</v>
      </c>
      <c r="F26" s="20" t="n">
        <v>1.57854225</v>
      </c>
      <c r="G26" s="18" t="n">
        <v>4.96585713</v>
      </c>
      <c r="H26" s="20" t="n">
        <v>0.92028172</v>
      </c>
      <c r="I26" s="18" t="s">
        <v>567</v>
      </c>
      <c r="J26" s="20" t="s">
        <v>567</v>
      </c>
      <c r="K26" s="18" t="n">
        <v>0</v>
      </c>
      <c r="L26" s="20" t="n">
        <v>0</v>
      </c>
      <c r="M26" s="18" t="n">
        <v>0</v>
      </c>
      <c r="N26" s="20" t="n">
        <v>0</v>
      </c>
      <c r="O26" s="18" t="n">
        <v>0</v>
      </c>
      <c r="P26" s="20" t="n">
        <v>0</v>
      </c>
      <c r="Q26" s="18" t="n">
        <v>13.67065183</v>
      </c>
      <c r="R26" s="20" t="n">
        <v>1.34004227</v>
      </c>
    </row>
    <row r="27" spans="1:18">
      <c r="A27" s="15" t="s">
        <v>587</v>
      </c>
      <c r="B27" s="17" t="n">
        <v>2616</v>
      </c>
      <c r="C27" s="18">
        <f>(2039.0/B27*100)</f>
        <v/>
      </c>
      <c r="D27" s="19" t="n">
        <v>577</v>
      </c>
      <c r="E27" s="18" t="n">
        <v>80.12887456</v>
      </c>
      <c r="F27" s="20" t="n">
        <v>1.85084649</v>
      </c>
      <c r="G27" s="18" t="n">
        <v>9.037768659999999</v>
      </c>
      <c r="H27" s="20" t="n">
        <v>1.13275731</v>
      </c>
      <c r="I27" s="18" t="s">
        <v>567</v>
      </c>
      <c r="J27" s="20" t="s">
        <v>567</v>
      </c>
      <c r="K27" s="18" t="n">
        <v>0</v>
      </c>
      <c r="L27" s="20" t="n">
        <v>0</v>
      </c>
      <c r="M27" s="18" t="n">
        <v>0</v>
      </c>
      <c r="N27" s="20" t="n">
        <v>0</v>
      </c>
      <c r="O27" s="18" t="n">
        <v>0</v>
      </c>
      <c r="P27" s="20" t="n">
        <v>0</v>
      </c>
      <c r="Q27" s="18" t="n">
        <v>10.83335678</v>
      </c>
      <c r="R27" s="20" t="n">
        <v>1.3970849</v>
      </c>
    </row>
    <row r="28" spans="1:18">
      <c r="A28" s="15" t="s">
        <v>588</v>
      </c>
      <c r="B28" s="17" t="n">
        <v>3765</v>
      </c>
      <c r="C28" s="18">
        <f>(3021.0/B28*100)</f>
        <v/>
      </c>
      <c r="D28" s="19" t="n">
        <v>744</v>
      </c>
      <c r="E28" s="18" t="n">
        <v>80.62551206000001</v>
      </c>
      <c r="F28" s="20" t="n">
        <v>1.58844269</v>
      </c>
      <c r="G28" s="18" t="n">
        <v>2.96138874</v>
      </c>
      <c r="H28" s="20" t="n">
        <v>0.63157766</v>
      </c>
      <c r="I28" s="18" t="s">
        <v>567</v>
      </c>
      <c r="J28" s="20" t="s">
        <v>567</v>
      </c>
      <c r="K28" s="18" t="n">
        <v>0.36370075</v>
      </c>
      <c r="L28" s="20" t="n">
        <v>0.21386181</v>
      </c>
      <c r="M28" s="18" t="n">
        <v>0</v>
      </c>
      <c r="N28" s="20" t="n">
        <v>0</v>
      </c>
      <c r="O28" s="18" t="n">
        <v>0</v>
      </c>
      <c r="P28" s="20" t="n">
        <v>0</v>
      </c>
      <c r="Q28" s="18" t="n">
        <v>16.04939845</v>
      </c>
      <c r="R28" s="20" t="n">
        <v>1.54842321</v>
      </c>
    </row>
    <row r="29" spans="1:18">
      <c r="A29" s="15" t="s">
        <v>589</v>
      </c>
      <c r="B29" s="17" t="n">
        <v>2685</v>
      </c>
      <c r="C29" s="18">
        <f>(2100.0/B29*100)</f>
        <v/>
      </c>
      <c r="D29" s="19" t="n">
        <v>585</v>
      </c>
      <c r="E29" s="18" t="n">
        <v>77.47077023</v>
      </c>
      <c r="F29" s="20" t="n">
        <v>2.0236057</v>
      </c>
      <c r="G29" s="18" t="n">
        <v>8.701452010000001</v>
      </c>
      <c r="H29" s="20" t="n">
        <v>1.45657729</v>
      </c>
      <c r="I29" s="18" t="s">
        <v>567</v>
      </c>
      <c r="J29" s="20" t="s">
        <v>567</v>
      </c>
      <c r="K29" s="18" t="n">
        <v>0.35184504</v>
      </c>
      <c r="L29" s="20" t="n">
        <v>0.23804514</v>
      </c>
      <c r="M29" s="18" t="n">
        <v>0</v>
      </c>
      <c r="N29" s="20" t="n">
        <v>0</v>
      </c>
      <c r="O29" s="18" t="n">
        <v>0</v>
      </c>
      <c r="P29" s="20" t="n">
        <v>0</v>
      </c>
      <c r="Q29" s="18" t="n">
        <v>13.47593272</v>
      </c>
      <c r="R29" s="20" t="n">
        <v>1.34037659</v>
      </c>
    </row>
    <row r="30" spans="1:18">
      <c r="A30" s="15" t="s">
        <v>590</v>
      </c>
      <c r="B30" s="17" t="n">
        <v>2263</v>
      </c>
      <c r="C30" s="18">
        <f>(1782.0/B30*100)</f>
        <v/>
      </c>
      <c r="D30" s="19" t="n">
        <v>481</v>
      </c>
      <c r="E30" s="18" t="n">
        <v>72.95775191</v>
      </c>
      <c r="F30" s="20" t="n">
        <v>2.08850278</v>
      </c>
      <c r="G30" s="18" t="n">
        <v>9.79686369</v>
      </c>
      <c r="H30" s="20" t="n">
        <v>1.38987518</v>
      </c>
      <c r="I30" s="18" t="s">
        <v>567</v>
      </c>
      <c r="J30" s="20" t="s">
        <v>567</v>
      </c>
      <c r="K30" s="18" t="n">
        <v>0</v>
      </c>
      <c r="L30" s="20" t="n">
        <v>0</v>
      </c>
      <c r="M30" s="18" t="n">
        <v>0</v>
      </c>
      <c r="N30" s="20" t="n">
        <v>0</v>
      </c>
      <c r="O30" s="18" t="n">
        <v>0</v>
      </c>
      <c r="P30" s="20" t="n">
        <v>0</v>
      </c>
      <c r="Q30" s="18" t="n">
        <v>17.2453844</v>
      </c>
      <c r="R30" s="20" t="n">
        <v>1.84461758</v>
      </c>
    </row>
    <row r="31" spans="1:18">
      <c r="A31" s="15" t="s">
        <v>591</v>
      </c>
      <c r="B31" s="17" t="n">
        <v>2750</v>
      </c>
      <c r="C31" s="18">
        <f>(2174.0/B31*100)</f>
        <v/>
      </c>
      <c r="D31" s="19" t="n">
        <v>576</v>
      </c>
      <c r="E31" s="18" t="n">
        <v>79.88194477</v>
      </c>
      <c r="F31" s="20" t="n">
        <v>1.92632645</v>
      </c>
      <c r="G31" s="18" t="n">
        <v>8.517286500000001</v>
      </c>
      <c r="H31" s="20" t="n">
        <v>1.26813967</v>
      </c>
      <c r="I31" s="18" t="s">
        <v>567</v>
      </c>
      <c r="J31" s="20" t="s">
        <v>567</v>
      </c>
      <c r="K31" s="18" t="n">
        <v>0.63466284</v>
      </c>
      <c r="L31" s="20" t="n">
        <v>0.31152061</v>
      </c>
      <c r="M31" s="18" t="n">
        <v>0</v>
      </c>
      <c r="N31" s="20" t="n">
        <v>0</v>
      </c>
      <c r="O31" s="18" t="n">
        <v>0</v>
      </c>
      <c r="P31" s="20" t="n">
        <v>0</v>
      </c>
      <c r="Q31" s="18" t="n">
        <v>10.96610589</v>
      </c>
      <c r="R31" s="20" t="n">
        <v>1.47892684</v>
      </c>
    </row>
    <row r="32" spans="1:18">
      <c r="A32" s="15" t="s">
        <v>592</v>
      </c>
      <c r="B32" s="17" t="n">
        <v>2269</v>
      </c>
      <c r="C32" s="18">
        <f>(1805.0/B32*100)</f>
        <v/>
      </c>
      <c r="D32" s="19" t="n">
        <v>464</v>
      </c>
      <c r="E32" s="18" t="n">
        <v>83.32298396</v>
      </c>
      <c r="F32" s="20" t="n">
        <v>1.73349766</v>
      </c>
      <c r="G32" s="18" t="n">
        <v>4.82073726</v>
      </c>
      <c r="H32" s="20" t="n">
        <v>0.93899599</v>
      </c>
      <c r="I32" s="18" t="s">
        <v>567</v>
      </c>
      <c r="J32" s="20" t="s">
        <v>567</v>
      </c>
      <c r="K32" s="18" t="n">
        <v>0.18378895</v>
      </c>
      <c r="L32" s="20" t="n">
        <v>0.18298919</v>
      </c>
      <c r="M32" s="18" t="n">
        <v>0</v>
      </c>
      <c r="N32" s="20" t="n">
        <v>0</v>
      </c>
      <c r="O32" s="18" t="n">
        <v>0</v>
      </c>
      <c r="P32" s="20" t="n">
        <v>0</v>
      </c>
      <c r="Q32" s="18" t="n">
        <v>11.67248983</v>
      </c>
      <c r="R32" s="20" t="n">
        <v>1.63927714</v>
      </c>
    </row>
    <row r="33" spans="1:18">
      <c r="A33" s="15" t="s">
        <v>593</v>
      </c>
      <c r="B33" s="17" t="n">
        <v>3674</v>
      </c>
      <c r="C33" s="18">
        <f>(2865.0/B33*100)</f>
        <v/>
      </c>
      <c r="D33" s="19" t="n">
        <v>809</v>
      </c>
      <c r="E33" s="18" t="n">
        <v>81.11863882999999</v>
      </c>
      <c r="F33" s="20" t="n">
        <v>1.7969756</v>
      </c>
      <c r="G33" s="18" t="n">
        <v>6.32818721</v>
      </c>
      <c r="H33" s="20" t="n">
        <v>1.19269668</v>
      </c>
      <c r="I33" s="18" t="s">
        <v>567</v>
      </c>
      <c r="J33" s="20" t="s">
        <v>567</v>
      </c>
      <c r="K33" s="18" t="n">
        <v>0</v>
      </c>
      <c r="L33" s="20" t="n">
        <v>0</v>
      </c>
      <c r="M33" s="18" t="n">
        <v>0</v>
      </c>
      <c r="N33" s="20" t="n">
        <v>0</v>
      </c>
      <c r="O33" s="18" t="n">
        <v>0</v>
      </c>
      <c r="P33" s="20" t="n">
        <v>0</v>
      </c>
      <c r="Q33" s="18" t="n">
        <v>12.55317397</v>
      </c>
      <c r="R33" s="20" t="n">
        <v>1.52485584</v>
      </c>
    </row>
    <row r="34" spans="1:18">
      <c r="A34" s="15" t="s">
        <v>594</v>
      </c>
      <c r="B34" s="17" t="n">
        <v>3315</v>
      </c>
      <c r="C34" s="18">
        <f>(2592.0/B34*100)</f>
        <v/>
      </c>
      <c r="D34" s="19" t="n">
        <v>723</v>
      </c>
      <c r="E34" s="18" t="n">
        <v>76.3985407</v>
      </c>
      <c r="F34" s="20" t="n">
        <v>1.83589904</v>
      </c>
      <c r="G34" s="18" t="n">
        <v>3.59653104</v>
      </c>
      <c r="H34" s="20" t="n">
        <v>0.85853558</v>
      </c>
      <c r="I34" s="18" t="s">
        <v>567</v>
      </c>
      <c r="J34" s="20" t="s">
        <v>567</v>
      </c>
      <c r="K34" s="18" t="n">
        <v>0.12989159</v>
      </c>
      <c r="L34" s="20" t="n">
        <v>0.13070945</v>
      </c>
      <c r="M34" s="18" t="n">
        <v>0</v>
      </c>
      <c r="N34" s="20" t="n">
        <v>0</v>
      </c>
      <c r="O34" s="18" t="n">
        <v>0</v>
      </c>
      <c r="P34" s="20" t="n">
        <v>0</v>
      </c>
      <c r="Q34" s="18" t="n">
        <v>19.87503667</v>
      </c>
      <c r="R34" s="20" t="n">
        <v>1.75085865</v>
      </c>
    </row>
    <row r="35" spans="1:18">
      <c r="A35" s="15" t="s">
        <v>595</v>
      </c>
      <c r="B35" s="17" t="n">
        <v>3505</v>
      </c>
      <c r="C35" s="18">
        <f>(2715.0/B35*100)</f>
        <v/>
      </c>
      <c r="D35" s="19" t="n">
        <v>790</v>
      </c>
      <c r="E35" s="18" t="n">
        <v>76.20940483</v>
      </c>
      <c r="F35" s="20" t="n">
        <v>2.06880681</v>
      </c>
      <c r="G35" s="18" t="n">
        <v>11.54340001</v>
      </c>
      <c r="H35" s="20" t="n">
        <v>1.65369884</v>
      </c>
      <c r="I35" s="18" t="s">
        <v>567</v>
      </c>
      <c r="J35" s="20" t="s">
        <v>567</v>
      </c>
      <c r="K35" s="18" t="n">
        <v>0.06356384</v>
      </c>
      <c r="L35" s="20" t="n">
        <v>0.06372535999999999</v>
      </c>
      <c r="M35" s="18" t="n">
        <v>0</v>
      </c>
      <c r="N35" s="20" t="n">
        <v>0</v>
      </c>
      <c r="O35" s="18" t="n">
        <v>0</v>
      </c>
      <c r="P35" s="20" t="n">
        <v>0</v>
      </c>
      <c r="Q35" s="18" t="n">
        <v>12.18363132</v>
      </c>
      <c r="R35" s="20" t="n">
        <v>1.42933643</v>
      </c>
    </row>
    <row r="36" spans="1:18">
      <c r="A36" s="15" t="s">
        <v>596</v>
      </c>
      <c r="B36" s="17" t="n">
        <v>3332</v>
      </c>
      <c r="C36" s="18">
        <f>(2617.0/B36*100)</f>
        <v/>
      </c>
      <c r="D36" s="19" t="n">
        <v>715</v>
      </c>
      <c r="E36" s="18" t="n">
        <v>77.01377924000001</v>
      </c>
      <c r="F36" s="20" t="n">
        <v>1.51897796</v>
      </c>
      <c r="G36" s="18" t="n">
        <v>6.0745878</v>
      </c>
      <c r="H36" s="20" t="n">
        <v>0.86049496</v>
      </c>
      <c r="I36" s="18" t="s">
        <v>567</v>
      </c>
      <c r="J36" s="20" t="s">
        <v>567</v>
      </c>
      <c r="K36" s="18" t="n">
        <v>0.39249193</v>
      </c>
      <c r="L36" s="20" t="n">
        <v>0.29492518</v>
      </c>
      <c r="M36" s="18" t="n">
        <v>0</v>
      </c>
      <c r="N36" s="20" t="n">
        <v>0</v>
      </c>
      <c r="O36" s="18" t="n">
        <v>0</v>
      </c>
      <c r="P36" s="20" t="n">
        <v>0</v>
      </c>
      <c r="Q36" s="18" t="n">
        <v>16.51914102</v>
      </c>
      <c r="R36" s="20" t="n">
        <v>1.43587969</v>
      </c>
    </row>
    <row r="37" spans="1:18">
      <c r="A37" s="15" t="s">
        <v>597</v>
      </c>
      <c r="B37" s="17" t="n">
        <v>2727</v>
      </c>
      <c r="C37" s="18">
        <f>(2119.0/B37*100)</f>
        <v/>
      </c>
      <c r="D37" s="19" t="n">
        <v>608</v>
      </c>
      <c r="E37" s="18" t="n">
        <v>72.11999611</v>
      </c>
      <c r="F37" s="20" t="n">
        <v>1.68864655</v>
      </c>
      <c r="G37" s="18" t="n">
        <v>7.29788885</v>
      </c>
      <c r="H37" s="20" t="n">
        <v>1.10123429</v>
      </c>
      <c r="I37" s="18" t="s">
        <v>567</v>
      </c>
      <c r="J37" s="20" t="s">
        <v>567</v>
      </c>
      <c r="K37" s="18" t="n">
        <v>0.69214664</v>
      </c>
      <c r="L37" s="20" t="n">
        <v>0.3330412</v>
      </c>
      <c r="M37" s="18" t="n">
        <v>0</v>
      </c>
      <c r="N37" s="20" t="n">
        <v>0</v>
      </c>
      <c r="O37" s="18" t="n">
        <v>0</v>
      </c>
      <c r="P37" s="20" t="n">
        <v>0</v>
      </c>
      <c r="Q37" s="18" t="n">
        <v>19.88996841</v>
      </c>
      <c r="R37" s="20" t="n">
        <v>1.56083163</v>
      </c>
    </row>
    <row r="38" spans="1:18">
      <c r="A38" s="15" t="s">
        <v>598</v>
      </c>
      <c r="B38" s="17" t="n">
        <v>3053</v>
      </c>
      <c r="C38" s="18">
        <f>(2329.0/B38*100)</f>
        <v/>
      </c>
      <c r="D38" s="19" t="n">
        <v>724</v>
      </c>
      <c r="E38" s="18" t="n">
        <v>77.37875996</v>
      </c>
      <c r="F38" s="20" t="n">
        <v>1.86870178</v>
      </c>
      <c r="G38" s="18" t="n">
        <v>13.96946417</v>
      </c>
      <c r="H38" s="20" t="n">
        <v>1.38139961</v>
      </c>
      <c r="I38" s="18" t="s">
        <v>567</v>
      </c>
      <c r="J38" s="20" t="s">
        <v>567</v>
      </c>
      <c r="K38" s="18" t="n">
        <v>0.10812476</v>
      </c>
      <c r="L38" s="20" t="n">
        <v>0.11139593</v>
      </c>
      <c r="M38" s="18" t="n">
        <v>0</v>
      </c>
      <c r="N38" s="20" t="n">
        <v>0</v>
      </c>
      <c r="O38" s="18" t="n">
        <v>0</v>
      </c>
      <c r="P38" s="20" t="n">
        <v>0</v>
      </c>
      <c r="Q38" s="18" t="n">
        <v>8.543651110000001</v>
      </c>
      <c r="R38" s="20" t="n">
        <v>1.24888555</v>
      </c>
    </row>
    <row r="39" spans="1:18">
      <c r="A39" s="15" t="s">
        <v>599</v>
      </c>
      <c r="B39" s="17" t="n">
        <v>2957</v>
      </c>
      <c r="C39" s="18">
        <f>(2312.0/B39*100)</f>
        <v/>
      </c>
      <c r="D39" s="19" t="n">
        <v>645</v>
      </c>
      <c r="E39" s="18" t="n">
        <v>80.02838529</v>
      </c>
      <c r="F39" s="20" t="n">
        <v>2.19024687</v>
      </c>
      <c r="G39" s="18" t="n">
        <v>1.9822125</v>
      </c>
      <c r="H39" s="20" t="n">
        <v>0.78044324</v>
      </c>
      <c r="I39" s="18" t="s">
        <v>567</v>
      </c>
      <c r="J39" s="20" t="s">
        <v>567</v>
      </c>
      <c r="K39" s="18" t="n">
        <v>0.19820878</v>
      </c>
      <c r="L39" s="20" t="n">
        <v>0.19783157</v>
      </c>
      <c r="M39" s="18" t="n">
        <v>0</v>
      </c>
      <c r="N39" s="20" t="n">
        <v>0</v>
      </c>
      <c r="O39" s="18" t="n">
        <v>0</v>
      </c>
      <c r="P39" s="20" t="n">
        <v>0</v>
      </c>
      <c r="Q39" s="18" t="n">
        <v>17.79119342</v>
      </c>
      <c r="R39" s="20" t="n">
        <v>2.16818143</v>
      </c>
    </row>
    <row r="40" spans="1:18">
      <c r="A40" s="15" t="s">
        <v>600</v>
      </c>
      <c r="B40" s="17" t="n">
        <v>7235</v>
      </c>
      <c r="C40" s="18">
        <f>(5586.0/B40*100)</f>
        <v/>
      </c>
      <c r="D40" s="19" t="n">
        <v>1649</v>
      </c>
      <c r="E40" s="18" t="n">
        <v>80.43955877</v>
      </c>
      <c r="F40" s="20" t="n">
        <v>1.65100828</v>
      </c>
      <c r="G40" s="18" t="n">
        <v>7.91169218</v>
      </c>
      <c r="H40" s="20" t="n">
        <v>1.14639603</v>
      </c>
      <c r="I40" s="18" t="s">
        <v>567</v>
      </c>
      <c r="J40" s="20" t="s">
        <v>567</v>
      </c>
      <c r="K40" s="18" t="n">
        <v>0.15473353</v>
      </c>
      <c r="L40" s="20" t="n">
        <v>0.09032308999999999</v>
      </c>
      <c r="M40" s="18" t="n">
        <v>0</v>
      </c>
      <c r="N40" s="20" t="n">
        <v>0</v>
      </c>
      <c r="O40" s="18" t="n">
        <v>0</v>
      </c>
      <c r="P40" s="20" t="n">
        <v>0</v>
      </c>
      <c r="Q40" s="18" t="n">
        <v>11.49401553</v>
      </c>
      <c r="R40" s="20" t="n">
        <v>1.28793844</v>
      </c>
    </row>
    <row r="41" spans="1:18">
      <c r="A41" s="15" t="s">
        <v>601</v>
      </c>
      <c r="B41" s="17" t="n">
        <v>2858</v>
      </c>
      <c r="C41" s="18">
        <f>(2250.0/B41*100)</f>
        <v/>
      </c>
      <c r="D41" s="19" t="n">
        <v>608</v>
      </c>
      <c r="E41" s="18" t="n">
        <v>76.23736844</v>
      </c>
      <c r="F41" s="20" t="n">
        <v>1.8271684</v>
      </c>
      <c r="G41" s="18" t="n">
        <v>8.024233069999999</v>
      </c>
      <c r="H41" s="20" t="n">
        <v>1.16295693</v>
      </c>
      <c r="I41" s="18" t="s">
        <v>567</v>
      </c>
      <c r="J41" s="20" t="s">
        <v>567</v>
      </c>
      <c r="K41" s="18" t="n">
        <v>0.22491117</v>
      </c>
      <c r="L41" s="20" t="n">
        <v>0.1829559</v>
      </c>
      <c r="M41" s="18" t="n">
        <v>0</v>
      </c>
      <c r="N41" s="20" t="n">
        <v>0</v>
      </c>
      <c r="O41" s="18" t="n">
        <v>0</v>
      </c>
      <c r="P41" s="20" t="n">
        <v>0</v>
      </c>
      <c r="Q41" s="18" t="n">
        <v>15.51348732</v>
      </c>
      <c r="R41" s="20" t="n">
        <v>1.37768136</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(8990.0/B46*100)</f>
        <v/>
      </c>
      <c r="D46" s="19" t="n">
        <v>2078</v>
      </c>
      <c r="E46" s="18" t="n">
        <v>66.33965711</v>
      </c>
      <c r="F46" s="20" t="n">
        <v>1.44981148</v>
      </c>
      <c r="G46" s="18" t="n">
        <v>1.61418166</v>
      </c>
      <c r="H46" s="20" t="n">
        <v>0.34296782</v>
      </c>
      <c r="I46" s="18" t="s">
        <v>567</v>
      </c>
      <c r="J46" s="20" t="s">
        <v>567</v>
      </c>
      <c r="K46" s="18" t="n">
        <v>1.06760422</v>
      </c>
      <c r="L46" s="20" t="n">
        <v>0.27686075</v>
      </c>
      <c r="M46" s="18" t="n">
        <v>0</v>
      </c>
      <c r="N46" s="20" t="n">
        <v>0</v>
      </c>
      <c r="O46" s="18" t="n">
        <v>0</v>
      </c>
      <c r="P46" s="20" t="n">
        <v>0</v>
      </c>
      <c r="Q46" s="18" t="n">
        <v>30.97855701</v>
      </c>
      <c r="R46" s="20" t="n">
        <v>1.36567691</v>
      </c>
    </row>
    <row r="47" spans="1:18">
      <c r="A47" s="15" t="s">
        <v>607</v>
      </c>
      <c r="B47" s="17" t="n">
        <v>3105</v>
      </c>
      <c r="C47" s="18">
        <f>(2443.0/B47*100)</f>
        <v/>
      </c>
      <c r="D47" s="19" t="n">
        <v>662</v>
      </c>
      <c r="E47" s="18" t="n">
        <v>78.06023618</v>
      </c>
      <c r="F47" s="20" t="n">
        <v>1.89471056</v>
      </c>
      <c r="G47" s="18" t="n">
        <v>3.10196714</v>
      </c>
      <c r="H47" s="20" t="n">
        <v>0.74462934</v>
      </c>
      <c r="I47" s="18" t="s">
        <v>567</v>
      </c>
      <c r="J47" s="20" t="s">
        <v>567</v>
      </c>
      <c r="K47" s="18" t="n">
        <v>0.43601327</v>
      </c>
      <c r="L47" s="20" t="n">
        <v>0.2621896</v>
      </c>
      <c r="M47" s="18" t="n">
        <v>0</v>
      </c>
      <c r="N47" s="20" t="n">
        <v>0</v>
      </c>
      <c r="O47" s="18" t="n">
        <v>0</v>
      </c>
      <c r="P47" s="20" t="n">
        <v>0</v>
      </c>
      <c r="Q47" s="18" t="n">
        <v>18.4017834</v>
      </c>
      <c r="R47" s="20" t="n">
        <v>1.89964638</v>
      </c>
    </row>
    <row r="48" spans="1:18">
      <c r="A48" s="15" t="s">
        <v>608</v>
      </c>
      <c r="B48" s="17" t="n">
        <v>5159</v>
      </c>
      <c r="C48" s="18">
        <f>(4012.0/B48*100)</f>
        <v/>
      </c>
      <c r="D48" s="19" t="n">
        <v>1147</v>
      </c>
      <c r="E48" s="18" t="n">
        <v>77.42821494</v>
      </c>
      <c r="F48" s="20" t="n">
        <v>1.70220099</v>
      </c>
      <c r="G48" s="18" t="n">
        <v>10.34473909</v>
      </c>
      <c r="H48" s="20" t="n">
        <v>1.51529702</v>
      </c>
      <c r="I48" s="18" t="s">
        <v>567</v>
      </c>
      <c r="J48" s="20" t="s">
        <v>567</v>
      </c>
      <c r="K48" s="18" t="n">
        <v>0.43199861</v>
      </c>
      <c r="L48" s="20" t="n">
        <v>0.11001428</v>
      </c>
      <c r="M48" s="18" t="n">
        <v>0</v>
      </c>
      <c r="N48" s="20" t="n">
        <v>0</v>
      </c>
      <c r="O48" s="18" t="n">
        <v>0</v>
      </c>
      <c r="P48" s="20" t="n">
        <v>0</v>
      </c>
      <c r="Q48" s="18" t="n">
        <v>11.79504736</v>
      </c>
      <c r="R48" s="20" t="n">
        <v>1.45200149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(4425.0/B50*100)</f>
        <v/>
      </c>
      <c r="D50" s="19" t="n">
        <v>1212</v>
      </c>
      <c r="E50" s="18" t="n">
        <v>74.89740297</v>
      </c>
      <c r="F50" s="20" t="n">
        <v>1.90454303</v>
      </c>
      <c r="G50" s="18" t="n">
        <v>1.45158625</v>
      </c>
      <c r="H50" s="20" t="n">
        <v>0.43034964</v>
      </c>
      <c r="I50" s="18" t="s">
        <v>567</v>
      </c>
      <c r="J50" s="20" t="s">
        <v>567</v>
      </c>
      <c r="K50" s="18" t="n">
        <v>1.10793516</v>
      </c>
      <c r="L50" s="20" t="n">
        <v>0.50348404</v>
      </c>
      <c r="M50" s="18" t="n">
        <v>0</v>
      </c>
      <c r="N50" s="20" t="n">
        <v>0</v>
      </c>
      <c r="O50" s="18" t="n">
        <v>0</v>
      </c>
      <c r="P50" s="20" t="n">
        <v>0</v>
      </c>
      <c r="Q50" s="18" t="n">
        <v>22.54307561</v>
      </c>
      <c r="R50" s="20" t="n">
        <v>1.87187484</v>
      </c>
    </row>
    <row r="51" spans="1:18">
      <c r="A51" s="15" t="s">
        <v>611</v>
      </c>
      <c r="B51" s="17" t="n">
        <v>3372</v>
      </c>
      <c r="C51" s="18">
        <f>(2741.0/B51*100)</f>
        <v/>
      </c>
      <c r="D51" s="19" t="n">
        <v>631</v>
      </c>
      <c r="E51" s="18" t="n">
        <v>74.06777563</v>
      </c>
      <c r="F51" s="20" t="n">
        <v>1.87927741</v>
      </c>
      <c r="G51" s="18" t="n">
        <v>2.94684999</v>
      </c>
      <c r="H51" s="20" t="n">
        <v>0.73538672</v>
      </c>
      <c r="I51" s="18" t="s">
        <v>567</v>
      </c>
      <c r="J51" s="20" t="s">
        <v>567</v>
      </c>
      <c r="K51" s="18" t="n">
        <v>0.68578385</v>
      </c>
      <c r="L51" s="20" t="n">
        <v>0.3281547</v>
      </c>
      <c r="M51" s="18" t="n">
        <v>0</v>
      </c>
      <c r="N51" s="20" t="n">
        <v>0</v>
      </c>
      <c r="O51" s="18" t="n">
        <v>0</v>
      </c>
      <c r="P51" s="20" t="n">
        <v>0</v>
      </c>
      <c r="Q51" s="18" t="n">
        <v>22.29959052</v>
      </c>
      <c r="R51" s="20" t="n">
        <v>1.78079307</v>
      </c>
    </row>
    <row r="52" spans="1:18">
      <c r="A52" s="15" t="s">
        <v>612</v>
      </c>
      <c r="B52" s="17" t="n">
        <v>2796</v>
      </c>
      <c r="C52" s="18">
        <f>(2176.0/B52*100)</f>
        <v/>
      </c>
      <c r="D52" s="19" t="n">
        <v>620</v>
      </c>
      <c r="E52" s="18" t="n">
        <v>84.59099857</v>
      </c>
      <c r="F52" s="20" t="n">
        <v>1.51280594</v>
      </c>
      <c r="G52" s="18" t="n">
        <v>4.77080358</v>
      </c>
      <c r="H52" s="20" t="n">
        <v>0.91860952</v>
      </c>
      <c r="I52" s="18" t="s">
        <v>567</v>
      </c>
      <c r="J52" s="20" t="s">
        <v>567</v>
      </c>
      <c r="K52" s="18" t="n">
        <v>0.16487386</v>
      </c>
      <c r="L52" s="20" t="n">
        <v>0.16159361</v>
      </c>
      <c r="M52" s="18" t="n">
        <v>0</v>
      </c>
      <c r="N52" s="20" t="n">
        <v>0</v>
      </c>
      <c r="O52" s="18" t="n">
        <v>0</v>
      </c>
      <c r="P52" s="20" t="n">
        <v>0</v>
      </c>
      <c r="Q52" s="18" t="n">
        <v>10.47332399</v>
      </c>
      <c r="R52" s="20" t="n">
        <v>1.32045181</v>
      </c>
    </row>
    <row r="53" spans="1:18">
      <c r="A53" s="15" t="s">
        <v>613</v>
      </c>
      <c r="B53" s="17" t="n">
        <v>2811</v>
      </c>
      <c r="C53" s="18">
        <f>(2183.0/B53*100)</f>
        <v/>
      </c>
      <c r="D53" s="19" t="n">
        <v>628</v>
      </c>
      <c r="E53" s="18" t="n">
        <v>75.37620056</v>
      </c>
      <c r="F53" s="20" t="n">
        <v>1.75424804</v>
      </c>
      <c r="G53" s="18" t="n">
        <v>1.64496702</v>
      </c>
      <c r="H53" s="20" t="n">
        <v>0.50346839</v>
      </c>
      <c r="I53" s="18" t="s">
        <v>567</v>
      </c>
      <c r="J53" s="20" t="s">
        <v>567</v>
      </c>
      <c r="K53" s="18" t="n">
        <v>0.33067235</v>
      </c>
      <c r="L53" s="20" t="n">
        <v>0.24391321</v>
      </c>
      <c r="M53" s="18" t="n">
        <v>0</v>
      </c>
      <c r="N53" s="20" t="n">
        <v>0</v>
      </c>
      <c r="O53" s="18" t="n">
        <v>0</v>
      </c>
      <c r="P53" s="20" t="n">
        <v>0</v>
      </c>
      <c r="Q53" s="18" t="n">
        <v>22.64816007</v>
      </c>
      <c r="R53" s="20" t="n">
        <v>1.6962169</v>
      </c>
    </row>
    <row r="54" spans="1:18">
      <c r="A54" s="15" t="s">
        <v>614</v>
      </c>
      <c r="B54" s="17" t="n">
        <v>2266</v>
      </c>
      <c r="C54" s="18">
        <f>(1791.0/B54*100)</f>
        <v/>
      </c>
      <c r="D54" s="19" t="n">
        <v>475</v>
      </c>
      <c r="E54" s="18" t="n">
        <v>55.78777517</v>
      </c>
      <c r="F54" s="20" t="n">
        <v>2.86584932</v>
      </c>
      <c r="G54" s="18" t="n">
        <v>0.14274169</v>
      </c>
      <c r="H54" s="20" t="n">
        <v>0.14198672</v>
      </c>
      <c r="I54" s="18" t="s">
        <v>567</v>
      </c>
      <c r="J54" s="20" t="s">
        <v>567</v>
      </c>
      <c r="K54" s="18" t="n">
        <v>9.31511207</v>
      </c>
      <c r="L54" s="20" t="n">
        <v>1.52029775</v>
      </c>
      <c r="M54" s="18" t="n">
        <v>0</v>
      </c>
      <c r="N54" s="20" t="n">
        <v>0</v>
      </c>
      <c r="O54" s="18" t="n">
        <v>0</v>
      </c>
      <c r="P54" s="20" t="n">
        <v>0</v>
      </c>
      <c r="Q54" s="18" t="n">
        <v>34.75437107</v>
      </c>
      <c r="R54" s="20" t="n">
        <v>2.98925548</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(2088.0/B56*100)</f>
        <v/>
      </c>
      <c r="D56" s="19" t="n">
        <v>596</v>
      </c>
      <c r="E56" s="18" t="n">
        <v>76.36525349</v>
      </c>
      <c r="F56" s="20" t="n">
        <v>1.53797367</v>
      </c>
      <c r="G56" s="18" t="n">
        <v>8.63299159</v>
      </c>
      <c r="H56" s="20" t="n">
        <v>1.21073842</v>
      </c>
      <c r="I56" s="18" t="s">
        <v>567</v>
      </c>
      <c r="J56" s="20" t="s">
        <v>567</v>
      </c>
      <c r="K56" s="18" t="n">
        <v>0.444689</v>
      </c>
      <c r="L56" s="20" t="n">
        <v>0.35703117</v>
      </c>
      <c r="M56" s="18" t="n">
        <v>0</v>
      </c>
      <c r="N56" s="20" t="n">
        <v>0</v>
      </c>
      <c r="O56" s="18" t="n">
        <v>0</v>
      </c>
      <c r="P56" s="20" t="n">
        <v>0</v>
      </c>
      <c r="Q56" s="18" t="n">
        <v>14.55706592</v>
      </c>
      <c r="R56" s="20" t="n">
        <v>1.35596403</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(2601.0/B61*100)</f>
        <v/>
      </c>
      <c r="D61" s="19" t="n">
        <v>723</v>
      </c>
      <c r="E61" s="18" t="n">
        <v>80.19325587</v>
      </c>
      <c r="F61" s="20" t="n">
        <v>1.58669532</v>
      </c>
      <c r="G61" s="18" t="n">
        <v>4.08678027</v>
      </c>
      <c r="H61" s="20" t="n">
        <v>0.94643925</v>
      </c>
      <c r="I61" s="18" t="s">
        <v>567</v>
      </c>
      <c r="J61" s="20" t="s">
        <v>567</v>
      </c>
      <c r="K61" s="18" t="n">
        <v>0.0448711</v>
      </c>
      <c r="L61" s="20" t="n">
        <v>0.04498736</v>
      </c>
      <c r="M61" s="18" t="n">
        <v>0</v>
      </c>
      <c r="N61" s="20" t="n">
        <v>0</v>
      </c>
      <c r="O61" s="18" t="n">
        <v>0</v>
      </c>
      <c r="P61" s="20" t="n">
        <v>0</v>
      </c>
      <c r="Q61" s="18" t="n">
        <v>15.67509276</v>
      </c>
      <c r="R61" s="20" t="n">
        <v>1.44692417</v>
      </c>
    </row>
    <row r="62" spans="1:18">
      <c r="A62" s="15" t="s">
        <v>622</v>
      </c>
      <c r="B62" s="17" t="n">
        <v>2246</v>
      </c>
      <c r="C62" s="18">
        <f>(1735.0/B62*100)</f>
        <v/>
      </c>
      <c r="D62" s="19" t="n">
        <v>511</v>
      </c>
      <c r="E62" s="18" t="n">
        <v>82.56819996</v>
      </c>
      <c r="F62" s="20" t="n">
        <v>1.6119948</v>
      </c>
      <c r="G62" s="18" t="n">
        <v>6.84354328</v>
      </c>
      <c r="H62" s="20" t="n">
        <v>1.1250631</v>
      </c>
      <c r="I62" s="18" t="s">
        <v>567</v>
      </c>
      <c r="J62" s="20" t="s">
        <v>567</v>
      </c>
      <c r="K62" s="18" t="n">
        <v>0</v>
      </c>
      <c r="L62" s="20" t="n">
        <v>0</v>
      </c>
      <c r="M62" s="18" t="n">
        <v>0</v>
      </c>
      <c r="N62" s="20" t="n">
        <v>0</v>
      </c>
      <c r="O62" s="18" t="n">
        <v>0</v>
      </c>
      <c r="P62" s="20" t="n">
        <v>0</v>
      </c>
      <c r="Q62" s="18" t="n">
        <v>10.58825676</v>
      </c>
      <c r="R62" s="20" t="n">
        <v>1.37624719</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(2313.0/B66*100)</f>
        <v/>
      </c>
      <c r="D66" s="19" t="n">
        <v>581</v>
      </c>
      <c r="E66" s="18" t="n">
        <v>68.25190176</v>
      </c>
      <c r="F66" s="20" t="n">
        <v>2.02862664</v>
      </c>
      <c r="G66" s="18" t="n">
        <v>1.01553328</v>
      </c>
      <c r="H66" s="20" t="n">
        <v>0.39922045</v>
      </c>
      <c r="I66" s="18" t="s">
        <v>567</v>
      </c>
      <c r="J66" s="20" t="s">
        <v>567</v>
      </c>
      <c r="K66" s="18" t="n">
        <v>0.39972847</v>
      </c>
      <c r="L66" s="20" t="n">
        <v>0.28396588</v>
      </c>
      <c r="M66" s="18" t="n">
        <v>0</v>
      </c>
      <c r="N66" s="20" t="n">
        <v>0</v>
      </c>
      <c r="O66" s="18" t="n">
        <v>0</v>
      </c>
      <c r="P66" s="20" t="n">
        <v>0</v>
      </c>
      <c r="Q66" s="18" t="n">
        <v>30.33283649</v>
      </c>
      <c r="R66" s="20" t="n">
        <v>2.07057108</v>
      </c>
    </row>
    <row r="67" spans="1:18">
      <c r="A67" s="15" t="s">
        <v>627</v>
      </c>
      <c r="B67" s="17" t="n">
        <v>3511</v>
      </c>
      <c r="C67" s="18">
        <f>(2788.0/B67*100)</f>
        <v/>
      </c>
      <c r="D67" s="19" t="n">
        <v>723</v>
      </c>
      <c r="E67" s="18" t="n">
        <v>77.64620702000001</v>
      </c>
      <c r="F67" s="20" t="n">
        <v>1.40676061</v>
      </c>
      <c r="G67" s="18" t="n">
        <v>1.50733245</v>
      </c>
      <c r="H67" s="20" t="n">
        <v>0.5428423999999999</v>
      </c>
      <c r="I67" s="18" t="s">
        <v>567</v>
      </c>
      <c r="J67" s="20" t="s">
        <v>567</v>
      </c>
      <c r="K67" s="18" t="n">
        <v>0.49570462</v>
      </c>
      <c r="L67" s="20" t="n">
        <v>0.39084569</v>
      </c>
      <c r="M67" s="18" t="n">
        <v>0</v>
      </c>
      <c r="N67" s="20" t="n">
        <v>0</v>
      </c>
      <c r="O67" s="18" t="n">
        <v>0</v>
      </c>
      <c r="P67" s="20" t="n">
        <v>0</v>
      </c>
      <c r="Q67" s="18" t="n">
        <v>20.35075591</v>
      </c>
      <c r="R67" s="20" t="n">
        <v>1.27261401</v>
      </c>
    </row>
    <row r="68" spans="1:18">
      <c r="A68" s="15" t="s">
        <v>628</v>
      </c>
      <c r="B68" s="17" t="n">
        <v>6049</v>
      </c>
      <c r="C68" s="18">
        <f>(4692.0/B68*100)</f>
        <v/>
      </c>
      <c r="D68" s="19" t="n">
        <v>1357</v>
      </c>
      <c r="E68" s="18" t="n">
        <v>70.14210482999999</v>
      </c>
      <c r="F68" s="20" t="n">
        <v>1.27188225</v>
      </c>
      <c r="G68" s="18" t="n">
        <v>3.38284333</v>
      </c>
      <c r="H68" s="20" t="n">
        <v>0.53593874</v>
      </c>
      <c r="I68" s="18" t="s">
        <v>567</v>
      </c>
      <c r="J68" s="20" t="s">
        <v>567</v>
      </c>
      <c r="K68" s="18" t="n">
        <v>2.49727819</v>
      </c>
      <c r="L68" s="20" t="n">
        <v>0.38496254</v>
      </c>
      <c r="M68" s="18" t="n">
        <v>0</v>
      </c>
      <c r="N68" s="20" t="n">
        <v>0</v>
      </c>
      <c r="O68" s="18" t="n">
        <v>0</v>
      </c>
      <c r="P68" s="20" t="n">
        <v>0</v>
      </c>
      <c r="Q68" s="18" t="n">
        <v>23.97777365</v>
      </c>
      <c r="R68" s="20" t="n">
        <v>1.18356571</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(2302.0/B70*100)</f>
        <v/>
      </c>
      <c r="D70" s="19" t="n">
        <v>627</v>
      </c>
      <c r="E70" s="18" t="n">
        <v>82.31858702</v>
      </c>
      <c r="F70" s="20" t="n">
        <v>1.53680122</v>
      </c>
      <c r="G70" s="18" t="n">
        <v>5.97313996</v>
      </c>
      <c r="H70" s="20" t="n">
        <v>1.00735894</v>
      </c>
      <c r="I70" s="18" t="s">
        <v>567</v>
      </c>
      <c r="J70" s="20" t="s">
        <v>567</v>
      </c>
      <c r="K70" s="18" t="n">
        <v>0.14365005</v>
      </c>
      <c r="L70" s="20" t="n">
        <v>0.14209624</v>
      </c>
      <c r="M70" s="18" t="n">
        <v>0</v>
      </c>
      <c r="N70" s="20" t="n">
        <v>0</v>
      </c>
      <c r="O70" s="18" t="n">
        <v>0</v>
      </c>
      <c r="P70" s="20" t="n">
        <v>0</v>
      </c>
      <c r="Q70" s="18" t="n">
        <v>11.56462297</v>
      </c>
      <c r="R70" s="20" t="n">
        <v>1.5523557</v>
      </c>
    </row>
    <row r="71" spans="1:18">
      <c r="A71" s="15" t="s">
        <v>631</v>
      </c>
      <c r="B71" s="17" t="n">
        <v>3142</v>
      </c>
      <c r="C71" s="18">
        <f>(2462.0/B71*100)</f>
        <v/>
      </c>
      <c r="D71" s="19" t="n">
        <v>680</v>
      </c>
      <c r="E71" s="18" t="n">
        <v>71.34906553</v>
      </c>
      <c r="F71" s="20" t="n">
        <v>2.01861925</v>
      </c>
      <c r="G71" s="18" t="n">
        <v>16.21960507</v>
      </c>
      <c r="H71" s="20" t="n">
        <v>1.49458244</v>
      </c>
      <c r="I71" s="18" t="s">
        <v>567</v>
      </c>
      <c r="J71" s="20" t="s">
        <v>567</v>
      </c>
      <c r="K71" s="18" t="n">
        <v>0.29217583</v>
      </c>
      <c r="L71" s="20" t="n">
        <v>0.20746555</v>
      </c>
      <c r="M71" s="18" t="n">
        <v>0</v>
      </c>
      <c r="N71" s="20" t="n">
        <v>0</v>
      </c>
      <c r="O71" s="18" t="n">
        <v>0</v>
      </c>
      <c r="P71" s="20" t="n">
        <v>0</v>
      </c>
      <c r="Q71" s="18" t="n">
        <v>12.13915357</v>
      </c>
      <c r="R71" s="20" t="n">
        <v>1.38160447</v>
      </c>
    </row>
    <row r="72" spans="1:18">
      <c r="A72" s="15" t="s">
        <v>632</v>
      </c>
      <c r="B72" s="17" t="n">
        <v>3889</v>
      </c>
      <c r="C72" s="18">
        <f>(3054.0/B72*100)</f>
        <v/>
      </c>
      <c r="D72" s="19" t="n">
        <v>835</v>
      </c>
      <c r="E72" s="18" t="n">
        <v>76.78344894</v>
      </c>
      <c r="F72" s="20" t="n">
        <v>1.4168067</v>
      </c>
      <c r="G72" s="18" t="n">
        <v>8.006940070000001</v>
      </c>
      <c r="H72" s="20" t="n">
        <v>0.93923641</v>
      </c>
      <c r="I72" s="18" t="s">
        <v>567</v>
      </c>
      <c r="J72" s="20" t="s">
        <v>567</v>
      </c>
      <c r="K72" s="18" t="n">
        <v>0.22349957</v>
      </c>
      <c r="L72" s="20" t="n">
        <v>0.17098983</v>
      </c>
      <c r="M72" s="18" t="n">
        <v>0</v>
      </c>
      <c r="N72" s="20" t="n">
        <v>0</v>
      </c>
      <c r="O72" s="18" t="n">
        <v>0</v>
      </c>
      <c r="P72" s="20" t="n">
        <v>0</v>
      </c>
      <c r="Q72" s="18" t="n">
        <v>14.98611142</v>
      </c>
      <c r="R72" s="20" t="n">
        <v>1.17590087</v>
      </c>
    </row>
    <row r="73" spans="1:18">
      <c r="A73" s="15" t="s">
        <v>633</v>
      </c>
      <c r="B73" s="17" t="n">
        <v>3597</v>
      </c>
      <c r="C73" s="18">
        <f>(2802.0/B73*100)</f>
        <v/>
      </c>
      <c r="D73" s="19" t="n">
        <v>795</v>
      </c>
      <c r="E73" s="18" t="n">
        <v>69.23416439</v>
      </c>
      <c r="F73" s="20" t="n">
        <v>1.99692854</v>
      </c>
      <c r="G73" s="18" t="n">
        <v>3.04295833</v>
      </c>
      <c r="H73" s="20" t="n">
        <v>0.94276269</v>
      </c>
      <c r="I73" s="18" t="s">
        <v>567</v>
      </c>
      <c r="J73" s="20" t="s">
        <v>567</v>
      </c>
      <c r="K73" s="18" t="n">
        <v>0.17574951</v>
      </c>
      <c r="L73" s="20" t="n">
        <v>0.12824761</v>
      </c>
      <c r="M73" s="18" t="n">
        <v>0</v>
      </c>
      <c r="N73" s="20" t="n">
        <v>0</v>
      </c>
      <c r="O73" s="18" t="n">
        <v>0</v>
      </c>
      <c r="P73" s="20" t="n">
        <v>0</v>
      </c>
      <c r="Q73" s="18" t="n">
        <v>27.54712777</v>
      </c>
      <c r="R73" s="20" t="n">
        <v>1.90181009</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(1920.0/B75*100)</f>
        <v/>
      </c>
      <c r="D75" s="19" t="n">
        <v>486</v>
      </c>
      <c r="E75" s="18" t="n">
        <v>70.74008439000001</v>
      </c>
      <c r="F75" s="20" t="n">
        <v>2.30331736</v>
      </c>
      <c r="G75" s="18" t="n">
        <v>1.21708296</v>
      </c>
      <c r="H75" s="20" t="n">
        <v>0.48030103</v>
      </c>
      <c r="I75" s="18" t="s">
        <v>567</v>
      </c>
      <c r="J75" s="20" t="s">
        <v>567</v>
      </c>
      <c r="K75" s="18" t="n">
        <v>1.76457245</v>
      </c>
      <c r="L75" s="20" t="n">
        <v>0.63539089</v>
      </c>
      <c r="M75" s="18" t="n">
        <v>0</v>
      </c>
      <c r="N75" s="20" t="n">
        <v>0</v>
      </c>
      <c r="O75" s="18" t="n">
        <v>0</v>
      </c>
      <c r="P75" s="20" t="n">
        <v>0</v>
      </c>
      <c r="Q75" s="18" t="n">
        <v>26.2782602</v>
      </c>
      <c r="R75" s="20" t="n">
        <v>2.25960237</v>
      </c>
    </row>
    <row r="76" spans="1:18">
      <c r="A76" s="15" t="s">
        <v>636</v>
      </c>
      <c r="B76" s="17" t="n">
        <v>7052</v>
      </c>
      <c r="C76" s="18">
        <f>(5490.0/B76*100)</f>
        <v/>
      </c>
      <c r="D76" s="19" t="n">
        <v>1562</v>
      </c>
      <c r="E76" s="18" t="n">
        <v>72.70421743999999</v>
      </c>
      <c r="F76" s="20" t="n">
        <v>1.47273305</v>
      </c>
      <c r="G76" s="18" t="n">
        <v>3.64370578</v>
      </c>
      <c r="H76" s="20" t="n">
        <v>0.70870011</v>
      </c>
      <c r="I76" s="18" t="s">
        <v>567</v>
      </c>
      <c r="J76" s="20" t="s">
        <v>567</v>
      </c>
      <c r="K76" s="18" t="n">
        <v>1.0820882</v>
      </c>
      <c r="L76" s="20" t="n">
        <v>0.32895024</v>
      </c>
      <c r="M76" s="18" t="n">
        <v>0</v>
      </c>
      <c r="N76" s="20" t="n">
        <v>0</v>
      </c>
      <c r="O76" s="18" t="n">
        <v>0</v>
      </c>
      <c r="P76" s="20" t="n">
        <v>0</v>
      </c>
      <c r="Q76" s="18" t="n">
        <v>22.56998859</v>
      </c>
      <c r="R76" s="20" t="n">
        <v>1.18700701</v>
      </c>
    </row>
    <row r="77" spans="1:18">
      <c r="A77" s="15" t="s">
        <v>637</v>
      </c>
      <c r="B77" s="17" t="n">
        <v>2908</v>
      </c>
      <c r="C77" s="18">
        <f>(2284.0/B77*100)</f>
        <v/>
      </c>
      <c r="D77" s="19" t="n">
        <v>624</v>
      </c>
      <c r="E77" s="18" t="n">
        <v>78.62582446</v>
      </c>
      <c r="F77" s="20" t="n">
        <v>2.04063566</v>
      </c>
      <c r="G77" s="18" t="n">
        <v>3.06890732</v>
      </c>
      <c r="H77" s="20" t="n">
        <v>0.82397649</v>
      </c>
      <c r="I77" s="18" t="s">
        <v>567</v>
      </c>
      <c r="J77" s="20" t="s">
        <v>567</v>
      </c>
      <c r="K77" s="18" t="n">
        <v>0.33597179</v>
      </c>
      <c r="L77" s="20" t="n">
        <v>0.20364272</v>
      </c>
      <c r="M77" s="18" t="n">
        <v>0</v>
      </c>
      <c r="N77" s="20" t="n">
        <v>0</v>
      </c>
      <c r="O77" s="18" t="n">
        <v>0</v>
      </c>
      <c r="P77" s="20" t="n">
        <v>0</v>
      </c>
      <c r="Q77" s="18" t="n">
        <v>17.96929643</v>
      </c>
      <c r="R77" s="20" t="n">
        <v>1.87048174</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(3233.0/B81*100)</f>
        <v/>
      </c>
      <c r="D81" s="19" t="n">
        <v>930</v>
      </c>
      <c r="E81" s="18" t="n">
        <v>79.0430911</v>
      </c>
      <c r="F81" s="20" t="n">
        <v>1.59592714</v>
      </c>
      <c r="G81" s="18" t="n">
        <v>4.14067424</v>
      </c>
      <c r="H81" s="20" t="n">
        <v>0.73847505</v>
      </c>
      <c r="I81" s="18" t="s">
        <v>567</v>
      </c>
      <c r="J81" s="20" t="s">
        <v>567</v>
      </c>
      <c r="K81" s="18" t="n">
        <v>0</v>
      </c>
      <c r="L81" s="20" t="n">
        <v>0</v>
      </c>
      <c r="M81" s="18" t="n">
        <v>0</v>
      </c>
      <c r="N81" s="20" t="n">
        <v>0</v>
      </c>
      <c r="O81" s="18" t="n">
        <v>0</v>
      </c>
      <c r="P81" s="20" t="n">
        <v>0</v>
      </c>
      <c r="Q81" s="18" t="n">
        <v>16.81623467</v>
      </c>
      <c r="R81" s="20" t="n">
        <v>1.57023295</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(5767.0/B7*100)</f>
        <v/>
      </c>
      <c r="D7" s="19" t="n">
        <v>1600</v>
      </c>
      <c r="E7" s="18" t="n">
        <v>30.31741186</v>
      </c>
      <c r="F7" s="20" t="n">
        <v>1.3018612</v>
      </c>
      <c r="G7" s="18" t="n">
        <v>66.36140406</v>
      </c>
      <c r="H7" s="20" t="n">
        <v>1.29650094</v>
      </c>
      <c r="I7" s="18" t="s">
        <v>567</v>
      </c>
      <c r="J7" s="20" t="s">
        <v>567</v>
      </c>
      <c r="K7" s="18" t="n">
        <v>0.53224949</v>
      </c>
      <c r="L7" s="20" t="n">
        <v>0.18899455</v>
      </c>
      <c r="M7" s="18" t="n">
        <v>0</v>
      </c>
      <c r="N7" s="20" t="n">
        <v>0</v>
      </c>
      <c r="O7" s="18" t="n">
        <v>0</v>
      </c>
      <c r="P7" s="20" t="n">
        <v>0</v>
      </c>
      <c r="Q7" s="18" t="n">
        <v>2.78893459</v>
      </c>
      <c r="R7" s="20" t="n">
        <v>0.42661441</v>
      </c>
    </row>
    <row r="8" spans="1:18">
      <c r="A8" s="15" t="s">
        <v>568</v>
      </c>
      <c r="B8" s="17" t="n">
        <v>3564</v>
      </c>
      <c r="C8" s="18">
        <f>(2787.0/B8*100)</f>
        <v/>
      </c>
      <c r="D8" s="19" t="n">
        <v>777</v>
      </c>
      <c r="E8" s="18" t="n">
        <v>33.79861952</v>
      </c>
      <c r="F8" s="20" t="n">
        <v>2.09351874</v>
      </c>
      <c r="G8" s="18" t="n">
        <v>62.75974729</v>
      </c>
      <c r="H8" s="20" t="n">
        <v>2.17827101</v>
      </c>
      <c r="I8" s="18" t="s">
        <v>567</v>
      </c>
      <c r="J8" s="20" t="s">
        <v>567</v>
      </c>
      <c r="K8" s="18" t="n">
        <v>0.30295917</v>
      </c>
      <c r="L8" s="20" t="n">
        <v>0.21168657</v>
      </c>
      <c r="M8" s="18" t="n">
        <v>0</v>
      </c>
      <c r="N8" s="20" t="n">
        <v>0</v>
      </c>
      <c r="O8" s="18" t="n">
        <v>0</v>
      </c>
      <c r="P8" s="20" t="n">
        <v>0</v>
      </c>
      <c r="Q8" s="18" t="n">
        <v>3.13867402</v>
      </c>
      <c r="R8" s="20" t="n">
        <v>0.71082246</v>
      </c>
    </row>
    <row r="9" spans="1:18">
      <c r="A9" s="15" t="s">
        <v>569</v>
      </c>
      <c r="B9" s="17" t="n">
        <v>4899</v>
      </c>
      <c r="C9" s="18">
        <f>(3842.0/B9*100)</f>
        <v/>
      </c>
      <c r="D9" s="19" t="n">
        <v>1057</v>
      </c>
      <c r="E9" s="18" t="n">
        <v>30.52992779</v>
      </c>
      <c r="F9" s="20" t="n">
        <v>1.63250204</v>
      </c>
      <c r="G9" s="18" t="n">
        <v>66.2262647</v>
      </c>
      <c r="H9" s="20" t="n">
        <v>1.72044979</v>
      </c>
      <c r="I9" s="18" t="s">
        <v>567</v>
      </c>
      <c r="J9" s="20" t="s">
        <v>567</v>
      </c>
      <c r="K9" s="18" t="n">
        <v>0.19574011</v>
      </c>
      <c r="L9" s="20" t="n">
        <v>0.10904269</v>
      </c>
      <c r="M9" s="18" t="n">
        <v>0</v>
      </c>
      <c r="N9" s="20" t="n">
        <v>0</v>
      </c>
      <c r="O9" s="18" t="n">
        <v>0</v>
      </c>
      <c r="P9" s="20" t="n">
        <v>0</v>
      </c>
      <c r="Q9" s="18" t="n">
        <v>3.0480674</v>
      </c>
      <c r="R9" s="20" t="n">
        <v>0.57964737</v>
      </c>
    </row>
    <row r="10" spans="1:18">
      <c r="A10" s="15" t="s">
        <v>570</v>
      </c>
      <c r="B10" s="17" t="n">
        <v>10036</v>
      </c>
      <c r="C10" s="18">
        <f>(7794.0/B10*100)</f>
        <v/>
      </c>
      <c r="D10" s="19" t="n">
        <v>2242</v>
      </c>
      <c r="E10" s="18" t="n">
        <v>22.70378033</v>
      </c>
      <c r="F10" s="20" t="n">
        <v>1.38119945</v>
      </c>
      <c r="G10" s="18" t="n">
        <v>73.73671713</v>
      </c>
      <c r="H10" s="20" t="n">
        <v>1.61963506</v>
      </c>
      <c r="I10" s="18" t="s">
        <v>567</v>
      </c>
      <c r="J10" s="20" t="s">
        <v>567</v>
      </c>
      <c r="K10" s="18" t="n">
        <v>0.46822908</v>
      </c>
      <c r="L10" s="20" t="n">
        <v>0.21757288</v>
      </c>
      <c r="M10" s="18" t="n">
        <v>0</v>
      </c>
      <c r="N10" s="20" t="n">
        <v>0</v>
      </c>
      <c r="O10" s="18" t="n">
        <v>0</v>
      </c>
      <c r="P10" s="20" t="n">
        <v>0</v>
      </c>
      <c r="Q10" s="18" t="n">
        <v>3.09127346</v>
      </c>
      <c r="R10" s="20" t="n">
        <v>0.53942357</v>
      </c>
    </row>
    <row r="11" spans="1:18">
      <c r="A11" s="15" t="s">
        <v>571</v>
      </c>
      <c r="B11" s="17" t="n">
        <v>3553</v>
      </c>
      <c r="C11" s="18">
        <f>(2766.0/B11*100)</f>
        <v/>
      </c>
      <c r="D11" s="19" t="n">
        <v>787</v>
      </c>
      <c r="E11" s="18" t="n">
        <v>38.37152946</v>
      </c>
      <c r="F11" s="20" t="n">
        <v>2.09945067</v>
      </c>
      <c r="G11" s="18" t="n">
        <v>56.38687647</v>
      </c>
      <c r="H11" s="20" t="n">
        <v>2.23091381</v>
      </c>
      <c r="I11" s="18" t="s">
        <v>567</v>
      </c>
      <c r="J11" s="20" t="s">
        <v>567</v>
      </c>
      <c r="K11" s="18" t="n">
        <v>0.34787625</v>
      </c>
      <c r="L11" s="20" t="n">
        <v>0.21640697</v>
      </c>
      <c r="M11" s="18" t="n">
        <v>0</v>
      </c>
      <c r="N11" s="20" t="n">
        <v>0</v>
      </c>
      <c r="O11" s="18" t="n">
        <v>0</v>
      </c>
      <c r="P11" s="20" t="n">
        <v>0</v>
      </c>
      <c r="Q11" s="18" t="n">
        <v>4.89371782</v>
      </c>
      <c r="R11" s="20" t="n">
        <v>0.77323893</v>
      </c>
    </row>
    <row r="12" spans="1:18">
      <c r="A12" s="15" t="s">
        <v>572</v>
      </c>
      <c r="B12" s="17" t="n">
        <v>3472</v>
      </c>
      <c r="C12" s="18">
        <f>(2707.0/B12*100)</f>
        <v/>
      </c>
      <c r="D12" s="19" t="n">
        <v>765</v>
      </c>
      <c r="E12" s="18" t="n">
        <v>40.66719509</v>
      </c>
      <c r="F12" s="20" t="n">
        <v>2.02721012</v>
      </c>
      <c r="G12" s="18" t="n">
        <v>56.84805376</v>
      </c>
      <c r="H12" s="20" t="n">
        <v>1.98064887</v>
      </c>
      <c r="I12" s="18" t="s">
        <v>567</v>
      </c>
      <c r="J12" s="20" t="s">
        <v>567</v>
      </c>
      <c r="K12" s="18" t="n">
        <v>0</v>
      </c>
      <c r="L12" s="20" t="n">
        <v>0</v>
      </c>
      <c r="M12" s="18" t="n">
        <v>0</v>
      </c>
      <c r="N12" s="20" t="n">
        <v>0</v>
      </c>
      <c r="O12" s="18" t="n">
        <v>0</v>
      </c>
      <c r="P12" s="20" t="n">
        <v>0</v>
      </c>
      <c r="Q12" s="18" t="n">
        <v>2.48475115</v>
      </c>
      <c r="R12" s="20" t="n">
        <v>0.78405074</v>
      </c>
    </row>
    <row r="13" spans="1:18">
      <c r="A13" s="15" t="s">
        <v>573</v>
      </c>
      <c r="B13" s="17" t="n">
        <v>3559</v>
      </c>
      <c r="C13" s="18">
        <f>(2800.0/B13*100)</f>
        <v/>
      </c>
      <c r="D13" s="19" t="n">
        <v>759</v>
      </c>
      <c r="E13" s="18" t="n">
        <v>32.09595962</v>
      </c>
      <c r="F13" s="20" t="n">
        <v>1.94546267</v>
      </c>
      <c r="G13" s="18" t="n">
        <v>65.22856294</v>
      </c>
      <c r="H13" s="20" t="n">
        <v>1.93711479</v>
      </c>
      <c r="I13" s="18" t="s">
        <v>567</v>
      </c>
      <c r="J13" s="20" t="s">
        <v>567</v>
      </c>
      <c r="K13" s="18" t="n">
        <v>0.89486897</v>
      </c>
      <c r="L13" s="20" t="n">
        <v>0.40152967</v>
      </c>
      <c r="M13" s="18" t="n">
        <v>0</v>
      </c>
      <c r="N13" s="20" t="n">
        <v>0</v>
      </c>
      <c r="O13" s="18" t="n">
        <v>0</v>
      </c>
      <c r="P13" s="20" t="n">
        <v>0</v>
      </c>
      <c r="Q13" s="18" t="n">
        <v>1.78060847</v>
      </c>
      <c r="R13" s="20" t="n">
        <v>0.54745383</v>
      </c>
    </row>
    <row r="14" spans="1:18">
      <c r="A14" s="15" t="s">
        <v>574</v>
      </c>
      <c r="B14" s="17" t="n">
        <v>2799</v>
      </c>
      <c r="C14" s="18">
        <f>(2173.0/B14*100)</f>
        <v/>
      </c>
      <c r="D14" s="19" t="n">
        <v>626</v>
      </c>
      <c r="E14" s="18" t="n">
        <v>29.10509455</v>
      </c>
      <c r="F14" s="20" t="n">
        <v>2.49867372</v>
      </c>
      <c r="G14" s="18" t="n">
        <v>69.753851</v>
      </c>
      <c r="H14" s="20" t="n">
        <v>2.52566038</v>
      </c>
      <c r="I14" s="18" t="s">
        <v>567</v>
      </c>
      <c r="J14" s="20" t="s">
        <v>567</v>
      </c>
      <c r="K14" s="18" t="n">
        <v>0.14497029</v>
      </c>
      <c r="L14" s="20" t="n">
        <v>0.14452925</v>
      </c>
      <c r="M14" s="18" t="n">
        <v>0</v>
      </c>
      <c r="N14" s="20" t="n">
        <v>0</v>
      </c>
      <c r="O14" s="18" t="n">
        <v>0</v>
      </c>
      <c r="P14" s="20" t="n">
        <v>0</v>
      </c>
      <c r="Q14" s="18" t="n">
        <v>0.99608416</v>
      </c>
      <c r="R14" s="20" t="n">
        <v>0.33668562</v>
      </c>
    </row>
    <row r="15" spans="1:18">
      <c r="A15" s="15" t="s">
        <v>575</v>
      </c>
      <c r="B15" s="17" t="n">
        <v>3019</v>
      </c>
      <c r="C15" s="18">
        <f>(2297.0/B15*100)</f>
        <v/>
      </c>
      <c r="D15" s="19" t="n">
        <v>722</v>
      </c>
      <c r="E15" s="18" t="n">
        <v>28.94114323</v>
      </c>
      <c r="F15" s="20" t="n">
        <v>1.85731643</v>
      </c>
      <c r="G15" s="18" t="n">
        <v>69.41074782</v>
      </c>
      <c r="H15" s="20" t="n">
        <v>1.89625936</v>
      </c>
      <c r="I15" s="18" t="s">
        <v>567</v>
      </c>
      <c r="J15" s="20" t="s">
        <v>567</v>
      </c>
      <c r="K15" s="18" t="n">
        <v>0.1555144</v>
      </c>
      <c r="L15" s="20" t="n">
        <v>0.17058361</v>
      </c>
      <c r="M15" s="18" t="n">
        <v>0</v>
      </c>
      <c r="N15" s="20" t="n">
        <v>0</v>
      </c>
      <c r="O15" s="18" t="n">
        <v>0</v>
      </c>
      <c r="P15" s="20" t="n">
        <v>0</v>
      </c>
      <c r="Q15" s="18" t="n">
        <v>1.49259454</v>
      </c>
      <c r="R15" s="20" t="n">
        <v>0.49136379</v>
      </c>
    </row>
    <row r="16" spans="1:18">
      <c r="A16" s="15" t="s">
        <v>576</v>
      </c>
      <c r="B16" s="17" t="n">
        <v>2997</v>
      </c>
      <c r="C16" s="18">
        <f>(2323.0/B16*100)</f>
        <v/>
      </c>
      <c r="D16" s="19" t="n">
        <v>674</v>
      </c>
      <c r="E16" s="18" t="n">
        <v>25.52874641</v>
      </c>
      <c r="F16" s="20" t="n">
        <v>1.79000312</v>
      </c>
      <c r="G16" s="18" t="n">
        <v>67.87232057999999</v>
      </c>
      <c r="H16" s="20" t="n">
        <v>1.97512029</v>
      </c>
      <c r="I16" s="18" t="s">
        <v>567</v>
      </c>
      <c r="J16" s="20" t="s">
        <v>567</v>
      </c>
      <c r="K16" s="18" t="n">
        <v>0.79213787</v>
      </c>
      <c r="L16" s="20" t="n">
        <v>0.3362205</v>
      </c>
      <c r="M16" s="18" t="n">
        <v>0</v>
      </c>
      <c r="N16" s="20" t="n">
        <v>0</v>
      </c>
      <c r="O16" s="18" t="n">
        <v>0</v>
      </c>
      <c r="P16" s="20" t="n">
        <v>0</v>
      </c>
      <c r="Q16" s="18" t="n">
        <v>5.80679514</v>
      </c>
      <c r="R16" s="20" t="n">
        <v>0.97451756</v>
      </c>
    </row>
    <row r="17" spans="1:18">
      <c r="A17" s="15" t="s">
        <v>577</v>
      </c>
      <c r="B17" s="17" t="n">
        <v>3307</v>
      </c>
      <c r="C17" s="18">
        <f>(2582.0/B17*100)</f>
        <v/>
      </c>
      <c r="D17" s="19" t="n">
        <v>725</v>
      </c>
      <c r="E17" s="18" t="n">
        <v>35.21483729</v>
      </c>
      <c r="F17" s="20" t="n">
        <v>1.7985589</v>
      </c>
      <c r="G17" s="18" t="n">
        <v>61.79947263</v>
      </c>
      <c r="H17" s="20" t="n">
        <v>1.84186956</v>
      </c>
      <c r="I17" s="18" t="s">
        <v>567</v>
      </c>
      <c r="J17" s="20" t="s">
        <v>567</v>
      </c>
      <c r="K17" s="18" t="n">
        <v>0.16956954</v>
      </c>
      <c r="L17" s="20" t="n">
        <v>0.18917505</v>
      </c>
      <c r="M17" s="18" t="n">
        <v>0</v>
      </c>
      <c r="N17" s="20" t="n">
        <v>0</v>
      </c>
      <c r="O17" s="18" t="n">
        <v>0</v>
      </c>
      <c r="P17" s="20" t="n">
        <v>0</v>
      </c>
      <c r="Q17" s="18" t="n">
        <v>2.81612054</v>
      </c>
      <c r="R17" s="20" t="n">
        <v>0.57534632</v>
      </c>
    </row>
    <row r="18" spans="1:18">
      <c r="A18" s="15" t="s">
        <v>578</v>
      </c>
      <c r="B18" s="17" t="n">
        <v>2826</v>
      </c>
      <c r="C18" s="18">
        <f>(2213.0/B18*100)</f>
        <v/>
      </c>
      <c r="D18" s="19" t="n">
        <v>613</v>
      </c>
      <c r="E18" s="18" t="n">
        <v>40.69233269</v>
      </c>
      <c r="F18" s="20" t="n">
        <v>2.63781862</v>
      </c>
      <c r="G18" s="18" t="n">
        <v>55.32270242</v>
      </c>
      <c r="H18" s="20" t="n">
        <v>2.82721653</v>
      </c>
      <c r="I18" s="18" t="s">
        <v>567</v>
      </c>
      <c r="J18" s="20" t="s">
        <v>567</v>
      </c>
      <c r="K18" s="18" t="n">
        <v>0.33498233</v>
      </c>
      <c r="L18" s="20" t="n">
        <v>0.24003948</v>
      </c>
      <c r="M18" s="18" t="n">
        <v>0</v>
      </c>
      <c r="N18" s="20" t="n">
        <v>0</v>
      </c>
      <c r="O18" s="18" t="n">
        <v>0</v>
      </c>
      <c r="P18" s="20" t="n">
        <v>0</v>
      </c>
      <c r="Q18" s="18" t="n">
        <v>3.64998256</v>
      </c>
      <c r="R18" s="20" t="n">
        <v>0.76909016</v>
      </c>
    </row>
    <row r="19" spans="1:18">
      <c r="A19" s="15" t="s">
        <v>579</v>
      </c>
      <c r="B19" s="17" t="n">
        <v>2808</v>
      </c>
      <c r="C19" s="18">
        <f>(2187.0/B19*100)</f>
        <v/>
      </c>
      <c r="D19" s="19" t="n">
        <v>621</v>
      </c>
      <c r="E19" s="18" t="n">
        <v>40.96903524</v>
      </c>
      <c r="F19" s="20" t="n">
        <v>2.23203754</v>
      </c>
      <c r="G19" s="18" t="n">
        <v>57.09821023</v>
      </c>
      <c r="H19" s="20" t="n">
        <v>2.17207521</v>
      </c>
      <c r="I19" s="18" t="s">
        <v>567</v>
      </c>
      <c r="J19" s="20" t="s">
        <v>567</v>
      </c>
      <c r="K19" s="18" t="n">
        <v>0</v>
      </c>
      <c r="L19" s="20" t="n">
        <v>0</v>
      </c>
      <c r="M19" s="18" t="n">
        <v>0</v>
      </c>
      <c r="N19" s="20" t="n">
        <v>0</v>
      </c>
      <c r="O19" s="18" t="n">
        <v>0</v>
      </c>
      <c r="P19" s="20" t="n">
        <v>0</v>
      </c>
      <c r="Q19" s="18" t="n">
        <v>1.93275452</v>
      </c>
      <c r="R19" s="20" t="n">
        <v>0.64332513</v>
      </c>
    </row>
    <row r="20" spans="1:18">
      <c r="A20" s="15" t="s">
        <v>580</v>
      </c>
      <c r="B20" s="17" t="n">
        <v>1630</v>
      </c>
      <c r="C20" s="18">
        <f>(1269.0/B20*100)</f>
        <v/>
      </c>
      <c r="D20" s="19" t="n">
        <v>361</v>
      </c>
      <c r="E20" s="18" t="n">
        <v>47.33542331</v>
      </c>
      <c r="F20" s="20" t="n">
        <v>2.52938471</v>
      </c>
      <c r="G20" s="18" t="n">
        <v>47.05317266</v>
      </c>
      <c r="H20" s="20" t="n">
        <v>2.73548528</v>
      </c>
      <c r="I20" s="18" t="s">
        <v>567</v>
      </c>
      <c r="J20" s="20" t="s">
        <v>567</v>
      </c>
      <c r="K20" s="18" t="n">
        <v>0.5408490500000001</v>
      </c>
      <c r="L20" s="20" t="n">
        <v>0.38829752</v>
      </c>
      <c r="M20" s="18" t="n">
        <v>0</v>
      </c>
      <c r="N20" s="20" t="n">
        <v>0</v>
      </c>
      <c r="O20" s="18" t="n">
        <v>0</v>
      </c>
      <c r="P20" s="20" t="n">
        <v>0</v>
      </c>
      <c r="Q20" s="18" t="n">
        <v>5.07055498</v>
      </c>
      <c r="R20" s="20" t="n">
        <v>1.11476952</v>
      </c>
    </row>
    <row r="21" spans="1:18">
      <c r="A21" s="15" t="s">
        <v>581</v>
      </c>
      <c r="B21" s="17" t="n">
        <v>2908</v>
      </c>
      <c r="C21" s="18">
        <f>(2256.0/B21*100)</f>
        <v/>
      </c>
      <c r="D21" s="19" t="n">
        <v>652</v>
      </c>
      <c r="E21" s="18" t="n">
        <v>25.33391759</v>
      </c>
      <c r="F21" s="20" t="n">
        <v>2.03051919</v>
      </c>
      <c r="G21" s="18" t="n">
        <v>72.67981429</v>
      </c>
      <c r="H21" s="20" t="n">
        <v>1.98630376</v>
      </c>
      <c r="I21" s="18" t="s">
        <v>567</v>
      </c>
      <c r="J21" s="20" t="s">
        <v>567</v>
      </c>
      <c r="K21" s="18" t="n">
        <v>0.34946199</v>
      </c>
      <c r="L21" s="20" t="n">
        <v>0.21437179</v>
      </c>
      <c r="M21" s="18" t="n">
        <v>0</v>
      </c>
      <c r="N21" s="20" t="n">
        <v>0</v>
      </c>
      <c r="O21" s="18" t="n">
        <v>0</v>
      </c>
      <c r="P21" s="20" t="n">
        <v>0</v>
      </c>
      <c r="Q21" s="18" t="n">
        <v>1.63680612</v>
      </c>
      <c r="R21" s="20" t="n">
        <v>0.417203</v>
      </c>
    </row>
    <row r="22" spans="1:18">
      <c r="A22" s="15" t="s">
        <v>582</v>
      </c>
      <c r="B22" s="17" t="n">
        <v>2931</v>
      </c>
      <c r="C22" s="18">
        <f>(2342.0/B22*100)</f>
        <v/>
      </c>
      <c r="D22" s="19" t="n">
        <v>589</v>
      </c>
      <c r="E22" s="18" t="n">
        <v>39.16139193</v>
      </c>
      <c r="F22" s="20" t="n">
        <v>1.81874547</v>
      </c>
      <c r="G22" s="18" t="n">
        <v>56.58261456</v>
      </c>
      <c r="H22" s="20" t="n">
        <v>2.00521007</v>
      </c>
      <c r="I22" s="18" t="s">
        <v>567</v>
      </c>
      <c r="J22" s="20" t="s">
        <v>567</v>
      </c>
      <c r="K22" s="18" t="n">
        <v>0.56778144</v>
      </c>
      <c r="L22" s="20" t="n">
        <v>0.36856386</v>
      </c>
      <c r="M22" s="18" t="n">
        <v>0</v>
      </c>
      <c r="N22" s="20" t="n">
        <v>0</v>
      </c>
      <c r="O22" s="18" t="n">
        <v>0</v>
      </c>
      <c r="P22" s="20" t="n">
        <v>0</v>
      </c>
      <c r="Q22" s="18" t="n">
        <v>3.68821207</v>
      </c>
      <c r="R22" s="20" t="n">
        <v>0.8620994400000001</v>
      </c>
    </row>
    <row r="23" spans="1:18">
      <c r="A23" s="15" t="s">
        <v>583</v>
      </c>
      <c r="B23" s="17" t="n">
        <v>5791</v>
      </c>
      <c r="C23" s="18">
        <f>(4526.0/B23*100)</f>
        <v/>
      </c>
      <c r="D23" s="19" t="n">
        <v>1265</v>
      </c>
      <c r="E23" s="18" t="n">
        <v>32.62359509</v>
      </c>
      <c r="F23" s="20" t="n">
        <v>1.63289011</v>
      </c>
      <c r="G23" s="18" t="n">
        <v>62.86090805</v>
      </c>
      <c r="H23" s="20" t="n">
        <v>1.73509012</v>
      </c>
      <c r="I23" s="18" t="s">
        <v>567</v>
      </c>
      <c r="J23" s="20" t="s">
        <v>567</v>
      </c>
      <c r="K23" s="18" t="n">
        <v>0.66114838</v>
      </c>
      <c r="L23" s="20" t="n">
        <v>0.34896308</v>
      </c>
      <c r="M23" s="18" t="n">
        <v>0</v>
      </c>
      <c r="N23" s="20" t="n">
        <v>0</v>
      </c>
      <c r="O23" s="18" t="n">
        <v>0</v>
      </c>
      <c r="P23" s="20" t="n">
        <v>0</v>
      </c>
      <c r="Q23" s="18" t="n">
        <v>3.85434848</v>
      </c>
      <c r="R23" s="20" t="n">
        <v>0.84286827</v>
      </c>
    </row>
    <row r="24" spans="1:18">
      <c r="A24" s="15" t="s">
        <v>584</v>
      </c>
      <c r="B24" s="17" t="n">
        <v>3338</v>
      </c>
      <c r="C24" s="18">
        <f>(2604.0/B24*100)</f>
        <v/>
      </c>
      <c r="D24" s="19" t="n">
        <v>734</v>
      </c>
      <c r="E24" s="18" t="n">
        <v>27.22564265</v>
      </c>
      <c r="F24" s="20" t="n">
        <v>1.66945264</v>
      </c>
      <c r="G24" s="18" t="n">
        <v>70.62869529</v>
      </c>
      <c r="H24" s="20" t="n">
        <v>1.8537456</v>
      </c>
      <c r="I24" s="18" t="s">
        <v>567</v>
      </c>
      <c r="J24" s="20" t="s">
        <v>567</v>
      </c>
      <c r="K24" s="18" t="n">
        <v>0.35643221</v>
      </c>
      <c r="L24" s="20" t="n">
        <v>0.20804794</v>
      </c>
      <c r="M24" s="18" t="n">
        <v>0</v>
      </c>
      <c r="N24" s="20" t="n">
        <v>0</v>
      </c>
      <c r="O24" s="18" t="n">
        <v>0</v>
      </c>
      <c r="P24" s="20" t="n">
        <v>0</v>
      </c>
      <c r="Q24" s="18" t="n">
        <v>1.78922985</v>
      </c>
      <c r="R24" s="20" t="n">
        <v>0.50706788</v>
      </c>
    </row>
    <row r="25" spans="1:18">
      <c r="A25" s="15" t="s">
        <v>585</v>
      </c>
      <c r="B25" s="17" t="n">
        <v>2912</v>
      </c>
      <c r="C25" s="18">
        <f>(2275.0/B25*100)</f>
        <v/>
      </c>
      <c r="D25" s="19" t="n">
        <v>637</v>
      </c>
      <c r="E25" s="18" t="n">
        <v>26.75626634</v>
      </c>
      <c r="F25" s="20" t="n">
        <v>1.7030385</v>
      </c>
      <c r="G25" s="18" t="n">
        <v>70.89757803000001</v>
      </c>
      <c r="H25" s="20" t="n">
        <v>1.8461352</v>
      </c>
      <c r="I25" s="18" t="s">
        <v>567</v>
      </c>
      <c r="J25" s="20" t="s">
        <v>567</v>
      </c>
      <c r="K25" s="18" t="n">
        <v>0</v>
      </c>
      <c r="L25" s="20" t="n">
        <v>0</v>
      </c>
      <c r="M25" s="18" t="n">
        <v>0</v>
      </c>
      <c r="N25" s="20" t="n">
        <v>0</v>
      </c>
      <c r="O25" s="18" t="n">
        <v>0</v>
      </c>
      <c r="P25" s="20" t="n">
        <v>0</v>
      </c>
      <c r="Q25" s="18" t="n">
        <v>2.34615563</v>
      </c>
      <c r="R25" s="20" t="n">
        <v>0.58833723</v>
      </c>
    </row>
    <row r="26" spans="1:18">
      <c r="A26" s="15" t="s">
        <v>586</v>
      </c>
      <c r="B26" s="17" t="n">
        <v>2450</v>
      </c>
      <c r="C26" s="18">
        <f>(1908.0/B26*100)</f>
        <v/>
      </c>
      <c r="D26" s="19" t="n">
        <v>542</v>
      </c>
      <c r="E26" s="18" t="n">
        <v>42.87480565</v>
      </c>
      <c r="F26" s="20" t="n">
        <v>1.98702757</v>
      </c>
      <c r="G26" s="18" t="n">
        <v>56.25716561</v>
      </c>
      <c r="H26" s="20" t="n">
        <v>1.93972622</v>
      </c>
      <c r="I26" s="18" t="s">
        <v>567</v>
      </c>
      <c r="J26" s="20" t="s">
        <v>567</v>
      </c>
      <c r="K26" s="18" t="n">
        <v>0</v>
      </c>
      <c r="L26" s="20" t="n">
        <v>0</v>
      </c>
      <c r="M26" s="18" t="n">
        <v>0</v>
      </c>
      <c r="N26" s="20" t="n">
        <v>0</v>
      </c>
      <c r="O26" s="18" t="n">
        <v>0</v>
      </c>
      <c r="P26" s="20" t="n">
        <v>0</v>
      </c>
      <c r="Q26" s="18" t="n">
        <v>0.86802874</v>
      </c>
      <c r="R26" s="20" t="n">
        <v>0.44984589</v>
      </c>
    </row>
    <row r="27" spans="1:18">
      <c r="A27" s="15" t="s">
        <v>587</v>
      </c>
      <c r="B27" s="17" t="n">
        <v>2616</v>
      </c>
      <c r="C27" s="18">
        <f>(2039.0/B27*100)</f>
        <v/>
      </c>
      <c r="D27" s="19" t="n">
        <v>577</v>
      </c>
      <c r="E27" s="18" t="n">
        <v>33.66611321</v>
      </c>
      <c r="F27" s="20" t="n">
        <v>1.78318765</v>
      </c>
      <c r="G27" s="18" t="n">
        <v>63.89849174</v>
      </c>
      <c r="H27" s="20" t="n">
        <v>1.78746972</v>
      </c>
      <c r="I27" s="18" t="s">
        <v>567</v>
      </c>
      <c r="J27" s="20" t="s">
        <v>567</v>
      </c>
      <c r="K27" s="18" t="n">
        <v>0.17117712</v>
      </c>
      <c r="L27" s="20" t="n">
        <v>0.16971944</v>
      </c>
      <c r="M27" s="18" t="n">
        <v>0</v>
      </c>
      <c r="N27" s="20" t="n">
        <v>0</v>
      </c>
      <c r="O27" s="18" t="n">
        <v>0</v>
      </c>
      <c r="P27" s="20" t="n">
        <v>0</v>
      </c>
      <c r="Q27" s="18" t="n">
        <v>2.26421793</v>
      </c>
      <c r="R27" s="20" t="n">
        <v>0.62496186</v>
      </c>
    </row>
    <row r="28" spans="1:18">
      <c r="A28" s="15" t="s">
        <v>588</v>
      </c>
      <c r="B28" s="17" t="n">
        <v>3765</v>
      </c>
      <c r="C28" s="18">
        <f>(3024.0/B28*100)</f>
        <v/>
      </c>
      <c r="D28" s="19" t="n">
        <v>741</v>
      </c>
      <c r="E28" s="18" t="n">
        <v>45.16864607</v>
      </c>
      <c r="F28" s="20" t="n">
        <v>2.30684925</v>
      </c>
      <c r="G28" s="18" t="n">
        <v>53.06193322</v>
      </c>
      <c r="H28" s="20" t="n">
        <v>2.33716476</v>
      </c>
      <c r="I28" s="18" t="s">
        <v>567</v>
      </c>
      <c r="J28" s="20" t="s">
        <v>567</v>
      </c>
      <c r="K28" s="18" t="n">
        <v>0.59534487</v>
      </c>
      <c r="L28" s="20" t="n">
        <v>0.31883316</v>
      </c>
      <c r="M28" s="18" t="n">
        <v>0</v>
      </c>
      <c r="N28" s="20" t="n">
        <v>0</v>
      </c>
      <c r="O28" s="18" t="n">
        <v>0</v>
      </c>
      <c r="P28" s="20" t="n">
        <v>0</v>
      </c>
      <c r="Q28" s="18" t="n">
        <v>1.17407585</v>
      </c>
      <c r="R28" s="20" t="n">
        <v>0.49514053</v>
      </c>
    </row>
    <row r="29" spans="1:18">
      <c r="A29" s="15" t="s">
        <v>589</v>
      </c>
      <c r="B29" s="17" t="n">
        <v>2685</v>
      </c>
      <c r="C29" s="18">
        <f>(2100.0/B29*100)</f>
        <v/>
      </c>
      <c r="D29" s="19" t="n">
        <v>585</v>
      </c>
      <c r="E29" s="18" t="n">
        <v>42.21522736</v>
      </c>
      <c r="F29" s="20" t="n">
        <v>2.1720018</v>
      </c>
      <c r="G29" s="18" t="n">
        <v>54.83453464</v>
      </c>
      <c r="H29" s="20" t="n">
        <v>2.13466686</v>
      </c>
      <c r="I29" s="18" t="s">
        <v>567</v>
      </c>
      <c r="J29" s="20" t="s">
        <v>567</v>
      </c>
      <c r="K29" s="18" t="n">
        <v>0.35184504</v>
      </c>
      <c r="L29" s="20" t="n">
        <v>0.23804514</v>
      </c>
      <c r="M29" s="18" t="n">
        <v>0</v>
      </c>
      <c r="N29" s="20" t="n">
        <v>0</v>
      </c>
      <c r="O29" s="18" t="n">
        <v>0</v>
      </c>
      <c r="P29" s="20" t="n">
        <v>0</v>
      </c>
      <c r="Q29" s="18" t="n">
        <v>2.59839296</v>
      </c>
      <c r="R29" s="20" t="n">
        <v>0.57246315</v>
      </c>
    </row>
    <row r="30" spans="1:18">
      <c r="A30" s="15" t="s">
        <v>590</v>
      </c>
      <c r="B30" s="17" t="n">
        <v>2263</v>
      </c>
      <c r="C30" s="18">
        <f>(1781.0/B30*100)</f>
        <v/>
      </c>
      <c r="D30" s="19" t="n">
        <v>482</v>
      </c>
      <c r="E30" s="18" t="n">
        <v>28.15875465</v>
      </c>
      <c r="F30" s="20" t="n">
        <v>2.23959302</v>
      </c>
      <c r="G30" s="18" t="n">
        <v>68.15108546</v>
      </c>
      <c r="H30" s="20" t="n">
        <v>2.58969023</v>
      </c>
      <c r="I30" s="18" t="s">
        <v>567</v>
      </c>
      <c r="J30" s="20" t="s">
        <v>567</v>
      </c>
      <c r="K30" s="18" t="n">
        <v>0</v>
      </c>
      <c r="L30" s="20" t="n">
        <v>0</v>
      </c>
      <c r="M30" s="18" t="n">
        <v>0</v>
      </c>
      <c r="N30" s="20" t="n">
        <v>0</v>
      </c>
      <c r="O30" s="18" t="n">
        <v>0</v>
      </c>
      <c r="P30" s="20" t="n">
        <v>0</v>
      </c>
      <c r="Q30" s="18" t="n">
        <v>3.69015989</v>
      </c>
      <c r="R30" s="20" t="n">
        <v>0.9510232199999999</v>
      </c>
    </row>
    <row r="31" spans="1:18">
      <c r="A31" s="15" t="s">
        <v>591</v>
      </c>
      <c r="B31" s="17" t="n">
        <v>2750</v>
      </c>
      <c r="C31" s="18">
        <f>(2176.0/B31*100)</f>
        <v/>
      </c>
      <c r="D31" s="19" t="n">
        <v>574</v>
      </c>
      <c r="E31" s="18" t="n">
        <v>31.12157499</v>
      </c>
      <c r="F31" s="20" t="n">
        <v>1.92015477</v>
      </c>
      <c r="G31" s="18" t="n">
        <v>64.14317839</v>
      </c>
      <c r="H31" s="20" t="n">
        <v>2.03922158</v>
      </c>
      <c r="I31" s="18" t="s">
        <v>567</v>
      </c>
      <c r="J31" s="20" t="s">
        <v>567</v>
      </c>
      <c r="K31" s="18" t="n">
        <v>0.63672968</v>
      </c>
      <c r="L31" s="20" t="n">
        <v>0.31253191</v>
      </c>
      <c r="M31" s="18" t="n">
        <v>0</v>
      </c>
      <c r="N31" s="20" t="n">
        <v>0</v>
      </c>
      <c r="O31" s="18" t="n">
        <v>0</v>
      </c>
      <c r="P31" s="20" t="n">
        <v>0</v>
      </c>
      <c r="Q31" s="18" t="n">
        <v>4.09851695</v>
      </c>
      <c r="R31" s="20" t="n">
        <v>0.85176452</v>
      </c>
    </row>
    <row r="32" spans="1:18">
      <c r="A32" s="15" t="s">
        <v>592</v>
      </c>
      <c r="B32" s="17" t="n">
        <v>2269</v>
      </c>
      <c r="C32" s="18">
        <f>(1805.0/B32*100)</f>
        <v/>
      </c>
      <c r="D32" s="19" t="n">
        <v>464</v>
      </c>
      <c r="E32" s="18" t="n">
        <v>35.03596358</v>
      </c>
      <c r="F32" s="20" t="n">
        <v>2.10602022</v>
      </c>
      <c r="G32" s="18" t="n">
        <v>62.75744712</v>
      </c>
      <c r="H32" s="20" t="n">
        <v>2.11198233</v>
      </c>
      <c r="I32" s="18" t="s">
        <v>567</v>
      </c>
      <c r="J32" s="20" t="s">
        <v>567</v>
      </c>
      <c r="K32" s="18" t="n">
        <v>0.18378895</v>
      </c>
      <c r="L32" s="20" t="n">
        <v>0.18298919</v>
      </c>
      <c r="M32" s="18" t="n">
        <v>0</v>
      </c>
      <c r="N32" s="20" t="n">
        <v>0</v>
      </c>
      <c r="O32" s="18" t="n">
        <v>0</v>
      </c>
      <c r="P32" s="20" t="n">
        <v>0</v>
      </c>
      <c r="Q32" s="18" t="n">
        <v>2.02280034</v>
      </c>
      <c r="R32" s="20" t="n">
        <v>0.59234829</v>
      </c>
    </row>
    <row r="33" spans="1:18">
      <c r="A33" s="15" t="s">
        <v>593</v>
      </c>
      <c r="B33" s="17" t="n">
        <v>3674</v>
      </c>
      <c r="C33" s="18">
        <f>(2867.0/B33*100)</f>
        <v/>
      </c>
      <c r="D33" s="19" t="n">
        <v>807</v>
      </c>
      <c r="E33" s="18" t="n">
        <v>27.97466029</v>
      </c>
      <c r="F33" s="20" t="n">
        <v>2.05799865</v>
      </c>
      <c r="G33" s="18" t="n">
        <v>70.65166529</v>
      </c>
      <c r="H33" s="20" t="n">
        <v>2.00858438</v>
      </c>
      <c r="I33" s="18" t="s">
        <v>567</v>
      </c>
      <c r="J33" s="20" t="s">
        <v>567</v>
      </c>
      <c r="K33" s="18" t="n">
        <v>0</v>
      </c>
      <c r="L33" s="20" t="n">
        <v>0</v>
      </c>
      <c r="M33" s="18" t="n">
        <v>0</v>
      </c>
      <c r="N33" s="20" t="n">
        <v>0</v>
      </c>
      <c r="O33" s="18" t="n">
        <v>0</v>
      </c>
      <c r="P33" s="20" t="n">
        <v>0</v>
      </c>
      <c r="Q33" s="18" t="n">
        <v>1.37367442</v>
      </c>
      <c r="R33" s="20" t="n">
        <v>0.45836179</v>
      </c>
    </row>
    <row r="34" spans="1:18">
      <c r="A34" s="15" t="s">
        <v>594</v>
      </c>
      <c r="B34" s="17" t="n">
        <v>3315</v>
      </c>
      <c r="C34" s="18">
        <f>(2593.0/B34*100)</f>
        <v/>
      </c>
      <c r="D34" s="19" t="n">
        <v>722</v>
      </c>
      <c r="E34" s="18" t="n">
        <v>47.41388503</v>
      </c>
      <c r="F34" s="20" t="n">
        <v>2.2191831</v>
      </c>
      <c r="G34" s="18" t="n">
        <v>49.10095368</v>
      </c>
      <c r="H34" s="20" t="n">
        <v>2.37575038</v>
      </c>
      <c r="I34" s="18" t="s">
        <v>567</v>
      </c>
      <c r="J34" s="20" t="s">
        <v>567</v>
      </c>
      <c r="K34" s="18" t="n">
        <v>0.13006462</v>
      </c>
      <c r="L34" s="20" t="n">
        <v>0.13088759</v>
      </c>
      <c r="M34" s="18" t="n">
        <v>0</v>
      </c>
      <c r="N34" s="20" t="n">
        <v>0</v>
      </c>
      <c r="O34" s="18" t="n">
        <v>0</v>
      </c>
      <c r="P34" s="20" t="n">
        <v>0</v>
      </c>
      <c r="Q34" s="18" t="n">
        <v>3.35509667</v>
      </c>
      <c r="R34" s="20" t="n">
        <v>0.96140701</v>
      </c>
    </row>
    <row r="35" spans="1:18">
      <c r="A35" s="15" t="s">
        <v>595</v>
      </c>
      <c r="B35" s="17" t="n">
        <v>3505</v>
      </c>
      <c r="C35" s="18">
        <f>(2715.0/B35*100)</f>
        <v/>
      </c>
      <c r="D35" s="19" t="n">
        <v>790</v>
      </c>
      <c r="E35" s="18" t="n">
        <v>36.11547414</v>
      </c>
      <c r="F35" s="20" t="n">
        <v>2.35054092</v>
      </c>
      <c r="G35" s="18" t="n">
        <v>62.64713486</v>
      </c>
      <c r="H35" s="20" t="n">
        <v>2.36841512</v>
      </c>
      <c r="I35" s="18" t="s">
        <v>567</v>
      </c>
      <c r="J35" s="20" t="s">
        <v>567</v>
      </c>
      <c r="K35" s="18" t="n">
        <v>0.06356384</v>
      </c>
      <c r="L35" s="20" t="n">
        <v>0.06372535999999999</v>
      </c>
      <c r="M35" s="18" t="n">
        <v>0</v>
      </c>
      <c r="N35" s="20" t="n">
        <v>0</v>
      </c>
      <c r="O35" s="18" t="n">
        <v>0</v>
      </c>
      <c r="P35" s="20" t="n">
        <v>0</v>
      </c>
      <c r="Q35" s="18" t="n">
        <v>1.17382715</v>
      </c>
      <c r="R35" s="20" t="n">
        <v>0.41175622</v>
      </c>
    </row>
    <row r="36" spans="1:18">
      <c r="A36" s="15" t="s">
        <v>596</v>
      </c>
      <c r="B36" s="17" t="n">
        <v>3332</v>
      </c>
      <c r="C36" s="18">
        <f>(2617.0/B36*100)</f>
        <v/>
      </c>
      <c r="D36" s="19" t="n">
        <v>715</v>
      </c>
      <c r="E36" s="18" t="n">
        <v>27.29416006</v>
      </c>
      <c r="F36" s="20" t="n">
        <v>1.7903323</v>
      </c>
      <c r="G36" s="18" t="n">
        <v>68.92350087</v>
      </c>
      <c r="H36" s="20" t="n">
        <v>1.85456125</v>
      </c>
      <c r="I36" s="18" t="s">
        <v>567</v>
      </c>
      <c r="J36" s="20" t="s">
        <v>567</v>
      </c>
      <c r="K36" s="18" t="n">
        <v>0.39249193</v>
      </c>
      <c r="L36" s="20" t="n">
        <v>0.29492518</v>
      </c>
      <c r="M36" s="18" t="n">
        <v>0</v>
      </c>
      <c r="N36" s="20" t="n">
        <v>0</v>
      </c>
      <c r="O36" s="18" t="n">
        <v>0</v>
      </c>
      <c r="P36" s="20" t="n">
        <v>0</v>
      </c>
      <c r="Q36" s="18" t="n">
        <v>3.38984713</v>
      </c>
      <c r="R36" s="20" t="n">
        <v>0.6624068</v>
      </c>
    </row>
    <row r="37" spans="1:18">
      <c r="A37" s="15" t="s">
        <v>597</v>
      </c>
      <c r="B37" s="17" t="n">
        <v>2727</v>
      </c>
      <c r="C37" s="18">
        <f>(2121.0/B37*100)</f>
        <v/>
      </c>
      <c r="D37" s="19" t="n">
        <v>606</v>
      </c>
      <c r="E37" s="18" t="n">
        <v>31.70905399</v>
      </c>
      <c r="F37" s="20" t="n">
        <v>1.80686399</v>
      </c>
      <c r="G37" s="18" t="n">
        <v>62.78431809</v>
      </c>
      <c r="H37" s="20" t="n">
        <v>2.04444585</v>
      </c>
      <c r="I37" s="18" t="s">
        <v>567</v>
      </c>
      <c r="J37" s="20" t="s">
        <v>567</v>
      </c>
      <c r="K37" s="18" t="n">
        <v>0.69434171</v>
      </c>
      <c r="L37" s="20" t="n">
        <v>0.33401234</v>
      </c>
      <c r="M37" s="18" t="n">
        <v>0</v>
      </c>
      <c r="N37" s="20" t="n">
        <v>0</v>
      </c>
      <c r="O37" s="18" t="n">
        <v>0</v>
      </c>
      <c r="P37" s="20" t="n">
        <v>0</v>
      </c>
      <c r="Q37" s="18" t="n">
        <v>4.81228622</v>
      </c>
      <c r="R37" s="20" t="n">
        <v>0.91244857</v>
      </c>
    </row>
    <row r="38" spans="1:18">
      <c r="A38" s="15" t="s">
        <v>598</v>
      </c>
      <c r="B38" s="17" t="n">
        <v>3053</v>
      </c>
      <c r="C38" s="18">
        <f>(2329.0/B38*100)</f>
        <v/>
      </c>
      <c r="D38" s="19" t="n">
        <v>724</v>
      </c>
      <c r="E38" s="18" t="n">
        <v>32.0365439</v>
      </c>
      <c r="F38" s="20" t="n">
        <v>2.01770462</v>
      </c>
      <c r="G38" s="18" t="n">
        <v>65.16878409</v>
      </c>
      <c r="H38" s="20" t="n">
        <v>2.14005743</v>
      </c>
      <c r="I38" s="18" t="s">
        <v>567</v>
      </c>
      <c r="J38" s="20" t="s">
        <v>567</v>
      </c>
      <c r="K38" s="18" t="n">
        <v>0.24719219</v>
      </c>
      <c r="L38" s="20" t="n">
        <v>0.17789162</v>
      </c>
      <c r="M38" s="18" t="n">
        <v>0</v>
      </c>
      <c r="N38" s="20" t="n">
        <v>0</v>
      </c>
      <c r="O38" s="18" t="n">
        <v>0</v>
      </c>
      <c r="P38" s="20" t="n">
        <v>0</v>
      </c>
      <c r="Q38" s="18" t="n">
        <v>2.54747983</v>
      </c>
      <c r="R38" s="20" t="n">
        <v>0.6717235499999999</v>
      </c>
    </row>
    <row r="39" spans="1:18">
      <c r="A39" s="15" t="s">
        <v>599</v>
      </c>
      <c r="B39" s="17" t="n">
        <v>2957</v>
      </c>
      <c r="C39" s="18">
        <f>(2312.0/B39*100)</f>
        <v/>
      </c>
      <c r="D39" s="19" t="n">
        <v>645</v>
      </c>
      <c r="E39" s="18" t="n">
        <v>47.23104874</v>
      </c>
      <c r="F39" s="20" t="n">
        <v>2.31998104</v>
      </c>
      <c r="G39" s="18" t="n">
        <v>49.46934525</v>
      </c>
      <c r="H39" s="20" t="n">
        <v>2.1974319</v>
      </c>
      <c r="I39" s="18" t="s">
        <v>567</v>
      </c>
      <c r="J39" s="20" t="s">
        <v>567</v>
      </c>
      <c r="K39" s="18" t="n">
        <v>0.19820878</v>
      </c>
      <c r="L39" s="20" t="n">
        <v>0.19783157</v>
      </c>
      <c r="M39" s="18" t="n">
        <v>0</v>
      </c>
      <c r="N39" s="20" t="n">
        <v>0</v>
      </c>
      <c r="O39" s="18" t="n">
        <v>0</v>
      </c>
      <c r="P39" s="20" t="n">
        <v>0</v>
      </c>
      <c r="Q39" s="18" t="n">
        <v>3.10139723</v>
      </c>
      <c r="R39" s="20" t="n">
        <v>0.70649555</v>
      </c>
    </row>
    <row r="40" spans="1:18">
      <c r="A40" s="15" t="s">
        <v>600</v>
      </c>
      <c r="B40" s="17" t="n">
        <v>7235</v>
      </c>
      <c r="C40" s="18">
        <f>(5586.0/B40*100)</f>
        <v/>
      </c>
      <c r="D40" s="19" t="n">
        <v>1649</v>
      </c>
      <c r="E40" s="18" t="n">
        <v>33.35203372</v>
      </c>
      <c r="F40" s="20" t="n">
        <v>1.90146861</v>
      </c>
      <c r="G40" s="18" t="n">
        <v>64.65365858</v>
      </c>
      <c r="H40" s="20" t="n">
        <v>1.87718616</v>
      </c>
      <c r="I40" s="18" t="s">
        <v>567</v>
      </c>
      <c r="J40" s="20" t="s">
        <v>567</v>
      </c>
      <c r="K40" s="18" t="n">
        <v>0.15473353</v>
      </c>
      <c r="L40" s="20" t="n">
        <v>0.09032308999999999</v>
      </c>
      <c r="M40" s="18" t="n">
        <v>0</v>
      </c>
      <c r="N40" s="20" t="n">
        <v>0</v>
      </c>
      <c r="O40" s="18" t="n">
        <v>0</v>
      </c>
      <c r="P40" s="20" t="n">
        <v>0</v>
      </c>
      <c r="Q40" s="18" t="n">
        <v>1.83957417</v>
      </c>
      <c r="R40" s="20" t="n">
        <v>0.47882714</v>
      </c>
    </row>
    <row r="41" spans="1:18">
      <c r="A41" s="15" t="s">
        <v>601</v>
      </c>
      <c r="B41" s="17" t="n">
        <v>2858</v>
      </c>
      <c r="C41" s="18">
        <f>(2251.0/B41*100)</f>
        <v/>
      </c>
      <c r="D41" s="19" t="n">
        <v>607</v>
      </c>
      <c r="E41" s="18" t="n">
        <v>35.56837401</v>
      </c>
      <c r="F41" s="20" t="n">
        <v>2.13249365</v>
      </c>
      <c r="G41" s="18" t="n">
        <v>62.6304026</v>
      </c>
      <c r="H41" s="20" t="n">
        <v>2.17505546</v>
      </c>
      <c r="I41" s="18" t="s">
        <v>567</v>
      </c>
      <c r="J41" s="20" t="s">
        <v>567</v>
      </c>
      <c r="K41" s="18" t="n">
        <v>0.22527487</v>
      </c>
      <c r="L41" s="20" t="n">
        <v>0.18325275</v>
      </c>
      <c r="M41" s="18" t="n">
        <v>0</v>
      </c>
      <c r="N41" s="20" t="n">
        <v>0</v>
      </c>
      <c r="O41" s="18" t="n">
        <v>0</v>
      </c>
      <c r="P41" s="20" t="n">
        <v>0</v>
      </c>
      <c r="Q41" s="18" t="n">
        <v>1.57594852</v>
      </c>
      <c r="R41" s="20" t="n">
        <v>0.52883965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(9012.0/B46*100)</f>
        <v/>
      </c>
      <c r="D46" s="19" t="n">
        <v>2056</v>
      </c>
      <c r="E46" s="18" t="n">
        <v>50.76768106</v>
      </c>
      <c r="F46" s="20" t="n">
        <v>1.39572573</v>
      </c>
      <c r="G46" s="18" t="n">
        <v>43.68387405</v>
      </c>
      <c r="H46" s="20" t="n">
        <v>1.42454797</v>
      </c>
      <c r="I46" s="18" t="s">
        <v>567</v>
      </c>
      <c r="J46" s="20" t="s">
        <v>567</v>
      </c>
      <c r="K46" s="18" t="n">
        <v>1.15750278</v>
      </c>
      <c r="L46" s="20" t="n">
        <v>0.31353437</v>
      </c>
      <c r="M46" s="18" t="n">
        <v>0</v>
      </c>
      <c r="N46" s="20" t="n">
        <v>0</v>
      </c>
      <c r="O46" s="18" t="n">
        <v>0</v>
      </c>
      <c r="P46" s="20" t="n">
        <v>0</v>
      </c>
      <c r="Q46" s="18" t="n">
        <v>4.39094211</v>
      </c>
      <c r="R46" s="20" t="n">
        <v>0.50474299</v>
      </c>
    </row>
    <row r="47" spans="1:18">
      <c r="A47" s="15" t="s">
        <v>607</v>
      </c>
      <c r="B47" s="17" t="n">
        <v>3105</v>
      </c>
      <c r="C47" s="18">
        <f>(2443.0/B47*100)</f>
        <v/>
      </c>
      <c r="D47" s="19" t="n">
        <v>662</v>
      </c>
      <c r="E47" s="18" t="n">
        <v>50.55809294</v>
      </c>
      <c r="F47" s="20" t="n">
        <v>2.49235442</v>
      </c>
      <c r="G47" s="18" t="n">
        <v>44.17535097</v>
      </c>
      <c r="H47" s="20" t="n">
        <v>2.34422271</v>
      </c>
      <c r="I47" s="18" t="s">
        <v>567</v>
      </c>
      <c r="J47" s="20" t="s">
        <v>567</v>
      </c>
      <c r="K47" s="18" t="n">
        <v>0.58623182</v>
      </c>
      <c r="L47" s="20" t="n">
        <v>0.2999067</v>
      </c>
      <c r="M47" s="18" t="n">
        <v>0</v>
      </c>
      <c r="N47" s="20" t="n">
        <v>0</v>
      </c>
      <c r="O47" s="18" t="n">
        <v>0</v>
      </c>
      <c r="P47" s="20" t="n">
        <v>0</v>
      </c>
      <c r="Q47" s="18" t="n">
        <v>4.68032426</v>
      </c>
      <c r="R47" s="20" t="n">
        <v>1.00058643</v>
      </c>
    </row>
    <row r="48" spans="1:18">
      <c r="A48" s="15" t="s">
        <v>608</v>
      </c>
      <c r="B48" s="17" t="n">
        <v>5159</v>
      </c>
      <c r="C48" s="18">
        <f>(4013.0/B48*100)</f>
        <v/>
      </c>
      <c r="D48" s="19" t="n">
        <v>1146</v>
      </c>
      <c r="E48" s="18" t="n">
        <v>23.04339212</v>
      </c>
      <c r="F48" s="20" t="n">
        <v>1.68305984</v>
      </c>
      <c r="G48" s="18" t="n">
        <v>74.96312498</v>
      </c>
      <c r="H48" s="20" t="n">
        <v>1.65754563</v>
      </c>
      <c r="I48" s="18" t="s">
        <v>567</v>
      </c>
      <c r="J48" s="20" t="s">
        <v>567</v>
      </c>
      <c r="K48" s="18" t="n">
        <v>0.43261357</v>
      </c>
      <c r="L48" s="20" t="n">
        <v>0.11013795</v>
      </c>
      <c r="M48" s="18" t="n">
        <v>0</v>
      </c>
      <c r="N48" s="20" t="n">
        <v>0</v>
      </c>
      <c r="O48" s="18" t="n">
        <v>0</v>
      </c>
      <c r="P48" s="20" t="n">
        <v>0</v>
      </c>
      <c r="Q48" s="18" t="n">
        <v>1.56086934</v>
      </c>
      <c r="R48" s="20" t="n">
        <v>0.5571483</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(4427.0/B50*100)</f>
        <v/>
      </c>
      <c r="D50" s="19" t="n">
        <v>1210</v>
      </c>
      <c r="E50" s="18" t="n">
        <v>46.27850513</v>
      </c>
      <c r="F50" s="20" t="n">
        <v>2.20702124</v>
      </c>
      <c r="G50" s="18" t="n">
        <v>50.62404225</v>
      </c>
      <c r="H50" s="20" t="n">
        <v>2.14861063</v>
      </c>
      <c r="I50" s="18" t="s">
        <v>567</v>
      </c>
      <c r="J50" s="20" t="s">
        <v>567</v>
      </c>
      <c r="K50" s="18" t="n">
        <v>1.10996269</v>
      </c>
      <c r="L50" s="20" t="n">
        <v>0.50443689</v>
      </c>
      <c r="M50" s="18" t="n">
        <v>0</v>
      </c>
      <c r="N50" s="20" t="n">
        <v>0</v>
      </c>
      <c r="O50" s="18" t="n">
        <v>0</v>
      </c>
      <c r="P50" s="20" t="n">
        <v>0</v>
      </c>
      <c r="Q50" s="18" t="n">
        <v>1.98748993</v>
      </c>
      <c r="R50" s="20" t="n">
        <v>0.50339581</v>
      </c>
    </row>
    <row r="51" spans="1:18">
      <c r="A51" s="15" t="s">
        <v>611</v>
      </c>
      <c r="B51" s="17" t="n">
        <v>3372</v>
      </c>
      <c r="C51" s="18">
        <f>(2744.0/B51*100)</f>
        <v/>
      </c>
      <c r="D51" s="19" t="n">
        <v>628</v>
      </c>
      <c r="E51" s="18" t="n">
        <v>41.58936255</v>
      </c>
      <c r="F51" s="20" t="n">
        <v>2.17719927</v>
      </c>
      <c r="G51" s="18" t="n">
        <v>54.24550774</v>
      </c>
      <c r="H51" s="20" t="n">
        <v>2.14879285</v>
      </c>
      <c r="I51" s="18" t="s">
        <v>567</v>
      </c>
      <c r="J51" s="20" t="s">
        <v>567</v>
      </c>
      <c r="K51" s="18" t="n">
        <v>0.8069612900000001</v>
      </c>
      <c r="L51" s="20" t="n">
        <v>0.38005492</v>
      </c>
      <c r="M51" s="18" t="n">
        <v>0</v>
      </c>
      <c r="N51" s="20" t="n">
        <v>0</v>
      </c>
      <c r="O51" s="18" t="n">
        <v>0</v>
      </c>
      <c r="P51" s="20" t="n">
        <v>0</v>
      </c>
      <c r="Q51" s="18" t="n">
        <v>3.35816841</v>
      </c>
      <c r="R51" s="20" t="n">
        <v>0.75414916</v>
      </c>
    </row>
    <row r="52" spans="1:18">
      <c r="A52" s="15" t="s">
        <v>612</v>
      </c>
      <c r="B52" s="17" t="n">
        <v>2796</v>
      </c>
      <c r="C52" s="18">
        <f>(2177.0/B52*100)</f>
        <v/>
      </c>
      <c r="D52" s="19" t="n">
        <v>619</v>
      </c>
      <c r="E52" s="18" t="n">
        <v>40.08200304</v>
      </c>
      <c r="F52" s="20" t="n">
        <v>1.83844601</v>
      </c>
      <c r="G52" s="18" t="n">
        <v>58.65411987</v>
      </c>
      <c r="H52" s="20" t="n">
        <v>1.7984285</v>
      </c>
      <c r="I52" s="18" t="s">
        <v>567</v>
      </c>
      <c r="J52" s="20" t="s">
        <v>567</v>
      </c>
      <c r="K52" s="18" t="n">
        <v>0.16512379</v>
      </c>
      <c r="L52" s="20" t="n">
        <v>0.16183873</v>
      </c>
      <c r="M52" s="18" t="n">
        <v>0</v>
      </c>
      <c r="N52" s="20" t="n">
        <v>0</v>
      </c>
      <c r="O52" s="18" t="n">
        <v>0</v>
      </c>
      <c r="P52" s="20" t="n">
        <v>0</v>
      </c>
      <c r="Q52" s="18" t="n">
        <v>1.0987533</v>
      </c>
      <c r="R52" s="20" t="n">
        <v>0.40815258</v>
      </c>
    </row>
    <row r="53" spans="1:18">
      <c r="A53" s="15" t="s">
        <v>613</v>
      </c>
      <c r="B53" s="17" t="n">
        <v>2811</v>
      </c>
      <c r="C53" s="18">
        <f>(2183.0/B53*100)</f>
        <v/>
      </c>
      <c r="D53" s="19" t="n">
        <v>628</v>
      </c>
      <c r="E53" s="18" t="n">
        <v>48.79344178</v>
      </c>
      <c r="F53" s="20" t="n">
        <v>2.0974095</v>
      </c>
      <c r="G53" s="18" t="n">
        <v>45.02937736</v>
      </c>
      <c r="H53" s="20" t="n">
        <v>2.19040495</v>
      </c>
      <c r="I53" s="18" t="s">
        <v>567</v>
      </c>
      <c r="J53" s="20" t="s">
        <v>567</v>
      </c>
      <c r="K53" s="18" t="n">
        <v>0.44523872</v>
      </c>
      <c r="L53" s="20" t="n">
        <v>0.26994218</v>
      </c>
      <c r="M53" s="18" t="n">
        <v>0</v>
      </c>
      <c r="N53" s="20" t="n">
        <v>0</v>
      </c>
      <c r="O53" s="18" t="n">
        <v>0</v>
      </c>
      <c r="P53" s="20" t="n">
        <v>0</v>
      </c>
      <c r="Q53" s="18" t="n">
        <v>5.73194214</v>
      </c>
      <c r="R53" s="20" t="n">
        <v>0.97259352</v>
      </c>
    </row>
    <row r="54" spans="1:18">
      <c r="A54" s="15" t="s">
        <v>614</v>
      </c>
      <c r="B54" s="17" t="n">
        <v>2266</v>
      </c>
      <c r="C54" s="18">
        <f>(1789.0/B54*100)</f>
        <v/>
      </c>
      <c r="D54" s="19" t="n">
        <v>477</v>
      </c>
      <c r="E54" s="18" t="n">
        <v>55.54215891</v>
      </c>
      <c r="F54" s="20" t="n">
        <v>2.58174545</v>
      </c>
      <c r="G54" s="18" t="n">
        <v>24.35608085</v>
      </c>
      <c r="H54" s="20" t="n">
        <v>2.36375372</v>
      </c>
      <c r="I54" s="18" t="s">
        <v>567</v>
      </c>
      <c r="J54" s="20" t="s">
        <v>567</v>
      </c>
      <c r="K54" s="18" t="n">
        <v>10.23776375</v>
      </c>
      <c r="L54" s="20" t="n">
        <v>1.55286828</v>
      </c>
      <c r="M54" s="18" t="n">
        <v>0</v>
      </c>
      <c r="N54" s="20" t="n">
        <v>0</v>
      </c>
      <c r="O54" s="18" t="n">
        <v>0</v>
      </c>
      <c r="P54" s="20" t="n">
        <v>0</v>
      </c>
      <c r="Q54" s="18" t="n">
        <v>9.86399649</v>
      </c>
      <c r="R54" s="20" t="n">
        <v>1.75891815</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(2088.0/B56*100)</f>
        <v/>
      </c>
      <c r="D56" s="19" t="n">
        <v>596</v>
      </c>
      <c r="E56" s="18" t="n">
        <v>20.75367532</v>
      </c>
      <c r="F56" s="20" t="n">
        <v>1.28476493</v>
      </c>
      <c r="G56" s="18" t="n">
        <v>77.63317609000001</v>
      </c>
      <c r="H56" s="20" t="n">
        <v>1.42893615</v>
      </c>
      <c r="I56" s="18" t="s">
        <v>567</v>
      </c>
      <c r="J56" s="20" t="s">
        <v>567</v>
      </c>
      <c r="K56" s="18" t="n">
        <v>0.444689</v>
      </c>
      <c r="L56" s="20" t="n">
        <v>0.35703117</v>
      </c>
      <c r="M56" s="18" t="n">
        <v>0</v>
      </c>
      <c r="N56" s="20" t="n">
        <v>0</v>
      </c>
      <c r="O56" s="18" t="n">
        <v>0</v>
      </c>
      <c r="P56" s="20" t="n">
        <v>0</v>
      </c>
      <c r="Q56" s="18" t="n">
        <v>1.16845959</v>
      </c>
      <c r="R56" s="20" t="n">
        <v>0.38082801</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(2601.0/B61*100)</f>
        <v/>
      </c>
      <c r="D61" s="19" t="n">
        <v>723</v>
      </c>
      <c r="E61" s="18" t="n">
        <v>50.94278453</v>
      </c>
      <c r="F61" s="20" t="n">
        <v>1.75308336</v>
      </c>
      <c r="G61" s="18" t="n">
        <v>46.57376561</v>
      </c>
      <c r="H61" s="20" t="n">
        <v>1.855542</v>
      </c>
      <c r="I61" s="18" t="s">
        <v>567</v>
      </c>
      <c r="J61" s="20" t="s">
        <v>567</v>
      </c>
      <c r="K61" s="18" t="n">
        <v>0.0448711</v>
      </c>
      <c r="L61" s="20" t="n">
        <v>0.04498736</v>
      </c>
      <c r="M61" s="18" t="n">
        <v>0</v>
      </c>
      <c r="N61" s="20" t="n">
        <v>0</v>
      </c>
      <c r="O61" s="18" t="n">
        <v>0</v>
      </c>
      <c r="P61" s="20" t="n">
        <v>0</v>
      </c>
      <c r="Q61" s="18" t="n">
        <v>2.43857875</v>
      </c>
      <c r="R61" s="20" t="n">
        <v>0.5137309799999999</v>
      </c>
    </row>
    <row r="62" spans="1:18">
      <c r="A62" s="15" t="s">
        <v>622</v>
      </c>
      <c r="B62" s="17" t="n">
        <v>2246</v>
      </c>
      <c r="C62" s="18">
        <f>(1736.0/B62*100)</f>
        <v/>
      </c>
      <c r="D62" s="19" t="n">
        <v>510</v>
      </c>
      <c r="E62" s="18" t="n">
        <v>18.83663108</v>
      </c>
      <c r="F62" s="20" t="n">
        <v>1.72842018</v>
      </c>
      <c r="G62" s="18" t="n">
        <v>80.57725626</v>
      </c>
      <c r="H62" s="20" t="n">
        <v>1.79218731</v>
      </c>
      <c r="I62" s="18" t="s">
        <v>567</v>
      </c>
      <c r="J62" s="20" t="s">
        <v>567</v>
      </c>
      <c r="K62" s="18" t="n">
        <v>0</v>
      </c>
      <c r="L62" s="20" t="n">
        <v>0</v>
      </c>
      <c r="M62" s="18" t="n">
        <v>0</v>
      </c>
      <c r="N62" s="20" t="n">
        <v>0</v>
      </c>
      <c r="O62" s="18" t="n">
        <v>0</v>
      </c>
      <c r="P62" s="20" t="n">
        <v>0</v>
      </c>
      <c r="Q62" s="18" t="n">
        <v>0.58611266</v>
      </c>
      <c r="R62" s="20" t="n">
        <v>0.34296277</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(2314.0/B66*100)</f>
        <v/>
      </c>
      <c r="D66" s="19" t="n">
        <v>580</v>
      </c>
      <c r="E66" s="18" t="n">
        <v>50.34069192</v>
      </c>
      <c r="F66" s="20" t="n">
        <v>2.08546078</v>
      </c>
      <c r="G66" s="18" t="n">
        <v>40.454682</v>
      </c>
      <c r="H66" s="20" t="n">
        <v>2.45841474</v>
      </c>
      <c r="I66" s="18" t="s">
        <v>567</v>
      </c>
      <c r="J66" s="20" t="s">
        <v>567</v>
      </c>
      <c r="K66" s="18" t="n">
        <v>0.40025827</v>
      </c>
      <c r="L66" s="20" t="n">
        <v>0.28427717</v>
      </c>
      <c r="M66" s="18" t="n">
        <v>0</v>
      </c>
      <c r="N66" s="20" t="n">
        <v>0</v>
      </c>
      <c r="O66" s="18" t="n">
        <v>0</v>
      </c>
      <c r="P66" s="20" t="n">
        <v>0</v>
      </c>
      <c r="Q66" s="18" t="n">
        <v>8.80436781</v>
      </c>
      <c r="R66" s="20" t="n">
        <v>1.17806576</v>
      </c>
    </row>
    <row r="67" spans="1:18">
      <c r="A67" s="15" t="s">
        <v>627</v>
      </c>
      <c r="B67" s="17" t="n">
        <v>3511</v>
      </c>
      <c r="C67" s="18">
        <f>(2792.0/B67*100)</f>
        <v/>
      </c>
      <c r="D67" s="19" t="n">
        <v>719</v>
      </c>
      <c r="E67" s="18" t="n">
        <v>50.78370345</v>
      </c>
      <c r="F67" s="20" t="n">
        <v>1.8468768</v>
      </c>
      <c r="G67" s="18" t="n">
        <v>46.746759</v>
      </c>
      <c r="H67" s="20" t="n">
        <v>1.97400373</v>
      </c>
      <c r="I67" s="18" t="s">
        <v>567</v>
      </c>
      <c r="J67" s="20" t="s">
        <v>567</v>
      </c>
      <c r="K67" s="18" t="n">
        <v>0.49910278</v>
      </c>
      <c r="L67" s="20" t="n">
        <v>0.3935021</v>
      </c>
      <c r="M67" s="18" t="n">
        <v>0</v>
      </c>
      <c r="N67" s="20" t="n">
        <v>0</v>
      </c>
      <c r="O67" s="18" t="n">
        <v>0</v>
      </c>
      <c r="P67" s="20" t="n">
        <v>0</v>
      </c>
      <c r="Q67" s="18" t="n">
        <v>1.97043477</v>
      </c>
      <c r="R67" s="20" t="n">
        <v>0.62289721</v>
      </c>
    </row>
    <row r="68" spans="1:18">
      <c r="A68" s="15" t="s">
        <v>628</v>
      </c>
      <c r="B68" s="17" t="n">
        <v>6049</v>
      </c>
      <c r="C68" s="18">
        <f>(4690.0/B68*100)</f>
        <v/>
      </c>
      <c r="D68" s="19" t="n">
        <v>1359</v>
      </c>
      <c r="E68" s="18" t="n">
        <v>46.42047213</v>
      </c>
      <c r="F68" s="20" t="n">
        <v>1.25392364</v>
      </c>
      <c r="G68" s="18" t="n">
        <v>42.74342227</v>
      </c>
      <c r="H68" s="20" t="n">
        <v>1.19333875</v>
      </c>
      <c r="I68" s="18" t="s">
        <v>567</v>
      </c>
      <c r="J68" s="20" t="s">
        <v>567</v>
      </c>
      <c r="K68" s="18" t="n">
        <v>2.78298472</v>
      </c>
      <c r="L68" s="20" t="n">
        <v>0.39411128</v>
      </c>
      <c r="M68" s="18" t="n">
        <v>0</v>
      </c>
      <c r="N68" s="20" t="n">
        <v>0</v>
      </c>
      <c r="O68" s="18" t="n">
        <v>0</v>
      </c>
      <c r="P68" s="20" t="n">
        <v>0</v>
      </c>
      <c r="Q68" s="18" t="n">
        <v>8.05312088</v>
      </c>
      <c r="R68" s="20" t="n">
        <v>0.6139103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(2304.0/B70*100)</f>
        <v/>
      </c>
      <c r="D70" s="19" t="n">
        <v>625</v>
      </c>
      <c r="E70" s="18" t="n">
        <v>38.03757731</v>
      </c>
      <c r="F70" s="20" t="n">
        <v>2.04020336</v>
      </c>
      <c r="G70" s="18" t="n">
        <v>59.12636484</v>
      </c>
      <c r="H70" s="20" t="n">
        <v>2.23334732</v>
      </c>
      <c r="I70" s="18" t="s">
        <v>567</v>
      </c>
      <c r="J70" s="20" t="s">
        <v>567</v>
      </c>
      <c r="K70" s="18" t="n">
        <v>0.14436245</v>
      </c>
      <c r="L70" s="20" t="n">
        <v>0.14279362</v>
      </c>
      <c r="M70" s="18" t="n">
        <v>0</v>
      </c>
      <c r="N70" s="20" t="n">
        <v>0</v>
      </c>
      <c r="O70" s="18" t="n">
        <v>0</v>
      </c>
      <c r="P70" s="20" t="n">
        <v>0</v>
      </c>
      <c r="Q70" s="18" t="n">
        <v>2.6916954</v>
      </c>
      <c r="R70" s="20" t="n">
        <v>0.6452632</v>
      </c>
    </row>
    <row r="71" spans="1:18">
      <c r="A71" s="15" t="s">
        <v>631</v>
      </c>
      <c r="B71" s="17" t="n">
        <v>3142</v>
      </c>
      <c r="C71" s="18">
        <f>(2462.0/B71*100)</f>
        <v/>
      </c>
      <c r="D71" s="19" t="n">
        <v>680</v>
      </c>
      <c r="E71" s="18" t="n">
        <v>16.16767016</v>
      </c>
      <c r="F71" s="20" t="n">
        <v>1.32866502</v>
      </c>
      <c r="G71" s="18" t="n">
        <v>83.01648523999999</v>
      </c>
      <c r="H71" s="20" t="n">
        <v>1.34459618</v>
      </c>
      <c r="I71" s="18" t="s">
        <v>567</v>
      </c>
      <c r="J71" s="20" t="s">
        <v>567</v>
      </c>
      <c r="K71" s="18" t="n">
        <v>0.29217583</v>
      </c>
      <c r="L71" s="20" t="n">
        <v>0.20746555</v>
      </c>
      <c r="M71" s="18" t="n">
        <v>0</v>
      </c>
      <c r="N71" s="20" t="n">
        <v>0</v>
      </c>
      <c r="O71" s="18" t="n">
        <v>0</v>
      </c>
      <c r="P71" s="20" t="n">
        <v>0</v>
      </c>
      <c r="Q71" s="18" t="n">
        <v>0.52366877</v>
      </c>
      <c r="R71" s="20" t="n">
        <v>0.26083568</v>
      </c>
    </row>
    <row r="72" spans="1:18">
      <c r="A72" s="15" t="s">
        <v>632</v>
      </c>
      <c r="B72" s="17" t="n">
        <v>3889</v>
      </c>
      <c r="C72" s="18">
        <f>(3054.0/B72*100)</f>
        <v/>
      </c>
      <c r="D72" s="19" t="n">
        <v>835</v>
      </c>
      <c r="E72" s="18" t="n">
        <v>20.28745877</v>
      </c>
      <c r="F72" s="20" t="n">
        <v>1.48157407</v>
      </c>
      <c r="G72" s="18" t="n">
        <v>78.56272500999999</v>
      </c>
      <c r="H72" s="20" t="n">
        <v>1.52674863</v>
      </c>
      <c r="I72" s="18" t="s">
        <v>567</v>
      </c>
      <c r="J72" s="20" t="s">
        <v>567</v>
      </c>
      <c r="K72" s="18" t="n">
        <v>0.22349957</v>
      </c>
      <c r="L72" s="20" t="n">
        <v>0.17098983</v>
      </c>
      <c r="M72" s="18" t="n">
        <v>0</v>
      </c>
      <c r="N72" s="20" t="n">
        <v>0</v>
      </c>
      <c r="O72" s="18" t="n">
        <v>0</v>
      </c>
      <c r="P72" s="20" t="n">
        <v>0</v>
      </c>
      <c r="Q72" s="18" t="n">
        <v>0.92631665</v>
      </c>
      <c r="R72" s="20" t="n">
        <v>0.34349078</v>
      </c>
    </row>
    <row r="73" spans="1:18">
      <c r="A73" s="15" t="s">
        <v>633</v>
      </c>
      <c r="B73" s="17" t="n">
        <v>3597</v>
      </c>
      <c r="C73" s="18">
        <f>(2804.0/B73*100)</f>
        <v/>
      </c>
      <c r="D73" s="19" t="n">
        <v>793</v>
      </c>
      <c r="E73" s="18" t="n">
        <v>44.0872923</v>
      </c>
      <c r="F73" s="20" t="n">
        <v>2.38100855</v>
      </c>
      <c r="G73" s="18" t="n">
        <v>52.93458791</v>
      </c>
      <c r="H73" s="20" t="n">
        <v>2.3322811</v>
      </c>
      <c r="I73" s="18" t="s">
        <v>567</v>
      </c>
      <c r="J73" s="20" t="s">
        <v>567</v>
      </c>
      <c r="K73" s="18" t="n">
        <v>0.17651023</v>
      </c>
      <c r="L73" s="20" t="n">
        <v>0.12881873</v>
      </c>
      <c r="M73" s="18" t="n">
        <v>0</v>
      </c>
      <c r="N73" s="20" t="n">
        <v>0</v>
      </c>
      <c r="O73" s="18" t="n">
        <v>0</v>
      </c>
      <c r="P73" s="20" t="n">
        <v>0</v>
      </c>
      <c r="Q73" s="18" t="n">
        <v>2.80160956</v>
      </c>
      <c r="R73" s="20" t="n">
        <v>0.71093353</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(1923.0/B75*100)</f>
        <v/>
      </c>
      <c r="D75" s="19" t="n">
        <v>483</v>
      </c>
      <c r="E75" s="18" t="n">
        <v>45.82442744</v>
      </c>
      <c r="F75" s="20" t="n">
        <v>2.6922136</v>
      </c>
      <c r="G75" s="18" t="n">
        <v>49.00587613</v>
      </c>
      <c r="H75" s="20" t="n">
        <v>2.57416923</v>
      </c>
      <c r="I75" s="18" t="s">
        <v>567</v>
      </c>
      <c r="J75" s="20" t="s">
        <v>567</v>
      </c>
      <c r="K75" s="18" t="n">
        <v>1.77739607</v>
      </c>
      <c r="L75" s="20" t="n">
        <v>0.64101853</v>
      </c>
      <c r="M75" s="18" t="n">
        <v>0</v>
      </c>
      <c r="N75" s="20" t="n">
        <v>0</v>
      </c>
      <c r="O75" s="18" t="n">
        <v>0</v>
      </c>
      <c r="P75" s="20" t="n">
        <v>0</v>
      </c>
      <c r="Q75" s="18" t="n">
        <v>3.39230036</v>
      </c>
      <c r="R75" s="20" t="n">
        <v>0.92024748</v>
      </c>
    </row>
    <row r="76" spans="1:18">
      <c r="A76" s="15" t="s">
        <v>636</v>
      </c>
      <c r="B76" s="17" t="n">
        <v>7052</v>
      </c>
      <c r="C76" s="18">
        <f>(5489.0/B76*100)</f>
        <v/>
      </c>
      <c r="D76" s="19" t="n">
        <v>1563</v>
      </c>
      <c r="E76" s="18" t="n">
        <v>47.78555963</v>
      </c>
      <c r="F76" s="20" t="n">
        <v>1.74859443</v>
      </c>
      <c r="G76" s="18" t="n">
        <v>46.85520343</v>
      </c>
      <c r="H76" s="20" t="n">
        <v>1.7762449</v>
      </c>
      <c r="I76" s="18" t="s">
        <v>567</v>
      </c>
      <c r="J76" s="20" t="s">
        <v>567</v>
      </c>
      <c r="K76" s="18" t="n">
        <v>1.15358559</v>
      </c>
      <c r="L76" s="20" t="n">
        <v>0.33585989</v>
      </c>
      <c r="M76" s="18" t="n">
        <v>0</v>
      </c>
      <c r="N76" s="20" t="n">
        <v>0</v>
      </c>
      <c r="O76" s="18" t="n">
        <v>0</v>
      </c>
      <c r="P76" s="20" t="n">
        <v>0</v>
      </c>
      <c r="Q76" s="18" t="n">
        <v>4.20565136</v>
      </c>
      <c r="R76" s="20" t="n">
        <v>0.52694831</v>
      </c>
    </row>
    <row r="77" spans="1:18">
      <c r="A77" s="15" t="s">
        <v>637</v>
      </c>
      <c r="B77" s="17" t="n">
        <v>2908</v>
      </c>
      <c r="C77" s="18">
        <f>(2285.0/B77*100)</f>
        <v/>
      </c>
      <c r="D77" s="19" t="n">
        <v>623</v>
      </c>
      <c r="E77" s="18" t="n">
        <v>42.79163332</v>
      </c>
      <c r="F77" s="20" t="n">
        <v>2.02457283</v>
      </c>
      <c r="G77" s="18" t="n">
        <v>51.01596638</v>
      </c>
      <c r="H77" s="20" t="n">
        <v>2.09219234</v>
      </c>
      <c r="I77" s="18" t="s">
        <v>567</v>
      </c>
      <c r="J77" s="20" t="s">
        <v>567</v>
      </c>
      <c r="K77" s="18" t="n">
        <v>0.77228757</v>
      </c>
      <c r="L77" s="20" t="n">
        <v>0.4193766</v>
      </c>
      <c r="M77" s="18" t="n">
        <v>0</v>
      </c>
      <c r="N77" s="20" t="n">
        <v>0</v>
      </c>
      <c r="O77" s="18" t="n">
        <v>0</v>
      </c>
      <c r="P77" s="20" t="n">
        <v>0</v>
      </c>
      <c r="Q77" s="18" t="n">
        <v>5.42011274</v>
      </c>
      <c r="R77" s="20" t="n">
        <v>0.99381496</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(3234.0/B81*100)</f>
        <v/>
      </c>
      <c r="D81" s="19" t="n">
        <v>929</v>
      </c>
      <c r="E81" s="18" t="n">
        <v>32.04439164</v>
      </c>
      <c r="F81" s="20" t="n">
        <v>1.94793823</v>
      </c>
      <c r="G81" s="18" t="n">
        <v>66.75591874</v>
      </c>
      <c r="H81" s="20" t="n">
        <v>1.94417239</v>
      </c>
      <c r="I81" s="18" t="s">
        <v>567</v>
      </c>
      <c r="J81" s="20" t="s">
        <v>567</v>
      </c>
      <c r="K81" s="18" t="n">
        <v>0</v>
      </c>
      <c r="L81" s="20" t="n">
        <v>0</v>
      </c>
      <c r="M81" s="18" t="n">
        <v>0</v>
      </c>
      <c r="N81" s="20" t="n">
        <v>0</v>
      </c>
      <c r="O81" s="18" t="n">
        <v>0</v>
      </c>
      <c r="P81" s="20" t="n">
        <v>0</v>
      </c>
      <c r="Q81" s="18" t="n">
        <v>1.19968962</v>
      </c>
      <c r="R81" s="20" t="n">
        <v>0.36491754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(5767.0/B7*100)</f>
        <v/>
      </c>
      <c r="D7" s="19" t="n">
        <v>1600</v>
      </c>
      <c r="E7" s="18" t="n">
        <v>53.36912197</v>
      </c>
      <c r="F7" s="20" t="n">
        <v>1.3702708</v>
      </c>
      <c r="G7" s="18" t="n">
        <v>44.98587612</v>
      </c>
      <c r="H7" s="20" t="n">
        <v>1.46566787</v>
      </c>
      <c r="I7" s="18" t="s">
        <v>567</v>
      </c>
      <c r="J7" s="20" t="s">
        <v>567</v>
      </c>
      <c r="K7" s="18" t="n">
        <v>0.6451067</v>
      </c>
      <c r="L7" s="20" t="n">
        <v>0.24245824</v>
      </c>
      <c r="M7" s="18" t="n">
        <v>0</v>
      </c>
      <c r="N7" s="20" t="n">
        <v>0</v>
      </c>
      <c r="O7" s="18" t="n">
        <v>0</v>
      </c>
      <c r="P7" s="20" t="n">
        <v>0</v>
      </c>
      <c r="Q7" s="18" t="n">
        <v>0.99989521</v>
      </c>
      <c r="R7" s="20" t="n">
        <v>0.28092836</v>
      </c>
    </row>
    <row r="8" spans="1:18">
      <c r="A8" s="15" t="s">
        <v>568</v>
      </c>
      <c r="B8" s="17" t="n">
        <v>3564</v>
      </c>
      <c r="C8" s="18">
        <f>(2787.0/B8*100)</f>
        <v/>
      </c>
      <c r="D8" s="19" t="n">
        <v>777</v>
      </c>
      <c r="E8" s="18" t="n">
        <v>68.74312145</v>
      </c>
      <c r="F8" s="20" t="n">
        <v>1.76185359</v>
      </c>
      <c r="G8" s="18" t="n">
        <v>29.83296059</v>
      </c>
      <c r="H8" s="20" t="n">
        <v>1.76767181</v>
      </c>
      <c r="I8" s="18" t="s">
        <v>567</v>
      </c>
      <c r="J8" s="20" t="s">
        <v>567</v>
      </c>
      <c r="K8" s="18" t="n">
        <v>0.30295917</v>
      </c>
      <c r="L8" s="20" t="n">
        <v>0.21168657</v>
      </c>
      <c r="M8" s="18" t="n">
        <v>0</v>
      </c>
      <c r="N8" s="20" t="n">
        <v>0</v>
      </c>
      <c r="O8" s="18" t="n">
        <v>0</v>
      </c>
      <c r="P8" s="20" t="n">
        <v>0</v>
      </c>
      <c r="Q8" s="18" t="n">
        <v>1.12095879</v>
      </c>
      <c r="R8" s="20" t="n">
        <v>0.39771113</v>
      </c>
    </row>
    <row r="9" spans="1:18">
      <c r="A9" s="15" t="s">
        <v>569</v>
      </c>
      <c r="B9" s="17" t="n">
        <v>4899</v>
      </c>
      <c r="C9" s="18">
        <f>(3843.0/B9*100)</f>
        <v/>
      </c>
      <c r="D9" s="19" t="n">
        <v>1056</v>
      </c>
      <c r="E9" s="18" t="n">
        <v>56.1526785</v>
      </c>
      <c r="F9" s="20" t="n">
        <v>1.42834048</v>
      </c>
      <c r="G9" s="18" t="n">
        <v>42.63327149</v>
      </c>
      <c r="H9" s="20" t="n">
        <v>1.45811817</v>
      </c>
      <c r="I9" s="18" t="s">
        <v>567</v>
      </c>
      <c r="J9" s="20" t="s">
        <v>567</v>
      </c>
      <c r="K9" s="18" t="n">
        <v>0.3868116</v>
      </c>
      <c r="L9" s="20" t="n">
        <v>0.23339754</v>
      </c>
      <c r="M9" s="18" t="n">
        <v>0</v>
      </c>
      <c r="N9" s="20" t="n">
        <v>0</v>
      </c>
      <c r="O9" s="18" t="n">
        <v>0</v>
      </c>
      <c r="P9" s="20" t="n">
        <v>0</v>
      </c>
      <c r="Q9" s="18" t="n">
        <v>0.82723841</v>
      </c>
      <c r="R9" s="20" t="n">
        <v>0.29289151</v>
      </c>
    </row>
    <row r="10" spans="1:18">
      <c r="A10" s="15" t="s">
        <v>570</v>
      </c>
      <c r="B10" s="17" t="n">
        <v>10036</v>
      </c>
      <c r="C10" s="18">
        <f>(7795.0/B10*100)</f>
        <v/>
      </c>
      <c r="D10" s="19" t="n">
        <v>2241</v>
      </c>
      <c r="E10" s="18" t="n">
        <v>56.83455505</v>
      </c>
      <c r="F10" s="20" t="n">
        <v>1.63142873</v>
      </c>
      <c r="G10" s="18" t="n">
        <v>42.02940814</v>
      </c>
      <c r="H10" s="20" t="n">
        <v>1.6710927</v>
      </c>
      <c r="I10" s="18" t="s">
        <v>567</v>
      </c>
      <c r="J10" s="20" t="s">
        <v>567</v>
      </c>
      <c r="K10" s="18" t="n">
        <v>0.46888592</v>
      </c>
      <c r="L10" s="20" t="n">
        <v>0.21786508</v>
      </c>
      <c r="M10" s="18" t="n">
        <v>0</v>
      </c>
      <c r="N10" s="20" t="n">
        <v>0</v>
      </c>
      <c r="O10" s="18" t="n">
        <v>0</v>
      </c>
      <c r="P10" s="20" t="n">
        <v>0</v>
      </c>
      <c r="Q10" s="18" t="n">
        <v>0.66715088</v>
      </c>
      <c r="R10" s="20" t="n">
        <v>0.23237325</v>
      </c>
    </row>
    <row r="11" spans="1:18">
      <c r="A11" s="15" t="s">
        <v>571</v>
      </c>
      <c r="B11" s="17" t="n">
        <v>3553</v>
      </c>
      <c r="C11" s="18">
        <f>(2770.0/B11*100)</f>
        <v/>
      </c>
      <c r="D11" s="19" t="n">
        <v>783</v>
      </c>
      <c r="E11" s="18" t="n">
        <v>67.21629561</v>
      </c>
      <c r="F11" s="20" t="n">
        <v>1.77130737</v>
      </c>
      <c r="G11" s="18" t="n">
        <v>29.30833616</v>
      </c>
      <c r="H11" s="20" t="n">
        <v>1.73702097</v>
      </c>
      <c r="I11" s="18" t="s">
        <v>567</v>
      </c>
      <c r="J11" s="20" t="s">
        <v>567</v>
      </c>
      <c r="K11" s="18" t="n">
        <v>0.34975282</v>
      </c>
      <c r="L11" s="20" t="n">
        <v>0.21757573</v>
      </c>
      <c r="M11" s="18" t="n">
        <v>0</v>
      </c>
      <c r="N11" s="20" t="n">
        <v>0</v>
      </c>
      <c r="O11" s="18" t="n">
        <v>0</v>
      </c>
      <c r="P11" s="20" t="n">
        <v>0</v>
      </c>
      <c r="Q11" s="18" t="n">
        <v>3.12561541</v>
      </c>
      <c r="R11" s="20" t="n">
        <v>0.7250744099999999</v>
      </c>
    </row>
    <row r="12" spans="1:18">
      <c r="A12" s="15" t="s">
        <v>572</v>
      </c>
      <c r="B12" s="17" t="n">
        <v>3472</v>
      </c>
      <c r="C12" s="18">
        <f>(2708.0/B12*100)</f>
        <v/>
      </c>
      <c r="D12" s="19" t="n">
        <v>764</v>
      </c>
      <c r="E12" s="18" t="n">
        <v>64.94076413000001</v>
      </c>
      <c r="F12" s="20" t="n">
        <v>2.10300721</v>
      </c>
      <c r="G12" s="18" t="n">
        <v>34.28904527</v>
      </c>
      <c r="H12" s="20" t="n">
        <v>2.1211467</v>
      </c>
      <c r="I12" s="18" t="s">
        <v>567</v>
      </c>
      <c r="J12" s="20" t="s">
        <v>567</v>
      </c>
      <c r="K12" s="18" t="n">
        <v>0</v>
      </c>
      <c r="L12" s="20" t="n">
        <v>0</v>
      </c>
      <c r="M12" s="18" t="n">
        <v>0</v>
      </c>
      <c r="N12" s="20" t="n">
        <v>0</v>
      </c>
      <c r="O12" s="18" t="n">
        <v>0</v>
      </c>
      <c r="P12" s="20" t="n">
        <v>0</v>
      </c>
      <c r="Q12" s="18" t="n">
        <v>0.77019061</v>
      </c>
      <c r="R12" s="20" t="n">
        <v>0.4155896</v>
      </c>
    </row>
    <row r="13" spans="1:18">
      <c r="A13" s="15" t="s">
        <v>573</v>
      </c>
      <c r="B13" s="17" t="n">
        <v>3559</v>
      </c>
      <c r="C13" s="18">
        <f>(2800.0/B13*100)</f>
        <v/>
      </c>
      <c r="D13" s="19" t="n">
        <v>759</v>
      </c>
      <c r="E13" s="18" t="n">
        <v>65.35523286999999</v>
      </c>
      <c r="F13" s="20" t="n">
        <v>2.08841347</v>
      </c>
      <c r="G13" s="18" t="n">
        <v>33.0720425</v>
      </c>
      <c r="H13" s="20" t="n">
        <v>1.97690052</v>
      </c>
      <c r="I13" s="18" t="s">
        <v>567</v>
      </c>
      <c r="J13" s="20" t="s">
        <v>567</v>
      </c>
      <c r="K13" s="18" t="n">
        <v>0.89486897</v>
      </c>
      <c r="L13" s="20" t="n">
        <v>0.40152967</v>
      </c>
      <c r="M13" s="18" t="n">
        <v>0</v>
      </c>
      <c r="N13" s="20" t="n">
        <v>0</v>
      </c>
      <c r="O13" s="18" t="n">
        <v>0</v>
      </c>
      <c r="P13" s="20" t="n">
        <v>0</v>
      </c>
      <c r="Q13" s="18" t="n">
        <v>0.67785566</v>
      </c>
      <c r="R13" s="20" t="n">
        <v>0.26495556</v>
      </c>
    </row>
    <row r="14" spans="1:18">
      <c r="A14" s="15" t="s">
        <v>574</v>
      </c>
      <c r="B14" s="17" t="n">
        <v>2799</v>
      </c>
      <c r="C14" s="18">
        <f>(2173.0/B14*100)</f>
        <v/>
      </c>
      <c r="D14" s="19" t="n">
        <v>626</v>
      </c>
      <c r="E14" s="18" t="n">
        <v>47.49919697</v>
      </c>
      <c r="F14" s="20" t="n">
        <v>2.07605263</v>
      </c>
      <c r="G14" s="18" t="n">
        <v>52.23647331</v>
      </c>
      <c r="H14" s="20" t="n">
        <v>2.07142016</v>
      </c>
      <c r="I14" s="18" t="s">
        <v>567</v>
      </c>
      <c r="J14" s="20" t="s">
        <v>567</v>
      </c>
      <c r="K14" s="18" t="n">
        <v>0.14497029</v>
      </c>
      <c r="L14" s="20" t="n">
        <v>0.14452925</v>
      </c>
      <c r="M14" s="18" t="n">
        <v>0</v>
      </c>
      <c r="N14" s="20" t="n">
        <v>0</v>
      </c>
      <c r="O14" s="18" t="n">
        <v>0</v>
      </c>
      <c r="P14" s="20" t="n">
        <v>0</v>
      </c>
      <c r="Q14" s="18" t="n">
        <v>0.11935943</v>
      </c>
      <c r="R14" s="20" t="n">
        <v>0.11782428</v>
      </c>
    </row>
    <row r="15" spans="1:18">
      <c r="A15" s="15" t="s">
        <v>575</v>
      </c>
      <c r="B15" s="17" t="n">
        <v>3019</v>
      </c>
      <c r="C15" s="18">
        <f>(2297.0/B15*100)</f>
        <v/>
      </c>
      <c r="D15" s="19" t="n">
        <v>722</v>
      </c>
      <c r="E15" s="18" t="n">
        <v>57.35624558</v>
      </c>
      <c r="F15" s="20" t="n">
        <v>1.91556388</v>
      </c>
      <c r="G15" s="18" t="n">
        <v>41.86407467</v>
      </c>
      <c r="H15" s="20" t="n">
        <v>1.85391826</v>
      </c>
      <c r="I15" s="18" t="s">
        <v>567</v>
      </c>
      <c r="J15" s="20" t="s">
        <v>567</v>
      </c>
      <c r="K15" s="18" t="n">
        <v>0.1555144</v>
      </c>
      <c r="L15" s="20" t="n">
        <v>0.17058361</v>
      </c>
      <c r="M15" s="18" t="n">
        <v>0</v>
      </c>
      <c r="N15" s="20" t="n">
        <v>0</v>
      </c>
      <c r="O15" s="18" t="n">
        <v>0</v>
      </c>
      <c r="P15" s="20" t="n">
        <v>0</v>
      </c>
      <c r="Q15" s="18" t="n">
        <v>0.62416535</v>
      </c>
      <c r="R15" s="20" t="n">
        <v>0.2986525</v>
      </c>
    </row>
    <row r="16" spans="1:18">
      <c r="A16" s="15" t="s">
        <v>576</v>
      </c>
      <c r="B16" s="17" t="n">
        <v>2997</v>
      </c>
      <c r="C16" s="18">
        <f>(2324.0/B16*100)</f>
        <v/>
      </c>
      <c r="D16" s="19" t="n">
        <v>673</v>
      </c>
      <c r="E16" s="18" t="n">
        <v>54.23655181</v>
      </c>
      <c r="F16" s="20" t="n">
        <v>1.82557358</v>
      </c>
      <c r="G16" s="18" t="n">
        <v>41.92017484</v>
      </c>
      <c r="H16" s="20" t="n">
        <v>1.89432062</v>
      </c>
      <c r="I16" s="18" t="s">
        <v>567</v>
      </c>
      <c r="J16" s="20" t="s">
        <v>567</v>
      </c>
      <c r="K16" s="18" t="n">
        <v>0.97664681</v>
      </c>
      <c r="L16" s="20" t="n">
        <v>0.39217887</v>
      </c>
      <c r="M16" s="18" t="n">
        <v>0</v>
      </c>
      <c r="N16" s="20" t="n">
        <v>0</v>
      </c>
      <c r="O16" s="18" t="n">
        <v>0</v>
      </c>
      <c r="P16" s="20" t="n">
        <v>0</v>
      </c>
      <c r="Q16" s="18" t="n">
        <v>2.86662655</v>
      </c>
      <c r="R16" s="20" t="n">
        <v>0.6732597</v>
      </c>
    </row>
    <row r="17" spans="1:18">
      <c r="A17" s="15" t="s">
        <v>577</v>
      </c>
      <c r="B17" s="17" t="n">
        <v>3307</v>
      </c>
      <c r="C17" s="18">
        <f>(2582.0/B17*100)</f>
        <v/>
      </c>
      <c r="D17" s="19" t="n">
        <v>725</v>
      </c>
      <c r="E17" s="18" t="n">
        <v>60.9256406</v>
      </c>
      <c r="F17" s="20" t="n">
        <v>1.92793076</v>
      </c>
      <c r="G17" s="18" t="n">
        <v>37.37467842</v>
      </c>
      <c r="H17" s="20" t="n">
        <v>1.96155673</v>
      </c>
      <c r="I17" s="18" t="s">
        <v>567</v>
      </c>
      <c r="J17" s="20" t="s">
        <v>567</v>
      </c>
      <c r="K17" s="18" t="n">
        <v>0.16956954</v>
      </c>
      <c r="L17" s="20" t="n">
        <v>0.18917505</v>
      </c>
      <c r="M17" s="18" t="n">
        <v>0</v>
      </c>
      <c r="N17" s="20" t="n">
        <v>0</v>
      </c>
      <c r="O17" s="18" t="n">
        <v>0</v>
      </c>
      <c r="P17" s="20" t="n">
        <v>0</v>
      </c>
      <c r="Q17" s="18" t="n">
        <v>1.53011144</v>
      </c>
      <c r="R17" s="20" t="n">
        <v>0.45630892</v>
      </c>
    </row>
    <row r="18" spans="1:18">
      <c r="A18" s="15" t="s">
        <v>578</v>
      </c>
      <c r="B18" s="17" t="n">
        <v>2826</v>
      </c>
      <c r="C18" s="18">
        <f>(2213.0/B18*100)</f>
        <v/>
      </c>
      <c r="D18" s="19" t="n">
        <v>613</v>
      </c>
      <c r="E18" s="18" t="n">
        <v>80.84661204</v>
      </c>
      <c r="F18" s="20" t="n">
        <v>1.70704467</v>
      </c>
      <c r="G18" s="18" t="n">
        <v>17.42963299</v>
      </c>
      <c r="H18" s="20" t="n">
        <v>1.74132709</v>
      </c>
      <c r="I18" s="18" t="s">
        <v>567</v>
      </c>
      <c r="J18" s="20" t="s">
        <v>567</v>
      </c>
      <c r="K18" s="18" t="n">
        <v>0.33498233</v>
      </c>
      <c r="L18" s="20" t="n">
        <v>0.24003948</v>
      </c>
      <c r="M18" s="18" t="n">
        <v>0</v>
      </c>
      <c r="N18" s="20" t="n">
        <v>0</v>
      </c>
      <c r="O18" s="18" t="n">
        <v>0</v>
      </c>
      <c r="P18" s="20" t="n">
        <v>0</v>
      </c>
      <c r="Q18" s="18" t="n">
        <v>1.38877264</v>
      </c>
      <c r="R18" s="20" t="n">
        <v>0.5884709299999999</v>
      </c>
    </row>
    <row r="19" spans="1:18">
      <c r="A19" s="15" t="s">
        <v>579</v>
      </c>
      <c r="B19" s="17" t="n">
        <v>2808</v>
      </c>
      <c r="C19" s="18">
        <f>(2187.0/B19*100)</f>
        <v/>
      </c>
      <c r="D19" s="19" t="n">
        <v>621</v>
      </c>
      <c r="E19" s="18" t="n">
        <v>61.90497991</v>
      </c>
      <c r="F19" s="20" t="n">
        <v>1.94890607</v>
      </c>
      <c r="G19" s="18" t="n">
        <v>37.63824702</v>
      </c>
      <c r="H19" s="20" t="n">
        <v>1.94056508</v>
      </c>
      <c r="I19" s="18" t="s">
        <v>567</v>
      </c>
      <c r="J19" s="20" t="s">
        <v>567</v>
      </c>
      <c r="K19" s="18" t="n">
        <v>0</v>
      </c>
      <c r="L19" s="20" t="n">
        <v>0</v>
      </c>
      <c r="M19" s="18" t="n">
        <v>0</v>
      </c>
      <c r="N19" s="20" t="n">
        <v>0</v>
      </c>
      <c r="O19" s="18" t="n">
        <v>0</v>
      </c>
      <c r="P19" s="20" t="n">
        <v>0</v>
      </c>
      <c r="Q19" s="18" t="n">
        <v>0.45677306</v>
      </c>
      <c r="R19" s="20" t="n">
        <v>0.28505417</v>
      </c>
    </row>
    <row r="20" spans="1:18">
      <c r="A20" s="15" t="s">
        <v>580</v>
      </c>
      <c r="B20" s="17" t="n">
        <v>1630</v>
      </c>
      <c r="C20" s="18">
        <f>(1269.0/B20*100)</f>
        <v/>
      </c>
      <c r="D20" s="19" t="n">
        <v>361</v>
      </c>
      <c r="E20" s="18" t="n">
        <v>69.51223143999999</v>
      </c>
      <c r="F20" s="20" t="n">
        <v>2.47743896</v>
      </c>
      <c r="G20" s="18" t="n">
        <v>28.07534073</v>
      </c>
      <c r="H20" s="20" t="n">
        <v>2.44373546</v>
      </c>
      <c r="I20" s="18" t="s">
        <v>567</v>
      </c>
      <c r="J20" s="20" t="s">
        <v>567</v>
      </c>
      <c r="K20" s="18" t="n">
        <v>0.5408490500000001</v>
      </c>
      <c r="L20" s="20" t="n">
        <v>0.38829752</v>
      </c>
      <c r="M20" s="18" t="n">
        <v>0</v>
      </c>
      <c r="N20" s="20" t="n">
        <v>0</v>
      </c>
      <c r="O20" s="18" t="n">
        <v>0</v>
      </c>
      <c r="P20" s="20" t="n">
        <v>0</v>
      </c>
      <c r="Q20" s="18" t="n">
        <v>1.87157878</v>
      </c>
      <c r="R20" s="20" t="n">
        <v>0.78990204</v>
      </c>
    </row>
    <row r="21" spans="1:18">
      <c r="A21" s="15" t="s">
        <v>581</v>
      </c>
      <c r="B21" s="17" t="n">
        <v>2908</v>
      </c>
      <c r="C21" s="18">
        <f>(2256.0/B21*100)</f>
        <v/>
      </c>
      <c r="D21" s="19" t="n">
        <v>652</v>
      </c>
      <c r="E21" s="18" t="n">
        <v>47.89552288</v>
      </c>
      <c r="F21" s="20" t="n">
        <v>2.17682749</v>
      </c>
      <c r="G21" s="18" t="n">
        <v>49.56876687</v>
      </c>
      <c r="H21" s="20" t="n">
        <v>2.06444241</v>
      </c>
      <c r="I21" s="18" t="s">
        <v>567</v>
      </c>
      <c r="J21" s="20" t="s">
        <v>567</v>
      </c>
      <c r="K21" s="18" t="n">
        <v>0.34946199</v>
      </c>
      <c r="L21" s="20" t="n">
        <v>0.21437179</v>
      </c>
      <c r="M21" s="18" t="n">
        <v>0</v>
      </c>
      <c r="N21" s="20" t="n">
        <v>0</v>
      </c>
      <c r="O21" s="18" t="n">
        <v>0</v>
      </c>
      <c r="P21" s="20" t="n">
        <v>0</v>
      </c>
      <c r="Q21" s="18" t="n">
        <v>2.18624825</v>
      </c>
      <c r="R21" s="20" t="n">
        <v>0.53394946</v>
      </c>
    </row>
    <row r="22" spans="1:18">
      <c r="A22" s="15" t="s">
        <v>582</v>
      </c>
      <c r="B22" s="17" t="n">
        <v>2931</v>
      </c>
      <c r="C22" s="18">
        <f>(2343.0/B22*100)</f>
        <v/>
      </c>
      <c r="D22" s="19" t="n">
        <v>588</v>
      </c>
      <c r="E22" s="18" t="n">
        <v>76.42634574</v>
      </c>
      <c r="F22" s="20" t="n">
        <v>1.78222857</v>
      </c>
      <c r="G22" s="18" t="n">
        <v>19.60810198</v>
      </c>
      <c r="H22" s="20" t="n">
        <v>1.6834679</v>
      </c>
      <c r="I22" s="18" t="s">
        <v>567</v>
      </c>
      <c r="J22" s="20" t="s">
        <v>567</v>
      </c>
      <c r="K22" s="18" t="n">
        <v>0.72817454</v>
      </c>
      <c r="L22" s="20" t="n">
        <v>0.4024676</v>
      </c>
      <c r="M22" s="18" t="n">
        <v>0</v>
      </c>
      <c r="N22" s="20" t="n">
        <v>0</v>
      </c>
      <c r="O22" s="18" t="n">
        <v>0</v>
      </c>
      <c r="P22" s="20" t="n">
        <v>0</v>
      </c>
      <c r="Q22" s="18" t="n">
        <v>3.23737774</v>
      </c>
      <c r="R22" s="20" t="n">
        <v>0.91178916</v>
      </c>
    </row>
    <row r="23" spans="1:18">
      <c r="A23" s="15" t="s">
        <v>583</v>
      </c>
      <c r="B23" s="17" t="n">
        <v>5791</v>
      </c>
      <c r="C23" s="18">
        <f>(4528.0/B23*100)</f>
        <v/>
      </c>
      <c r="D23" s="19" t="n">
        <v>1263</v>
      </c>
      <c r="E23" s="18" t="n">
        <v>52.88664801</v>
      </c>
      <c r="F23" s="20" t="n">
        <v>1.60152535</v>
      </c>
      <c r="G23" s="18" t="n">
        <v>45.67195858</v>
      </c>
      <c r="H23" s="20" t="n">
        <v>1.6892999</v>
      </c>
      <c r="I23" s="18" t="s">
        <v>567</v>
      </c>
      <c r="J23" s="20" t="s">
        <v>567</v>
      </c>
      <c r="K23" s="18" t="n">
        <v>0.66349245</v>
      </c>
      <c r="L23" s="20" t="n">
        <v>0.34906211</v>
      </c>
      <c r="M23" s="18" t="n">
        <v>0</v>
      </c>
      <c r="N23" s="20" t="n">
        <v>0</v>
      </c>
      <c r="O23" s="18" t="n">
        <v>0</v>
      </c>
      <c r="P23" s="20" t="n">
        <v>0</v>
      </c>
      <c r="Q23" s="18" t="n">
        <v>0.77790097</v>
      </c>
      <c r="R23" s="20" t="n">
        <v>0.32527796</v>
      </c>
    </row>
    <row r="24" spans="1:18">
      <c r="A24" s="15" t="s">
        <v>584</v>
      </c>
      <c r="B24" s="17" t="n">
        <v>3338</v>
      </c>
      <c r="C24" s="18">
        <f>(2605.0/B24*100)</f>
        <v/>
      </c>
      <c r="D24" s="19" t="n">
        <v>733</v>
      </c>
      <c r="E24" s="18" t="n">
        <v>56.8148526</v>
      </c>
      <c r="F24" s="20" t="n">
        <v>1.91033042</v>
      </c>
      <c r="G24" s="18" t="n">
        <v>42.0599201</v>
      </c>
      <c r="H24" s="20" t="n">
        <v>1.88975428</v>
      </c>
      <c r="I24" s="18" t="s">
        <v>567</v>
      </c>
      <c r="J24" s="20" t="s">
        <v>567</v>
      </c>
      <c r="K24" s="18" t="n">
        <v>0.35696183</v>
      </c>
      <c r="L24" s="20" t="n">
        <v>0.20837889</v>
      </c>
      <c r="M24" s="18" t="n">
        <v>0</v>
      </c>
      <c r="N24" s="20" t="n">
        <v>0</v>
      </c>
      <c r="O24" s="18" t="n">
        <v>0</v>
      </c>
      <c r="P24" s="20" t="n">
        <v>0</v>
      </c>
      <c r="Q24" s="18" t="n">
        <v>0.76826546</v>
      </c>
      <c r="R24" s="20" t="n">
        <v>0.31174093</v>
      </c>
    </row>
    <row r="25" spans="1:18">
      <c r="A25" s="15" t="s">
        <v>585</v>
      </c>
      <c r="B25" s="17" t="n">
        <v>2912</v>
      </c>
      <c r="C25" s="18">
        <f>(2275.0/B25*100)</f>
        <v/>
      </c>
      <c r="D25" s="19" t="n">
        <v>637</v>
      </c>
      <c r="E25" s="18" t="n">
        <v>59.64022009</v>
      </c>
      <c r="F25" s="20" t="n">
        <v>2.02639777</v>
      </c>
      <c r="G25" s="18" t="n">
        <v>39.77827537</v>
      </c>
      <c r="H25" s="20" t="n">
        <v>2.07778069</v>
      </c>
      <c r="I25" s="18" t="s">
        <v>567</v>
      </c>
      <c r="J25" s="20" t="s">
        <v>567</v>
      </c>
      <c r="K25" s="18" t="n">
        <v>0.13246293</v>
      </c>
      <c r="L25" s="20" t="n">
        <v>0.1344598</v>
      </c>
      <c r="M25" s="18" t="n">
        <v>0</v>
      </c>
      <c r="N25" s="20" t="n">
        <v>0</v>
      </c>
      <c r="O25" s="18" t="n">
        <v>0</v>
      </c>
      <c r="P25" s="20" t="n">
        <v>0</v>
      </c>
      <c r="Q25" s="18" t="n">
        <v>0.4490416</v>
      </c>
      <c r="R25" s="20" t="n">
        <v>0.25844257</v>
      </c>
    </row>
    <row r="26" spans="1:18">
      <c r="A26" s="15" t="s">
        <v>586</v>
      </c>
      <c r="B26" s="17" t="n">
        <v>2450</v>
      </c>
      <c r="C26" s="18">
        <f>(1908.0/B26*100)</f>
        <v/>
      </c>
      <c r="D26" s="19" t="n">
        <v>542</v>
      </c>
      <c r="E26" s="18" t="n">
        <v>73.30376206</v>
      </c>
      <c r="F26" s="20" t="n">
        <v>1.9599546</v>
      </c>
      <c r="G26" s="18" t="n">
        <v>26.20841938</v>
      </c>
      <c r="H26" s="20" t="n">
        <v>1.93954565</v>
      </c>
      <c r="I26" s="18" t="s">
        <v>567</v>
      </c>
      <c r="J26" s="20" t="s">
        <v>567</v>
      </c>
      <c r="K26" s="18" t="n">
        <v>0</v>
      </c>
      <c r="L26" s="20" t="n">
        <v>0</v>
      </c>
      <c r="M26" s="18" t="n">
        <v>0</v>
      </c>
      <c r="N26" s="20" t="n">
        <v>0</v>
      </c>
      <c r="O26" s="18" t="n">
        <v>0</v>
      </c>
      <c r="P26" s="20" t="n">
        <v>0</v>
      </c>
      <c r="Q26" s="18" t="n">
        <v>0.48781856</v>
      </c>
      <c r="R26" s="20" t="n">
        <v>0.2893226</v>
      </c>
    </row>
    <row r="27" spans="1:18">
      <c r="A27" s="15" t="s">
        <v>587</v>
      </c>
      <c r="B27" s="17" t="n">
        <v>2616</v>
      </c>
      <c r="C27" s="18">
        <f>(2039.0/B27*100)</f>
        <v/>
      </c>
      <c r="D27" s="19" t="n">
        <v>577</v>
      </c>
      <c r="E27" s="18" t="n">
        <v>67.02555622</v>
      </c>
      <c r="F27" s="20" t="n">
        <v>1.67335416</v>
      </c>
      <c r="G27" s="18" t="n">
        <v>30.91551005</v>
      </c>
      <c r="H27" s="20" t="n">
        <v>1.54616896</v>
      </c>
      <c r="I27" s="18" t="s">
        <v>567</v>
      </c>
      <c r="J27" s="20" t="s">
        <v>567</v>
      </c>
      <c r="K27" s="18" t="n">
        <v>0.17117712</v>
      </c>
      <c r="L27" s="20" t="n">
        <v>0.16971944</v>
      </c>
      <c r="M27" s="18" t="n">
        <v>0</v>
      </c>
      <c r="N27" s="20" t="n">
        <v>0</v>
      </c>
      <c r="O27" s="18" t="n">
        <v>0</v>
      </c>
      <c r="P27" s="20" t="n">
        <v>0</v>
      </c>
      <c r="Q27" s="18" t="n">
        <v>1.88775661</v>
      </c>
      <c r="R27" s="20" t="n">
        <v>0.50013349</v>
      </c>
    </row>
    <row r="28" spans="1:18">
      <c r="A28" s="15" t="s">
        <v>588</v>
      </c>
      <c r="B28" s="17" t="n">
        <v>3765</v>
      </c>
      <c r="C28" s="18">
        <f>(3027.0/B28*100)</f>
        <v/>
      </c>
      <c r="D28" s="19" t="n">
        <v>738</v>
      </c>
      <c r="E28" s="18" t="n">
        <v>79.31484003</v>
      </c>
      <c r="F28" s="20" t="n">
        <v>1.65385601</v>
      </c>
      <c r="G28" s="18" t="n">
        <v>19.0449636</v>
      </c>
      <c r="H28" s="20" t="n">
        <v>1.69961876</v>
      </c>
      <c r="I28" s="18" t="s">
        <v>567</v>
      </c>
      <c r="J28" s="20" t="s">
        <v>567</v>
      </c>
      <c r="K28" s="18" t="n">
        <v>0.59840567</v>
      </c>
      <c r="L28" s="20" t="n">
        <v>0.32075067</v>
      </c>
      <c r="M28" s="18" t="n">
        <v>0</v>
      </c>
      <c r="N28" s="20" t="n">
        <v>0</v>
      </c>
      <c r="O28" s="18" t="n">
        <v>0</v>
      </c>
      <c r="P28" s="20" t="n">
        <v>0</v>
      </c>
      <c r="Q28" s="18" t="n">
        <v>1.0417907</v>
      </c>
      <c r="R28" s="20" t="n">
        <v>0.47451844</v>
      </c>
    </row>
    <row r="29" spans="1:18">
      <c r="A29" s="15" t="s">
        <v>589</v>
      </c>
      <c r="B29" s="17" t="n">
        <v>2685</v>
      </c>
      <c r="C29" s="18">
        <f>(2100.0/B29*100)</f>
        <v/>
      </c>
      <c r="D29" s="19" t="n">
        <v>585</v>
      </c>
      <c r="E29" s="18" t="n">
        <v>46.82345691</v>
      </c>
      <c r="F29" s="20" t="n">
        <v>2.3985425</v>
      </c>
      <c r="G29" s="18" t="n">
        <v>52.82469806</v>
      </c>
      <c r="H29" s="20" t="n">
        <v>2.36574063</v>
      </c>
      <c r="I29" s="18" t="s">
        <v>567</v>
      </c>
      <c r="J29" s="20" t="s">
        <v>567</v>
      </c>
      <c r="K29" s="18" t="n">
        <v>0.35184504</v>
      </c>
      <c r="L29" s="20" t="n">
        <v>0.23804514</v>
      </c>
      <c r="M29" s="18" t="n">
        <v>0</v>
      </c>
      <c r="N29" s="20" t="n">
        <v>0</v>
      </c>
      <c r="O29" s="18" t="n">
        <v>0</v>
      </c>
      <c r="P29" s="20" t="n">
        <v>0</v>
      </c>
      <c r="Q29" s="18" t="n">
        <v>0</v>
      </c>
      <c r="R29" s="20" t="n">
        <v>0</v>
      </c>
    </row>
    <row r="30" spans="1:18">
      <c r="A30" s="15" t="s">
        <v>590</v>
      </c>
      <c r="B30" s="17" t="n">
        <v>2263</v>
      </c>
      <c r="C30" s="18">
        <f>(1784.0/B30*100)</f>
        <v/>
      </c>
      <c r="D30" s="19" t="n">
        <v>479</v>
      </c>
      <c r="E30" s="18" t="n">
        <v>44.0416324</v>
      </c>
      <c r="F30" s="20" t="n">
        <v>2.69303104</v>
      </c>
      <c r="G30" s="18" t="n">
        <v>53.13605713</v>
      </c>
      <c r="H30" s="20" t="n">
        <v>2.74571468</v>
      </c>
      <c r="I30" s="18" t="s">
        <v>567</v>
      </c>
      <c r="J30" s="20" t="s">
        <v>567</v>
      </c>
      <c r="K30" s="18" t="n">
        <v>0.23371245</v>
      </c>
      <c r="L30" s="20" t="n">
        <v>0.22969087</v>
      </c>
      <c r="M30" s="18" t="n">
        <v>0</v>
      </c>
      <c r="N30" s="20" t="n">
        <v>0</v>
      </c>
      <c r="O30" s="18" t="n">
        <v>0</v>
      </c>
      <c r="P30" s="20" t="n">
        <v>0</v>
      </c>
      <c r="Q30" s="18" t="n">
        <v>2.58859802</v>
      </c>
      <c r="R30" s="20" t="n">
        <v>0.82486491</v>
      </c>
    </row>
    <row r="31" spans="1:18">
      <c r="A31" s="15" t="s">
        <v>591</v>
      </c>
      <c r="B31" s="17" t="n">
        <v>2750</v>
      </c>
      <c r="C31" s="18">
        <f>(2176.0/B31*100)</f>
        <v/>
      </c>
      <c r="D31" s="19" t="n">
        <v>574</v>
      </c>
      <c r="E31" s="18" t="n">
        <v>65.14665334999999</v>
      </c>
      <c r="F31" s="20" t="n">
        <v>1.66148155</v>
      </c>
      <c r="G31" s="18" t="n">
        <v>33.70824431</v>
      </c>
      <c r="H31" s="20" t="n">
        <v>1.66191658</v>
      </c>
      <c r="I31" s="18" t="s">
        <v>567</v>
      </c>
      <c r="J31" s="20" t="s">
        <v>567</v>
      </c>
      <c r="K31" s="18" t="n">
        <v>0.63672968</v>
      </c>
      <c r="L31" s="20" t="n">
        <v>0.31253191</v>
      </c>
      <c r="M31" s="18" t="n">
        <v>0</v>
      </c>
      <c r="N31" s="20" t="n">
        <v>0</v>
      </c>
      <c r="O31" s="18" t="n">
        <v>0</v>
      </c>
      <c r="P31" s="20" t="n">
        <v>0</v>
      </c>
      <c r="Q31" s="18" t="n">
        <v>0.50837266</v>
      </c>
      <c r="R31" s="20" t="n">
        <v>0.31040594</v>
      </c>
    </row>
    <row r="32" spans="1:18">
      <c r="A32" s="15" t="s">
        <v>592</v>
      </c>
      <c r="B32" s="17" t="n">
        <v>2269</v>
      </c>
      <c r="C32" s="18">
        <f>(1805.0/B32*100)</f>
        <v/>
      </c>
      <c r="D32" s="19" t="n">
        <v>464</v>
      </c>
      <c r="E32" s="18" t="n">
        <v>76.77541773999999</v>
      </c>
      <c r="F32" s="20" t="n">
        <v>1.96051267</v>
      </c>
      <c r="G32" s="18" t="n">
        <v>22.85700435</v>
      </c>
      <c r="H32" s="20" t="n">
        <v>1.95106432</v>
      </c>
      <c r="I32" s="18" t="s">
        <v>567</v>
      </c>
      <c r="J32" s="20" t="s">
        <v>567</v>
      </c>
      <c r="K32" s="18" t="n">
        <v>0.18378895</v>
      </c>
      <c r="L32" s="20" t="n">
        <v>0.18298919</v>
      </c>
      <c r="M32" s="18" t="n">
        <v>0</v>
      </c>
      <c r="N32" s="20" t="n">
        <v>0</v>
      </c>
      <c r="O32" s="18" t="n">
        <v>0</v>
      </c>
      <c r="P32" s="20" t="n">
        <v>0</v>
      </c>
      <c r="Q32" s="18" t="n">
        <v>0.18378895</v>
      </c>
      <c r="R32" s="20" t="n">
        <v>0.18298919</v>
      </c>
    </row>
    <row r="33" spans="1:18">
      <c r="A33" s="15" t="s">
        <v>593</v>
      </c>
      <c r="B33" s="17" t="n">
        <v>3674</v>
      </c>
      <c r="C33" s="18">
        <f>(2871.0/B33*100)</f>
        <v/>
      </c>
      <c r="D33" s="19" t="n">
        <v>803</v>
      </c>
      <c r="E33" s="18" t="n">
        <v>54.34206202</v>
      </c>
      <c r="F33" s="20" t="n">
        <v>2.6880441</v>
      </c>
      <c r="G33" s="18" t="n">
        <v>44.90945683</v>
      </c>
      <c r="H33" s="20" t="n">
        <v>2.67095264</v>
      </c>
      <c r="I33" s="18" t="s">
        <v>567</v>
      </c>
      <c r="J33" s="20" t="s">
        <v>567</v>
      </c>
      <c r="K33" s="18" t="n">
        <v>0.01129179</v>
      </c>
      <c r="L33" s="20" t="n">
        <v>0.01120862</v>
      </c>
      <c r="M33" s="18" t="n">
        <v>0</v>
      </c>
      <c r="N33" s="20" t="n">
        <v>0</v>
      </c>
      <c r="O33" s="18" t="n">
        <v>0</v>
      </c>
      <c r="P33" s="20" t="n">
        <v>0</v>
      </c>
      <c r="Q33" s="18" t="n">
        <v>0.73718936</v>
      </c>
      <c r="R33" s="20" t="n">
        <v>0.30182063</v>
      </c>
    </row>
    <row r="34" spans="1:18">
      <c r="A34" s="15" t="s">
        <v>594</v>
      </c>
      <c r="B34" s="17" t="n">
        <v>3315</v>
      </c>
      <c r="C34" s="18">
        <f>(2594.0/B34*100)</f>
        <v/>
      </c>
      <c r="D34" s="19" t="n">
        <v>721</v>
      </c>
      <c r="E34" s="18" t="n">
        <v>83.54400127</v>
      </c>
      <c r="F34" s="20" t="n">
        <v>1.53287731</v>
      </c>
      <c r="G34" s="18" t="n">
        <v>14.58179608</v>
      </c>
      <c r="H34" s="20" t="n">
        <v>1.47072399</v>
      </c>
      <c r="I34" s="18" t="s">
        <v>567</v>
      </c>
      <c r="J34" s="20" t="s">
        <v>567</v>
      </c>
      <c r="K34" s="18" t="n">
        <v>0.13021632</v>
      </c>
      <c r="L34" s="20" t="n">
        <v>0.13104146</v>
      </c>
      <c r="M34" s="18" t="n">
        <v>0</v>
      </c>
      <c r="N34" s="20" t="n">
        <v>0</v>
      </c>
      <c r="O34" s="18" t="n">
        <v>0</v>
      </c>
      <c r="P34" s="20" t="n">
        <v>0</v>
      </c>
      <c r="Q34" s="18" t="n">
        <v>1.74398634</v>
      </c>
      <c r="R34" s="20" t="n">
        <v>0.58285365</v>
      </c>
    </row>
    <row r="35" spans="1:18">
      <c r="A35" s="15" t="s">
        <v>595</v>
      </c>
      <c r="B35" s="17" t="n">
        <v>3505</v>
      </c>
      <c r="C35" s="18">
        <f>(2715.0/B35*100)</f>
        <v/>
      </c>
      <c r="D35" s="19" t="n">
        <v>790</v>
      </c>
      <c r="E35" s="18" t="n">
        <v>70.97845504</v>
      </c>
      <c r="F35" s="20" t="n">
        <v>2.23516462</v>
      </c>
      <c r="G35" s="18" t="n">
        <v>28.28491291</v>
      </c>
      <c r="H35" s="20" t="n">
        <v>2.23040528</v>
      </c>
      <c r="I35" s="18" t="s">
        <v>567</v>
      </c>
      <c r="J35" s="20" t="s">
        <v>567</v>
      </c>
      <c r="K35" s="18" t="n">
        <v>0.06356384</v>
      </c>
      <c r="L35" s="20" t="n">
        <v>0.06372535999999999</v>
      </c>
      <c r="M35" s="18" t="n">
        <v>0</v>
      </c>
      <c r="N35" s="20" t="n">
        <v>0</v>
      </c>
      <c r="O35" s="18" t="n">
        <v>0</v>
      </c>
      <c r="P35" s="20" t="n">
        <v>0</v>
      </c>
      <c r="Q35" s="18" t="n">
        <v>0.6730682099999999</v>
      </c>
      <c r="R35" s="20" t="n">
        <v>0.35734333</v>
      </c>
    </row>
    <row r="36" spans="1:18">
      <c r="A36" s="15" t="s">
        <v>596</v>
      </c>
      <c r="B36" s="17" t="n">
        <v>3332</v>
      </c>
      <c r="C36" s="18">
        <f>(2618.0/B36*100)</f>
        <v/>
      </c>
      <c r="D36" s="19" t="n">
        <v>714</v>
      </c>
      <c r="E36" s="18" t="n">
        <v>53.20720066</v>
      </c>
      <c r="F36" s="20" t="n">
        <v>2.04946088</v>
      </c>
      <c r="G36" s="18" t="n">
        <v>44.86401751</v>
      </c>
      <c r="H36" s="20" t="n">
        <v>2.09376791</v>
      </c>
      <c r="I36" s="18" t="s">
        <v>567</v>
      </c>
      <c r="J36" s="20" t="s">
        <v>567</v>
      </c>
      <c r="K36" s="18" t="n">
        <v>0.39302619</v>
      </c>
      <c r="L36" s="20" t="n">
        <v>0.29532485</v>
      </c>
      <c r="M36" s="18" t="n">
        <v>0</v>
      </c>
      <c r="N36" s="20" t="n">
        <v>0</v>
      </c>
      <c r="O36" s="18" t="n">
        <v>0</v>
      </c>
      <c r="P36" s="20" t="n">
        <v>0</v>
      </c>
      <c r="Q36" s="18" t="n">
        <v>1.53575563</v>
      </c>
      <c r="R36" s="20" t="n">
        <v>0.41273688</v>
      </c>
    </row>
    <row r="37" spans="1:18">
      <c r="A37" s="15" t="s">
        <v>597</v>
      </c>
      <c r="B37" s="17" t="n">
        <v>2727</v>
      </c>
      <c r="C37" s="18">
        <f>(2123.0/B37*100)</f>
        <v/>
      </c>
      <c r="D37" s="19" t="n">
        <v>604</v>
      </c>
      <c r="E37" s="18" t="n">
        <v>58.50137798</v>
      </c>
      <c r="F37" s="20" t="n">
        <v>1.81454898</v>
      </c>
      <c r="G37" s="18" t="n">
        <v>39.10205892</v>
      </c>
      <c r="H37" s="20" t="n">
        <v>1.75510031</v>
      </c>
      <c r="I37" s="18" t="s">
        <v>567</v>
      </c>
      <c r="J37" s="20" t="s">
        <v>567</v>
      </c>
      <c r="K37" s="18" t="n">
        <v>0.69644394</v>
      </c>
      <c r="L37" s="20" t="n">
        <v>0.33501221</v>
      </c>
      <c r="M37" s="18" t="n">
        <v>0</v>
      </c>
      <c r="N37" s="20" t="n">
        <v>0</v>
      </c>
      <c r="O37" s="18" t="n">
        <v>0</v>
      </c>
      <c r="P37" s="20" t="n">
        <v>0</v>
      </c>
      <c r="Q37" s="18" t="n">
        <v>1.70011915</v>
      </c>
      <c r="R37" s="20" t="n">
        <v>0.52692227</v>
      </c>
    </row>
    <row r="38" spans="1:18">
      <c r="A38" s="15" t="s">
        <v>598</v>
      </c>
      <c r="B38" s="17" t="n">
        <v>3053</v>
      </c>
      <c r="C38" s="18">
        <f>(2331.0/B38*100)</f>
        <v/>
      </c>
      <c r="D38" s="19" t="n">
        <v>722</v>
      </c>
      <c r="E38" s="18" t="n">
        <v>61.5710359</v>
      </c>
      <c r="F38" s="20" t="n">
        <v>2.24928542</v>
      </c>
      <c r="G38" s="18" t="n">
        <v>37.03046013</v>
      </c>
      <c r="H38" s="20" t="n">
        <v>2.23931506</v>
      </c>
      <c r="I38" s="18" t="s">
        <v>567</v>
      </c>
      <c r="J38" s="20" t="s">
        <v>567</v>
      </c>
      <c r="K38" s="18" t="n">
        <v>0.24754163</v>
      </c>
      <c r="L38" s="20" t="n">
        <v>0.17814409</v>
      </c>
      <c r="M38" s="18" t="n">
        <v>0</v>
      </c>
      <c r="N38" s="20" t="n">
        <v>0</v>
      </c>
      <c r="O38" s="18" t="n">
        <v>0</v>
      </c>
      <c r="P38" s="20" t="n">
        <v>0</v>
      </c>
      <c r="Q38" s="18" t="n">
        <v>1.15096234</v>
      </c>
      <c r="R38" s="20" t="n">
        <v>0.37548756</v>
      </c>
    </row>
    <row r="39" spans="1:18">
      <c r="A39" s="15" t="s">
        <v>599</v>
      </c>
      <c r="B39" s="17" t="n">
        <v>2957</v>
      </c>
      <c r="C39" s="18">
        <f>(2312.0/B39*100)</f>
        <v/>
      </c>
      <c r="D39" s="19" t="n">
        <v>645</v>
      </c>
      <c r="E39" s="18" t="n">
        <v>73.81991988</v>
      </c>
      <c r="F39" s="20" t="n">
        <v>2.34964876</v>
      </c>
      <c r="G39" s="18" t="n">
        <v>24.92000616</v>
      </c>
      <c r="H39" s="20" t="n">
        <v>2.39807742</v>
      </c>
      <c r="I39" s="18" t="s">
        <v>567</v>
      </c>
      <c r="J39" s="20" t="s">
        <v>567</v>
      </c>
      <c r="K39" s="18" t="n">
        <v>0.19820878</v>
      </c>
      <c r="L39" s="20" t="n">
        <v>0.19783157</v>
      </c>
      <c r="M39" s="18" t="n">
        <v>0</v>
      </c>
      <c r="N39" s="20" t="n">
        <v>0</v>
      </c>
      <c r="O39" s="18" t="n">
        <v>0</v>
      </c>
      <c r="P39" s="20" t="n">
        <v>0</v>
      </c>
      <c r="Q39" s="18" t="n">
        <v>1.06186517</v>
      </c>
      <c r="R39" s="20" t="n">
        <v>0.4228026</v>
      </c>
    </row>
    <row r="40" spans="1:18">
      <c r="A40" s="15" t="s">
        <v>600</v>
      </c>
      <c r="B40" s="17" t="n">
        <v>7235</v>
      </c>
      <c r="C40" s="18">
        <f>(5586.0/B40*100)</f>
        <v/>
      </c>
      <c r="D40" s="19" t="n">
        <v>1649</v>
      </c>
      <c r="E40" s="18" t="n">
        <v>45.81104963</v>
      </c>
      <c r="F40" s="20" t="n">
        <v>2.07385261</v>
      </c>
      <c r="G40" s="18" t="n">
        <v>53.52725524</v>
      </c>
      <c r="H40" s="20" t="n">
        <v>2.08886293</v>
      </c>
      <c r="I40" s="18" t="s">
        <v>567</v>
      </c>
      <c r="J40" s="20" t="s">
        <v>567</v>
      </c>
      <c r="K40" s="18" t="n">
        <v>0.15473353</v>
      </c>
      <c r="L40" s="20" t="n">
        <v>0.09032308999999999</v>
      </c>
      <c r="M40" s="18" t="n">
        <v>0</v>
      </c>
      <c r="N40" s="20" t="n">
        <v>0</v>
      </c>
      <c r="O40" s="18" t="n">
        <v>0</v>
      </c>
      <c r="P40" s="20" t="n">
        <v>0</v>
      </c>
      <c r="Q40" s="18" t="n">
        <v>0.50696161</v>
      </c>
      <c r="R40" s="20" t="n">
        <v>0.27327636</v>
      </c>
    </row>
    <row r="41" spans="1:18">
      <c r="A41" s="15" t="s">
        <v>601</v>
      </c>
      <c r="B41" s="17" t="n">
        <v>2858</v>
      </c>
      <c r="C41" s="18">
        <f>(2252.0/B41*100)</f>
        <v/>
      </c>
      <c r="D41" s="19" t="n">
        <v>606</v>
      </c>
      <c r="E41" s="18" t="n">
        <v>67.33569158</v>
      </c>
      <c r="F41" s="20" t="n">
        <v>1.88231259</v>
      </c>
      <c r="G41" s="18" t="n">
        <v>31.61930807</v>
      </c>
      <c r="H41" s="20" t="n">
        <v>1.84350343</v>
      </c>
      <c r="I41" s="18" t="s">
        <v>567</v>
      </c>
      <c r="J41" s="20" t="s">
        <v>567</v>
      </c>
      <c r="K41" s="18" t="n">
        <v>0.22546287</v>
      </c>
      <c r="L41" s="20" t="n">
        <v>0.18340643</v>
      </c>
      <c r="M41" s="18" t="n">
        <v>0</v>
      </c>
      <c r="N41" s="20" t="n">
        <v>0</v>
      </c>
      <c r="O41" s="18" t="n">
        <v>0</v>
      </c>
      <c r="P41" s="20" t="n">
        <v>0</v>
      </c>
      <c r="Q41" s="18" t="n">
        <v>0.81953749</v>
      </c>
      <c r="R41" s="20" t="n">
        <v>0.33423521</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(9032.0/B46*100)</f>
        <v/>
      </c>
      <c r="D46" s="19" t="n">
        <v>2036</v>
      </c>
      <c r="E46" s="18" t="n">
        <v>66.41965412</v>
      </c>
      <c r="F46" s="20" t="n">
        <v>1.1745833</v>
      </c>
      <c r="G46" s="18" t="n">
        <v>30.60145084</v>
      </c>
      <c r="H46" s="20" t="n">
        <v>1.16819951</v>
      </c>
      <c r="I46" s="18" t="s">
        <v>567</v>
      </c>
      <c r="J46" s="20" t="s">
        <v>567</v>
      </c>
      <c r="K46" s="18" t="n">
        <v>1.24388342</v>
      </c>
      <c r="L46" s="20" t="n">
        <v>0.34067798</v>
      </c>
      <c r="M46" s="18" t="n">
        <v>0</v>
      </c>
      <c r="N46" s="20" t="n">
        <v>0</v>
      </c>
      <c r="O46" s="18" t="n">
        <v>0</v>
      </c>
      <c r="P46" s="20" t="n">
        <v>0</v>
      </c>
      <c r="Q46" s="18" t="n">
        <v>1.73501162</v>
      </c>
      <c r="R46" s="20" t="n">
        <v>0.36120943</v>
      </c>
    </row>
    <row r="47" spans="1:18">
      <c r="A47" s="15" t="s">
        <v>607</v>
      </c>
      <c r="B47" s="17" t="n">
        <v>3105</v>
      </c>
      <c r="C47" s="18">
        <f>(2445.0/B47*100)</f>
        <v/>
      </c>
      <c r="D47" s="19" t="n">
        <v>660</v>
      </c>
      <c r="E47" s="18" t="n">
        <v>75.63434972</v>
      </c>
      <c r="F47" s="20" t="n">
        <v>2.36670888</v>
      </c>
      <c r="G47" s="18" t="n">
        <v>23.16851507</v>
      </c>
      <c r="H47" s="20" t="n">
        <v>2.39161338</v>
      </c>
      <c r="I47" s="18" t="s">
        <v>567</v>
      </c>
      <c r="J47" s="20" t="s">
        <v>567</v>
      </c>
      <c r="K47" s="18" t="n">
        <v>0.58787648</v>
      </c>
      <c r="L47" s="20" t="n">
        <v>0.30075519</v>
      </c>
      <c r="M47" s="18" t="n">
        <v>0</v>
      </c>
      <c r="N47" s="20" t="n">
        <v>0</v>
      </c>
      <c r="O47" s="18" t="n">
        <v>0</v>
      </c>
      <c r="P47" s="20" t="n">
        <v>0</v>
      </c>
      <c r="Q47" s="18" t="n">
        <v>0.60925872</v>
      </c>
      <c r="R47" s="20" t="n">
        <v>0.39213284</v>
      </c>
    </row>
    <row r="48" spans="1:18">
      <c r="A48" s="15" t="s">
        <v>608</v>
      </c>
      <c r="B48" s="17" t="n">
        <v>5159</v>
      </c>
      <c r="C48" s="18">
        <f>(4013.0/B48*100)</f>
        <v/>
      </c>
      <c r="D48" s="19" t="n">
        <v>1146</v>
      </c>
      <c r="E48" s="18" t="n">
        <v>38.71099707</v>
      </c>
      <c r="F48" s="20" t="n">
        <v>2.30134487</v>
      </c>
      <c r="G48" s="18" t="n">
        <v>59.77517945</v>
      </c>
      <c r="H48" s="20" t="n">
        <v>2.21258232</v>
      </c>
      <c r="I48" s="18" t="s">
        <v>567</v>
      </c>
      <c r="J48" s="20" t="s">
        <v>567</v>
      </c>
      <c r="K48" s="18" t="n">
        <v>0.43261357</v>
      </c>
      <c r="L48" s="20" t="n">
        <v>0.11013795</v>
      </c>
      <c r="M48" s="18" t="n">
        <v>0</v>
      </c>
      <c r="N48" s="20" t="n">
        <v>0</v>
      </c>
      <c r="O48" s="18" t="n">
        <v>0</v>
      </c>
      <c r="P48" s="20" t="n">
        <v>0</v>
      </c>
      <c r="Q48" s="18" t="n">
        <v>1.08120991</v>
      </c>
      <c r="R48" s="20" t="n">
        <v>0.51461625</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(4428.0/B50*100)</f>
        <v/>
      </c>
      <c r="D50" s="19" t="n">
        <v>1209</v>
      </c>
      <c r="E50" s="18" t="n">
        <v>71.35055183</v>
      </c>
      <c r="F50" s="20" t="n">
        <v>1.74564489</v>
      </c>
      <c r="G50" s="18" t="n">
        <v>26.22386123</v>
      </c>
      <c r="H50" s="20" t="n">
        <v>1.79797818</v>
      </c>
      <c r="I50" s="18" t="s">
        <v>567</v>
      </c>
      <c r="J50" s="20" t="s">
        <v>567</v>
      </c>
      <c r="K50" s="18" t="n">
        <v>1.11133533</v>
      </c>
      <c r="L50" s="20" t="n">
        <v>0.50507502</v>
      </c>
      <c r="M50" s="18" t="n">
        <v>0</v>
      </c>
      <c r="N50" s="20" t="n">
        <v>0</v>
      </c>
      <c r="O50" s="18" t="n">
        <v>0</v>
      </c>
      <c r="P50" s="20" t="n">
        <v>0</v>
      </c>
      <c r="Q50" s="18" t="n">
        <v>1.31425161</v>
      </c>
      <c r="R50" s="20" t="n">
        <v>0.41328461</v>
      </c>
    </row>
    <row r="51" spans="1:18">
      <c r="A51" s="15" t="s">
        <v>611</v>
      </c>
      <c r="B51" s="17" t="n">
        <v>3372</v>
      </c>
      <c r="C51" s="18">
        <f>(2747.0/B51*100)</f>
        <v/>
      </c>
      <c r="D51" s="19" t="n">
        <v>625</v>
      </c>
      <c r="E51" s="18" t="n">
        <v>59.9097954</v>
      </c>
      <c r="F51" s="20" t="n">
        <v>2.34739035</v>
      </c>
      <c r="G51" s="18" t="n">
        <v>38.68786567</v>
      </c>
      <c r="H51" s="20" t="n">
        <v>2.29437155</v>
      </c>
      <c r="I51" s="18" t="s">
        <v>567</v>
      </c>
      <c r="J51" s="20" t="s">
        <v>567</v>
      </c>
      <c r="K51" s="18" t="n">
        <v>0.81000733</v>
      </c>
      <c r="L51" s="20" t="n">
        <v>0.3815633</v>
      </c>
      <c r="M51" s="18" t="n">
        <v>0</v>
      </c>
      <c r="N51" s="20" t="n">
        <v>0</v>
      </c>
      <c r="O51" s="18" t="n">
        <v>0</v>
      </c>
      <c r="P51" s="20" t="n">
        <v>0</v>
      </c>
      <c r="Q51" s="18" t="n">
        <v>0.5923316</v>
      </c>
      <c r="R51" s="20" t="n">
        <v>0.31596894</v>
      </c>
    </row>
    <row r="52" spans="1:18">
      <c r="A52" s="15" t="s">
        <v>612</v>
      </c>
      <c r="B52" s="17" t="n">
        <v>2796</v>
      </c>
      <c r="C52" s="18">
        <f>(2178.0/B52*100)</f>
        <v/>
      </c>
      <c r="D52" s="19" t="n">
        <v>618</v>
      </c>
      <c r="E52" s="18" t="n">
        <v>79.71528661000001</v>
      </c>
      <c r="F52" s="20" t="n">
        <v>1.94768204</v>
      </c>
      <c r="G52" s="18" t="n">
        <v>18.99648224</v>
      </c>
      <c r="H52" s="20" t="n">
        <v>1.86551623</v>
      </c>
      <c r="I52" s="18" t="s">
        <v>567</v>
      </c>
      <c r="J52" s="20" t="s">
        <v>567</v>
      </c>
      <c r="K52" s="18" t="n">
        <v>0.16542698</v>
      </c>
      <c r="L52" s="20" t="n">
        <v>0.16214075</v>
      </c>
      <c r="M52" s="18" t="n">
        <v>0</v>
      </c>
      <c r="N52" s="20" t="n">
        <v>0</v>
      </c>
      <c r="O52" s="18" t="n">
        <v>0</v>
      </c>
      <c r="P52" s="20" t="n">
        <v>0</v>
      </c>
      <c r="Q52" s="18" t="n">
        <v>1.12280417</v>
      </c>
      <c r="R52" s="20" t="n">
        <v>0.43083835</v>
      </c>
    </row>
    <row r="53" spans="1:18">
      <c r="A53" s="15" t="s">
        <v>613</v>
      </c>
      <c r="B53" s="17" t="n">
        <v>2811</v>
      </c>
      <c r="C53" s="18">
        <f>(2184.0/B53*100)</f>
        <v/>
      </c>
      <c r="D53" s="19" t="n">
        <v>627</v>
      </c>
      <c r="E53" s="18" t="n">
        <v>76.14389339</v>
      </c>
      <c r="F53" s="20" t="n">
        <v>1.59876782</v>
      </c>
      <c r="G53" s="18" t="n">
        <v>20.56433803</v>
      </c>
      <c r="H53" s="20" t="n">
        <v>1.61271487</v>
      </c>
      <c r="I53" s="18" t="s">
        <v>567</v>
      </c>
      <c r="J53" s="20" t="s">
        <v>567</v>
      </c>
      <c r="K53" s="18" t="n">
        <v>0.44571507</v>
      </c>
      <c r="L53" s="20" t="n">
        <v>0.27022844</v>
      </c>
      <c r="M53" s="18" t="n">
        <v>0</v>
      </c>
      <c r="N53" s="20" t="n">
        <v>0</v>
      </c>
      <c r="O53" s="18" t="n">
        <v>0</v>
      </c>
      <c r="P53" s="20" t="n">
        <v>0</v>
      </c>
      <c r="Q53" s="18" t="n">
        <v>2.84605352</v>
      </c>
      <c r="R53" s="20" t="n">
        <v>0.73286929</v>
      </c>
    </row>
    <row r="54" spans="1:18">
      <c r="A54" s="15" t="s">
        <v>614</v>
      </c>
      <c r="B54" s="17" t="n">
        <v>2266</v>
      </c>
      <c r="C54" s="18">
        <f>(1789.0/B54*100)</f>
        <v/>
      </c>
      <c r="D54" s="19" t="n">
        <v>477</v>
      </c>
      <c r="E54" s="18" t="n">
        <v>69.42364035</v>
      </c>
      <c r="F54" s="20" t="n">
        <v>2.52026778</v>
      </c>
      <c r="G54" s="18" t="n">
        <v>16.12563915</v>
      </c>
      <c r="H54" s="20" t="n">
        <v>1.79412707</v>
      </c>
      <c r="I54" s="18" t="s">
        <v>567</v>
      </c>
      <c r="J54" s="20" t="s">
        <v>567</v>
      </c>
      <c r="K54" s="18" t="n">
        <v>10.74845377</v>
      </c>
      <c r="L54" s="20" t="n">
        <v>1.53038121</v>
      </c>
      <c r="M54" s="18" t="n">
        <v>0</v>
      </c>
      <c r="N54" s="20" t="n">
        <v>0</v>
      </c>
      <c r="O54" s="18" t="n">
        <v>0</v>
      </c>
      <c r="P54" s="20" t="n">
        <v>0</v>
      </c>
      <c r="Q54" s="18" t="n">
        <v>3.70226673</v>
      </c>
      <c r="R54" s="20" t="n">
        <v>1.08500033</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(2089.0/B56*100)</f>
        <v/>
      </c>
      <c r="D56" s="19" t="n">
        <v>595</v>
      </c>
      <c r="E56" s="18" t="n">
        <v>46.3033693</v>
      </c>
      <c r="F56" s="20" t="n">
        <v>2.09509552</v>
      </c>
      <c r="G56" s="18" t="n">
        <v>52.8509176</v>
      </c>
      <c r="H56" s="20" t="n">
        <v>2.13605508</v>
      </c>
      <c r="I56" s="18" t="s">
        <v>567</v>
      </c>
      <c r="J56" s="20" t="s">
        <v>567</v>
      </c>
      <c r="K56" s="18" t="n">
        <v>0.44520351</v>
      </c>
      <c r="L56" s="20" t="n">
        <v>0.35743995</v>
      </c>
      <c r="M56" s="18" t="n">
        <v>0</v>
      </c>
      <c r="N56" s="20" t="n">
        <v>0</v>
      </c>
      <c r="O56" s="18" t="n">
        <v>0</v>
      </c>
      <c r="P56" s="20" t="n">
        <v>0</v>
      </c>
      <c r="Q56" s="18" t="n">
        <v>0.40050959</v>
      </c>
      <c r="R56" s="20" t="n">
        <v>0.24643402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(2601.0/B61*100)</f>
        <v/>
      </c>
      <c r="D61" s="19" t="n">
        <v>723</v>
      </c>
      <c r="E61" s="18" t="n">
        <v>58.50409875</v>
      </c>
      <c r="F61" s="20" t="n">
        <v>1.93224028</v>
      </c>
      <c r="G61" s="18" t="n">
        <v>40.41994931</v>
      </c>
      <c r="H61" s="20" t="n">
        <v>1.96825665</v>
      </c>
      <c r="I61" s="18" t="s">
        <v>567</v>
      </c>
      <c r="J61" s="20" t="s">
        <v>567</v>
      </c>
      <c r="K61" s="18" t="n">
        <v>0.0448711</v>
      </c>
      <c r="L61" s="20" t="n">
        <v>0.04498736</v>
      </c>
      <c r="M61" s="18" t="n">
        <v>0</v>
      </c>
      <c r="N61" s="20" t="n">
        <v>0</v>
      </c>
      <c r="O61" s="18" t="n">
        <v>0</v>
      </c>
      <c r="P61" s="20" t="n">
        <v>0</v>
      </c>
      <c r="Q61" s="18" t="n">
        <v>1.03108083</v>
      </c>
      <c r="R61" s="20" t="n">
        <v>0.38025535</v>
      </c>
    </row>
    <row r="62" spans="1:18">
      <c r="A62" s="15" t="s">
        <v>622</v>
      </c>
      <c r="B62" s="17" t="n">
        <v>2246</v>
      </c>
      <c r="C62" s="18">
        <f>(1736.0/B62*100)</f>
        <v/>
      </c>
      <c r="D62" s="19" t="n">
        <v>510</v>
      </c>
      <c r="E62" s="18" t="n">
        <v>52.53483835</v>
      </c>
      <c r="F62" s="20" t="n">
        <v>1.98630536</v>
      </c>
      <c r="G62" s="18" t="n">
        <v>47.46516165</v>
      </c>
      <c r="H62" s="20" t="n">
        <v>1.98630536</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(2314.0/B66*100)</f>
        <v/>
      </c>
      <c r="D66" s="19" t="n">
        <v>580</v>
      </c>
      <c r="E66" s="18" t="n">
        <v>86.7014861</v>
      </c>
      <c r="F66" s="20" t="n">
        <v>1.31879146</v>
      </c>
      <c r="G66" s="18" t="n">
        <v>9.50311847</v>
      </c>
      <c r="H66" s="20" t="n">
        <v>1.11654079</v>
      </c>
      <c r="I66" s="18" t="s">
        <v>567</v>
      </c>
      <c r="J66" s="20" t="s">
        <v>567</v>
      </c>
      <c r="K66" s="18" t="n">
        <v>0.40025827</v>
      </c>
      <c r="L66" s="20" t="n">
        <v>0.28427717</v>
      </c>
      <c r="M66" s="18" t="n">
        <v>0</v>
      </c>
      <c r="N66" s="20" t="n">
        <v>0</v>
      </c>
      <c r="O66" s="18" t="n">
        <v>0</v>
      </c>
      <c r="P66" s="20" t="n">
        <v>0</v>
      </c>
      <c r="Q66" s="18" t="n">
        <v>3.39513717</v>
      </c>
      <c r="R66" s="20" t="n">
        <v>0.8594659100000001</v>
      </c>
    </row>
    <row r="67" spans="1:18">
      <c r="A67" s="15" t="s">
        <v>627</v>
      </c>
      <c r="B67" s="17" t="n">
        <v>3511</v>
      </c>
      <c r="C67" s="18">
        <f>(2801.0/B67*100)</f>
        <v/>
      </c>
      <c r="D67" s="19" t="n">
        <v>710</v>
      </c>
      <c r="E67" s="18" t="n">
        <v>71.06662491</v>
      </c>
      <c r="F67" s="20" t="n">
        <v>1.59913827</v>
      </c>
      <c r="G67" s="18" t="n">
        <v>26.81764799</v>
      </c>
      <c r="H67" s="20" t="n">
        <v>1.58428733</v>
      </c>
      <c r="I67" s="18" t="s">
        <v>567</v>
      </c>
      <c r="J67" s="20" t="s">
        <v>567</v>
      </c>
      <c r="K67" s="18" t="n">
        <v>0.50597482</v>
      </c>
      <c r="L67" s="20" t="n">
        <v>0.39881279</v>
      </c>
      <c r="M67" s="18" t="n">
        <v>0</v>
      </c>
      <c r="N67" s="20" t="n">
        <v>0</v>
      </c>
      <c r="O67" s="18" t="n">
        <v>0</v>
      </c>
      <c r="P67" s="20" t="n">
        <v>0</v>
      </c>
      <c r="Q67" s="18" t="n">
        <v>1.60975229</v>
      </c>
      <c r="R67" s="20" t="n">
        <v>0.57569617</v>
      </c>
    </row>
    <row r="68" spans="1:18">
      <c r="A68" s="15" t="s">
        <v>628</v>
      </c>
      <c r="B68" s="17" t="n">
        <v>6049</v>
      </c>
      <c r="C68" s="18">
        <f>(4689.0/B68*100)</f>
        <v/>
      </c>
      <c r="D68" s="19" t="n">
        <v>1360</v>
      </c>
      <c r="E68" s="18" t="n">
        <v>70.42932829999999</v>
      </c>
      <c r="F68" s="20" t="n">
        <v>1.06463106</v>
      </c>
      <c r="G68" s="18" t="n">
        <v>24.39428143</v>
      </c>
      <c r="H68" s="20" t="n">
        <v>1.17755869</v>
      </c>
      <c r="I68" s="18" t="s">
        <v>567</v>
      </c>
      <c r="J68" s="20" t="s">
        <v>567</v>
      </c>
      <c r="K68" s="18" t="n">
        <v>2.8479771</v>
      </c>
      <c r="L68" s="20" t="n">
        <v>0.39692829</v>
      </c>
      <c r="M68" s="18" t="n">
        <v>0</v>
      </c>
      <c r="N68" s="20" t="n">
        <v>0</v>
      </c>
      <c r="O68" s="18" t="n">
        <v>0</v>
      </c>
      <c r="P68" s="20" t="n">
        <v>0</v>
      </c>
      <c r="Q68" s="18" t="n">
        <v>2.32841317</v>
      </c>
      <c r="R68" s="20" t="n">
        <v>0.44958721</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(2304.0/B70*100)</f>
        <v/>
      </c>
      <c r="D70" s="19" t="n">
        <v>625</v>
      </c>
      <c r="E70" s="18" t="n">
        <v>60.63057276</v>
      </c>
      <c r="F70" s="20" t="n">
        <v>2.76125583</v>
      </c>
      <c r="G70" s="18" t="n">
        <v>38.97321028</v>
      </c>
      <c r="H70" s="20" t="n">
        <v>2.75800416</v>
      </c>
      <c r="I70" s="18" t="s">
        <v>567</v>
      </c>
      <c r="J70" s="20" t="s">
        <v>567</v>
      </c>
      <c r="K70" s="18" t="n">
        <v>0.14436245</v>
      </c>
      <c r="L70" s="20" t="n">
        <v>0.14279362</v>
      </c>
      <c r="M70" s="18" t="n">
        <v>0</v>
      </c>
      <c r="N70" s="20" t="n">
        <v>0</v>
      </c>
      <c r="O70" s="18" t="n">
        <v>0</v>
      </c>
      <c r="P70" s="20" t="n">
        <v>0</v>
      </c>
      <c r="Q70" s="18" t="n">
        <v>0.25185451</v>
      </c>
      <c r="R70" s="20" t="n">
        <v>0.18148234</v>
      </c>
    </row>
    <row r="71" spans="1:18">
      <c r="A71" s="15" t="s">
        <v>631</v>
      </c>
      <c r="B71" s="17" t="n">
        <v>3142</v>
      </c>
      <c r="C71" s="18">
        <f>(2462.0/B71*100)</f>
        <v/>
      </c>
      <c r="D71" s="19" t="n">
        <v>680</v>
      </c>
      <c r="E71" s="18" t="n">
        <v>44.408885</v>
      </c>
      <c r="F71" s="20" t="n">
        <v>1.73695153</v>
      </c>
      <c r="G71" s="18" t="n">
        <v>54.77066172</v>
      </c>
      <c r="H71" s="20" t="n">
        <v>1.79166356</v>
      </c>
      <c r="I71" s="18" t="s">
        <v>567</v>
      </c>
      <c r="J71" s="20" t="s">
        <v>567</v>
      </c>
      <c r="K71" s="18" t="n">
        <v>0.29217583</v>
      </c>
      <c r="L71" s="20" t="n">
        <v>0.20746555</v>
      </c>
      <c r="M71" s="18" t="n">
        <v>0</v>
      </c>
      <c r="N71" s="20" t="n">
        <v>0</v>
      </c>
      <c r="O71" s="18" t="n">
        <v>0</v>
      </c>
      <c r="P71" s="20" t="n">
        <v>0</v>
      </c>
      <c r="Q71" s="18" t="n">
        <v>0.52827746</v>
      </c>
      <c r="R71" s="20" t="n">
        <v>0.2710272</v>
      </c>
    </row>
    <row r="72" spans="1:18">
      <c r="A72" s="15" t="s">
        <v>632</v>
      </c>
      <c r="B72" s="17" t="n">
        <v>3889</v>
      </c>
      <c r="C72" s="18">
        <f>(3054.0/B72*100)</f>
        <v/>
      </c>
      <c r="D72" s="19" t="n">
        <v>835</v>
      </c>
      <c r="E72" s="18" t="n">
        <v>30.38700018</v>
      </c>
      <c r="F72" s="20" t="n">
        <v>1.99358081</v>
      </c>
      <c r="G72" s="18" t="n">
        <v>68.94763</v>
      </c>
      <c r="H72" s="20" t="n">
        <v>2.00498152</v>
      </c>
      <c r="I72" s="18" t="s">
        <v>567</v>
      </c>
      <c r="J72" s="20" t="s">
        <v>567</v>
      </c>
      <c r="K72" s="18" t="n">
        <v>0.22349957</v>
      </c>
      <c r="L72" s="20" t="n">
        <v>0.17098983</v>
      </c>
      <c r="M72" s="18" t="n">
        <v>0</v>
      </c>
      <c r="N72" s="20" t="n">
        <v>0</v>
      </c>
      <c r="O72" s="18" t="n">
        <v>0</v>
      </c>
      <c r="P72" s="20" t="n">
        <v>0</v>
      </c>
      <c r="Q72" s="18" t="n">
        <v>0.44187025</v>
      </c>
      <c r="R72" s="20" t="n">
        <v>0.13577761</v>
      </c>
    </row>
    <row r="73" spans="1:18">
      <c r="A73" s="15" t="s">
        <v>633</v>
      </c>
      <c r="B73" s="17" t="n">
        <v>3597</v>
      </c>
      <c r="C73" s="18">
        <f>(2807.0/B73*100)</f>
        <v/>
      </c>
      <c r="D73" s="19" t="n">
        <v>790</v>
      </c>
      <c r="E73" s="18" t="n">
        <v>74.87221484</v>
      </c>
      <c r="F73" s="20" t="n">
        <v>1.99945493</v>
      </c>
      <c r="G73" s="18" t="n">
        <v>24.2410868</v>
      </c>
      <c r="H73" s="20" t="n">
        <v>2.01555985</v>
      </c>
      <c r="I73" s="18" t="s">
        <v>567</v>
      </c>
      <c r="J73" s="20" t="s">
        <v>567</v>
      </c>
      <c r="K73" s="18" t="n">
        <v>0.17749595</v>
      </c>
      <c r="L73" s="20" t="n">
        <v>0.12957304</v>
      </c>
      <c r="M73" s="18" t="n">
        <v>0</v>
      </c>
      <c r="N73" s="20" t="n">
        <v>0</v>
      </c>
      <c r="O73" s="18" t="n">
        <v>0</v>
      </c>
      <c r="P73" s="20" t="n">
        <v>0</v>
      </c>
      <c r="Q73" s="18" t="n">
        <v>0.7092024099999999</v>
      </c>
      <c r="R73" s="20" t="n">
        <v>0.33889443</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(1924.0/B75*100)</f>
        <v/>
      </c>
      <c r="D75" s="19" t="n">
        <v>482</v>
      </c>
      <c r="E75" s="18" t="n">
        <v>87.30800804</v>
      </c>
      <c r="F75" s="20" t="n">
        <v>1.6248429</v>
      </c>
      <c r="G75" s="18" t="n">
        <v>9.3282784</v>
      </c>
      <c r="H75" s="20" t="n">
        <v>1.29334884</v>
      </c>
      <c r="I75" s="18" t="s">
        <v>567</v>
      </c>
      <c r="J75" s="20" t="s">
        <v>567</v>
      </c>
      <c r="K75" s="18" t="n">
        <v>1.80094554</v>
      </c>
      <c r="L75" s="20" t="n">
        <v>0.64172444</v>
      </c>
      <c r="M75" s="18" t="n">
        <v>0</v>
      </c>
      <c r="N75" s="20" t="n">
        <v>0</v>
      </c>
      <c r="O75" s="18" t="n">
        <v>0</v>
      </c>
      <c r="P75" s="20" t="n">
        <v>0</v>
      </c>
      <c r="Q75" s="18" t="n">
        <v>1.56276803</v>
      </c>
      <c r="R75" s="20" t="n">
        <v>0.61139201</v>
      </c>
    </row>
    <row r="76" spans="1:18">
      <c r="A76" s="15" t="s">
        <v>636</v>
      </c>
      <c r="B76" s="17" t="n">
        <v>7052</v>
      </c>
      <c r="C76" s="18">
        <f>(5489.0/B76*100)</f>
        <v/>
      </c>
      <c r="D76" s="19" t="n">
        <v>1563</v>
      </c>
      <c r="E76" s="18" t="n">
        <v>68.96499986000001</v>
      </c>
      <c r="F76" s="20" t="n">
        <v>1.55723972</v>
      </c>
      <c r="G76" s="18" t="n">
        <v>27.59061542</v>
      </c>
      <c r="H76" s="20" t="n">
        <v>1.45815131</v>
      </c>
      <c r="I76" s="18" t="s">
        <v>567</v>
      </c>
      <c r="J76" s="20" t="s">
        <v>567</v>
      </c>
      <c r="K76" s="18" t="n">
        <v>1.23990375</v>
      </c>
      <c r="L76" s="20" t="n">
        <v>0.33873666</v>
      </c>
      <c r="M76" s="18" t="n">
        <v>0</v>
      </c>
      <c r="N76" s="20" t="n">
        <v>0</v>
      </c>
      <c r="O76" s="18" t="n">
        <v>0</v>
      </c>
      <c r="P76" s="20" t="n">
        <v>0</v>
      </c>
      <c r="Q76" s="18" t="n">
        <v>2.20448097</v>
      </c>
      <c r="R76" s="20" t="n">
        <v>0.41475513</v>
      </c>
    </row>
    <row r="77" spans="1:18">
      <c r="A77" s="15" t="s">
        <v>637</v>
      </c>
      <c r="B77" s="17" t="n">
        <v>2908</v>
      </c>
      <c r="C77" s="18">
        <f>(2289.0/B77*100)</f>
        <v/>
      </c>
      <c r="D77" s="19" t="n">
        <v>619</v>
      </c>
      <c r="E77" s="18" t="n">
        <v>66.89373246</v>
      </c>
      <c r="F77" s="20" t="n">
        <v>2.12093026</v>
      </c>
      <c r="G77" s="18" t="n">
        <v>30.75752171</v>
      </c>
      <c r="H77" s="20" t="n">
        <v>2.02267911</v>
      </c>
      <c r="I77" s="18" t="s">
        <v>567</v>
      </c>
      <c r="J77" s="20" t="s">
        <v>567</v>
      </c>
      <c r="K77" s="18" t="n">
        <v>0.77746507</v>
      </c>
      <c r="L77" s="20" t="n">
        <v>0.42203853</v>
      </c>
      <c r="M77" s="18" t="n">
        <v>0</v>
      </c>
      <c r="N77" s="20" t="n">
        <v>0</v>
      </c>
      <c r="O77" s="18" t="n">
        <v>0</v>
      </c>
      <c r="P77" s="20" t="n">
        <v>0</v>
      </c>
      <c r="Q77" s="18" t="n">
        <v>1.57128076</v>
      </c>
      <c r="R77" s="20" t="n">
        <v>0.65550667</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(3234.0/B81*100)</f>
        <v/>
      </c>
      <c r="D81" s="19" t="n">
        <v>929</v>
      </c>
      <c r="E81" s="18" t="n">
        <v>83.69523018</v>
      </c>
      <c r="F81" s="20" t="n">
        <v>1.5941242</v>
      </c>
      <c r="G81" s="18" t="n">
        <v>15.5691629</v>
      </c>
      <c r="H81" s="20" t="n">
        <v>1.56104923</v>
      </c>
      <c r="I81" s="18" t="s">
        <v>567</v>
      </c>
      <c r="J81" s="20" t="s">
        <v>567</v>
      </c>
      <c r="K81" s="18" t="n">
        <v>0</v>
      </c>
      <c r="L81" s="20" t="n">
        <v>0</v>
      </c>
      <c r="M81" s="18" t="n">
        <v>0</v>
      </c>
      <c r="N81" s="20" t="n">
        <v>0</v>
      </c>
      <c r="O81" s="18" t="n">
        <v>0</v>
      </c>
      <c r="P81" s="20" t="n">
        <v>0</v>
      </c>
      <c r="Q81" s="18" t="n">
        <v>0.7356069200000001</v>
      </c>
      <c r="R81" s="20" t="n">
        <v>0.31628044</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(5784.0/B7*100)</f>
        <v/>
      </c>
      <c r="D7" s="19" t="n">
        <v>1583</v>
      </c>
      <c r="E7" s="18" t="n">
        <v>49.30881489</v>
      </c>
      <c r="F7" s="20" t="n">
        <v>1.43201419</v>
      </c>
      <c r="G7" s="18" t="n">
        <v>40.18678146</v>
      </c>
      <c r="H7" s="20" t="n">
        <v>1.53597206</v>
      </c>
      <c r="I7" s="18" t="s">
        <v>567</v>
      </c>
      <c r="J7" s="20" t="s">
        <v>567</v>
      </c>
      <c r="K7" s="18" t="n">
        <v>0.91002902</v>
      </c>
      <c r="L7" s="20" t="n">
        <v>0.29844002</v>
      </c>
      <c r="M7" s="18" t="n">
        <v>0.06302779999999999</v>
      </c>
      <c r="N7" s="20" t="n">
        <v>0.04083702</v>
      </c>
      <c r="O7" s="18" t="n">
        <v>0</v>
      </c>
      <c r="P7" s="20" t="n">
        <v>0</v>
      </c>
      <c r="Q7" s="18" t="n">
        <v>9.53134682</v>
      </c>
      <c r="R7" s="20" t="n">
        <v>0.78079863</v>
      </c>
    </row>
    <row r="8" spans="1:18">
      <c r="A8" s="15" t="s">
        <v>568</v>
      </c>
      <c r="B8" s="17" t="n">
        <v>3564</v>
      </c>
      <c r="C8" s="18">
        <f>(2788.0/B8*100)</f>
        <v/>
      </c>
      <c r="D8" s="19" t="n">
        <v>776</v>
      </c>
      <c r="E8" s="18" t="n">
        <v>52.32500416</v>
      </c>
      <c r="F8" s="20" t="n">
        <v>1.8441247</v>
      </c>
      <c r="G8" s="18" t="n">
        <v>26.31350355</v>
      </c>
      <c r="H8" s="20" t="n">
        <v>2.040016</v>
      </c>
      <c r="I8" s="18" t="s">
        <v>567</v>
      </c>
      <c r="J8" s="20" t="s">
        <v>567</v>
      </c>
      <c r="K8" s="18" t="n">
        <v>0.30330693</v>
      </c>
      <c r="L8" s="20" t="n">
        <v>0.21192902</v>
      </c>
      <c r="M8" s="18" t="n">
        <v>0</v>
      </c>
      <c r="N8" s="20" t="n">
        <v>0</v>
      </c>
      <c r="O8" s="18" t="n">
        <v>0</v>
      </c>
      <c r="P8" s="20" t="n">
        <v>0</v>
      </c>
      <c r="Q8" s="18" t="n">
        <v>21.05818536</v>
      </c>
      <c r="R8" s="20" t="n">
        <v>1.75820902</v>
      </c>
    </row>
    <row r="9" spans="1:18">
      <c r="A9" s="15" t="s">
        <v>569</v>
      </c>
      <c r="B9" s="17" t="n">
        <v>4899</v>
      </c>
      <c r="C9" s="18">
        <f>(3866.0/B9*100)</f>
        <v/>
      </c>
      <c r="D9" s="19" t="n">
        <v>1033</v>
      </c>
      <c r="E9" s="18" t="n">
        <v>59.81896296</v>
      </c>
      <c r="F9" s="20" t="n">
        <v>1.62058014</v>
      </c>
      <c r="G9" s="18" t="n">
        <v>25.99744901</v>
      </c>
      <c r="H9" s="20" t="n">
        <v>1.65998042</v>
      </c>
      <c r="I9" s="18" t="s">
        <v>567</v>
      </c>
      <c r="J9" s="20" t="s">
        <v>567</v>
      </c>
      <c r="K9" s="18" t="n">
        <v>0.45822516</v>
      </c>
      <c r="L9" s="20" t="n">
        <v>0.24740173</v>
      </c>
      <c r="M9" s="18" t="n">
        <v>0.70876006</v>
      </c>
      <c r="N9" s="20" t="n">
        <v>0.21943646</v>
      </c>
      <c r="O9" s="18" t="n">
        <v>0</v>
      </c>
      <c r="P9" s="20" t="n">
        <v>0</v>
      </c>
      <c r="Q9" s="18" t="n">
        <v>13.01660282</v>
      </c>
      <c r="R9" s="20" t="n">
        <v>1.16325701</v>
      </c>
    </row>
    <row r="10" spans="1:18">
      <c r="A10" s="15" t="s">
        <v>570</v>
      </c>
      <c r="B10" s="17" t="n">
        <v>10036</v>
      </c>
      <c r="C10" s="18">
        <f>(7805.0/B10*100)</f>
        <v/>
      </c>
      <c r="D10" s="19" t="n">
        <v>2231</v>
      </c>
      <c r="E10" s="18" t="n">
        <v>57.28738253</v>
      </c>
      <c r="F10" s="20" t="n">
        <v>1.66934631</v>
      </c>
      <c r="G10" s="18" t="n">
        <v>35.17929888</v>
      </c>
      <c r="H10" s="20" t="n">
        <v>1.6305845</v>
      </c>
      <c r="I10" s="18" t="s">
        <v>567</v>
      </c>
      <c r="J10" s="20" t="s">
        <v>567</v>
      </c>
      <c r="K10" s="18" t="n">
        <v>0.60466412</v>
      </c>
      <c r="L10" s="20" t="n">
        <v>0.2433879</v>
      </c>
      <c r="M10" s="18" t="n">
        <v>0.00569407</v>
      </c>
      <c r="N10" s="20" t="n">
        <v>0.008121740000000001</v>
      </c>
      <c r="O10" s="18" t="n">
        <v>0</v>
      </c>
      <c r="P10" s="20" t="n">
        <v>0</v>
      </c>
      <c r="Q10" s="18" t="n">
        <v>6.9229604</v>
      </c>
      <c r="R10" s="20" t="n">
        <v>0.77360322</v>
      </c>
    </row>
    <row r="11" spans="1:18">
      <c r="A11" s="15" t="s">
        <v>571</v>
      </c>
      <c r="B11" s="17" t="n">
        <v>3553</v>
      </c>
      <c r="C11" s="18">
        <f>(2783.0/B11*100)</f>
        <v/>
      </c>
      <c r="D11" s="19" t="n">
        <v>770</v>
      </c>
      <c r="E11" s="18" t="n">
        <v>55.3297283</v>
      </c>
      <c r="F11" s="20" t="n">
        <v>2.10531403</v>
      </c>
      <c r="G11" s="18" t="n">
        <v>25.9090512</v>
      </c>
      <c r="H11" s="20" t="n">
        <v>1.85859729</v>
      </c>
      <c r="I11" s="18" t="s">
        <v>567</v>
      </c>
      <c r="J11" s="20" t="s">
        <v>567</v>
      </c>
      <c r="K11" s="18" t="n">
        <v>0.70018916</v>
      </c>
      <c r="L11" s="20" t="n">
        <v>0.328104</v>
      </c>
      <c r="M11" s="18" t="n">
        <v>0</v>
      </c>
      <c r="N11" s="20" t="n">
        <v>0</v>
      </c>
      <c r="O11" s="18" t="n">
        <v>0</v>
      </c>
      <c r="P11" s="20" t="n">
        <v>0</v>
      </c>
      <c r="Q11" s="18" t="n">
        <v>18.06103134</v>
      </c>
      <c r="R11" s="20" t="n">
        <v>1.65579351</v>
      </c>
    </row>
    <row r="12" spans="1:18">
      <c r="A12" s="15" t="s">
        <v>572</v>
      </c>
      <c r="B12" s="17" t="n">
        <v>3472</v>
      </c>
      <c r="C12" s="18">
        <f>(2715.0/B12*100)</f>
        <v/>
      </c>
      <c r="D12" s="19" t="n">
        <v>757</v>
      </c>
      <c r="E12" s="18" t="n">
        <v>47.85036617</v>
      </c>
      <c r="F12" s="20" t="n">
        <v>2.09746558</v>
      </c>
      <c r="G12" s="18" t="n">
        <v>31.9707191</v>
      </c>
      <c r="H12" s="20" t="n">
        <v>2.4132693</v>
      </c>
      <c r="I12" s="18" t="s">
        <v>567</v>
      </c>
      <c r="J12" s="20" t="s">
        <v>567</v>
      </c>
      <c r="K12" s="18" t="n">
        <v>0.11928402</v>
      </c>
      <c r="L12" s="20" t="n">
        <v>0.1192666</v>
      </c>
      <c r="M12" s="18" t="n">
        <v>0</v>
      </c>
      <c r="N12" s="20" t="n">
        <v>0</v>
      </c>
      <c r="O12" s="18" t="n">
        <v>0</v>
      </c>
      <c r="P12" s="20" t="n">
        <v>0</v>
      </c>
      <c r="Q12" s="18" t="n">
        <v>20.05963071</v>
      </c>
      <c r="R12" s="20" t="n">
        <v>1.68169313</v>
      </c>
    </row>
    <row r="13" spans="1:18">
      <c r="A13" s="15" t="s">
        <v>573</v>
      </c>
      <c r="B13" s="17" t="n">
        <v>3559</v>
      </c>
      <c r="C13" s="18">
        <f>(2805.0/B13*100)</f>
        <v/>
      </c>
      <c r="D13" s="19" t="n">
        <v>754</v>
      </c>
      <c r="E13" s="18" t="n">
        <v>58.41744102</v>
      </c>
      <c r="F13" s="20" t="n">
        <v>2.28276996</v>
      </c>
      <c r="G13" s="18" t="n">
        <v>29.69852698</v>
      </c>
      <c r="H13" s="20" t="n">
        <v>2.15519837</v>
      </c>
      <c r="I13" s="18" t="s">
        <v>567</v>
      </c>
      <c r="J13" s="20" t="s">
        <v>567</v>
      </c>
      <c r="K13" s="18" t="n">
        <v>1.14134042</v>
      </c>
      <c r="L13" s="20" t="n">
        <v>0.44637061</v>
      </c>
      <c r="M13" s="18" t="n">
        <v>0</v>
      </c>
      <c r="N13" s="20" t="n">
        <v>0</v>
      </c>
      <c r="O13" s="18" t="n">
        <v>0</v>
      </c>
      <c r="P13" s="20" t="n">
        <v>0</v>
      </c>
      <c r="Q13" s="18" t="n">
        <v>10.74269157</v>
      </c>
      <c r="R13" s="20" t="n">
        <v>1.40097967</v>
      </c>
    </row>
    <row r="14" spans="1:18">
      <c r="A14" s="15" t="s">
        <v>574</v>
      </c>
      <c r="B14" s="17" t="n">
        <v>2799</v>
      </c>
      <c r="C14" s="18">
        <f>(2176.0/B14*100)</f>
        <v/>
      </c>
      <c r="D14" s="19" t="n">
        <v>623</v>
      </c>
      <c r="E14" s="18" t="n">
        <v>62.24493187</v>
      </c>
      <c r="F14" s="20" t="n">
        <v>2.30250679</v>
      </c>
      <c r="G14" s="18" t="n">
        <v>28.49436349</v>
      </c>
      <c r="H14" s="20" t="n">
        <v>2.09772045</v>
      </c>
      <c r="I14" s="18" t="s">
        <v>567</v>
      </c>
      <c r="J14" s="20" t="s">
        <v>567</v>
      </c>
      <c r="K14" s="18" t="n">
        <v>0.14594254</v>
      </c>
      <c r="L14" s="20" t="n">
        <v>0.1456976</v>
      </c>
      <c r="M14" s="18" t="n">
        <v>0</v>
      </c>
      <c r="N14" s="20" t="n">
        <v>0</v>
      </c>
      <c r="O14" s="18" t="n">
        <v>0</v>
      </c>
      <c r="P14" s="20" t="n">
        <v>0</v>
      </c>
      <c r="Q14" s="18" t="n">
        <v>9.1147621</v>
      </c>
      <c r="R14" s="20" t="n">
        <v>1.2978001</v>
      </c>
    </row>
    <row r="15" spans="1:18">
      <c r="A15" s="15" t="s">
        <v>575</v>
      </c>
      <c r="B15" s="17" t="n">
        <v>3019</v>
      </c>
      <c r="C15" s="18">
        <f>(2301.0/B15*100)</f>
        <v/>
      </c>
      <c r="D15" s="19" t="n">
        <v>718</v>
      </c>
      <c r="E15" s="18" t="n">
        <v>48.12577899</v>
      </c>
      <c r="F15" s="20" t="n">
        <v>1.86139936</v>
      </c>
      <c r="G15" s="18" t="n">
        <v>41.08783628</v>
      </c>
      <c r="H15" s="20" t="n">
        <v>1.67917691</v>
      </c>
      <c r="I15" s="18" t="s">
        <v>567</v>
      </c>
      <c r="J15" s="20" t="s">
        <v>567</v>
      </c>
      <c r="K15" s="18" t="n">
        <v>0.15626091</v>
      </c>
      <c r="L15" s="20" t="n">
        <v>0.17141433</v>
      </c>
      <c r="M15" s="18" t="n">
        <v>0</v>
      </c>
      <c r="N15" s="20" t="n">
        <v>0</v>
      </c>
      <c r="O15" s="18" t="n">
        <v>0</v>
      </c>
      <c r="P15" s="20" t="n">
        <v>0</v>
      </c>
      <c r="Q15" s="18" t="n">
        <v>10.63012382</v>
      </c>
      <c r="R15" s="20" t="n">
        <v>1.27176938</v>
      </c>
    </row>
    <row r="16" spans="1:18">
      <c r="A16" s="15" t="s">
        <v>576</v>
      </c>
      <c r="B16" s="17" t="n">
        <v>2997</v>
      </c>
      <c r="C16" s="18">
        <f>(2327.0/B16*100)</f>
        <v/>
      </c>
      <c r="D16" s="19" t="n">
        <v>670</v>
      </c>
      <c r="E16" s="18" t="n">
        <v>48.71415995</v>
      </c>
      <c r="F16" s="20" t="n">
        <v>1.93910562</v>
      </c>
      <c r="G16" s="18" t="n">
        <v>30.02049927</v>
      </c>
      <c r="H16" s="20" t="n">
        <v>1.66598259</v>
      </c>
      <c r="I16" s="18" t="s">
        <v>567</v>
      </c>
      <c r="J16" s="20" t="s">
        <v>567</v>
      </c>
      <c r="K16" s="18" t="n">
        <v>1.33999635</v>
      </c>
      <c r="L16" s="20" t="n">
        <v>0.4479175</v>
      </c>
      <c r="M16" s="18" t="n">
        <v>0</v>
      </c>
      <c r="N16" s="20" t="n">
        <v>0</v>
      </c>
      <c r="O16" s="18" t="n">
        <v>0</v>
      </c>
      <c r="P16" s="20" t="n">
        <v>0</v>
      </c>
      <c r="Q16" s="18" t="n">
        <v>19.92534444</v>
      </c>
      <c r="R16" s="20" t="n">
        <v>1.57196281</v>
      </c>
    </row>
    <row r="17" spans="1:18">
      <c r="A17" s="15" t="s">
        <v>577</v>
      </c>
      <c r="B17" s="17" t="n">
        <v>3307</v>
      </c>
      <c r="C17" s="18">
        <f>(2590.0/B17*100)</f>
        <v/>
      </c>
      <c r="D17" s="19" t="n">
        <v>717</v>
      </c>
      <c r="E17" s="18" t="n">
        <v>59.31121133</v>
      </c>
      <c r="F17" s="20" t="n">
        <v>1.87275148</v>
      </c>
      <c r="G17" s="18" t="n">
        <v>24.83956193</v>
      </c>
      <c r="H17" s="20" t="n">
        <v>1.6275241</v>
      </c>
      <c r="I17" s="18" t="s">
        <v>567</v>
      </c>
      <c r="J17" s="20" t="s">
        <v>567</v>
      </c>
      <c r="K17" s="18" t="n">
        <v>0.17127833</v>
      </c>
      <c r="L17" s="20" t="n">
        <v>0.1911959</v>
      </c>
      <c r="M17" s="18" t="n">
        <v>0</v>
      </c>
      <c r="N17" s="20" t="n">
        <v>0</v>
      </c>
      <c r="O17" s="18" t="n">
        <v>0</v>
      </c>
      <c r="P17" s="20" t="n">
        <v>0</v>
      </c>
      <c r="Q17" s="18" t="n">
        <v>15.6779484</v>
      </c>
      <c r="R17" s="20" t="n">
        <v>1.41330687</v>
      </c>
    </row>
    <row r="18" spans="1:18">
      <c r="A18" s="15" t="s">
        <v>578</v>
      </c>
      <c r="B18" s="17" t="n">
        <v>2826</v>
      </c>
      <c r="C18" s="18">
        <f>(2218.0/B18*100)</f>
        <v/>
      </c>
      <c r="D18" s="19" t="n">
        <v>608</v>
      </c>
      <c r="E18" s="18" t="n">
        <v>54.21466121</v>
      </c>
      <c r="F18" s="20" t="n">
        <v>1.70554891</v>
      </c>
      <c r="G18" s="18" t="n">
        <v>24.45456526</v>
      </c>
      <c r="H18" s="20" t="n">
        <v>1.79990456</v>
      </c>
      <c r="I18" s="18" t="s">
        <v>567</v>
      </c>
      <c r="J18" s="20" t="s">
        <v>567</v>
      </c>
      <c r="K18" s="18" t="n">
        <v>0.49964161</v>
      </c>
      <c r="L18" s="20" t="n">
        <v>0.28617098</v>
      </c>
      <c r="M18" s="18" t="n">
        <v>0</v>
      </c>
      <c r="N18" s="20" t="n">
        <v>0</v>
      </c>
      <c r="O18" s="18" t="n">
        <v>0</v>
      </c>
      <c r="P18" s="20" t="n">
        <v>0</v>
      </c>
      <c r="Q18" s="18" t="n">
        <v>20.83113191</v>
      </c>
      <c r="R18" s="20" t="n">
        <v>1.81342049</v>
      </c>
    </row>
    <row r="19" spans="1:18">
      <c r="A19" s="15" t="s">
        <v>579</v>
      </c>
      <c r="B19" s="17" t="n">
        <v>2808</v>
      </c>
      <c r="C19" s="18">
        <f>(2192.0/B19*100)</f>
        <v/>
      </c>
      <c r="D19" s="19" t="n">
        <v>616</v>
      </c>
      <c r="E19" s="18" t="n">
        <v>58.56509573</v>
      </c>
      <c r="F19" s="20" t="n">
        <v>1.87887898</v>
      </c>
      <c r="G19" s="18" t="n">
        <v>20.30502595</v>
      </c>
      <c r="H19" s="20" t="n">
        <v>1.54877063</v>
      </c>
      <c r="I19" s="18" t="s">
        <v>567</v>
      </c>
      <c r="J19" s="20" t="s">
        <v>567</v>
      </c>
      <c r="K19" s="18" t="n">
        <v>0.52265249</v>
      </c>
      <c r="L19" s="20" t="n">
        <v>0.37838643</v>
      </c>
      <c r="M19" s="18" t="n">
        <v>0</v>
      </c>
      <c r="N19" s="20" t="n">
        <v>0</v>
      </c>
      <c r="O19" s="18" t="n">
        <v>0</v>
      </c>
      <c r="P19" s="20" t="n">
        <v>0</v>
      </c>
      <c r="Q19" s="18" t="n">
        <v>20.60722583</v>
      </c>
      <c r="R19" s="20" t="n">
        <v>1.64074447</v>
      </c>
    </row>
    <row r="20" spans="1:18">
      <c r="A20" s="15" t="s">
        <v>580</v>
      </c>
      <c r="B20" s="17" t="n">
        <v>1630</v>
      </c>
      <c r="C20" s="18">
        <f>(1272.0/B20*100)</f>
        <v/>
      </c>
      <c r="D20" s="19" t="n">
        <v>358</v>
      </c>
      <c r="E20" s="18" t="n">
        <v>60.60937867</v>
      </c>
      <c r="F20" s="20" t="n">
        <v>2.61943376</v>
      </c>
      <c r="G20" s="18" t="n">
        <v>24.81599659</v>
      </c>
      <c r="H20" s="20" t="n">
        <v>2.18023491</v>
      </c>
      <c r="I20" s="18" t="s">
        <v>567</v>
      </c>
      <c r="J20" s="20" t="s">
        <v>567</v>
      </c>
      <c r="K20" s="18" t="n">
        <v>0.54606047</v>
      </c>
      <c r="L20" s="20" t="n">
        <v>0.39205236</v>
      </c>
      <c r="M20" s="18" t="n">
        <v>0</v>
      </c>
      <c r="N20" s="20" t="n">
        <v>0</v>
      </c>
      <c r="O20" s="18" t="n">
        <v>0</v>
      </c>
      <c r="P20" s="20" t="n">
        <v>0</v>
      </c>
      <c r="Q20" s="18" t="n">
        <v>14.02856427</v>
      </c>
      <c r="R20" s="20" t="n">
        <v>1.90886088</v>
      </c>
    </row>
    <row r="21" spans="1:18">
      <c r="A21" s="15" t="s">
        <v>581</v>
      </c>
      <c r="B21" s="17" t="n">
        <v>2908</v>
      </c>
      <c r="C21" s="18">
        <f>(2257.0/B21*100)</f>
        <v/>
      </c>
      <c r="D21" s="19" t="n">
        <v>651</v>
      </c>
      <c r="E21" s="18" t="n">
        <v>51.7932811</v>
      </c>
      <c r="F21" s="20" t="n">
        <v>1.65672769</v>
      </c>
      <c r="G21" s="18" t="n">
        <v>42.05228399</v>
      </c>
      <c r="H21" s="20" t="n">
        <v>1.49531282</v>
      </c>
      <c r="I21" s="18" t="s">
        <v>567</v>
      </c>
      <c r="J21" s="20" t="s">
        <v>567</v>
      </c>
      <c r="K21" s="18" t="n">
        <v>0.48389269</v>
      </c>
      <c r="L21" s="20" t="n">
        <v>0.23354341</v>
      </c>
      <c r="M21" s="18" t="n">
        <v>0</v>
      </c>
      <c r="N21" s="20" t="n">
        <v>0</v>
      </c>
      <c r="O21" s="18" t="n">
        <v>0</v>
      </c>
      <c r="P21" s="20" t="n">
        <v>0</v>
      </c>
      <c r="Q21" s="18" t="n">
        <v>5.67054221</v>
      </c>
      <c r="R21" s="20" t="n">
        <v>0.89311053</v>
      </c>
    </row>
    <row r="22" spans="1:18">
      <c r="A22" s="15" t="s">
        <v>582</v>
      </c>
      <c r="B22" s="17" t="n">
        <v>2931</v>
      </c>
      <c r="C22" s="18">
        <f>(2349.0/B22*100)</f>
        <v/>
      </c>
      <c r="D22" s="19" t="n">
        <v>582</v>
      </c>
      <c r="E22" s="18" t="n">
        <v>57.04534449</v>
      </c>
      <c r="F22" s="20" t="n">
        <v>2.51518975</v>
      </c>
      <c r="G22" s="18" t="n">
        <v>25.20792624</v>
      </c>
      <c r="H22" s="20" t="n">
        <v>1.98206269</v>
      </c>
      <c r="I22" s="18" t="s">
        <v>567</v>
      </c>
      <c r="J22" s="20" t="s">
        <v>567</v>
      </c>
      <c r="K22" s="18" t="n">
        <v>0.9845347</v>
      </c>
      <c r="L22" s="20" t="n">
        <v>0.44111293</v>
      </c>
      <c r="M22" s="18" t="n">
        <v>0</v>
      </c>
      <c r="N22" s="20" t="n">
        <v>0</v>
      </c>
      <c r="O22" s="18" t="n">
        <v>0</v>
      </c>
      <c r="P22" s="20" t="n">
        <v>0</v>
      </c>
      <c r="Q22" s="18" t="n">
        <v>16.76219458</v>
      </c>
      <c r="R22" s="20" t="n">
        <v>1.97009994</v>
      </c>
    </row>
    <row r="23" spans="1:18">
      <c r="A23" s="15" t="s">
        <v>583</v>
      </c>
      <c r="B23" s="17" t="n">
        <v>5791</v>
      </c>
      <c r="C23" s="18">
        <f>(4541.0/B23*100)</f>
        <v/>
      </c>
      <c r="D23" s="19" t="n">
        <v>1250</v>
      </c>
      <c r="E23" s="18" t="n">
        <v>54.34248965</v>
      </c>
      <c r="F23" s="20" t="n">
        <v>2.10142918</v>
      </c>
      <c r="G23" s="18" t="n">
        <v>25.616368</v>
      </c>
      <c r="H23" s="20" t="n">
        <v>1.85463033</v>
      </c>
      <c r="I23" s="18" t="s">
        <v>567</v>
      </c>
      <c r="J23" s="20" t="s">
        <v>567</v>
      </c>
      <c r="K23" s="18" t="n">
        <v>0.8581025799999999</v>
      </c>
      <c r="L23" s="20" t="n">
        <v>0.36745374</v>
      </c>
      <c r="M23" s="18" t="n">
        <v>0</v>
      </c>
      <c r="N23" s="20" t="n">
        <v>0</v>
      </c>
      <c r="O23" s="18" t="n">
        <v>0</v>
      </c>
      <c r="P23" s="20" t="n">
        <v>0</v>
      </c>
      <c r="Q23" s="18" t="n">
        <v>19.18303977</v>
      </c>
      <c r="R23" s="20" t="n">
        <v>1.56280833</v>
      </c>
    </row>
    <row r="24" spans="1:18">
      <c r="A24" s="15" t="s">
        <v>584</v>
      </c>
      <c r="B24" s="17" t="n">
        <v>3338</v>
      </c>
      <c r="C24" s="18">
        <f>(2608.0/B24*100)</f>
        <v/>
      </c>
      <c r="D24" s="19" t="n">
        <v>730</v>
      </c>
      <c r="E24" s="18" t="n">
        <v>48.38384628</v>
      </c>
      <c r="F24" s="20" t="n">
        <v>1.8799064</v>
      </c>
      <c r="G24" s="18" t="n">
        <v>39.59390054</v>
      </c>
      <c r="H24" s="20" t="n">
        <v>1.92779669</v>
      </c>
      <c r="I24" s="18" t="s">
        <v>567</v>
      </c>
      <c r="J24" s="20" t="s">
        <v>567</v>
      </c>
      <c r="K24" s="18" t="n">
        <v>0.35821235</v>
      </c>
      <c r="L24" s="20" t="n">
        <v>0.20912618</v>
      </c>
      <c r="M24" s="18" t="n">
        <v>0</v>
      </c>
      <c r="N24" s="20" t="n">
        <v>0</v>
      </c>
      <c r="O24" s="18" t="n">
        <v>0</v>
      </c>
      <c r="P24" s="20" t="n">
        <v>0</v>
      </c>
      <c r="Q24" s="18" t="n">
        <v>11.66404083</v>
      </c>
      <c r="R24" s="20" t="n">
        <v>1.35174165</v>
      </c>
    </row>
    <row r="25" spans="1:18">
      <c r="A25" s="15" t="s">
        <v>585</v>
      </c>
      <c r="B25" s="17" t="n">
        <v>2912</v>
      </c>
      <c r="C25" s="18">
        <f>(2275.0/B25*100)</f>
        <v/>
      </c>
      <c r="D25" s="19" t="n">
        <v>637</v>
      </c>
      <c r="E25" s="18" t="n">
        <v>63.04435119</v>
      </c>
      <c r="F25" s="20" t="n">
        <v>2.2364035</v>
      </c>
      <c r="G25" s="18" t="n">
        <v>30.06039956</v>
      </c>
      <c r="H25" s="20" t="n">
        <v>2.25926374</v>
      </c>
      <c r="I25" s="18" t="s">
        <v>567</v>
      </c>
      <c r="J25" s="20" t="s">
        <v>567</v>
      </c>
      <c r="K25" s="18" t="n">
        <v>0.13246293</v>
      </c>
      <c r="L25" s="20" t="n">
        <v>0.1344598</v>
      </c>
      <c r="M25" s="18" t="n">
        <v>0</v>
      </c>
      <c r="N25" s="20" t="n">
        <v>0</v>
      </c>
      <c r="O25" s="18" t="n">
        <v>0</v>
      </c>
      <c r="P25" s="20" t="n">
        <v>0</v>
      </c>
      <c r="Q25" s="18" t="n">
        <v>6.76278631</v>
      </c>
      <c r="R25" s="20" t="n">
        <v>0.9388562</v>
      </c>
    </row>
    <row r="26" spans="1:18">
      <c r="A26" s="15" t="s">
        <v>586</v>
      </c>
      <c r="B26" s="17" t="n">
        <v>2450</v>
      </c>
      <c r="C26" s="18">
        <f>(1910.0/B26*100)</f>
        <v/>
      </c>
      <c r="D26" s="19" t="n">
        <v>540</v>
      </c>
      <c r="E26" s="18" t="n">
        <v>69.08697963</v>
      </c>
      <c r="F26" s="20" t="n">
        <v>2.21317818</v>
      </c>
      <c r="G26" s="18" t="n">
        <v>18.23344059</v>
      </c>
      <c r="H26" s="20" t="n">
        <v>1.70924958</v>
      </c>
      <c r="I26" s="18" t="s">
        <v>567</v>
      </c>
      <c r="J26" s="20" t="s">
        <v>567</v>
      </c>
      <c r="K26" s="18" t="n">
        <v>0.13767512</v>
      </c>
      <c r="L26" s="20" t="n">
        <v>0.13839102</v>
      </c>
      <c r="M26" s="18" t="n">
        <v>0</v>
      </c>
      <c r="N26" s="20" t="n">
        <v>0</v>
      </c>
      <c r="O26" s="18" t="n">
        <v>0</v>
      </c>
      <c r="P26" s="20" t="n">
        <v>0</v>
      </c>
      <c r="Q26" s="18" t="n">
        <v>12.54190466</v>
      </c>
      <c r="R26" s="20" t="n">
        <v>1.54341838</v>
      </c>
    </row>
    <row r="27" spans="1:18">
      <c r="A27" s="15" t="s">
        <v>587</v>
      </c>
      <c r="B27" s="17" t="n">
        <v>2616</v>
      </c>
      <c r="C27" s="18">
        <f>(2047.0/B27*100)</f>
        <v/>
      </c>
      <c r="D27" s="19" t="n">
        <v>569</v>
      </c>
      <c r="E27" s="18" t="n">
        <v>53.47034475</v>
      </c>
      <c r="F27" s="20" t="n">
        <v>1.81036204</v>
      </c>
      <c r="G27" s="18" t="n">
        <v>25.57354005</v>
      </c>
      <c r="H27" s="20" t="n">
        <v>1.68728742</v>
      </c>
      <c r="I27" s="18" t="s">
        <v>567</v>
      </c>
      <c r="J27" s="20" t="s">
        <v>567</v>
      </c>
      <c r="K27" s="18" t="n">
        <v>0.17361938</v>
      </c>
      <c r="L27" s="20" t="n">
        <v>0.17212714</v>
      </c>
      <c r="M27" s="18" t="n">
        <v>0</v>
      </c>
      <c r="N27" s="20" t="n">
        <v>0</v>
      </c>
      <c r="O27" s="18" t="n">
        <v>0</v>
      </c>
      <c r="P27" s="20" t="n">
        <v>0</v>
      </c>
      <c r="Q27" s="18" t="n">
        <v>20.78249581</v>
      </c>
      <c r="R27" s="20" t="n">
        <v>1.55425591</v>
      </c>
    </row>
    <row r="28" spans="1:18">
      <c r="A28" s="15" t="s">
        <v>588</v>
      </c>
      <c r="B28" s="17" t="n">
        <v>3765</v>
      </c>
      <c r="C28" s="18">
        <f>(3055.0/B28*100)</f>
        <v/>
      </c>
      <c r="D28" s="19" t="n">
        <v>710</v>
      </c>
      <c r="E28" s="18" t="n">
        <v>73.60827906</v>
      </c>
      <c r="F28" s="20" t="n">
        <v>2.03570673</v>
      </c>
      <c r="G28" s="18" t="n">
        <v>17.27392847</v>
      </c>
      <c r="H28" s="20" t="n">
        <v>1.83094431</v>
      </c>
      <c r="I28" s="18" t="s">
        <v>567</v>
      </c>
      <c r="J28" s="20" t="s">
        <v>567</v>
      </c>
      <c r="K28" s="18" t="n">
        <v>0.62128244</v>
      </c>
      <c r="L28" s="20" t="n">
        <v>0.33298058</v>
      </c>
      <c r="M28" s="18" t="n">
        <v>0.60964735</v>
      </c>
      <c r="N28" s="20" t="n">
        <v>0.34888171</v>
      </c>
      <c r="O28" s="18" t="n">
        <v>0</v>
      </c>
      <c r="P28" s="20" t="n">
        <v>0</v>
      </c>
      <c r="Q28" s="18" t="n">
        <v>7.88686267</v>
      </c>
      <c r="R28" s="20" t="n">
        <v>1.24457618</v>
      </c>
    </row>
    <row r="29" spans="1:18">
      <c r="A29" s="15" t="s">
        <v>589</v>
      </c>
      <c r="B29" s="17" t="n">
        <v>2685</v>
      </c>
      <c r="C29" s="18">
        <f>(2100.0/B29*100)</f>
        <v/>
      </c>
      <c r="D29" s="19" t="n">
        <v>585</v>
      </c>
      <c r="E29" s="18" t="n">
        <v>70.9405046</v>
      </c>
      <c r="F29" s="20" t="n">
        <v>1.76228397</v>
      </c>
      <c r="G29" s="18" t="n">
        <v>24.26050701</v>
      </c>
      <c r="H29" s="20" t="n">
        <v>1.64807337</v>
      </c>
      <c r="I29" s="18" t="s">
        <v>567</v>
      </c>
      <c r="J29" s="20" t="s">
        <v>567</v>
      </c>
      <c r="K29" s="18" t="n">
        <v>0.35184504</v>
      </c>
      <c r="L29" s="20" t="n">
        <v>0.23804514</v>
      </c>
      <c r="M29" s="18" t="n">
        <v>0</v>
      </c>
      <c r="N29" s="20" t="n">
        <v>0</v>
      </c>
      <c r="O29" s="18" t="n">
        <v>0</v>
      </c>
      <c r="P29" s="20" t="n">
        <v>0</v>
      </c>
      <c r="Q29" s="18" t="n">
        <v>4.44714335</v>
      </c>
      <c r="R29" s="20" t="n">
        <v>0.8160865899999999</v>
      </c>
    </row>
    <row r="30" spans="1:18">
      <c r="A30" s="15" t="s">
        <v>590</v>
      </c>
      <c r="B30" s="17" t="n">
        <v>2263</v>
      </c>
      <c r="C30" s="18">
        <f>(1790.0/B30*100)</f>
        <v/>
      </c>
      <c r="D30" s="19" t="n">
        <v>473</v>
      </c>
      <c r="E30" s="18" t="n">
        <v>50.16496633</v>
      </c>
      <c r="F30" s="20" t="n">
        <v>2.29446893</v>
      </c>
      <c r="G30" s="18" t="n">
        <v>38.34134749</v>
      </c>
      <c r="H30" s="20" t="n">
        <v>2.30776593</v>
      </c>
      <c r="I30" s="18" t="s">
        <v>567</v>
      </c>
      <c r="J30" s="20" t="s">
        <v>567</v>
      </c>
      <c r="K30" s="18" t="n">
        <v>0.23697391</v>
      </c>
      <c r="L30" s="20" t="n">
        <v>0.23292335</v>
      </c>
      <c r="M30" s="18" t="n">
        <v>0</v>
      </c>
      <c r="N30" s="20" t="n">
        <v>0</v>
      </c>
      <c r="O30" s="18" t="n">
        <v>0</v>
      </c>
      <c r="P30" s="20" t="n">
        <v>0</v>
      </c>
      <c r="Q30" s="18" t="n">
        <v>11.25671227</v>
      </c>
      <c r="R30" s="20" t="n">
        <v>1.73087011</v>
      </c>
    </row>
    <row r="31" spans="1:18">
      <c r="A31" s="15" t="s">
        <v>591</v>
      </c>
      <c r="B31" s="17" t="n">
        <v>2750</v>
      </c>
      <c r="C31" s="18">
        <f>(2181.0/B31*100)</f>
        <v/>
      </c>
      <c r="D31" s="19" t="n">
        <v>569</v>
      </c>
      <c r="E31" s="18" t="n">
        <v>60.73946055</v>
      </c>
      <c r="F31" s="20" t="n">
        <v>2.05758244</v>
      </c>
      <c r="G31" s="18" t="n">
        <v>26.7845246</v>
      </c>
      <c r="H31" s="20" t="n">
        <v>2.1287617</v>
      </c>
      <c r="I31" s="18" t="s">
        <v>567</v>
      </c>
      <c r="J31" s="20" t="s">
        <v>567</v>
      </c>
      <c r="K31" s="18" t="n">
        <v>0.80392668</v>
      </c>
      <c r="L31" s="20" t="n">
        <v>0.35347165</v>
      </c>
      <c r="M31" s="18" t="n">
        <v>0.349753</v>
      </c>
      <c r="N31" s="20" t="n">
        <v>0.40244804</v>
      </c>
      <c r="O31" s="18" t="n">
        <v>0</v>
      </c>
      <c r="P31" s="20" t="n">
        <v>0</v>
      </c>
      <c r="Q31" s="18" t="n">
        <v>11.32233518</v>
      </c>
      <c r="R31" s="20" t="n">
        <v>1.48599149</v>
      </c>
    </row>
    <row r="32" spans="1:18">
      <c r="A32" s="15" t="s">
        <v>592</v>
      </c>
      <c r="B32" s="17" t="n">
        <v>2269</v>
      </c>
      <c r="C32" s="18">
        <f>(1811.0/B32*100)</f>
        <v/>
      </c>
      <c r="D32" s="19" t="n">
        <v>458</v>
      </c>
      <c r="E32" s="18" t="n">
        <v>51.93851698</v>
      </c>
      <c r="F32" s="20" t="n">
        <v>2.47122294</v>
      </c>
      <c r="G32" s="18" t="n">
        <v>28.63069597</v>
      </c>
      <c r="H32" s="20" t="n">
        <v>2.12806288</v>
      </c>
      <c r="I32" s="18" t="s">
        <v>567</v>
      </c>
      <c r="J32" s="20" t="s">
        <v>567</v>
      </c>
      <c r="K32" s="18" t="n">
        <v>0.40008469</v>
      </c>
      <c r="L32" s="20" t="n">
        <v>0.2948792</v>
      </c>
      <c r="M32" s="18" t="n">
        <v>0</v>
      </c>
      <c r="N32" s="20" t="n">
        <v>0</v>
      </c>
      <c r="O32" s="18" t="n">
        <v>0</v>
      </c>
      <c r="P32" s="20" t="n">
        <v>0</v>
      </c>
      <c r="Q32" s="18" t="n">
        <v>19.03070236</v>
      </c>
      <c r="R32" s="20" t="n">
        <v>2.11728169</v>
      </c>
    </row>
    <row r="33" spans="1:18">
      <c r="A33" s="15" t="s">
        <v>593</v>
      </c>
      <c r="B33" s="17" t="n">
        <v>3674</v>
      </c>
      <c r="C33" s="18">
        <f>(2889.0/B33*100)</f>
        <v/>
      </c>
      <c r="D33" s="19" t="n">
        <v>785</v>
      </c>
      <c r="E33" s="18" t="n">
        <v>48.13163433</v>
      </c>
      <c r="F33" s="20" t="n">
        <v>2.70775958</v>
      </c>
      <c r="G33" s="18" t="n">
        <v>36.2879085</v>
      </c>
      <c r="H33" s="20" t="n">
        <v>2.51238569</v>
      </c>
      <c r="I33" s="18" t="s">
        <v>567</v>
      </c>
      <c r="J33" s="20" t="s">
        <v>567</v>
      </c>
      <c r="K33" s="18" t="n">
        <v>0.01156117</v>
      </c>
      <c r="L33" s="20" t="n">
        <v>0.01147443</v>
      </c>
      <c r="M33" s="18" t="n">
        <v>0.01135099</v>
      </c>
      <c r="N33" s="20" t="n">
        <v>0.0072496</v>
      </c>
      <c r="O33" s="18" t="n">
        <v>0</v>
      </c>
      <c r="P33" s="20" t="n">
        <v>0</v>
      </c>
      <c r="Q33" s="18" t="n">
        <v>15.55754501</v>
      </c>
      <c r="R33" s="20" t="n">
        <v>1.93277778</v>
      </c>
    </row>
    <row r="34" spans="1:18">
      <c r="A34" s="15" t="s">
        <v>594</v>
      </c>
      <c r="B34" s="17" t="n">
        <v>3315</v>
      </c>
      <c r="C34" s="18">
        <f>(2601.0/B34*100)</f>
        <v/>
      </c>
      <c r="D34" s="19" t="n">
        <v>714</v>
      </c>
      <c r="E34" s="18" t="n">
        <v>59.83129698</v>
      </c>
      <c r="F34" s="20" t="n">
        <v>1.92953771</v>
      </c>
      <c r="G34" s="18" t="n">
        <v>16.64631214</v>
      </c>
      <c r="H34" s="20" t="n">
        <v>1.57225341</v>
      </c>
      <c r="I34" s="18" t="s">
        <v>567</v>
      </c>
      <c r="J34" s="20" t="s">
        <v>567</v>
      </c>
      <c r="K34" s="18" t="n">
        <v>0.13161912</v>
      </c>
      <c r="L34" s="20" t="n">
        <v>0.13242571</v>
      </c>
      <c r="M34" s="18" t="n">
        <v>0.25578373</v>
      </c>
      <c r="N34" s="20" t="n">
        <v>0.27248544</v>
      </c>
      <c r="O34" s="18" t="n">
        <v>0</v>
      </c>
      <c r="P34" s="20" t="n">
        <v>0</v>
      </c>
      <c r="Q34" s="18" t="n">
        <v>23.13498803</v>
      </c>
      <c r="R34" s="20" t="n">
        <v>1.64237783</v>
      </c>
    </row>
    <row r="35" spans="1:18">
      <c r="A35" s="15" t="s">
        <v>595</v>
      </c>
      <c r="B35" s="17" t="n">
        <v>3505</v>
      </c>
      <c r="C35" s="18">
        <f>(2716.0/B35*100)</f>
        <v/>
      </c>
      <c r="D35" s="19" t="n">
        <v>789</v>
      </c>
      <c r="E35" s="18" t="n">
        <v>59.59456232</v>
      </c>
      <c r="F35" s="20" t="n">
        <v>2.12561598</v>
      </c>
      <c r="G35" s="18" t="n">
        <v>26.46464877</v>
      </c>
      <c r="H35" s="20" t="n">
        <v>1.98455798</v>
      </c>
      <c r="I35" s="18" t="s">
        <v>567</v>
      </c>
      <c r="J35" s="20" t="s">
        <v>567</v>
      </c>
      <c r="K35" s="18" t="n">
        <v>0.06368683</v>
      </c>
      <c r="L35" s="20" t="n">
        <v>0.06385115</v>
      </c>
      <c r="M35" s="18" t="n">
        <v>0.22452736</v>
      </c>
      <c r="N35" s="20" t="n">
        <v>0.22520016</v>
      </c>
      <c r="O35" s="18" t="n">
        <v>0</v>
      </c>
      <c r="P35" s="20" t="n">
        <v>0</v>
      </c>
      <c r="Q35" s="18" t="n">
        <v>13.65257472</v>
      </c>
      <c r="R35" s="20" t="n">
        <v>1.42723134</v>
      </c>
    </row>
    <row r="36" spans="1:18">
      <c r="A36" s="15" t="s">
        <v>596</v>
      </c>
      <c r="B36" s="17" t="n">
        <v>3332</v>
      </c>
      <c r="C36" s="18">
        <f>(2628.0/B36*100)</f>
        <v/>
      </c>
      <c r="D36" s="19" t="n">
        <v>704</v>
      </c>
      <c r="E36" s="18" t="n">
        <v>48.37427537</v>
      </c>
      <c r="F36" s="20" t="n">
        <v>2.2929461</v>
      </c>
      <c r="G36" s="18" t="n">
        <v>44.61414464</v>
      </c>
      <c r="H36" s="20" t="n">
        <v>2.36350477</v>
      </c>
      <c r="I36" s="18" t="s">
        <v>567</v>
      </c>
      <c r="J36" s="20" t="s">
        <v>567</v>
      </c>
      <c r="K36" s="18" t="n">
        <v>0.39795945</v>
      </c>
      <c r="L36" s="20" t="n">
        <v>0.29910972</v>
      </c>
      <c r="M36" s="18" t="n">
        <v>0</v>
      </c>
      <c r="N36" s="20" t="n">
        <v>0</v>
      </c>
      <c r="O36" s="18" t="n">
        <v>0</v>
      </c>
      <c r="P36" s="20" t="n">
        <v>0</v>
      </c>
      <c r="Q36" s="18" t="n">
        <v>6.61362054</v>
      </c>
      <c r="R36" s="20" t="n">
        <v>1.05612345</v>
      </c>
    </row>
    <row r="37" spans="1:18">
      <c r="A37" s="15" t="s">
        <v>597</v>
      </c>
      <c r="B37" s="17" t="n">
        <v>2727</v>
      </c>
      <c r="C37" s="18">
        <f>(2132.0/B37*100)</f>
        <v/>
      </c>
      <c r="D37" s="19" t="n">
        <v>595</v>
      </c>
      <c r="E37" s="18" t="n">
        <v>47.64725936</v>
      </c>
      <c r="F37" s="20" t="n">
        <v>2.15859764</v>
      </c>
      <c r="G37" s="18" t="n">
        <v>35.13557481</v>
      </c>
      <c r="H37" s="20" t="n">
        <v>2.12186458</v>
      </c>
      <c r="I37" s="18" t="s">
        <v>567</v>
      </c>
      <c r="J37" s="20" t="s">
        <v>567</v>
      </c>
      <c r="K37" s="18" t="n">
        <v>1.18266653</v>
      </c>
      <c r="L37" s="20" t="n">
        <v>0.36380504</v>
      </c>
      <c r="M37" s="18" t="n">
        <v>0</v>
      </c>
      <c r="N37" s="20" t="n">
        <v>0</v>
      </c>
      <c r="O37" s="18" t="n">
        <v>0</v>
      </c>
      <c r="P37" s="20" t="n">
        <v>0</v>
      </c>
      <c r="Q37" s="18" t="n">
        <v>16.03449929</v>
      </c>
      <c r="R37" s="20" t="n">
        <v>1.55662196</v>
      </c>
    </row>
    <row r="38" spans="1:18">
      <c r="A38" s="15" t="s">
        <v>598</v>
      </c>
      <c r="B38" s="17" t="n">
        <v>3053</v>
      </c>
      <c r="C38" s="18">
        <f>(2335.0/B38*100)</f>
        <v/>
      </c>
      <c r="D38" s="19" t="n">
        <v>718</v>
      </c>
      <c r="E38" s="18" t="n">
        <v>55.94113223</v>
      </c>
      <c r="F38" s="20" t="n">
        <v>1.98435616</v>
      </c>
      <c r="G38" s="18" t="n">
        <v>31.77696819</v>
      </c>
      <c r="H38" s="20" t="n">
        <v>2.01326865</v>
      </c>
      <c r="I38" s="18" t="s">
        <v>567</v>
      </c>
      <c r="J38" s="20" t="s">
        <v>567</v>
      </c>
      <c r="K38" s="18" t="n">
        <v>0.26031159</v>
      </c>
      <c r="L38" s="20" t="n">
        <v>0.17879023</v>
      </c>
      <c r="M38" s="18" t="n">
        <v>1.95044529</v>
      </c>
      <c r="N38" s="20" t="n">
        <v>0.52357421</v>
      </c>
      <c r="O38" s="18" t="n">
        <v>0</v>
      </c>
      <c r="P38" s="20" t="n">
        <v>0</v>
      </c>
      <c r="Q38" s="18" t="n">
        <v>10.0711427</v>
      </c>
      <c r="R38" s="20" t="n">
        <v>1.14129629</v>
      </c>
    </row>
    <row r="39" spans="1:18">
      <c r="A39" s="15" t="s">
        <v>599</v>
      </c>
      <c r="B39" s="17" t="n">
        <v>2957</v>
      </c>
      <c r="C39" s="18">
        <f>(2314.0/B39*100)</f>
        <v/>
      </c>
      <c r="D39" s="19" t="n">
        <v>643</v>
      </c>
      <c r="E39" s="18" t="n">
        <v>68.00636003</v>
      </c>
      <c r="F39" s="20" t="n">
        <v>1.865116</v>
      </c>
      <c r="G39" s="18" t="n">
        <v>10.26410688</v>
      </c>
      <c r="H39" s="20" t="n">
        <v>1.37732483</v>
      </c>
      <c r="I39" s="18" t="s">
        <v>567</v>
      </c>
      <c r="J39" s="20" t="s">
        <v>567</v>
      </c>
      <c r="K39" s="18" t="n">
        <v>0.19878655</v>
      </c>
      <c r="L39" s="20" t="n">
        <v>0.19840539</v>
      </c>
      <c r="M39" s="18" t="n">
        <v>0</v>
      </c>
      <c r="N39" s="20" t="n">
        <v>0</v>
      </c>
      <c r="O39" s="18" t="n">
        <v>0</v>
      </c>
      <c r="P39" s="20" t="n">
        <v>0</v>
      </c>
      <c r="Q39" s="18" t="n">
        <v>21.53074655</v>
      </c>
      <c r="R39" s="20" t="n">
        <v>1.98814022</v>
      </c>
    </row>
    <row r="40" spans="1:18">
      <c r="A40" s="15" t="s">
        <v>600</v>
      </c>
      <c r="B40" s="17" t="n">
        <v>7235</v>
      </c>
      <c r="C40" s="18">
        <f>(5587.0/B40*100)</f>
        <v/>
      </c>
      <c r="D40" s="19" t="n">
        <v>1648</v>
      </c>
      <c r="E40" s="18" t="n">
        <v>50.92818608</v>
      </c>
      <c r="F40" s="20" t="n">
        <v>1.92218795</v>
      </c>
      <c r="G40" s="18" t="n">
        <v>37.5597304</v>
      </c>
      <c r="H40" s="20" t="n">
        <v>1.92019229</v>
      </c>
      <c r="I40" s="18" t="s">
        <v>567</v>
      </c>
      <c r="J40" s="20" t="s">
        <v>567</v>
      </c>
      <c r="K40" s="18" t="n">
        <v>0.51295524</v>
      </c>
      <c r="L40" s="20" t="n">
        <v>0.25598097</v>
      </c>
      <c r="M40" s="18" t="n">
        <v>0.04543519</v>
      </c>
      <c r="N40" s="20" t="n">
        <v>0.0439945</v>
      </c>
      <c r="O40" s="18" t="n">
        <v>0</v>
      </c>
      <c r="P40" s="20" t="n">
        <v>0</v>
      </c>
      <c r="Q40" s="18" t="n">
        <v>10.95369308</v>
      </c>
      <c r="R40" s="20" t="n">
        <v>1.27071072</v>
      </c>
    </row>
    <row r="41" spans="1:18">
      <c r="A41" s="15" t="s">
        <v>601</v>
      </c>
      <c r="B41" s="17" t="n">
        <v>2858</v>
      </c>
      <c r="C41" s="18">
        <f>(2257.0/B41*100)</f>
        <v/>
      </c>
      <c r="D41" s="19" t="n">
        <v>601</v>
      </c>
      <c r="E41" s="18" t="n">
        <v>66.46715059</v>
      </c>
      <c r="F41" s="20" t="n">
        <v>1.96414865</v>
      </c>
      <c r="G41" s="18" t="n">
        <v>28.01111317</v>
      </c>
      <c r="H41" s="20" t="n">
        <v>2.01863416</v>
      </c>
      <c r="I41" s="18" t="s">
        <v>567</v>
      </c>
      <c r="J41" s="20" t="s">
        <v>567</v>
      </c>
      <c r="K41" s="18" t="n">
        <v>0.22802885</v>
      </c>
      <c r="L41" s="20" t="n">
        <v>0.18539937</v>
      </c>
      <c r="M41" s="18" t="n">
        <v>0</v>
      </c>
      <c r="N41" s="20" t="n">
        <v>0</v>
      </c>
      <c r="O41" s="18" t="n">
        <v>0</v>
      </c>
      <c r="P41" s="20" t="n">
        <v>0</v>
      </c>
      <c r="Q41" s="18" t="n">
        <v>5.29370738</v>
      </c>
      <c r="R41" s="20" t="n">
        <v>1.09365265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(9172.0/B46*100)</f>
        <v/>
      </c>
      <c r="D46" s="19" t="n">
        <v>1896</v>
      </c>
      <c r="E46" s="18" t="n">
        <v>56.9988351</v>
      </c>
      <c r="F46" s="20" t="n">
        <v>1.37304583</v>
      </c>
      <c r="G46" s="18" t="n">
        <v>20.72183144</v>
      </c>
      <c r="H46" s="20" t="n">
        <v>1.4114099</v>
      </c>
      <c r="I46" s="18" t="s">
        <v>567</v>
      </c>
      <c r="J46" s="20" t="s">
        <v>567</v>
      </c>
      <c r="K46" s="18" t="n">
        <v>1.46926209</v>
      </c>
      <c r="L46" s="20" t="n">
        <v>0.35316079</v>
      </c>
      <c r="M46" s="18" t="n">
        <v>0.5471602</v>
      </c>
      <c r="N46" s="20" t="n">
        <v>0.27230288</v>
      </c>
      <c r="O46" s="18" t="n">
        <v>0</v>
      </c>
      <c r="P46" s="20" t="n">
        <v>0</v>
      </c>
      <c r="Q46" s="18" t="n">
        <v>20.26291117</v>
      </c>
      <c r="R46" s="20" t="n">
        <v>1.15577218</v>
      </c>
    </row>
    <row r="47" spans="1:18">
      <c r="A47" s="15" t="s">
        <v>607</v>
      </c>
      <c r="B47" s="17" t="n">
        <v>3105</v>
      </c>
      <c r="C47" s="18">
        <f>(2452.0/B47*100)</f>
        <v/>
      </c>
      <c r="D47" s="19" t="n">
        <v>653</v>
      </c>
      <c r="E47" s="18" t="n">
        <v>48.72738344</v>
      </c>
      <c r="F47" s="20" t="n">
        <v>1.78534271</v>
      </c>
      <c r="G47" s="18" t="n">
        <v>21.07956402</v>
      </c>
      <c r="H47" s="20" t="n">
        <v>1.67419852</v>
      </c>
      <c r="I47" s="18" t="s">
        <v>567</v>
      </c>
      <c r="J47" s="20" t="s">
        <v>567</v>
      </c>
      <c r="K47" s="18" t="n">
        <v>0.90246159</v>
      </c>
      <c r="L47" s="20" t="n">
        <v>0.36839195</v>
      </c>
      <c r="M47" s="18" t="n">
        <v>0.28939896</v>
      </c>
      <c r="N47" s="20" t="n">
        <v>0.20570597</v>
      </c>
      <c r="O47" s="18" t="n">
        <v>0</v>
      </c>
      <c r="P47" s="20" t="n">
        <v>0</v>
      </c>
      <c r="Q47" s="18" t="n">
        <v>29.00119199</v>
      </c>
      <c r="R47" s="20" t="n">
        <v>2.13350791</v>
      </c>
    </row>
    <row r="48" spans="1:18">
      <c r="A48" s="15" t="s">
        <v>608</v>
      </c>
      <c r="B48" s="17" t="n">
        <v>5159</v>
      </c>
      <c r="C48" s="18">
        <f>(4016.0/B48*100)</f>
        <v/>
      </c>
      <c r="D48" s="19" t="n">
        <v>1143</v>
      </c>
      <c r="E48" s="18" t="n">
        <v>56.49066518</v>
      </c>
      <c r="F48" s="20" t="n">
        <v>1.94521122</v>
      </c>
      <c r="G48" s="18" t="n">
        <v>31.95844898</v>
      </c>
      <c r="H48" s="20" t="n">
        <v>1.73376941</v>
      </c>
      <c r="I48" s="18" t="s">
        <v>567</v>
      </c>
      <c r="J48" s="20" t="s">
        <v>567</v>
      </c>
      <c r="K48" s="18" t="n">
        <v>0.43426836</v>
      </c>
      <c r="L48" s="20" t="n">
        <v>0.1105966</v>
      </c>
      <c r="M48" s="18" t="n">
        <v>0</v>
      </c>
      <c r="N48" s="20" t="n">
        <v>0</v>
      </c>
      <c r="O48" s="18" t="n">
        <v>0</v>
      </c>
      <c r="P48" s="20" t="n">
        <v>0</v>
      </c>
      <c r="Q48" s="18" t="n">
        <v>11.11661748</v>
      </c>
      <c r="R48" s="20" t="n">
        <v>1.25411427</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(4448.0/B50*100)</f>
        <v/>
      </c>
      <c r="D50" s="19" t="n">
        <v>1189</v>
      </c>
      <c r="E50" s="18" t="n">
        <v>67.68004562</v>
      </c>
      <c r="F50" s="20" t="n">
        <v>1.82197024</v>
      </c>
      <c r="G50" s="18" t="n">
        <v>22.91306362</v>
      </c>
      <c r="H50" s="20" t="n">
        <v>1.65992854</v>
      </c>
      <c r="I50" s="18" t="s">
        <v>567</v>
      </c>
      <c r="J50" s="20" t="s">
        <v>567</v>
      </c>
      <c r="K50" s="18" t="n">
        <v>1.47660331</v>
      </c>
      <c r="L50" s="20" t="n">
        <v>0.6335471</v>
      </c>
      <c r="M50" s="18" t="n">
        <v>0.01857464</v>
      </c>
      <c r="N50" s="20" t="n">
        <v>0.01866968</v>
      </c>
      <c r="O50" s="18" t="n">
        <v>0</v>
      </c>
      <c r="P50" s="20" t="n">
        <v>0</v>
      </c>
      <c r="Q50" s="18" t="n">
        <v>7.91171281</v>
      </c>
      <c r="R50" s="20" t="n">
        <v>1.05383786</v>
      </c>
    </row>
    <row r="51" spans="1:18">
      <c r="A51" s="15" t="s">
        <v>611</v>
      </c>
      <c r="B51" s="17" t="n">
        <v>3372</v>
      </c>
      <c r="C51" s="18">
        <f>(2761.0/B51*100)</f>
        <v/>
      </c>
      <c r="D51" s="19" t="n">
        <v>611</v>
      </c>
      <c r="E51" s="18" t="n">
        <v>78.81001381999999</v>
      </c>
      <c r="F51" s="20" t="n">
        <v>1.89714419</v>
      </c>
      <c r="G51" s="18" t="n">
        <v>10.66491068</v>
      </c>
      <c r="H51" s="20" t="n">
        <v>1.31660829</v>
      </c>
      <c r="I51" s="18" t="s">
        <v>567</v>
      </c>
      <c r="J51" s="20" t="s">
        <v>567</v>
      </c>
      <c r="K51" s="18" t="n">
        <v>0.83404193</v>
      </c>
      <c r="L51" s="20" t="n">
        <v>0.39275741</v>
      </c>
      <c r="M51" s="18" t="n">
        <v>0</v>
      </c>
      <c r="N51" s="20" t="n">
        <v>0</v>
      </c>
      <c r="O51" s="18" t="n">
        <v>0</v>
      </c>
      <c r="P51" s="20" t="n">
        <v>0</v>
      </c>
      <c r="Q51" s="18" t="n">
        <v>9.69103357</v>
      </c>
      <c r="R51" s="20" t="n">
        <v>1.37476853</v>
      </c>
    </row>
    <row r="52" spans="1:18">
      <c r="A52" s="15" t="s">
        <v>612</v>
      </c>
      <c r="B52" s="17" t="n">
        <v>2796</v>
      </c>
      <c r="C52" s="18">
        <f>(2183.0/B52*100)</f>
        <v/>
      </c>
      <c r="D52" s="19" t="n">
        <v>613</v>
      </c>
      <c r="E52" s="18" t="n">
        <v>54.21493837</v>
      </c>
      <c r="F52" s="20" t="n">
        <v>2.05050615</v>
      </c>
      <c r="G52" s="18" t="n">
        <v>26.86017994</v>
      </c>
      <c r="H52" s="20" t="n">
        <v>1.89414683</v>
      </c>
      <c r="I52" s="18" t="s">
        <v>567</v>
      </c>
      <c r="J52" s="20" t="s">
        <v>567</v>
      </c>
      <c r="K52" s="18" t="n">
        <v>0.28139669</v>
      </c>
      <c r="L52" s="20" t="n">
        <v>0.19759021</v>
      </c>
      <c r="M52" s="18" t="n">
        <v>0</v>
      </c>
      <c r="N52" s="20" t="n">
        <v>0</v>
      </c>
      <c r="O52" s="18" t="n">
        <v>0</v>
      </c>
      <c r="P52" s="20" t="n">
        <v>0</v>
      </c>
      <c r="Q52" s="18" t="n">
        <v>18.643485</v>
      </c>
      <c r="R52" s="20" t="n">
        <v>1.33033354</v>
      </c>
    </row>
    <row r="53" spans="1:18">
      <c r="A53" s="15" t="s">
        <v>613</v>
      </c>
      <c r="B53" s="17" t="n">
        <v>2811</v>
      </c>
      <c r="C53" s="18">
        <f>(2186.0/B53*100)</f>
        <v/>
      </c>
      <c r="D53" s="19" t="n">
        <v>625</v>
      </c>
      <c r="E53" s="18" t="n">
        <v>59.71135728</v>
      </c>
      <c r="F53" s="20" t="n">
        <v>2.1439258</v>
      </c>
      <c r="G53" s="18" t="n">
        <v>17.01068073</v>
      </c>
      <c r="H53" s="20" t="n">
        <v>1.53970483</v>
      </c>
      <c r="I53" s="18" t="s">
        <v>567</v>
      </c>
      <c r="J53" s="20" t="s">
        <v>567</v>
      </c>
      <c r="K53" s="18" t="n">
        <v>0.5562238</v>
      </c>
      <c r="L53" s="20" t="n">
        <v>0.29460159</v>
      </c>
      <c r="M53" s="18" t="n">
        <v>0</v>
      </c>
      <c r="N53" s="20" t="n">
        <v>0</v>
      </c>
      <c r="O53" s="18" t="n">
        <v>0</v>
      </c>
      <c r="P53" s="20" t="n">
        <v>0</v>
      </c>
      <c r="Q53" s="18" t="n">
        <v>22.7217382</v>
      </c>
      <c r="R53" s="20" t="n">
        <v>1.76921581</v>
      </c>
    </row>
    <row r="54" spans="1:18">
      <c r="A54" s="15" t="s">
        <v>614</v>
      </c>
      <c r="B54" s="17" t="n">
        <v>2266</v>
      </c>
      <c r="C54" s="18">
        <f>(1791.0/B54*100)</f>
        <v/>
      </c>
      <c r="D54" s="19" t="n">
        <v>475</v>
      </c>
      <c r="E54" s="18" t="n">
        <v>50.88913607</v>
      </c>
      <c r="F54" s="20" t="n">
        <v>2.39993365</v>
      </c>
      <c r="G54" s="18" t="n">
        <v>6.26856326</v>
      </c>
      <c r="H54" s="20" t="n">
        <v>1.09601226</v>
      </c>
      <c r="I54" s="18" t="s">
        <v>567</v>
      </c>
      <c r="J54" s="20" t="s">
        <v>567</v>
      </c>
      <c r="K54" s="18" t="n">
        <v>12.63281638</v>
      </c>
      <c r="L54" s="20" t="n">
        <v>1.47039959</v>
      </c>
      <c r="M54" s="18" t="n">
        <v>0.85734288</v>
      </c>
      <c r="N54" s="20" t="n">
        <v>0.62849277</v>
      </c>
      <c r="O54" s="18" t="n">
        <v>0</v>
      </c>
      <c r="P54" s="20" t="n">
        <v>0</v>
      </c>
      <c r="Q54" s="18" t="n">
        <v>29.35214142</v>
      </c>
      <c r="R54" s="20" t="n">
        <v>2.52650542</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(2090.0/B56*100)</f>
        <v/>
      </c>
      <c r="D56" s="19" t="n">
        <v>594</v>
      </c>
      <c r="E56" s="18" t="n">
        <v>48.98293048</v>
      </c>
      <c r="F56" s="20" t="n">
        <v>2.14985163</v>
      </c>
      <c r="G56" s="18" t="n">
        <v>44.86175523</v>
      </c>
      <c r="H56" s="20" t="n">
        <v>2.30579784</v>
      </c>
      <c r="I56" s="18" t="s">
        <v>567</v>
      </c>
      <c r="J56" s="20" t="s">
        <v>567</v>
      </c>
      <c r="K56" s="18" t="n">
        <v>0.44584376</v>
      </c>
      <c r="L56" s="20" t="n">
        <v>0.35793229</v>
      </c>
      <c r="M56" s="18" t="n">
        <v>0</v>
      </c>
      <c r="N56" s="20" t="n">
        <v>0</v>
      </c>
      <c r="O56" s="18" t="n">
        <v>0</v>
      </c>
      <c r="P56" s="20" t="n">
        <v>0</v>
      </c>
      <c r="Q56" s="18" t="n">
        <v>5.70947053</v>
      </c>
      <c r="R56" s="20" t="n">
        <v>1.00745347</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(2604.0/B61*100)</f>
        <v/>
      </c>
      <c r="D61" s="19" t="n">
        <v>720</v>
      </c>
      <c r="E61" s="18" t="n">
        <v>64.28971554</v>
      </c>
      <c r="F61" s="20" t="n">
        <v>1.95260496</v>
      </c>
      <c r="G61" s="18" t="n">
        <v>14.87441441</v>
      </c>
      <c r="H61" s="20" t="n">
        <v>1.47914716</v>
      </c>
      <c r="I61" s="18" t="s">
        <v>567</v>
      </c>
      <c r="J61" s="20" t="s">
        <v>567</v>
      </c>
      <c r="K61" s="18" t="n">
        <v>0.04501615</v>
      </c>
      <c r="L61" s="20" t="n">
        <v>0.04513244</v>
      </c>
      <c r="M61" s="18" t="n">
        <v>0</v>
      </c>
      <c r="N61" s="20" t="n">
        <v>0</v>
      </c>
      <c r="O61" s="18" t="n">
        <v>0</v>
      </c>
      <c r="P61" s="20" t="n">
        <v>0</v>
      </c>
      <c r="Q61" s="18" t="n">
        <v>20.7908539</v>
      </c>
      <c r="R61" s="20" t="n">
        <v>1.57851473</v>
      </c>
    </row>
    <row r="62" spans="1:18">
      <c r="A62" s="15" t="s">
        <v>622</v>
      </c>
      <c r="B62" s="17" t="n">
        <v>2246</v>
      </c>
      <c r="C62" s="18">
        <f>(1743.0/B62*100)</f>
        <v/>
      </c>
      <c r="D62" s="19" t="n">
        <v>503</v>
      </c>
      <c r="E62" s="18" t="n">
        <v>58.45203519</v>
      </c>
      <c r="F62" s="20" t="n">
        <v>2.17907549</v>
      </c>
      <c r="G62" s="18" t="n">
        <v>36.99326579</v>
      </c>
      <c r="H62" s="20" t="n">
        <v>2.12625849</v>
      </c>
      <c r="I62" s="18" t="s">
        <v>567</v>
      </c>
      <c r="J62" s="20" t="s">
        <v>567</v>
      </c>
      <c r="K62" s="18" t="n">
        <v>0</v>
      </c>
      <c r="L62" s="20" t="n">
        <v>0</v>
      </c>
      <c r="M62" s="18" t="n">
        <v>0</v>
      </c>
      <c r="N62" s="20" t="n">
        <v>0</v>
      </c>
      <c r="O62" s="18" t="n">
        <v>0</v>
      </c>
      <c r="P62" s="20" t="n">
        <v>0</v>
      </c>
      <c r="Q62" s="18" t="n">
        <v>4.55469902</v>
      </c>
      <c r="R62" s="20" t="n">
        <v>0.8980233399999999</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(2323.0/B66*100)</f>
        <v/>
      </c>
      <c r="D66" s="19" t="n">
        <v>571</v>
      </c>
      <c r="E66" s="18" t="n">
        <v>36.02761789</v>
      </c>
      <c r="F66" s="20" t="n">
        <v>2.14117046</v>
      </c>
      <c r="G66" s="18" t="n">
        <v>5.68446975</v>
      </c>
      <c r="H66" s="20" t="n">
        <v>1.04656596</v>
      </c>
      <c r="I66" s="18" t="s">
        <v>567</v>
      </c>
      <c r="J66" s="20" t="s">
        <v>567</v>
      </c>
      <c r="K66" s="18" t="n">
        <v>0.40746243</v>
      </c>
      <c r="L66" s="20" t="n">
        <v>0.28941882</v>
      </c>
      <c r="M66" s="18" t="n">
        <v>29.55267933</v>
      </c>
      <c r="N66" s="20" t="n">
        <v>1.89818671</v>
      </c>
      <c r="O66" s="18" t="n">
        <v>0</v>
      </c>
      <c r="P66" s="20" t="n">
        <v>0</v>
      </c>
      <c r="Q66" s="18" t="n">
        <v>28.3277706</v>
      </c>
      <c r="R66" s="20" t="n">
        <v>1.98189151</v>
      </c>
    </row>
    <row r="67" spans="1:18">
      <c r="A67" s="15" t="s">
        <v>627</v>
      </c>
      <c r="B67" s="17" t="n">
        <v>3511</v>
      </c>
      <c r="C67" s="18">
        <f>(2829.0/B67*100)</f>
        <v/>
      </c>
      <c r="D67" s="19" t="n">
        <v>682</v>
      </c>
      <c r="E67" s="18" t="n">
        <v>71.75299787</v>
      </c>
      <c r="F67" s="20" t="n">
        <v>1.6748917</v>
      </c>
      <c r="G67" s="18" t="n">
        <v>12.35714814</v>
      </c>
      <c r="H67" s="20" t="n">
        <v>1.28156729</v>
      </c>
      <c r="I67" s="18" t="s">
        <v>567</v>
      </c>
      <c r="J67" s="20" t="s">
        <v>567</v>
      </c>
      <c r="K67" s="18" t="n">
        <v>0.52622034</v>
      </c>
      <c r="L67" s="20" t="n">
        <v>0.41502857</v>
      </c>
      <c r="M67" s="18" t="n">
        <v>0.21689532</v>
      </c>
      <c r="N67" s="20" t="n">
        <v>0.15582492</v>
      </c>
      <c r="O67" s="18" t="n">
        <v>0</v>
      </c>
      <c r="P67" s="20" t="n">
        <v>0</v>
      </c>
      <c r="Q67" s="18" t="n">
        <v>15.14673832</v>
      </c>
      <c r="R67" s="20" t="n">
        <v>1.3027848</v>
      </c>
    </row>
    <row r="68" spans="1:18">
      <c r="A68" s="15" t="s">
        <v>628</v>
      </c>
      <c r="B68" s="17" t="n">
        <v>6049</v>
      </c>
      <c r="C68" s="18">
        <f>(4680.0/B68*100)</f>
        <v/>
      </c>
      <c r="D68" s="19" t="n">
        <v>1369</v>
      </c>
      <c r="E68" s="18" t="n">
        <v>59.40160748</v>
      </c>
      <c r="F68" s="20" t="n">
        <v>1.25963078</v>
      </c>
      <c r="G68" s="18" t="n">
        <v>20.2428071</v>
      </c>
      <c r="H68" s="20" t="n">
        <v>1.06545981</v>
      </c>
      <c r="I68" s="18" t="s">
        <v>567</v>
      </c>
      <c r="J68" s="20" t="s">
        <v>567</v>
      </c>
      <c r="K68" s="18" t="n">
        <v>3.41037807</v>
      </c>
      <c r="L68" s="20" t="n">
        <v>0.42237975</v>
      </c>
      <c r="M68" s="18" t="n">
        <v>0.07064649000000001</v>
      </c>
      <c r="N68" s="20" t="n">
        <v>0.07074842000000001</v>
      </c>
      <c r="O68" s="18" t="n">
        <v>0</v>
      </c>
      <c r="P68" s="20" t="n">
        <v>0</v>
      </c>
      <c r="Q68" s="18" t="n">
        <v>16.87456086</v>
      </c>
      <c r="R68" s="20" t="n">
        <v>1.05910859</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(2319.0/B70*100)</f>
        <v/>
      </c>
      <c r="D70" s="19" t="n">
        <v>610</v>
      </c>
      <c r="E70" s="18" t="n">
        <v>62.51375614</v>
      </c>
      <c r="F70" s="20" t="n">
        <v>2.65590363</v>
      </c>
      <c r="G70" s="18" t="n">
        <v>26.54292321</v>
      </c>
      <c r="H70" s="20" t="n">
        <v>2.36435959</v>
      </c>
      <c r="I70" s="18" t="s">
        <v>567</v>
      </c>
      <c r="J70" s="20" t="s">
        <v>567</v>
      </c>
      <c r="K70" s="18" t="n">
        <v>0.14940441</v>
      </c>
      <c r="L70" s="20" t="n">
        <v>0.1476848</v>
      </c>
      <c r="M70" s="18" t="n">
        <v>0.18431425</v>
      </c>
      <c r="N70" s="20" t="n">
        <v>0.1836577</v>
      </c>
      <c r="O70" s="18" t="n">
        <v>0</v>
      </c>
      <c r="P70" s="20" t="n">
        <v>0</v>
      </c>
      <c r="Q70" s="18" t="n">
        <v>10.60960199</v>
      </c>
      <c r="R70" s="20" t="n">
        <v>1.4361916</v>
      </c>
    </row>
    <row r="71" spans="1:18">
      <c r="A71" s="15" t="s">
        <v>631</v>
      </c>
      <c r="B71" s="17" t="n">
        <v>3142</v>
      </c>
      <c r="C71" s="18">
        <f>(2465.0/B71*100)</f>
        <v/>
      </c>
      <c r="D71" s="19" t="n">
        <v>677</v>
      </c>
      <c r="E71" s="18" t="n">
        <v>54.0915783</v>
      </c>
      <c r="F71" s="20" t="n">
        <v>1.78132335</v>
      </c>
      <c r="G71" s="18" t="n">
        <v>39.9389266</v>
      </c>
      <c r="H71" s="20" t="n">
        <v>1.68052137</v>
      </c>
      <c r="I71" s="18" t="s">
        <v>567</v>
      </c>
      <c r="J71" s="20" t="s">
        <v>567</v>
      </c>
      <c r="K71" s="18" t="n">
        <v>0.29314663</v>
      </c>
      <c r="L71" s="20" t="n">
        <v>0.20814917</v>
      </c>
      <c r="M71" s="18" t="n">
        <v>0</v>
      </c>
      <c r="N71" s="20" t="n">
        <v>0</v>
      </c>
      <c r="O71" s="18" t="n">
        <v>0</v>
      </c>
      <c r="P71" s="20" t="n">
        <v>0</v>
      </c>
      <c r="Q71" s="18" t="n">
        <v>5.67634847</v>
      </c>
      <c r="R71" s="20" t="n">
        <v>0.87582167</v>
      </c>
    </row>
    <row r="72" spans="1:18">
      <c r="A72" s="15" t="s">
        <v>632</v>
      </c>
      <c r="B72" s="17" t="n">
        <v>3889</v>
      </c>
      <c r="C72" s="18">
        <f>(3054.0/B72*100)</f>
        <v/>
      </c>
      <c r="D72" s="19" t="n">
        <v>835</v>
      </c>
      <c r="E72" s="18" t="n">
        <v>56.83426383</v>
      </c>
      <c r="F72" s="20" t="n">
        <v>1.82491705</v>
      </c>
      <c r="G72" s="18" t="n">
        <v>36.23800659</v>
      </c>
      <c r="H72" s="20" t="n">
        <v>1.85182767</v>
      </c>
      <c r="I72" s="18" t="s">
        <v>567</v>
      </c>
      <c r="J72" s="20" t="s">
        <v>567</v>
      </c>
      <c r="K72" s="18" t="n">
        <v>0.22349957</v>
      </c>
      <c r="L72" s="20" t="n">
        <v>0.17098983</v>
      </c>
      <c r="M72" s="18" t="n">
        <v>0</v>
      </c>
      <c r="N72" s="20" t="n">
        <v>0</v>
      </c>
      <c r="O72" s="18" t="n">
        <v>0</v>
      </c>
      <c r="P72" s="20" t="n">
        <v>0</v>
      </c>
      <c r="Q72" s="18" t="n">
        <v>6.70423001</v>
      </c>
      <c r="R72" s="20" t="n">
        <v>1.02970093</v>
      </c>
    </row>
    <row r="73" spans="1:18">
      <c r="A73" s="15" t="s">
        <v>633</v>
      </c>
      <c r="B73" s="17" t="n">
        <v>3597</v>
      </c>
      <c r="C73" s="18">
        <f>(2814.0/B73*100)</f>
        <v/>
      </c>
      <c r="D73" s="19" t="n">
        <v>783</v>
      </c>
      <c r="E73" s="18" t="n">
        <v>82.24975522</v>
      </c>
      <c r="F73" s="20" t="n">
        <v>1.79251785</v>
      </c>
      <c r="G73" s="18" t="n">
        <v>12.24516177</v>
      </c>
      <c r="H73" s="20" t="n">
        <v>1.45229433</v>
      </c>
      <c r="I73" s="18" t="s">
        <v>567</v>
      </c>
      <c r="J73" s="20" t="s">
        <v>567</v>
      </c>
      <c r="K73" s="18" t="n">
        <v>0.17907597</v>
      </c>
      <c r="L73" s="20" t="n">
        <v>0.12991198</v>
      </c>
      <c r="M73" s="18" t="n">
        <v>0</v>
      </c>
      <c r="N73" s="20" t="n">
        <v>0</v>
      </c>
      <c r="O73" s="18" t="n">
        <v>0</v>
      </c>
      <c r="P73" s="20" t="n">
        <v>0</v>
      </c>
      <c r="Q73" s="18" t="n">
        <v>5.32600704</v>
      </c>
      <c r="R73" s="20" t="n">
        <v>1.163148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(1940.0/B75*100)</f>
        <v/>
      </c>
      <c r="D75" s="19" t="n">
        <v>466</v>
      </c>
      <c r="E75" s="18" t="n">
        <v>63.26508621</v>
      </c>
      <c r="F75" s="20" t="n">
        <v>2.7189179</v>
      </c>
      <c r="G75" s="18" t="n">
        <v>3.95495146</v>
      </c>
      <c r="H75" s="20" t="n">
        <v>0.96179494</v>
      </c>
      <c r="I75" s="18" t="s">
        <v>567</v>
      </c>
      <c r="J75" s="20" t="s">
        <v>567</v>
      </c>
      <c r="K75" s="18" t="n">
        <v>2.24436247</v>
      </c>
      <c r="L75" s="20" t="n">
        <v>0.66541051</v>
      </c>
      <c r="M75" s="18" t="n">
        <v>0</v>
      </c>
      <c r="N75" s="20" t="n">
        <v>0</v>
      </c>
      <c r="O75" s="18" t="n">
        <v>0</v>
      </c>
      <c r="P75" s="20" t="n">
        <v>0</v>
      </c>
      <c r="Q75" s="18" t="n">
        <v>30.53559985</v>
      </c>
      <c r="R75" s="20" t="n">
        <v>2.65167425</v>
      </c>
    </row>
    <row r="76" spans="1:18">
      <c r="A76" s="15" t="s">
        <v>636</v>
      </c>
      <c r="B76" s="17" t="n">
        <v>7052</v>
      </c>
      <c r="C76" s="18">
        <f>(5491.0/B76*100)</f>
        <v/>
      </c>
      <c r="D76" s="19" t="n">
        <v>1561</v>
      </c>
      <c r="E76" s="18" t="n">
        <v>69.19973185000001</v>
      </c>
      <c r="F76" s="20" t="n">
        <v>1.57591793</v>
      </c>
      <c r="G76" s="18" t="n">
        <v>19.20421489</v>
      </c>
      <c r="H76" s="20" t="n">
        <v>1.31527745</v>
      </c>
      <c r="I76" s="18" t="s">
        <v>567</v>
      </c>
      <c r="J76" s="20" t="s">
        <v>567</v>
      </c>
      <c r="K76" s="18" t="n">
        <v>1.42578162</v>
      </c>
      <c r="L76" s="20" t="n">
        <v>0.36498121</v>
      </c>
      <c r="M76" s="18" t="n">
        <v>0.34466334</v>
      </c>
      <c r="N76" s="20" t="n">
        <v>0.25163513</v>
      </c>
      <c r="O76" s="18" t="n">
        <v>0</v>
      </c>
      <c r="P76" s="20" t="n">
        <v>0</v>
      </c>
      <c r="Q76" s="18" t="n">
        <v>9.82560831</v>
      </c>
      <c r="R76" s="20" t="n">
        <v>0.94755593</v>
      </c>
    </row>
    <row r="77" spans="1:18">
      <c r="A77" s="15" t="s">
        <v>637</v>
      </c>
      <c r="B77" s="17" t="n">
        <v>2908</v>
      </c>
      <c r="C77" s="18">
        <f>(2306.0/B77*100)</f>
        <v/>
      </c>
      <c r="D77" s="19" t="n">
        <v>602</v>
      </c>
      <c r="E77" s="18" t="n">
        <v>45.35864461</v>
      </c>
      <c r="F77" s="20" t="n">
        <v>2.19602662</v>
      </c>
      <c r="G77" s="18" t="n">
        <v>28.12616781</v>
      </c>
      <c r="H77" s="20" t="n">
        <v>1.95662992</v>
      </c>
      <c r="I77" s="18" t="s">
        <v>567</v>
      </c>
      <c r="J77" s="20" t="s">
        <v>567</v>
      </c>
      <c r="K77" s="18" t="n">
        <v>1.33101407</v>
      </c>
      <c r="L77" s="20" t="n">
        <v>0.4495196</v>
      </c>
      <c r="M77" s="18" t="n">
        <v>0</v>
      </c>
      <c r="N77" s="20" t="n">
        <v>0</v>
      </c>
      <c r="O77" s="18" t="n">
        <v>0</v>
      </c>
      <c r="P77" s="20" t="n">
        <v>0</v>
      </c>
      <c r="Q77" s="18" t="n">
        <v>25.18417352</v>
      </c>
      <c r="R77" s="20" t="n">
        <v>1.76736984</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(3236.0/B81*100)</f>
        <v/>
      </c>
      <c r="D81" s="19" t="n">
        <v>927</v>
      </c>
      <c r="E81" s="18" t="n">
        <v>80.16123442999999</v>
      </c>
      <c r="F81" s="20" t="n">
        <v>1.24677657</v>
      </c>
      <c r="G81" s="18" t="n">
        <v>15.87366628</v>
      </c>
      <c r="H81" s="20" t="n">
        <v>1.19852327</v>
      </c>
      <c r="I81" s="18" t="s">
        <v>567</v>
      </c>
      <c r="J81" s="20" t="s">
        <v>567</v>
      </c>
      <c r="K81" s="18" t="n">
        <v>0</v>
      </c>
      <c r="L81" s="20" t="n">
        <v>0</v>
      </c>
      <c r="M81" s="18" t="n">
        <v>0</v>
      </c>
      <c r="N81" s="20" t="n">
        <v>0</v>
      </c>
      <c r="O81" s="18" t="n">
        <v>0</v>
      </c>
      <c r="P81" s="20" t="n">
        <v>0</v>
      </c>
      <c r="Q81" s="18" t="n">
        <v>3.96509929</v>
      </c>
      <c r="R81" s="20" t="n">
        <v>0.6716698800000001</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(5782.0/B7*100)</f>
        <v/>
      </c>
      <c r="D7" s="19" t="n">
        <v>1585</v>
      </c>
      <c r="E7" s="18" t="n">
        <v>13.2320638</v>
      </c>
      <c r="F7" s="20" t="n">
        <v>1.01843615</v>
      </c>
      <c r="G7" s="18" t="n">
        <v>84.46609142</v>
      </c>
      <c r="H7" s="20" t="n">
        <v>1.10777674</v>
      </c>
      <c r="I7" s="18" t="s">
        <v>567</v>
      </c>
      <c r="J7" s="20" t="s">
        <v>567</v>
      </c>
      <c r="K7" s="18" t="n">
        <v>1.03980296</v>
      </c>
      <c r="L7" s="20" t="n">
        <v>0.31861034</v>
      </c>
      <c r="M7" s="18" t="n">
        <v>0</v>
      </c>
      <c r="N7" s="20" t="n">
        <v>0</v>
      </c>
      <c r="O7" s="18" t="n">
        <v>0</v>
      </c>
      <c r="P7" s="20" t="n">
        <v>0</v>
      </c>
      <c r="Q7" s="18" t="n">
        <v>1.26204182</v>
      </c>
      <c r="R7" s="20" t="n">
        <v>0.30079458</v>
      </c>
    </row>
    <row r="8" spans="1:18">
      <c r="A8" s="15" t="s">
        <v>568</v>
      </c>
      <c r="B8" s="17" t="n">
        <v>3564</v>
      </c>
      <c r="C8" s="18">
        <f>(2788.0/B8*100)</f>
        <v/>
      </c>
      <c r="D8" s="19" t="n">
        <v>776</v>
      </c>
      <c r="E8" s="18" t="n">
        <v>11.04954301</v>
      </c>
      <c r="F8" s="20" t="n">
        <v>1.24724278</v>
      </c>
      <c r="G8" s="18" t="n">
        <v>87.94292174</v>
      </c>
      <c r="H8" s="20" t="n">
        <v>1.28530365</v>
      </c>
      <c r="I8" s="18" t="s">
        <v>567</v>
      </c>
      <c r="J8" s="20" t="s">
        <v>567</v>
      </c>
      <c r="K8" s="18" t="n">
        <v>0.30330693</v>
      </c>
      <c r="L8" s="20" t="n">
        <v>0.21192902</v>
      </c>
      <c r="M8" s="18" t="n">
        <v>0</v>
      </c>
      <c r="N8" s="20" t="n">
        <v>0</v>
      </c>
      <c r="O8" s="18" t="n">
        <v>0</v>
      </c>
      <c r="P8" s="20" t="n">
        <v>0</v>
      </c>
      <c r="Q8" s="18" t="n">
        <v>0.70422832</v>
      </c>
      <c r="R8" s="20" t="n">
        <v>0.24227809</v>
      </c>
    </row>
    <row r="9" spans="1:18">
      <c r="A9" s="15" t="s">
        <v>569</v>
      </c>
      <c r="B9" s="17" t="n">
        <v>4899</v>
      </c>
      <c r="C9" s="18">
        <f>(3854.0/B9*100)</f>
        <v/>
      </c>
      <c r="D9" s="19" t="n">
        <v>1045</v>
      </c>
      <c r="E9" s="18" t="n">
        <v>14.00930437</v>
      </c>
      <c r="F9" s="20" t="n">
        <v>1.1905186</v>
      </c>
      <c r="G9" s="18" t="n">
        <v>84.97455357</v>
      </c>
      <c r="H9" s="20" t="n">
        <v>1.17068711</v>
      </c>
      <c r="I9" s="18" t="s">
        <v>567</v>
      </c>
      <c r="J9" s="20" t="s">
        <v>567</v>
      </c>
      <c r="K9" s="18" t="n">
        <v>0.56354063</v>
      </c>
      <c r="L9" s="20" t="n">
        <v>0.26277271</v>
      </c>
      <c r="M9" s="18" t="n">
        <v>0</v>
      </c>
      <c r="N9" s="20" t="n">
        <v>0</v>
      </c>
      <c r="O9" s="18" t="n">
        <v>0</v>
      </c>
      <c r="P9" s="20" t="n">
        <v>0</v>
      </c>
      <c r="Q9" s="18" t="n">
        <v>0.45260143</v>
      </c>
      <c r="R9" s="20" t="n">
        <v>0.21058733</v>
      </c>
    </row>
    <row r="10" spans="1:18">
      <c r="A10" s="15" t="s">
        <v>570</v>
      </c>
      <c r="B10" s="17" t="n">
        <v>10036</v>
      </c>
      <c r="C10" s="18">
        <f>(7802.0/B10*100)</f>
        <v/>
      </c>
      <c r="D10" s="19" t="n">
        <v>2234</v>
      </c>
      <c r="E10" s="18" t="n">
        <v>9.626208630000001</v>
      </c>
      <c r="F10" s="20" t="n">
        <v>0.9525632000000001</v>
      </c>
      <c r="G10" s="18" t="n">
        <v>88.5982806</v>
      </c>
      <c r="H10" s="20" t="n">
        <v>1.04503567</v>
      </c>
      <c r="I10" s="18" t="s">
        <v>567</v>
      </c>
      <c r="J10" s="20" t="s">
        <v>567</v>
      </c>
      <c r="K10" s="18" t="n">
        <v>0.65989477</v>
      </c>
      <c r="L10" s="20" t="n">
        <v>0.25005903</v>
      </c>
      <c r="M10" s="18" t="n">
        <v>0</v>
      </c>
      <c r="N10" s="20" t="n">
        <v>0</v>
      </c>
      <c r="O10" s="18" t="n">
        <v>0</v>
      </c>
      <c r="P10" s="20" t="n">
        <v>0</v>
      </c>
      <c r="Q10" s="18" t="n">
        <v>1.115616</v>
      </c>
      <c r="R10" s="20" t="n">
        <v>0.30404518</v>
      </c>
    </row>
    <row r="11" spans="1:18">
      <c r="A11" s="15" t="s">
        <v>571</v>
      </c>
      <c r="B11" s="17" t="n">
        <v>3553</v>
      </c>
      <c r="C11" s="18">
        <f>(2778.0/B11*100)</f>
        <v/>
      </c>
      <c r="D11" s="19" t="n">
        <v>775</v>
      </c>
      <c r="E11" s="18" t="n">
        <v>11.29557311</v>
      </c>
      <c r="F11" s="20" t="n">
        <v>1.51239896</v>
      </c>
      <c r="G11" s="18" t="n">
        <v>86.07131187</v>
      </c>
      <c r="H11" s="20" t="n">
        <v>1.62158386</v>
      </c>
      <c r="I11" s="18" t="s">
        <v>567</v>
      </c>
      <c r="J11" s="20" t="s">
        <v>567</v>
      </c>
      <c r="K11" s="18" t="n">
        <v>0.69746145</v>
      </c>
      <c r="L11" s="20" t="n">
        <v>0.32705681</v>
      </c>
      <c r="M11" s="18" t="n">
        <v>0</v>
      </c>
      <c r="N11" s="20" t="n">
        <v>0</v>
      </c>
      <c r="O11" s="18" t="n">
        <v>0</v>
      </c>
      <c r="P11" s="20" t="n">
        <v>0</v>
      </c>
      <c r="Q11" s="18" t="n">
        <v>1.93565358</v>
      </c>
      <c r="R11" s="20" t="n">
        <v>0.6729288</v>
      </c>
    </row>
    <row r="12" spans="1:18">
      <c r="A12" s="15" t="s">
        <v>572</v>
      </c>
      <c r="B12" s="17" t="n">
        <v>3472</v>
      </c>
      <c r="C12" s="18">
        <f>(2711.0/B12*100)</f>
        <v/>
      </c>
      <c r="D12" s="19" t="n">
        <v>761</v>
      </c>
      <c r="E12" s="18" t="n">
        <v>17.32511842</v>
      </c>
      <c r="F12" s="20" t="n">
        <v>1.58755853</v>
      </c>
      <c r="G12" s="18" t="n">
        <v>81.35495409000001</v>
      </c>
      <c r="H12" s="20" t="n">
        <v>1.62014177</v>
      </c>
      <c r="I12" s="18" t="s">
        <v>567</v>
      </c>
      <c r="J12" s="20" t="s">
        <v>567</v>
      </c>
      <c r="K12" s="18" t="n">
        <v>0.24063895</v>
      </c>
      <c r="L12" s="20" t="n">
        <v>0.17105994</v>
      </c>
      <c r="M12" s="18" t="n">
        <v>0</v>
      </c>
      <c r="N12" s="20" t="n">
        <v>0</v>
      </c>
      <c r="O12" s="18" t="n">
        <v>0</v>
      </c>
      <c r="P12" s="20" t="n">
        <v>0</v>
      </c>
      <c r="Q12" s="18" t="n">
        <v>1.07928853</v>
      </c>
      <c r="R12" s="20" t="n">
        <v>0.39463008</v>
      </c>
    </row>
    <row r="13" spans="1:18">
      <c r="A13" s="15" t="s">
        <v>573</v>
      </c>
      <c r="B13" s="17" t="n">
        <v>3559</v>
      </c>
      <c r="C13" s="18">
        <f>(2803.0/B13*100)</f>
        <v/>
      </c>
      <c r="D13" s="19" t="n">
        <v>756</v>
      </c>
      <c r="E13" s="18" t="n">
        <v>17.43597703</v>
      </c>
      <c r="F13" s="20" t="n">
        <v>1.57104947</v>
      </c>
      <c r="G13" s="18" t="n">
        <v>80.49715784999999</v>
      </c>
      <c r="H13" s="20" t="n">
        <v>1.64172046</v>
      </c>
      <c r="I13" s="18" t="s">
        <v>567</v>
      </c>
      <c r="J13" s="20" t="s">
        <v>567</v>
      </c>
      <c r="K13" s="18" t="n">
        <v>1.13679854</v>
      </c>
      <c r="L13" s="20" t="n">
        <v>0.44453418</v>
      </c>
      <c r="M13" s="18" t="n">
        <v>0</v>
      </c>
      <c r="N13" s="20" t="n">
        <v>0</v>
      </c>
      <c r="O13" s="18" t="n">
        <v>0</v>
      </c>
      <c r="P13" s="20" t="n">
        <v>0</v>
      </c>
      <c r="Q13" s="18" t="n">
        <v>0.93006657</v>
      </c>
      <c r="R13" s="20" t="n">
        <v>0.33875701</v>
      </c>
    </row>
    <row r="14" spans="1:18">
      <c r="A14" s="15" t="s">
        <v>574</v>
      </c>
      <c r="B14" s="17" t="n">
        <v>2799</v>
      </c>
      <c r="C14" s="18">
        <f>(2175.0/B14*100)</f>
        <v/>
      </c>
      <c r="D14" s="19" t="n">
        <v>624</v>
      </c>
      <c r="E14" s="18" t="n">
        <v>11.03046992</v>
      </c>
      <c r="F14" s="20" t="n">
        <v>1.32034045</v>
      </c>
      <c r="G14" s="18" t="n">
        <v>88.17375833</v>
      </c>
      <c r="H14" s="20" t="n">
        <v>1.28834137</v>
      </c>
      <c r="I14" s="18" t="s">
        <v>567</v>
      </c>
      <c r="J14" s="20" t="s">
        <v>567</v>
      </c>
      <c r="K14" s="18" t="n">
        <v>0.14570416</v>
      </c>
      <c r="L14" s="20" t="n">
        <v>0.145459</v>
      </c>
      <c r="M14" s="18" t="n">
        <v>0</v>
      </c>
      <c r="N14" s="20" t="n">
        <v>0</v>
      </c>
      <c r="O14" s="18" t="n">
        <v>0</v>
      </c>
      <c r="P14" s="20" t="n">
        <v>0</v>
      </c>
      <c r="Q14" s="18" t="n">
        <v>0.65006759</v>
      </c>
      <c r="R14" s="20" t="n">
        <v>0.45073003</v>
      </c>
    </row>
    <row r="15" spans="1:18">
      <c r="A15" s="15" t="s">
        <v>575</v>
      </c>
      <c r="B15" s="17" t="n">
        <v>3019</v>
      </c>
      <c r="C15" s="18">
        <f>(2298.0/B15*100)</f>
        <v/>
      </c>
      <c r="D15" s="19" t="n">
        <v>721</v>
      </c>
      <c r="E15" s="18" t="n">
        <v>8.900086930000001</v>
      </c>
      <c r="F15" s="20" t="n">
        <v>1.07441096</v>
      </c>
      <c r="G15" s="18" t="n">
        <v>90.46350749</v>
      </c>
      <c r="H15" s="20" t="n">
        <v>1.12778059</v>
      </c>
      <c r="I15" s="18" t="s">
        <v>567</v>
      </c>
      <c r="J15" s="20" t="s">
        <v>567</v>
      </c>
      <c r="K15" s="18" t="n">
        <v>0.15572251</v>
      </c>
      <c r="L15" s="20" t="n">
        <v>0.17080976</v>
      </c>
      <c r="M15" s="18" t="n">
        <v>0</v>
      </c>
      <c r="N15" s="20" t="n">
        <v>0</v>
      </c>
      <c r="O15" s="18" t="n">
        <v>0</v>
      </c>
      <c r="P15" s="20" t="n">
        <v>0</v>
      </c>
      <c r="Q15" s="18" t="n">
        <v>0.48068307</v>
      </c>
      <c r="R15" s="20" t="n">
        <v>0.25224627</v>
      </c>
    </row>
    <row r="16" spans="1:18">
      <c r="A16" s="15" t="s">
        <v>576</v>
      </c>
      <c r="B16" s="17" t="n">
        <v>2997</v>
      </c>
      <c r="C16" s="18">
        <f>(2326.0/B16*100)</f>
        <v/>
      </c>
      <c r="D16" s="19" t="n">
        <v>671</v>
      </c>
      <c r="E16" s="18" t="n">
        <v>13.59766018</v>
      </c>
      <c r="F16" s="20" t="n">
        <v>1.24750579</v>
      </c>
      <c r="G16" s="18" t="n">
        <v>81.91178481999999</v>
      </c>
      <c r="H16" s="20" t="n">
        <v>1.55879632</v>
      </c>
      <c r="I16" s="18" t="s">
        <v>567</v>
      </c>
      <c r="J16" s="20" t="s">
        <v>567</v>
      </c>
      <c r="K16" s="18" t="n">
        <v>1.75239893</v>
      </c>
      <c r="L16" s="20" t="n">
        <v>0.55340299</v>
      </c>
      <c r="M16" s="18" t="n">
        <v>0</v>
      </c>
      <c r="N16" s="20" t="n">
        <v>0</v>
      </c>
      <c r="O16" s="18" t="n">
        <v>0</v>
      </c>
      <c r="P16" s="20" t="n">
        <v>0</v>
      </c>
      <c r="Q16" s="18" t="n">
        <v>2.73815607</v>
      </c>
      <c r="R16" s="20" t="n">
        <v>0.71313265</v>
      </c>
    </row>
    <row r="17" spans="1:18">
      <c r="A17" s="15" t="s">
        <v>577</v>
      </c>
      <c r="B17" s="17" t="n">
        <v>3307</v>
      </c>
      <c r="C17" s="18">
        <f>(2585.0/B17*100)</f>
        <v/>
      </c>
      <c r="D17" s="19" t="n">
        <v>722</v>
      </c>
      <c r="E17" s="18" t="n">
        <v>10.21784098</v>
      </c>
      <c r="F17" s="20" t="n">
        <v>1.21280993</v>
      </c>
      <c r="G17" s="18" t="n">
        <v>88.43183385</v>
      </c>
      <c r="H17" s="20" t="n">
        <v>1.2951451</v>
      </c>
      <c r="I17" s="18" t="s">
        <v>567</v>
      </c>
      <c r="J17" s="20" t="s">
        <v>567</v>
      </c>
      <c r="K17" s="18" t="n">
        <v>0.17019199</v>
      </c>
      <c r="L17" s="20" t="n">
        <v>0.19010449</v>
      </c>
      <c r="M17" s="18" t="n">
        <v>0</v>
      </c>
      <c r="N17" s="20" t="n">
        <v>0</v>
      </c>
      <c r="O17" s="18" t="n">
        <v>0</v>
      </c>
      <c r="P17" s="20" t="n">
        <v>0</v>
      </c>
      <c r="Q17" s="18" t="n">
        <v>1.18013317</v>
      </c>
      <c r="R17" s="20" t="n">
        <v>0.39982733</v>
      </c>
    </row>
    <row r="18" spans="1:18">
      <c r="A18" s="15" t="s">
        <v>578</v>
      </c>
      <c r="B18" s="17" t="n">
        <v>2826</v>
      </c>
      <c r="C18" s="18">
        <f>(2217.0/B18*100)</f>
        <v/>
      </c>
      <c r="D18" s="19" t="n">
        <v>609</v>
      </c>
      <c r="E18" s="18" t="n">
        <v>37.10447274</v>
      </c>
      <c r="F18" s="20" t="n">
        <v>2.22986394</v>
      </c>
      <c r="G18" s="18" t="n">
        <v>59.49819121</v>
      </c>
      <c r="H18" s="20" t="n">
        <v>2.51000046</v>
      </c>
      <c r="I18" s="18" t="s">
        <v>567</v>
      </c>
      <c r="J18" s="20" t="s">
        <v>567</v>
      </c>
      <c r="K18" s="18" t="n">
        <v>0.61248865</v>
      </c>
      <c r="L18" s="20" t="n">
        <v>0.30752746</v>
      </c>
      <c r="M18" s="18" t="n">
        <v>0</v>
      </c>
      <c r="N18" s="20" t="n">
        <v>0</v>
      </c>
      <c r="O18" s="18" t="n">
        <v>0</v>
      </c>
      <c r="P18" s="20" t="n">
        <v>0</v>
      </c>
      <c r="Q18" s="18" t="n">
        <v>2.7848474</v>
      </c>
      <c r="R18" s="20" t="n">
        <v>0.80780751</v>
      </c>
    </row>
    <row r="19" spans="1:18">
      <c r="A19" s="15" t="s">
        <v>579</v>
      </c>
      <c r="B19" s="17" t="n">
        <v>2808</v>
      </c>
      <c r="C19" s="18">
        <f>(2189.0/B19*100)</f>
        <v/>
      </c>
      <c r="D19" s="19" t="n">
        <v>619</v>
      </c>
      <c r="E19" s="18" t="n">
        <v>16.72699551</v>
      </c>
      <c r="F19" s="20" t="n">
        <v>1.86749297</v>
      </c>
      <c r="G19" s="18" t="n">
        <v>81.99875296</v>
      </c>
      <c r="H19" s="20" t="n">
        <v>1.88935864</v>
      </c>
      <c r="I19" s="18" t="s">
        <v>567</v>
      </c>
      <c r="J19" s="20" t="s">
        <v>567</v>
      </c>
      <c r="K19" s="18" t="n">
        <v>0.52030303</v>
      </c>
      <c r="L19" s="20" t="n">
        <v>0.37668765</v>
      </c>
      <c r="M19" s="18" t="n">
        <v>0</v>
      </c>
      <c r="N19" s="20" t="n">
        <v>0</v>
      </c>
      <c r="O19" s="18" t="n">
        <v>0</v>
      </c>
      <c r="P19" s="20" t="n">
        <v>0</v>
      </c>
      <c r="Q19" s="18" t="n">
        <v>0.7539485</v>
      </c>
      <c r="R19" s="20" t="n">
        <v>0.31919521</v>
      </c>
    </row>
    <row r="20" spans="1:18">
      <c r="A20" s="15" t="s">
        <v>580</v>
      </c>
      <c r="B20" s="17" t="n">
        <v>1630</v>
      </c>
      <c r="C20" s="18">
        <f>(1271.0/B20*100)</f>
        <v/>
      </c>
      <c r="D20" s="19" t="n">
        <v>359</v>
      </c>
      <c r="E20" s="18" t="n">
        <v>16.79278702</v>
      </c>
      <c r="F20" s="20" t="n">
        <v>1.92854455</v>
      </c>
      <c r="G20" s="18" t="n">
        <v>80.98155975</v>
      </c>
      <c r="H20" s="20" t="n">
        <v>2.12737456</v>
      </c>
      <c r="I20" s="18" t="s">
        <v>567</v>
      </c>
      <c r="J20" s="20" t="s">
        <v>567</v>
      </c>
      <c r="K20" s="18" t="n">
        <v>0.5443436699999999</v>
      </c>
      <c r="L20" s="20" t="n">
        <v>0.39080755</v>
      </c>
      <c r="M20" s="18" t="n">
        <v>0</v>
      </c>
      <c r="N20" s="20" t="n">
        <v>0</v>
      </c>
      <c r="O20" s="18" t="n">
        <v>0</v>
      </c>
      <c r="P20" s="20" t="n">
        <v>0</v>
      </c>
      <c r="Q20" s="18" t="n">
        <v>1.68130956</v>
      </c>
      <c r="R20" s="20" t="n">
        <v>0.67087261</v>
      </c>
    </row>
    <row r="21" spans="1:18">
      <c r="A21" s="15" t="s">
        <v>581</v>
      </c>
      <c r="B21" s="17" t="n">
        <v>2908</v>
      </c>
      <c r="C21" s="18">
        <f>(2257.0/B21*100)</f>
        <v/>
      </c>
      <c r="D21" s="19" t="n">
        <v>651</v>
      </c>
      <c r="E21" s="18" t="n">
        <v>10.68010985</v>
      </c>
      <c r="F21" s="20" t="n">
        <v>1.42197636</v>
      </c>
      <c r="G21" s="18" t="n">
        <v>88.04201227</v>
      </c>
      <c r="H21" s="20" t="n">
        <v>1.53255511</v>
      </c>
      <c r="I21" s="18" t="s">
        <v>567</v>
      </c>
      <c r="J21" s="20" t="s">
        <v>567</v>
      </c>
      <c r="K21" s="18" t="n">
        <v>0.82636948</v>
      </c>
      <c r="L21" s="20" t="n">
        <v>0.31687769</v>
      </c>
      <c r="M21" s="18" t="n">
        <v>0</v>
      </c>
      <c r="N21" s="20" t="n">
        <v>0</v>
      </c>
      <c r="O21" s="18" t="n">
        <v>0</v>
      </c>
      <c r="P21" s="20" t="n">
        <v>0</v>
      </c>
      <c r="Q21" s="18" t="n">
        <v>0.4515084</v>
      </c>
      <c r="R21" s="20" t="n">
        <v>0.28401274</v>
      </c>
    </row>
    <row r="22" spans="1:18">
      <c r="A22" s="15" t="s">
        <v>582</v>
      </c>
      <c r="B22" s="17" t="n">
        <v>2931</v>
      </c>
      <c r="C22" s="18">
        <f>(2346.0/B22*100)</f>
        <v/>
      </c>
      <c r="D22" s="19" t="n">
        <v>585</v>
      </c>
      <c r="E22" s="18" t="n">
        <v>22.44039785</v>
      </c>
      <c r="F22" s="20" t="n">
        <v>1.95008566</v>
      </c>
      <c r="G22" s="18" t="n">
        <v>74.69314702</v>
      </c>
      <c r="H22" s="20" t="n">
        <v>1.9607629</v>
      </c>
      <c r="I22" s="18" t="s">
        <v>567</v>
      </c>
      <c r="J22" s="20" t="s">
        <v>567</v>
      </c>
      <c r="K22" s="18" t="n">
        <v>0.98056796</v>
      </c>
      <c r="L22" s="20" t="n">
        <v>0.43930123</v>
      </c>
      <c r="M22" s="18" t="n">
        <v>0</v>
      </c>
      <c r="N22" s="20" t="n">
        <v>0</v>
      </c>
      <c r="O22" s="18" t="n">
        <v>0</v>
      </c>
      <c r="P22" s="20" t="n">
        <v>0</v>
      </c>
      <c r="Q22" s="18" t="n">
        <v>1.88588717</v>
      </c>
      <c r="R22" s="20" t="n">
        <v>0.4927436</v>
      </c>
    </row>
    <row r="23" spans="1:18">
      <c r="A23" s="15" t="s">
        <v>583</v>
      </c>
      <c r="B23" s="17" t="n">
        <v>5791</v>
      </c>
      <c r="C23" s="18">
        <f>(4534.0/B23*100)</f>
        <v/>
      </c>
      <c r="D23" s="19" t="n">
        <v>1257</v>
      </c>
      <c r="E23" s="18" t="n">
        <v>17.41563683</v>
      </c>
      <c r="F23" s="20" t="n">
        <v>1.5908396</v>
      </c>
      <c r="G23" s="18" t="n">
        <v>80.95442729</v>
      </c>
      <c r="H23" s="20" t="n">
        <v>1.54509353</v>
      </c>
      <c r="I23" s="18" t="s">
        <v>567</v>
      </c>
      <c r="J23" s="20" t="s">
        <v>567</v>
      </c>
      <c r="K23" s="18" t="n">
        <v>0.90815231</v>
      </c>
      <c r="L23" s="20" t="n">
        <v>0.37083026</v>
      </c>
      <c r="M23" s="18" t="n">
        <v>0</v>
      </c>
      <c r="N23" s="20" t="n">
        <v>0</v>
      </c>
      <c r="O23" s="18" t="n">
        <v>0</v>
      </c>
      <c r="P23" s="20" t="n">
        <v>0</v>
      </c>
      <c r="Q23" s="18" t="n">
        <v>0.72178357</v>
      </c>
      <c r="R23" s="20" t="n">
        <v>0.33408712</v>
      </c>
    </row>
    <row r="24" spans="1:18">
      <c r="A24" s="15" t="s">
        <v>584</v>
      </c>
      <c r="B24" s="17" t="n">
        <v>3338</v>
      </c>
      <c r="C24" s="18">
        <f>(2607.0/B24*100)</f>
        <v/>
      </c>
      <c r="D24" s="19" t="n">
        <v>731</v>
      </c>
      <c r="E24" s="18" t="n">
        <v>11.46721429</v>
      </c>
      <c r="F24" s="20" t="n">
        <v>1.31822284</v>
      </c>
      <c r="G24" s="18" t="n">
        <v>87.30200388999999</v>
      </c>
      <c r="H24" s="20" t="n">
        <v>1.44016501</v>
      </c>
      <c r="I24" s="18" t="s">
        <v>567</v>
      </c>
      <c r="J24" s="20" t="s">
        <v>567</v>
      </c>
      <c r="K24" s="18" t="n">
        <v>0.35774886</v>
      </c>
      <c r="L24" s="20" t="n">
        <v>0.20883882</v>
      </c>
      <c r="M24" s="18" t="n">
        <v>0</v>
      </c>
      <c r="N24" s="20" t="n">
        <v>0</v>
      </c>
      <c r="O24" s="18" t="n">
        <v>0</v>
      </c>
      <c r="P24" s="20" t="n">
        <v>0</v>
      </c>
      <c r="Q24" s="18" t="n">
        <v>0.87303295</v>
      </c>
      <c r="R24" s="20" t="n">
        <v>0.37876357</v>
      </c>
    </row>
    <row r="25" spans="1:18">
      <c r="A25" s="15" t="s">
        <v>585</v>
      </c>
      <c r="B25" s="17" t="n">
        <v>2912</v>
      </c>
      <c r="C25" s="18">
        <f>(2275.0/B25*100)</f>
        <v/>
      </c>
      <c r="D25" s="19" t="n">
        <v>637</v>
      </c>
      <c r="E25" s="18" t="n">
        <v>22.91170675</v>
      </c>
      <c r="F25" s="20" t="n">
        <v>1.9586599</v>
      </c>
      <c r="G25" s="18" t="n">
        <v>76.30083705</v>
      </c>
      <c r="H25" s="20" t="n">
        <v>1.94312548</v>
      </c>
      <c r="I25" s="18" t="s">
        <v>567</v>
      </c>
      <c r="J25" s="20" t="s">
        <v>567</v>
      </c>
      <c r="K25" s="18" t="n">
        <v>0.13246293</v>
      </c>
      <c r="L25" s="20" t="n">
        <v>0.1344598</v>
      </c>
      <c r="M25" s="18" t="n">
        <v>0</v>
      </c>
      <c r="N25" s="20" t="n">
        <v>0</v>
      </c>
      <c r="O25" s="18" t="n">
        <v>0</v>
      </c>
      <c r="P25" s="20" t="n">
        <v>0</v>
      </c>
      <c r="Q25" s="18" t="n">
        <v>0.65499327</v>
      </c>
      <c r="R25" s="20" t="n">
        <v>0.32099736</v>
      </c>
    </row>
    <row r="26" spans="1:18">
      <c r="A26" s="15" t="s">
        <v>586</v>
      </c>
      <c r="B26" s="17" t="n">
        <v>2450</v>
      </c>
      <c r="C26" s="18">
        <f>(1909.0/B26*100)</f>
        <v/>
      </c>
      <c r="D26" s="19" t="n">
        <v>541</v>
      </c>
      <c r="E26" s="18" t="n">
        <v>20.20114304</v>
      </c>
      <c r="F26" s="20" t="n">
        <v>1.93015833</v>
      </c>
      <c r="G26" s="18" t="n">
        <v>79.37159049</v>
      </c>
      <c r="H26" s="20" t="n">
        <v>1.94415968</v>
      </c>
      <c r="I26" s="18" t="s">
        <v>567</v>
      </c>
      <c r="J26" s="20" t="s">
        <v>567</v>
      </c>
      <c r="K26" s="18" t="n">
        <v>0.13743331</v>
      </c>
      <c r="L26" s="20" t="n">
        <v>0.13813115</v>
      </c>
      <c r="M26" s="18" t="n">
        <v>0</v>
      </c>
      <c r="N26" s="20" t="n">
        <v>0</v>
      </c>
      <c r="O26" s="18" t="n">
        <v>0</v>
      </c>
      <c r="P26" s="20" t="n">
        <v>0</v>
      </c>
      <c r="Q26" s="18" t="n">
        <v>0.28983317</v>
      </c>
      <c r="R26" s="20" t="n">
        <v>0.20116782</v>
      </c>
    </row>
    <row r="27" spans="1:18">
      <c r="A27" s="15" t="s">
        <v>587</v>
      </c>
      <c r="B27" s="17" t="n">
        <v>2616</v>
      </c>
      <c r="C27" s="18">
        <f>(2042.0/B27*100)</f>
        <v/>
      </c>
      <c r="D27" s="19" t="n">
        <v>574</v>
      </c>
      <c r="E27" s="18" t="n">
        <v>17.43245545</v>
      </c>
      <c r="F27" s="20" t="n">
        <v>1.58104599</v>
      </c>
      <c r="G27" s="18" t="n">
        <v>80.67234252999999</v>
      </c>
      <c r="H27" s="20" t="n">
        <v>1.70496225</v>
      </c>
      <c r="I27" s="18" t="s">
        <v>567</v>
      </c>
      <c r="J27" s="20" t="s">
        <v>567</v>
      </c>
      <c r="K27" s="18" t="n">
        <v>0.17203489</v>
      </c>
      <c r="L27" s="20" t="n">
        <v>0.17055856</v>
      </c>
      <c r="M27" s="18" t="n">
        <v>0</v>
      </c>
      <c r="N27" s="20" t="n">
        <v>0</v>
      </c>
      <c r="O27" s="18" t="n">
        <v>0</v>
      </c>
      <c r="P27" s="20" t="n">
        <v>0</v>
      </c>
      <c r="Q27" s="18" t="n">
        <v>1.72316713</v>
      </c>
      <c r="R27" s="20" t="n">
        <v>0.53891768</v>
      </c>
    </row>
    <row r="28" spans="1:18">
      <c r="A28" s="15" t="s">
        <v>588</v>
      </c>
      <c r="B28" s="17" t="n">
        <v>3765</v>
      </c>
      <c r="C28" s="18">
        <f>(3045.0/B28*100)</f>
        <v/>
      </c>
      <c r="D28" s="19" t="n">
        <v>720</v>
      </c>
      <c r="E28" s="18" t="n">
        <v>20.57603097</v>
      </c>
      <c r="F28" s="20" t="n">
        <v>1.81522093</v>
      </c>
      <c r="G28" s="18" t="n">
        <v>76.85365050999999</v>
      </c>
      <c r="H28" s="20" t="n">
        <v>2.0586756</v>
      </c>
      <c r="I28" s="18" t="s">
        <v>567</v>
      </c>
      <c r="J28" s="20" t="s">
        <v>567</v>
      </c>
      <c r="K28" s="18" t="n">
        <v>0.61197665</v>
      </c>
      <c r="L28" s="20" t="n">
        <v>0.32805059</v>
      </c>
      <c r="M28" s="18" t="n">
        <v>0</v>
      </c>
      <c r="N28" s="20" t="n">
        <v>0</v>
      </c>
      <c r="O28" s="18" t="n">
        <v>0</v>
      </c>
      <c r="P28" s="20" t="n">
        <v>0</v>
      </c>
      <c r="Q28" s="18" t="n">
        <v>1.95834186</v>
      </c>
      <c r="R28" s="20" t="n">
        <v>0.80232925</v>
      </c>
    </row>
    <row r="29" spans="1:18">
      <c r="A29" s="15" t="s">
        <v>589</v>
      </c>
      <c r="B29" s="17" t="n">
        <v>2685</v>
      </c>
      <c r="C29" s="18">
        <f>(2100.0/B29*100)</f>
        <v/>
      </c>
      <c r="D29" s="19" t="n">
        <v>585</v>
      </c>
      <c r="E29" s="18" t="n">
        <v>16.3768799</v>
      </c>
      <c r="F29" s="20" t="n">
        <v>1.80453977</v>
      </c>
      <c r="G29" s="18" t="n">
        <v>82.83275586000001</v>
      </c>
      <c r="H29" s="20" t="n">
        <v>1.83251961</v>
      </c>
      <c r="I29" s="18" t="s">
        <v>567</v>
      </c>
      <c r="J29" s="20" t="s">
        <v>567</v>
      </c>
      <c r="K29" s="18" t="n">
        <v>0.35184504</v>
      </c>
      <c r="L29" s="20" t="n">
        <v>0.23804514</v>
      </c>
      <c r="M29" s="18" t="n">
        <v>0</v>
      </c>
      <c r="N29" s="20" t="n">
        <v>0</v>
      </c>
      <c r="O29" s="18" t="n">
        <v>0</v>
      </c>
      <c r="P29" s="20" t="n">
        <v>0</v>
      </c>
      <c r="Q29" s="18" t="n">
        <v>0.4385192</v>
      </c>
      <c r="R29" s="20" t="n">
        <v>0.27464823</v>
      </c>
    </row>
    <row r="30" spans="1:18">
      <c r="A30" s="15" t="s">
        <v>590</v>
      </c>
      <c r="B30" s="17" t="n">
        <v>2263</v>
      </c>
      <c r="C30" s="18">
        <f>(1789.0/B30*100)</f>
        <v/>
      </c>
      <c r="D30" s="19" t="n">
        <v>474</v>
      </c>
      <c r="E30" s="18" t="n">
        <v>11.56916184</v>
      </c>
      <c r="F30" s="20" t="n">
        <v>1.44360048</v>
      </c>
      <c r="G30" s="18" t="n">
        <v>85.26715892999999</v>
      </c>
      <c r="H30" s="20" t="n">
        <v>1.67469909</v>
      </c>
      <c r="I30" s="18" t="s">
        <v>567</v>
      </c>
      <c r="J30" s="20" t="s">
        <v>567</v>
      </c>
      <c r="K30" s="18" t="n">
        <v>0.23652108</v>
      </c>
      <c r="L30" s="20" t="n">
        <v>0.23248137</v>
      </c>
      <c r="M30" s="18" t="n">
        <v>0</v>
      </c>
      <c r="N30" s="20" t="n">
        <v>0</v>
      </c>
      <c r="O30" s="18" t="n">
        <v>0</v>
      </c>
      <c r="P30" s="20" t="n">
        <v>0</v>
      </c>
      <c r="Q30" s="18" t="n">
        <v>2.92715816</v>
      </c>
      <c r="R30" s="20" t="n">
        <v>0.75662838</v>
      </c>
    </row>
    <row r="31" spans="1:18">
      <c r="A31" s="15" t="s">
        <v>591</v>
      </c>
      <c r="B31" s="17" t="n">
        <v>2750</v>
      </c>
      <c r="C31" s="18">
        <f>(2179.0/B31*100)</f>
        <v/>
      </c>
      <c r="D31" s="19" t="n">
        <v>571</v>
      </c>
      <c r="E31" s="18" t="n">
        <v>11.78263509</v>
      </c>
      <c r="F31" s="20" t="n">
        <v>1.19258163</v>
      </c>
      <c r="G31" s="18" t="n">
        <v>85.91221217</v>
      </c>
      <c r="H31" s="20" t="n">
        <v>1.34754508</v>
      </c>
      <c r="I31" s="18" t="s">
        <v>567</v>
      </c>
      <c r="J31" s="20" t="s">
        <v>567</v>
      </c>
      <c r="K31" s="18" t="n">
        <v>0.80097588</v>
      </c>
      <c r="L31" s="20" t="n">
        <v>0.35209539</v>
      </c>
      <c r="M31" s="18" t="n">
        <v>0</v>
      </c>
      <c r="N31" s="20" t="n">
        <v>0</v>
      </c>
      <c r="O31" s="18" t="n">
        <v>0</v>
      </c>
      <c r="P31" s="20" t="n">
        <v>0</v>
      </c>
      <c r="Q31" s="18" t="n">
        <v>1.50417686</v>
      </c>
      <c r="R31" s="20" t="n">
        <v>0.47235319</v>
      </c>
    </row>
    <row r="32" spans="1:18">
      <c r="A32" s="15" t="s">
        <v>592</v>
      </c>
      <c r="B32" s="17" t="n">
        <v>2269</v>
      </c>
      <c r="C32" s="18">
        <f>(1809.0/B32*100)</f>
        <v/>
      </c>
      <c r="D32" s="19" t="n">
        <v>460</v>
      </c>
      <c r="E32" s="18" t="n">
        <v>16.90843555</v>
      </c>
      <c r="F32" s="20" t="n">
        <v>2.01892401</v>
      </c>
      <c r="G32" s="18" t="n">
        <v>82.39255147</v>
      </c>
      <c r="H32" s="20" t="n">
        <v>2.05127506</v>
      </c>
      <c r="I32" s="18" t="s">
        <v>567</v>
      </c>
      <c r="J32" s="20" t="s">
        <v>567</v>
      </c>
      <c r="K32" s="18" t="n">
        <v>0.3980238</v>
      </c>
      <c r="L32" s="20" t="n">
        <v>0.29415695</v>
      </c>
      <c r="M32" s="18" t="n">
        <v>0</v>
      </c>
      <c r="N32" s="20" t="n">
        <v>0</v>
      </c>
      <c r="O32" s="18" t="n">
        <v>0</v>
      </c>
      <c r="P32" s="20" t="n">
        <v>0</v>
      </c>
      <c r="Q32" s="18" t="n">
        <v>0.30098918</v>
      </c>
      <c r="R32" s="20" t="n">
        <v>0.29310874</v>
      </c>
    </row>
    <row r="33" spans="1:18">
      <c r="A33" s="15" t="s">
        <v>593</v>
      </c>
      <c r="B33" s="17" t="n">
        <v>3674</v>
      </c>
      <c r="C33" s="18">
        <f>(2884.0/B33*100)</f>
        <v/>
      </c>
      <c r="D33" s="19" t="n">
        <v>790</v>
      </c>
      <c r="E33" s="18" t="n">
        <v>11.31976395</v>
      </c>
      <c r="F33" s="20" t="n">
        <v>1.25999712</v>
      </c>
      <c r="G33" s="18" t="n">
        <v>87.20026264000001</v>
      </c>
      <c r="H33" s="20" t="n">
        <v>1.30727738</v>
      </c>
      <c r="I33" s="18" t="s">
        <v>567</v>
      </c>
      <c r="J33" s="20" t="s">
        <v>567</v>
      </c>
      <c r="K33" s="18" t="n">
        <v>0.14899381</v>
      </c>
      <c r="L33" s="20" t="n">
        <v>0.13366874</v>
      </c>
      <c r="M33" s="18" t="n">
        <v>0</v>
      </c>
      <c r="N33" s="20" t="n">
        <v>0</v>
      </c>
      <c r="O33" s="18" t="n">
        <v>0</v>
      </c>
      <c r="P33" s="20" t="n">
        <v>0</v>
      </c>
      <c r="Q33" s="18" t="n">
        <v>1.3309796</v>
      </c>
      <c r="R33" s="20" t="n">
        <v>0.48713001</v>
      </c>
    </row>
    <row r="34" spans="1:18">
      <c r="A34" s="15" t="s">
        <v>594</v>
      </c>
      <c r="B34" s="17" t="n">
        <v>3315</v>
      </c>
      <c r="C34" s="18">
        <f>(2601.0/B34*100)</f>
        <v/>
      </c>
      <c r="D34" s="19" t="n">
        <v>714</v>
      </c>
      <c r="E34" s="18" t="n">
        <v>26.61003966</v>
      </c>
      <c r="F34" s="20" t="n">
        <v>1.75375637</v>
      </c>
      <c r="G34" s="18" t="n">
        <v>71.39090053</v>
      </c>
      <c r="H34" s="20" t="n">
        <v>1.80721143</v>
      </c>
      <c r="I34" s="18" t="s">
        <v>567</v>
      </c>
      <c r="J34" s="20" t="s">
        <v>567</v>
      </c>
      <c r="K34" s="18" t="n">
        <v>0.13175045</v>
      </c>
      <c r="L34" s="20" t="n">
        <v>0.13255591</v>
      </c>
      <c r="M34" s="18" t="n">
        <v>0</v>
      </c>
      <c r="N34" s="20" t="n">
        <v>0</v>
      </c>
      <c r="O34" s="18" t="n">
        <v>0</v>
      </c>
      <c r="P34" s="20" t="n">
        <v>0</v>
      </c>
      <c r="Q34" s="18" t="n">
        <v>1.86730936</v>
      </c>
      <c r="R34" s="20" t="n">
        <v>0.5025576899999999</v>
      </c>
    </row>
    <row r="35" spans="1:18">
      <c r="A35" s="15" t="s">
        <v>595</v>
      </c>
      <c r="B35" s="17" t="n">
        <v>3505</v>
      </c>
      <c r="C35" s="18">
        <f>(2715.0/B35*100)</f>
        <v/>
      </c>
      <c r="D35" s="19" t="n">
        <v>790</v>
      </c>
      <c r="E35" s="18" t="n">
        <v>15.29447673</v>
      </c>
      <c r="F35" s="20" t="n">
        <v>1.45857833</v>
      </c>
      <c r="G35" s="18" t="n">
        <v>83.0332465</v>
      </c>
      <c r="H35" s="20" t="n">
        <v>1.45250357</v>
      </c>
      <c r="I35" s="18" t="s">
        <v>567</v>
      </c>
      <c r="J35" s="20" t="s">
        <v>567</v>
      </c>
      <c r="K35" s="18" t="n">
        <v>0.25668028</v>
      </c>
      <c r="L35" s="20" t="n">
        <v>0.20524168</v>
      </c>
      <c r="M35" s="18" t="n">
        <v>0</v>
      </c>
      <c r="N35" s="20" t="n">
        <v>0</v>
      </c>
      <c r="O35" s="18" t="n">
        <v>0</v>
      </c>
      <c r="P35" s="20" t="n">
        <v>0</v>
      </c>
      <c r="Q35" s="18" t="n">
        <v>1.41559649</v>
      </c>
      <c r="R35" s="20" t="n">
        <v>0.42997416</v>
      </c>
    </row>
    <row r="36" spans="1:18">
      <c r="A36" s="15" t="s">
        <v>596</v>
      </c>
      <c r="B36" s="17" t="n">
        <v>3332</v>
      </c>
      <c r="C36" s="18">
        <f>(2621.0/B36*100)</f>
        <v/>
      </c>
      <c r="D36" s="19" t="n">
        <v>711</v>
      </c>
      <c r="E36" s="18" t="n">
        <v>10.53372334</v>
      </c>
      <c r="F36" s="20" t="n">
        <v>1.25944907</v>
      </c>
      <c r="G36" s="18" t="n">
        <v>87.87714391999999</v>
      </c>
      <c r="H36" s="20" t="n">
        <v>1.32144257</v>
      </c>
      <c r="I36" s="18" t="s">
        <v>567</v>
      </c>
      <c r="J36" s="20" t="s">
        <v>567</v>
      </c>
      <c r="K36" s="18" t="n">
        <v>0.39443821</v>
      </c>
      <c r="L36" s="20" t="n">
        <v>0.29641627</v>
      </c>
      <c r="M36" s="18" t="n">
        <v>0</v>
      </c>
      <c r="N36" s="20" t="n">
        <v>0</v>
      </c>
      <c r="O36" s="18" t="n">
        <v>0</v>
      </c>
      <c r="P36" s="20" t="n">
        <v>0</v>
      </c>
      <c r="Q36" s="18" t="n">
        <v>1.19469453</v>
      </c>
      <c r="R36" s="20" t="n">
        <v>0.40636368</v>
      </c>
    </row>
    <row r="37" spans="1:18">
      <c r="A37" s="15" t="s">
        <v>597</v>
      </c>
      <c r="B37" s="17" t="n">
        <v>2727</v>
      </c>
      <c r="C37" s="18">
        <f>(2125.0/B37*100)</f>
        <v/>
      </c>
      <c r="D37" s="19" t="n">
        <v>602</v>
      </c>
      <c r="E37" s="18" t="n">
        <v>9.458235630000001</v>
      </c>
      <c r="F37" s="20" t="n">
        <v>1.37470214</v>
      </c>
      <c r="G37" s="18" t="n">
        <v>87.5940126</v>
      </c>
      <c r="H37" s="20" t="n">
        <v>1.37370236</v>
      </c>
      <c r="I37" s="18" t="s">
        <v>567</v>
      </c>
      <c r="J37" s="20" t="s">
        <v>567</v>
      </c>
      <c r="K37" s="18" t="n">
        <v>1.16006619</v>
      </c>
      <c r="L37" s="20" t="n">
        <v>0.35751733</v>
      </c>
      <c r="M37" s="18" t="n">
        <v>0</v>
      </c>
      <c r="N37" s="20" t="n">
        <v>0</v>
      </c>
      <c r="O37" s="18" t="n">
        <v>0</v>
      </c>
      <c r="P37" s="20" t="n">
        <v>0</v>
      </c>
      <c r="Q37" s="18" t="n">
        <v>1.78768558</v>
      </c>
      <c r="R37" s="20" t="n">
        <v>0.6017463199999999</v>
      </c>
    </row>
    <row r="38" spans="1:18">
      <c r="A38" s="15" t="s">
        <v>598</v>
      </c>
      <c r="B38" s="17" t="n">
        <v>3053</v>
      </c>
      <c r="C38" s="18">
        <f>(2333.0/B38*100)</f>
        <v/>
      </c>
      <c r="D38" s="19" t="n">
        <v>720</v>
      </c>
      <c r="E38" s="18" t="n">
        <v>13.57301258</v>
      </c>
      <c r="F38" s="20" t="n">
        <v>1.60308789</v>
      </c>
      <c r="G38" s="18" t="n">
        <v>85.31276321999999</v>
      </c>
      <c r="H38" s="20" t="n">
        <v>1.62522367</v>
      </c>
      <c r="I38" s="18" t="s">
        <v>567</v>
      </c>
      <c r="J38" s="20" t="s">
        <v>567</v>
      </c>
      <c r="K38" s="18" t="n">
        <v>0.260215</v>
      </c>
      <c r="L38" s="20" t="n">
        <v>0.178724</v>
      </c>
      <c r="M38" s="18" t="n">
        <v>0</v>
      </c>
      <c r="N38" s="20" t="n">
        <v>0</v>
      </c>
      <c r="O38" s="18" t="n">
        <v>0</v>
      </c>
      <c r="P38" s="20" t="n">
        <v>0</v>
      </c>
      <c r="Q38" s="18" t="n">
        <v>0.8540092</v>
      </c>
      <c r="R38" s="20" t="n">
        <v>0.25117898</v>
      </c>
    </row>
    <row r="39" spans="1:18">
      <c r="A39" s="15" t="s">
        <v>599</v>
      </c>
      <c r="B39" s="17" t="n">
        <v>2957</v>
      </c>
      <c r="C39" s="18">
        <f>(2313.0/B39*100)</f>
        <v/>
      </c>
      <c r="D39" s="19" t="n">
        <v>644</v>
      </c>
      <c r="E39" s="18" t="n">
        <v>35.70848376</v>
      </c>
      <c r="F39" s="20" t="n">
        <v>2.25212414</v>
      </c>
      <c r="G39" s="18" t="n">
        <v>62.78422979</v>
      </c>
      <c r="H39" s="20" t="n">
        <v>2.25753416</v>
      </c>
      <c r="I39" s="18" t="s">
        <v>567</v>
      </c>
      <c r="J39" s="20" t="s">
        <v>567</v>
      </c>
      <c r="K39" s="18" t="n">
        <v>0.19858578</v>
      </c>
      <c r="L39" s="20" t="n">
        <v>0.19820411</v>
      </c>
      <c r="M39" s="18" t="n">
        <v>0</v>
      </c>
      <c r="N39" s="20" t="n">
        <v>0</v>
      </c>
      <c r="O39" s="18" t="n">
        <v>0</v>
      </c>
      <c r="P39" s="20" t="n">
        <v>0</v>
      </c>
      <c r="Q39" s="18" t="n">
        <v>1.30870068</v>
      </c>
      <c r="R39" s="20" t="n">
        <v>0.59399933</v>
      </c>
    </row>
    <row r="40" spans="1:18">
      <c r="A40" s="15" t="s">
        <v>600</v>
      </c>
      <c r="B40" s="17" t="n">
        <v>7235</v>
      </c>
      <c r="C40" s="18">
        <f>(5587.0/B40*100)</f>
        <v/>
      </c>
      <c r="D40" s="19" t="n">
        <v>1648</v>
      </c>
      <c r="E40" s="18" t="n">
        <v>11.86069016</v>
      </c>
      <c r="F40" s="20" t="n">
        <v>1.3363481</v>
      </c>
      <c r="G40" s="18" t="n">
        <v>86.36814127</v>
      </c>
      <c r="H40" s="20" t="n">
        <v>1.4448346</v>
      </c>
      <c r="I40" s="18" t="s">
        <v>567</v>
      </c>
      <c r="J40" s="20" t="s">
        <v>567</v>
      </c>
      <c r="K40" s="18" t="n">
        <v>0.51295524</v>
      </c>
      <c r="L40" s="20" t="n">
        <v>0.25598097</v>
      </c>
      <c r="M40" s="18" t="n">
        <v>0</v>
      </c>
      <c r="N40" s="20" t="n">
        <v>0</v>
      </c>
      <c r="O40" s="18" t="n">
        <v>0</v>
      </c>
      <c r="P40" s="20" t="n">
        <v>0</v>
      </c>
      <c r="Q40" s="18" t="n">
        <v>1.25821332</v>
      </c>
      <c r="R40" s="20" t="n">
        <v>0.38072178</v>
      </c>
    </row>
    <row r="41" spans="1:18">
      <c r="A41" s="15" t="s">
        <v>601</v>
      </c>
      <c r="B41" s="17" t="n">
        <v>2858</v>
      </c>
      <c r="C41" s="18">
        <f>(2256.0/B41*100)</f>
        <v/>
      </c>
      <c r="D41" s="19" t="n">
        <v>602</v>
      </c>
      <c r="E41" s="18" t="n">
        <v>16.96960112</v>
      </c>
      <c r="F41" s="20" t="n">
        <v>1.53090077</v>
      </c>
      <c r="G41" s="18" t="n">
        <v>81.73005397</v>
      </c>
      <c r="H41" s="20" t="n">
        <v>1.56434141</v>
      </c>
      <c r="I41" s="18" t="s">
        <v>567</v>
      </c>
      <c r="J41" s="20" t="s">
        <v>567</v>
      </c>
      <c r="K41" s="18" t="n">
        <v>0.43753102</v>
      </c>
      <c r="L41" s="20" t="n">
        <v>0.28574415</v>
      </c>
      <c r="M41" s="18" t="n">
        <v>0</v>
      </c>
      <c r="N41" s="20" t="n">
        <v>0</v>
      </c>
      <c r="O41" s="18" t="n">
        <v>0</v>
      </c>
      <c r="P41" s="20" t="n">
        <v>0</v>
      </c>
      <c r="Q41" s="18" t="n">
        <v>0.86281389</v>
      </c>
      <c r="R41" s="20" t="n">
        <v>0.33697103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(9121.0/B46*100)</f>
        <v/>
      </c>
      <c r="D46" s="19" t="n">
        <v>1947</v>
      </c>
      <c r="E46" s="18" t="n">
        <v>22.50816486</v>
      </c>
      <c r="F46" s="20" t="n">
        <v>1.28899595</v>
      </c>
      <c r="G46" s="18" t="n">
        <v>74.05195413</v>
      </c>
      <c r="H46" s="20" t="n">
        <v>1.33343387</v>
      </c>
      <c r="I46" s="18" t="s">
        <v>567</v>
      </c>
      <c r="J46" s="20" t="s">
        <v>567</v>
      </c>
      <c r="K46" s="18" t="n">
        <v>1.51926354</v>
      </c>
      <c r="L46" s="20" t="n">
        <v>0.38586032</v>
      </c>
      <c r="M46" s="18" t="n">
        <v>0</v>
      </c>
      <c r="N46" s="20" t="n">
        <v>0</v>
      </c>
      <c r="O46" s="18" t="n">
        <v>0</v>
      </c>
      <c r="P46" s="20" t="n">
        <v>0</v>
      </c>
      <c r="Q46" s="18" t="n">
        <v>1.92061747</v>
      </c>
      <c r="R46" s="20" t="n">
        <v>0.39874069</v>
      </c>
    </row>
    <row r="47" spans="1:18">
      <c r="A47" s="15" t="s">
        <v>607</v>
      </c>
      <c r="B47" s="17" t="n">
        <v>3105</v>
      </c>
      <c r="C47" s="18">
        <f>(2451.0/B47*100)</f>
        <v/>
      </c>
      <c r="D47" s="19" t="n">
        <v>654</v>
      </c>
      <c r="E47" s="18" t="n">
        <v>27.829665</v>
      </c>
      <c r="F47" s="20" t="n">
        <v>1.79950899</v>
      </c>
      <c r="G47" s="18" t="n">
        <v>69.69059738999999</v>
      </c>
      <c r="H47" s="20" t="n">
        <v>1.94259127</v>
      </c>
      <c r="I47" s="18" t="s">
        <v>567</v>
      </c>
      <c r="J47" s="20" t="s">
        <v>567</v>
      </c>
      <c r="K47" s="18" t="n">
        <v>0.90109814</v>
      </c>
      <c r="L47" s="20" t="n">
        <v>0.3678365</v>
      </c>
      <c r="M47" s="18" t="n">
        <v>0</v>
      </c>
      <c r="N47" s="20" t="n">
        <v>0</v>
      </c>
      <c r="O47" s="18" t="n">
        <v>0</v>
      </c>
      <c r="P47" s="20" t="n">
        <v>0</v>
      </c>
      <c r="Q47" s="18" t="n">
        <v>1.57863947</v>
      </c>
      <c r="R47" s="20" t="n">
        <v>0.56809834</v>
      </c>
    </row>
    <row r="48" spans="1:18">
      <c r="A48" s="15" t="s">
        <v>608</v>
      </c>
      <c r="B48" s="17" t="n">
        <v>5159</v>
      </c>
      <c r="C48" s="18">
        <f>(4014.0/B48*100)</f>
        <v/>
      </c>
      <c r="D48" s="19" t="n">
        <v>1145</v>
      </c>
      <c r="E48" s="18" t="n">
        <v>8.578142140000001</v>
      </c>
      <c r="F48" s="20" t="n">
        <v>1.21890885</v>
      </c>
      <c r="G48" s="18" t="n">
        <v>90.29161736</v>
      </c>
      <c r="H48" s="20" t="n">
        <v>1.25196243</v>
      </c>
      <c r="I48" s="18" t="s">
        <v>567</v>
      </c>
      <c r="J48" s="20" t="s">
        <v>567</v>
      </c>
      <c r="K48" s="18" t="n">
        <v>0.433277</v>
      </c>
      <c r="L48" s="20" t="n">
        <v>0.11032163</v>
      </c>
      <c r="M48" s="18" t="n">
        <v>0</v>
      </c>
      <c r="N48" s="20" t="n">
        <v>0</v>
      </c>
      <c r="O48" s="18" t="n">
        <v>0</v>
      </c>
      <c r="P48" s="20" t="n">
        <v>0</v>
      </c>
      <c r="Q48" s="18" t="n">
        <v>0.6969635</v>
      </c>
      <c r="R48" s="20" t="n">
        <v>0.27798535</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(4436.0/B50*100)</f>
        <v/>
      </c>
      <c r="D50" s="19" t="n">
        <v>1201</v>
      </c>
      <c r="E50" s="18" t="n">
        <v>17.62743408</v>
      </c>
      <c r="F50" s="20" t="n">
        <v>1.7340253</v>
      </c>
      <c r="G50" s="18" t="n">
        <v>79.29057575</v>
      </c>
      <c r="H50" s="20" t="n">
        <v>1.69103476</v>
      </c>
      <c r="I50" s="18" t="s">
        <v>567</v>
      </c>
      <c r="J50" s="20" t="s">
        <v>567</v>
      </c>
      <c r="K50" s="18" t="n">
        <v>1.91859854</v>
      </c>
      <c r="L50" s="20" t="n">
        <v>0.66471492</v>
      </c>
      <c r="M50" s="18" t="n">
        <v>0</v>
      </c>
      <c r="N50" s="20" t="n">
        <v>0</v>
      </c>
      <c r="O50" s="18" t="n">
        <v>0</v>
      </c>
      <c r="P50" s="20" t="n">
        <v>0</v>
      </c>
      <c r="Q50" s="18" t="n">
        <v>1.16339162</v>
      </c>
      <c r="R50" s="20" t="n">
        <v>0.35811558</v>
      </c>
    </row>
    <row r="51" spans="1:18">
      <c r="A51" s="15" t="s">
        <v>611</v>
      </c>
      <c r="B51" s="17" t="n">
        <v>3372</v>
      </c>
      <c r="C51" s="18">
        <f>(2754.0/B51*100)</f>
        <v/>
      </c>
      <c r="D51" s="19" t="n">
        <v>618</v>
      </c>
      <c r="E51" s="18" t="n">
        <v>14.00607138</v>
      </c>
      <c r="F51" s="20" t="n">
        <v>1.61184562</v>
      </c>
      <c r="G51" s="18" t="n">
        <v>83.83280967</v>
      </c>
      <c r="H51" s="20" t="n">
        <v>1.68851863</v>
      </c>
      <c r="I51" s="18" t="s">
        <v>567</v>
      </c>
      <c r="J51" s="20" t="s">
        <v>567</v>
      </c>
      <c r="K51" s="18" t="n">
        <v>1.13630275</v>
      </c>
      <c r="L51" s="20" t="n">
        <v>0.44571892</v>
      </c>
      <c r="M51" s="18" t="n">
        <v>0</v>
      </c>
      <c r="N51" s="20" t="n">
        <v>0</v>
      </c>
      <c r="O51" s="18" t="n">
        <v>0</v>
      </c>
      <c r="P51" s="20" t="n">
        <v>0</v>
      </c>
      <c r="Q51" s="18" t="n">
        <v>1.0248162</v>
      </c>
      <c r="R51" s="20" t="n">
        <v>0.36065643</v>
      </c>
    </row>
    <row r="52" spans="1:18">
      <c r="A52" s="15" t="s">
        <v>612</v>
      </c>
      <c r="B52" s="17" t="n">
        <v>2796</v>
      </c>
      <c r="C52" s="18">
        <f>(2180.0/B52*100)</f>
        <v/>
      </c>
      <c r="D52" s="19" t="n">
        <v>616</v>
      </c>
      <c r="E52" s="18" t="n">
        <v>14.2204387</v>
      </c>
      <c r="F52" s="20" t="n">
        <v>1.65710439</v>
      </c>
      <c r="G52" s="18" t="n">
        <v>84.65100090999999</v>
      </c>
      <c r="H52" s="20" t="n">
        <v>1.59399876</v>
      </c>
      <c r="I52" s="18" t="s">
        <v>567</v>
      </c>
      <c r="J52" s="20" t="s">
        <v>567</v>
      </c>
      <c r="K52" s="18" t="n">
        <v>0.28009338</v>
      </c>
      <c r="L52" s="20" t="n">
        <v>0.19663327</v>
      </c>
      <c r="M52" s="18" t="n">
        <v>0</v>
      </c>
      <c r="N52" s="20" t="n">
        <v>0</v>
      </c>
      <c r="O52" s="18" t="n">
        <v>0</v>
      </c>
      <c r="P52" s="20" t="n">
        <v>0</v>
      </c>
      <c r="Q52" s="18" t="n">
        <v>0.84846701</v>
      </c>
      <c r="R52" s="20" t="n">
        <v>0.35704167</v>
      </c>
    </row>
    <row r="53" spans="1:18">
      <c r="A53" s="15" t="s">
        <v>613</v>
      </c>
      <c r="B53" s="17" t="n">
        <v>2811</v>
      </c>
      <c r="C53" s="18">
        <f>(2187.0/B53*100)</f>
        <v/>
      </c>
      <c r="D53" s="19" t="n">
        <v>624</v>
      </c>
      <c r="E53" s="18" t="n">
        <v>45.74777798</v>
      </c>
      <c r="F53" s="20" t="n">
        <v>2.10863886</v>
      </c>
      <c r="G53" s="18" t="n">
        <v>52.34077638</v>
      </c>
      <c r="H53" s="20" t="n">
        <v>2.20527063</v>
      </c>
      <c r="I53" s="18" t="s">
        <v>567</v>
      </c>
      <c r="J53" s="20" t="s">
        <v>567</v>
      </c>
      <c r="K53" s="18" t="n">
        <v>0.71592227</v>
      </c>
      <c r="L53" s="20" t="n">
        <v>0.27582312</v>
      </c>
      <c r="M53" s="18" t="n">
        <v>0</v>
      </c>
      <c r="N53" s="20" t="n">
        <v>0</v>
      </c>
      <c r="O53" s="18" t="n">
        <v>0</v>
      </c>
      <c r="P53" s="20" t="n">
        <v>0</v>
      </c>
      <c r="Q53" s="18" t="n">
        <v>1.19552338</v>
      </c>
      <c r="R53" s="20" t="n">
        <v>0.43470862</v>
      </c>
    </row>
    <row r="54" spans="1:18">
      <c r="A54" s="15" t="s">
        <v>614</v>
      </c>
      <c r="B54" s="17" t="n">
        <v>2266</v>
      </c>
      <c r="C54" s="18">
        <f>(1791.0/B54*100)</f>
        <v/>
      </c>
      <c r="D54" s="19" t="n">
        <v>475</v>
      </c>
      <c r="E54" s="18" t="n">
        <v>19.06369478</v>
      </c>
      <c r="F54" s="20" t="n">
        <v>1.83257564</v>
      </c>
      <c r="G54" s="18" t="n">
        <v>63.98733283</v>
      </c>
      <c r="H54" s="20" t="n">
        <v>2.32648609</v>
      </c>
      <c r="I54" s="18" t="s">
        <v>567</v>
      </c>
      <c r="J54" s="20" t="s">
        <v>567</v>
      </c>
      <c r="K54" s="18" t="n">
        <v>13.9548004</v>
      </c>
      <c r="L54" s="20" t="n">
        <v>1.5477257</v>
      </c>
      <c r="M54" s="18" t="n">
        <v>0</v>
      </c>
      <c r="N54" s="20" t="n">
        <v>0</v>
      </c>
      <c r="O54" s="18" t="n">
        <v>0</v>
      </c>
      <c r="P54" s="20" t="n">
        <v>0</v>
      </c>
      <c r="Q54" s="18" t="n">
        <v>2.99417199</v>
      </c>
      <c r="R54" s="20" t="n">
        <v>0.89771081</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(2089.0/B56*100)</f>
        <v/>
      </c>
      <c r="D56" s="19" t="n">
        <v>595</v>
      </c>
      <c r="E56" s="18" t="n">
        <v>11.68576717</v>
      </c>
      <c r="F56" s="20" t="n">
        <v>1.65231574</v>
      </c>
      <c r="G56" s="18" t="n">
        <v>87.05547756</v>
      </c>
      <c r="H56" s="20" t="n">
        <v>1.73559847</v>
      </c>
      <c r="I56" s="18" t="s">
        <v>567</v>
      </c>
      <c r="J56" s="20" t="s">
        <v>567</v>
      </c>
      <c r="K56" s="18" t="n">
        <v>0.44520351</v>
      </c>
      <c r="L56" s="20" t="n">
        <v>0.35743995</v>
      </c>
      <c r="M56" s="18" t="n">
        <v>0</v>
      </c>
      <c r="N56" s="20" t="n">
        <v>0</v>
      </c>
      <c r="O56" s="18" t="n">
        <v>0</v>
      </c>
      <c r="P56" s="20" t="n">
        <v>0</v>
      </c>
      <c r="Q56" s="18" t="n">
        <v>0.81355176</v>
      </c>
      <c r="R56" s="20" t="n">
        <v>0.36601632</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(2603.0/B61*100)</f>
        <v/>
      </c>
      <c r="D61" s="19" t="n">
        <v>721</v>
      </c>
      <c r="E61" s="18" t="n">
        <v>13.87615809</v>
      </c>
      <c r="F61" s="20" t="n">
        <v>1.46262665</v>
      </c>
      <c r="G61" s="18" t="n">
        <v>85.46269239999999</v>
      </c>
      <c r="H61" s="20" t="n">
        <v>1.50869242</v>
      </c>
      <c r="I61" s="18" t="s">
        <v>567</v>
      </c>
      <c r="J61" s="20" t="s">
        <v>567</v>
      </c>
      <c r="K61" s="18" t="n">
        <v>0.04492785</v>
      </c>
      <c r="L61" s="20" t="n">
        <v>0.04504389</v>
      </c>
      <c r="M61" s="18" t="n">
        <v>0</v>
      </c>
      <c r="N61" s="20" t="n">
        <v>0</v>
      </c>
      <c r="O61" s="18" t="n">
        <v>0</v>
      </c>
      <c r="P61" s="20" t="n">
        <v>0</v>
      </c>
      <c r="Q61" s="18" t="n">
        <v>0.61622166</v>
      </c>
      <c r="R61" s="20" t="n">
        <v>0.29165702</v>
      </c>
    </row>
    <row r="62" spans="1:18">
      <c r="A62" s="15" t="s">
        <v>622</v>
      </c>
      <c r="B62" s="17" t="n">
        <v>2246</v>
      </c>
      <c r="C62" s="18">
        <f>(1740.0/B62*100)</f>
        <v/>
      </c>
      <c r="D62" s="19" t="n">
        <v>506</v>
      </c>
      <c r="E62" s="18" t="n">
        <v>8.711304820000001</v>
      </c>
      <c r="F62" s="20" t="n">
        <v>1.25171329</v>
      </c>
      <c r="G62" s="18" t="n">
        <v>91.28869518</v>
      </c>
      <c r="H62" s="20" t="n">
        <v>1.25171329</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(2318.0/B66*100)</f>
        <v/>
      </c>
      <c r="D66" s="19" t="n">
        <v>576</v>
      </c>
      <c r="E66" s="18" t="n">
        <v>27.97368987</v>
      </c>
      <c r="F66" s="20" t="n">
        <v>1.9260849</v>
      </c>
      <c r="G66" s="18" t="n">
        <v>66.28919051</v>
      </c>
      <c r="H66" s="20" t="n">
        <v>2.09108636</v>
      </c>
      <c r="I66" s="18" t="s">
        <v>567</v>
      </c>
      <c r="J66" s="20" t="s">
        <v>567</v>
      </c>
      <c r="K66" s="18" t="n">
        <v>1.23191091</v>
      </c>
      <c r="L66" s="20" t="n">
        <v>0.46429493</v>
      </c>
      <c r="M66" s="18" t="n">
        <v>0</v>
      </c>
      <c r="N66" s="20" t="n">
        <v>0</v>
      </c>
      <c r="O66" s="18" t="n">
        <v>0</v>
      </c>
      <c r="P66" s="20" t="n">
        <v>0</v>
      </c>
      <c r="Q66" s="18" t="n">
        <v>4.50520871</v>
      </c>
      <c r="R66" s="20" t="n">
        <v>0.83652688</v>
      </c>
    </row>
    <row r="67" spans="1:18">
      <c r="A67" s="15" t="s">
        <v>627</v>
      </c>
      <c r="B67" s="17" t="n">
        <v>3511</v>
      </c>
      <c r="C67" s="18">
        <f>(2822.0/B67*100)</f>
        <v/>
      </c>
      <c r="D67" s="19" t="n">
        <v>689</v>
      </c>
      <c r="E67" s="18" t="n">
        <v>20.25342115</v>
      </c>
      <c r="F67" s="20" t="n">
        <v>1.56014519</v>
      </c>
      <c r="G67" s="18" t="n">
        <v>78.38152393</v>
      </c>
      <c r="H67" s="20" t="n">
        <v>1.59595458</v>
      </c>
      <c r="I67" s="18" t="s">
        <v>567</v>
      </c>
      <c r="J67" s="20" t="s">
        <v>567</v>
      </c>
      <c r="K67" s="18" t="n">
        <v>0.52113073</v>
      </c>
      <c r="L67" s="20" t="n">
        <v>0.41097438</v>
      </c>
      <c r="M67" s="18" t="n">
        <v>0</v>
      </c>
      <c r="N67" s="20" t="n">
        <v>0</v>
      </c>
      <c r="O67" s="18" t="n">
        <v>0</v>
      </c>
      <c r="P67" s="20" t="n">
        <v>0</v>
      </c>
      <c r="Q67" s="18" t="n">
        <v>0.8439242</v>
      </c>
      <c r="R67" s="20" t="n">
        <v>0.37977639</v>
      </c>
    </row>
    <row r="68" spans="1:18">
      <c r="A68" s="15" t="s">
        <v>628</v>
      </c>
      <c r="B68" s="17" t="n">
        <v>6049</v>
      </c>
      <c r="C68" s="18">
        <f>(4682.0/B68*100)</f>
        <v/>
      </c>
      <c r="D68" s="19" t="n">
        <v>1367</v>
      </c>
      <c r="E68" s="18" t="n">
        <v>29.30583545</v>
      </c>
      <c r="F68" s="20" t="n">
        <v>1.20667393</v>
      </c>
      <c r="G68" s="18" t="n">
        <v>63.60800866</v>
      </c>
      <c r="H68" s="20" t="n">
        <v>1.16659108</v>
      </c>
      <c r="I68" s="18" t="s">
        <v>567</v>
      </c>
      <c r="J68" s="20" t="s">
        <v>567</v>
      </c>
      <c r="K68" s="18" t="n">
        <v>3.71667073</v>
      </c>
      <c r="L68" s="20" t="n">
        <v>0.44409994</v>
      </c>
      <c r="M68" s="18" t="n">
        <v>0</v>
      </c>
      <c r="N68" s="20" t="n">
        <v>0</v>
      </c>
      <c r="O68" s="18" t="n">
        <v>0</v>
      </c>
      <c r="P68" s="20" t="n">
        <v>0</v>
      </c>
      <c r="Q68" s="18" t="n">
        <v>3.36948516</v>
      </c>
      <c r="R68" s="20" t="n">
        <v>0.49868456</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(2316.0/B70*100)</f>
        <v/>
      </c>
      <c r="D70" s="19" t="n">
        <v>613</v>
      </c>
      <c r="E70" s="18" t="n">
        <v>14.25066565</v>
      </c>
      <c r="F70" s="20" t="n">
        <v>1.68395309</v>
      </c>
      <c r="G70" s="18" t="n">
        <v>84.39830515</v>
      </c>
      <c r="H70" s="20" t="n">
        <v>1.79958448</v>
      </c>
      <c r="I70" s="18" t="s">
        <v>567</v>
      </c>
      <c r="J70" s="20" t="s">
        <v>567</v>
      </c>
      <c r="K70" s="18" t="n">
        <v>0.28864136</v>
      </c>
      <c r="L70" s="20" t="n">
        <v>0.24956601</v>
      </c>
      <c r="M70" s="18" t="n">
        <v>0</v>
      </c>
      <c r="N70" s="20" t="n">
        <v>0</v>
      </c>
      <c r="O70" s="18" t="n">
        <v>0</v>
      </c>
      <c r="P70" s="20" t="n">
        <v>0</v>
      </c>
      <c r="Q70" s="18" t="n">
        <v>1.06238784</v>
      </c>
      <c r="R70" s="20" t="n">
        <v>0.43081401</v>
      </c>
    </row>
    <row r="71" spans="1:18">
      <c r="A71" s="15" t="s">
        <v>631</v>
      </c>
      <c r="B71" s="17" t="n">
        <v>3142</v>
      </c>
      <c r="C71" s="18">
        <f>(2463.0/B71*100)</f>
        <v/>
      </c>
      <c r="D71" s="19" t="n">
        <v>679</v>
      </c>
      <c r="E71" s="18" t="n">
        <v>6.6643998</v>
      </c>
      <c r="F71" s="20" t="n">
        <v>1.07459395</v>
      </c>
      <c r="G71" s="18" t="n">
        <v>92.29070537</v>
      </c>
      <c r="H71" s="20" t="n">
        <v>1.11060151</v>
      </c>
      <c r="I71" s="18" t="s">
        <v>567</v>
      </c>
      <c r="J71" s="20" t="s">
        <v>567</v>
      </c>
      <c r="K71" s="18" t="n">
        <v>0.39907156</v>
      </c>
      <c r="L71" s="20" t="n">
        <v>0.23302251</v>
      </c>
      <c r="M71" s="18" t="n">
        <v>0</v>
      </c>
      <c r="N71" s="20" t="n">
        <v>0</v>
      </c>
      <c r="O71" s="18" t="n">
        <v>0</v>
      </c>
      <c r="P71" s="20" t="n">
        <v>0</v>
      </c>
      <c r="Q71" s="18" t="n">
        <v>0.6458232699999999</v>
      </c>
      <c r="R71" s="20" t="n">
        <v>0.26373688</v>
      </c>
    </row>
    <row r="72" spans="1:18">
      <c r="A72" s="15" t="s">
        <v>632</v>
      </c>
      <c r="B72" s="17" t="n">
        <v>3889</v>
      </c>
      <c r="C72" s="18">
        <f>(3054.0/B72*100)</f>
        <v/>
      </c>
      <c r="D72" s="19" t="n">
        <v>835</v>
      </c>
      <c r="E72" s="18" t="n">
        <v>7.80409013</v>
      </c>
      <c r="F72" s="20" t="n">
        <v>0.83840693</v>
      </c>
      <c r="G72" s="18" t="n">
        <v>91.73781605000001</v>
      </c>
      <c r="H72" s="20" t="n">
        <v>0.86491056</v>
      </c>
      <c r="I72" s="18" t="s">
        <v>567</v>
      </c>
      <c r="J72" s="20" t="s">
        <v>567</v>
      </c>
      <c r="K72" s="18" t="n">
        <v>0.22349957</v>
      </c>
      <c r="L72" s="20" t="n">
        <v>0.17098983</v>
      </c>
      <c r="M72" s="18" t="n">
        <v>0</v>
      </c>
      <c r="N72" s="20" t="n">
        <v>0</v>
      </c>
      <c r="O72" s="18" t="n">
        <v>0</v>
      </c>
      <c r="P72" s="20" t="n">
        <v>0</v>
      </c>
      <c r="Q72" s="18" t="n">
        <v>0.23459425</v>
      </c>
      <c r="R72" s="20" t="n">
        <v>0.17833715</v>
      </c>
    </row>
    <row r="73" spans="1:18">
      <c r="A73" s="15" t="s">
        <v>633</v>
      </c>
      <c r="B73" s="17" t="n">
        <v>3597</v>
      </c>
      <c r="C73" s="18">
        <f>(2815.0/B73*100)</f>
        <v/>
      </c>
      <c r="D73" s="19" t="n">
        <v>782</v>
      </c>
      <c r="E73" s="18" t="n">
        <v>25.37062683</v>
      </c>
      <c r="F73" s="20" t="n">
        <v>1.94412745</v>
      </c>
      <c r="G73" s="18" t="n">
        <v>73.72967331</v>
      </c>
      <c r="H73" s="20" t="n">
        <v>1.93396343</v>
      </c>
      <c r="I73" s="18" t="s">
        <v>567</v>
      </c>
      <c r="J73" s="20" t="s">
        <v>567</v>
      </c>
      <c r="K73" s="18" t="n">
        <v>0.17940871</v>
      </c>
      <c r="L73" s="20" t="n">
        <v>0.13015573</v>
      </c>
      <c r="M73" s="18" t="n">
        <v>0</v>
      </c>
      <c r="N73" s="20" t="n">
        <v>0</v>
      </c>
      <c r="O73" s="18" t="n">
        <v>0</v>
      </c>
      <c r="P73" s="20" t="n">
        <v>0</v>
      </c>
      <c r="Q73" s="18" t="n">
        <v>0.72029115</v>
      </c>
      <c r="R73" s="20" t="n">
        <v>0.33069165</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(1936.0/B75*100)</f>
        <v/>
      </c>
      <c r="D75" s="19" t="n">
        <v>470</v>
      </c>
      <c r="E75" s="18" t="n">
        <v>29.38511935</v>
      </c>
      <c r="F75" s="20" t="n">
        <v>2.08456466</v>
      </c>
      <c r="G75" s="18" t="n">
        <v>65.71374129</v>
      </c>
      <c r="H75" s="20" t="n">
        <v>2.27882237</v>
      </c>
      <c r="I75" s="18" t="s">
        <v>567</v>
      </c>
      <c r="J75" s="20" t="s">
        <v>567</v>
      </c>
      <c r="K75" s="18" t="n">
        <v>2.45721458</v>
      </c>
      <c r="L75" s="20" t="n">
        <v>0.67552302</v>
      </c>
      <c r="M75" s="18" t="n">
        <v>0</v>
      </c>
      <c r="N75" s="20" t="n">
        <v>0</v>
      </c>
      <c r="O75" s="18" t="n">
        <v>0</v>
      </c>
      <c r="P75" s="20" t="n">
        <v>0</v>
      </c>
      <c r="Q75" s="18" t="n">
        <v>2.44392478</v>
      </c>
      <c r="R75" s="20" t="n">
        <v>0.67248851</v>
      </c>
    </row>
    <row r="76" spans="1:18">
      <c r="A76" s="15" t="s">
        <v>636</v>
      </c>
      <c r="B76" s="17" t="n">
        <v>7052</v>
      </c>
      <c r="C76" s="18">
        <f>(5491.0/B76*100)</f>
        <v/>
      </c>
      <c r="D76" s="19" t="n">
        <v>1561</v>
      </c>
      <c r="E76" s="18" t="n">
        <v>23.3591986</v>
      </c>
      <c r="F76" s="20" t="n">
        <v>1.45723609</v>
      </c>
      <c r="G76" s="18" t="n">
        <v>72.66745478</v>
      </c>
      <c r="H76" s="20" t="n">
        <v>1.43535457</v>
      </c>
      <c r="I76" s="18" t="s">
        <v>567</v>
      </c>
      <c r="J76" s="20" t="s">
        <v>567</v>
      </c>
      <c r="K76" s="18" t="n">
        <v>1.52440504</v>
      </c>
      <c r="L76" s="20" t="n">
        <v>0.37699393</v>
      </c>
      <c r="M76" s="18" t="n">
        <v>0</v>
      </c>
      <c r="N76" s="20" t="n">
        <v>0</v>
      </c>
      <c r="O76" s="18" t="n">
        <v>0</v>
      </c>
      <c r="P76" s="20" t="n">
        <v>0</v>
      </c>
      <c r="Q76" s="18" t="n">
        <v>2.44894157</v>
      </c>
      <c r="R76" s="20" t="n">
        <v>0.3871851</v>
      </c>
    </row>
    <row r="77" spans="1:18">
      <c r="A77" s="15" t="s">
        <v>637</v>
      </c>
      <c r="B77" s="17" t="n">
        <v>2908</v>
      </c>
      <c r="C77" s="18">
        <f>(2299.0/B77*100)</f>
        <v/>
      </c>
      <c r="D77" s="19" t="n">
        <v>609</v>
      </c>
      <c r="E77" s="18" t="n">
        <v>17.02802315</v>
      </c>
      <c r="F77" s="20" t="n">
        <v>1.90324466</v>
      </c>
      <c r="G77" s="18" t="n">
        <v>79.61603893</v>
      </c>
      <c r="H77" s="20" t="n">
        <v>2.040849</v>
      </c>
      <c r="I77" s="18" t="s">
        <v>567</v>
      </c>
      <c r="J77" s="20" t="s">
        <v>567</v>
      </c>
      <c r="K77" s="18" t="n">
        <v>1.4631863</v>
      </c>
      <c r="L77" s="20" t="n">
        <v>0.46538714</v>
      </c>
      <c r="M77" s="18" t="n">
        <v>0</v>
      </c>
      <c r="N77" s="20" t="n">
        <v>0</v>
      </c>
      <c r="O77" s="18" t="n">
        <v>0</v>
      </c>
      <c r="P77" s="20" t="n">
        <v>0</v>
      </c>
      <c r="Q77" s="18" t="n">
        <v>1.89275162</v>
      </c>
      <c r="R77" s="20" t="n">
        <v>0.50616625</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(3235.0/B81*100)</f>
        <v/>
      </c>
      <c r="D81" s="19" t="n">
        <v>928</v>
      </c>
      <c r="E81" s="18" t="n">
        <v>23.22626275</v>
      </c>
      <c r="F81" s="20" t="n">
        <v>1.86401684</v>
      </c>
      <c r="G81" s="18" t="n">
        <v>76.29081566000001</v>
      </c>
      <c r="H81" s="20" t="n">
        <v>1.85579969</v>
      </c>
      <c r="I81" s="18" t="s">
        <v>567</v>
      </c>
      <c r="J81" s="20" t="s">
        <v>567</v>
      </c>
      <c r="K81" s="18" t="n">
        <v>0</v>
      </c>
      <c r="L81" s="20" t="n">
        <v>0</v>
      </c>
      <c r="M81" s="18" t="n">
        <v>0</v>
      </c>
      <c r="N81" s="20" t="n">
        <v>0</v>
      </c>
      <c r="O81" s="18" t="n">
        <v>0</v>
      </c>
      <c r="P81" s="20" t="n">
        <v>0</v>
      </c>
      <c r="Q81" s="18" t="n">
        <v>0.48292159</v>
      </c>
      <c r="R81" s="20" t="n">
        <v>0.24624908</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(5783.0/B7*100)</f>
        <v/>
      </c>
      <c r="D7" s="19" t="n">
        <v>1584</v>
      </c>
      <c r="E7" s="18" t="n">
        <v>50.61088394</v>
      </c>
      <c r="F7" s="20" t="n">
        <v>1.26002661</v>
      </c>
      <c r="G7" s="18" t="n">
        <v>46.08947572</v>
      </c>
      <c r="H7" s="20" t="n">
        <v>1.31011294</v>
      </c>
      <c r="I7" s="18" t="s">
        <v>567</v>
      </c>
      <c r="J7" s="20" t="s">
        <v>567</v>
      </c>
      <c r="K7" s="18" t="n">
        <v>1.10729029</v>
      </c>
      <c r="L7" s="20" t="n">
        <v>0.32225503</v>
      </c>
      <c r="M7" s="18" t="n">
        <v>0</v>
      </c>
      <c r="N7" s="20" t="n">
        <v>0</v>
      </c>
      <c r="O7" s="18" t="n">
        <v>0</v>
      </c>
      <c r="P7" s="20" t="n">
        <v>0</v>
      </c>
      <c r="Q7" s="18" t="n">
        <v>2.19235005</v>
      </c>
      <c r="R7" s="20" t="n">
        <v>0.43238555</v>
      </c>
    </row>
    <row r="8" spans="1:18">
      <c r="A8" s="15" t="s">
        <v>568</v>
      </c>
      <c r="B8" s="17" t="n">
        <v>3564</v>
      </c>
      <c r="C8" s="18">
        <f>(2789.0/B8*100)</f>
        <v/>
      </c>
      <c r="D8" s="19" t="n">
        <v>775</v>
      </c>
      <c r="E8" s="18" t="n">
        <v>40.59261684</v>
      </c>
      <c r="F8" s="20" t="n">
        <v>1.99084165</v>
      </c>
      <c r="G8" s="18" t="n">
        <v>57.49045931</v>
      </c>
      <c r="H8" s="20" t="n">
        <v>2.0510337</v>
      </c>
      <c r="I8" s="18" t="s">
        <v>567</v>
      </c>
      <c r="J8" s="20" t="s">
        <v>567</v>
      </c>
      <c r="K8" s="18" t="n">
        <v>0.30364742</v>
      </c>
      <c r="L8" s="20" t="n">
        <v>0.21216049</v>
      </c>
      <c r="M8" s="18" t="n">
        <v>0</v>
      </c>
      <c r="N8" s="20" t="n">
        <v>0</v>
      </c>
      <c r="O8" s="18" t="n">
        <v>0</v>
      </c>
      <c r="P8" s="20" t="n">
        <v>0</v>
      </c>
      <c r="Q8" s="18" t="n">
        <v>1.61327643</v>
      </c>
      <c r="R8" s="20" t="n">
        <v>0.57899098</v>
      </c>
    </row>
    <row r="9" spans="1:18">
      <c r="A9" s="15" t="s">
        <v>569</v>
      </c>
      <c r="B9" s="17" t="n">
        <v>4899</v>
      </c>
      <c r="C9" s="18">
        <f>(3865.0/B9*100)</f>
        <v/>
      </c>
      <c r="D9" s="19" t="n">
        <v>1034</v>
      </c>
      <c r="E9" s="18" t="n">
        <v>50.64126247</v>
      </c>
      <c r="F9" s="20" t="n">
        <v>1.67768256</v>
      </c>
      <c r="G9" s="18" t="n">
        <v>47.48926614</v>
      </c>
      <c r="H9" s="20" t="n">
        <v>1.69729383</v>
      </c>
      <c r="I9" s="18" t="s">
        <v>567</v>
      </c>
      <c r="J9" s="20" t="s">
        <v>567</v>
      </c>
      <c r="K9" s="18" t="n">
        <v>0.70730576</v>
      </c>
      <c r="L9" s="20" t="n">
        <v>0.28993707</v>
      </c>
      <c r="M9" s="18" t="n">
        <v>0</v>
      </c>
      <c r="N9" s="20" t="n">
        <v>0</v>
      </c>
      <c r="O9" s="18" t="n">
        <v>0</v>
      </c>
      <c r="P9" s="20" t="n">
        <v>0</v>
      </c>
      <c r="Q9" s="18" t="n">
        <v>1.16216564</v>
      </c>
      <c r="R9" s="20" t="n">
        <v>0.30438059</v>
      </c>
    </row>
    <row r="10" spans="1:18">
      <c r="A10" s="15" t="s">
        <v>570</v>
      </c>
      <c r="B10" s="17" t="n">
        <v>10036</v>
      </c>
      <c r="C10" s="18">
        <f>(7804.0/B10*100)</f>
        <v/>
      </c>
      <c r="D10" s="19" t="n">
        <v>2232</v>
      </c>
      <c r="E10" s="18" t="n">
        <v>41.39695614</v>
      </c>
      <c r="F10" s="20" t="n">
        <v>1.76240663</v>
      </c>
      <c r="G10" s="18" t="n">
        <v>56.74819337</v>
      </c>
      <c r="H10" s="20" t="n">
        <v>1.81374842</v>
      </c>
      <c r="I10" s="18" t="s">
        <v>567</v>
      </c>
      <c r="J10" s="20" t="s">
        <v>567</v>
      </c>
      <c r="K10" s="18" t="n">
        <v>0.66063322</v>
      </c>
      <c r="L10" s="20" t="n">
        <v>0.25030377</v>
      </c>
      <c r="M10" s="18" t="n">
        <v>0</v>
      </c>
      <c r="N10" s="20" t="n">
        <v>0</v>
      </c>
      <c r="O10" s="18" t="n">
        <v>0</v>
      </c>
      <c r="P10" s="20" t="n">
        <v>0</v>
      </c>
      <c r="Q10" s="18" t="n">
        <v>1.19421727</v>
      </c>
      <c r="R10" s="20" t="n">
        <v>0.27648107</v>
      </c>
    </row>
    <row r="11" spans="1:18">
      <c r="A11" s="15" t="s">
        <v>571</v>
      </c>
      <c r="B11" s="17" t="n">
        <v>3553</v>
      </c>
      <c r="C11" s="18">
        <f>(2785.0/B11*100)</f>
        <v/>
      </c>
      <c r="D11" s="19" t="n">
        <v>768</v>
      </c>
      <c r="E11" s="18" t="n">
        <v>49.13713957</v>
      </c>
      <c r="F11" s="20" t="n">
        <v>1.91788569</v>
      </c>
      <c r="G11" s="18" t="n">
        <v>43.85571131</v>
      </c>
      <c r="H11" s="20" t="n">
        <v>2.08328961</v>
      </c>
      <c r="I11" s="18" t="s">
        <v>567</v>
      </c>
      <c r="J11" s="20" t="s">
        <v>567</v>
      </c>
      <c r="K11" s="18" t="n">
        <v>0.7023203099999999</v>
      </c>
      <c r="L11" s="20" t="n">
        <v>0.32913198</v>
      </c>
      <c r="M11" s="18" t="n">
        <v>0</v>
      </c>
      <c r="N11" s="20" t="n">
        <v>0</v>
      </c>
      <c r="O11" s="18" t="n">
        <v>0</v>
      </c>
      <c r="P11" s="20" t="n">
        <v>0</v>
      </c>
      <c r="Q11" s="18" t="n">
        <v>6.30482881</v>
      </c>
      <c r="R11" s="20" t="n">
        <v>0.9551209000000001</v>
      </c>
    </row>
    <row r="12" spans="1:18">
      <c r="A12" s="15" t="s">
        <v>572</v>
      </c>
      <c r="B12" s="17" t="n">
        <v>3472</v>
      </c>
      <c r="C12" s="18">
        <f>(2714.0/B12*100)</f>
        <v/>
      </c>
      <c r="D12" s="19" t="n">
        <v>758</v>
      </c>
      <c r="E12" s="18" t="n">
        <v>51.25633903</v>
      </c>
      <c r="F12" s="20" t="n">
        <v>2.19551181</v>
      </c>
      <c r="G12" s="18" t="n">
        <v>45.7906049</v>
      </c>
      <c r="H12" s="20" t="n">
        <v>2.23502481</v>
      </c>
      <c r="I12" s="18" t="s">
        <v>567</v>
      </c>
      <c r="J12" s="20" t="s">
        <v>567</v>
      </c>
      <c r="K12" s="18" t="n">
        <v>0.2416778</v>
      </c>
      <c r="L12" s="20" t="n">
        <v>0.17176237</v>
      </c>
      <c r="M12" s="18" t="n">
        <v>0</v>
      </c>
      <c r="N12" s="20" t="n">
        <v>0</v>
      </c>
      <c r="O12" s="18" t="n">
        <v>0</v>
      </c>
      <c r="P12" s="20" t="n">
        <v>0</v>
      </c>
      <c r="Q12" s="18" t="n">
        <v>2.71137826</v>
      </c>
      <c r="R12" s="20" t="n">
        <v>0.71984574</v>
      </c>
    </row>
    <row r="13" spans="1:18">
      <c r="A13" s="15" t="s">
        <v>573</v>
      </c>
      <c r="B13" s="17" t="n">
        <v>3559</v>
      </c>
      <c r="C13" s="18">
        <f>(2805.0/B13*100)</f>
        <v/>
      </c>
      <c r="D13" s="19" t="n">
        <v>754</v>
      </c>
      <c r="E13" s="18" t="n">
        <v>64.43999291</v>
      </c>
      <c r="F13" s="20" t="n">
        <v>2.16020849</v>
      </c>
      <c r="G13" s="18" t="n">
        <v>32.14436777</v>
      </c>
      <c r="H13" s="20" t="n">
        <v>2.1536809</v>
      </c>
      <c r="I13" s="18" t="s">
        <v>567</v>
      </c>
      <c r="J13" s="20" t="s">
        <v>567</v>
      </c>
      <c r="K13" s="18" t="n">
        <v>1.44706017</v>
      </c>
      <c r="L13" s="20" t="n">
        <v>0.40809761</v>
      </c>
      <c r="M13" s="18" t="n">
        <v>0</v>
      </c>
      <c r="N13" s="20" t="n">
        <v>0</v>
      </c>
      <c r="O13" s="18" t="n">
        <v>0</v>
      </c>
      <c r="P13" s="20" t="n">
        <v>0</v>
      </c>
      <c r="Q13" s="18" t="n">
        <v>1.96857915</v>
      </c>
      <c r="R13" s="20" t="n">
        <v>0.59129212</v>
      </c>
    </row>
    <row r="14" spans="1:18">
      <c r="A14" s="15" t="s">
        <v>574</v>
      </c>
      <c r="B14" s="17" t="n">
        <v>2799</v>
      </c>
      <c r="C14" s="18">
        <f>(2176.0/B14*100)</f>
        <v/>
      </c>
      <c r="D14" s="19" t="n">
        <v>623</v>
      </c>
      <c r="E14" s="18" t="n">
        <v>31.90235161</v>
      </c>
      <c r="F14" s="20" t="n">
        <v>2.33510209</v>
      </c>
      <c r="G14" s="18" t="n">
        <v>66.68445805</v>
      </c>
      <c r="H14" s="20" t="n">
        <v>2.34346417</v>
      </c>
      <c r="I14" s="18" t="s">
        <v>567</v>
      </c>
      <c r="J14" s="20" t="s">
        <v>567</v>
      </c>
      <c r="K14" s="18" t="n">
        <v>0.2663114</v>
      </c>
      <c r="L14" s="20" t="n">
        <v>0.18836293</v>
      </c>
      <c r="M14" s="18" t="n">
        <v>0</v>
      </c>
      <c r="N14" s="20" t="n">
        <v>0</v>
      </c>
      <c r="O14" s="18" t="n">
        <v>0</v>
      </c>
      <c r="P14" s="20" t="n">
        <v>0</v>
      </c>
      <c r="Q14" s="18" t="n">
        <v>1.14687893</v>
      </c>
      <c r="R14" s="20" t="n">
        <v>0.61350277</v>
      </c>
    </row>
    <row r="15" spans="1:18">
      <c r="A15" s="15" t="s">
        <v>575</v>
      </c>
      <c r="B15" s="17" t="n">
        <v>3019</v>
      </c>
      <c r="C15" s="18">
        <f>(2300.0/B15*100)</f>
        <v/>
      </c>
      <c r="D15" s="19" t="n">
        <v>719</v>
      </c>
      <c r="E15" s="18" t="n">
        <v>67.55091109999999</v>
      </c>
      <c r="F15" s="20" t="n">
        <v>1.81183294</v>
      </c>
      <c r="G15" s="18" t="n">
        <v>30.43940213</v>
      </c>
      <c r="H15" s="20" t="n">
        <v>1.76698714</v>
      </c>
      <c r="I15" s="18" t="s">
        <v>567</v>
      </c>
      <c r="J15" s="20" t="s">
        <v>567</v>
      </c>
      <c r="K15" s="18" t="n">
        <v>0.15616864</v>
      </c>
      <c r="L15" s="20" t="n">
        <v>0.1713111</v>
      </c>
      <c r="M15" s="18" t="n">
        <v>0</v>
      </c>
      <c r="N15" s="20" t="n">
        <v>0</v>
      </c>
      <c r="O15" s="18" t="n">
        <v>0</v>
      </c>
      <c r="P15" s="20" t="n">
        <v>0</v>
      </c>
      <c r="Q15" s="18" t="n">
        <v>1.85351813</v>
      </c>
      <c r="R15" s="20" t="n">
        <v>0.51827966</v>
      </c>
    </row>
    <row r="16" spans="1:18">
      <c r="A16" s="15" t="s">
        <v>576</v>
      </c>
      <c r="B16" s="17" t="n">
        <v>2997</v>
      </c>
      <c r="C16" s="18">
        <f>(2327.0/B16*100)</f>
        <v/>
      </c>
      <c r="D16" s="19" t="n">
        <v>670</v>
      </c>
      <c r="E16" s="18" t="n">
        <v>47.04522337</v>
      </c>
      <c r="F16" s="20" t="n">
        <v>1.71616983</v>
      </c>
      <c r="G16" s="18" t="n">
        <v>47.30305963</v>
      </c>
      <c r="H16" s="20" t="n">
        <v>1.81285321</v>
      </c>
      <c r="I16" s="18" t="s">
        <v>567</v>
      </c>
      <c r="J16" s="20" t="s">
        <v>567</v>
      </c>
      <c r="K16" s="18" t="n">
        <v>1.75691553</v>
      </c>
      <c r="L16" s="20" t="n">
        <v>0.55504818</v>
      </c>
      <c r="M16" s="18" t="n">
        <v>0</v>
      </c>
      <c r="N16" s="20" t="n">
        <v>0</v>
      </c>
      <c r="O16" s="18" t="n">
        <v>0</v>
      </c>
      <c r="P16" s="20" t="n">
        <v>0</v>
      </c>
      <c r="Q16" s="18" t="n">
        <v>3.89480147</v>
      </c>
      <c r="R16" s="20" t="n">
        <v>0.76833082</v>
      </c>
    </row>
    <row r="17" spans="1:18">
      <c r="A17" s="15" t="s">
        <v>577</v>
      </c>
      <c r="B17" s="17" t="n">
        <v>3307</v>
      </c>
      <c r="C17" s="18">
        <f>(2588.0/B17*100)</f>
        <v/>
      </c>
      <c r="D17" s="19" t="n">
        <v>719</v>
      </c>
      <c r="E17" s="18" t="n">
        <v>30.74192329</v>
      </c>
      <c r="F17" s="20" t="n">
        <v>1.69968111</v>
      </c>
      <c r="G17" s="18" t="n">
        <v>66.74672973</v>
      </c>
      <c r="H17" s="20" t="n">
        <v>1.70574241</v>
      </c>
      <c r="I17" s="18" t="s">
        <v>567</v>
      </c>
      <c r="J17" s="20" t="s">
        <v>567</v>
      </c>
      <c r="K17" s="18" t="n">
        <v>0.36741413</v>
      </c>
      <c r="L17" s="20" t="n">
        <v>0.25572727</v>
      </c>
      <c r="M17" s="18" t="n">
        <v>0</v>
      </c>
      <c r="N17" s="20" t="n">
        <v>0</v>
      </c>
      <c r="O17" s="18" t="n">
        <v>0</v>
      </c>
      <c r="P17" s="20" t="n">
        <v>0</v>
      </c>
      <c r="Q17" s="18" t="n">
        <v>2.14393285</v>
      </c>
      <c r="R17" s="20" t="n">
        <v>0.44480611</v>
      </c>
    </row>
    <row r="18" spans="1:18">
      <c r="A18" s="15" t="s">
        <v>578</v>
      </c>
      <c r="B18" s="17" t="n">
        <v>2826</v>
      </c>
      <c r="C18" s="18">
        <f>(2217.0/B18*100)</f>
        <v/>
      </c>
      <c r="D18" s="19" t="n">
        <v>609</v>
      </c>
      <c r="E18" s="18" t="n">
        <v>61.10334315</v>
      </c>
      <c r="F18" s="20" t="n">
        <v>1.80111823</v>
      </c>
      <c r="G18" s="18" t="n">
        <v>34.13994144</v>
      </c>
      <c r="H18" s="20" t="n">
        <v>1.97176948</v>
      </c>
      <c r="I18" s="18" t="s">
        <v>567</v>
      </c>
      <c r="J18" s="20" t="s">
        <v>567</v>
      </c>
      <c r="K18" s="18" t="n">
        <v>0.61248865</v>
      </c>
      <c r="L18" s="20" t="n">
        <v>0.30752746</v>
      </c>
      <c r="M18" s="18" t="n">
        <v>0</v>
      </c>
      <c r="N18" s="20" t="n">
        <v>0</v>
      </c>
      <c r="O18" s="18" t="n">
        <v>0</v>
      </c>
      <c r="P18" s="20" t="n">
        <v>0</v>
      </c>
      <c r="Q18" s="18" t="n">
        <v>4.14422676</v>
      </c>
      <c r="R18" s="20" t="n">
        <v>0.97819111</v>
      </c>
    </row>
    <row r="19" spans="1:18">
      <c r="A19" s="15" t="s">
        <v>579</v>
      </c>
      <c r="B19" s="17" t="n">
        <v>2808</v>
      </c>
      <c r="C19" s="18">
        <f>(2192.0/B19*100)</f>
        <v/>
      </c>
      <c r="D19" s="19" t="n">
        <v>616</v>
      </c>
      <c r="E19" s="18" t="n">
        <v>47.05832352</v>
      </c>
      <c r="F19" s="20" t="n">
        <v>2.15576191</v>
      </c>
      <c r="G19" s="18" t="n">
        <v>50.2827822</v>
      </c>
      <c r="H19" s="20" t="n">
        <v>2.21957814</v>
      </c>
      <c r="I19" s="18" t="s">
        <v>567</v>
      </c>
      <c r="J19" s="20" t="s">
        <v>567</v>
      </c>
      <c r="K19" s="18" t="n">
        <v>0.52258428</v>
      </c>
      <c r="L19" s="20" t="n">
        <v>0.37836637</v>
      </c>
      <c r="M19" s="18" t="n">
        <v>0</v>
      </c>
      <c r="N19" s="20" t="n">
        <v>0</v>
      </c>
      <c r="O19" s="18" t="n">
        <v>0</v>
      </c>
      <c r="P19" s="20" t="n">
        <v>0</v>
      </c>
      <c r="Q19" s="18" t="n">
        <v>2.13630999</v>
      </c>
      <c r="R19" s="20" t="n">
        <v>0.55758651</v>
      </c>
    </row>
    <row r="20" spans="1:18">
      <c r="A20" s="15" t="s">
        <v>580</v>
      </c>
      <c r="B20" s="17" t="n">
        <v>1630</v>
      </c>
      <c r="C20" s="18">
        <f>(1273.0/B20*100)</f>
        <v/>
      </c>
      <c r="D20" s="19" t="n">
        <v>357</v>
      </c>
      <c r="E20" s="18" t="n">
        <v>56.64082474</v>
      </c>
      <c r="F20" s="20" t="n">
        <v>2.31944267</v>
      </c>
      <c r="G20" s="18" t="n">
        <v>39.76951725</v>
      </c>
      <c r="H20" s="20" t="n">
        <v>2.42317228</v>
      </c>
      <c r="I20" s="18" t="s">
        <v>567</v>
      </c>
      <c r="J20" s="20" t="s">
        <v>567</v>
      </c>
      <c r="K20" s="18" t="n">
        <v>0.54757893</v>
      </c>
      <c r="L20" s="20" t="n">
        <v>0.39318597</v>
      </c>
      <c r="M20" s="18" t="n">
        <v>0</v>
      </c>
      <c r="N20" s="20" t="n">
        <v>0</v>
      </c>
      <c r="O20" s="18" t="n">
        <v>0</v>
      </c>
      <c r="P20" s="20" t="n">
        <v>0</v>
      </c>
      <c r="Q20" s="18" t="n">
        <v>3.04207909</v>
      </c>
      <c r="R20" s="20" t="n">
        <v>0.92307543</v>
      </c>
    </row>
    <row r="21" spans="1:18">
      <c r="A21" s="15" t="s">
        <v>581</v>
      </c>
      <c r="B21" s="17" t="n">
        <v>2908</v>
      </c>
      <c r="C21" s="18">
        <f>(2257.0/B21*100)</f>
        <v/>
      </c>
      <c r="D21" s="19" t="n">
        <v>651</v>
      </c>
      <c r="E21" s="18" t="n">
        <v>46.32675407</v>
      </c>
      <c r="F21" s="20" t="n">
        <v>1.95007782</v>
      </c>
      <c r="G21" s="18" t="n">
        <v>50.76123003</v>
      </c>
      <c r="H21" s="20" t="n">
        <v>2.16036119</v>
      </c>
      <c r="I21" s="18" t="s">
        <v>567</v>
      </c>
      <c r="J21" s="20" t="s">
        <v>567</v>
      </c>
      <c r="K21" s="18" t="n">
        <v>1.33820918</v>
      </c>
      <c r="L21" s="20" t="n">
        <v>0.42795566</v>
      </c>
      <c r="M21" s="18" t="n">
        <v>0</v>
      </c>
      <c r="N21" s="20" t="n">
        <v>0</v>
      </c>
      <c r="O21" s="18" t="n">
        <v>0</v>
      </c>
      <c r="P21" s="20" t="n">
        <v>0</v>
      </c>
      <c r="Q21" s="18" t="n">
        <v>1.57380672</v>
      </c>
      <c r="R21" s="20" t="n">
        <v>0.54888539</v>
      </c>
    </row>
    <row r="22" spans="1:18">
      <c r="A22" s="15" t="s">
        <v>582</v>
      </c>
      <c r="B22" s="17" t="n">
        <v>2931</v>
      </c>
      <c r="C22" s="18">
        <f>(2349.0/B22*100)</f>
        <v/>
      </c>
      <c r="D22" s="19" t="n">
        <v>582</v>
      </c>
      <c r="E22" s="18" t="n">
        <v>47.4607146</v>
      </c>
      <c r="F22" s="20" t="n">
        <v>2.49084645</v>
      </c>
      <c r="G22" s="18" t="n">
        <v>44.31630027</v>
      </c>
      <c r="H22" s="20" t="n">
        <v>2.21377026</v>
      </c>
      <c r="I22" s="18" t="s">
        <v>567</v>
      </c>
      <c r="J22" s="20" t="s">
        <v>567</v>
      </c>
      <c r="K22" s="18" t="n">
        <v>0.9845347</v>
      </c>
      <c r="L22" s="20" t="n">
        <v>0.44111293</v>
      </c>
      <c r="M22" s="18" t="n">
        <v>0</v>
      </c>
      <c r="N22" s="20" t="n">
        <v>0</v>
      </c>
      <c r="O22" s="18" t="n">
        <v>0</v>
      </c>
      <c r="P22" s="20" t="n">
        <v>0</v>
      </c>
      <c r="Q22" s="18" t="n">
        <v>7.23845043</v>
      </c>
      <c r="R22" s="20" t="n">
        <v>1.59762828</v>
      </c>
    </row>
    <row r="23" spans="1:18">
      <c r="A23" s="15" t="s">
        <v>583</v>
      </c>
      <c r="B23" s="17" t="n">
        <v>5791</v>
      </c>
      <c r="C23" s="18">
        <f>(4539.0/B23*100)</f>
        <v/>
      </c>
      <c r="D23" s="19" t="n">
        <v>1252</v>
      </c>
      <c r="E23" s="18" t="n">
        <v>39.22236287</v>
      </c>
      <c r="F23" s="20" t="n">
        <v>1.80238699</v>
      </c>
      <c r="G23" s="18" t="n">
        <v>56.80842273</v>
      </c>
      <c r="H23" s="20" t="n">
        <v>1.99362772</v>
      </c>
      <c r="I23" s="18" t="s">
        <v>567</v>
      </c>
      <c r="J23" s="20" t="s">
        <v>567</v>
      </c>
      <c r="K23" s="18" t="n">
        <v>1.27485907</v>
      </c>
      <c r="L23" s="20" t="n">
        <v>0.46276605</v>
      </c>
      <c r="M23" s="18" t="n">
        <v>0</v>
      </c>
      <c r="N23" s="20" t="n">
        <v>0</v>
      </c>
      <c r="O23" s="18" t="n">
        <v>0</v>
      </c>
      <c r="P23" s="20" t="n">
        <v>0</v>
      </c>
      <c r="Q23" s="18" t="n">
        <v>2.69435533</v>
      </c>
      <c r="R23" s="20" t="n">
        <v>0.55092089</v>
      </c>
    </row>
    <row r="24" spans="1:18">
      <c r="A24" s="15" t="s">
        <v>584</v>
      </c>
      <c r="B24" s="17" t="n">
        <v>3338</v>
      </c>
      <c r="C24" s="18">
        <f>(2608.0/B24*100)</f>
        <v/>
      </c>
      <c r="D24" s="19" t="n">
        <v>730</v>
      </c>
      <c r="E24" s="18" t="n">
        <v>25.93752495</v>
      </c>
      <c r="F24" s="20" t="n">
        <v>1.55639954</v>
      </c>
      <c r="G24" s="18" t="n">
        <v>72.23666175</v>
      </c>
      <c r="H24" s="20" t="n">
        <v>1.66472867</v>
      </c>
      <c r="I24" s="18" t="s">
        <v>567</v>
      </c>
      <c r="J24" s="20" t="s">
        <v>567</v>
      </c>
      <c r="K24" s="18" t="n">
        <v>0.35821235</v>
      </c>
      <c r="L24" s="20" t="n">
        <v>0.20912618</v>
      </c>
      <c r="M24" s="18" t="n">
        <v>0</v>
      </c>
      <c r="N24" s="20" t="n">
        <v>0</v>
      </c>
      <c r="O24" s="18" t="n">
        <v>0</v>
      </c>
      <c r="P24" s="20" t="n">
        <v>0</v>
      </c>
      <c r="Q24" s="18" t="n">
        <v>1.46760095</v>
      </c>
      <c r="R24" s="20" t="n">
        <v>0.51628195</v>
      </c>
    </row>
    <row r="25" spans="1:18">
      <c r="A25" s="15" t="s">
        <v>585</v>
      </c>
      <c r="B25" s="17" t="n">
        <v>2912</v>
      </c>
      <c r="C25" s="18">
        <f>(2275.0/B25*100)</f>
        <v/>
      </c>
      <c r="D25" s="19" t="n">
        <v>637</v>
      </c>
      <c r="E25" s="18" t="n">
        <v>36.71695322</v>
      </c>
      <c r="F25" s="20" t="n">
        <v>2.0894229</v>
      </c>
      <c r="G25" s="18" t="n">
        <v>60.67467939</v>
      </c>
      <c r="H25" s="20" t="n">
        <v>2.30711791</v>
      </c>
      <c r="I25" s="18" t="s">
        <v>567</v>
      </c>
      <c r="J25" s="20" t="s">
        <v>567</v>
      </c>
      <c r="K25" s="18" t="n">
        <v>0.13246293</v>
      </c>
      <c r="L25" s="20" t="n">
        <v>0.1344598</v>
      </c>
      <c r="M25" s="18" t="n">
        <v>0</v>
      </c>
      <c r="N25" s="20" t="n">
        <v>0</v>
      </c>
      <c r="O25" s="18" t="n">
        <v>0</v>
      </c>
      <c r="P25" s="20" t="n">
        <v>0</v>
      </c>
      <c r="Q25" s="18" t="n">
        <v>2.47590446</v>
      </c>
      <c r="R25" s="20" t="n">
        <v>0.76185761</v>
      </c>
    </row>
    <row r="26" spans="1:18">
      <c r="A26" s="15" t="s">
        <v>586</v>
      </c>
      <c r="B26" s="17" t="n">
        <v>2450</v>
      </c>
      <c r="C26" s="18">
        <f>(1910.0/B26*100)</f>
        <v/>
      </c>
      <c r="D26" s="19" t="n">
        <v>540</v>
      </c>
      <c r="E26" s="18" t="n">
        <v>37.92380162</v>
      </c>
      <c r="F26" s="20" t="n">
        <v>2.37165463</v>
      </c>
      <c r="G26" s="18" t="n">
        <v>60.42722379</v>
      </c>
      <c r="H26" s="20" t="n">
        <v>2.3141807</v>
      </c>
      <c r="I26" s="18" t="s">
        <v>567</v>
      </c>
      <c r="J26" s="20" t="s">
        <v>567</v>
      </c>
      <c r="K26" s="18" t="n">
        <v>0.13767512</v>
      </c>
      <c r="L26" s="20" t="n">
        <v>0.13839102</v>
      </c>
      <c r="M26" s="18" t="n">
        <v>0</v>
      </c>
      <c r="N26" s="20" t="n">
        <v>0</v>
      </c>
      <c r="O26" s="18" t="n">
        <v>0</v>
      </c>
      <c r="P26" s="20" t="n">
        <v>0</v>
      </c>
      <c r="Q26" s="18" t="n">
        <v>1.51129946</v>
      </c>
      <c r="R26" s="20" t="n">
        <v>0.6360932500000001</v>
      </c>
    </row>
    <row r="27" spans="1:18">
      <c r="A27" s="15" t="s">
        <v>587</v>
      </c>
      <c r="B27" s="17" t="n">
        <v>2616</v>
      </c>
      <c r="C27" s="18">
        <f>(2047.0/B27*100)</f>
        <v/>
      </c>
      <c r="D27" s="19" t="n">
        <v>569</v>
      </c>
      <c r="E27" s="18" t="n">
        <v>46.64754356</v>
      </c>
      <c r="F27" s="20" t="n">
        <v>2.00094097</v>
      </c>
      <c r="G27" s="18" t="n">
        <v>51.45103699</v>
      </c>
      <c r="H27" s="20" t="n">
        <v>2.03465689</v>
      </c>
      <c r="I27" s="18" t="s">
        <v>567</v>
      </c>
      <c r="J27" s="20" t="s">
        <v>567</v>
      </c>
      <c r="K27" s="18" t="n">
        <v>0.17361938</v>
      </c>
      <c r="L27" s="20" t="n">
        <v>0.17212714</v>
      </c>
      <c r="M27" s="18" t="n">
        <v>0</v>
      </c>
      <c r="N27" s="20" t="n">
        <v>0</v>
      </c>
      <c r="O27" s="18" t="n">
        <v>0</v>
      </c>
      <c r="P27" s="20" t="n">
        <v>0</v>
      </c>
      <c r="Q27" s="18" t="n">
        <v>1.72780007</v>
      </c>
      <c r="R27" s="20" t="n">
        <v>0.52496341</v>
      </c>
    </row>
    <row r="28" spans="1:18">
      <c r="A28" s="15" t="s">
        <v>588</v>
      </c>
      <c r="B28" s="17" t="n">
        <v>3765</v>
      </c>
      <c r="C28" s="18">
        <f>(3055.0/B28*100)</f>
        <v/>
      </c>
      <c r="D28" s="19" t="n">
        <v>710</v>
      </c>
      <c r="E28" s="18" t="n">
        <v>67.89837582</v>
      </c>
      <c r="F28" s="20" t="n">
        <v>2.23622856</v>
      </c>
      <c r="G28" s="18" t="n">
        <v>28.29913204</v>
      </c>
      <c r="H28" s="20" t="n">
        <v>2.38284422</v>
      </c>
      <c r="I28" s="18" t="s">
        <v>567</v>
      </c>
      <c r="J28" s="20" t="s">
        <v>567</v>
      </c>
      <c r="K28" s="18" t="n">
        <v>0.62128244</v>
      </c>
      <c r="L28" s="20" t="n">
        <v>0.33298058</v>
      </c>
      <c r="M28" s="18" t="n">
        <v>0</v>
      </c>
      <c r="N28" s="20" t="n">
        <v>0</v>
      </c>
      <c r="O28" s="18" t="n">
        <v>0</v>
      </c>
      <c r="P28" s="20" t="n">
        <v>0</v>
      </c>
      <c r="Q28" s="18" t="n">
        <v>3.1812097</v>
      </c>
      <c r="R28" s="20" t="n">
        <v>0.91313387</v>
      </c>
    </row>
    <row r="29" spans="1:18">
      <c r="A29" s="15" t="s">
        <v>589</v>
      </c>
      <c r="B29" s="17" t="n">
        <v>2685</v>
      </c>
      <c r="C29" s="18">
        <f>(2100.0/B29*100)</f>
        <v/>
      </c>
      <c r="D29" s="19" t="n">
        <v>585</v>
      </c>
      <c r="E29" s="18" t="n">
        <v>55.4068871</v>
      </c>
      <c r="F29" s="20" t="n">
        <v>2.36025477</v>
      </c>
      <c r="G29" s="18" t="n">
        <v>43.82688671</v>
      </c>
      <c r="H29" s="20" t="n">
        <v>2.31889516</v>
      </c>
      <c r="I29" s="18" t="s">
        <v>567</v>
      </c>
      <c r="J29" s="20" t="s">
        <v>567</v>
      </c>
      <c r="K29" s="18" t="n">
        <v>0.35184504</v>
      </c>
      <c r="L29" s="20" t="n">
        <v>0.23804514</v>
      </c>
      <c r="M29" s="18" t="n">
        <v>0</v>
      </c>
      <c r="N29" s="20" t="n">
        <v>0</v>
      </c>
      <c r="O29" s="18" t="n">
        <v>0</v>
      </c>
      <c r="P29" s="20" t="n">
        <v>0</v>
      </c>
      <c r="Q29" s="18" t="n">
        <v>0.41438115</v>
      </c>
      <c r="R29" s="20" t="n">
        <v>0.27557887</v>
      </c>
    </row>
    <row r="30" spans="1:18">
      <c r="A30" s="15" t="s">
        <v>590</v>
      </c>
      <c r="B30" s="17" t="n">
        <v>2263</v>
      </c>
      <c r="C30" s="18">
        <f>(1789.0/B30*100)</f>
        <v/>
      </c>
      <c r="D30" s="19" t="n">
        <v>474</v>
      </c>
      <c r="E30" s="18" t="n">
        <v>49.26762068</v>
      </c>
      <c r="F30" s="20" t="n">
        <v>2.20816353</v>
      </c>
      <c r="G30" s="18" t="n">
        <v>47.36251688</v>
      </c>
      <c r="H30" s="20" t="n">
        <v>2.25517944</v>
      </c>
      <c r="I30" s="18" t="s">
        <v>567</v>
      </c>
      <c r="J30" s="20" t="s">
        <v>567</v>
      </c>
      <c r="K30" s="18" t="n">
        <v>0.23652108</v>
      </c>
      <c r="L30" s="20" t="n">
        <v>0.23248137</v>
      </c>
      <c r="M30" s="18" t="n">
        <v>0</v>
      </c>
      <c r="N30" s="20" t="n">
        <v>0</v>
      </c>
      <c r="O30" s="18" t="n">
        <v>0</v>
      </c>
      <c r="P30" s="20" t="n">
        <v>0</v>
      </c>
      <c r="Q30" s="18" t="n">
        <v>3.13334137</v>
      </c>
      <c r="R30" s="20" t="n">
        <v>0.72219324</v>
      </c>
    </row>
    <row r="31" spans="1:18">
      <c r="A31" s="15" t="s">
        <v>591</v>
      </c>
      <c r="B31" s="17" t="n">
        <v>2750</v>
      </c>
      <c r="C31" s="18">
        <f>(2181.0/B31*100)</f>
        <v/>
      </c>
      <c r="D31" s="19" t="n">
        <v>569</v>
      </c>
      <c r="E31" s="18" t="n">
        <v>51.19186177</v>
      </c>
      <c r="F31" s="20" t="n">
        <v>2.48197432</v>
      </c>
      <c r="G31" s="18" t="n">
        <v>45.9930715</v>
      </c>
      <c r="H31" s="20" t="n">
        <v>2.47198471</v>
      </c>
      <c r="I31" s="18" t="s">
        <v>567</v>
      </c>
      <c r="J31" s="20" t="s">
        <v>567</v>
      </c>
      <c r="K31" s="18" t="n">
        <v>0.80392668</v>
      </c>
      <c r="L31" s="20" t="n">
        <v>0.35347165</v>
      </c>
      <c r="M31" s="18" t="n">
        <v>0</v>
      </c>
      <c r="N31" s="20" t="n">
        <v>0</v>
      </c>
      <c r="O31" s="18" t="n">
        <v>0</v>
      </c>
      <c r="P31" s="20" t="n">
        <v>0</v>
      </c>
      <c r="Q31" s="18" t="n">
        <v>2.01114004</v>
      </c>
      <c r="R31" s="20" t="n">
        <v>0.63985812</v>
      </c>
    </row>
    <row r="32" spans="1:18">
      <c r="A32" s="15" t="s">
        <v>592</v>
      </c>
      <c r="B32" s="17" t="n">
        <v>2269</v>
      </c>
      <c r="C32" s="18">
        <f>(1811.0/B32*100)</f>
        <v/>
      </c>
      <c r="D32" s="19" t="n">
        <v>458</v>
      </c>
      <c r="E32" s="18" t="n">
        <v>54.19361487</v>
      </c>
      <c r="F32" s="20" t="n">
        <v>2.26990376</v>
      </c>
      <c r="G32" s="18" t="n">
        <v>45.40630044</v>
      </c>
      <c r="H32" s="20" t="n">
        <v>2.36409331</v>
      </c>
      <c r="I32" s="18" t="s">
        <v>567</v>
      </c>
      <c r="J32" s="20" t="s">
        <v>567</v>
      </c>
      <c r="K32" s="18" t="n">
        <v>0.40008469</v>
      </c>
      <c r="L32" s="20" t="n">
        <v>0.2948792</v>
      </c>
      <c r="M32" s="18" t="n">
        <v>0</v>
      </c>
      <c r="N32" s="20" t="n">
        <v>0</v>
      </c>
      <c r="O32" s="18" t="n">
        <v>0</v>
      </c>
      <c r="P32" s="20" t="n">
        <v>0</v>
      </c>
      <c r="Q32" s="18" t="n">
        <v>0</v>
      </c>
      <c r="R32" s="20" t="n">
        <v>0</v>
      </c>
    </row>
    <row r="33" spans="1:18">
      <c r="A33" s="15" t="s">
        <v>593</v>
      </c>
      <c r="B33" s="17" t="n">
        <v>3674</v>
      </c>
      <c r="C33" s="18">
        <f>(2889.0/B33*100)</f>
        <v/>
      </c>
      <c r="D33" s="19" t="n">
        <v>785</v>
      </c>
      <c r="E33" s="18" t="n">
        <v>40.73405736</v>
      </c>
      <c r="F33" s="20" t="n">
        <v>1.82992206</v>
      </c>
      <c r="G33" s="18" t="n">
        <v>57.66353436</v>
      </c>
      <c r="H33" s="20" t="n">
        <v>1.84639098</v>
      </c>
      <c r="I33" s="18" t="s">
        <v>567</v>
      </c>
      <c r="J33" s="20" t="s">
        <v>567</v>
      </c>
      <c r="K33" s="18" t="n">
        <v>0.15014296</v>
      </c>
      <c r="L33" s="20" t="n">
        <v>0.13471476</v>
      </c>
      <c r="M33" s="18" t="n">
        <v>0</v>
      </c>
      <c r="N33" s="20" t="n">
        <v>0</v>
      </c>
      <c r="O33" s="18" t="n">
        <v>0</v>
      </c>
      <c r="P33" s="20" t="n">
        <v>0</v>
      </c>
      <c r="Q33" s="18" t="n">
        <v>1.45226532</v>
      </c>
      <c r="R33" s="20" t="n">
        <v>0.45094645</v>
      </c>
    </row>
    <row r="34" spans="1:18">
      <c r="A34" s="15" t="s">
        <v>594</v>
      </c>
      <c r="B34" s="17" t="n">
        <v>3315</v>
      </c>
      <c r="C34" s="18">
        <f>(2601.0/B34*100)</f>
        <v/>
      </c>
      <c r="D34" s="19" t="n">
        <v>714</v>
      </c>
      <c r="E34" s="18" t="n">
        <v>51.94745753</v>
      </c>
      <c r="F34" s="20" t="n">
        <v>1.86621618</v>
      </c>
      <c r="G34" s="18" t="n">
        <v>40.9107906</v>
      </c>
      <c r="H34" s="20" t="n">
        <v>1.9403702</v>
      </c>
      <c r="I34" s="18" t="s">
        <v>567</v>
      </c>
      <c r="J34" s="20" t="s">
        <v>567</v>
      </c>
      <c r="K34" s="18" t="n">
        <v>0.13161912</v>
      </c>
      <c r="L34" s="20" t="n">
        <v>0.13242571</v>
      </c>
      <c r="M34" s="18" t="n">
        <v>0</v>
      </c>
      <c r="N34" s="20" t="n">
        <v>0</v>
      </c>
      <c r="O34" s="18" t="n">
        <v>0</v>
      </c>
      <c r="P34" s="20" t="n">
        <v>0</v>
      </c>
      <c r="Q34" s="18" t="n">
        <v>7.01013275</v>
      </c>
      <c r="R34" s="20" t="n">
        <v>1.19569869</v>
      </c>
    </row>
    <row r="35" spans="1:18">
      <c r="A35" s="15" t="s">
        <v>595</v>
      </c>
      <c r="B35" s="17" t="n">
        <v>3505</v>
      </c>
      <c r="C35" s="18">
        <f>(2715.0/B35*100)</f>
        <v/>
      </c>
      <c r="D35" s="19" t="n">
        <v>790</v>
      </c>
      <c r="E35" s="18" t="n">
        <v>43.18121891</v>
      </c>
      <c r="F35" s="20" t="n">
        <v>1.87397865</v>
      </c>
      <c r="G35" s="18" t="n">
        <v>54.59846141</v>
      </c>
      <c r="H35" s="20" t="n">
        <v>1.87992385</v>
      </c>
      <c r="I35" s="18" t="s">
        <v>567</v>
      </c>
      <c r="J35" s="20" t="s">
        <v>567</v>
      </c>
      <c r="K35" s="18" t="n">
        <v>0.25668028</v>
      </c>
      <c r="L35" s="20" t="n">
        <v>0.20524168</v>
      </c>
      <c r="M35" s="18" t="n">
        <v>0</v>
      </c>
      <c r="N35" s="20" t="n">
        <v>0</v>
      </c>
      <c r="O35" s="18" t="n">
        <v>0</v>
      </c>
      <c r="P35" s="20" t="n">
        <v>0</v>
      </c>
      <c r="Q35" s="18" t="n">
        <v>1.96363939</v>
      </c>
      <c r="R35" s="20" t="n">
        <v>0.41391145</v>
      </c>
    </row>
    <row r="36" spans="1:18">
      <c r="A36" s="15" t="s">
        <v>596</v>
      </c>
      <c r="B36" s="17" t="n">
        <v>3332</v>
      </c>
      <c r="C36" s="18">
        <f>(2626.0/B36*100)</f>
        <v/>
      </c>
      <c r="D36" s="19" t="n">
        <v>706</v>
      </c>
      <c r="E36" s="18" t="n">
        <v>35.92086568</v>
      </c>
      <c r="F36" s="20" t="n">
        <v>2.0138389</v>
      </c>
      <c r="G36" s="18" t="n">
        <v>60.59724811</v>
      </c>
      <c r="H36" s="20" t="n">
        <v>2.11790103</v>
      </c>
      <c r="I36" s="18" t="s">
        <v>567</v>
      </c>
      <c r="J36" s="20" t="s">
        <v>567</v>
      </c>
      <c r="K36" s="18" t="n">
        <v>0.39699733</v>
      </c>
      <c r="L36" s="20" t="n">
        <v>0.29835089</v>
      </c>
      <c r="M36" s="18" t="n">
        <v>0</v>
      </c>
      <c r="N36" s="20" t="n">
        <v>0</v>
      </c>
      <c r="O36" s="18" t="n">
        <v>0</v>
      </c>
      <c r="P36" s="20" t="n">
        <v>0</v>
      </c>
      <c r="Q36" s="18" t="n">
        <v>3.08488888</v>
      </c>
      <c r="R36" s="20" t="n">
        <v>0.73187691</v>
      </c>
    </row>
    <row r="37" spans="1:18">
      <c r="A37" s="15" t="s">
        <v>597</v>
      </c>
      <c r="B37" s="17" t="n">
        <v>2727</v>
      </c>
      <c r="C37" s="18">
        <f>(2132.0/B37*100)</f>
        <v/>
      </c>
      <c r="D37" s="19" t="n">
        <v>595</v>
      </c>
      <c r="E37" s="18" t="n">
        <v>47.74312071</v>
      </c>
      <c r="F37" s="20" t="n">
        <v>2.23032243</v>
      </c>
      <c r="G37" s="18" t="n">
        <v>44.70995743</v>
      </c>
      <c r="H37" s="20" t="n">
        <v>2.32886354</v>
      </c>
      <c r="I37" s="18" t="s">
        <v>567</v>
      </c>
      <c r="J37" s="20" t="s">
        <v>567</v>
      </c>
      <c r="K37" s="18" t="n">
        <v>1.44137365</v>
      </c>
      <c r="L37" s="20" t="n">
        <v>0.45654169</v>
      </c>
      <c r="M37" s="18" t="n">
        <v>0</v>
      </c>
      <c r="N37" s="20" t="n">
        <v>0</v>
      </c>
      <c r="O37" s="18" t="n">
        <v>0</v>
      </c>
      <c r="P37" s="20" t="n">
        <v>0</v>
      </c>
      <c r="Q37" s="18" t="n">
        <v>6.10554821</v>
      </c>
      <c r="R37" s="20" t="n">
        <v>1.01806619</v>
      </c>
    </row>
    <row r="38" spans="1:18">
      <c r="A38" s="15" t="s">
        <v>598</v>
      </c>
      <c r="B38" s="17" t="n">
        <v>3053</v>
      </c>
      <c r="C38" s="18">
        <f>(2335.0/B38*100)</f>
        <v/>
      </c>
      <c r="D38" s="19" t="n">
        <v>718</v>
      </c>
      <c r="E38" s="18" t="n">
        <v>36.53796292</v>
      </c>
      <c r="F38" s="20" t="n">
        <v>1.91584621</v>
      </c>
      <c r="G38" s="18" t="n">
        <v>61.60959426</v>
      </c>
      <c r="H38" s="20" t="n">
        <v>1.89080686</v>
      </c>
      <c r="I38" s="18" t="s">
        <v>567</v>
      </c>
      <c r="J38" s="20" t="s">
        <v>567</v>
      </c>
      <c r="K38" s="18" t="n">
        <v>0.68940763</v>
      </c>
      <c r="L38" s="20" t="n">
        <v>0.35807057</v>
      </c>
      <c r="M38" s="18" t="n">
        <v>0</v>
      </c>
      <c r="N38" s="20" t="n">
        <v>0</v>
      </c>
      <c r="O38" s="18" t="n">
        <v>0</v>
      </c>
      <c r="P38" s="20" t="n">
        <v>0</v>
      </c>
      <c r="Q38" s="18" t="n">
        <v>1.16303519</v>
      </c>
      <c r="R38" s="20" t="n">
        <v>0.28879396</v>
      </c>
    </row>
    <row r="39" spans="1:18">
      <c r="A39" s="15" t="s">
        <v>599</v>
      </c>
      <c r="B39" s="17" t="n">
        <v>2957</v>
      </c>
      <c r="C39" s="18">
        <f>(2313.0/B39*100)</f>
        <v/>
      </c>
      <c r="D39" s="19" t="n">
        <v>644</v>
      </c>
      <c r="E39" s="18" t="n">
        <v>89.28057518</v>
      </c>
      <c r="F39" s="20" t="n">
        <v>1.41401704</v>
      </c>
      <c r="G39" s="18" t="n">
        <v>7.15221418</v>
      </c>
      <c r="H39" s="20" t="n">
        <v>1.27213616</v>
      </c>
      <c r="I39" s="18" t="s">
        <v>567</v>
      </c>
      <c r="J39" s="20" t="s">
        <v>567</v>
      </c>
      <c r="K39" s="18" t="n">
        <v>0.19858578</v>
      </c>
      <c r="L39" s="20" t="n">
        <v>0.19820411</v>
      </c>
      <c r="M39" s="18" t="n">
        <v>0</v>
      </c>
      <c r="N39" s="20" t="n">
        <v>0</v>
      </c>
      <c r="O39" s="18" t="n">
        <v>0</v>
      </c>
      <c r="P39" s="20" t="n">
        <v>0</v>
      </c>
      <c r="Q39" s="18" t="n">
        <v>3.36862486</v>
      </c>
      <c r="R39" s="20" t="n">
        <v>0.93141718</v>
      </c>
    </row>
    <row r="40" spans="1:18">
      <c r="A40" s="15" t="s">
        <v>600</v>
      </c>
      <c r="B40" s="17" t="n">
        <v>7235</v>
      </c>
      <c r="C40" s="18">
        <f>(5587.0/B40*100)</f>
        <v/>
      </c>
      <c r="D40" s="19" t="n">
        <v>1648</v>
      </c>
      <c r="E40" s="18" t="n">
        <v>51.68595667</v>
      </c>
      <c r="F40" s="20" t="n">
        <v>2.191091</v>
      </c>
      <c r="G40" s="18" t="n">
        <v>46.59904917</v>
      </c>
      <c r="H40" s="20" t="n">
        <v>2.17444675</v>
      </c>
      <c r="I40" s="18" t="s">
        <v>567</v>
      </c>
      <c r="J40" s="20" t="s">
        <v>567</v>
      </c>
      <c r="K40" s="18" t="n">
        <v>0.51295524</v>
      </c>
      <c r="L40" s="20" t="n">
        <v>0.25598097</v>
      </c>
      <c r="M40" s="18" t="n">
        <v>0</v>
      </c>
      <c r="N40" s="20" t="n">
        <v>0</v>
      </c>
      <c r="O40" s="18" t="n">
        <v>0</v>
      </c>
      <c r="P40" s="20" t="n">
        <v>0</v>
      </c>
      <c r="Q40" s="18" t="n">
        <v>1.20203891</v>
      </c>
      <c r="R40" s="20" t="n">
        <v>0.37035922</v>
      </c>
    </row>
    <row r="41" spans="1:18">
      <c r="A41" s="15" t="s">
        <v>601</v>
      </c>
      <c r="B41" s="17" t="n">
        <v>2858</v>
      </c>
      <c r="C41" s="18">
        <f>(2257.0/B41*100)</f>
        <v/>
      </c>
      <c r="D41" s="19" t="n">
        <v>601</v>
      </c>
      <c r="E41" s="18" t="n">
        <v>56.29196128</v>
      </c>
      <c r="F41" s="20" t="n">
        <v>2.47052955</v>
      </c>
      <c r="G41" s="18" t="n">
        <v>41.58095526</v>
      </c>
      <c r="H41" s="20" t="n">
        <v>2.52250658</v>
      </c>
      <c r="I41" s="18" t="s">
        <v>567</v>
      </c>
      <c r="J41" s="20" t="s">
        <v>567</v>
      </c>
      <c r="K41" s="18" t="n">
        <v>0.43821617</v>
      </c>
      <c r="L41" s="20" t="n">
        <v>0.28614685</v>
      </c>
      <c r="M41" s="18" t="n">
        <v>0</v>
      </c>
      <c r="N41" s="20" t="n">
        <v>0</v>
      </c>
      <c r="O41" s="18" t="n">
        <v>0</v>
      </c>
      <c r="P41" s="20" t="n">
        <v>0</v>
      </c>
      <c r="Q41" s="18" t="n">
        <v>1.68886729</v>
      </c>
      <c r="R41" s="20" t="n">
        <v>0.58410845</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(9161.0/B46*100)</f>
        <v/>
      </c>
      <c r="D46" s="19" t="n">
        <v>1907</v>
      </c>
      <c r="E46" s="18" t="n">
        <v>60.92142729</v>
      </c>
      <c r="F46" s="20" t="n">
        <v>1.51504914</v>
      </c>
      <c r="G46" s="18" t="n">
        <v>27.52173445</v>
      </c>
      <c r="H46" s="20" t="n">
        <v>1.53173608</v>
      </c>
      <c r="I46" s="18" t="s">
        <v>567</v>
      </c>
      <c r="J46" s="20" t="s">
        <v>567</v>
      </c>
      <c r="K46" s="18" t="n">
        <v>1.70012915</v>
      </c>
      <c r="L46" s="20" t="n">
        <v>0.44370108</v>
      </c>
      <c r="M46" s="18" t="n">
        <v>0</v>
      </c>
      <c r="N46" s="20" t="n">
        <v>0</v>
      </c>
      <c r="O46" s="18" t="n">
        <v>0</v>
      </c>
      <c r="P46" s="20" t="n">
        <v>0</v>
      </c>
      <c r="Q46" s="18" t="n">
        <v>9.85670912</v>
      </c>
      <c r="R46" s="20" t="n">
        <v>1.04632884</v>
      </c>
    </row>
    <row r="47" spans="1:18">
      <c r="A47" s="15" t="s">
        <v>607</v>
      </c>
      <c r="B47" s="17" t="n">
        <v>3105</v>
      </c>
      <c r="C47" s="18">
        <f>(2452.0/B47*100)</f>
        <v/>
      </c>
      <c r="D47" s="19" t="n">
        <v>653</v>
      </c>
      <c r="E47" s="18" t="n">
        <v>66.12638634</v>
      </c>
      <c r="F47" s="20" t="n">
        <v>2.38217046</v>
      </c>
      <c r="G47" s="18" t="n">
        <v>24.36733969</v>
      </c>
      <c r="H47" s="20" t="n">
        <v>2.37141482</v>
      </c>
      <c r="I47" s="18" t="s">
        <v>567</v>
      </c>
      <c r="J47" s="20" t="s">
        <v>567</v>
      </c>
      <c r="K47" s="18" t="n">
        <v>0.90246159</v>
      </c>
      <c r="L47" s="20" t="n">
        <v>0.36839195</v>
      </c>
      <c r="M47" s="18" t="n">
        <v>0</v>
      </c>
      <c r="N47" s="20" t="n">
        <v>0</v>
      </c>
      <c r="O47" s="18" t="n">
        <v>0</v>
      </c>
      <c r="P47" s="20" t="n">
        <v>0</v>
      </c>
      <c r="Q47" s="18" t="n">
        <v>8.603812380000001</v>
      </c>
      <c r="R47" s="20" t="n">
        <v>1.35553393</v>
      </c>
    </row>
    <row r="48" spans="1:18">
      <c r="A48" s="15" t="s">
        <v>608</v>
      </c>
      <c r="B48" s="17" t="n">
        <v>5159</v>
      </c>
      <c r="C48" s="18">
        <f>(4016.0/B48*100)</f>
        <v/>
      </c>
      <c r="D48" s="19" t="n">
        <v>1143</v>
      </c>
      <c r="E48" s="18" t="n">
        <v>35.35838551</v>
      </c>
      <c r="F48" s="20" t="n">
        <v>2.10442427</v>
      </c>
      <c r="G48" s="18" t="n">
        <v>60.83772777</v>
      </c>
      <c r="H48" s="20" t="n">
        <v>2.44415727</v>
      </c>
      <c r="I48" s="18" t="s">
        <v>567</v>
      </c>
      <c r="J48" s="20" t="s">
        <v>567</v>
      </c>
      <c r="K48" s="18" t="n">
        <v>0.86631896</v>
      </c>
      <c r="L48" s="20" t="n">
        <v>0.43740418</v>
      </c>
      <c r="M48" s="18" t="n">
        <v>0</v>
      </c>
      <c r="N48" s="20" t="n">
        <v>0</v>
      </c>
      <c r="O48" s="18" t="n">
        <v>0</v>
      </c>
      <c r="P48" s="20" t="n">
        <v>0</v>
      </c>
      <c r="Q48" s="18" t="n">
        <v>2.93756776</v>
      </c>
      <c r="R48" s="20" t="n">
        <v>0.68651814</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(4448.0/B50*100)</f>
        <v/>
      </c>
      <c r="D50" s="19" t="n">
        <v>1189</v>
      </c>
      <c r="E50" s="18" t="n">
        <v>63.5947377</v>
      </c>
      <c r="F50" s="20" t="n">
        <v>1.91771302</v>
      </c>
      <c r="G50" s="18" t="n">
        <v>27.76259974</v>
      </c>
      <c r="H50" s="20" t="n">
        <v>1.87051845</v>
      </c>
      <c r="I50" s="18" t="s">
        <v>567</v>
      </c>
      <c r="J50" s="20" t="s">
        <v>567</v>
      </c>
      <c r="K50" s="18" t="n">
        <v>2.27311395</v>
      </c>
      <c r="L50" s="20" t="n">
        <v>0.7085320899999999</v>
      </c>
      <c r="M50" s="18" t="n">
        <v>0</v>
      </c>
      <c r="N50" s="20" t="n">
        <v>0</v>
      </c>
      <c r="O50" s="18" t="n">
        <v>0</v>
      </c>
      <c r="P50" s="20" t="n">
        <v>0</v>
      </c>
      <c r="Q50" s="18" t="n">
        <v>6.36954861</v>
      </c>
      <c r="R50" s="20" t="n">
        <v>0.98043032</v>
      </c>
    </row>
    <row r="51" spans="1:18">
      <c r="A51" s="15" t="s">
        <v>611</v>
      </c>
      <c r="B51" s="17" t="n">
        <v>3372</v>
      </c>
      <c r="C51" s="18">
        <f>(2759.0/B51*100)</f>
        <v/>
      </c>
      <c r="D51" s="19" t="n">
        <v>613</v>
      </c>
      <c r="E51" s="18" t="n">
        <v>56.27832534</v>
      </c>
      <c r="F51" s="20" t="n">
        <v>2.23416279</v>
      </c>
      <c r="G51" s="18" t="n">
        <v>38.60208507</v>
      </c>
      <c r="H51" s="20" t="n">
        <v>2.09531946</v>
      </c>
      <c r="I51" s="18" t="s">
        <v>567</v>
      </c>
      <c r="J51" s="20" t="s">
        <v>567</v>
      </c>
      <c r="K51" s="18" t="n">
        <v>1.14641315</v>
      </c>
      <c r="L51" s="20" t="n">
        <v>0.44964387</v>
      </c>
      <c r="M51" s="18" t="n">
        <v>0</v>
      </c>
      <c r="N51" s="20" t="n">
        <v>0</v>
      </c>
      <c r="O51" s="18" t="n">
        <v>0</v>
      </c>
      <c r="P51" s="20" t="n">
        <v>0</v>
      </c>
      <c r="Q51" s="18" t="n">
        <v>3.97317644</v>
      </c>
      <c r="R51" s="20" t="n">
        <v>0.76125158</v>
      </c>
    </row>
    <row r="52" spans="1:18">
      <c r="A52" s="15" t="s">
        <v>612</v>
      </c>
      <c r="B52" s="17" t="n">
        <v>2796</v>
      </c>
      <c r="C52" s="18">
        <f>(2183.0/B52*100)</f>
        <v/>
      </c>
      <c r="D52" s="19" t="n">
        <v>613</v>
      </c>
      <c r="E52" s="18" t="n">
        <v>64.40388806</v>
      </c>
      <c r="F52" s="20" t="n">
        <v>2.27241174</v>
      </c>
      <c r="G52" s="18" t="n">
        <v>31.90186126</v>
      </c>
      <c r="H52" s="20" t="n">
        <v>2.07715462</v>
      </c>
      <c r="I52" s="18" t="s">
        <v>567</v>
      </c>
      <c r="J52" s="20" t="s">
        <v>567</v>
      </c>
      <c r="K52" s="18" t="n">
        <v>0.28139669</v>
      </c>
      <c r="L52" s="20" t="n">
        <v>0.19759021</v>
      </c>
      <c r="M52" s="18" t="n">
        <v>0</v>
      </c>
      <c r="N52" s="20" t="n">
        <v>0</v>
      </c>
      <c r="O52" s="18" t="n">
        <v>0</v>
      </c>
      <c r="P52" s="20" t="n">
        <v>0</v>
      </c>
      <c r="Q52" s="18" t="n">
        <v>3.41285399</v>
      </c>
      <c r="R52" s="20" t="n">
        <v>0.89231965</v>
      </c>
    </row>
    <row r="53" spans="1:18">
      <c r="A53" s="15" t="s">
        <v>613</v>
      </c>
      <c r="B53" s="17" t="n">
        <v>2811</v>
      </c>
      <c r="C53" s="18">
        <f>(2187.0/B53*100)</f>
        <v/>
      </c>
      <c r="D53" s="19" t="n">
        <v>624</v>
      </c>
      <c r="E53" s="18" t="n">
        <v>74.96153750000001</v>
      </c>
      <c r="F53" s="20" t="n">
        <v>1.6953401</v>
      </c>
      <c r="G53" s="18" t="n">
        <v>20.73703744</v>
      </c>
      <c r="H53" s="20" t="n">
        <v>1.59024935</v>
      </c>
      <c r="I53" s="18" t="s">
        <v>567</v>
      </c>
      <c r="J53" s="20" t="s">
        <v>567</v>
      </c>
      <c r="K53" s="18" t="n">
        <v>0.71592227</v>
      </c>
      <c r="L53" s="20" t="n">
        <v>0.27582312</v>
      </c>
      <c r="M53" s="18" t="n">
        <v>0</v>
      </c>
      <c r="N53" s="20" t="n">
        <v>0</v>
      </c>
      <c r="O53" s="18" t="n">
        <v>0</v>
      </c>
      <c r="P53" s="20" t="n">
        <v>0</v>
      </c>
      <c r="Q53" s="18" t="n">
        <v>3.58550279</v>
      </c>
      <c r="R53" s="20" t="n">
        <v>0.7031146700000001</v>
      </c>
    </row>
    <row r="54" spans="1:18">
      <c r="A54" s="15" t="s">
        <v>614</v>
      </c>
      <c r="B54" s="17" t="n">
        <v>2266</v>
      </c>
      <c r="C54" s="18">
        <f>(1791.0/B54*100)</f>
        <v/>
      </c>
      <c r="D54" s="19" t="n">
        <v>475</v>
      </c>
      <c r="E54" s="18" t="n">
        <v>58.83434706</v>
      </c>
      <c r="F54" s="20" t="n">
        <v>2.72008878</v>
      </c>
      <c r="G54" s="18" t="n">
        <v>9.852882579999999</v>
      </c>
      <c r="H54" s="20" t="n">
        <v>1.4198908</v>
      </c>
      <c r="I54" s="18" t="s">
        <v>567</v>
      </c>
      <c r="J54" s="20" t="s">
        <v>567</v>
      </c>
      <c r="K54" s="18" t="n">
        <v>16.20594216</v>
      </c>
      <c r="L54" s="20" t="n">
        <v>1.56583965</v>
      </c>
      <c r="M54" s="18" t="n">
        <v>0</v>
      </c>
      <c r="N54" s="20" t="n">
        <v>0</v>
      </c>
      <c r="O54" s="18" t="n">
        <v>0</v>
      </c>
      <c r="P54" s="20" t="n">
        <v>0</v>
      </c>
      <c r="Q54" s="18" t="n">
        <v>15.1068282</v>
      </c>
      <c r="R54" s="20" t="n">
        <v>1.65256076</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(2090.0/B56*100)</f>
        <v/>
      </c>
      <c r="D56" s="19" t="n">
        <v>594</v>
      </c>
      <c r="E56" s="18" t="n">
        <v>36.98220658</v>
      </c>
      <c r="F56" s="20" t="n">
        <v>2.63247755</v>
      </c>
      <c r="G56" s="18" t="n">
        <v>61.93360049</v>
      </c>
      <c r="H56" s="20" t="n">
        <v>2.83665988</v>
      </c>
      <c r="I56" s="18" t="s">
        <v>567</v>
      </c>
      <c r="J56" s="20" t="s">
        <v>567</v>
      </c>
      <c r="K56" s="18" t="n">
        <v>0.44584376</v>
      </c>
      <c r="L56" s="20" t="n">
        <v>0.35793229</v>
      </c>
      <c r="M56" s="18" t="n">
        <v>0</v>
      </c>
      <c r="N56" s="20" t="n">
        <v>0</v>
      </c>
      <c r="O56" s="18" t="n">
        <v>0</v>
      </c>
      <c r="P56" s="20" t="n">
        <v>0</v>
      </c>
      <c r="Q56" s="18" t="n">
        <v>0.63834917</v>
      </c>
      <c r="R56" s="20" t="n">
        <v>0.31478077</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(2603.0/B61*100)</f>
        <v/>
      </c>
      <c r="D61" s="19" t="n">
        <v>721</v>
      </c>
      <c r="E61" s="18" t="n">
        <v>37.72755492</v>
      </c>
      <c r="F61" s="20" t="n">
        <v>1.8860858</v>
      </c>
      <c r="G61" s="18" t="n">
        <v>59.50197046</v>
      </c>
      <c r="H61" s="20" t="n">
        <v>2.0055845</v>
      </c>
      <c r="I61" s="18" t="s">
        <v>567</v>
      </c>
      <c r="J61" s="20" t="s">
        <v>567</v>
      </c>
      <c r="K61" s="18" t="n">
        <v>0.20257039</v>
      </c>
      <c r="L61" s="20" t="n">
        <v>0.17115465</v>
      </c>
      <c r="M61" s="18" t="n">
        <v>0</v>
      </c>
      <c r="N61" s="20" t="n">
        <v>0</v>
      </c>
      <c r="O61" s="18" t="n">
        <v>0</v>
      </c>
      <c r="P61" s="20" t="n">
        <v>0</v>
      </c>
      <c r="Q61" s="18" t="n">
        <v>2.56790423</v>
      </c>
      <c r="R61" s="20" t="n">
        <v>0.60234078</v>
      </c>
    </row>
    <row r="62" spans="1:18">
      <c r="A62" s="15" t="s">
        <v>622</v>
      </c>
      <c r="B62" s="17" t="n">
        <v>2246</v>
      </c>
      <c r="C62" s="18">
        <f>(1743.0/B62*100)</f>
        <v/>
      </c>
      <c r="D62" s="19" t="n">
        <v>503</v>
      </c>
      <c r="E62" s="18" t="n">
        <v>52.85707321</v>
      </c>
      <c r="F62" s="20" t="n">
        <v>2.13629762</v>
      </c>
      <c r="G62" s="18" t="n">
        <v>46.74817829</v>
      </c>
      <c r="H62" s="20" t="n">
        <v>2.14718559</v>
      </c>
      <c r="I62" s="18" t="s">
        <v>567</v>
      </c>
      <c r="J62" s="20" t="s">
        <v>567</v>
      </c>
      <c r="K62" s="18" t="n">
        <v>0</v>
      </c>
      <c r="L62" s="20" t="n">
        <v>0</v>
      </c>
      <c r="M62" s="18" t="n">
        <v>0</v>
      </c>
      <c r="N62" s="20" t="n">
        <v>0</v>
      </c>
      <c r="O62" s="18" t="n">
        <v>0</v>
      </c>
      <c r="P62" s="20" t="n">
        <v>0</v>
      </c>
      <c r="Q62" s="18" t="n">
        <v>0.3947485</v>
      </c>
      <c r="R62" s="20" t="n">
        <v>0.28215978</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(2321.0/B66*100)</f>
        <v/>
      </c>
      <c r="D66" s="19" t="n">
        <v>573</v>
      </c>
      <c r="E66" s="18" t="n">
        <v>63.36774876</v>
      </c>
      <c r="F66" s="20" t="n">
        <v>2.16369427</v>
      </c>
      <c r="G66" s="18" t="n">
        <v>16.12946822</v>
      </c>
      <c r="H66" s="20" t="n">
        <v>1.58308463</v>
      </c>
      <c r="I66" s="18" t="s">
        <v>567</v>
      </c>
      <c r="J66" s="20" t="s">
        <v>567</v>
      </c>
      <c r="K66" s="18" t="n">
        <v>1.23963243</v>
      </c>
      <c r="L66" s="20" t="n">
        <v>0.46716084</v>
      </c>
      <c r="M66" s="18" t="n">
        <v>0</v>
      </c>
      <c r="N66" s="20" t="n">
        <v>0</v>
      </c>
      <c r="O66" s="18" t="n">
        <v>0</v>
      </c>
      <c r="P66" s="20" t="n">
        <v>0</v>
      </c>
      <c r="Q66" s="18" t="n">
        <v>19.26315058</v>
      </c>
      <c r="R66" s="20" t="n">
        <v>1.82760692</v>
      </c>
    </row>
    <row r="67" spans="1:18">
      <c r="A67" s="15" t="s">
        <v>627</v>
      </c>
      <c r="B67" s="17" t="n">
        <v>3511</v>
      </c>
      <c r="C67" s="18">
        <f>(2828.0/B67*100)</f>
        <v/>
      </c>
      <c r="D67" s="19" t="n">
        <v>683</v>
      </c>
      <c r="E67" s="18" t="n">
        <v>69.93855539</v>
      </c>
      <c r="F67" s="20" t="n">
        <v>1.5826255</v>
      </c>
      <c r="G67" s="18" t="n">
        <v>25.43723299</v>
      </c>
      <c r="H67" s="20" t="n">
        <v>1.5235093</v>
      </c>
      <c r="I67" s="18" t="s">
        <v>567</v>
      </c>
      <c r="J67" s="20" t="s">
        <v>567</v>
      </c>
      <c r="K67" s="18" t="n">
        <v>0.52527504</v>
      </c>
      <c r="L67" s="20" t="n">
        <v>0.41430888</v>
      </c>
      <c r="M67" s="18" t="n">
        <v>0</v>
      </c>
      <c r="N67" s="20" t="n">
        <v>0</v>
      </c>
      <c r="O67" s="18" t="n">
        <v>0</v>
      </c>
      <c r="P67" s="20" t="n">
        <v>0</v>
      </c>
      <c r="Q67" s="18" t="n">
        <v>4.09893657</v>
      </c>
      <c r="R67" s="20" t="n">
        <v>0.80457062</v>
      </c>
    </row>
    <row r="68" spans="1:18">
      <c r="A68" s="15" t="s">
        <v>628</v>
      </c>
      <c r="B68" s="17" t="n">
        <v>6049</v>
      </c>
      <c r="C68" s="18">
        <f>(4683.0/B68*100)</f>
        <v/>
      </c>
      <c r="D68" s="19" t="n">
        <v>1366</v>
      </c>
      <c r="E68" s="18" t="n">
        <v>74.22673567</v>
      </c>
      <c r="F68" s="20" t="n">
        <v>1.15993342</v>
      </c>
      <c r="G68" s="18" t="n">
        <v>15.12607003</v>
      </c>
      <c r="H68" s="20" t="n">
        <v>0.96436096</v>
      </c>
      <c r="I68" s="18" t="s">
        <v>567</v>
      </c>
      <c r="J68" s="20" t="s">
        <v>567</v>
      </c>
      <c r="K68" s="18" t="n">
        <v>3.92593579</v>
      </c>
      <c r="L68" s="20" t="n">
        <v>0.47794468</v>
      </c>
      <c r="M68" s="18" t="n">
        <v>0</v>
      </c>
      <c r="N68" s="20" t="n">
        <v>0</v>
      </c>
      <c r="O68" s="18" t="n">
        <v>0</v>
      </c>
      <c r="P68" s="20" t="n">
        <v>0</v>
      </c>
      <c r="Q68" s="18" t="n">
        <v>6.72125851</v>
      </c>
      <c r="R68" s="20" t="n">
        <v>0.5933727600000001</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(2319.0/B70*100)</f>
        <v/>
      </c>
      <c r="D70" s="19" t="n">
        <v>610</v>
      </c>
      <c r="E70" s="18" t="n">
        <v>41.67329503</v>
      </c>
      <c r="F70" s="20" t="n">
        <v>2.57725756</v>
      </c>
      <c r="G70" s="18" t="n">
        <v>56.06173193</v>
      </c>
      <c r="H70" s="20" t="n">
        <v>2.55478179</v>
      </c>
      <c r="I70" s="18" t="s">
        <v>567</v>
      </c>
      <c r="J70" s="20" t="s">
        <v>567</v>
      </c>
      <c r="K70" s="18" t="n">
        <v>0.29109383</v>
      </c>
      <c r="L70" s="20" t="n">
        <v>0.2517297</v>
      </c>
      <c r="M70" s="18" t="n">
        <v>0</v>
      </c>
      <c r="N70" s="20" t="n">
        <v>0</v>
      </c>
      <c r="O70" s="18" t="n">
        <v>0</v>
      </c>
      <c r="P70" s="20" t="n">
        <v>0</v>
      </c>
      <c r="Q70" s="18" t="n">
        <v>1.97387921</v>
      </c>
      <c r="R70" s="20" t="n">
        <v>1.05920652</v>
      </c>
    </row>
    <row r="71" spans="1:18">
      <c r="A71" s="15" t="s">
        <v>631</v>
      </c>
      <c r="B71" s="17" t="n">
        <v>3142</v>
      </c>
      <c r="C71" s="18">
        <f>(2464.0/B71*100)</f>
        <v/>
      </c>
      <c r="D71" s="19" t="n">
        <v>678</v>
      </c>
      <c r="E71" s="18" t="n">
        <v>45.41258947</v>
      </c>
      <c r="F71" s="20" t="n">
        <v>1.8088113</v>
      </c>
      <c r="G71" s="18" t="n">
        <v>53.33230786</v>
      </c>
      <c r="H71" s="20" t="n">
        <v>1.86689683</v>
      </c>
      <c r="I71" s="18" t="s">
        <v>567</v>
      </c>
      <c r="J71" s="20" t="s">
        <v>567</v>
      </c>
      <c r="K71" s="18" t="n">
        <v>0.39963661</v>
      </c>
      <c r="L71" s="20" t="n">
        <v>0.23339517</v>
      </c>
      <c r="M71" s="18" t="n">
        <v>0</v>
      </c>
      <c r="N71" s="20" t="n">
        <v>0</v>
      </c>
      <c r="O71" s="18" t="n">
        <v>0</v>
      </c>
      <c r="P71" s="20" t="n">
        <v>0</v>
      </c>
      <c r="Q71" s="18" t="n">
        <v>0.85546606</v>
      </c>
      <c r="R71" s="20" t="n">
        <v>0.30320198</v>
      </c>
    </row>
    <row r="72" spans="1:18">
      <c r="A72" s="15" t="s">
        <v>632</v>
      </c>
      <c r="B72" s="17" t="n">
        <v>3889</v>
      </c>
      <c r="C72" s="18">
        <f>(3054.0/B72*100)</f>
        <v/>
      </c>
      <c r="D72" s="19" t="n">
        <v>835</v>
      </c>
      <c r="E72" s="18" t="n">
        <v>32.72703288</v>
      </c>
      <c r="F72" s="20" t="n">
        <v>1.93995127</v>
      </c>
      <c r="G72" s="18" t="n">
        <v>66.42544844</v>
      </c>
      <c r="H72" s="20" t="n">
        <v>1.9367146</v>
      </c>
      <c r="I72" s="18" t="s">
        <v>567</v>
      </c>
      <c r="J72" s="20" t="s">
        <v>567</v>
      </c>
      <c r="K72" s="18" t="n">
        <v>0.22349957</v>
      </c>
      <c r="L72" s="20" t="n">
        <v>0.17098983</v>
      </c>
      <c r="M72" s="18" t="n">
        <v>0</v>
      </c>
      <c r="N72" s="20" t="n">
        <v>0</v>
      </c>
      <c r="O72" s="18" t="n">
        <v>0</v>
      </c>
      <c r="P72" s="20" t="n">
        <v>0</v>
      </c>
      <c r="Q72" s="18" t="n">
        <v>0.62401911</v>
      </c>
      <c r="R72" s="20" t="n">
        <v>0.25154052</v>
      </c>
    </row>
    <row r="73" spans="1:18">
      <c r="A73" s="15" t="s">
        <v>633</v>
      </c>
      <c r="B73" s="17" t="n">
        <v>3597</v>
      </c>
      <c r="C73" s="18">
        <f>(2815.0/B73*100)</f>
        <v/>
      </c>
      <c r="D73" s="19" t="n">
        <v>782</v>
      </c>
      <c r="E73" s="18" t="n">
        <v>74.25577328</v>
      </c>
      <c r="F73" s="20" t="n">
        <v>2.05855093</v>
      </c>
      <c r="G73" s="18" t="n">
        <v>21.66138353</v>
      </c>
      <c r="H73" s="20" t="n">
        <v>1.98576461</v>
      </c>
      <c r="I73" s="18" t="s">
        <v>567</v>
      </c>
      <c r="J73" s="20" t="s">
        <v>567</v>
      </c>
      <c r="K73" s="18" t="n">
        <v>0.17940871</v>
      </c>
      <c r="L73" s="20" t="n">
        <v>0.13015573</v>
      </c>
      <c r="M73" s="18" t="n">
        <v>0</v>
      </c>
      <c r="N73" s="20" t="n">
        <v>0</v>
      </c>
      <c r="O73" s="18" t="n">
        <v>0</v>
      </c>
      <c r="P73" s="20" t="n">
        <v>0</v>
      </c>
      <c r="Q73" s="18" t="n">
        <v>3.90343448</v>
      </c>
      <c r="R73" s="20" t="n">
        <v>0.79589117</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(1940.0/B75*100)</f>
        <v/>
      </c>
      <c r="D75" s="19" t="n">
        <v>466</v>
      </c>
      <c r="E75" s="18" t="n">
        <v>89.64289764999999</v>
      </c>
      <c r="F75" s="20" t="n">
        <v>1.47158366</v>
      </c>
      <c r="G75" s="18" t="n">
        <v>3.46177097</v>
      </c>
      <c r="H75" s="20" t="n">
        <v>0.94382182</v>
      </c>
      <c r="I75" s="18" t="s">
        <v>567</v>
      </c>
      <c r="J75" s="20" t="s">
        <v>567</v>
      </c>
      <c r="K75" s="18" t="n">
        <v>2.68146268</v>
      </c>
      <c r="L75" s="20" t="n">
        <v>0.70799413</v>
      </c>
      <c r="M75" s="18" t="n">
        <v>0</v>
      </c>
      <c r="N75" s="20" t="n">
        <v>0</v>
      </c>
      <c r="O75" s="18" t="n">
        <v>0</v>
      </c>
      <c r="P75" s="20" t="n">
        <v>0</v>
      </c>
      <c r="Q75" s="18" t="n">
        <v>4.21386869</v>
      </c>
      <c r="R75" s="20" t="n">
        <v>1.0266071</v>
      </c>
    </row>
    <row r="76" spans="1:18">
      <c r="A76" s="15" t="s">
        <v>636</v>
      </c>
      <c r="B76" s="17" t="n">
        <v>7052</v>
      </c>
      <c r="C76" s="18">
        <f>(5492.0/B76*100)</f>
        <v/>
      </c>
      <c r="D76" s="19" t="n">
        <v>1560</v>
      </c>
      <c r="E76" s="18" t="n">
        <v>76.58136188</v>
      </c>
      <c r="F76" s="20" t="n">
        <v>1.56049286</v>
      </c>
      <c r="G76" s="18" t="n">
        <v>16.52822386</v>
      </c>
      <c r="H76" s="20" t="n">
        <v>1.29711757</v>
      </c>
      <c r="I76" s="18" t="s">
        <v>567</v>
      </c>
      <c r="J76" s="20" t="s">
        <v>567</v>
      </c>
      <c r="K76" s="18" t="n">
        <v>1.62355821</v>
      </c>
      <c r="L76" s="20" t="n">
        <v>0.38354315</v>
      </c>
      <c r="M76" s="18" t="n">
        <v>0</v>
      </c>
      <c r="N76" s="20" t="n">
        <v>0</v>
      </c>
      <c r="O76" s="18" t="n">
        <v>0</v>
      </c>
      <c r="P76" s="20" t="n">
        <v>0</v>
      </c>
      <c r="Q76" s="18" t="n">
        <v>5.26685605</v>
      </c>
      <c r="R76" s="20" t="n">
        <v>0.73011503</v>
      </c>
    </row>
    <row r="77" spans="1:18">
      <c r="A77" s="15" t="s">
        <v>637</v>
      </c>
      <c r="B77" s="17" t="n">
        <v>2908</v>
      </c>
      <c r="C77" s="18">
        <f>(2305.0/B77*100)</f>
        <v/>
      </c>
      <c r="D77" s="19" t="n">
        <v>603</v>
      </c>
      <c r="E77" s="18" t="n">
        <v>56.33679038</v>
      </c>
      <c r="F77" s="20" t="n">
        <v>2.16336978</v>
      </c>
      <c r="G77" s="18" t="n">
        <v>34.89517226</v>
      </c>
      <c r="H77" s="20" t="n">
        <v>2.08358758</v>
      </c>
      <c r="I77" s="18" t="s">
        <v>567</v>
      </c>
      <c r="J77" s="20" t="s">
        <v>567</v>
      </c>
      <c r="K77" s="18" t="n">
        <v>1.84122426</v>
      </c>
      <c r="L77" s="20" t="n">
        <v>0.5400851</v>
      </c>
      <c r="M77" s="18" t="n">
        <v>0</v>
      </c>
      <c r="N77" s="20" t="n">
        <v>0</v>
      </c>
      <c r="O77" s="18" t="n">
        <v>0</v>
      </c>
      <c r="P77" s="20" t="n">
        <v>0</v>
      </c>
      <c r="Q77" s="18" t="n">
        <v>6.9268131</v>
      </c>
      <c r="R77" s="20" t="n">
        <v>1.16365432</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(3235.0/B81*100)</f>
        <v/>
      </c>
      <c r="D81" s="19" t="n">
        <v>928</v>
      </c>
      <c r="E81" s="18" t="n">
        <v>84.13728155</v>
      </c>
      <c r="F81" s="20" t="n">
        <v>1.15731185</v>
      </c>
      <c r="G81" s="18" t="n">
        <v>14.42807452</v>
      </c>
      <c r="H81" s="20" t="n">
        <v>1.20089981</v>
      </c>
      <c r="I81" s="18" t="s">
        <v>567</v>
      </c>
      <c r="J81" s="20" t="s">
        <v>567</v>
      </c>
      <c r="K81" s="18" t="n">
        <v>0</v>
      </c>
      <c r="L81" s="20" t="n">
        <v>0</v>
      </c>
      <c r="M81" s="18" t="n">
        <v>0</v>
      </c>
      <c r="N81" s="20" t="n">
        <v>0</v>
      </c>
      <c r="O81" s="18" t="n">
        <v>0</v>
      </c>
      <c r="P81" s="20" t="n">
        <v>0</v>
      </c>
      <c r="Q81" s="18" t="n">
        <v>1.43464393</v>
      </c>
      <c r="R81" s="20" t="n">
        <v>0.42669372</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(5796.0/B7*100)</f>
        <v/>
      </c>
      <c r="D7" s="19" t="n">
        <v>1571</v>
      </c>
      <c r="E7" s="18" t="n">
        <v>31.72243145</v>
      </c>
      <c r="F7" s="20" t="n">
        <v>1.51615544</v>
      </c>
      <c r="G7" s="18" t="n">
        <v>66.5811017</v>
      </c>
      <c r="H7" s="20" t="n">
        <v>1.56681069</v>
      </c>
      <c r="I7" s="18" t="s">
        <v>567</v>
      </c>
      <c r="J7" s="20" t="s">
        <v>567</v>
      </c>
      <c r="K7" s="18" t="n">
        <v>1.15977134</v>
      </c>
      <c r="L7" s="20" t="n">
        <v>0.32804298</v>
      </c>
      <c r="M7" s="18" t="n">
        <v>0</v>
      </c>
      <c r="N7" s="20" t="n">
        <v>0</v>
      </c>
      <c r="O7" s="18" t="n">
        <v>0</v>
      </c>
      <c r="P7" s="20" t="n">
        <v>0</v>
      </c>
      <c r="Q7" s="18" t="n">
        <v>0.53669551</v>
      </c>
      <c r="R7" s="20" t="n">
        <v>0.19656201</v>
      </c>
    </row>
    <row r="8" spans="1:18">
      <c r="A8" s="15" t="s">
        <v>568</v>
      </c>
      <c r="B8" s="17" t="n">
        <v>3564</v>
      </c>
      <c r="C8" s="18">
        <f>(2790.0/B8*100)</f>
        <v/>
      </c>
      <c r="D8" s="19" t="n">
        <v>774</v>
      </c>
      <c r="E8" s="18" t="n">
        <v>31.68584464</v>
      </c>
      <c r="F8" s="20" t="n">
        <v>1.94919625</v>
      </c>
      <c r="G8" s="18" t="n">
        <v>67.68877203</v>
      </c>
      <c r="H8" s="20" t="n">
        <v>1.95935332</v>
      </c>
      <c r="I8" s="18" t="s">
        <v>567</v>
      </c>
      <c r="J8" s="20" t="s">
        <v>567</v>
      </c>
      <c r="K8" s="18" t="n">
        <v>0.30380694</v>
      </c>
      <c r="L8" s="20" t="n">
        <v>0.21227472</v>
      </c>
      <c r="M8" s="18" t="n">
        <v>0</v>
      </c>
      <c r="N8" s="20" t="n">
        <v>0</v>
      </c>
      <c r="O8" s="18" t="n">
        <v>0</v>
      </c>
      <c r="P8" s="20" t="n">
        <v>0</v>
      </c>
      <c r="Q8" s="18" t="n">
        <v>0.32157639</v>
      </c>
      <c r="R8" s="20" t="n">
        <v>0.15808423</v>
      </c>
    </row>
    <row r="9" spans="1:18">
      <c r="A9" s="15" t="s">
        <v>569</v>
      </c>
      <c r="B9" s="17" t="n">
        <v>4899</v>
      </c>
      <c r="C9" s="18">
        <f>(3868.0/B9*100)</f>
        <v/>
      </c>
      <c r="D9" s="19" t="n">
        <v>1031</v>
      </c>
      <c r="E9" s="18" t="n">
        <v>34.5622741</v>
      </c>
      <c r="F9" s="20" t="n">
        <v>1.83911539</v>
      </c>
      <c r="G9" s="18" t="n">
        <v>64.43340804</v>
      </c>
      <c r="H9" s="20" t="n">
        <v>1.86119954</v>
      </c>
      <c r="I9" s="18" t="s">
        <v>567</v>
      </c>
      <c r="J9" s="20" t="s">
        <v>567</v>
      </c>
      <c r="K9" s="18" t="n">
        <v>0.80389398</v>
      </c>
      <c r="L9" s="20" t="n">
        <v>0.30354435</v>
      </c>
      <c r="M9" s="18" t="n">
        <v>0</v>
      </c>
      <c r="N9" s="20" t="n">
        <v>0</v>
      </c>
      <c r="O9" s="18" t="n">
        <v>0</v>
      </c>
      <c r="P9" s="20" t="n">
        <v>0</v>
      </c>
      <c r="Q9" s="18" t="n">
        <v>0.20042388</v>
      </c>
      <c r="R9" s="20" t="n">
        <v>0.17192563</v>
      </c>
    </row>
    <row r="10" spans="1:18">
      <c r="A10" s="15" t="s">
        <v>570</v>
      </c>
      <c r="B10" s="17" t="n">
        <v>10036</v>
      </c>
      <c r="C10" s="18">
        <f>(7808.0/B10*100)</f>
        <v/>
      </c>
      <c r="D10" s="19" t="n">
        <v>2228</v>
      </c>
      <c r="E10" s="18" t="n">
        <v>24.78135975</v>
      </c>
      <c r="F10" s="20" t="n">
        <v>1.41957381</v>
      </c>
      <c r="G10" s="18" t="n">
        <v>74.13583034</v>
      </c>
      <c r="H10" s="20" t="n">
        <v>1.4746597</v>
      </c>
      <c r="I10" s="18" t="s">
        <v>567</v>
      </c>
      <c r="J10" s="20" t="s">
        <v>567</v>
      </c>
      <c r="K10" s="18" t="n">
        <v>0.6715757</v>
      </c>
      <c r="L10" s="20" t="n">
        <v>0.25078732</v>
      </c>
      <c r="M10" s="18" t="n">
        <v>0</v>
      </c>
      <c r="N10" s="20" t="n">
        <v>0</v>
      </c>
      <c r="O10" s="18" t="n">
        <v>0</v>
      </c>
      <c r="P10" s="20" t="n">
        <v>0</v>
      </c>
      <c r="Q10" s="18" t="n">
        <v>0.41123421</v>
      </c>
      <c r="R10" s="20" t="n">
        <v>0.1714347</v>
      </c>
    </row>
    <row r="11" spans="1:18">
      <c r="A11" s="15" t="s">
        <v>571</v>
      </c>
      <c r="B11" s="17" t="n">
        <v>3553</v>
      </c>
      <c r="C11" s="18">
        <f>(2790.0/B11*100)</f>
        <v/>
      </c>
      <c r="D11" s="19" t="n">
        <v>763</v>
      </c>
      <c r="E11" s="18" t="n">
        <v>44.08656825</v>
      </c>
      <c r="F11" s="20" t="n">
        <v>2.33354374</v>
      </c>
      <c r="G11" s="18" t="n">
        <v>54.5473291</v>
      </c>
      <c r="H11" s="20" t="n">
        <v>2.40174061</v>
      </c>
      <c r="I11" s="18" t="s">
        <v>567</v>
      </c>
      <c r="J11" s="20" t="s">
        <v>567</v>
      </c>
      <c r="K11" s="18" t="n">
        <v>0.852507</v>
      </c>
      <c r="L11" s="20" t="n">
        <v>0.36311417</v>
      </c>
      <c r="M11" s="18" t="n">
        <v>0</v>
      </c>
      <c r="N11" s="20" t="n">
        <v>0</v>
      </c>
      <c r="O11" s="18" t="n">
        <v>0</v>
      </c>
      <c r="P11" s="20" t="n">
        <v>0</v>
      </c>
      <c r="Q11" s="18" t="n">
        <v>0.51359565</v>
      </c>
      <c r="R11" s="20" t="n">
        <v>0.30111472</v>
      </c>
    </row>
    <row r="12" spans="1:18">
      <c r="A12" s="15" t="s">
        <v>572</v>
      </c>
      <c r="B12" s="17" t="n">
        <v>3472</v>
      </c>
      <c r="C12" s="18">
        <f>(2715.0/B12*100)</f>
        <v/>
      </c>
      <c r="D12" s="19" t="n">
        <v>757</v>
      </c>
      <c r="E12" s="18" t="n">
        <v>31.14532575</v>
      </c>
      <c r="F12" s="20" t="n">
        <v>1.9041059</v>
      </c>
      <c r="G12" s="18" t="n">
        <v>68.61280709</v>
      </c>
      <c r="H12" s="20" t="n">
        <v>1.89974069</v>
      </c>
      <c r="I12" s="18" t="s">
        <v>567</v>
      </c>
      <c r="J12" s="20" t="s">
        <v>567</v>
      </c>
      <c r="K12" s="18" t="n">
        <v>0.24186717</v>
      </c>
      <c r="L12" s="20" t="n">
        <v>0.17189892</v>
      </c>
      <c r="M12" s="18" t="n">
        <v>0</v>
      </c>
      <c r="N12" s="20" t="n">
        <v>0</v>
      </c>
      <c r="O12" s="18" t="n">
        <v>0</v>
      </c>
      <c r="P12" s="20" t="n">
        <v>0</v>
      </c>
      <c r="Q12" s="18" t="n">
        <v>0</v>
      </c>
      <c r="R12" s="20" t="n">
        <v>0</v>
      </c>
    </row>
    <row r="13" spans="1:18">
      <c r="A13" s="15" t="s">
        <v>573</v>
      </c>
      <c r="B13" s="17" t="n">
        <v>3559</v>
      </c>
      <c r="C13" s="18">
        <f>(2807.0/B13*100)</f>
        <v/>
      </c>
      <c r="D13" s="19" t="n">
        <v>752</v>
      </c>
      <c r="E13" s="18" t="n">
        <v>32.15837896</v>
      </c>
      <c r="F13" s="20" t="n">
        <v>2.14924153</v>
      </c>
      <c r="G13" s="18" t="n">
        <v>65.89951818999999</v>
      </c>
      <c r="H13" s="20" t="n">
        <v>2.28156298</v>
      </c>
      <c r="I13" s="18" t="s">
        <v>567</v>
      </c>
      <c r="J13" s="20" t="s">
        <v>567</v>
      </c>
      <c r="K13" s="18" t="n">
        <v>1.45088372</v>
      </c>
      <c r="L13" s="20" t="n">
        <v>0.40908309</v>
      </c>
      <c r="M13" s="18" t="n">
        <v>0</v>
      </c>
      <c r="N13" s="20" t="n">
        <v>0</v>
      </c>
      <c r="O13" s="18" t="n">
        <v>0</v>
      </c>
      <c r="P13" s="20" t="n">
        <v>0</v>
      </c>
      <c r="Q13" s="18" t="n">
        <v>0.49121914</v>
      </c>
      <c r="R13" s="20" t="n">
        <v>0.4076159</v>
      </c>
    </row>
    <row r="14" spans="1:18">
      <c r="A14" s="15" t="s">
        <v>574</v>
      </c>
      <c r="B14" s="17" t="n">
        <v>2799</v>
      </c>
      <c r="C14" s="18">
        <f>(2176.0/B14*100)</f>
        <v/>
      </c>
      <c r="D14" s="19" t="n">
        <v>623</v>
      </c>
      <c r="E14" s="18" t="n">
        <v>24.89855308</v>
      </c>
      <c r="F14" s="20" t="n">
        <v>1.7319096</v>
      </c>
      <c r="G14" s="18" t="n">
        <v>74.68815468</v>
      </c>
      <c r="H14" s="20" t="n">
        <v>1.72702047</v>
      </c>
      <c r="I14" s="18" t="s">
        <v>567</v>
      </c>
      <c r="J14" s="20" t="s">
        <v>567</v>
      </c>
      <c r="K14" s="18" t="n">
        <v>0.26628313</v>
      </c>
      <c r="L14" s="20" t="n">
        <v>0.18803581</v>
      </c>
      <c r="M14" s="18" t="n">
        <v>0</v>
      </c>
      <c r="N14" s="20" t="n">
        <v>0</v>
      </c>
      <c r="O14" s="18" t="n">
        <v>0</v>
      </c>
      <c r="P14" s="20" t="n">
        <v>0</v>
      </c>
      <c r="Q14" s="18" t="n">
        <v>0.14700911</v>
      </c>
      <c r="R14" s="20" t="n">
        <v>0.1321812</v>
      </c>
    </row>
    <row r="15" spans="1:18">
      <c r="A15" s="15" t="s">
        <v>575</v>
      </c>
      <c r="B15" s="17" t="n">
        <v>3019</v>
      </c>
      <c r="C15" s="18">
        <f>(2301.0/B15*100)</f>
        <v/>
      </c>
      <c r="D15" s="19" t="n">
        <v>718</v>
      </c>
      <c r="E15" s="18" t="n">
        <v>27.94828333</v>
      </c>
      <c r="F15" s="20" t="n">
        <v>1.826966</v>
      </c>
      <c r="G15" s="18" t="n">
        <v>71.77020062</v>
      </c>
      <c r="H15" s="20" t="n">
        <v>1.84543038</v>
      </c>
      <c r="I15" s="18" t="s">
        <v>567</v>
      </c>
      <c r="J15" s="20" t="s">
        <v>567</v>
      </c>
      <c r="K15" s="18" t="n">
        <v>0.15637331</v>
      </c>
      <c r="L15" s="20" t="n">
        <v>0.17153877</v>
      </c>
      <c r="M15" s="18" t="n">
        <v>0</v>
      </c>
      <c r="N15" s="20" t="n">
        <v>0</v>
      </c>
      <c r="O15" s="18" t="n">
        <v>0</v>
      </c>
      <c r="P15" s="20" t="n">
        <v>0</v>
      </c>
      <c r="Q15" s="18" t="n">
        <v>0.12514274</v>
      </c>
      <c r="R15" s="20" t="n">
        <v>0.12516297</v>
      </c>
    </row>
    <row r="16" spans="1:18">
      <c r="A16" s="15" t="s">
        <v>576</v>
      </c>
      <c r="B16" s="17" t="n">
        <v>2997</v>
      </c>
      <c r="C16" s="18">
        <f>(2329.0/B16*100)</f>
        <v/>
      </c>
      <c r="D16" s="19" t="n">
        <v>668</v>
      </c>
      <c r="E16" s="18" t="n">
        <v>34.70233601</v>
      </c>
      <c r="F16" s="20" t="n">
        <v>1.80933595</v>
      </c>
      <c r="G16" s="18" t="n">
        <v>62.3773813</v>
      </c>
      <c r="H16" s="20" t="n">
        <v>2.09145534</v>
      </c>
      <c r="I16" s="18" t="s">
        <v>567</v>
      </c>
      <c r="J16" s="20" t="s">
        <v>567</v>
      </c>
      <c r="K16" s="18" t="n">
        <v>2.07478451</v>
      </c>
      <c r="L16" s="20" t="n">
        <v>0.64106452</v>
      </c>
      <c r="M16" s="18" t="n">
        <v>0</v>
      </c>
      <c r="N16" s="20" t="n">
        <v>0</v>
      </c>
      <c r="O16" s="18" t="n">
        <v>0</v>
      </c>
      <c r="P16" s="20" t="n">
        <v>0</v>
      </c>
      <c r="Q16" s="18" t="n">
        <v>0.84549818</v>
      </c>
      <c r="R16" s="20" t="n">
        <v>0.40274027</v>
      </c>
    </row>
    <row r="17" spans="1:18">
      <c r="A17" s="15" t="s">
        <v>577</v>
      </c>
      <c r="B17" s="17" t="n">
        <v>3307</v>
      </c>
      <c r="C17" s="18">
        <f>(2590.0/B17*100)</f>
        <v/>
      </c>
      <c r="D17" s="19" t="n">
        <v>717</v>
      </c>
      <c r="E17" s="18" t="n">
        <v>24.19587878</v>
      </c>
      <c r="F17" s="20" t="n">
        <v>2.01196889</v>
      </c>
      <c r="G17" s="18" t="n">
        <v>75.23591515</v>
      </c>
      <c r="H17" s="20" t="n">
        <v>1.93631982</v>
      </c>
      <c r="I17" s="18" t="s">
        <v>567</v>
      </c>
      <c r="J17" s="20" t="s">
        <v>567</v>
      </c>
      <c r="K17" s="18" t="n">
        <v>0.56820607</v>
      </c>
      <c r="L17" s="20" t="n">
        <v>0.32597675</v>
      </c>
      <c r="M17" s="18" t="n">
        <v>0</v>
      </c>
      <c r="N17" s="20" t="n">
        <v>0</v>
      </c>
      <c r="O17" s="18" t="n">
        <v>0</v>
      </c>
      <c r="P17" s="20" t="n">
        <v>0</v>
      </c>
      <c r="Q17" s="18" t="n">
        <v>0</v>
      </c>
      <c r="R17" s="20" t="n">
        <v>0</v>
      </c>
    </row>
    <row r="18" spans="1:18">
      <c r="A18" s="15" t="s">
        <v>578</v>
      </c>
      <c r="B18" s="17" t="n">
        <v>2826</v>
      </c>
      <c r="C18" s="18">
        <f>(2219.0/B18*100)</f>
        <v/>
      </c>
      <c r="D18" s="19" t="n">
        <v>607</v>
      </c>
      <c r="E18" s="18" t="n">
        <v>51.61994309</v>
      </c>
      <c r="F18" s="20" t="n">
        <v>2.01816871</v>
      </c>
      <c r="G18" s="18" t="n">
        <v>46.46216594</v>
      </c>
      <c r="H18" s="20" t="n">
        <v>2.01195201</v>
      </c>
      <c r="I18" s="18" t="s">
        <v>567</v>
      </c>
      <c r="J18" s="20" t="s">
        <v>567</v>
      </c>
      <c r="K18" s="18" t="n">
        <v>0.75717959</v>
      </c>
      <c r="L18" s="20" t="n">
        <v>0.33912241</v>
      </c>
      <c r="M18" s="18" t="n">
        <v>0</v>
      </c>
      <c r="N18" s="20" t="n">
        <v>0</v>
      </c>
      <c r="O18" s="18" t="n">
        <v>0</v>
      </c>
      <c r="P18" s="20" t="n">
        <v>0</v>
      </c>
      <c r="Q18" s="18" t="n">
        <v>1.16071139</v>
      </c>
      <c r="R18" s="20" t="n">
        <v>0.5425858099999999</v>
      </c>
    </row>
    <row r="19" spans="1:18">
      <c r="A19" s="15" t="s">
        <v>579</v>
      </c>
      <c r="B19" s="17" t="n">
        <v>2808</v>
      </c>
      <c r="C19" s="18">
        <f>(2194.0/B19*100)</f>
        <v/>
      </c>
      <c r="D19" s="19" t="n">
        <v>614</v>
      </c>
      <c r="E19" s="18" t="n">
        <v>33.18953503</v>
      </c>
      <c r="F19" s="20" t="n">
        <v>2.12398113</v>
      </c>
      <c r="G19" s="18" t="n">
        <v>65.8295809</v>
      </c>
      <c r="H19" s="20" t="n">
        <v>2.22380043</v>
      </c>
      <c r="I19" s="18" t="s">
        <v>567</v>
      </c>
      <c r="J19" s="20" t="s">
        <v>567</v>
      </c>
      <c r="K19" s="18" t="n">
        <v>0.5239154</v>
      </c>
      <c r="L19" s="20" t="n">
        <v>0.37933706</v>
      </c>
      <c r="M19" s="18" t="n">
        <v>0</v>
      </c>
      <c r="N19" s="20" t="n">
        <v>0</v>
      </c>
      <c r="O19" s="18" t="n">
        <v>0</v>
      </c>
      <c r="P19" s="20" t="n">
        <v>0</v>
      </c>
      <c r="Q19" s="18" t="n">
        <v>0.45696867</v>
      </c>
      <c r="R19" s="20" t="n">
        <v>0.35913598</v>
      </c>
    </row>
    <row r="20" spans="1:18">
      <c r="A20" s="15" t="s">
        <v>580</v>
      </c>
      <c r="B20" s="17" t="n">
        <v>1630</v>
      </c>
      <c r="C20" s="18">
        <f>(1275.0/B20*100)</f>
        <v/>
      </c>
      <c r="D20" s="19" t="n">
        <v>355</v>
      </c>
      <c r="E20" s="18" t="n">
        <v>36.65879714</v>
      </c>
      <c r="F20" s="20" t="n">
        <v>2.54595113</v>
      </c>
      <c r="G20" s="18" t="n">
        <v>62.51107705</v>
      </c>
      <c r="H20" s="20" t="n">
        <v>2.55889214</v>
      </c>
      <c r="I20" s="18" t="s">
        <v>567</v>
      </c>
      <c r="J20" s="20" t="s">
        <v>567</v>
      </c>
      <c r="K20" s="18" t="n">
        <v>0.5505447999999999</v>
      </c>
      <c r="L20" s="20" t="n">
        <v>0.39534368</v>
      </c>
      <c r="M20" s="18" t="n">
        <v>0</v>
      </c>
      <c r="N20" s="20" t="n">
        <v>0</v>
      </c>
      <c r="O20" s="18" t="n">
        <v>0</v>
      </c>
      <c r="P20" s="20" t="n">
        <v>0</v>
      </c>
      <c r="Q20" s="18" t="n">
        <v>0.27958101</v>
      </c>
      <c r="R20" s="20" t="n">
        <v>0.280863</v>
      </c>
    </row>
    <row r="21" spans="1:18">
      <c r="A21" s="15" t="s">
        <v>581</v>
      </c>
      <c r="B21" s="17" t="n">
        <v>2908</v>
      </c>
      <c r="C21" s="18">
        <f>(2257.0/B21*100)</f>
        <v/>
      </c>
      <c r="D21" s="19" t="n">
        <v>651</v>
      </c>
      <c r="E21" s="18" t="n">
        <v>26.09536097</v>
      </c>
      <c r="F21" s="20" t="n">
        <v>1.89207377</v>
      </c>
      <c r="G21" s="18" t="n">
        <v>72.27431204</v>
      </c>
      <c r="H21" s="20" t="n">
        <v>1.96084022</v>
      </c>
      <c r="I21" s="18" t="s">
        <v>567</v>
      </c>
      <c r="J21" s="20" t="s">
        <v>567</v>
      </c>
      <c r="K21" s="18" t="n">
        <v>1.50166875</v>
      </c>
      <c r="L21" s="20" t="n">
        <v>0.46237227</v>
      </c>
      <c r="M21" s="18" t="n">
        <v>0</v>
      </c>
      <c r="N21" s="20" t="n">
        <v>0</v>
      </c>
      <c r="O21" s="18" t="n">
        <v>0</v>
      </c>
      <c r="P21" s="20" t="n">
        <v>0</v>
      </c>
      <c r="Q21" s="18" t="n">
        <v>0.12865823</v>
      </c>
      <c r="R21" s="20" t="n">
        <v>0.141954</v>
      </c>
    </row>
    <row r="22" spans="1:18">
      <c r="A22" s="15" t="s">
        <v>582</v>
      </c>
      <c r="B22" s="17" t="n">
        <v>2931</v>
      </c>
      <c r="C22" s="18">
        <f>(2352.0/B22*100)</f>
        <v/>
      </c>
      <c r="D22" s="19" t="n">
        <v>579</v>
      </c>
      <c r="E22" s="18" t="n">
        <v>47.08962493</v>
      </c>
      <c r="F22" s="20" t="n">
        <v>2.51443238</v>
      </c>
      <c r="G22" s="18" t="n">
        <v>51.18076781</v>
      </c>
      <c r="H22" s="20" t="n">
        <v>2.47416332</v>
      </c>
      <c r="I22" s="18" t="s">
        <v>567</v>
      </c>
      <c r="J22" s="20" t="s">
        <v>567</v>
      </c>
      <c r="K22" s="18" t="n">
        <v>0.9905</v>
      </c>
      <c r="L22" s="20" t="n">
        <v>0.44383077</v>
      </c>
      <c r="M22" s="18" t="n">
        <v>0</v>
      </c>
      <c r="N22" s="20" t="n">
        <v>0</v>
      </c>
      <c r="O22" s="18" t="n">
        <v>0</v>
      </c>
      <c r="P22" s="20" t="n">
        <v>0</v>
      </c>
      <c r="Q22" s="18" t="n">
        <v>0.73910725</v>
      </c>
      <c r="R22" s="20" t="n">
        <v>0.38808192</v>
      </c>
    </row>
    <row r="23" spans="1:18">
      <c r="A23" s="15" t="s">
        <v>583</v>
      </c>
      <c r="B23" s="17" t="n">
        <v>5791</v>
      </c>
      <c r="C23" s="18">
        <f>(4544.0/B23*100)</f>
        <v/>
      </c>
      <c r="D23" s="19" t="n">
        <v>1247</v>
      </c>
      <c r="E23" s="18" t="n">
        <v>41.66219691</v>
      </c>
      <c r="F23" s="20" t="n">
        <v>1.49812501</v>
      </c>
      <c r="G23" s="18" t="n">
        <v>56.63509851</v>
      </c>
      <c r="H23" s="20" t="n">
        <v>1.55836171</v>
      </c>
      <c r="I23" s="18" t="s">
        <v>567</v>
      </c>
      <c r="J23" s="20" t="s">
        <v>567</v>
      </c>
      <c r="K23" s="18" t="n">
        <v>1.38030091</v>
      </c>
      <c r="L23" s="20" t="n">
        <v>0.48693088</v>
      </c>
      <c r="M23" s="18" t="n">
        <v>0</v>
      </c>
      <c r="N23" s="20" t="n">
        <v>0</v>
      </c>
      <c r="O23" s="18" t="n">
        <v>0</v>
      </c>
      <c r="P23" s="20" t="n">
        <v>0</v>
      </c>
      <c r="Q23" s="18" t="n">
        <v>0.32240368</v>
      </c>
      <c r="R23" s="20" t="n">
        <v>0.24212297</v>
      </c>
    </row>
    <row r="24" spans="1:18">
      <c r="A24" s="15" t="s">
        <v>584</v>
      </c>
      <c r="B24" s="17" t="n">
        <v>3338</v>
      </c>
      <c r="C24" s="18">
        <f>(2609.0/B24*100)</f>
        <v/>
      </c>
      <c r="D24" s="19" t="n">
        <v>729</v>
      </c>
      <c r="E24" s="18" t="n">
        <v>28.21110672</v>
      </c>
      <c r="F24" s="20" t="n">
        <v>1.58084865</v>
      </c>
      <c r="G24" s="18" t="n">
        <v>70.77119104000001</v>
      </c>
      <c r="H24" s="20" t="n">
        <v>1.66811607</v>
      </c>
      <c r="I24" s="18" t="s">
        <v>567</v>
      </c>
      <c r="J24" s="20" t="s">
        <v>567</v>
      </c>
      <c r="K24" s="18" t="n">
        <v>0.90178414</v>
      </c>
      <c r="L24" s="20" t="n">
        <v>0.34943977</v>
      </c>
      <c r="M24" s="18" t="n">
        <v>0</v>
      </c>
      <c r="N24" s="20" t="n">
        <v>0</v>
      </c>
      <c r="O24" s="18" t="n">
        <v>0</v>
      </c>
      <c r="P24" s="20" t="n">
        <v>0</v>
      </c>
      <c r="Q24" s="18" t="n">
        <v>0.11591809</v>
      </c>
      <c r="R24" s="20" t="n">
        <v>0.1152845</v>
      </c>
    </row>
    <row r="25" spans="1:18">
      <c r="A25" s="15" t="s">
        <v>585</v>
      </c>
      <c r="B25" s="17" t="n">
        <v>2912</v>
      </c>
      <c r="C25" s="18">
        <f>(2275.0/B25*100)</f>
        <v/>
      </c>
      <c r="D25" s="19" t="n">
        <v>637</v>
      </c>
      <c r="E25" s="18" t="n">
        <v>40.01525096</v>
      </c>
      <c r="F25" s="20" t="n">
        <v>2.5701829</v>
      </c>
      <c r="G25" s="18" t="n">
        <v>59.5534414</v>
      </c>
      <c r="H25" s="20" t="n">
        <v>2.54827964</v>
      </c>
      <c r="I25" s="18" t="s">
        <v>567</v>
      </c>
      <c r="J25" s="20" t="s">
        <v>567</v>
      </c>
      <c r="K25" s="18" t="n">
        <v>0.13246293</v>
      </c>
      <c r="L25" s="20" t="n">
        <v>0.1344598</v>
      </c>
      <c r="M25" s="18" t="n">
        <v>0</v>
      </c>
      <c r="N25" s="20" t="n">
        <v>0</v>
      </c>
      <c r="O25" s="18" t="n">
        <v>0</v>
      </c>
      <c r="P25" s="20" t="n">
        <v>0</v>
      </c>
      <c r="Q25" s="18" t="n">
        <v>0.2988447</v>
      </c>
      <c r="R25" s="20" t="n">
        <v>0.21305972</v>
      </c>
    </row>
    <row r="26" spans="1:18">
      <c r="A26" s="15" t="s">
        <v>586</v>
      </c>
      <c r="B26" s="17" t="n">
        <v>2450</v>
      </c>
      <c r="C26" s="18">
        <f>(1910.0/B26*100)</f>
        <v/>
      </c>
      <c r="D26" s="19" t="n">
        <v>540</v>
      </c>
      <c r="E26" s="18" t="n">
        <v>40.84792675</v>
      </c>
      <c r="F26" s="20" t="n">
        <v>2.48939226</v>
      </c>
      <c r="G26" s="18" t="n">
        <v>58.53841955</v>
      </c>
      <c r="H26" s="20" t="n">
        <v>2.4505801</v>
      </c>
      <c r="I26" s="18" t="s">
        <v>567</v>
      </c>
      <c r="J26" s="20" t="s">
        <v>567</v>
      </c>
      <c r="K26" s="18" t="n">
        <v>0.13767512</v>
      </c>
      <c r="L26" s="20" t="n">
        <v>0.13839102</v>
      </c>
      <c r="M26" s="18" t="n">
        <v>0</v>
      </c>
      <c r="N26" s="20" t="n">
        <v>0</v>
      </c>
      <c r="O26" s="18" t="n">
        <v>0</v>
      </c>
      <c r="P26" s="20" t="n">
        <v>0</v>
      </c>
      <c r="Q26" s="18" t="n">
        <v>0.47597858</v>
      </c>
      <c r="R26" s="20" t="n">
        <v>0.36415625</v>
      </c>
    </row>
    <row r="27" spans="1:18">
      <c r="A27" s="15" t="s">
        <v>587</v>
      </c>
      <c r="B27" s="17" t="n">
        <v>2616</v>
      </c>
      <c r="C27" s="18">
        <f>(2048.0/B27*100)</f>
        <v/>
      </c>
      <c r="D27" s="19" t="n">
        <v>568</v>
      </c>
      <c r="E27" s="18" t="n">
        <v>31.01070431</v>
      </c>
      <c r="F27" s="20" t="n">
        <v>2.01497805</v>
      </c>
      <c r="G27" s="18" t="n">
        <v>67.92750212</v>
      </c>
      <c r="H27" s="20" t="n">
        <v>2.05344536</v>
      </c>
      <c r="I27" s="18" t="s">
        <v>567</v>
      </c>
      <c r="J27" s="20" t="s">
        <v>567</v>
      </c>
      <c r="K27" s="18" t="n">
        <v>0.54635583</v>
      </c>
      <c r="L27" s="20" t="n">
        <v>0.31258002</v>
      </c>
      <c r="M27" s="18" t="n">
        <v>0</v>
      </c>
      <c r="N27" s="20" t="n">
        <v>0</v>
      </c>
      <c r="O27" s="18" t="n">
        <v>0</v>
      </c>
      <c r="P27" s="20" t="n">
        <v>0</v>
      </c>
      <c r="Q27" s="18" t="n">
        <v>0.51543774</v>
      </c>
      <c r="R27" s="20" t="n">
        <v>0.29438318</v>
      </c>
    </row>
    <row r="28" spans="1:18">
      <c r="A28" s="15" t="s">
        <v>588</v>
      </c>
      <c r="B28" s="17" t="n">
        <v>3765</v>
      </c>
      <c r="C28" s="18">
        <f>(3066.0/B28*100)</f>
        <v/>
      </c>
      <c r="D28" s="19" t="n">
        <v>699</v>
      </c>
      <c r="E28" s="18" t="n">
        <v>48.07338739</v>
      </c>
      <c r="F28" s="20" t="n">
        <v>2.06663208</v>
      </c>
      <c r="G28" s="18" t="n">
        <v>50.02011024</v>
      </c>
      <c r="H28" s="20" t="n">
        <v>2.10744307</v>
      </c>
      <c r="I28" s="18" t="s">
        <v>567</v>
      </c>
      <c r="J28" s="20" t="s">
        <v>567</v>
      </c>
      <c r="K28" s="18" t="n">
        <v>0.75993152</v>
      </c>
      <c r="L28" s="20" t="n">
        <v>0.36178402</v>
      </c>
      <c r="M28" s="18" t="n">
        <v>0</v>
      </c>
      <c r="N28" s="20" t="n">
        <v>0</v>
      </c>
      <c r="O28" s="18" t="n">
        <v>0</v>
      </c>
      <c r="P28" s="20" t="n">
        <v>0</v>
      </c>
      <c r="Q28" s="18" t="n">
        <v>1.14657085</v>
      </c>
      <c r="R28" s="20" t="n">
        <v>0.4856826</v>
      </c>
    </row>
    <row r="29" spans="1:18">
      <c r="A29" s="15" t="s">
        <v>589</v>
      </c>
      <c r="B29" s="17" t="n">
        <v>2685</v>
      </c>
      <c r="C29" s="18">
        <f>(2100.0/B29*100)</f>
        <v/>
      </c>
      <c r="D29" s="19" t="n">
        <v>585</v>
      </c>
      <c r="E29" s="18" t="n">
        <v>36.67969494</v>
      </c>
      <c r="F29" s="20" t="n">
        <v>1.84755485</v>
      </c>
      <c r="G29" s="18" t="n">
        <v>62.96846003</v>
      </c>
      <c r="H29" s="20" t="n">
        <v>1.88011818</v>
      </c>
      <c r="I29" s="18" t="s">
        <v>567</v>
      </c>
      <c r="J29" s="20" t="s">
        <v>567</v>
      </c>
      <c r="K29" s="18" t="n">
        <v>0.35184504</v>
      </c>
      <c r="L29" s="20" t="n">
        <v>0.23804514</v>
      </c>
      <c r="M29" s="18" t="n">
        <v>0</v>
      </c>
      <c r="N29" s="20" t="n">
        <v>0</v>
      </c>
      <c r="O29" s="18" t="n">
        <v>0</v>
      </c>
      <c r="P29" s="20" t="n">
        <v>0</v>
      </c>
      <c r="Q29" s="18" t="n">
        <v>0</v>
      </c>
      <c r="R29" s="20" t="n">
        <v>0</v>
      </c>
    </row>
    <row r="30" spans="1:18">
      <c r="A30" s="15" t="s">
        <v>590</v>
      </c>
      <c r="B30" s="17" t="n">
        <v>2263</v>
      </c>
      <c r="C30" s="18">
        <f>(1791.0/B30*100)</f>
        <v/>
      </c>
      <c r="D30" s="19" t="n">
        <v>472</v>
      </c>
      <c r="E30" s="18" t="n">
        <v>24.09789785</v>
      </c>
      <c r="F30" s="20" t="n">
        <v>1.77473432</v>
      </c>
      <c r="G30" s="18" t="n">
        <v>74.59754291</v>
      </c>
      <c r="H30" s="20" t="n">
        <v>1.77747149</v>
      </c>
      <c r="I30" s="18" t="s">
        <v>567</v>
      </c>
      <c r="J30" s="20" t="s">
        <v>567</v>
      </c>
      <c r="K30" s="18" t="n">
        <v>0.23757465</v>
      </c>
      <c r="L30" s="20" t="n">
        <v>0.23351613</v>
      </c>
      <c r="M30" s="18" t="n">
        <v>0</v>
      </c>
      <c r="N30" s="20" t="n">
        <v>0</v>
      </c>
      <c r="O30" s="18" t="n">
        <v>0</v>
      </c>
      <c r="P30" s="20" t="n">
        <v>0</v>
      </c>
      <c r="Q30" s="18" t="n">
        <v>1.0669846</v>
      </c>
      <c r="R30" s="20" t="n">
        <v>0.5276475900000001</v>
      </c>
    </row>
    <row r="31" spans="1:18">
      <c r="A31" s="15" t="s">
        <v>591</v>
      </c>
      <c r="B31" s="17" t="n">
        <v>2750</v>
      </c>
      <c r="C31" s="18">
        <f>(2184.0/B31*100)</f>
        <v/>
      </c>
      <c r="D31" s="19" t="n">
        <v>566</v>
      </c>
      <c r="E31" s="18" t="n">
        <v>34.89428695</v>
      </c>
      <c r="F31" s="20" t="n">
        <v>2.54859689</v>
      </c>
      <c r="G31" s="18" t="n">
        <v>64.29625595</v>
      </c>
      <c r="H31" s="20" t="n">
        <v>2.525206</v>
      </c>
      <c r="I31" s="18" t="s">
        <v>567</v>
      </c>
      <c r="J31" s="20" t="s">
        <v>567</v>
      </c>
      <c r="K31" s="18" t="n">
        <v>0.80945711</v>
      </c>
      <c r="L31" s="20" t="n">
        <v>0.35573166</v>
      </c>
      <c r="M31" s="18" t="n">
        <v>0</v>
      </c>
      <c r="N31" s="20" t="n">
        <v>0</v>
      </c>
      <c r="O31" s="18" t="n">
        <v>0</v>
      </c>
      <c r="P31" s="20" t="n">
        <v>0</v>
      </c>
      <c r="Q31" s="18" t="n">
        <v>0</v>
      </c>
      <c r="R31" s="20" t="n">
        <v>0</v>
      </c>
    </row>
    <row r="32" spans="1:18">
      <c r="A32" s="15" t="s">
        <v>592</v>
      </c>
      <c r="B32" s="17" t="n">
        <v>2269</v>
      </c>
      <c r="C32" s="18">
        <f>(1811.0/B32*100)</f>
        <v/>
      </c>
      <c r="D32" s="19" t="n">
        <v>458</v>
      </c>
      <c r="E32" s="18" t="n">
        <v>31.78023513</v>
      </c>
      <c r="F32" s="20" t="n">
        <v>2.09704068</v>
      </c>
      <c r="G32" s="18" t="n">
        <v>67.81968018000001</v>
      </c>
      <c r="H32" s="20" t="n">
        <v>2.15374448</v>
      </c>
      <c r="I32" s="18" t="s">
        <v>567</v>
      </c>
      <c r="J32" s="20" t="s">
        <v>567</v>
      </c>
      <c r="K32" s="18" t="n">
        <v>0.40008469</v>
      </c>
      <c r="L32" s="20" t="n">
        <v>0.2948792</v>
      </c>
      <c r="M32" s="18" t="n">
        <v>0</v>
      </c>
      <c r="N32" s="20" t="n">
        <v>0</v>
      </c>
      <c r="O32" s="18" t="n">
        <v>0</v>
      </c>
      <c r="P32" s="20" t="n">
        <v>0</v>
      </c>
      <c r="Q32" s="18" t="n">
        <v>0</v>
      </c>
      <c r="R32" s="20" t="n">
        <v>0</v>
      </c>
    </row>
    <row r="33" spans="1:18">
      <c r="A33" s="15" t="s">
        <v>593</v>
      </c>
      <c r="B33" s="17" t="n">
        <v>3674</v>
      </c>
      <c r="C33" s="18">
        <f>(2898.0/B33*100)</f>
        <v/>
      </c>
      <c r="D33" s="19" t="n">
        <v>776</v>
      </c>
      <c r="E33" s="18" t="n">
        <v>37.00285844</v>
      </c>
      <c r="F33" s="20" t="n">
        <v>1.75509863</v>
      </c>
      <c r="G33" s="18" t="n">
        <v>62.4277243</v>
      </c>
      <c r="H33" s="20" t="n">
        <v>1.72092454</v>
      </c>
      <c r="I33" s="18" t="s">
        <v>567</v>
      </c>
      <c r="J33" s="20" t="s">
        <v>567</v>
      </c>
      <c r="K33" s="18" t="n">
        <v>0.15115565</v>
      </c>
      <c r="L33" s="20" t="n">
        <v>0.13561512</v>
      </c>
      <c r="M33" s="18" t="n">
        <v>0</v>
      </c>
      <c r="N33" s="20" t="n">
        <v>0</v>
      </c>
      <c r="O33" s="18" t="n">
        <v>0</v>
      </c>
      <c r="P33" s="20" t="n">
        <v>0</v>
      </c>
      <c r="Q33" s="18" t="n">
        <v>0.41826162</v>
      </c>
      <c r="R33" s="20" t="n">
        <v>0.25164599</v>
      </c>
    </row>
    <row r="34" spans="1:18">
      <c r="A34" s="15" t="s">
        <v>594</v>
      </c>
      <c r="B34" s="17" t="n">
        <v>3315</v>
      </c>
      <c r="C34" s="18">
        <f>(2608.0/B34*100)</f>
        <v/>
      </c>
      <c r="D34" s="19" t="n">
        <v>707</v>
      </c>
      <c r="E34" s="18" t="n">
        <v>45.01635582</v>
      </c>
      <c r="F34" s="20" t="n">
        <v>1.74099115</v>
      </c>
      <c r="G34" s="18" t="n">
        <v>54.06816458</v>
      </c>
      <c r="H34" s="20" t="n">
        <v>1.73441176</v>
      </c>
      <c r="I34" s="18" t="s">
        <v>567</v>
      </c>
      <c r="J34" s="20" t="s">
        <v>567</v>
      </c>
      <c r="K34" s="18" t="n">
        <v>0.2430616</v>
      </c>
      <c r="L34" s="20" t="n">
        <v>0.17522369</v>
      </c>
      <c r="M34" s="18" t="n">
        <v>0</v>
      </c>
      <c r="N34" s="20" t="n">
        <v>0</v>
      </c>
      <c r="O34" s="18" t="n">
        <v>0</v>
      </c>
      <c r="P34" s="20" t="n">
        <v>0</v>
      </c>
      <c r="Q34" s="18" t="n">
        <v>0.67241801</v>
      </c>
      <c r="R34" s="20" t="n">
        <v>0.3495462</v>
      </c>
    </row>
    <row r="35" spans="1:18">
      <c r="A35" s="15" t="s">
        <v>595</v>
      </c>
      <c r="B35" s="17" t="n">
        <v>3505</v>
      </c>
      <c r="C35" s="18">
        <f>(2715.0/B35*100)</f>
        <v/>
      </c>
      <c r="D35" s="19" t="n">
        <v>790</v>
      </c>
      <c r="E35" s="18" t="n">
        <v>39.33996378</v>
      </c>
      <c r="F35" s="20" t="n">
        <v>2.28421934</v>
      </c>
      <c r="G35" s="18" t="n">
        <v>60.011827</v>
      </c>
      <c r="H35" s="20" t="n">
        <v>2.30611238</v>
      </c>
      <c r="I35" s="18" t="s">
        <v>567</v>
      </c>
      <c r="J35" s="20" t="s">
        <v>567</v>
      </c>
      <c r="K35" s="18" t="n">
        <v>0.25668028</v>
      </c>
      <c r="L35" s="20" t="n">
        <v>0.20524168</v>
      </c>
      <c r="M35" s="18" t="n">
        <v>0</v>
      </c>
      <c r="N35" s="20" t="n">
        <v>0</v>
      </c>
      <c r="O35" s="18" t="n">
        <v>0</v>
      </c>
      <c r="P35" s="20" t="n">
        <v>0</v>
      </c>
      <c r="Q35" s="18" t="n">
        <v>0.39152894</v>
      </c>
      <c r="R35" s="20" t="n">
        <v>0.24633263</v>
      </c>
    </row>
    <row r="36" spans="1:18">
      <c r="A36" s="15" t="s">
        <v>596</v>
      </c>
      <c r="B36" s="17" t="n">
        <v>3332</v>
      </c>
      <c r="C36" s="18">
        <f>(2631.0/B36*100)</f>
        <v/>
      </c>
      <c r="D36" s="19" t="n">
        <v>701</v>
      </c>
      <c r="E36" s="18" t="n">
        <v>40.7393674</v>
      </c>
      <c r="F36" s="20" t="n">
        <v>2.20786511</v>
      </c>
      <c r="G36" s="18" t="n">
        <v>58.86138505</v>
      </c>
      <c r="H36" s="20" t="n">
        <v>2.16182419</v>
      </c>
      <c r="I36" s="18" t="s">
        <v>567</v>
      </c>
      <c r="J36" s="20" t="s">
        <v>567</v>
      </c>
      <c r="K36" s="18" t="n">
        <v>0.39924755</v>
      </c>
      <c r="L36" s="20" t="n">
        <v>0.29993057</v>
      </c>
      <c r="M36" s="18" t="n">
        <v>0</v>
      </c>
      <c r="N36" s="20" t="n">
        <v>0</v>
      </c>
      <c r="O36" s="18" t="n">
        <v>0</v>
      </c>
      <c r="P36" s="20" t="n">
        <v>0</v>
      </c>
      <c r="Q36" s="18" t="n">
        <v>0</v>
      </c>
      <c r="R36" s="20" t="n">
        <v>0</v>
      </c>
    </row>
    <row r="37" spans="1:18">
      <c r="A37" s="15" t="s">
        <v>597</v>
      </c>
      <c r="B37" s="17" t="n">
        <v>2727</v>
      </c>
      <c r="C37" s="18">
        <f>(2138.0/B37*100)</f>
        <v/>
      </c>
      <c r="D37" s="19" t="n">
        <v>589</v>
      </c>
      <c r="E37" s="18" t="n">
        <v>36.96725273</v>
      </c>
      <c r="F37" s="20" t="n">
        <v>2.14978243</v>
      </c>
      <c r="G37" s="18" t="n">
        <v>61.57859834</v>
      </c>
      <c r="H37" s="20" t="n">
        <v>2.28638485</v>
      </c>
      <c r="I37" s="18" t="s">
        <v>567</v>
      </c>
      <c r="J37" s="20" t="s">
        <v>567</v>
      </c>
      <c r="K37" s="18" t="n">
        <v>1.45414892</v>
      </c>
      <c r="L37" s="20" t="n">
        <v>0.46045369</v>
      </c>
      <c r="M37" s="18" t="n">
        <v>0</v>
      </c>
      <c r="N37" s="20" t="n">
        <v>0</v>
      </c>
      <c r="O37" s="18" t="n">
        <v>0</v>
      </c>
      <c r="P37" s="20" t="n">
        <v>0</v>
      </c>
      <c r="Q37" s="18" t="n">
        <v>0</v>
      </c>
      <c r="R37" s="20" t="n">
        <v>0</v>
      </c>
    </row>
    <row r="38" spans="1:18">
      <c r="A38" s="15" t="s">
        <v>598</v>
      </c>
      <c r="B38" s="17" t="n">
        <v>3053</v>
      </c>
      <c r="C38" s="18">
        <f>(2340.0/B38*100)</f>
        <v/>
      </c>
      <c r="D38" s="19" t="n">
        <v>713</v>
      </c>
      <c r="E38" s="18" t="n">
        <v>26.73333072</v>
      </c>
      <c r="F38" s="20" t="n">
        <v>2.09591672</v>
      </c>
      <c r="G38" s="18" t="n">
        <v>72.24424397</v>
      </c>
      <c r="H38" s="20" t="n">
        <v>2.03644733</v>
      </c>
      <c r="I38" s="18" t="s">
        <v>567</v>
      </c>
      <c r="J38" s="20" t="s">
        <v>567</v>
      </c>
      <c r="K38" s="18" t="n">
        <v>0.8739066599999999</v>
      </c>
      <c r="L38" s="20" t="n">
        <v>0.3959192</v>
      </c>
      <c r="M38" s="18" t="n">
        <v>0</v>
      </c>
      <c r="N38" s="20" t="n">
        <v>0</v>
      </c>
      <c r="O38" s="18" t="n">
        <v>0</v>
      </c>
      <c r="P38" s="20" t="n">
        <v>0</v>
      </c>
      <c r="Q38" s="18" t="n">
        <v>0.14851864</v>
      </c>
      <c r="R38" s="20" t="n">
        <v>0.12790076</v>
      </c>
    </row>
    <row r="39" spans="1:18">
      <c r="A39" s="15" t="s">
        <v>599</v>
      </c>
      <c r="B39" s="17" t="n">
        <v>2957</v>
      </c>
      <c r="C39" s="18">
        <f>(2313.0/B39*100)</f>
        <v/>
      </c>
      <c r="D39" s="19" t="n">
        <v>644</v>
      </c>
      <c r="E39" s="18" t="n">
        <v>47.04358746</v>
      </c>
      <c r="F39" s="20" t="n">
        <v>2.19022578</v>
      </c>
      <c r="G39" s="18" t="n">
        <v>52.52574009</v>
      </c>
      <c r="H39" s="20" t="n">
        <v>2.11568419</v>
      </c>
      <c r="I39" s="18" t="s">
        <v>567</v>
      </c>
      <c r="J39" s="20" t="s">
        <v>567</v>
      </c>
      <c r="K39" s="18" t="n">
        <v>0.19858578</v>
      </c>
      <c r="L39" s="20" t="n">
        <v>0.19820411</v>
      </c>
      <c r="M39" s="18" t="n">
        <v>0</v>
      </c>
      <c r="N39" s="20" t="n">
        <v>0</v>
      </c>
      <c r="O39" s="18" t="n">
        <v>0</v>
      </c>
      <c r="P39" s="20" t="n">
        <v>0</v>
      </c>
      <c r="Q39" s="18" t="n">
        <v>0.23208667</v>
      </c>
      <c r="R39" s="20" t="n">
        <v>0.16417534</v>
      </c>
    </row>
    <row r="40" spans="1:18">
      <c r="A40" s="15" t="s">
        <v>600</v>
      </c>
      <c r="B40" s="17" t="n">
        <v>7235</v>
      </c>
      <c r="C40" s="18">
        <f>(5591.0/B40*100)</f>
        <v/>
      </c>
      <c r="D40" s="19" t="n">
        <v>1644</v>
      </c>
      <c r="E40" s="18" t="n">
        <v>29.42064649</v>
      </c>
      <c r="F40" s="20" t="n">
        <v>1.72449711</v>
      </c>
      <c r="G40" s="18" t="n">
        <v>69.84652482</v>
      </c>
      <c r="H40" s="20" t="n">
        <v>1.75960864</v>
      </c>
      <c r="I40" s="18" t="s">
        <v>567</v>
      </c>
      <c r="J40" s="20" t="s">
        <v>567</v>
      </c>
      <c r="K40" s="18" t="n">
        <v>0.51461851</v>
      </c>
      <c r="L40" s="20" t="n">
        <v>0.25681189</v>
      </c>
      <c r="M40" s="18" t="n">
        <v>0</v>
      </c>
      <c r="N40" s="20" t="n">
        <v>0</v>
      </c>
      <c r="O40" s="18" t="n">
        <v>0</v>
      </c>
      <c r="P40" s="20" t="n">
        <v>0</v>
      </c>
      <c r="Q40" s="18" t="n">
        <v>0.21821019</v>
      </c>
      <c r="R40" s="20" t="n">
        <v>0.15511797</v>
      </c>
    </row>
    <row r="41" spans="1:18">
      <c r="A41" s="15" t="s">
        <v>601</v>
      </c>
      <c r="B41" s="17" t="n">
        <v>2858</v>
      </c>
      <c r="C41" s="18">
        <f>(2257.0/B41*100)</f>
        <v/>
      </c>
      <c r="D41" s="19" t="n">
        <v>601</v>
      </c>
      <c r="E41" s="18" t="n">
        <v>33.91685763</v>
      </c>
      <c r="F41" s="20" t="n">
        <v>1.95093258</v>
      </c>
      <c r="G41" s="18" t="n">
        <v>65.20941153</v>
      </c>
      <c r="H41" s="20" t="n">
        <v>2.00157602</v>
      </c>
      <c r="I41" s="18" t="s">
        <v>567</v>
      </c>
      <c r="J41" s="20" t="s">
        <v>567</v>
      </c>
      <c r="K41" s="18" t="n">
        <v>0.437345</v>
      </c>
      <c r="L41" s="20" t="n">
        <v>0.28583247</v>
      </c>
      <c r="M41" s="18" t="n">
        <v>0</v>
      </c>
      <c r="N41" s="20" t="n">
        <v>0</v>
      </c>
      <c r="O41" s="18" t="n">
        <v>0</v>
      </c>
      <c r="P41" s="20" t="n">
        <v>0</v>
      </c>
      <c r="Q41" s="18" t="n">
        <v>0.43638584</v>
      </c>
      <c r="R41" s="20" t="n">
        <v>0.24114204</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(9234.0/B46*100)</f>
        <v/>
      </c>
      <c r="D46" s="19" t="n">
        <v>1834</v>
      </c>
      <c r="E46" s="18" t="n">
        <v>46.36709165</v>
      </c>
      <c r="F46" s="20" t="n">
        <v>1.53167731</v>
      </c>
      <c r="G46" s="18" t="n">
        <v>50.53790073</v>
      </c>
      <c r="H46" s="20" t="n">
        <v>1.54485945</v>
      </c>
      <c r="I46" s="18" t="s">
        <v>567</v>
      </c>
      <c r="J46" s="20" t="s">
        <v>567</v>
      </c>
      <c r="K46" s="18" t="n">
        <v>1.85034688</v>
      </c>
      <c r="L46" s="20" t="n">
        <v>0.45608967</v>
      </c>
      <c r="M46" s="18" t="n">
        <v>0</v>
      </c>
      <c r="N46" s="20" t="n">
        <v>0</v>
      </c>
      <c r="O46" s="18" t="n">
        <v>0</v>
      </c>
      <c r="P46" s="20" t="n">
        <v>0</v>
      </c>
      <c r="Q46" s="18" t="n">
        <v>1.24466074</v>
      </c>
      <c r="R46" s="20" t="n">
        <v>0.35689522</v>
      </c>
    </row>
    <row r="47" spans="1:18">
      <c r="A47" s="15" t="s">
        <v>607</v>
      </c>
      <c r="B47" s="17" t="n">
        <v>3105</v>
      </c>
      <c r="C47" s="18">
        <f>(2457.0/B47*100)</f>
        <v/>
      </c>
      <c r="D47" s="19" t="n">
        <v>648</v>
      </c>
      <c r="E47" s="18" t="n">
        <v>41.80572078</v>
      </c>
      <c r="F47" s="20" t="n">
        <v>2.15163616</v>
      </c>
      <c r="G47" s="18" t="n">
        <v>56.34008803</v>
      </c>
      <c r="H47" s="20" t="n">
        <v>2.27636739</v>
      </c>
      <c r="I47" s="18" t="s">
        <v>567</v>
      </c>
      <c r="J47" s="20" t="s">
        <v>567</v>
      </c>
      <c r="K47" s="18" t="n">
        <v>1.06934846</v>
      </c>
      <c r="L47" s="20" t="n">
        <v>0.45781207</v>
      </c>
      <c r="M47" s="18" t="n">
        <v>0</v>
      </c>
      <c r="N47" s="20" t="n">
        <v>0</v>
      </c>
      <c r="O47" s="18" t="n">
        <v>0</v>
      </c>
      <c r="P47" s="20" t="n">
        <v>0</v>
      </c>
      <c r="Q47" s="18" t="n">
        <v>0.78484273</v>
      </c>
      <c r="R47" s="20" t="n">
        <v>0.41263298</v>
      </c>
    </row>
    <row r="48" spans="1:18">
      <c r="A48" s="15" t="s">
        <v>608</v>
      </c>
      <c r="B48" s="17" t="n">
        <v>5159</v>
      </c>
      <c r="C48" s="18">
        <f>(4017.0/B48*100)</f>
        <v/>
      </c>
      <c r="D48" s="19" t="n">
        <v>1142</v>
      </c>
      <c r="E48" s="18" t="n">
        <v>40.41298151</v>
      </c>
      <c r="F48" s="20" t="n">
        <v>1.88493878</v>
      </c>
      <c r="G48" s="18" t="n">
        <v>57.96351353</v>
      </c>
      <c r="H48" s="20" t="n">
        <v>2.06401245</v>
      </c>
      <c r="I48" s="18" t="s">
        <v>567</v>
      </c>
      <c r="J48" s="20" t="s">
        <v>567</v>
      </c>
      <c r="K48" s="18" t="n">
        <v>0.86767208</v>
      </c>
      <c r="L48" s="20" t="n">
        <v>0.43806356</v>
      </c>
      <c r="M48" s="18" t="n">
        <v>0</v>
      </c>
      <c r="N48" s="20" t="n">
        <v>0</v>
      </c>
      <c r="O48" s="18" t="n">
        <v>0</v>
      </c>
      <c r="P48" s="20" t="n">
        <v>0</v>
      </c>
      <c r="Q48" s="18" t="n">
        <v>0.75583288</v>
      </c>
      <c r="R48" s="20" t="n">
        <v>0.33500556</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(4456.0/B50*100)</f>
        <v/>
      </c>
      <c r="D50" s="19" t="n">
        <v>1181</v>
      </c>
      <c r="E50" s="18" t="n">
        <v>49.80255638</v>
      </c>
      <c r="F50" s="20" t="n">
        <v>1.94025754</v>
      </c>
      <c r="G50" s="18" t="n">
        <v>47.04830879</v>
      </c>
      <c r="H50" s="20" t="n">
        <v>1.87446563</v>
      </c>
      <c r="I50" s="18" t="s">
        <v>567</v>
      </c>
      <c r="J50" s="20" t="s">
        <v>567</v>
      </c>
      <c r="K50" s="18" t="n">
        <v>2.47632963</v>
      </c>
      <c r="L50" s="20" t="n">
        <v>0.76420477</v>
      </c>
      <c r="M50" s="18" t="n">
        <v>0</v>
      </c>
      <c r="N50" s="20" t="n">
        <v>0</v>
      </c>
      <c r="O50" s="18" t="n">
        <v>0</v>
      </c>
      <c r="P50" s="20" t="n">
        <v>0</v>
      </c>
      <c r="Q50" s="18" t="n">
        <v>0.6728051900000001</v>
      </c>
      <c r="R50" s="20" t="n">
        <v>0.28877345</v>
      </c>
    </row>
    <row r="51" spans="1:18">
      <c r="A51" s="15" t="s">
        <v>611</v>
      </c>
      <c r="B51" s="17" t="n">
        <v>3372</v>
      </c>
      <c r="C51" s="18">
        <f>(2759.0/B51*100)</f>
        <v/>
      </c>
      <c r="D51" s="19" t="n">
        <v>613</v>
      </c>
      <c r="E51" s="18" t="n">
        <v>37.43313229</v>
      </c>
      <c r="F51" s="20" t="n">
        <v>2.13810525</v>
      </c>
      <c r="G51" s="18" t="n">
        <v>60.95443058</v>
      </c>
      <c r="H51" s="20" t="n">
        <v>2.11789218</v>
      </c>
      <c r="I51" s="18" t="s">
        <v>567</v>
      </c>
      <c r="J51" s="20" t="s">
        <v>567</v>
      </c>
      <c r="K51" s="18" t="n">
        <v>1.14641315</v>
      </c>
      <c r="L51" s="20" t="n">
        <v>0.44964387</v>
      </c>
      <c r="M51" s="18" t="n">
        <v>0</v>
      </c>
      <c r="N51" s="20" t="n">
        <v>0</v>
      </c>
      <c r="O51" s="18" t="n">
        <v>0</v>
      </c>
      <c r="P51" s="20" t="n">
        <v>0</v>
      </c>
      <c r="Q51" s="18" t="n">
        <v>0.46602398</v>
      </c>
      <c r="R51" s="20" t="n">
        <v>0.3818456</v>
      </c>
    </row>
    <row r="52" spans="1:18">
      <c r="A52" s="15" t="s">
        <v>612</v>
      </c>
      <c r="B52" s="17" t="n">
        <v>2796</v>
      </c>
      <c r="C52" s="18">
        <f>(2184.0/B52*100)</f>
        <v/>
      </c>
      <c r="D52" s="19" t="n">
        <v>612</v>
      </c>
      <c r="E52" s="18" t="n">
        <v>41.84129293</v>
      </c>
      <c r="F52" s="20" t="n">
        <v>1.9581295</v>
      </c>
      <c r="G52" s="18" t="n">
        <v>57.75331773</v>
      </c>
      <c r="H52" s="20" t="n">
        <v>1.93807066</v>
      </c>
      <c r="I52" s="18" t="s">
        <v>567</v>
      </c>
      <c r="J52" s="20" t="s">
        <v>567</v>
      </c>
      <c r="K52" s="18" t="n">
        <v>0.28179856</v>
      </c>
      <c r="L52" s="20" t="n">
        <v>0.19787217</v>
      </c>
      <c r="M52" s="18" t="n">
        <v>0</v>
      </c>
      <c r="N52" s="20" t="n">
        <v>0</v>
      </c>
      <c r="O52" s="18" t="n">
        <v>0</v>
      </c>
      <c r="P52" s="20" t="n">
        <v>0</v>
      </c>
      <c r="Q52" s="18" t="n">
        <v>0.12359078</v>
      </c>
      <c r="R52" s="20" t="n">
        <v>0.12442917</v>
      </c>
    </row>
    <row r="53" spans="1:18">
      <c r="A53" s="15" t="s">
        <v>613</v>
      </c>
      <c r="B53" s="17" t="n">
        <v>2811</v>
      </c>
      <c r="C53" s="18">
        <f>(2191.0/B53*100)</f>
        <v/>
      </c>
      <c r="D53" s="19" t="n">
        <v>620</v>
      </c>
      <c r="E53" s="18" t="n">
        <v>52.7255749</v>
      </c>
      <c r="F53" s="20" t="n">
        <v>1.95560359</v>
      </c>
      <c r="G53" s="18" t="n">
        <v>45.63803432</v>
      </c>
      <c r="H53" s="20" t="n">
        <v>1.99461738</v>
      </c>
      <c r="I53" s="18" t="s">
        <v>567</v>
      </c>
      <c r="J53" s="20" t="s">
        <v>567</v>
      </c>
      <c r="K53" s="18" t="n">
        <v>0.72110475</v>
      </c>
      <c r="L53" s="20" t="n">
        <v>0.27791521</v>
      </c>
      <c r="M53" s="18" t="n">
        <v>0</v>
      </c>
      <c r="N53" s="20" t="n">
        <v>0</v>
      </c>
      <c r="O53" s="18" t="n">
        <v>0</v>
      </c>
      <c r="P53" s="20" t="n">
        <v>0</v>
      </c>
      <c r="Q53" s="18" t="n">
        <v>0.91528602</v>
      </c>
      <c r="R53" s="20" t="n">
        <v>0.35162476</v>
      </c>
    </row>
    <row r="54" spans="1:18">
      <c r="A54" s="15" t="s">
        <v>614</v>
      </c>
      <c r="B54" s="17" t="n">
        <v>2266</v>
      </c>
      <c r="C54" s="18">
        <f>(1792.0/B54*100)</f>
        <v/>
      </c>
      <c r="D54" s="19" t="n">
        <v>474</v>
      </c>
      <c r="E54" s="18" t="n">
        <v>41.22480793</v>
      </c>
      <c r="F54" s="20" t="n">
        <v>2.65405222</v>
      </c>
      <c r="G54" s="18" t="n">
        <v>37.94477419</v>
      </c>
      <c r="H54" s="20" t="n">
        <v>2.56388904</v>
      </c>
      <c r="I54" s="18" t="s">
        <v>567</v>
      </c>
      <c r="J54" s="20" t="s">
        <v>567</v>
      </c>
      <c r="K54" s="18" t="n">
        <v>18.25193604</v>
      </c>
      <c r="L54" s="20" t="n">
        <v>1.80632382</v>
      </c>
      <c r="M54" s="18" t="n">
        <v>0</v>
      </c>
      <c r="N54" s="20" t="n">
        <v>0</v>
      </c>
      <c r="O54" s="18" t="n">
        <v>0</v>
      </c>
      <c r="P54" s="20" t="n">
        <v>0</v>
      </c>
      <c r="Q54" s="18" t="n">
        <v>2.57848183</v>
      </c>
      <c r="R54" s="20" t="n">
        <v>1.02127119</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(2091.0/B56*100)</f>
        <v/>
      </c>
      <c r="D56" s="19" t="n">
        <v>593</v>
      </c>
      <c r="E56" s="18" t="n">
        <v>34.59654383</v>
      </c>
      <c r="F56" s="20" t="n">
        <v>2.22622306</v>
      </c>
      <c r="G56" s="18" t="n">
        <v>64.28577882</v>
      </c>
      <c r="H56" s="20" t="n">
        <v>2.3695803</v>
      </c>
      <c r="I56" s="18" t="s">
        <v>567</v>
      </c>
      <c r="J56" s="20" t="s">
        <v>567</v>
      </c>
      <c r="K56" s="18" t="n">
        <v>0.44628255</v>
      </c>
      <c r="L56" s="20" t="n">
        <v>0.35819247</v>
      </c>
      <c r="M56" s="18" t="n">
        <v>0</v>
      </c>
      <c r="N56" s="20" t="n">
        <v>0</v>
      </c>
      <c r="O56" s="18" t="n">
        <v>0</v>
      </c>
      <c r="P56" s="20" t="n">
        <v>0</v>
      </c>
      <c r="Q56" s="18" t="n">
        <v>0.6713948</v>
      </c>
      <c r="R56" s="20" t="n">
        <v>0.67364121</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(2603.0/B61*100)</f>
        <v/>
      </c>
      <c r="D61" s="19" t="n">
        <v>721</v>
      </c>
      <c r="E61" s="18" t="n">
        <v>37.43392966</v>
      </c>
      <c r="F61" s="20" t="n">
        <v>2.10403985</v>
      </c>
      <c r="G61" s="18" t="n">
        <v>61.79639836</v>
      </c>
      <c r="H61" s="20" t="n">
        <v>2.07008223</v>
      </c>
      <c r="I61" s="18" t="s">
        <v>567</v>
      </c>
      <c r="J61" s="20" t="s">
        <v>567</v>
      </c>
      <c r="K61" s="18" t="n">
        <v>0.20257039</v>
      </c>
      <c r="L61" s="20" t="n">
        <v>0.17115465</v>
      </c>
      <c r="M61" s="18" t="n">
        <v>0</v>
      </c>
      <c r="N61" s="20" t="n">
        <v>0</v>
      </c>
      <c r="O61" s="18" t="n">
        <v>0</v>
      </c>
      <c r="P61" s="20" t="n">
        <v>0</v>
      </c>
      <c r="Q61" s="18" t="n">
        <v>0.56710159</v>
      </c>
      <c r="R61" s="20" t="n">
        <v>0.31044964</v>
      </c>
    </row>
    <row r="62" spans="1:18">
      <c r="A62" s="15" t="s">
        <v>622</v>
      </c>
      <c r="B62" s="17" t="n">
        <v>2246</v>
      </c>
      <c r="C62" s="18">
        <f>(1747.0/B62*100)</f>
        <v/>
      </c>
      <c r="D62" s="19" t="n">
        <v>499</v>
      </c>
      <c r="E62" s="18" t="n">
        <v>39.87906797</v>
      </c>
      <c r="F62" s="20" t="n">
        <v>2.15571034</v>
      </c>
      <c r="G62" s="18" t="n">
        <v>59.7182928</v>
      </c>
      <c r="H62" s="20" t="n">
        <v>2.1018108</v>
      </c>
      <c r="I62" s="18" t="s">
        <v>567</v>
      </c>
      <c r="J62" s="20" t="s">
        <v>567</v>
      </c>
      <c r="K62" s="18" t="n">
        <v>0</v>
      </c>
      <c r="L62" s="20" t="n">
        <v>0</v>
      </c>
      <c r="M62" s="18" t="n">
        <v>0</v>
      </c>
      <c r="N62" s="20" t="n">
        <v>0</v>
      </c>
      <c r="O62" s="18" t="n">
        <v>0</v>
      </c>
      <c r="P62" s="20" t="n">
        <v>0</v>
      </c>
      <c r="Q62" s="18" t="n">
        <v>0.40263923</v>
      </c>
      <c r="R62" s="20" t="n">
        <v>0.28419375</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(2326.0/B66*100)</f>
        <v/>
      </c>
      <c r="D66" s="19" t="n">
        <v>568</v>
      </c>
      <c r="E66" s="18" t="n">
        <v>50.03458771</v>
      </c>
      <c r="F66" s="20" t="n">
        <v>2.03557506</v>
      </c>
      <c r="G66" s="18" t="n">
        <v>46.1259954</v>
      </c>
      <c r="H66" s="20" t="n">
        <v>2.12152739</v>
      </c>
      <c r="I66" s="18" t="s">
        <v>567</v>
      </c>
      <c r="J66" s="20" t="s">
        <v>567</v>
      </c>
      <c r="K66" s="18" t="n">
        <v>1.25188301</v>
      </c>
      <c r="L66" s="20" t="n">
        <v>0.47151744</v>
      </c>
      <c r="M66" s="18" t="n">
        <v>0</v>
      </c>
      <c r="N66" s="20" t="n">
        <v>0</v>
      </c>
      <c r="O66" s="18" t="n">
        <v>0</v>
      </c>
      <c r="P66" s="20" t="n">
        <v>0</v>
      </c>
      <c r="Q66" s="18" t="n">
        <v>2.58753388</v>
      </c>
      <c r="R66" s="20" t="n">
        <v>0.78715872</v>
      </c>
    </row>
    <row r="67" spans="1:18">
      <c r="A67" s="15" t="s">
        <v>627</v>
      </c>
      <c r="B67" s="17" t="n">
        <v>3511</v>
      </c>
      <c r="C67" s="18">
        <f>(2836.0/B67*100)</f>
        <v/>
      </c>
      <c r="D67" s="19" t="n">
        <v>675</v>
      </c>
      <c r="E67" s="18" t="n">
        <v>54.30037988</v>
      </c>
      <c r="F67" s="20" t="n">
        <v>2.14896858</v>
      </c>
      <c r="G67" s="18" t="n">
        <v>44.98640164</v>
      </c>
      <c r="H67" s="20" t="n">
        <v>2.07428564</v>
      </c>
      <c r="I67" s="18" t="s">
        <v>567</v>
      </c>
      <c r="J67" s="20" t="s">
        <v>567</v>
      </c>
      <c r="K67" s="18" t="n">
        <v>0.5320918100000001</v>
      </c>
      <c r="L67" s="20" t="n">
        <v>0.41964814</v>
      </c>
      <c r="M67" s="18" t="n">
        <v>0</v>
      </c>
      <c r="N67" s="20" t="n">
        <v>0</v>
      </c>
      <c r="O67" s="18" t="n">
        <v>0</v>
      </c>
      <c r="P67" s="20" t="n">
        <v>0</v>
      </c>
      <c r="Q67" s="18" t="n">
        <v>0.18112667</v>
      </c>
      <c r="R67" s="20" t="n">
        <v>0.17996137</v>
      </c>
    </row>
    <row r="68" spans="1:18">
      <c r="A68" s="15" t="s">
        <v>628</v>
      </c>
      <c r="B68" s="17" t="n">
        <v>6049</v>
      </c>
      <c r="C68" s="18">
        <f>(4683.0/B68*100)</f>
        <v/>
      </c>
      <c r="D68" s="19" t="n">
        <v>1366</v>
      </c>
      <c r="E68" s="18" t="n">
        <v>51.04307463</v>
      </c>
      <c r="F68" s="20" t="n">
        <v>1.4720463</v>
      </c>
      <c r="G68" s="18" t="n">
        <v>44.08306825</v>
      </c>
      <c r="H68" s="20" t="n">
        <v>1.39746924</v>
      </c>
      <c r="I68" s="18" t="s">
        <v>567</v>
      </c>
      <c r="J68" s="20" t="s">
        <v>567</v>
      </c>
      <c r="K68" s="18" t="n">
        <v>4.23121392</v>
      </c>
      <c r="L68" s="20" t="n">
        <v>0.5004042</v>
      </c>
      <c r="M68" s="18" t="n">
        <v>0</v>
      </c>
      <c r="N68" s="20" t="n">
        <v>0</v>
      </c>
      <c r="O68" s="18" t="n">
        <v>0</v>
      </c>
      <c r="P68" s="20" t="n">
        <v>0</v>
      </c>
      <c r="Q68" s="18" t="n">
        <v>0.6426432</v>
      </c>
      <c r="R68" s="20" t="n">
        <v>0.21286284</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(2326.0/B70*100)</f>
        <v/>
      </c>
      <c r="D70" s="19" t="n">
        <v>603</v>
      </c>
      <c r="E70" s="18" t="n">
        <v>37.01384813</v>
      </c>
      <c r="F70" s="20" t="n">
        <v>2.28937154</v>
      </c>
      <c r="G70" s="18" t="n">
        <v>62.49737212</v>
      </c>
      <c r="H70" s="20" t="n">
        <v>2.28288658</v>
      </c>
      <c r="I70" s="18" t="s">
        <v>567</v>
      </c>
      <c r="J70" s="20" t="s">
        <v>567</v>
      </c>
      <c r="K70" s="18" t="n">
        <v>0.40087255</v>
      </c>
      <c r="L70" s="20" t="n">
        <v>0.27216334</v>
      </c>
      <c r="M70" s="18" t="n">
        <v>0</v>
      </c>
      <c r="N70" s="20" t="n">
        <v>0</v>
      </c>
      <c r="O70" s="18" t="n">
        <v>0</v>
      </c>
      <c r="P70" s="20" t="n">
        <v>0</v>
      </c>
      <c r="Q70" s="18" t="n">
        <v>0.0879072</v>
      </c>
      <c r="R70" s="20" t="n">
        <v>0.08807445</v>
      </c>
    </row>
    <row r="71" spans="1:18">
      <c r="A71" s="15" t="s">
        <v>631</v>
      </c>
      <c r="B71" s="17" t="n">
        <v>3142</v>
      </c>
      <c r="C71" s="18">
        <f>(2465.0/B71*100)</f>
        <v/>
      </c>
      <c r="D71" s="19" t="n">
        <v>677</v>
      </c>
      <c r="E71" s="18" t="n">
        <v>31.36492685</v>
      </c>
      <c r="F71" s="20" t="n">
        <v>1.73748599</v>
      </c>
      <c r="G71" s="18" t="n">
        <v>67.98057694000001</v>
      </c>
      <c r="H71" s="20" t="n">
        <v>1.66858892</v>
      </c>
      <c r="I71" s="18" t="s">
        <v>567</v>
      </c>
      <c r="J71" s="20" t="s">
        <v>567</v>
      </c>
      <c r="K71" s="18" t="n">
        <v>0.40020121</v>
      </c>
      <c r="L71" s="20" t="n">
        <v>0.23371438</v>
      </c>
      <c r="M71" s="18" t="n">
        <v>0</v>
      </c>
      <c r="N71" s="20" t="n">
        <v>0</v>
      </c>
      <c r="O71" s="18" t="n">
        <v>0</v>
      </c>
      <c r="P71" s="20" t="n">
        <v>0</v>
      </c>
      <c r="Q71" s="18" t="n">
        <v>0.254295</v>
      </c>
      <c r="R71" s="20" t="n">
        <v>0.15652361</v>
      </c>
    </row>
    <row r="72" spans="1:18">
      <c r="A72" s="15" t="s">
        <v>632</v>
      </c>
      <c r="B72" s="17" t="n">
        <v>3889</v>
      </c>
      <c r="C72" s="18">
        <f>(3054.0/B72*100)</f>
        <v/>
      </c>
      <c r="D72" s="19" t="n">
        <v>835</v>
      </c>
      <c r="E72" s="18" t="n">
        <v>46.46231579</v>
      </c>
      <c r="F72" s="20" t="n">
        <v>2.06612232</v>
      </c>
      <c r="G72" s="18" t="n">
        <v>53.08919869</v>
      </c>
      <c r="H72" s="20" t="n">
        <v>2.09258789</v>
      </c>
      <c r="I72" s="18" t="s">
        <v>567</v>
      </c>
      <c r="J72" s="20" t="s">
        <v>567</v>
      </c>
      <c r="K72" s="18" t="n">
        <v>0.22349957</v>
      </c>
      <c r="L72" s="20" t="n">
        <v>0.17098983</v>
      </c>
      <c r="M72" s="18" t="n">
        <v>0</v>
      </c>
      <c r="N72" s="20" t="n">
        <v>0</v>
      </c>
      <c r="O72" s="18" t="n">
        <v>0</v>
      </c>
      <c r="P72" s="20" t="n">
        <v>0</v>
      </c>
      <c r="Q72" s="18" t="n">
        <v>0.22498595</v>
      </c>
      <c r="R72" s="20" t="n">
        <v>0.16290197</v>
      </c>
    </row>
    <row r="73" spans="1:18">
      <c r="A73" s="15" t="s">
        <v>633</v>
      </c>
      <c r="B73" s="17" t="n">
        <v>3597</v>
      </c>
      <c r="C73" s="18">
        <f>(2826.0/B73*100)</f>
        <v/>
      </c>
      <c r="D73" s="19" t="n">
        <v>771</v>
      </c>
      <c r="E73" s="18" t="n">
        <v>58.45633286</v>
      </c>
      <c r="F73" s="20" t="n">
        <v>2.42470826</v>
      </c>
      <c r="G73" s="18" t="n">
        <v>41.36142955</v>
      </c>
      <c r="H73" s="20" t="n">
        <v>2.46831605</v>
      </c>
      <c r="I73" s="18" t="s">
        <v>567</v>
      </c>
      <c r="J73" s="20" t="s">
        <v>567</v>
      </c>
      <c r="K73" s="18" t="n">
        <v>0.18223759</v>
      </c>
      <c r="L73" s="20" t="n">
        <v>0.13237938</v>
      </c>
      <c r="M73" s="18" t="n">
        <v>0</v>
      </c>
      <c r="N73" s="20" t="n">
        <v>0</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(1946.0/B75*100)</f>
        <v/>
      </c>
      <c r="D75" s="19" t="n">
        <v>460</v>
      </c>
      <c r="E75" s="18" t="n">
        <v>55.24003654</v>
      </c>
      <c r="F75" s="20" t="n">
        <v>2.19740159</v>
      </c>
      <c r="G75" s="18" t="n">
        <v>40.31775438</v>
      </c>
      <c r="H75" s="20" t="n">
        <v>2.24769138</v>
      </c>
      <c r="I75" s="18" t="s">
        <v>567</v>
      </c>
      <c r="J75" s="20" t="s">
        <v>567</v>
      </c>
      <c r="K75" s="18" t="n">
        <v>3.37711805</v>
      </c>
      <c r="L75" s="20" t="n">
        <v>0.8150585299999999</v>
      </c>
      <c r="M75" s="18" t="n">
        <v>0</v>
      </c>
      <c r="N75" s="20" t="n">
        <v>0</v>
      </c>
      <c r="O75" s="18" t="n">
        <v>0</v>
      </c>
      <c r="P75" s="20" t="n">
        <v>0</v>
      </c>
      <c r="Q75" s="18" t="n">
        <v>1.06509103</v>
      </c>
      <c r="R75" s="20" t="n">
        <v>0.38916856</v>
      </c>
    </row>
    <row r="76" spans="1:18">
      <c r="A76" s="15" t="s">
        <v>636</v>
      </c>
      <c r="B76" s="17" t="n">
        <v>7052</v>
      </c>
      <c r="C76" s="18">
        <f>(5492.0/B76*100)</f>
        <v/>
      </c>
      <c r="D76" s="19" t="n">
        <v>1560</v>
      </c>
      <c r="E76" s="18" t="n">
        <v>50.07777887</v>
      </c>
      <c r="F76" s="20" t="n">
        <v>1.37354813</v>
      </c>
      <c r="G76" s="18" t="n">
        <v>47.24329588</v>
      </c>
      <c r="H76" s="20" t="n">
        <v>1.27596679</v>
      </c>
      <c r="I76" s="18" t="s">
        <v>567</v>
      </c>
      <c r="J76" s="20" t="s">
        <v>567</v>
      </c>
      <c r="K76" s="18" t="n">
        <v>1.70257081</v>
      </c>
      <c r="L76" s="20" t="n">
        <v>0.3670715</v>
      </c>
      <c r="M76" s="18" t="n">
        <v>0</v>
      </c>
      <c r="N76" s="20" t="n">
        <v>0</v>
      </c>
      <c r="O76" s="18" t="n">
        <v>0</v>
      </c>
      <c r="P76" s="20" t="n">
        <v>0</v>
      </c>
      <c r="Q76" s="18" t="n">
        <v>0.97635443</v>
      </c>
      <c r="R76" s="20" t="n">
        <v>0.25177356</v>
      </c>
    </row>
    <row r="77" spans="1:18">
      <c r="A77" s="15" t="s">
        <v>637</v>
      </c>
      <c r="B77" s="17" t="n">
        <v>2908</v>
      </c>
      <c r="C77" s="18">
        <f>(2310.0/B77*100)</f>
        <v/>
      </c>
      <c r="D77" s="19" t="n">
        <v>598</v>
      </c>
      <c r="E77" s="18" t="n">
        <v>40.86332921</v>
      </c>
      <c r="F77" s="20" t="n">
        <v>2.34514399</v>
      </c>
      <c r="G77" s="18" t="n">
        <v>56.25227131</v>
      </c>
      <c r="H77" s="20" t="n">
        <v>2.20204783</v>
      </c>
      <c r="I77" s="18" t="s">
        <v>567</v>
      </c>
      <c r="J77" s="20" t="s">
        <v>567</v>
      </c>
      <c r="K77" s="18" t="n">
        <v>2.30467312</v>
      </c>
      <c r="L77" s="20" t="n">
        <v>0.59620582</v>
      </c>
      <c r="M77" s="18" t="n">
        <v>0</v>
      </c>
      <c r="N77" s="20" t="n">
        <v>0</v>
      </c>
      <c r="O77" s="18" t="n">
        <v>0</v>
      </c>
      <c r="P77" s="20" t="n">
        <v>0</v>
      </c>
      <c r="Q77" s="18" t="n">
        <v>0.57972636</v>
      </c>
      <c r="R77" s="20" t="n">
        <v>0.41822524</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(3238.0/B81*100)</f>
        <v/>
      </c>
      <c r="D81" s="19" t="n">
        <v>925</v>
      </c>
      <c r="E81" s="18" t="n">
        <v>49.74467428</v>
      </c>
      <c r="F81" s="20" t="n">
        <v>1.88477776</v>
      </c>
      <c r="G81" s="18" t="n">
        <v>49.57164876</v>
      </c>
      <c r="H81" s="20" t="n">
        <v>1.90256943</v>
      </c>
      <c r="I81" s="18" t="s">
        <v>567</v>
      </c>
      <c r="J81" s="20" t="s">
        <v>567</v>
      </c>
      <c r="K81" s="18" t="n">
        <v>0.03640367</v>
      </c>
      <c r="L81" s="20" t="n">
        <v>0.01469989</v>
      </c>
      <c r="M81" s="18" t="n">
        <v>0</v>
      </c>
      <c r="N81" s="20" t="n">
        <v>0</v>
      </c>
      <c r="O81" s="18" t="n">
        <v>0</v>
      </c>
      <c r="P81" s="20" t="n">
        <v>0</v>
      </c>
      <c r="Q81" s="18" t="n">
        <v>0.6472733000000001</v>
      </c>
      <c r="R81" s="20" t="n">
        <v>0.39954053</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(5796.0/B7*100)</f>
        <v/>
      </c>
      <c r="D7" s="19" t="n">
        <v>1571</v>
      </c>
      <c r="E7" s="18" t="n">
        <v>42.13711849</v>
      </c>
      <c r="F7" s="20" t="n">
        <v>1.41852709</v>
      </c>
      <c r="G7" s="18" t="n">
        <v>55.81212597</v>
      </c>
      <c r="H7" s="20" t="n">
        <v>1.47182462</v>
      </c>
      <c r="I7" s="18" t="s">
        <v>567</v>
      </c>
      <c r="J7" s="20" t="s">
        <v>567</v>
      </c>
      <c r="K7" s="18" t="n">
        <v>1.36438938</v>
      </c>
      <c r="L7" s="20" t="n">
        <v>0.36736489</v>
      </c>
      <c r="M7" s="18" t="n">
        <v>0</v>
      </c>
      <c r="N7" s="20" t="n">
        <v>0</v>
      </c>
      <c r="O7" s="18" t="n">
        <v>0</v>
      </c>
      <c r="P7" s="20" t="n">
        <v>0</v>
      </c>
      <c r="Q7" s="18" t="n">
        <v>0.6863661599999999</v>
      </c>
      <c r="R7" s="20" t="n">
        <v>0.23356772</v>
      </c>
    </row>
    <row r="8" spans="1:18">
      <c r="A8" s="15" t="s">
        <v>568</v>
      </c>
      <c r="B8" s="17" t="n">
        <v>3564</v>
      </c>
      <c r="C8" s="18">
        <f>(2791.0/B8*100)</f>
        <v/>
      </c>
      <c r="D8" s="19" t="n">
        <v>773</v>
      </c>
      <c r="E8" s="18" t="n">
        <v>44.64605357</v>
      </c>
      <c r="F8" s="20" t="n">
        <v>2.08069355</v>
      </c>
      <c r="G8" s="18" t="n">
        <v>53.81087193</v>
      </c>
      <c r="H8" s="20" t="n">
        <v>2.08787849</v>
      </c>
      <c r="I8" s="18" t="s">
        <v>567</v>
      </c>
      <c r="J8" s="20" t="s">
        <v>567</v>
      </c>
      <c r="K8" s="18" t="n">
        <v>0.55642982</v>
      </c>
      <c r="L8" s="20" t="n">
        <v>0.28537192</v>
      </c>
      <c r="M8" s="18" t="n">
        <v>0</v>
      </c>
      <c r="N8" s="20" t="n">
        <v>0</v>
      </c>
      <c r="O8" s="18" t="n">
        <v>0</v>
      </c>
      <c r="P8" s="20" t="n">
        <v>0</v>
      </c>
      <c r="Q8" s="18" t="n">
        <v>0.9866446800000001</v>
      </c>
      <c r="R8" s="20" t="n">
        <v>0.36716245</v>
      </c>
    </row>
    <row r="9" spans="1:18">
      <c r="A9" s="15" t="s">
        <v>569</v>
      </c>
      <c r="B9" s="17" t="n">
        <v>4899</v>
      </c>
      <c r="C9" s="18">
        <f>(3872.0/B9*100)</f>
        <v/>
      </c>
      <c r="D9" s="19" t="n">
        <v>1027</v>
      </c>
      <c r="E9" s="18" t="n">
        <v>42.05541039</v>
      </c>
      <c r="F9" s="20" t="n">
        <v>1.51902242</v>
      </c>
      <c r="G9" s="18" t="n">
        <v>55.73577074</v>
      </c>
      <c r="H9" s="20" t="n">
        <v>1.49337548</v>
      </c>
      <c r="I9" s="18" t="s">
        <v>567</v>
      </c>
      <c r="J9" s="20" t="s">
        <v>567</v>
      </c>
      <c r="K9" s="18" t="n">
        <v>1.00310896</v>
      </c>
      <c r="L9" s="20" t="n">
        <v>0.33301955</v>
      </c>
      <c r="M9" s="18" t="n">
        <v>0</v>
      </c>
      <c r="N9" s="20" t="n">
        <v>0</v>
      </c>
      <c r="O9" s="18" t="n">
        <v>0</v>
      </c>
      <c r="P9" s="20" t="n">
        <v>0</v>
      </c>
      <c r="Q9" s="18" t="n">
        <v>1.20570991</v>
      </c>
      <c r="R9" s="20" t="n">
        <v>0.38083423</v>
      </c>
    </row>
    <row r="10" spans="1:18">
      <c r="A10" s="15" t="s">
        <v>570</v>
      </c>
      <c r="B10" s="17" t="n">
        <v>10036</v>
      </c>
      <c r="C10" s="18">
        <f>(7811.0/B10*100)</f>
        <v/>
      </c>
      <c r="D10" s="19" t="n">
        <v>2225</v>
      </c>
      <c r="E10" s="18" t="n">
        <v>42.04109067</v>
      </c>
      <c r="F10" s="20" t="n">
        <v>1.72722219</v>
      </c>
      <c r="G10" s="18" t="n">
        <v>56.50382669</v>
      </c>
      <c r="H10" s="20" t="n">
        <v>1.74914706</v>
      </c>
      <c r="I10" s="18" t="s">
        <v>567</v>
      </c>
      <c r="J10" s="20" t="s">
        <v>567</v>
      </c>
      <c r="K10" s="18" t="n">
        <v>0.83497161</v>
      </c>
      <c r="L10" s="20" t="n">
        <v>0.26442578</v>
      </c>
      <c r="M10" s="18" t="n">
        <v>0</v>
      </c>
      <c r="N10" s="20" t="n">
        <v>0</v>
      </c>
      <c r="O10" s="18" t="n">
        <v>0</v>
      </c>
      <c r="P10" s="20" t="n">
        <v>0</v>
      </c>
      <c r="Q10" s="18" t="n">
        <v>0.62011103</v>
      </c>
      <c r="R10" s="20" t="n">
        <v>0.19490089</v>
      </c>
    </row>
    <row r="11" spans="1:18">
      <c r="A11" s="15" t="s">
        <v>571</v>
      </c>
      <c r="B11" s="17" t="n">
        <v>3553</v>
      </c>
      <c r="C11" s="18">
        <f>(2791.0/B11*100)</f>
        <v/>
      </c>
      <c r="D11" s="19" t="n">
        <v>762</v>
      </c>
      <c r="E11" s="18" t="n">
        <v>58.34520513</v>
      </c>
      <c r="F11" s="20" t="n">
        <v>2.40411055</v>
      </c>
      <c r="G11" s="18" t="n">
        <v>37.96296643</v>
      </c>
      <c r="H11" s="20" t="n">
        <v>2.43804</v>
      </c>
      <c r="I11" s="18" t="s">
        <v>567</v>
      </c>
      <c r="J11" s="20" t="s">
        <v>567</v>
      </c>
      <c r="K11" s="18" t="n">
        <v>1.4294765</v>
      </c>
      <c r="L11" s="20" t="n">
        <v>0.47788265</v>
      </c>
      <c r="M11" s="18" t="n">
        <v>0</v>
      </c>
      <c r="N11" s="20" t="n">
        <v>0</v>
      </c>
      <c r="O11" s="18" t="n">
        <v>0</v>
      </c>
      <c r="P11" s="20" t="n">
        <v>0</v>
      </c>
      <c r="Q11" s="18" t="n">
        <v>2.26235194</v>
      </c>
      <c r="R11" s="20" t="n">
        <v>0.66672799</v>
      </c>
    </row>
    <row r="12" spans="1:18">
      <c r="A12" s="15" t="s">
        <v>572</v>
      </c>
      <c r="B12" s="17" t="n">
        <v>3472</v>
      </c>
      <c r="C12" s="18">
        <f>(2716.0/B12*100)</f>
        <v/>
      </c>
      <c r="D12" s="19" t="n">
        <v>756</v>
      </c>
      <c r="E12" s="18" t="n">
        <v>53.5801691</v>
      </c>
      <c r="F12" s="20" t="n">
        <v>2.05786577</v>
      </c>
      <c r="G12" s="18" t="n">
        <v>45.22168921</v>
      </c>
      <c r="H12" s="20" t="n">
        <v>2.07530365</v>
      </c>
      <c r="I12" s="18" t="s">
        <v>567</v>
      </c>
      <c r="J12" s="20" t="s">
        <v>567</v>
      </c>
      <c r="K12" s="18" t="n">
        <v>0.55516422</v>
      </c>
      <c r="L12" s="20" t="n">
        <v>0.31395159</v>
      </c>
      <c r="M12" s="18" t="n">
        <v>0</v>
      </c>
      <c r="N12" s="20" t="n">
        <v>0</v>
      </c>
      <c r="O12" s="18" t="n">
        <v>0</v>
      </c>
      <c r="P12" s="20" t="n">
        <v>0</v>
      </c>
      <c r="Q12" s="18" t="n">
        <v>0.64297746</v>
      </c>
      <c r="R12" s="20" t="n">
        <v>0.28252931</v>
      </c>
    </row>
    <row r="13" spans="1:18">
      <c r="A13" s="15" t="s">
        <v>573</v>
      </c>
      <c r="B13" s="17" t="n">
        <v>3559</v>
      </c>
      <c r="C13" s="18">
        <f>(2807.0/B13*100)</f>
        <v/>
      </c>
      <c r="D13" s="19" t="n">
        <v>752</v>
      </c>
      <c r="E13" s="18" t="n">
        <v>52.25261591</v>
      </c>
      <c r="F13" s="20" t="n">
        <v>2.05231089</v>
      </c>
      <c r="G13" s="18" t="n">
        <v>45.66352496</v>
      </c>
      <c r="H13" s="20" t="n">
        <v>2.18001194</v>
      </c>
      <c r="I13" s="18" t="s">
        <v>567</v>
      </c>
      <c r="J13" s="20" t="s">
        <v>567</v>
      </c>
      <c r="K13" s="18" t="n">
        <v>1.79562403</v>
      </c>
      <c r="L13" s="20" t="n">
        <v>0.48680319</v>
      </c>
      <c r="M13" s="18" t="n">
        <v>0</v>
      </c>
      <c r="N13" s="20" t="n">
        <v>0</v>
      </c>
      <c r="O13" s="18" t="n">
        <v>0</v>
      </c>
      <c r="P13" s="20" t="n">
        <v>0</v>
      </c>
      <c r="Q13" s="18" t="n">
        <v>0.2882351</v>
      </c>
      <c r="R13" s="20" t="n">
        <v>0.15550619</v>
      </c>
    </row>
    <row r="14" spans="1:18">
      <c r="A14" s="15" t="s">
        <v>574</v>
      </c>
      <c r="B14" s="17" t="n">
        <v>2799</v>
      </c>
      <c r="C14" s="18">
        <f>(2176.0/B14*100)</f>
        <v/>
      </c>
      <c r="D14" s="19" t="n">
        <v>623</v>
      </c>
      <c r="E14" s="18" t="n">
        <v>34.19630587</v>
      </c>
      <c r="F14" s="20" t="n">
        <v>2.08941859</v>
      </c>
      <c r="G14" s="18" t="n">
        <v>65.09892986</v>
      </c>
      <c r="H14" s="20" t="n">
        <v>2.06050465</v>
      </c>
      <c r="I14" s="18" t="s">
        <v>567</v>
      </c>
      <c r="J14" s="20" t="s">
        <v>567</v>
      </c>
      <c r="K14" s="18" t="n">
        <v>0.42827307</v>
      </c>
      <c r="L14" s="20" t="n">
        <v>0.25169012</v>
      </c>
      <c r="M14" s="18" t="n">
        <v>0</v>
      </c>
      <c r="N14" s="20" t="n">
        <v>0</v>
      </c>
      <c r="O14" s="18" t="n">
        <v>0</v>
      </c>
      <c r="P14" s="20" t="n">
        <v>0</v>
      </c>
      <c r="Q14" s="18" t="n">
        <v>0.2764912</v>
      </c>
      <c r="R14" s="20" t="n">
        <v>0.19514988</v>
      </c>
    </row>
    <row r="15" spans="1:18">
      <c r="A15" s="15" t="s">
        <v>575</v>
      </c>
      <c r="B15" s="17" t="n">
        <v>3019</v>
      </c>
      <c r="C15" s="18">
        <f>(2302.0/B15*100)</f>
        <v/>
      </c>
      <c r="D15" s="19" t="n">
        <v>717</v>
      </c>
      <c r="E15" s="18" t="n">
        <v>32.60374924</v>
      </c>
      <c r="F15" s="20" t="n">
        <v>1.74145165</v>
      </c>
      <c r="G15" s="18" t="n">
        <v>66.48140155</v>
      </c>
      <c r="H15" s="20" t="n">
        <v>1.74942293</v>
      </c>
      <c r="I15" s="18" t="s">
        <v>567</v>
      </c>
      <c r="J15" s="20" t="s">
        <v>567</v>
      </c>
      <c r="K15" s="18" t="n">
        <v>0.21577112</v>
      </c>
      <c r="L15" s="20" t="n">
        <v>0.18250874</v>
      </c>
      <c r="M15" s="18" t="n">
        <v>0</v>
      </c>
      <c r="N15" s="20" t="n">
        <v>0</v>
      </c>
      <c r="O15" s="18" t="n">
        <v>0</v>
      </c>
      <c r="P15" s="20" t="n">
        <v>0</v>
      </c>
      <c r="Q15" s="18" t="n">
        <v>0.69907808</v>
      </c>
      <c r="R15" s="20" t="n">
        <v>0.30443825</v>
      </c>
    </row>
    <row r="16" spans="1:18">
      <c r="A16" s="15" t="s">
        <v>576</v>
      </c>
      <c r="B16" s="17" t="n">
        <v>2997</v>
      </c>
      <c r="C16" s="18">
        <f>(2332.0/B16*100)</f>
        <v/>
      </c>
      <c r="D16" s="19" t="n">
        <v>665</v>
      </c>
      <c r="E16" s="18" t="n">
        <v>43.40905433</v>
      </c>
      <c r="F16" s="20" t="n">
        <v>1.99711614</v>
      </c>
      <c r="G16" s="18" t="n">
        <v>51.21537594</v>
      </c>
      <c r="H16" s="20" t="n">
        <v>2.03511816</v>
      </c>
      <c r="I16" s="18" t="s">
        <v>567</v>
      </c>
      <c r="J16" s="20" t="s">
        <v>567</v>
      </c>
      <c r="K16" s="18" t="n">
        <v>2.72228179</v>
      </c>
      <c r="L16" s="20" t="n">
        <v>0.67352646</v>
      </c>
      <c r="M16" s="18" t="n">
        <v>0</v>
      </c>
      <c r="N16" s="20" t="n">
        <v>0</v>
      </c>
      <c r="O16" s="18" t="n">
        <v>0</v>
      </c>
      <c r="P16" s="20" t="n">
        <v>0</v>
      </c>
      <c r="Q16" s="18" t="n">
        <v>2.65328793</v>
      </c>
      <c r="R16" s="20" t="n">
        <v>0.6015438400000001</v>
      </c>
    </row>
    <row r="17" spans="1:18">
      <c r="A17" s="15" t="s">
        <v>577</v>
      </c>
      <c r="B17" s="17" t="n">
        <v>3307</v>
      </c>
      <c r="C17" s="18">
        <f>(2591.0/B17*100)</f>
        <v/>
      </c>
      <c r="D17" s="19" t="n">
        <v>716</v>
      </c>
      <c r="E17" s="18" t="n">
        <v>44.50213997</v>
      </c>
      <c r="F17" s="20" t="n">
        <v>2.00585214</v>
      </c>
      <c r="G17" s="18" t="n">
        <v>53.55348039</v>
      </c>
      <c r="H17" s="20" t="n">
        <v>1.99812048</v>
      </c>
      <c r="I17" s="18" t="s">
        <v>567</v>
      </c>
      <c r="J17" s="20" t="s">
        <v>567</v>
      </c>
      <c r="K17" s="18" t="n">
        <v>1.46697189</v>
      </c>
      <c r="L17" s="20" t="n">
        <v>0.5014423099999999</v>
      </c>
      <c r="M17" s="18" t="n">
        <v>0</v>
      </c>
      <c r="N17" s="20" t="n">
        <v>0</v>
      </c>
      <c r="O17" s="18" t="n">
        <v>0</v>
      </c>
      <c r="P17" s="20" t="n">
        <v>0</v>
      </c>
      <c r="Q17" s="18" t="n">
        <v>0.47740776</v>
      </c>
      <c r="R17" s="20" t="n">
        <v>0.23635935</v>
      </c>
    </row>
    <row r="18" spans="1:18">
      <c r="A18" s="15" t="s">
        <v>578</v>
      </c>
      <c r="B18" s="17" t="n">
        <v>2826</v>
      </c>
      <c r="C18" s="18">
        <f>(2219.0/B18*100)</f>
        <v/>
      </c>
      <c r="D18" s="19" t="n">
        <v>607</v>
      </c>
      <c r="E18" s="18" t="n">
        <v>47.08768065</v>
      </c>
      <c r="F18" s="20" t="n">
        <v>2.00525021</v>
      </c>
      <c r="G18" s="18" t="n">
        <v>49.63448823</v>
      </c>
      <c r="H18" s="20" t="n">
        <v>2.10866195</v>
      </c>
      <c r="I18" s="18" t="s">
        <v>567</v>
      </c>
      <c r="J18" s="20" t="s">
        <v>567</v>
      </c>
      <c r="K18" s="18" t="n">
        <v>1.1646559</v>
      </c>
      <c r="L18" s="20" t="n">
        <v>0.46118508</v>
      </c>
      <c r="M18" s="18" t="n">
        <v>0</v>
      </c>
      <c r="N18" s="20" t="n">
        <v>0</v>
      </c>
      <c r="O18" s="18" t="n">
        <v>0</v>
      </c>
      <c r="P18" s="20" t="n">
        <v>0</v>
      </c>
      <c r="Q18" s="18" t="n">
        <v>2.11317522</v>
      </c>
      <c r="R18" s="20" t="n">
        <v>0.77485231</v>
      </c>
    </row>
    <row r="19" spans="1:18">
      <c r="A19" s="15" t="s">
        <v>579</v>
      </c>
      <c r="B19" s="17" t="n">
        <v>2808</v>
      </c>
      <c r="C19" s="18">
        <f>(2196.0/B19*100)</f>
        <v/>
      </c>
      <c r="D19" s="19" t="n">
        <v>612</v>
      </c>
      <c r="E19" s="18" t="n">
        <v>55.44307016</v>
      </c>
      <c r="F19" s="20" t="n">
        <v>1.99712088</v>
      </c>
      <c r="G19" s="18" t="n">
        <v>43.54656316</v>
      </c>
      <c r="H19" s="20" t="n">
        <v>2.14887845</v>
      </c>
      <c r="I19" s="18" t="s">
        <v>567</v>
      </c>
      <c r="J19" s="20" t="s">
        <v>567</v>
      </c>
      <c r="K19" s="18" t="n">
        <v>0.525259</v>
      </c>
      <c r="L19" s="20" t="n">
        <v>0.38025962</v>
      </c>
      <c r="M19" s="18" t="n">
        <v>0</v>
      </c>
      <c r="N19" s="20" t="n">
        <v>0</v>
      </c>
      <c r="O19" s="18" t="n">
        <v>0</v>
      </c>
      <c r="P19" s="20" t="n">
        <v>0</v>
      </c>
      <c r="Q19" s="18" t="n">
        <v>0.48510767</v>
      </c>
      <c r="R19" s="20" t="n">
        <v>0.29356077</v>
      </c>
    </row>
    <row r="20" spans="1:18">
      <c r="A20" s="15" t="s">
        <v>580</v>
      </c>
      <c r="B20" s="17" t="n">
        <v>1630</v>
      </c>
      <c r="C20" s="18">
        <f>(1275.0/B20*100)</f>
        <v/>
      </c>
      <c r="D20" s="19" t="n">
        <v>355</v>
      </c>
      <c r="E20" s="18" t="n">
        <v>55.44751871</v>
      </c>
      <c r="F20" s="20" t="n">
        <v>2.74690816</v>
      </c>
      <c r="G20" s="18" t="n">
        <v>42.01152158</v>
      </c>
      <c r="H20" s="20" t="n">
        <v>2.83385239</v>
      </c>
      <c r="I20" s="18" t="s">
        <v>567</v>
      </c>
      <c r="J20" s="20" t="s">
        <v>567</v>
      </c>
      <c r="K20" s="18" t="n">
        <v>1.98179769</v>
      </c>
      <c r="L20" s="20" t="n">
        <v>0.73484825</v>
      </c>
      <c r="M20" s="18" t="n">
        <v>0</v>
      </c>
      <c r="N20" s="20" t="n">
        <v>0</v>
      </c>
      <c r="O20" s="18" t="n">
        <v>0</v>
      </c>
      <c r="P20" s="20" t="n">
        <v>0</v>
      </c>
      <c r="Q20" s="18" t="n">
        <v>0.55916202</v>
      </c>
      <c r="R20" s="20" t="n">
        <v>0.39922356</v>
      </c>
    </row>
    <row r="21" spans="1:18">
      <c r="A21" s="15" t="s">
        <v>581</v>
      </c>
      <c r="B21" s="17" t="n">
        <v>2908</v>
      </c>
      <c r="C21" s="18">
        <f>(2257.0/B21*100)</f>
        <v/>
      </c>
      <c r="D21" s="19" t="n">
        <v>651</v>
      </c>
      <c r="E21" s="18" t="n">
        <v>40.36084394</v>
      </c>
      <c r="F21" s="20" t="n">
        <v>2.13217617</v>
      </c>
      <c r="G21" s="18" t="n">
        <v>56.97513146</v>
      </c>
      <c r="H21" s="20" t="n">
        <v>2.18107331</v>
      </c>
      <c r="I21" s="18" t="s">
        <v>567</v>
      </c>
      <c r="J21" s="20" t="s">
        <v>567</v>
      </c>
      <c r="K21" s="18" t="n">
        <v>1.50166875</v>
      </c>
      <c r="L21" s="20" t="n">
        <v>0.46237227</v>
      </c>
      <c r="M21" s="18" t="n">
        <v>0</v>
      </c>
      <c r="N21" s="20" t="n">
        <v>0</v>
      </c>
      <c r="O21" s="18" t="n">
        <v>0</v>
      </c>
      <c r="P21" s="20" t="n">
        <v>0</v>
      </c>
      <c r="Q21" s="18" t="n">
        <v>1.16235585</v>
      </c>
      <c r="R21" s="20" t="n">
        <v>0.60340542</v>
      </c>
    </row>
    <row r="22" spans="1:18">
      <c r="A22" s="15" t="s">
        <v>582</v>
      </c>
      <c r="B22" s="17" t="n">
        <v>2931</v>
      </c>
      <c r="C22" s="18">
        <f>(2354.0/B22*100)</f>
        <v/>
      </c>
      <c r="D22" s="19" t="n">
        <v>577</v>
      </c>
      <c r="E22" s="18" t="n">
        <v>46.56044277</v>
      </c>
      <c r="F22" s="20" t="n">
        <v>1.78518366</v>
      </c>
      <c r="G22" s="18" t="n">
        <v>50.60630065</v>
      </c>
      <c r="H22" s="20" t="n">
        <v>2.14797829</v>
      </c>
      <c r="I22" s="18" t="s">
        <v>567</v>
      </c>
      <c r="J22" s="20" t="s">
        <v>567</v>
      </c>
      <c r="K22" s="18" t="n">
        <v>2.08530875</v>
      </c>
      <c r="L22" s="20" t="n">
        <v>0.81560545</v>
      </c>
      <c r="M22" s="18" t="n">
        <v>0</v>
      </c>
      <c r="N22" s="20" t="n">
        <v>0</v>
      </c>
      <c r="O22" s="18" t="n">
        <v>0</v>
      </c>
      <c r="P22" s="20" t="n">
        <v>0</v>
      </c>
      <c r="Q22" s="18" t="n">
        <v>0.74794783</v>
      </c>
      <c r="R22" s="20" t="n">
        <v>0.37751066</v>
      </c>
    </row>
    <row r="23" spans="1:18">
      <c r="A23" s="15" t="s">
        <v>583</v>
      </c>
      <c r="B23" s="17" t="n">
        <v>5791</v>
      </c>
      <c r="C23" s="18">
        <f>(4550.0/B23*100)</f>
        <v/>
      </c>
      <c r="D23" s="19" t="n">
        <v>1241</v>
      </c>
      <c r="E23" s="18" t="n">
        <v>45.15001089</v>
      </c>
      <c r="F23" s="20" t="n">
        <v>1.99759824</v>
      </c>
      <c r="G23" s="18" t="n">
        <v>51.9449126</v>
      </c>
      <c r="H23" s="20" t="n">
        <v>2.07478348</v>
      </c>
      <c r="I23" s="18" t="s">
        <v>567</v>
      </c>
      <c r="J23" s="20" t="s">
        <v>567</v>
      </c>
      <c r="K23" s="18" t="n">
        <v>1.76794984</v>
      </c>
      <c r="L23" s="20" t="n">
        <v>0.53781046</v>
      </c>
      <c r="M23" s="18" t="n">
        <v>0</v>
      </c>
      <c r="N23" s="20" t="n">
        <v>0</v>
      </c>
      <c r="O23" s="18" t="n">
        <v>0</v>
      </c>
      <c r="P23" s="20" t="n">
        <v>0</v>
      </c>
      <c r="Q23" s="18" t="n">
        <v>1.13712668</v>
      </c>
      <c r="R23" s="20" t="n">
        <v>0.42736345</v>
      </c>
    </row>
    <row r="24" spans="1:18">
      <c r="A24" s="15" t="s">
        <v>584</v>
      </c>
      <c r="B24" s="17" t="n">
        <v>3338</v>
      </c>
      <c r="C24" s="18">
        <f>(2611.0/B24*100)</f>
        <v/>
      </c>
      <c r="D24" s="19" t="n">
        <v>727</v>
      </c>
      <c r="E24" s="18" t="n">
        <v>36.56139265</v>
      </c>
      <c r="F24" s="20" t="n">
        <v>1.78688816</v>
      </c>
      <c r="G24" s="18" t="n">
        <v>61.78508922</v>
      </c>
      <c r="H24" s="20" t="n">
        <v>1.83916358</v>
      </c>
      <c r="I24" s="18" t="s">
        <v>567</v>
      </c>
      <c r="J24" s="20" t="s">
        <v>567</v>
      </c>
      <c r="K24" s="18" t="n">
        <v>0.90454682</v>
      </c>
      <c r="L24" s="20" t="n">
        <v>0.3505507</v>
      </c>
      <c r="M24" s="18" t="n">
        <v>0</v>
      </c>
      <c r="N24" s="20" t="n">
        <v>0</v>
      </c>
      <c r="O24" s="18" t="n">
        <v>0</v>
      </c>
      <c r="P24" s="20" t="n">
        <v>0</v>
      </c>
      <c r="Q24" s="18" t="n">
        <v>0.7489713099999999</v>
      </c>
      <c r="R24" s="20" t="n">
        <v>0.23974635</v>
      </c>
    </row>
    <row r="25" spans="1:18">
      <c r="A25" s="15" t="s">
        <v>585</v>
      </c>
      <c r="B25" s="17" t="n">
        <v>2912</v>
      </c>
      <c r="C25" s="18">
        <f>(2275.0/B25*100)</f>
        <v/>
      </c>
      <c r="D25" s="19" t="n">
        <v>637</v>
      </c>
      <c r="E25" s="18" t="n">
        <v>47.85273992</v>
      </c>
      <c r="F25" s="20" t="n">
        <v>2.31484524</v>
      </c>
      <c r="G25" s="18" t="n">
        <v>51.55771254</v>
      </c>
      <c r="H25" s="20" t="n">
        <v>2.30555418</v>
      </c>
      <c r="I25" s="18" t="s">
        <v>567</v>
      </c>
      <c r="J25" s="20" t="s">
        <v>567</v>
      </c>
      <c r="K25" s="18" t="n">
        <v>0.13246293</v>
      </c>
      <c r="L25" s="20" t="n">
        <v>0.1344598</v>
      </c>
      <c r="M25" s="18" t="n">
        <v>0</v>
      </c>
      <c r="N25" s="20" t="n">
        <v>0</v>
      </c>
      <c r="O25" s="18" t="n">
        <v>0</v>
      </c>
      <c r="P25" s="20" t="n">
        <v>0</v>
      </c>
      <c r="Q25" s="18" t="n">
        <v>0.4570846</v>
      </c>
      <c r="R25" s="20" t="n">
        <v>0.26594048</v>
      </c>
    </row>
    <row r="26" spans="1:18">
      <c r="A26" s="15" t="s">
        <v>586</v>
      </c>
      <c r="B26" s="17" t="n">
        <v>2450</v>
      </c>
      <c r="C26" s="18">
        <f>(1911.0/B26*100)</f>
        <v/>
      </c>
      <c r="D26" s="19" t="n">
        <v>539</v>
      </c>
      <c r="E26" s="18" t="n">
        <v>48.05174049</v>
      </c>
      <c r="F26" s="20" t="n">
        <v>2.18747307</v>
      </c>
      <c r="G26" s="18" t="n">
        <v>51.35613311</v>
      </c>
      <c r="H26" s="20" t="n">
        <v>2.15849395</v>
      </c>
      <c r="I26" s="18" t="s">
        <v>567</v>
      </c>
      <c r="J26" s="20" t="s">
        <v>567</v>
      </c>
      <c r="K26" s="18" t="n">
        <v>0.13786565</v>
      </c>
      <c r="L26" s="20" t="n">
        <v>0.13858023</v>
      </c>
      <c r="M26" s="18" t="n">
        <v>0</v>
      </c>
      <c r="N26" s="20" t="n">
        <v>0</v>
      </c>
      <c r="O26" s="18" t="n">
        <v>0</v>
      </c>
      <c r="P26" s="20" t="n">
        <v>0</v>
      </c>
      <c r="Q26" s="18" t="n">
        <v>0.45426075</v>
      </c>
      <c r="R26" s="20" t="n">
        <v>0.2570669</v>
      </c>
    </row>
    <row r="27" spans="1:18">
      <c r="A27" s="15" t="s">
        <v>587</v>
      </c>
      <c r="B27" s="17" t="n">
        <v>2616</v>
      </c>
      <c r="C27" s="18">
        <f>(2052.0/B27*100)</f>
        <v/>
      </c>
      <c r="D27" s="19" t="n">
        <v>564</v>
      </c>
      <c r="E27" s="18" t="n">
        <v>52.51697912</v>
      </c>
      <c r="F27" s="20" t="n">
        <v>2.19259603</v>
      </c>
      <c r="G27" s="18" t="n">
        <v>44.57943201</v>
      </c>
      <c r="H27" s="20" t="n">
        <v>2.17437821</v>
      </c>
      <c r="I27" s="18" t="s">
        <v>567</v>
      </c>
      <c r="J27" s="20" t="s">
        <v>567</v>
      </c>
      <c r="K27" s="18" t="n">
        <v>0.90329665</v>
      </c>
      <c r="L27" s="20" t="n">
        <v>0.39631326</v>
      </c>
      <c r="M27" s="18" t="n">
        <v>0</v>
      </c>
      <c r="N27" s="20" t="n">
        <v>0</v>
      </c>
      <c r="O27" s="18" t="n">
        <v>0</v>
      </c>
      <c r="P27" s="20" t="n">
        <v>0</v>
      </c>
      <c r="Q27" s="18" t="n">
        <v>2.00029223</v>
      </c>
      <c r="R27" s="20" t="n">
        <v>0.51763045</v>
      </c>
    </row>
    <row r="28" spans="1:18">
      <c r="A28" s="15" t="s">
        <v>588</v>
      </c>
      <c r="B28" s="17" t="n">
        <v>3765</v>
      </c>
      <c r="C28" s="18">
        <f>(3071.0/B28*100)</f>
        <v/>
      </c>
      <c r="D28" s="19" t="n">
        <v>694</v>
      </c>
      <c r="E28" s="18" t="n">
        <v>70.21700137000001</v>
      </c>
      <c r="F28" s="20" t="n">
        <v>1.82634609</v>
      </c>
      <c r="G28" s="18" t="n">
        <v>27.31462507</v>
      </c>
      <c r="H28" s="20" t="n">
        <v>1.76346144</v>
      </c>
      <c r="I28" s="18" t="s">
        <v>567</v>
      </c>
      <c r="J28" s="20" t="s">
        <v>567</v>
      </c>
      <c r="K28" s="18" t="n">
        <v>0.8979608</v>
      </c>
      <c r="L28" s="20" t="n">
        <v>0.38874425</v>
      </c>
      <c r="M28" s="18" t="n">
        <v>0</v>
      </c>
      <c r="N28" s="20" t="n">
        <v>0</v>
      </c>
      <c r="O28" s="18" t="n">
        <v>0</v>
      </c>
      <c r="P28" s="20" t="n">
        <v>0</v>
      </c>
      <c r="Q28" s="18" t="n">
        <v>1.57041276</v>
      </c>
      <c r="R28" s="20" t="n">
        <v>0.57076285</v>
      </c>
    </row>
    <row r="29" spans="1:18">
      <c r="A29" s="15" t="s">
        <v>589</v>
      </c>
      <c r="B29" s="17" t="n">
        <v>2685</v>
      </c>
      <c r="C29" s="18">
        <f>(2100.0/B29*100)</f>
        <v/>
      </c>
      <c r="D29" s="19" t="n">
        <v>585</v>
      </c>
      <c r="E29" s="18" t="n">
        <v>48.58035585</v>
      </c>
      <c r="F29" s="20" t="n">
        <v>2.17089261</v>
      </c>
      <c r="G29" s="18" t="n">
        <v>50.63351645</v>
      </c>
      <c r="H29" s="20" t="n">
        <v>2.25307073</v>
      </c>
      <c r="I29" s="18" t="s">
        <v>567</v>
      </c>
      <c r="J29" s="20" t="s">
        <v>567</v>
      </c>
      <c r="K29" s="18" t="n">
        <v>0.52739634</v>
      </c>
      <c r="L29" s="20" t="n">
        <v>0.28832732</v>
      </c>
      <c r="M29" s="18" t="n">
        <v>0</v>
      </c>
      <c r="N29" s="20" t="n">
        <v>0</v>
      </c>
      <c r="O29" s="18" t="n">
        <v>0</v>
      </c>
      <c r="P29" s="20" t="n">
        <v>0</v>
      </c>
      <c r="Q29" s="18" t="n">
        <v>0.25873136</v>
      </c>
      <c r="R29" s="20" t="n">
        <v>0.21585046</v>
      </c>
    </row>
    <row r="30" spans="1:18">
      <c r="A30" s="15" t="s">
        <v>590</v>
      </c>
      <c r="B30" s="17" t="n">
        <v>2263</v>
      </c>
      <c r="C30" s="18">
        <f>(1792.0/B30*100)</f>
        <v/>
      </c>
      <c r="D30" s="19" t="n">
        <v>471</v>
      </c>
      <c r="E30" s="18" t="n">
        <v>42.41795031</v>
      </c>
      <c r="F30" s="20" t="n">
        <v>2.20343774</v>
      </c>
      <c r="G30" s="18" t="n">
        <v>55.83325376</v>
      </c>
      <c r="H30" s="20" t="n">
        <v>2.10346872</v>
      </c>
      <c r="I30" s="18" t="s">
        <v>567</v>
      </c>
      <c r="J30" s="20" t="s">
        <v>567</v>
      </c>
      <c r="K30" s="18" t="n">
        <v>0.69358423</v>
      </c>
      <c r="L30" s="20" t="n">
        <v>0.38876712</v>
      </c>
      <c r="M30" s="18" t="n">
        <v>0</v>
      </c>
      <c r="N30" s="20" t="n">
        <v>0</v>
      </c>
      <c r="O30" s="18" t="n">
        <v>0</v>
      </c>
      <c r="P30" s="20" t="n">
        <v>0</v>
      </c>
      <c r="Q30" s="18" t="n">
        <v>1.05521171</v>
      </c>
      <c r="R30" s="20" t="n">
        <v>0.45913954</v>
      </c>
    </row>
    <row r="31" spans="1:18">
      <c r="A31" s="15" t="s">
        <v>591</v>
      </c>
      <c r="B31" s="17" t="n">
        <v>2750</v>
      </c>
      <c r="C31" s="18">
        <f>(2186.0/B31*100)</f>
        <v/>
      </c>
      <c r="D31" s="19" t="n">
        <v>564</v>
      </c>
      <c r="E31" s="18" t="n">
        <v>47.80920575</v>
      </c>
      <c r="F31" s="20" t="n">
        <v>2.26257889</v>
      </c>
      <c r="G31" s="18" t="n">
        <v>50.83239589</v>
      </c>
      <c r="H31" s="20" t="n">
        <v>2.19660809</v>
      </c>
      <c r="I31" s="18" t="s">
        <v>567</v>
      </c>
      <c r="J31" s="20" t="s">
        <v>567</v>
      </c>
      <c r="K31" s="18" t="n">
        <v>0.96938446</v>
      </c>
      <c r="L31" s="20" t="n">
        <v>0.39235356</v>
      </c>
      <c r="M31" s="18" t="n">
        <v>0</v>
      </c>
      <c r="N31" s="20" t="n">
        <v>0</v>
      </c>
      <c r="O31" s="18" t="n">
        <v>0</v>
      </c>
      <c r="P31" s="20" t="n">
        <v>0</v>
      </c>
      <c r="Q31" s="18" t="n">
        <v>0.3890139</v>
      </c>
      <c r="R31" s="20" t="n">
        <v>0.23309136</v>
      </c>
    </row>
    <row r="32" spans="1:18">
      <c r="A32" s="15" t="s">
        <v>592</v>
      </c>
      <c r="B32" s="17" t="n">
        <v>2269</v>
      </c>
      <c r="C32" s="18">
        <f>(1811.0/B32*100)</f>
        <v/>
      </c>
      <c r="D32" s="19" t="n">
        <v>458</v>
      </c>
      <c r="E32" s="18" t="n">
        <v>43.4525091</v>
      </c>
      <c r="F32" s="20" t="n">
        <v>2.04396229</v>
      </c>
      <c r="G32" s="18" t="n">
        <v>55.96082474</v>
      </c>
      <c r="H32" s="20" t="n">
        <v>2.12788238</v>
      </c>
      <c r="I32" s="18" t="s">
        <v>567</v>
      </c>
      <c r="J32" s="20" t="s">
        <v>567</v>
      </c>
      <c r="K32" s="18" t="n">
        <v>0.40008469</v>
      </c>
      <c r="L32" s="20" t="n">
        <v>0.2948792</v>
      </c>
      <c r="M32" s="18" t="n">
        <v>0</v>
      </c>
      <c r="N32" s="20" t="n">
        <v>0</v>
      </c>
      <c r="O32" s="18" t="n">
        <v>0</v>
      </c>
      <c r="P32" s="20" t="n">
        <v>0</v>
      </c>
      <c r="Q32" s="18" t="n">
        <v>0.18658147</v>
      </c>
      <c r="R32" s="20" t="n">
        <v>0.18541123</v>
      </c>
    </row>
    <row r="33" spans="1:18">
      <c r="A33" s="15" t="s">
        <v>593</v>
      </c>
      <c r="B33" s="17" t="n">
        <v>3674</v>
      </c>
      <c r="C33" s="18">
        <f>(2901.0/B33*100)</f>
        <v/>
      </c>
      <c r="D33" s="19" t="n">
        <v>773</v>
      </c>
      <c r="E33" s="18" t="n">
        <v>56.86170304</v>
      </c>
      <c r="F33" s="20" t="n">
        <v>2.50147839</v>
      </c>
      <c r="G33" s="18" t="n">
        <v>42.19784187</v>
      </c>
      <c r="H33" s="20" t="n">
        <v>2.50261896</v>
      </c>
      <c r="I33" s="18" t="s">
        <v>567</v>
      </c>
      <c r="J33" s="20" t="s">
        <v>567</v>
      </c>
      <c r="K33" s="18" t="n">
        <v>0.16167612</v>
      </c>
      <c r="L33" s="20" t="n">
        <v>0.13687107</v>
      </c>
      <c r="M33" s="18" t="n">
        <v>0</v>
      </c>
      <c r="N33" s="20" t="n">
        <v>0</v>
      </c>
      <c r="O33" s="18" t="n">
        <v>0</v>
      </c>
      <c r="P33" s="20" t="n">
        <v>0</v>
      </c>
      <c r="Q33" s="18" t="n">
        <v>0.77877897</v>
      </c>
      <c r="R33" s="20" t="n">
        <v>0.39419623</v>
      </c>
    </row>
    <row r="34" spans="1:18">
      <c r="A34" s="15" t="s">
        <v>594</v>
      </c>
      <c r="B34" s="17" t="n">
        <v>3315</v>
      </c>
      <c r="C34" s="18">
        <f>(2613.0/B34*100)</f>
        <v/>
      </c>
      <c r="D34" s="19" t="n">
        <v>702</v>
      </c>
      <c r="E34" s="18" t="n">
        <v>56.37670392</v>
      </c>
      <c r="F34" s="20" t="n">
        <v>1.92126239</v>
      </c>
      <c r="G34" s="18" t="n">
        <v>41.6767573</v>
      </c>
      <c r="H34" s="20" t="n">
        <v>1.99449593</v>
      </c>
      <c r="I34" s="18" t="s">
        <v>567</v>
      </c>
      <c r="J34" s="20" t="s">
        <v>567</v>
      </c>
      <c r="K34" s="18" t="n">
        <v>0.41523031</v>
      </c>
      <c r="L34" s="20" t="n">
        <v>0.33363531</v>
      </c>
      <c r="M34" s="18" t="n">
        <v>0</v>
      </c>
      <c r="N34" s="20" t="n">
        <v>0</v>
      </c>
      <c r="O34" s="18" t="n">
        <v>0</v>
      </c>
      <c r="P34" s="20" t="n">
        <v>0</v>
      </c>
      <c r="Q34" s="18" t="n">
        <v>1.53130847</v>
      </c>
      <c r="R34" s="20" t="n">
        <v>0.40623948</v>
      </c>
    </row>
    <row r="35" spans="1:18">
      <c r="A35" s="15" t="s">
        <v>595</v>
      </c>
      <c r="B35" s="17" t="n">
        <v>3505</v>
      </c>
      <c r="C35" s="18">
        <f>(2716.0/B35*100)</f>
        <v/>
      </c>
      <c r="D35" s="19" t="n">
        <v>789</v>
      </c>
      <c r="E35" s="18" t="n">
        <v>44.99438472</v>
      </c>
      <c r="F35" s="20" t="n">
        <v>2.41877525</v>
      </c>
      <c r="G35" s="18" t="n">
        <v>53.81256674</v>
      </c>
      <c r="H35" s="20" t="n">
        <v>2.50264165</v>
      </c>
      <c r="I35" s="18" t="s">
        <v>567</v>
      </c>
      <c r="J35" s="20" t="s">
        <v>567</v>
      </c>
      <c r="K35" s="18" t="n">
        <v>0.31490162</v>
      </c>
      <c r="L35" s="20" t="n">
        <v>0.21404364</v>
      </c>
      <c r="M35" s="18" t="n">
        <v>0</v>
      </c>
      <c r="N35" s="20" t="n">
        <v>0</v>
      </c>
      <c r="O35" s="18" t="n">
        <v>0</v>
      </c>
      <c r="P35" s="20" t="n">
        <v>0</v>
      </c>
      <c r="Q35" s="18" t="n">
        <v>0.8781469200000001</v>
      </c>
      <c r="R35" s="20" t="n">
        <v>0.32374336</v>
      </c>
    </row>
    <row r="36" spans="1:18">
      <c r="A36" s="15" t="s">
        <v>596</v>
      </c>
      <c r="B36" s="17" t="n">
        <v>3332</v>
      </c>
      <c r="C36" s="18">
        <f>(2633.0/B36*100)</f>
        <v/>
      </c>
      <c r="D36" s="19" t="n">
        <v>699</v>
      </c>
      <c r="E36" s="18" t="n">
        <v>53.44029947</v>
      </c>
      <c r="F36" s="20" t="n">
        <v>1.78973302</v>
      </c>
      <c r="G36" s="18" t="n">
        <v>45.17652732</v>
      </c>
      <c r="H36" s="20" t="n">
        <v>1.76554468</v>
      </c>
      <c r="I36" s="18" t="s">
        <v>567</v>
      </c>
      <c r="J36" s="20" t="s">
        <v>567</v>
      </c>
      <c r="K36" s="18" t="n">
        <v>0.90201442</v>
      </c>
      <c r="L36" s="20" t="n">
        <v>0.33256981</v>
      </c>
      <c r="M36" s="18" t="n">
        <v>0</v>
      </c>
      <c r="N36" s="20" t="n">
        <v>0</v>
      </c>
      <c r="O36" s="18" t="n">
        <v>0</v>
      </c>
      <c r="P36" s="20" t="n">
        <v>0</v>
      </c>
      <c r="Q36" s="18" t="n">
        <v>0.48115879</v>
      </c>
      <c r="R36" s="20" t="n">
        <v>0.26724229</v>
      </c>
    </row>
    <row r="37" spans="1:18">
      <c r="A37" s="15" t="s">
        <v>597</v>
      </c>
      <c r="B37" s="17" t="n">
        <v>2727</v>
      </c>
      <c r="C37" s="18">
        <f>(2142.0/B37*100)</f>
        <v/>
      </c>
      <c r="D37" s="19" t="n">
        <v>585</v>
      </c>
      <c r="E37" s="18" t="n">
        <v>48.97967248</v>
      </c>
      <c r="F37" s="20" t="n">
        <v>2.38030141</v>
      </c>
      <c r="G37" s="18" t="n">
        <v>47.2381932</v>
      </c>
      <c r="H37" s="20" t="n">
        <v>2.53437859</v>
      </c>
      <c r="I37" s="18" t="s">
        <v>567</v>
      </c>
      <c r="J37" s="20" t="s">
        <v>567</v>
      </c>
      <c r="K37" s="18" t="n">
        <v>2.61940987</v>
      </c>
      <c r="L37" s="20" t="n">
        <v>0.63411811</v>
      </c>
      <c r="M37" s="18" t="n">
        <v>0</v>
      </c>
      <c r="N37" s="20" t="n">
        <v>0</v>
      </c>
      <c r="O37" s="18" t="n">
        <v>0</v>
      </c>
      <c r="P37" s="20" t="n">
        <v>0</v>
      </c>
      <c r="Q37" s="18" t="n">
        <v>1.16272445</v>
      </c>
      <c r="R37" s="20" t="n">
        <v>0.48522831</v>
      </c>
    </row>
    <row r="38" spans="1:18">
      <c r="A38" s="15" t="s">
        <v>598</v>
      </c>
      <c r="B38" s="17" t="n">
        <v>3053</v>
      </c>
      <c r="C38" s="18">
        <f>(2341.0/B38*100)</f>
        <v/>
      </c>
      <c r="D38" s="19" t="n">
        <v>712</v>
      </c>
      <c r="E38" s="18" t="n">
        <v>42.89280929</v>
      </c>
      <c r="F38" s="20" t="n">
        <v>1.83388304</v>
      </c>
      <c r="G38" s="18" t="n">
        <v>55.25811411</v>
      </c>
      <c r="H38" s="20" t="n">
        <v>1.95025045</v>
      </c>
      <c r="I38" s="18" t="s">
        <v>567</v>
      </c>
      <c r="J38" s="20" t="s">
        <v>567</v>
      </c>
      <c r="K38" s="18" t="n">
        <v>1.50708811</v>
      </c>
      <c r="L38" s="20" t="n">
        <v>0.50262858</v>
      </c>
      <c r="M38" s="18" t="n">
        <v>0</v>
      </c>
      <c r="N38" s="20" t="n">
        <v>0</v>
      </c>
      <c r="O38" s="18" t="n">
        <v>0</v>
      </c>
      <c r="P38" s="20" t="n">
        <v>0</v>
      </c>
      <c r="Q38" s="18" t="n">
        <v>0.34198849</v>
      </c>
      <c r="R38" s="20" t="n">
        <v>0.19509539</v>
      </c>
    </row>
    <row r="39" spans="1:18">
      <c r="A39" s="15" t="s">
        <v>599</v>
      </c>
      <c r="B39" s="17" t="n">
        <v>2957</v>
      </c>
      <c r="C39" s="18">
        <f>(2313.0/B39*100)</f>
        <v/>
      </c>
      <c r="D39" s="19" t="n">
        <v>644</v>
      </c>
      <c r="E39" s="18" t="n">
        <v>55.03182494</v>
      </c>
      <c r="F39" s="20" t="n">
        <v>2.08144873</v>
      </c>
      <c r="G39" s="18" t="n">
        <v>43.75006174</v>
      </c>
      <c r="H39" s="20" t="n">
        <v>2.12684337</v>
      </c>
      <c r="I39" s="18" t="s">
        <v>567</v>
      </c>
      <c r="J39" s="20" t="s">
        <v>567</v>
      </c>
      <c r="K39" s="18" t="n">
        <v>0.31231926</v>
      </c>
      <c r="L39" s="20" t="n">
        <v>0.25510551</v>
      </c>
      <c r="M39" s="18" t="n">
        <v>0</v>
      </c>
      <c r="N39" s="20" t="n">
        <v>0</v>
      </c>
      <c r="O39" s="18" t="n">
        <v>0</v>
      </c>
      <c r="P39" s="20" t="n">
        <v>0</v>
      </c>
      <c r="Q39" s="18" t="n">
        <v>0.90579407</v>
      </c>
      <c r="R39" s="20" t="n">
        <v>0.39911806</v>
      </c>
    </row>
    <row r="40" spans="1:18">
      <c r="A40" s="15" t="s">
        <v>600</v>
      </c>
      <c r="B40" s="17" t="n">
        <v>7235</v>
      </c>
      <c r="C40" s="18">
        <f>(5590.0/B40*100)</f>
        <v/>
      </c>
      <c r="D40" s="19" t="n">
        <v>1645</v>
      </c>
      <c r="E40" s="18" t="n">
        <v>41.25986784</v>
      </c>
      <c r="F40" s="20" t="n">
        <v>1.77793992</v>
      </c>
      <c r="G40" s="18" t="n">
        <v>57.8601993</v>
      </c>
      <c r="H40" s="20" t="n">
        <v>1.76980807</v>
      </c>
      <c r="I40" s="18" t="s">
        <v>567</v>
      </c>
      <c r="J40" s="20" t="s">
        <v>567</v>
      </c>
      <c r="K40" s="18" t="n">
        <v>0.51459056</v>
      </c>
      <c r="L40" s="20" t="n">
        <v>0.25679687</v>
      </c>
      <c r="M40" s="18" t="n">
        <v>0</v>
      </c>
      <c r="N40" s="20" t="n">
        <v>0</v>
      </c>
      <c r="O40" s="18" t="n">
        <v>0</v>
      </c>
      <c r="P40" s="20" t="n">
        <v>0</v>
      </c>
      <c r="Q40" s="18" t="n">
        <v>0.36534229</v>
      </c>
      <c r="R40" s="20" t="n">
        <v>0.180688</v>
      </c>
    </row>
    <row r="41" spans="1:18">
      <c r="A41" s="15" t="s">
        <v>601</v>
      </c>
      <c r="B41" s="17" t="n">
        <v>2858</v>
      </c>
      <c r="C41" s="18">
        <f>(2259.0/B41*100)</f>
        <v/>
      </c>
      <c r="D41" s="19" t="n">
        <v>599</v>
      </c>
      <c r="E41" s="18" t="n">
        <v>44.29904872</v>
      </c>
      <c r="F41" s="20" t="n">
        <v>2.80408726</v>
      </c>
      <c r="G41" s="18" t="n">
        <v>54.06092447</v>
      </c>
      <c r="H41" s="20" t="n">
        <v>2.69197047</v>
      </c>
      <c r="I41" s="18" t="s">
        <v>567</v>
      </c>
      <c r="J41" s="20" t="s">
        <v>567</v>
      </c>
      <c r="K41" s="18" t="n">
        <v>0.64868788</v>
      </c>
      <c r="L41" s="20" t="n">
        <v>0.35789057</v>
      </c>
      <c r="M41" s="18" t="n">
        <v>0</v>
      </c>
      <c r="N41" s="20" t="n">
        <v>0</v>
      </c>
      <c r="O41" s="18" t="n">
        <v>0</v>
      </c>
      <c r="P41" s="20" t="n">
        <v>0</v>
      </c>
      <c r="Q41" s="18" t="n">
        <v>0.99133892</v>
      </c>
      <c r="R41" s="20" t="n">
        <v>0.47724452</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(9270.0/B46*100)</f>
        <v/>
      </c>
      <c r="D46" s="19" t="n">
        <v>1798</v>
      </c>
      <c r="E46" s="18" t="n">
        <v>69.36655614</v>
      </c>
      <c r="F46" s="20" t="n">
        <v>1.36306873</v>
      </c>
      <c r="G46" s="18" t="n">
        <v>26.98892238</v>
      </c>
      <c r="H46" s="20" t="n">
        <v>1.35012788</v>
      </c>
      <c r="I46" s="18" t="s">
        <v>567</v>
      </c>
      <c r="J46" s="20" t="s">
        <v>567</v>
      </c>
      <c r="K46" s="18" t="n">
        <v>2.3951745</v>
      </c>
      <c r="L46" s="20" t="n">
        <v>0.52574643</v>
      </c>
      <c r="M46" s="18" t="n">
        <v>0</v>
      </c>
      <c r="N46" s="20" t="n">
        <v>0</v>
      </c>
      <c r="O46" s="18" t="n">
        <v>0</v>
      </c>
      <c r="P46" s="20" t="n">
        <v>0</v>
      </c>
      <c r="Q46" s="18" t="n">
        <v>1.24934698</v>
      </c>
      <c r="R46" s="20" t="n">
        <v>0.35483316</v>
      </c>
    </row>
    <row r="47" spans="1:18">
      <c r="A47" s="15" t="s">
        <v>607</v>
      </c>
      <c r="B47" s="17" t="n">
        <v>3105</v>
      </c>
      <c r="C47" s="18">
        <f>(2457.0/B47*100)</f>
        <v/>
      </c>
      <c r="D47" s="19" t="n">
        <v>648</v>
      </c>
      <c r="E47" s="18" t="n">
        <v>56.23454405</v>
      </c>
      <c r="F47" s="20" t="n">
        <v>2.05597285</v>
      </c>
      <c r="G47" s="18" t="n">
        <v>39.67249871</v>
      </c>
      <c r="H47" s="20" t="n">
        <v>2.09336576</v>
      </c>
      <c r="I47" s="18" t="s">
        <v>567</v>
      </c>
      <c r="J47" s="20" t="s">
        <v>567</v>
      </c>
      <c r="K47" s="18" t="n">
        <v>1.36898588</v>
      </c>
      <c r="L47" s="20" t="n">
        <v>0.50540354</v>
      </c>
      <c r="M47" s="18" t="n">
        <v>0</v>
      </c>
      <c r="N47" s="20" t="n">
        <v>0</v>
      </c>
      <c r="O47" s="18" t="n">
        <v>0</v>
      </c>
      <c r="P47" s="20" t="n">
        <v>0</v>
      </c>
      <c r="Q47" s="18" t="n">
        <v>2.72397137</v>
      </c>
      <c r="R47" s="20" t="n">
        <v>0.68822799</v>
      </c>
    </row>
    <row r="48" spans="1:18">
      <c r="A48" s="15" t="s">
        <v>608</v>
      </c>
      <c r="B48" s="17" t="n">
        <v>5159</v>
      </c>
      <c r="C48" s="18">
        <f>(4019.0/B48*100)</f>
        <v/>
      </c>
      <c r="D48" s="19" t="n">
        <v>1140</v>
      </c>
      <c r="E48" s="18" t="n">
        <v>36.28108373</v>
      </c>
      <c r="F48" s="20" t="n">
        <v>2.21221215</v>
      </c>
      <c r="G48" s="18" t="n">
        <v>62.67048785</v>
      </c>
      <c r="H48" s="20" t="n">
        <v>2.23415642</v>
      </c>
      <c r="I48" s="18" t="s">
        <v>567</v>
      </c>
      <c r="J48" s="20" t="s">
        <v>567</v>
      </c>
      <c r="K48" s="18" t="n">
        <v>0.86959708</v>
      </c>
      <c r="L48" s="20" t="n">
        <v>0.43901557</v>
      </c>
      <c r="M48" s="18" t="n">
        <v>0</v>
      </c>
      <c r="N48" s="20" t="n">
        <v>0</v>
      </c>
      <c r="O48" s="18" t="n">
        <v>0</v>
      </c>
      <c r="P48" s="20" t="n">
        <v>0</v>
      </c>
      <c r="Q48" s="18" t="n">
        <v>0.17883134</v>
      </c>
      <c r="R48" s="20" t="n">
        <v>0.10713841</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(4463.0/B50*100)</f>
        <v/>
      </c>
      <c r="D50" s="19" t="n">
        <v>1174</v>
      </c>
      <c r="E50" s="18" t="n">
        <v>68.73917698</v>
      </c>
      <c r="F50" s="20" t="n">
        <v>1.93497557</v>
      </c>
      <c r="G50" s="18" t="n">
        <v>28.2893326</v>
      </c>
      <c r="H50" s="20" t="n">
        <v>1.86992099</v>
      </c>
      <c r="I50" s="18" t="s">
        <v>567</v>
      </c>
      <c r="J50" s="20" t="s">
        <v>567</v>
      </c>
      <c r="K50" s="18" t="n">
        <v>2.62610251</v>
      </c>
      <c r="L50" s="20" t="n">
        <v>0.77313452</v>
      </c>
      <c r="M50" s="18" t="n">
        <v>0</v>
      </c>
      <c r="N50" s="20" t="n">
        <v>0</v>
      </c>
      <c r="O50" s="18" t="n">
        <v>0</v>
      </c>
      <c r="P50" s="20" t="n">
        <v>0</v>
      </c>
      <c r="Q50" s="18" t="n">
        <v>0.34538792</v>
      </c>
      <c r="R50" s="20" t="n">
        <v>0.213661</v>
      </c>
    </row>
    <row r="51" spans="1:18">
      <c r="A51" s="15" t="s">
        <v>611</v>
      </c>
      <c r="B51" s="17" t="n">
        <v>3372</v>
      </c>
      <c r="C51" s="18">
        <f>(2764.0/B51*100)</f>
        <v/>
      </c>
      <c r="D51" s="19" t="n">
        <v>608</v>
      </c>
      <c r="E51" s="18" t="n">
        <v>67.08189803</v>
      </c>
      <c r="F51" s="20" t="n">
        <v>1.92807694</v>
      </c>
      <c r="G51" s="18" t="n">
        <v>29.88697663</v>
      </c>
      <c r="H51" s="20" t="n">
        <v>1.88822339</v>
      </c>
      <c r="I51" s="18" t="s">
        <v>567</v>
      </c>
      <c r="J51" s="20" t="s">
        <v>567</v>
      </c>
      <c r="K51" s="18" t="n">
        <v>1.35378573</v>
      </c>
      <c r="L51" s="20" t="n">
        <v>0.4891983</v>
      </c>
      <c r="M51" s="18" t="n">
        <v>0</v>
      </c>
      <c r="N51" s="20" t="n">
        <v>0</v>
      </c>
      <c r="O51" s="18" t="n">
        <v>0</v>
      </c>
      <c r="P51" s="20" t="n">
        <v>0</v>
      </c>
      <c r="Q51" s="18" t="n">
        <v>1.67733961</v>
      </c>
      <c r="R51" s="20" t="n">
        <v>0.59968369</v>
      </c>
    </row>
    <row r="52" spans="1:18">
      <c r="A52" s="15" t="s">
        <v>612</v>
      </c>
      <c r="B52" s="17" t="n">
        <v>2796</v>
      </c>
      <c r="C52" s="18">
        <f>(2185.0/B52*100)</f>
        <v/>
      </c>
      <c r="D52" s="19" t="n">
        <v>611</v>
      </c>
      <c r="E52" s="18" t="n">
        <v>56.44788637</v>
      </c>
      <c r="F52" s="20" t="n">
        <v>2.01927911</v>
      </c>
      <c r="G52" s="18" t="n">
        <v>42.86390983</v>
      </c>
      <c r="H52" s="20" t="n">
        <v>2.08381362</v>
      </c>
      <c r="I52" s="18" t="s">
        <v>567</v>
      </c>
      <c r="J52" s="20" t="s">
        <v>567</v>
      </c>
      <c r="K52" s="18" t="n">
        <v>0.42782254</v>
      </c>
      <c r="L52" s="20" t="n">
        <v>0.24368483</v>
      </c>
      <c r="M52" s="18" t="n">
        <v>0</v>
      </c>
      <c r="N52" s="20" t="n">
        <v>0</v>
      </c>
      <c r="O52" s="18" t="n">
        <v>0</v>
      </c>
      <c r="P52" s="20" t="n">
        <v>0</v>
      </c>
      <c r="Q52" s="18" t="n">
        <v>0.26038126</v>
      </c>
      <c r="R52" s="20" t="n">
        <v>0.1814393</v>
      </c>
    </row>
    <row r="53" spans="1:18">
      <c r="A53" s="15" t="s">
        <v>613</v>
      </c>
      <c r="B53" s="17" t="n">
        <v>2811</v>
      </c>
      <c r="C53" s="18">
        <f>(2189.0/B53*100)</f>
        <v/>
      </c>
      <c r="D53" s="19" t="n">
        <v>622</v>
      </c>
      <c r="E53" s="18" t="n">
        <v>59.60235733</v>
      </c>
      <c r="F53" s="20" t="n">
        <v>2.17943743</v>
      </c>
      <c r="G53" s="18" t="n">
        <v>38.59568941</v>
      </c>
      <c r="H53" s="20" t="n">
        <v>2.1059186</v>
      </c>
      <c r="I53" s="18" t="s">
        <v>567</v>
      </c>
      <c r="J53" s="20" t="s">
        <v>567</v>
      </c>
      <c r="K53" s="18" t="n">
        <v>0.7184546000000001</v>
      </c>
      <c r="L53" s="20" t="n">
        <v>0.27672326</v>
      </c>
      <c r="M53" s="18" t="n">
        <v>0</v>
      </c>
      <c r="N53" s="20" t="n">
        <v>0</v>
      </c>
      <c r="O53" s="18" t="n">
        <v>0</v>
      </c>
      <c r="P53" s="20" t="n">
        <v>0</v>
      </c>
      <c r="Q53" s="18" t="n">
        <v>1.08349866</v>
      </c>
      <c r="R53" s="20" t="n">
        <v>0.42892759</v>
      </c>
    </row>
    <row r="54" spans="1:18">
      <c r="A54" s="15" t="s">
        <v>614</v>
      </c>
      <c r="B54" s="17" t="n">
        <v>2266</v>
      </c>
      <c r="C54" s="18">
        <f>(1792.0/B54*100)</f>
        <v/>
      </c>
      <c r="D54" s="19" t="n">
        <v>474</v>
      </c>
      <c r="E54" s="18" t="n">
        <v>62.59850235</v>
      </c>
      <c r="F54" s="20" t="n">
        <v>2.16450854</v>
      </c>
      <c r="G54" s="18" t="n">
        <v>14.28869725</v>
      </c>
      <c r="H54" s="20" t="n">
        <v>1.47962547</v>
      </c>
      <c r="I54" s="18" t="s">
        <v>567</v>
      </c>
      <c r="J54" s="20" t="s">
        <v>567</v>
      </c>
      <c r="K54" s="18" t="n">
        <v>20.23739657</v>
      </c>
      <c r="L54" s="20" t="n">
        <v>2.03557575</v>
      </c>
      <c r="M54" s="18" t="n">
        <v>0</v>
      </c>
      <c r="N54" s="20" t="n">
        <v>0</v>
      </c>
      <c r="O54" s="18" t="n">
        <v>0</v>
      </c>
      <c r="P54" s="20" t="n">
        <v>0</v>
      </c>
      <c r="Q54" s="18" t="n">
        <v>2.87540382</v>
      </c>
      <c r="R54" s="20" t="n">
        <v>0.97776998</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(2092.0/B56*100)</f>
        <v/>
      </c>
      <c r="D56" s="19" t="n">
        <v>592</v>
      </c>
      <c r="E56" s="18" t="n">
        <v>36.55105455</v>
      </c>
      <c r="F56" s="20" t="n">
        <v>1.79736092</v>
      </c>
      <c r="G56" s="18" t="n">
        <v>62.58967431</v>
      </c>
      <c r="H56" s="20" t="n">
        <v>1.91544447</v>
      </c>
      <c r="I56" s="18" t="s">
        <v>567</v>
      </c>
      <c r="J56" s="20" t="s">
        <v>567</v>
      </c>
      <c r="K56" s="18" t="n">
        <v>0.44690282</v>
      </c>
      <c r="L56" s="20" t="n">
        <v>0.35868673</v>
      </c>
      <c r="M56" s="18" t="n">
        <v>0</v>
      </c>
      <c r="N56" s="20" t="n">
        <v>0</v>
      </c>
      <c r="O56" s="18" t="n">
        <v>0</v>
      </c>
      <c r="P56" s="20" t="n">
        <v>0</v>
      </c>
      <c r="Q56" s="18" t="n">
        <v>0.41236832</v>
      </c>
      <c r="R56" s="20" t="n">
        <v>0.29358085</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(2606.0/B61*100)</f>
        <v/>
      </c>
      <c r="D61" s="19" t="n">
        <v>718</v>
      </c>
      <c r="E61" s="18" t="n">
        <v>53.93588784</v>
      </c>
      <c r="F61" s="20" t="n">
        <v>2.01865857</v>
      </c>
      <c r="G61" s="18" t="n">
        <v>45.01584714</v>
      </c>
      <c r="H61" s="20" t="n">
        <v>2.0068589</v>
      </c>
      <c r="I61" s="18" t="s">
        <v>567</v>
      </c>
      <c r="J61" s="20" t="s">
        <v>567</v>
      </c>
      <c r="K61" s="18" t="n">
        <v>0.23602537</v>
      </c>
      <c r="L61" s="20" t="n">
        <v>0.17504306</v>
      </c>
      <c r="M61" s="18" t="n">
        <v>0</v>
      </c>
      <c r="N61" s="20" t="n">
        <v>0</v>
      </c>
      <c r="O61" s="18" t="n">
        <v>0</v>
      </c>
      <c r="P61" s="20" t="n">
        <v>0</v>
      </c>
      <c r="Q61" s="18" t="n">
        <v>0.81223966</v>
      </c>
      <c r="R61" s="20" t="n">
        <v>0.36632828</v>
      </c>
    </row>
    <row r="62" spans="1:18">
      <c r="A62" s="15" t="s">
        <v>622</v>
      </c>
      <c r="B62" s="17" t="n">
        <v>2246</v>
      </c>
      <c r="C62" s="18">
        <f>(1748.0/B62*100)</f>
        <v/>
      </c>
      <c r="D62" s="19" t="n">
        <v>498</v>
      </c>
      <c r="E62" s="18" t="n">
        <v>39.36105312</v>
      </c>
      <c r="F62" s="20" t="n">
        <v>2.2965029</v>
      </c>
      <c r="G62" s="18" t="n">
        <v>60.63894688</v>
      </c>
      <c r="H62" s="20" t="n">
        <v>2.2965029</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(2328.0/B66*100)</f>
        <v/>
      </c>
      <c r="D66" s="19" t="n">
        <v>566</v>
      </c>
      <c r="E66" s="18" t="n">
        <v>64.33504375</v>
      </c>
      <c r="F66" s="20" t="n">
        <v>1.97711506</v>
      </c>
      <c r="G66" s="18" t="n">
        <v>30.91592153</v>
      </c>
      <c r="H66" s="20" t="n">
        <v>1.97615313</v>
      </c>
      <c r="I66" s="18" t="s">
        <v>567</v>
      </c>
      <c r="J66" s="20" t="s">
        <v>567</v>
      </c>
      <c r="K66" s="18" t="n">
        <v>1.65112304</v>
      </c>
      <c r="L66" s="20" t="n">
        <v>0.54091725</v>
      </c>
      <c r="M66" s="18" t="n">
        <v>0</v>
      </c>
      <c r="N66" s="20" t="n">
        <v>0</v>
      </c>
      <c r="O66" s="18" t="n">
        <v>0</v>
      </c>
      <c r="P66" s="20" t="n">
        <v>0</v>
      </c>
      <c r="Q66" s="18" t="n">
        <v>3.09791168</v>
      </c>
      <c r="R66" s="20" t="n">
        <v>0.80733317</v>
      </c>
    </row>
    <row r="67" spans="1:18">
      <c r="A67" s="15" t="s">
        <v>627</v>
      </c>
      <c r="B67" s="17" t="n">
        <v>3511</v>
      </c>
      <c r="C67" s="18">
        <f>(2840.0/B67*100)</f>
        <v/>
      </c>
      <c r="D67" s="19" t="n">
        <v>671</v>
      </c>
      <c r="E67" s="18" t="n">
        <v>71.00289406</v>
      </c>
      <c r="F67" s="20" t="n">
        <v>1.8421908</v>
      </c>
      <c r="G67" s="18" t="n">
        <v>27.14182383</v>
      </c>
      <c r="H67" s="20" t="n">
        <v>1.74672273</v>
      </c>
      <c r="I67" s="18" t="s">
        <v>567</v>
      </c>
      <c r="J67" s="20" t="s">
        <v>567</v>
      </c>
      <c r="K67" s="18" t="n">
        <v>1.02432381</v>
      </c>
      <c r="L67" s="20" t="n">
        <v>0.6480829</v>
      </c>
      <c r="M67" s="18" t="n">
        <v>0</v>
      </c>
      <c r="N67" s="20" t="n">
        <v>0</v>
      </c>
      <c r="O67" s="18" t="n">
        <v>0</v>
      </c>
      <c r="P67" s="20" t="n">
        <v>0</v>
      </c>
      <c r="Q67" s="18" t="n">
        <v>0.8309583</v>
      </c>
      <c r="R67" s="20" t="n">
        <v>0.39682417</v>
      </c>
    </row>
    <row r="68" spans="1:18">
      <c r="A68" s="15" t="s">
        <v>628</v>
      </c>
      <c r="B68" s="17" t="n">
        <v>6049</v>
      </c>
      <c r="C68" s="18">
        <f>(4682.0/B68*100)</f>
        <v/>
      </c>
      <c r="D68" s="19" t="n">
        <v>1367</v>
      </c>
      <c r="E68" s="18" t="n">
        <v>55.28876613</v>
      </c>
      <c r="F68" s="20" t="n">
        <v>1.33862003</v>
      </c>
      <c r="G68" s="18" t="n">
        <v>37.92169572</v>
      </c>
      <c r="H68" s="20" t="n">
        <v>1.29344523</v>
      </c>
      <c r="I68" s="18" t="s">
        <v>567</v>
      </c>
      <c r="J68" s="20" t="s">
        <v>567</v>
      </c>
      <c r="K68" s="18" t="n">
        <v>4.71622731</v>
      </c>
      <c r="L68" s="20" t="n">
        <v>0.53920873</v>
      </c>
      <c r="M68" s="18" t="n">
        <v>0</v>
      </c>
      <c r="N68" s="20" t="n">
        <v>0</v>
      </c>
      <c r="O68" s="18" t="n">
        <v>0</v>
      </c>
      <c r="P68" s="20" t="n">
        <v>0</v>
      </c>
      <c r="Q68" s="18" t="n">
        <v>2.07331084</v>
      </c>
      <c r="R68" s="20" t="n">
        <v>0.39116644</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(2330.0/B70*100)</f>
        <v/>
      </c>
      <c r="D70" s="19" t="n">
        <v>599</v>
      </c>
      <c r="E70" s="18" t="n">
        <v>41.62375382</v>
      </c>
      <c r="F70" s="20" t="n">
        <v>3.18260923</v>
      </c>
      <c r="G70" s="18" t="n">
        <v>57.5204946</v>
      </c>
      <c r="H70" s="20" t="n">
        <v>3.20426776</v>
      </c>
      <c r="I70" s="18" t="s">
        <v>567</v>
      </c>
      <c r="J70" s="20" t="s">
        <v>567</v>
      </c>
      <c r="K70" s="18" t="n">
        <v>0.73885196</v>
      </c>
      <c r="L70" s="20" t="n">
        <v>0.34716108</v>
      </c>
      <c r="M70" s="18" t="n">
        <v>0</v>
      </c>
      <c r="N70" s="20" t="n">
        <v>0</v>
      </c>
      <c r="O70" s="18" t="n">
        <v>0</v>
      </c>
      <c r="P70" s="20" t="n">
        <v>0</v>
      </c>
      <c r="Q70" s="18" t="n">
        <v>0.11689961</v>
      </c>
      <c r="R70" s="20" t="n">
        <v>0.11513181</v>
      </c>
    </row>
    <row r="71" spans="1:18">
      <c r="A71" s="15" t="s">
        <v>631</v>
      </c>
      <c r="B71" s="17" t="n">
        <v>3142</v>
      </c>
      <c r="C71" s="18">
        <f>(2465.0/B71*100)</f>
        <v/>
      </c>
      <c r="D71" s="19" t="n">
        <v>677</v>
      </c>
      <c r="E71" s="18" t="n">
        <v>31.32999864</v>
      </c>
      <c r="F71" s="20" t="n">
        <v>1.6174247</v>
      </c>
      <c r="G71" s="18" t="n">
        <v>68.26980014999999</v>
      </c>
      <c r="H71" s="20" t="n">
        <v>1.6480184</v>
      </c>
      <c r="I71" s="18" t="s">
        <v>567</v>
      </c>
      <c r="J71" s="20" t="s">
        <v>567</v>
      </c>
      <c r="K71" s="18" t="n">
        <v>0.40020121</v>
      </c>
      <c r="L71" s="20" t="n">
        <v>0.23371438</v>
      </c>
      <c r="M71" s="18" t="n">
        <v>0</v>
      </c>
      <c r="N71" s="20" t="n">
        <v>0</v>
      </c>
      <c r="O71" s="18" t="n">
        <v>0</v>
      </c>
      <c r="P71" s="20" t="n">
        <v>0</v>
      </c>
      <c r="Q71" s="18" t="n">
        <v>0</v>
      </c>
      <c r="R71" s="20" t="n">
        <v>0</v>
      </c>
    </row>
    <row r="72" spans="1:18">
      <c r="A72" s="15" t="s">
        <v>632</v>
      </c>
      <c r="B72" s="17" t="n">
        <v>3889</v>
      </c>
      <c r="C72" s="18">
        <f>(3054.0/B72*100)</f>
        <v/>
      </c>
      <c r="D72" s="19" t="n">
        <v>835</v>
      </c>
      <c r="E72" s="18" t="n">
        <v>36.29140586</v>
      </c>
      <c r="F72" s="20" t="n">
        <v>2.06866953</v>
      </c>
      <c r="G72" s="18" t="n">
        <v>63.33586244</v>
      </c>
      <c r="H72" s="20" t="n">
        <v>2.11115282</v>
      </c>
      <c r="I72" s="18" t="s">
        <v>567</v>
      </c>
      <c r="J72" s="20" t="s">
        <v>567</v>
      </c>
      <c r="K72" s="18" t="n">
        <v>0.22349957</v>
      </c>
      <c r="L72" s="20" t="n">
        <v>0.17098983</v>
      </c>
      <c r="M72" s="18" t="n">
        <v>0</v>
      </c>
      <c r="N72" s="20" t="n">
        <v>0</v>
      </c>
      <c r="O72" s="18" t="n">
        <v>0</v>
      </c>
      <c r="P72" s="20" t="n">
        <v>0</v>
      </c>
      <c r="Q72" s="18" t="n">
        <v>0.14923213</v>
      </c>
      <c r="R72" s="20" t="n">
        <v>0.14957698</v>
      </c>
    </row>
    <row r="73" spans="1:18">
      <c r="A73" s="15" t="s">
        <v>633</v>
      </c>
      <c r="B73" s="17" t="n">
        <v>3597</v>
      </c>
      <c r="C73" s="18">
        <f>(2827.0/B73*100)</f>
        <v/>
      </c>
      <c r="D73" s="19" t="n">
        <v>770</v>
      </c>
      <c r="E73" s="18" t="n">
        <v>56.16837044</v>
      </c>
      <c r="F73" s="20" t="n">
        <v>1.93383954</v>
      </c>
      <c r="G73" s="18" t="n">
        <v>43.52663969</v>
      </c>
      <c r="H73" s="20" t="n">
        <v>1.91119198</v>
      </c>
      <c r="I73" s="18" t="s">
        <v>567</v>
      </c>
      <c r="J73" s="20" t="s">
        <v>567</v>
      </c>
      <c r="K73" s="18" t="n">
        <v>0.24029732</v>
      </c>
      <c r="L73" s="20" t="n">
        <v>0.1437088</v>
      </c>
      <c r="M73" s="18" t="n">
        <v>0</v>
      </c>
      <c r="N73" s="20" t="n">
        <v>0</v>
      </c>
      <c r="O73" s="18" t="n">
        <v>0</v>
      </c>
      <c r="P73" s="20" t="n">
        <v>0</v>
      </c>
      <c r="Q73" s="18" t="n">
        <v>0.06469255</v>
      </c>
      <c r="R73" s="20" t="n">
        <v>0.0647515</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(1949.0/B75*100)</f>
        <v/>
      </c>
      <c r="D75" s="19" t="n">
        <v>457</v>
      </c>
      <c r="E75" s="18" t="n">
        <v>68.03703640000001</v>
      </c>
      <c r="F75" s="20" t="n">
        <v>2.25916204</v>
      </c>
      <c r="G75" s="18" t="n">
        <v>26.9580508</v>
      </c>
      <c r="H75" s="20" t="n">
        <v>2.31949506</v>
      </c>
      <c r="I75" s="18" t="s">
        <v>567</v>
      </c>
      <c r="J75" s="20" t="s">
        <v>567</v>
      </c>
      <c r="K75" s="18" t="n">
        <v>4.03332676</v>
      </c>
      <c r="L75" s="20" t="n">
        <v>0.9310183400000001</v>
      </c>
      <c r="M75" s="18" t="n">
        <v>0</v>
      </c>
      <c r="N75" s="20" t="n">
        <v>0</v>
      </c>
      <c r="O75" s="18" t="n">
        <v>0</v>
      </c>
      <c r="P75" s="20" t="n">
        <v>0</v>
      </c>
      <c r="Q75" s="18" t="n">
        <v>0.97158604</v>
      </c>
      <c r="R75" s="20" t="n">
        <v>0.46004037</v>
      </c>
    </row>
    <row r="76" spans="1:18">
      <c r="A76" s="15" t="s">
        <v>636</v>
      </c>
      <c r="B76" s="17" t="n">
        <v>7052</v>
      </c>
      <c r="C76" s="18">
        <f>(5492.0/B76*100)</f>
        <v/>
      </c>
      <c r="D76" s="19" t="n">
        <v>1560</v>
      </c>
      <c r="E76" s="18" t="n">
        <v>57.23659504</v>
      </c>
      <c r="F76" s="20" t="n">
        <v>1.67959278</v>
      </c>
      <c r="G76" s="18" t="n">
        <v>39.61066304</v>
      </c>
      <c r="H76" s="20" t="n">
        <v>1.59994682</v>
      </c>
      <c r="I76" s="18" t="s">
        <v>567</v>
      </c>
      <c r="J76" s="20" t="s">
        <v>567</v>
      </c>
      <c r="K76" s="18" t="n">
        <v>2.03787363</v>
      </c>
      <c r="L76" s="20" t="n">
        <v>0.3822541</v>
      </c>
      <c r="M76" s="18" t="n">
        <v>0</v>
      </c>
      <c r="N76" s="20" t="n">
        <v>0</v>
      </c>
      <c r="O76" s="18" t="n">
        <v>0</v>
      </c>
      <c r="P76" s="20" t="n">
        <v>0</v>
      </c>
      <c r="Q76" s="18" t="n">
        <v>1.1148683</v>
      </c>
      <c r="R76" s="20" t="n">
        <v>0.29876556</v>
      </c>
    </row>
    <row r="77" spans="1:18">
      <c r="A77" s="15" t="s">
        <v>637</v>
      </c>
      <c r="B77" s="17" t="n">
        <v>2908</v>
      </c>
      <c r="C77" s="18">
        <f>(2319.0/B77*100)</f>
        <v/>
      </c>
      <c r="D77" s="19" t="n">
        <v>589</v>
      </c>
      <c r="E77" s="18" t="n">
        <v>60.66565674</v>
      </c>
      <c r="F77" s="20" t="n">
        <v>1.91082025</v>
      </c>
      <c r="G77" s="18" t="n">
        <v>34.66785538</v>
      </c>
      <c r="H77" s="20" t="n">
        <v>2.14162078</v>
      </c>
      <c r="I77" s="18" t="s">
        <v>567</v>
      </c>
      <c r="J77" s="20" t="s">
        <v>567</v>
      </c>
      <c r="K77" s="18" t="n">
        <v>3.18889193</v>
      </c>
      <c r="L77" s="20" t="n">
        <v>0.59974434</v>
      </c>
      <c r="M77" s="18" t="n">
        <v>0</v>
      </c>
      <c r="N77" s="20" t="n">
        <v>0</v>
      </c>
      <c r="O77" s="18" t="n">
        <v>0</v>
      </c>
      <c r="P77" s="20" t="n">
        <v>0</v>
      </c>
      <c r="Q77" s="18" t="n">
        <v>1.47759595</v>
      </c>
      <c r="R77" s="20" t="n">
        <v>0.49548514</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(3240.0/B81*100)</f>
        <v/>
      </c>
      <c r="D81" s="19" t="n">
        <v>923</v>
      </c>
      <c r="E81" s="18" t="n">
        <v>54.03153947</v>
      </c>
      <c r="F81" s="20" t="n">
        <v>2.15251044</v>
      </c>
      <c r="G81" s="18" t="n">
        <v>45.00325364</v>
      </c>
      <c r="H81" s="20" t="n">
        <v>2.15887626</v>
      </c>
      <c r="I81" s="18" t="s">
        <v>567</v>
      </c>
      <c r="J81" s="20" t="s">
        <v>567</v>
      </c>
      <c r="K81" s="18" t="n">
        <v>0.03649197</v>
      </c>
      <c r="L81" s="20" t="n">
        <v>0.01474137</v>
      </c>
      <c r="M81" s="18" t="n">
        <v>0</v>
      </c>
      <c r="N81" s="20" t="n">
        <v>0</v>
      </c>
      <c r="O81" s="18" t="n">
        <v>0</v>
      </c>
      <c r="P81" s="20" t="n">
        <v>0</v>
      </c>
      <c r="Q81" s="18" t="n">
        <v>0.9287149099999999</v>
      </c>
      <c r="R81" s="20" t="n">
        <v>0.36328636</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(5797.0/B7*100)</f>
        <v/>
      </c>
      <c r="D7" s="19" t="n">
        <v>1570</v>
      </c>
      <c r="E7" s="18" t="n">
        <v>27.75664171</v>
      </c>
      <c r="F7" s="20" t="n">
        <v>1.37041573</v>
      </c>
      <c r="G7" s="18" t="n">
        <v>69.45472616000001</v>
      </c>
      <c r="H7" s="20" t="n">
        <v>1.45482731</v>
      </c>
      <c r="I7" s="18" t="s">
        <v>567</v>
      </c>
      <c r="J7" s="20" t="s">
        <v>567</v>
      </c>
      <c r="K7" s="18" t="n">
        <v>1.84800608</v>
      </c>
      <c r="L7" s="20" t="n">
        <v>0.40453488</v>
      </c>
      <c r="M7" s="18" t="n">
        <v>0</v>
      </c>
      <c r="N7" s="20" t="n">
        <v>0</v>
      </c>
      <c r="O7" s="18" t="n">
        <v>0</v>
      </c>
      <c r="P7" s="20" t="n">
        <v>0</v>
      </c>
      <c r="Q7" s="18" t="n">
        <v>0.9406260400000001</v>
      </c>
      <c r="R7" s="20" t="n">
        <v>0.31500191</v>
      </c>
    </row>
    <row r="8" spans="1:18">
      <c r="A8" s="15" t="s">
        <v>568</v>
      </c>
      <c r="B8" s="17" t="n">
        <v>3564</v>
      </c>
      <c r="C8" s="18">
        <f>(2791.0/B8*100)</f>
        <v/>
      </c>
      <c r="D8" s="19" t="n">
        <v>773</v>
      </c>
      <c r="E8" s="18" t="n">
        <v>31.28056212</v>
      </c>
      <c r="F8" s="20" t="n">
        <v>1.86375103</v>
      </c>
      <c r="G8" s="18" t="n">
        <v>66.86167189</v>
      </c>
      <c r="H8" s="20" t="n">
        <v>1.79916573</v>
      </c>
      <c r="I8" s="18" t="s">
        <v>567</v>
      </c>
      <c r="J8" s="20" t="s">
        <v>567</v>
      </c>
      <c r="K8" s="18" t="n">
        <v>0.73507673</v>
      </c>
      <c r="L8" s="20" t="n">
        <v>0.30745817</v>
      </c>
      <c r="M8" s="18" t="n">
        <v>0</v>
      </c>
      <c r="N8" s="20" t="n">
        <v>0</v>
      </c>
      <c r="O8" s="18" t="n">
        <v>0</v>
      </c>
      <c r="P8" s="20" t="n">
        <v>0</v>
      </c>
      <c r="Q8" s="18" t="n">
        <v>1.12268926</v>
      </c>
      <c r="R8" s="20" t="n">
        <v>0.5094858799999999</v>
      </c>
    </row>
    <row r="9" spans="1:18">
      <c r="A9" s="15" t="s">
        <v>569</v>
      </c>
      <c r="B9" s="17" t="n">
        <v>4899</v>
      </c>
      <c r="C9" s="18">
        <f>(3878.0/B9*100)</f>
        <v/>
      </c>
      <c r="D9" s="19" t="n">
        <v>1021</v>
      </c>
      <c r="E9" s="18" t="n">
        <v>28.16771102</v>
      </c>
      <c r="F9" s="20" t="n">
        <v>1.69575362</v>
      </c>
      <c r="G9" s="18" t="n">
        <v>68.90926421</v>
      </c>
      <c r="H9" s="20" t="n">
        <v>1.60157257</v>
      </c>
      <c r="I9" s="18" t="s">
        <v>567</v>
      </c>
      <c r="J9" s="20" t="s">
        <v>567</v>
      </c>
      <c r="K9" s="18" t="n">
        <v>1.19471363</v>
      </c>
      <c r="L9" s="20" t="n">
        <v>0.36009715</v>
      </c>
      <c r="M9" s="18" t="n">
        <v>0</v>
      </c>
      <c r="N9" s="20" t="n">
        <v>0</v>
      </c>
      <c r="O9" s="18" t="n">
        <v>0</v>
      </c>
      <c r="P9" s="20" t="n">
        <v>0</v>
      </c>
      <c r="Q9" s="18" t="n">
        <v>1.72831114</v>
      </c>
      <c r="R9" s="20" t="n">
        <v>0.4465689</v>
      </c>
    </row>
    <row r="10" spans="1:18">
      <c r="A10" s="15" t="s">
        <v>570</v>
      </c>
      <c r="B10" s="17" t="n">
        <v>10036</v>
      </c>
      <c r="C10" s="18">
        <f>(7814.0/B10*100)</f>
        <v/>
      </c>
      <c r="D10" s="19" t="n">
        <v>2222</v>
      </c>
      <c r="E10" s="18" t="n">
        <v>25.55778161</v>
      </c>
      <c r="F10" s="20" t="n">
        <v>1.37956956</v>
      </c>
      <c r="G10" s="18" t="n">
        <v>72.55758754999999</v>
      </c>
      <c r="H10" s="20" t="n">
        <v>1.41219237</v>
      </c>
      <c r="I10" s="18" t="s">
        <v>567</v>
      </c>
      <c r="J10" s="20" t="s">
        <v>567</v>
      </c>
      <c r="K10" s="18" t="n">
        <v>1.00009467</v>
      </c>
      <c r="L10" s="20" t="n">
        <v>0.29384634</v>
      </c>
      <c r="M10" s="18" t="n">
        <v>0</v>
      </c>
      <c r="N10" s="20" t="n">
        <v>0</v>
      </c>
      <c r="O10" s="18" t="n">
        <v>0</v>
      </c>
      <c r="P10" s="20" t="n">
        <v>0</v>
      </c>
      <c r="Q10" s="18" t="n">
        <v>0.88453617</v>
      </c>
      <c r="R10" s="20" t="n">
        <v>0.25942485</v>
      </c>
    </row>
    <row r="11" spans="1:18">
      <c r="A11" s="15" t="s">
        <v>571</v>
      </c>
      <c r="B11" s="17" t="n">
        <v>3553</v>
      </c>
      <c r="C11" s="18">
        <f>(2797.0/B11*100)</f>
        <v/>
      </c>
      <c r="D11" s="19" t="n">
        <v>756</v>
      </c>
      <c r="E11" s="18" t="n">
        <v>35.5260772</v>
      </c>
      <c r="F11" s="20" t="n">
        <v>1.96724866</v>
      </c>
      <c r="G11" s="18" t="n">
        <v>60.43612918</v>
      </c>
      <c r="H11" s="20" t="n">
        <v>2.2594858</v>
      </c>
      <c r="I11" s="18" t="s">
        <v>567</v>
      </c>
      <c r="J11" s="20" t="s">
        <v>567</v>
      </c>
      <c r="K11" s="18" t="n">
        <v>1.96153992</v>
      </c>
      <c r="L11" s="20" t="n">
        <v>0.5639516</v>
      </c>
      <c r="M11" s="18" t="n">
        <v>0</v>
      </c>
      <c r="N11" s="20" t="n">
        <v>0</v>
      </c>
      <c r="O11" s="18" t="n">
        <v>0</v>
      </c>
      <c r="P11" s="20" t="n">
        <v>0</v>
      </c>
      <c r="Q11" s="18" t="n">
        <v>2.0762537</v>
      </c>
      <c r="R11" s="20" t="n">
        <v>0.62483838</v>
      </c>
    </row>
    <row r="12" spans="1:18">
      <c r="A12" s="15" t="s">
        <v>572</v>
      </c>
      <c r="B12" s="17" t="n">
        <v>3472</v>
      </c>
      <c r="C12" s="18">
        <f>(2720.0/B12*100)</f>
        <v/>
      </c>
      <c r="D12" s="19" t="n">
        <v>752</v>
      </c>
      <c r="E12" s="18" t="n">
        <v>33.30676732</v>
      </c>
      <c r="F12" s="20" t="n">
        <v>2.12235722</v>
      </c>
      <c r="G12" s="18" t="n">
        <v>64.23040150999999</v>
      </c>
      <c r="H12" s="20" t="n">
        <v>2.17180511</v>
      </c>
      <c r="I12" s="18" t="s">
        <v>567</v>
      </c>
      <c r="J12" s="20" t="s">
        <v>567</v>
      </c>
      <c r="K12" s="18" t="n">
        <v>0.92973999</v>
      </c>
      <c r="L12" s="20" t="n">
        <v>0.38053044</v>
      </c>
      <c r="M12" s="18" t="n">
        <v>0</v>
      </c>
      <c r="N12" s="20" t="n">
        <v>0</v>
      </c>
      <c r="O12" s="18" t="n">
        <v>0</v>
      </c>
      <c r="P12" s="20" t="n">
        <v>0</v>
      </c>
      <c r="Q12" s="18" t="n">
        <v>1.53309118</v>
      </c>
      <c r="R12" s="20" t="n">
        <v>0.46659712</v>
      </c>
    </row>
    <row r="13" spans="1:18">
      <c r="A13" s="15" t="s">
        <v>573</v>
      </c>
      <c r="B13" s="17" t="n">
        <v>3559</v>
      </c>
      <c r="C13" s="18">
        <f>(2807.0/B13*100)</f>
        <v/>
      </c>
      <c r="D13" s="19" t="n">
        <v>752</v>
      </c>
      <c r="E13" s="18" t="n">
        <v>24.99719695</v>
      </c>
      <c r="F13" s="20" t="n">
        <v>1.94998</v>
      </c>
      <c r="G13" s="18" t="n">
        <v>72.80806882</v>
      </c>
      <c r="H13" s="20" t="n">
        <v>2.1920965</v>
      </c>
      <c r="I13" s="18" t="s">
        <v>567</v>
      </c>
      <c r="J13" s="20" t="s">
        <v>567</v>
      </c>
      <c r="K13" s="18" t="n">
        <v>1.89747697</v>
      </c>
      <c r="L13" s="20" t="n">
        <v>0.49514102</v>
      </c>
      <c r="M13" s="18" t="n">
        <v>0</v>
      </c>
      <c r="N13" s="20" t="n">
        <v>0</v>
      </c>
      <c r="O13" s="18" t="n">
        <v>0</v>
      </c>
      <c r="P13" s="20" t="n">
        <v>0</v>
      </c>
      <c r="Q13" s="18" t="n">
        <v>0.29725726</v>
      </c>
      <c r="R13" s="20" t="n">
        <v>0.14875264</v>
      </c>
    </row>
    <row r="14" spans="1:18">
      <c r="A14" s="15" t="s">
        <v>574</v>
      </c>
      <c r="B14" s="17" t="n">
        <v>2799</v>
      </c>
      <c r="C14" s="18">
        <f>(2176.0/B14*100)</f>
        <v/>
      </c>
      <c r="D14" s="19" t="n">
        <v>623</v>
      </c>
      <c r="E14" s="18" t="n">
        <v>23.28351125</v>
      </c>
      <c r="F14" s="20" t="n">
        <v>2.08205253</v>
      </c>
      <c r="G14" s="18" t="n">
        <v>76.01807289</v>
      </c>
      <c r="H14" s="20" t="n">
        <v>2.04466465</v>
      </c>
      <c r="I14" s="18" t="s">
        <v>567</v>
      </c>
      <c r="J14" s="20" t="s">
        <v>567</v>
      </c>
      <c r="K14" s="18" t="n">
        <v>0.42827307</v>
      </c>
      <c r="L14" s="20" t="n">
        <v>0.25169012</v>
      </c>
      <c r="M14" s="18" t="n">
        <v>0</v>
      </c>
      <c r="N14" s="20" t="n">
        <v>0</v>
      </c>
      <c r="O14" s="18" t="n">
        <v>0</v>
      </c>
      <c r="P14" s="20" t="n">
        <v>0</v>
      </c>
      <c r="Q14" s="18" t="n">
        <v>0.27014278</v>
      </c>
      <c r="R14" s="20" t="n">
        <v>0.19337607</v>
      </c>
    </row>
    <row r="15" spans="1:18">
      <c r="A15" s="15" t="s">
        <v>575</v>
      </c>
      <c r="B15" s="17" t="n">
        <v>3019</v>
      </c>
      <c r="C15" s="18">
        <f>(2302.0/B15*100)</f>
        <v/>
      </c>
      <c r="D15" s="19" t="n">
        <v>717</v>
      </c>
      <c r="E15" s="18" t="n">
        <v>22.17690084</v>
      </c>
      <c r="F15" s="20" t="n">
        <v>1.69553569</v>
      </c>
      <c r="G15" s="18" t="n">
        <v>76.65980020000001</v>
      </c>
      <c r="H15" s="20" t="n">
        <v>1.67313014</v>
      </c>
      <c r="I15" s="18" t="s">
        <v>567</v>
      </c>
      <c r="J15" s="20" t="s">
        <v>567</v>
      </c>
      <c r="K15" s="18" t="n">
        <v>0.34880203</v>
      </c>
      <c r="L15" s="20" t="n">
        <v>0.2283191</v>
      </c>
      <c r="M15" s="18" t="n">
        <v>0</v>
      </c>
      <c r="N15" s="20" t="n">
        <v>0</v>
      </c>
      <c r="O15" s="18" t="n">
        <v>0</v>
      </c>
      <c r="P15" s="20" t="n">
        <v>0</v>
      </c>
      <c r="Q15" s="18" t="n">
        <v>0.81449692</v>
      </c>
      <c r="R15" s="20" t="n">
        <v>0.33349274</v>
      </c>
    </row>
    <row r="16" spans="1:18">
      <c r="A16" s="15" t="s">
        <v>576</v>
      </c>
      <c r="B16" s="17" t="n">
        <v>2997</v>
      </c>
      <c r="C16" s="18">
        <f>(2332.0/B16*100)</f>
        <v/>
      </c>
      <c r="D16" s="19" t="n">
        <v>665</v>
      </c>
      <c r="E16" s="18" t="n">
        <v>31.9800259</v>
      </c>
      <c r="F16" s="20" t="n">
        <v>1.71072989</v>
      </c>
      <c r="G16" s="18" t="n">
        <v>62.44963119</v>
      </c>
      <c r="H16" s="20" t="n">
        <v>1.95077711</v>
      </c>
      <c r="I16" s="18" t="s">
        <v>567</v>
      </c>
      <c r="J16" s="20" t="s">
        <v>567</v>
      </c>
      <c r="K16" s="18" t="n">
        <v>3.1489372</v>
      </c>
      <c r="L16" s="20" t="n">
        <v>0.7949282600000001</v>
      </c>
      <c r="M16" s="18" t="n">
        <v>0</v>
      </c>
      <c r="N16" s="20" t="n">
        <v>0</v>
      </c>
      <c r="O16" s="18" t="n">
        <v>0</v>
      </c>
      <c r="P16" s="20" t="n">
        <v>0</v>
      </c>
      <c r="Q16" s="18" t="n">
        <v>2.42140571</v>
      </c>
      <c r="R16" s="20" t="n">
        <v>0.49809417</v>
      </c>
    </row>
    <row r="17" spans="1:18">
      <c r="A17" s="15" t="s">
        <v>577</v>
      </c>
      <c r="B17" s="17" t="n">
        <v>3307</v>
      </c>
      <c r="C17" s="18">
        <f>(2593.0/B17*100)</f>
        <v/>
      </c>
      <c r="D17" s="19" t="n">
        <v>714</v>
      </c>
      <c r="E17" s="18" t="n">
        <v>25.96425393</v>
      </c>
      <c r="F17" s="20" t="n">
        <v>2.22326431</v>
      </c>
      <c r="G17" s="18" t="n">
        <v>71.04495385</v>
      </c>
      <c r="H17" s="20" t="n">
        <v>2.41260028</v>
      </c>
      <c r="I17" s="18" t="s">
        <v>567</v>
      </c>
      <c r="J17" s="20" t="s">
        <v>567</v>
      </c>
      <c r="K17" s="18" t="n">
        <v>2.02640618</v>
      </c>
      <c r="L17" s="20" t="n">
        <v>0.63760744</v>
      </c>
      <c r="M17" s="18" t="n">
        <v>0</v>
      </c>
      <c r="N17" s="20" t="n">
        <v>0</v>
      </c>
      <c r="O17" s="18" t="n">
        <v>0</v>
      </c>
      <c r="P17" s="20" t="n">
        <v>0</v>
      </c>
      <c r="Q17" s="18" t="n">
        <v>0.9643860400000001</v>
      </c>
      <c r="R17" s="20" t="n">
        <v>0.33494853</v>
      </c>
    </row>
    <row r="18" spans="1:18">
      <c r="A18" s="15" t="s">
        <v>578</v>
      </c>
      <c r="B18" s="17" t="n">
        <v>2826</v>
      </c>
      <c r="C18" s="18">
        <f>(2220.0/B18*100)</f>
        <v/>
      </c>
      <c r="D18" s="19" t="n">
        <v>606</v>
      </c>
      <c r="E18" s="18" t="n">
        <v>44.39670598</v>
      </c>
      <c r="F18" s="20" t="n">
        <v>2.06131883</v>
      </c>
      <c r="G18" s="18" t="n">
        <v>53.01100607</v>
      </c>
      <c r="H18" s="20" t="n">
        <v>2.15531827</v>
      </c>
      <c r="I18" s="18" t="s">
        <v>567</v>
      </c>
      <c r="J18" s="20" t="s">
        <v>567</v>
      </c>
      <c r="K18" s="18" t="n">
        <v>1.16597816</v>
      </c>
      <c r="L18" s="20" t="n">
        <v>0.46181755</v>
      </c>
      <c r="M18" s="18" t="n">
        <v>0</v>
      </c>
      <c r="N18" s="20" t="n">
        <v>0</v>
      </c>
      <c r="O18" s="18" t="n">
        <v>0</v>
      </c>
      <c r="P18" s="20" t="n">
        <v>0</v>
      </c>
      <c r="Q18" s="18" t="n">
        <v>1.4263098</v>
      </c>
      <c r="R18" s="20" t="n">
        <v>0.67341231</v>
      </c>
    </row>
    <row r="19" spans="1:18">
      <c r="A19" s="15" t="s">
        <v>579</v>
      </c>
      <c r="B19" s="17" t="n">
        <v>2808</v>
      </c>
      <c r="C19" s="18">
        <f>(2203.0/B19*100)</f>
        <v/>
      </c>
      <c r="D19" s="19" t="n">
        <v>605</v>
      </c>
      <c r="E19" s="18" t="n">
        <v>28.46970643</v>
      </c>
      <c r="F19" s="20" t="n">
        <v>1.95118451</v>
      </c>
      <c r="G19" s="18" t="n">
        <v>70.46988098999999</v>
      </c>
      <c r="H19" s="20" t="n">
        <v>2.09220481</v>
      </c>
      <c r="I19" s="18" t="s">
        <v>567</v>
      </c>
      <c r="J19" s="20" t="s">
        <v>567</v>
      </c>
      <c r="K19" s="18" t="n">
        <v>0.53196864</v>
      </c>
      <c r="L19" s="20" t="n">
        <v>0.38500556</v>
      </c>
      <c r="M19" s="18" t="n">
        <v>0</v>
      </c>
      <c r="N19" s="20" t="n">
        <v>0</v>
      </c>
      <c r="O19" s="18" t="n">
        <v>0</v>
      </c>
      <c r="P19" s="20" t="n">
        <v>0</v>
      </c>
      <c r="Q19" s="18" t="n">
        <v>0.5284439399999999</v>
      </c>
      <c r="R19" s="20" t="n">
        <v>0.40890519</v>
      </c>
    </row>
    <row r="20" spans="1:18">
      <c r="A20" s="15" t="s">
        <v>580</v>
      </c>
      <c r="B20" s="17" t="n">
        <v>1630</v>
      </c>
      <c r="C20" s="18">
        <f>(1277.0/B20*100)</f>
        <v/>
      </c>
      <c r="D20" s="19" t="n">
        <v>353</v>
      </c>
      <c r="E20" s="18" t="n">
        <v>33.83831591</v>
      </c>
      <c r="F20" s="20" t="n">
        <v>2.57901522</v>
      </c>
      <c r="G20" s="18" t="n">
        <v>62.46427422</v>
      </c>
      <c r="H20" s="20" t="n">
        <v>2.58555287</v>
      </c>
      <c r="I20" s="18" t="s">
        <v>567</v>
      </c>
      <c r="J20" s="20" t="s">
        <v>567</v>
      </c>
      <c r="K20" s="18" t="n">
        <v>1.9932183</v>
      </c>
      <c r="L20" s="20" t="n">
        <v>0.7400007</v>
      </c>
      <c r="M20" s="18" t="n">
        <v>0</v>
      </c>
      <c r="N20" s="20" t="n">
        <v>0</v>
      </c>
      <c r="O20" s="18" t="n">
        <v>0</v>
      </c>
      <c r="P20" s="20" t="n">
        <v>0</v>
      </c>
      <c r="Q20" s="18" t="n">
        <v>1.70419158</v>
      </c>
      <c r="R20" s="20" t="n">
        <v>0.70587174</v>
      </c>
    </row>
    <row r="21" spans="1:18">
      <c r="A21" s="15" t="s">
        <v>581</v>
      </c>
      <c r="B21" s="17" t="n">
        <v>2908</v>
      </c>
      <c r="C21" s="18">
        <f>(2258.0/B21*100)</f>
        <v/>
      </c>
      <c r="D21" s="19" t="n">
        <v>650</v>
      </c>
      <c r="E21" s="18" t="n">
        <v>26.26121461</v>
      </c>
      <c r="F21" s="20" t="n">
        <v>1.51425894</v>
      </c>
      <c r="G21" s="18" t="n">
        <v>70.64297497</v>
      </c>
      <c r="H21" s="20" t="n">
        <v>1.75243031</v>
      </c>
      <c r="I21" s="18" t="s">
        <v>567</v>
      </c>
      <c r="J21" s="20" t="s">
        <v>567</v>
      </c>
      <c r="K21" s="18" t="n">
        <v>1.69072072</v>
      </c>
      <c r="L21" s="20" t="n">
        <v>0.52345603</v>
      </c>
      <c r="M21" s="18" t="n">
        <v>0</v>
      </c>
      <c r="N21" s="20" t="n">
        <v>0</v>
      </c>
      <c r="O21" s="18" t="n">
        <v>0</v>
      </c>
      <c r="P21" s="20" t="n">
        <v>0</v>
      </c>
      <c r="Q21" s="18" t="n">
        <v>1.4050897</v>
      </c>
      <c r="R21" s="20" t="n">
        <v>0.5270262</v>
      </c>
    </row>
    <row r="22" spans="1:18">
      <c r="A22" s="15" t="s">
        <v>582</v>
      </c>
      <c r="B22" s="17" t="n">
        <v>2931</v>
      </c>
      <c r="C22" s="18">
        <f>(2357.0/B22*100)</f>
        <v/>
      </c>
      <c r="D22" s="19" t="n">
        <v>574</v>
      </c>
      <c r="E22" s="18" t="n">
        <v>32.79958983</v>
      </c>
      <c r="F22" s="20" t="n">
        <v>1.99377489</v>
      </c>
      <c r="G22" s="18" t="n">
        <v>62.73506151</v>
      </c>
      <c r="H22" s="20" t="n">
        <v>2.09261733</v>
      </c>
      <c r="I22" s="18" t="s">
        <v>567</v>
      </c>
      <c r="J22" s="20" t="s">
        <v>567</v>
      </c>
      <c r="K22" s="18" t="n">
        <v>2.2845925</v>
      </c>
      <c r="L22" s="20" t="n">
        <v>0.84312634</v>
      </c>
      <c r="M22" s="18" t="n">
        <v>0</v>
      </c>
      <c r="N22" s="20" t="n">
        <v>0</v>
      </c>
      <c r="O22" s="18" t="n">
        <v>0</v>
      </c>
      <c r="P22" s="20" t="n">
        <v>0</v>
      </c>
      <c r="Q22" s="18" t="n">
        <v>2.18075616</v>
      </c>
      <c r="R22" s="20" t="n">
        <v>0.85834281</v>
      </c>
    </row>
    <row r="23" spans="1:18">
      <c r="A23" s="15" t="s">
        <v>583</v>
      </c>
      <c r="B23" s="17" t="n">
        <v>5791</v>
      </c>
      <c r="C23" s="18">
        <f>(4554.0/B23*100)</f>
        <v/>
      </c>
      <c r="D23" s="19" t="n">
        <v>1237</v>
      </c>
      <c r="E23" s="18" t="n">
        <v>34.48148238</v>
      </c>
      <c r="F23" s="20" t="n">
        <v>1.78101068</v>
      </c>
      <c r="G23" s="18" t="n">
        <v>62.31347536</v>
      </c>
      <c r="H23" s="20" t="n">
        <v>1.83920124</v>
      </c>
      <c r="I23" s="18" t="s">
        <v>567</v>
      </c>
      <c r="J23" s="20" t="s">
        <v>567</v>
      </c>
      <c r="K23" s="18" t="n">
        <v>2.0538009</v>
      </c>
      <c r="L23" s="20" t="n">
        <v>0.55911422</v>
      </c>
      <c r="M23" s="18" t="n">
        <v>0</v>
      </c>
      <c r="N23" s="20" t="n">
        <v>0</v>
      </c>
      <c r="O23" s="18" t="n">
        <v>0</v>
      </c>
      <c r="P23" s="20" t="n">
        <v>0</v>
      </c>
      <c r="Q23" s="18" t="n">
        <v>1.15124136</v>
      </c>
      <c r="R23" s="20" t="n">
        <v>0.39301321</v>
      </c>
    </row>
    <row r="24" spans="1:18">
      <c r="A24" s="15" t="s">
        <v>584</v>
      </c>
      <c r="B24" s="17" t="n">
        <v>3338</v>
      </c>
      <c r="C24" s="18">
        <f>(2612.0/B24*100)</f>
        <v/>
      </c>
      <c r="D24" s="19" t="n">
        <v>726</v>
      </c>
      <c r="E24" s="18" t="n">
        <v>25.08232366</v>
      </c>
      <c r="F24" s="20" t="n">
        <v>1.77097684</v>
      </c>
      <c r="G24" s="18" t="n">
        <v>73.36441037</v>
      </c>
      <c r="H24" s="20" t="n">
        <v>1.8377828</v>
      </c>
      <c r="I24" s="18" t="s">
        <v>567</v>
      </c>
      <c r="J24" s="20" t="s">
        <v>567</v>
      </c>
      <c r="K24" s="18" t="n">
        <v>1.02997785</v>
      </c>
      <c r="L24" s="20" t="n">
        <v>0.37237733</v>
      </c>
      <c r="M24" s="18" t="n">
        <v>0</v>
      </c>
      <c r="N24" s="20" t="n">
        <v>0</v>
      </c>
      <c r="O24" s="18" t="n">
        <v>0</v>
      </c>
      <c r="P24" s="20" t="n">
        <v>0</v>
      </c>
      <c r="Q24" s="18" t="n">
        <v>0.52328812</v>
      </c>
      <c r="R24" s="20" t="n">
        <v>0.25984299</v>
      </c>
    </row>
    <row r="25" spans="1:18">
      <c r="A25" s="15" t="s">
        <v>585</v>
      </c>
      <c r="B25" s="17" t="n">
        <v>2912</v>
      </c>
      <c r="C25" s="18">
        <f>(2275.0/B25*100)</f>
        <v/>
      </c>
      <c r="D25" s="19" t="n">
        <v>637</v>
      </c>
      <c r="E25" s="18" t="n">
        <v>29.10635305</v>
      </c>
      <c r="F25" s="20" t="n">
        <v>1.99710207</v>
      </c>
      <c r="G25" s="18" t="n">
        <v>70.30735387999999</v>
      </c>
      <c r="H25" s="20" t="n">
        <v>2.03474099</v>
      </c>
      <c r="I25" s="18" t="s">
        <v>567</v>
      </c>
      <c r="J25" s="20" t="s">
        <v>567</v>
      </c>
      <c r="K25" s="18" t="n">
        <v>0.13246293</v>
      </c>
      <c r="L25" s="20" t="n">
        <v>0.1344598</v>
      </c>
      <c r="M25" s="18" t="n">
        <v>0</v>
      </c>
      <c r="N25" s="20" t="n">
        <v>0</v>
      </c>
      <c r="O25" s="18" t="n">
        <v>0</v>
      </c>
      <c r="P25" s="20" t="n">
        <v>0</v>
      </c>
      <c r="Q25" s="18" t="n">
        <v>0.45383014</v>
      </c>
      <c r="R25" s="20" t="n">
        <v>0.26418622</v>
      </c>
    </row>
    <row r="26" spans="1:18">
      <c r="A26" s="15" t="s">
        <v>586</v>
      </c>
      <c r="B26" s="17" t="n">
        <v>2450</v>
      </c>
      <c r="C26" s="18">
        <f>(1911.0/B26*100)</f>
        <v/>
      </c>
      <c r="D26" s="19" t="n">
        <v>539</v>
      </c>
      <c r="E26" s="18" t="n">
        <v>26.27820393</v>
      </c>
      <c r="F26" s="20" t="n">
        <v>1.65730655</v>
      </c>
      <c r="G26" s="18" t="n">
        <v>72.24402623</v>
      </c>
      <c r="H26" s="20" t="n">
        <v>1.63189231</v>
      </c>
      <c r="I26" s="18" t="s">
        <v>567</v>
      </c>
      <c r="J26" s="20" t="s">
        <v>567</v>
      </c>
      <c r="K26" s="18" t="n">
        <v>0.13786565</v>
      </c>
      <c r="L26" s="20" t="n">
        <v>0.13858023</v>
      </c>
      <c r="M26" s="18" t="n">
        <v>0</v>
      </c>
      <c r="N26" s="20" t="n">
        <v>0</v>
      </c>
      <c r="O26" s="18" t="n">
        <v>0</v>
      </c>
      <c r="P26" s="20" t="n">
        <v>0</v>
      </c>
      <c r="Q26" s="18" t="n">
        <v>1.33990419</v>
      </c>
      <c r="R26" s="20" t="n">
        <v>0.27401293</v>
      </c>
    </row>
    <row r="27" spans="1:18">
      <c r="A27" s="15" t="s">
        <v>587</v>
      </c>
      <c r="B27" s="17" t="n">
        <v>2616</v>
      </c>
      <c r="C27" s="18">
        <f>(2055.0/B27*100)</f>
        <v/>
      </c>
      <c r="D27" s="19" t="n">
        <v>561</v>
      </c>
      <c r="E27" s="18" t="n">
        <v>34.25614859</v>
      </c>
      <c r="F27" s="20" t="n">
        <v>1.89645086</v>
      </c>
      <c r="G27" s="18" t="n">
        <v>63.5965327</v>
      </c>
      <c r="H27" s="20" t="n">
        <v>1.83546641</v>
      </c>
      <c r="I27" s="18" t="s">
        <v>567</v>
      </c>
      <c r="J27" s="20" t="s">
        <v>567</v>
      </c>
      <c r="K27" s="18" t="n">
        <v>0.90808282</v>
      </c>
      <c r="L27" s="20" t="n">
        <v>0.3984538</v>
      </c>
      <c r="M27" s="18" t="n">
        <v>0</v>
      </c>
      <c r="N27" s="20" t="n">
        <v>0</v>
      </c>
      <c r="O27" s="18" t="n">
        <v>0</v>
      </c>
      <c r="P27" s="20" t="n">
        <v>0</v>
      </c>
      <c r="Q27" s="18" t="n">
        <v>1.23923589</v>
      </c>
      <c r="R27" s="20" t="n">
        <v>0.52531247</v>
      </c>
    </row>
    <row r="28" spans="1:18">
      <c r="A28" s="15" t="s">
        <v>588</v>
      </c>
      <c r="B28" s="17" t="n">
        <v>3765</v>
      </c>
      <c r="C28" s="18">
        <f>(3074.0/B28*100)</f>
        <v/>
      </c>
      <c r="D28" s="19" t="n">
        <v>691</v>
      </c>
      <c r="E28" s="18" t="n">
        <v>53.30337732</v>
      </c>
      <c r="F28" s="20" t="n">
        <v>2.21342038</v>
      </c>
      <c r="G28" s="18" t="n">
        <v>44.67102981</v>
      </c>
      <c r="H28" s="20" t="n">
        <v>2.22411433</v>
      </c>
      <c r="I28" s="18" t="s">
        <v>567</v>
      </c>
      <c r="J28" s="20" t="s">
        <v>567</v>
      </c>
      <c r="K28" s="18" t="n">
        <v>0.98348477</v>
      </c>
      <c r="L28" s="20" t="n">
        <v>0.39746881</v>
      </c>
      <c r="M28" s="18" t="n">
        <v>0</v>
      </c>
      <c r="N28" s="20" t="n">
        <v>0</v>
      </c>
      <c r="O28" s="18" t="n">
        <v>0</v>
      </c>
      <c r="P28" s="20" t="n">
        <v>0</v>
      </c>
      <c r="Q28" s="18" t="n">
        <v>1.0421081</v>
      </c>
      <c r="R28" s="20" t="n">
        <v>0.41511861</v>
      </c>
    </row>
    <row r="29" spans="1:18">
      <c r="A29" s="15" t="s">
        <v>589</v>
      </c>
      <c r="B29" s="17" t="n">
        <v>2685</v>
      </c>
      <c r="C29" s="18">
        <f>(2100.0/B29*100)</f>
        <v/>
      </c>
      <c r="D29" s="19" t="n">
        <v>585</v>
      </c>
      <c r="E29" s="18" t="n">
        <v>31.40332072</v>
      </c>
      <c r="F29" s="20" t="n">
        <v>1.78280167</v>
      </c>
      <c r="G29" s="18" t="n">
        <v>67.70629497</v>
      </c>
      <c r="H29" s="20" t="n">
        <v>1.81022759</v>
      </c>
      <c r="I29" s="18" t="s">
        <v>567</v>
      </c>
      <c r="J29" s="20" t="s">
        <v>567</v>
      </c>
      <c r="K29" s="18" t="n">
        <v>0.70817308</v>
      </c>
      <c r="L29" s="20" t="n">
        <v>0.35503876</v>
      </c>
      <c r="M29" s="18" t="n">
        <v>0</v>
      </c>
      <c r="N29" s="20" t="n">
        <v>0</v>
      </c>
      <c r="O29" s="18" t="n">
        <v>0</v>
      </c>
      <c r="P29" s="20" t="n">
        <v>0</v>
      </c>
      <c r="Q29" s="18" t="n">
        <v>0.18221123</v>
      </c>
      <c r="R29" s="20" t="n">
        <v>0.16164108</v>
      </c>
    </row>
    <row r="30" spans="1:18">
      <c r="A30" s="15" t="s">
        <v>590</v>
      </c>
      <c r="B30" s="17" t="n">
        <v>2263</v>
      </c>
      <c r="C30" s="18">
        <f>(1792.0/B30*100)</f>
        <v/>
      </c>
      <c r="D30" s="19" t="n">
        <v>471</v>
      </c>
      <c r="E30" s="18" t="n">
        <v>23.13509506</v>
      </c>
      <c r="F30" s="20" t="n">
        <v>2.02190084</v>
      </c>
      <c r="G30" s="18" t="n">
        <v>74.68933483000001</v>
      </c>
      <c r="H30" s="20" t="n">
        <v>2.39529676</v>
      </c>
      <c r="I30" s="18" t="s">
        <v>567</v>
      </c>
      <c r="J30" s="20" t="s">
        <v>567</v>
      </c>
      <c r="K30" s="18" t="n">
        <v>1.41089445</v>
      </c>
      <c r="L30" s="20" t="n">
        <v>0.56218153</v>
      </c>
      <c r="M30" s="18" t="n">
        <v>0</v>
      </c>
      <c r="N30" s="20" t="n">
        <v>0</v>
      </c>
      <c r="O30" s="18" t="n">
        <v>0</v>
      </c>
      <c r="P30" s="20" t="n">
        <v>0</v>
      </c>
      <c r="Q30" s="18" t="n">
        <v>0.76467567</v>
      </c>
      <c r="R30" s="20" t="n">
        <v>0.44878912</v>
      </c>
    </row>
    <row r="31" spans="1:18">
      <c r="A31" s="15" t="s">
        <v>591</v>
      </c>
      <c r="B31" s="17" t="n">
        <v>2750</v>
      </c>
      <c r="C31" s="18">
        <f>(2188.0/B31*100)</f>
        <v/>
      </c>
      <c r="D31" s="19" t="n">
        <v>562</v>
      </c>
      <c r="E31" s="18" t="n">
        <v>25.71428895</v>
      </c>
      <c r="F31" s="20" t="n">
        <v>1.63708449</v>
      </c>
      <c r="G31" s="18" t="n">
        <v>71.74016034</v>
      </c>
      <c r="H31" s="20" t="n">
        <v>1.69580036</v>
      </c>
      <c r="I31" s="18" t="s">
        <v>567</v>
      </c>
      <c r="J31" s="20" t="s">
        <v>567</v>
      </c>
      <c r="K31" s="18" t="n">
        <v>1.15165336</v>
      </c>
      <c r="L31" s="20" t="n">
        <v>0.43954184</v>
      </c>
      <c r="M31" s="18" t="n">
        <v>0</v>
      </c>
      <c r="N31" s="20" t="n">
        <v>0</v>
      </c>
      <c r="O31" s="18" t="n">
        <v>0</v>
      </c>
      <c r="P31" s="20" t="n">
        <v>0</v>
      </c>
      <c r="Q31" s="18" t="n">
        <v>1.39389735</v>
      </c>
      <c r="R31" s="20" t="n">
        <v>0.54597366</v>
      </c>
    </row>
    <row r="32" spans="1:18">
      <c r="A32" s="15" t="s">
        <v>592</v>
      </c>
      <c r="B32" s="17" t="n">
        <v>2269</v>
      </c>
      <c r="C32" s="18">
        <f>(1812.0/B32*100)</f>
        <v/>
      </c>
      <c r="D32" s="19" t="n">
        <v>457</v>
      </c>
      <c r="E32" s="18" t="n">
        <v>33.87293129</v>
      </c>
      <c r="F32" s="20" t="n">
        <v>2.37256543</v>
      </c>
      <c r="G32" s="18" t="n">
        <v>64.9807376</v>
      </c>
      <c r="H32" s="20" t="n">
        <v>2.56102703</v>
      </c>
      <c r="I32" s="18" t="s">
        <v>567</v>
      </c>
      <c r="J32" s="20" t="s">
        <v>567</v>
      </c>
      <c r="K32" s="18" t="n">
        <v>0.40084994</v>
      </c>
      <c r="L32" s="20" t="n">
        <v>0.29551849</v>
      </c>
      <c r="M32" s="18" t="n">
        <v>0</v>
      </c>
      <c r="N32" s="20" t="n">
        <v>0</v>
      </c>
      <c r="O32" s="18" t="n">
        <v>0</v>
      </c>
      <c r="P32" s="20" t="n">
        <v>0</v>
      </c>
      <c r="Q32" s="18" t="n">
        <v>0.74548117</v>
      </c>
      <c r="R32" s="20" t="n">
        <v>0.5047571199999999</v>
      </c>
    </row>
    <row r="33" spans="1:18">
      <c r="A33" s="15" t="s">
        <v>593</v>
      </c>
      <c r="B33" s="17" t="n">
        <v>3674</v>
      </c>
      <c r="C33" s="18">
        <f>(2903.0/B33*100)</f>
        <v/>
      </c>
      <c r="D33" s="19" t="n">
        <v>771</v>
      </c>
      <c r="E33" s="18" t="n">
        <v>28.75256006</v>
      </c>
      <c r="F33" s="20" t="n">
        <v>1.72409706</v>
      </c>
      <c r="G33" s="18" t="n">
        <v>70.22712647</v>
      </c>
      <c r="H33" s="20" t="n">
        <v>1.75145903</v>
      </c>
      <c r="I33" s="18" t="s">
        <v>567</v>
      </c>
      <c r="J33" s="20" t="s">
        <v>567</v>
      </c>
      <c r="K33" s="18" t="n">
        <v>0.56270387</v>
      </c>
      <c r="L33" s="20" t="n">
        <v>0.31054984</v>
      </c>
      <c r="M33" s="18" t="n">
        <v>0</v>
      </c>
      <c r="N33" s="20" t="n">
        <v>0</v>
      </c>
      <c r="O33" s="18" t="n">
        <v>0</v>
      </c>
      <c r="P33" s="20" t="n">
        <v>0</v>
      </c>
      <c r="Q33" s="18" t="n">
        <v>0.4576096</v>
      </c>
      <c r="R33" s="20" t="n">
        <v>0.23026328</v>
      </c>
    </row>
    <row r="34" spans="1:18">
      <c r="A34" s="15" t="s">
        <v>594</v>
      </c>
      <c r="B34" s="17" t="n">
        <v>3315</v>
      </c>
      <c r="C34" s="18">
        <f>(2615.0/B34*100)</f>
        <v/>
      </c>
      <c r="D34" s="19" t="n">
        <v>700</v>
      </c>
      <c r="E34" s="18" t="n">
        <v>39.45489338</v>
      </c>
      <c r="F34" s="20" t="n">
        <v>2.05091121</v>
      </c>
      <c r="G34" s="18" t="n">
        <v>59.25759965</v>
      </c>
      <c r="H34" s="20" t="n">
        <v>2.12576743</v>
      </c>
      <c r="I34" s="18" t="s">
        <v>567</v>
      </c>
      <c r="J34" s="20" t="s">
        <v>567</v>
      </c>
      <c r="K34" s="18" t="n">
        <v>0.69173551</v>
      </c>
      <c r="L34" s="20" t="n">
        <v>0.33319442</v>
      </c>
      <c r="M34" s="18" t="n">
        <v>0</v>
      </c>
      <c r="N34" s="20" t="n">
        <v>0</v>
      </c>
      <c r="O34" s="18" t="n">
        <v>0</v>
      </c>
      <c r="P34" s="20" t="n">
        <v>0</v>
      </c>
      <c r="Q34" s="18" t="n">
        <v>0.59577146</v>
      </c>
      <c r="R34" s="20" t="n">
        <v>0.27119591</v>
      </c>
    </row>
    <row r="35" spans="1:18">
      <c r="A35" s="15" t="s">
        <v>595</v>
      </c>
      <c r="B35" s="17" t="n">
        <v>3505</v>
      </c>
      <c r="C35" s="18">
        <f>(2716.0/B35*100)</f>
        <v/>
      </c>
      <c r="D35" s="19" t="n">
        <v>789</v>
      </c>
      <c r="E35" s="18" t="n">
        <v>25.65000919</v>
      </c>
      <c r="F35" s="20" t="n">
        <v>1.78122932</v>
      </c>
      <c r="G35" s="18" t="n">
        <v>72.95816957</v>
      </c>
      <c r="H35" s="20" t="n">
        <v>1.84403242</v>
      </c>
      <c r="I35" s="18" t="s">
        <v>567</v>
      </c>
      <c r="J35" s="20" t="s">
        <v>567</v>
      </c>
      <c r="K35" s="18" t="n">
        <v>0.31490162</v>
      </c>
      <c r="L35" s="20" t="n">
        <v>0.21404364</v>
      </c>
      <c r="M35" s="18" t="n">
        <v>0</v>
      </c>
      <c r="N35" s="20" t="n">
        <v>0</v>
      </c>
      <c r="O35" s="18" t="n">
        <v>0</v>
      </c>
      <c r="P35" s="20" t="n">
        <v>0</v>
      </c>
      <c r="Q35" s="18" t="n">
        <v>1.07691962</v>
      </c>
      <c r="R35" s="20" t="n">
        <v>0.42624586</v>
      </c>
    </row>
    <row r="36" spans="1:18">
      <c r="A36" s="15" t="s">
        <v>596</v>
      </c>
      <c r="B36" s="17" t="n">
        <v>3332</v>
      </c>
      <c r="C36" s="18">
        <f>(2636.0/B36*100)</f>
        <v/>
      </c>
      <c r="D36" s="19" t="n">
        <v>696</v>
      </c>
      <c r="E36" s="18" t="n">
        <v>30.41922446</v>
      </c>
      <c r="F36" s="20" t="n">
        <v>1.82075469</v>
      </c>
      <c r="G36" s="18" t="n">
        <v>67.67027441</v>
      </c>
      <c r="H36" s="20" t="n">
        <v>1.82229715</v>
      </c>
      <c r="I36" s="18" t="s">
        <v>567</v>
      </c>
      <c r="J36" s="20" t="s">
        <v>567</v>
      </c>
      <c r="K36" s="18" t="n">
        <v>1.07564953</v>
      </c>
      <c r="L36" s="20" t="n">
        <v>0.36348381</v>
      </c>
      <c r="M36" s="18" t="n">
        <v>0</v>
      </c>
      <c r="N36" s="20" t="n">
        <v>0</v>
      </c>
      <c r="O36" s="18" t="n">
        <v>0</v>
      </c>
      <c r="P36" s="20" t="n">
        <v>0</v>
      </c>
      <c r="Q36" s="18" t="n">
        <v>0.8348516</v>
      </c>
      <c r="R36" s="20" t="n">
        <v>0.40925092</v>
      </c>
    </row>
    <row r="37" spans="1:18">
      <c r="A37" s="15" t="s">
        <v>597</v>
      </c>
      <c r="B37" s="17" t="n">
        <v>2727</v>
      </c>
      <c r="C37" s="18">
        <f>(2143.0/B37*100)</f>
        <v/>
      </c>
      <c r="D37" s="19" t="n">
        <v>584</v>
      </c>
      <c r="E37" s="18" t="n">
        <v>26.08845627</v>
      </c>
      <c r="F37" s="20" t="n">
        <v>1.89867802</v>
      </c>
      <c r="G37" s="18" t="n">
        <v>69.87098424</v>
      </c>
      <c r="H37" s="20" t="n">
        <v>1.99324741</v>
      </c>
      <c r="I37" s="18" t="s">
        <v>567</v>
      </c>
      <c r="J37" s="20" t="s">
        <v>567</v>
      </c>
      <c r="K37" s="18" t="n">
        <v>3.03300408</v>
      </c>
      <c r="L37" s="20" t="n">
        <v>0.7446577</v>
      </c>
      <c r="M37" s="18" t="n">
        <v>0</v>
      </c>
      <c r="N37" s="20" t="n">
        <v>0</v>
      </c>
      <c r="O37" s="18" t="n">
        <v>0</v>
      </c>
      <c r="P37" s="20" t="n">
        <v>0</v>
      </c>
      <c r="Q37" s="18" t="n">
        <v>1.00755541</v>
      </c>
      <c r="R37" s="20" t="n">
        <v>0.46405902</v>
      </c>
    </row>
    <row r="38" spans="1:18">
      <c r="A38" s="15" t="s">
        <v>598</v>
      </c>
      <c r="B38" s="17" t="n">
        <v>3053</v>
      </c>
      <c r="C38" s="18">
        <f>(2342.0/B38*100)</f>
        <v/>
      </c>
      <c r="D38" s="19" t="n">
        <v>711</v>
      </c>
      <c r="E38" s="18" t="n">
        <v>26.41559055</v>
      </c>
      <c r="F38" s="20" t="n">
        <v>1.80169592</v>
      </c>
      <c r="G38" s="18" t="n">
        <v>71.27023483000001</v>
      </c>
      <c r="H38" s="20" t="n">
        <v>1.73475987</v>
      </c>
      <c r="I38" s="18" t="s">
        <v>567</v>
      </c>
      <c r="J38" s="20" t="s">
        <v>567</v>
      </c>
      <c r="K38" s="18" t="n">
        <v>1.8528384</v>
      </c>
      <c r="L38" s="20" t="n">
        <v>0.54336423</v>
      </c>
      <c r="M38" s="18" t="n">
        <v>0</v>
      </c>
      <c r="N38" s="20" t="n">
        <v>0</v>
      </c>
      <c r="O38" s="18" t="n">
        <v>0</v>
      </c>
      <c r="P38" s="20" t="n">
        <v>0</v>
      </c>
      <c r="Q38" s="18" t="n">
        <v>0.46133622</v>
      </c>
      <c r="R38" s="20" t="n">
        <v>0.27272678</v>
      </c>
    </row>
    <row r="39" spans="1:18">
      <c r="A39" s="15" t="s">
        <v>599</v>
      </c>
      <c r="B39" s="17" t="n">
        <v>2957</v>
      </c>
      <c r="C39" s="18">
        <f>(2313.0/B39*100)</f>
        <v/>
      </c>
      <c r="D39" s="19" t="n">
        <v>644</v>
      </c>
      <c r="E39" s="18" t="n">
        <v>48.07266591</v>
      </c>
      <c r="F39" s="20" t="n">
        <v>2.29512892</v>
      </c>
      <c r="G39" s="18" t="n">
        <v>49.73140953</v>
      </c>
      <c r="H39" s="20" t="n">
        <v>2.17817733</v>
      </c>
      <c r="I39" s="18" t="s">
        <v>567</v>
      </c>
      <c r="J39" s="20" t="s">
        <v>567</v>
      </c>
      <c r="K39" s="18" t="n">
        <v>0.77509175</v>
      </c>
      <c r="L39" s="20" t="n">
        <v>0.34637123</v>
      </c>
      <c r="M39" s="18" t="n">
        <v>0</v>
      </c>
      <c r="N39" s="20" t="n">
        <v>0</v>
      </c>
      <c r="O39" s="18" t="n">
        <v>0</v>
      </c>
      <c r="P39" s="20" t="n">
        <v>0</v>
      </c>
      <c r="Q39" s="18" t="n">
        <v>1.4208328</v>
      </c>
      <c r="R39" s="20" t="n">
        <v>0.50260083</v>
      </c>
    </row>
    <row r="40" spans="1:18">
      <c r="A40" s="15" t="s">
        <v>600</v>
      </c>
      <c r="B40" s="17" t="n">
        <v>7235</v>
      </c>
      <c r="C40" s="18">
        <f>(5593.0/B40*100)</f>
        <v/>
      </c>
      <c r="D40" s="19" t="n">
        <v>1642</v>
      </c>
      <c r="E40" s="18" t="n">
        <v>29.61302291</v>
      </c>
      <c r="F40" s="20" t="n">
        <v>1.72660746</v>
      </c>
      <c r="G40" s="18" t="n">
        <v>68.11127077</v>
      </c>
      <c r="H40" s="20" t="n">
        <v>1.85069091</v>
      </c>
      <c r="I40" s="18" t="s">
        <v>567</v>
      </c>
      <c r="J40" s="20" t="s">
        <v>567</v>
      </c>
      <c r="K40" s="18" t="n">
        <v>0.70685544</v>
      </c>
      <c r="L40" s="20" t="n">
        <v>0.29277325</v>
      </c>
      <c r="M40" s="18" t="n">
        <v>0</v>
      </c>
      <c r="N40" s="20" t="n">
        <v>0</v>
      </c>
      <c r="O40" s="18" t="n">
        <v>0</v>
      </c>
      <c r="P40" s="20" t="n">
        <v>0</v>
      </c>
      <c r="Q40" s="18" t="n">
        <v>1.56885089</v>
      </c>
      <c r="R40" s="20" t="n">
        <v>0.51528681</v>
      </c>
    </row>
    <row r="41" spans="1:18">
      <c r="A41" s="15" t="s">
        <v>601</v>
      </c>
      <c r="B41" s="17" t="n">
        <v>2858</v>
      </c>
      <c r="C41" s="18">
        <f>(2262.0/B41*100)</f>
        <v/>
      </c>
      <c r="D41" s="19" t="n">
        <v>596</v>
      </c>
      <c r="E41" s="18" t="n">
        <v>28.56979667</v>
      </c>
      <c r="F41" s="20" t="n">
        <v>2.37786023</v>
      </c>
      <c r="G41" s="18" t="n">
        <v>69.86929569</v>
      </c>
      <c r="H41" s="20" t="n">
        <v>2.43821965</v>
      </c>
      <c r="I41" s="18" t="s">
        <v>567</v>
      </c>
      <c r="J41" s="20" t="s">
        <v>567</v>
      </c>
      <c r="K41" s="18" t="n">
        <v>0.65165315</v>
      </c>
      <c r="L41" s="20" t="n">
        <v>0.35949276</v>
      </c>
      <c r="M41" s="18" t="n">
        <v>0</v>
      </c>
      <c r="N41" s="20" t="n">
        <v>0</v>
      </c>
      <c r="O41" s="18" t="n">
        <v>0</v>
      </c>
      <c r="P41" s="20" t="n">
        <v>0</v>
      </c>
      <c r="Q41" s="18" t="n">
        <v>0.90925449</v>
      </c>
      <c r="R41" s="20" t="n">
        <v>0.38892113</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(9294.0/B46*100)</f>
        <v/>
      </c>
      <c r="D46" s="19" t="n">
        <v>1774</v>
      </c>
      <c r="E46" s="18" t="n">
        <v>52.35242696</v>
      </c>
      <c r="F46" s="20" t="n">
        <v>1.46508956</v>
      </c>
      <c r="G46" s="18" t="n">
        <v>43.67425139</v>
      </c>
      <c r="H46" s="20" t="n">
        <v>1.52669215</v>
      </c>
      <c r="I46" s="18" t="s">
        <v>567</v>
      </c>
      <c r="J46" s="20" t="s">
        <v>567</v>
      </c>
      <c r="K46" s="18" t="n">
        <v>2.94471604</v>
      </c>
      <c r="L46" s="20" t="n">
        <v>0.60610804</v>
      </c>
      <c r="M46" s="18" t="n">
        <v>0</v>
      </c>
      <c r="N46" s="20" t="n">
        <v>0</v>
      </c>
      <c r="O46" s="18" t="n">
        <v>0</v>
      </c>
      <c r="P46" s="20" t="n">
        <v>0</v>
      </c>
      <c r="Q46" s="18" t="n">
        <v>1.02860561</v>
      </c>
      <c r="R46" s="20" t="n">
        <v>0.26018888</v>
      </c>
    </row>
    <row r="47" spans="1:18">
      <c r="A47" s="15" t="s">
        <v>607</v>
      </c>
      <c r="B47" s="17" t="n">
        <v>3105</v>
      </c>
      <c r="C47" s="18">
        <f>(2459.0/B47*100)</f>
        <v/>
      </c>
      <c r="D47" s="19" t="n">
        <v>646</v>
      </c>
      <c r="E47" s="18" t="n">
        <v>42.86627284</v>
      </c>
      <c r="F47" s="20" t="n">
        <v>2.59267336</v>
      </c>
      <c r="G47" s="18" t="n">
        <v>53.66488918</v>
      </c>
      <c r="H47" s="20" t="n">
        <v>2.63775405</v>
      </c>
      <c r="I47" s="18" t="s">
        <v>567</v>
      </c>
      <c r="J47" s="20" t="s">
        <v>567</v>
      </c>
      <c r="K47" s="18" t="n">
        <v>1.52497086</v>
      </c>
      <c r="L47" s="20" t="n">
        <v>0.53065064</v>
      </c>
      <c r="M47" s="18" t="n">
        <v>0</v>
      </c>
      <c r="N47" s="20" t="n">
        <v>0</v>
      </c>
      <c r="O47" s="18" t="n">
        <v>0</v>
      </c>
      <c r="P47" s="20" t="n">
        <v>0</v>
      </c>
      <c r="Q47" s="18" t="n">
        <v>1.94386711</v>
      </c>
      <c r="R47" s="20" t="n">
        <v>0.5599109</v>
      </c>
    </row>
    <row r="48" spans="1:18">
      <c r="A48" s="15" t="s">
        <v>608</v>
      </c>
      <c r="B48" s="17" t="n">
        <v>5159</v>
      </c>
      <c r="C48" s="18">
        <f>(4019.0/B48*100)</f>
        <v/>
      </c>
      <c r="D48" s="19" t="n">
        <v>1140</v>
      </c>
      <c r="E48" s="18" t="n">
        <v>23.87642314</v>
      </c>
      <c r="F48" s="20" t="n">
        <v>1.72890062</v>
      </c>
      <c r="G48" s="18" t="n">
        <v>74.36253082</v>
      </c>
      <c r="H48" s="20" t="n">
        <v>1.69035273</v>
      </c>
      <c r="I48" s="18" t="s">
        <v>567</v>
      </c>
      <c r="J48" s="20" t="s">
        <v>567</v>
      </c>
      <c r="K48" s="18" t="n">
        <v>1.44456602</v>
      </c>
      <c r="L48" s="20" t="n">
        <v>0.86931372</v>
      </c>
      <c r="M48" s="18" t="n">
        <v>0</v>
      </c>
      <c r="N48" s="20" t="n">
        <v>0</v>
      </c>
      <c r="O48" s="18" t="n">
        <v>0</v>
      </c>
      <c r="P48" s="20" t="n">
        <v>0</v>
      </c>
      <c r="Q48" s="18" t="n">
        <v>0.31648002</v>
      </c>
      <c r="R48" s="20" t="n">
        <v>0.17152149</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(4466.0/B50*100)</f>
        <v/>
      </c>
      <c r="D50" s="19" t="n">
        <v>1171</v>
      </c>
      <c r="E50" s="18" t="n">
        <v>49.16854127</v>
      </c>
      <c r="F50" s="20" t="n">
        <v>2.62140884</v>
      </c>
      <c r="G50" s="18" t="n">
        <v>47.3971621</v>
      </c>
      <c r="H50" s="20" t="n">
        <v>2.55160519</v>
      </c>
      <c r="I50" s="18" t="s">
        <v>567</v>
      </c>
      <c r="J50" s="20" t="s">
        <v>567</v>
      </c>
      <c r="K50" s="18" t="n">
        <v>2.77300188</v>
      </c>
      <c r="L50" s="20" t="n">
        <v>0.7918430400000001</v>
      </c>
      <c r="M50" s="18" t="n">
        <v>0</v>
      </c>
      <c r="N50" s="20" t="n">
        <v>0</v>
      </c>
      <c r="O50" s="18" t="n">
        <v>0</v>
      </c>
      <c r="P50" s="20" t="n">
        <v>0</v>
      </c>
      <c r="Q50" s="18" t="n">
        <v>0.66129476</v>
      </c>
      <c r="R50" s="20" t="n">
        <v>0.29109579</v>
      </c>
    </row>
    <row r="51" spans="1:18">
      <c r="A51" s="15" t="s">
        <v>611</v>
      </c>
      <c r="B51" s="17" t="n">
        <v>3372</v>
      </c>
      <c r="C51" s="18">
        <f>(2766.0/B51*100)</f>
        <v/>
      </c>
      <c r="D51" s="19" t="n">
        <v>606</v>
      </c>
      <c r="E51" s="18" t="n">
        <v>44.41965508</v>
      </c>
      <c r="F51" s="20" t="n">
        <v>2.2345598</v>
      </c>
      <c r="G51" s="18" t="n">
        <v>53.48452399</v>
      </c>
      <c r="H51" s="20" t="n">
        <v>2.23414636</v>
      </c>
      <c r="I51" s="18" t="s">
        <v>567</v>
      </c>
      <c r="J51" s="20" t="s">
        <v>567</v>
      </c>
      <c r="K51" s="18" t="n">
        <v>1.35773657</v>
      </c>
      <c r="L51" s="20" t="n">
        <v>0.49077549</v>
      </c>
      <c r="M51" s="18" t="n">
        <v>0</v>
      </c>
      <c r="N51" s="20" t="n">
        <v>0</v>
      </c>
      <c r="O51" s="18" t="n">
        <v>0</v>
      </c>
      <c r="P51" s="20" t="n">
        <v>0</v>
      </c>
      <c r="Q51" s="18" t="n">
        <v>0.73808437</v>
      </c>
      <c r="R51" s="20" t="n">
        <v>0.31869912</v>
      </c>
    </row>
    <row r="52" spans="1:18">
      <c r="A52" s="15" t="s">
        <v>612</v>
      </c>
      <c r="B52" s="17" t="n">
        <v>2796</v>
      </c>
      <c r="C52" s="18">
        <f>(2188.0/B52*100)</f>
        <v/>
      </c>
      <c r="D52" s="19" t="n">
        <v>608</v>
      </c>
      <c r="E52" s="18" t="n">
        <v>37.73890305</v>
      </c>
      <c r="F52" s="20" t="n">
        <v>2.00267078</v>
      </c>
      <c r="G52" s="18" t="n">
        <v>61.09029288</v>
      </c>
      <c r="H52" s="20" t="n">
        <v>2.07919855</v>
      </c>
      <c r="I52" s="18" t="s">
        <v>567</v>
      </c>
      <c r="J52" s="20" t="s">
        <v>567</v>
      </c>
      <c r="K52" s="18" t="n">
        <v>0.43015875</v>
      </c>
      <c r="L52" s="20" t="n">
        <v>0.24502109</v>
      </c>
      <c r="M52" s="18" t="n">
        <v>0</v>
      </c>
      <c r="N52" s="20" t="n">
        <v>0</v>
      </c>
      <c r="O52" s="18" t="n">
        <v>0</v>
      </c>
      <c r="P52" s="20" t="n">
        <v>0</v>
      </c>
      <c r="Q52" s="18" t="n">
        <v>0.74064533</v>
      </c>
      <c r="R52" s="20" t="n">
        <v>0.37777748</v>
      </c>
    </row>
    <row r="53" spans="1:18">
      <c r="A53" s="15" t="s">
        <v>613</v>
      </c>
      <c r="B53" s="17" t="n">
        <v>2811</v>
      </c>
      <c r="C53" s="18">
        <f>(2189.0/B53*100)</f>
        <v/>
      </c>
      <c r="D53" s="19" t="n">
        <v>622</v>
      </c>
      <c r="E53" s="18" t="n">
        <v>46.06823989</v>
      </c>
      <c r="F53" s="20" t="n">
        <v>2.14419859</v>
      </c>
      <c r="G53" s="18" t="n">
        <v>51.38438024</v>
      </c>
      <c r="H53" s="20" t="n">
        <v>2.24041622</v>
      </c>
      <c r="I53" s="18" t="s">
        <v>567</v>
      </c>
      <c r="J53" s="20" t="s">
        <v>567</v>
      </c>
      <c r="K53" s="18" t="n">
        <v>0.99751729</v>
      </c>
      <c r="L53" s="20" t="n">
        <v>0.3357955</v>
      </c>
      <c r="M53" s="18" t="n">
        <v>0</v>
      </c>
      <c r="N53" s="20" t="n">
        <v>0</v>
      </c>
      <c r="O53" s="18" t="n">
        <v>0</v>
      </c>
      <c r="P53" s="20" t="n">
        <v>0</v>
      </c>
      <c r="Q53" s="18" t="n">
        <v>1.54986258</v>
      </c>
      <c r="R53" s="20" t="n">
        <v>0.45886362</v>
      </c>
    </row>
    <row r="54" spans="1:18">
      <c r="A54" s="15" t="s">
        <v>614</v>
      </c>
      <c r="B54" s="17" t="n">
        <v>2266</v>
      </c>
      <c r="C54" s="18">
        <f>(1792.0/B54*100)</f>
        <v/>
      </c>
      <c r="D54" s="19" t="n">
        <v>474</v>
      </c>
      <c r="E54" s="18" t="n">
        <v>46.03112217</v>
      </c>
      <c r="F54" s="20" t="n">
        <v>2.1813897</v>
      </c>
      <c r="G54" s="18" t="n">
        <v>29.43254922</v>
      </c>
      <c r="H54" s="20" t="n">
        <v>2.28738879</v>
      </c>
      <c r="I54" s="18" t="s">
        <v>567</v>
      </c>
      <c r="J54" s="20" t="s">
        <v>567</v>
      </c>
      <c r="K54" s="18" t="n">
        <v>22.5525078</v>
      </c>
      <c r="L54" s="20" t="n">
        <v>2.26213105</v>
      </c>
      <c r="M54" s="18" t="n">
        <v>0</v>
      </c>
      <c r="N54" s="20" t="n">
        <v>0</v>
      </c>
      <c r="O54" s="18" t="n">
        <v>0</v>
      </c>
      <c r="P54" s="20" t="n">
        <v>0</v>
      </c>
      <c r="Q54" s="18" t="n">
        <v>1.98382081</v>
      </c>
      <c r="R54" s="20" t="n">
        <v>0.81100797</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(2094.0/B56*100)</f>
        <v/>
      </c>
      <c r="D56" s="19" t="n">
        <v>590</v>
      </c>
      <c r="E56" s="18" t="n">
        <v>25.68180377</v>
      </c>
      <c r="F56" s="20" t="n">
        <v>1.91007633</v>
      </c>
      <c r="G56" s="18" t="n">
        <v>73.66907875</v>
      </c>
      <c r="H56" s="20" t="n">
        <v>1.97974663</v>
      </c>
      <c r="I56" s="18" t="s">
        <v>567</v>
      </c>
      <c r="J56" s="20" t="s">
        <v>567</v>
      </c>
      <c r="K56" s="18" t="n">
        <v>0.44824519</v>
      </c>
      <c r="L56" s="20" t="n">
        <v>0.35971495</v>
      </c>
      <c r="M56" s="18" t="n">
        <v>0</v>
      </c>
      <c r="N56" s="20" t="n">
        <v>0</v>
      </c>
      <c r="O56" s="18" t="n">
        <v>0</v>
      </c>
      <c r="P56" s="20" t="n">
        <v>0</v>
      </c>
      <c r="Q56" s="18" t="n">
        <v>0.20087229</v>
      </c>
      <c r="R56" s="20" t="n">
        <v>0.19296936</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(2607.0/B61*100)</f>
        <v/>
      </c>
      <c r="D61" s="19" t="n">
        <v>717</v>
      </c>
      <c r="E61" s="18" t="n">
        <v>34.85142725</v>
      </c>
      <c r="F61" s="20" t="n">
        <v>1.81024626</v>
      </c>
      <c r="G61" s="18" t="n">
        <v>63.76336815</v>
      </c>
      <c r="H61" s="20" t="n">
        <v>1.88768446</v>
      </c>
      <c r="I61" s="18" t="s">
        <v>567</v>
      </c>
      <c r="J61" s="20" t="s">
        <v>567</v>
      </c>
      <c r="K61" s="18" t="n">
        <v>0.23611171</v>
      </c>
      <c r="L61" s="20" t="n">
        <v>0.17510846</v>
      </c>
      <c r="M61" s="18" t="n">
        <v>0</v>
      </c>
      <c r="N61" s="20" t="n">
        <v>0</v>
      </c>
      <c r="O61" s="18" t="n">
        <v>0</v>
      </c>
      <c r="P61" s="20" t="n">
        <v>0</v>
      </c>
      <c r="Q61" s="18" t="n">
        <v>1.1490929</v>
      </c>
      <c r="R61" s="20" t="n">
        <v>0.45804481</v>
      </c>
    </row>
    <row r="62" spans="1:18">
      <c r="A62" s="15" t="s">
        <v>622</v>
      </c>
      <c r="B62" s="17" t="n">
        <v>2246</v>
      </c>
      <c r="C62" s="18">
        <f>(1751.0/B62*100)</f>
        <v/>
      </c>
      <c r="D62" s="19" t="n">
        <v>495</v>
      </c>
      <c r="E62" s="18" t="n">
        <v>25.65663726</v>
      </c>
      <c r="F62" s="20" t="n">
        <v>1.69660593</v>
      </c>
      <c r="G62" s="18" t="n">
        <v>74.34336274</v>
      </c>
      <c r="H62" s="20" t="n">
        <v>1.69660593</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(2328.0/B66*100)</f>
        <v/>
      </c>
      <c r="D66" s="19" t="n">
        <v>566</v>
      </c>
      <c r="E66" s="18" t="n">
        <v>45.98519275</v>
      </c>
      <c r="F66" s="20" t="n">
        <v>2.02938537</v>
      </c>
      <c r="G66" s="18" t="n">
        <v>47.13102935</v>
      </c>
      <c r="H66" s="20" t="n">
        <v>2.09157378</v>
      </c>
      <c r="I66" s="18" t="s">
        <v>567</v>
      </c>
      <c r="J66" s="20" t="s">
        <v>567</v>
      </c>
      <c r="K66" s="18" t="n">
        <v>3.1535951</v>
      </c>
      <c r="L66" s="20" t="n">
        <v>0.7284422699999999</v>
      </c>
      <c r="M66" s="18" t="n">
        <v>0</v>
      </c>
      <c r="N66" s="20" t="n">
        <v>0</v>
      </c>
      <c r="O66" s="18" t="n">
        <v>0</v>
      </c>
      <c r="P66" s="20" t="n">
        <v>0</v>
      </c>
      <c r="Q66" s="18" t="n">
        <v>3.7301828</v>
      </c>
      <c r="R66" s="20" t="n">
        <v>0.88107331</v>
      </c>
    </row>
    <row r="67" spans="1:18">
      <c r="A67" s="15" t="s">
        <v>627</v>
      </c>
      <c r="B67" s="17" t="n">
        <v>3511</v>
      </c>
      <c r="C67" s="18">
        <f>(2853.0/B67*100)</f>
        <v/>
      </c>
      <c r="D67" s="19" t="n">
        <v>658</v>
      </c>
      <c r="E67" s="18" t="n">
        <v>50.66645819</v>
      </c>
      <c r="F67" s="20" t="n">
        <v>1.8733415</v>
      </c>
      <c r="G67" s="18" t="n">
        <v>47.93442007</v>
      </c>
      <c r="H67" s="20" t="n">
        <v>1.9776138</v>
      </c>
      <c r="I67" s="18" t="s">
        <v>567</v>
      </c>
      <c r="J67" s="20" t="s">
        <v>567</v>
      </c>
      <c r="K67" s="18" t="n">
        <v>1.0441091</v>
      </c>
      <c r="L67" s="20" t="n">
        <v>0.6606357899999999</v>
      </c>
      <c r="M67" s="18" t="n">
        <v>0</v>
      </c>
      <c r="N67" s="20" t="n">
        <v>0</v>
      </c>
      <c r="O67" s="18" t="n">
        <v>0</v>
      </c>
      <c r="P67" s="20" t="n">
        <v>0</v>
      </c>
      <c r="Q67" s="18" t="n">
        <v>0.35501263</v>
      </c>
      <c r="R67" s="20" t="n">
        <v>0.21009231</v>
      </c>
    </row>
    <row r="68" spans="1:18">
      <c r="A68" s="15" t="s">
        <v>628</v>
      </c>
      <c r="B68" s="17" t="n">
        <v>6049</v>
      </c>
      <c r="C68" s="18">
        <f>(4683.0/B68*100)</f>
        <v/>
      </c>
      <c r="D68" s="19" t="n">
        <v>1366</v>
      </c>
      <c r="E68" s="18" t="n">
        <v>45.49279619</v>
      </c>
      <c r="F68" s="20" t="n">
        <v>1.31606225</v>
      </c>
      <c r="G68" s="18" t="n">
        <v>47.1687482</v>
      </c>
      <c r="H68" s="20" t="n">
        <v>1.36404012</v>
      </c>
      <c r="I68" s="18" t="s">
        <v>567</v>
      </c>
      <c r="J68" s="20" t="s">
        <v>567</v>
      </c>
      <c r="K68" s="18" t="n">
        <v>5.4371369</v>
      </c>
      <c r="L68" s="20" t="n">
        <v>0.59008735</v>
      </c>
      <c r="M68" s="18" t="n">
        <v>0</v>
      </c>
      <c r="N68" s="20" t="n">
        <v>0</v>
      </c>
      <c r="O68" s="18" t="n">
        <v>0</v>
      </c>
      <c r="P68" s="20" t="n">
        <v>0</v>
      </c>
      <c r="Q68" s="18" t="n">
        <v>1.90131871</v>
      </c>
      <c r="R68" s="20" t="n">
        <v>0.37688193</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(2332.0/B70*100)</f>
        <v/>
      </c>
      <c r="D70" s="19" t="n">
        <v>597</v>
      </c>
      <c r="E70" s="18" t="n">
        <v>28.61772668</v>
      </c>
      <c r="F70" s="20" t="n">
        <v>1.81468052</v>
      </c>
      <c r="G70" s="18" t="n">
        <v>69.9623709</v>
      </c>
      <c r="H70" s="20" t="n">
        <v>2.00749031</v>
      </c>
      <c r="I70" s="18" t="s">
        <v>567</v>
      </c>
      <c r="J70" s="20" t="s">
        <v>567</v>
      </c>
      <c r="K70" s="18" t="n">
        <v>0.74036735</v>
      </c>
      <c r="L70" s="20" t="n">
        <v>0.34788921</v>
      </c>
      <c r="M70" s="18" t="n">
        <v>0</v>
      </c>
      <c r="N70" s="20" t="n">
        <v>0</v>
      </c>
      <c r="O70" s="18" t="n">
        <v>0</v>
      </c>
      <c r="P70" s="20" t="n">
        <v>0</v>
      </c>
      <c r="Q70" s="18" t="n">
        <v>0.67953507</v>
      </c>
      <c r="R70" s="20" t="n">
        <v>0.35800404</v>
      </c>
    </row>
    <row r="71" spans="1:18">
      <c r="A71" s="15" t="s">
        <v>631</v>
      </c>
      <c r="B71" s="17" t="n">
        <v>3142</v>
      </c>
      <c r="C71" s="18">
        <f>(2466.0/B71*100)</f>
        <v/>
      </c>
      <c r="D71" s="19" t="n">
        <v>676</v>
      </c>
      <c r="E71" s="18" t="n">
        <v>22.29433723</v>
      </c>
      <c r="F71" s="20" t="n">
        <v>1.7334244</v>
      </c>
      <c r="G71" s="18" t="n">
        <v>76.39788935</v>
      </c>
      <c r="H71" s="20" t="n">
        <v>1.68370033</v>
      </c>
      <c r="I71" s="18" t="s">
        <v>567</v>
      </c>
      <c r="J71" s="20" t="s">
        <v>567</v>
      </c>
      <c r="K71" s="18" t="n">
        <v>0.40092644</v>
      </c>
      <c r="L71" s="20" t="n">
        <v>0.23418554</v>
      </c>
      <c r="M71" s="18" t="n">
        <v>0</v>
      </c>
      <c r="N71" s="20" t="n">
        <v>0</v>
      </c>
      <c r="O71" s="18" t="n">
        <v>0</v>
      </c>
      <c r="P71" s="20" t="n">
        <v>0</v>
      </c>
      <c r="Q71" s="18" t="n">
        <v>0.90684697</v>
      </c>
      <c r="R71" s="20" t="n">
        <v>0.31232438</v>
      </c>
    </row>
    <row r="72" spans="1:18">
      <c r="A72" s="15" t="s">
        <v>632</v>
      </c>
      <c r="B72" s="17" t="n">
        <v>3889</v>
      </c>
      <c r="C72" s="18">
        <f>(3055.0/B72*100)</f>
        <v/>
      </c>
      <c r="D72" s="19" t="n">
        <v>834</v>
      </c>
      <c r="E72" s="18" t="n">
        <v>23.3252875</v>
      </c>
      <c r="F72" s="20" t="n">
        <v>1.51004151</v>
      </c>
      <c r="G72" s="18" t="n">
        <v>75.97046678</v>
      </c>
      <c r="H72" s="20" t="n">
        <v>1.48435962</v>
      </c>
      <c r="I72" s="18" t="s">
        <v>567</v>
      </c>
      <c r="J72" s="20" t="s">
        <v>567</v>
      </c>
      <c r="K72" s="18" t="n">
        <v>0.30761425</v>
      </c>
      <c r="L72" s="20" t="n">
        <v>0.19069915</v>
      </c>
      <c r="M72" s="18" t="n">
        <v>0</v>
      </c>
      <c r="N72" s="20" t="n">
        <v>0</v>
      </c>
      <c r="O72" s="18" t="n">
        <v>0</v>
      </c>
      <c r="P72" s="20" t="n">
        <v>0</v>
      </c>
      <c r="Q72" s="18" t="n">
        <v>0.39663147</v>
      </c>
      <c r="R72" s="20" t="n">
        <v>0.23470886</v>
      </c>
    </row>
    <row r="73" spans="1:18">
      <c r="A73" s="15" t="s">
        <v>633</v>
      </c>
      <c r="B73" s="17" t="n">
        <v>3597</v>
      </c>
      <c r="C73" s="18">
        <f>(2832.0/B73*100)</f>
        <v/>
      </c>
      <c r="D73" s="19" t="n">
        <v>765</v>
      </c>
      <c r="E73" s="18" t="n">
        <v>45.33388598</v>
      </c>
      <c r="F73" s="20" t="n">
        <v>2.54537026</v>
      </c>
      <c r="G73" s="18" t="n">
        <v>53.77842761</v>
      </c>
      <c r="H73" s="20" t="n">
        <v>2.4991984</v>
      </c>
      <c r="I73" s="18" t="s">
        <v>567</v>
      </c>
      <c r="J73" s="20" t="s">
        <v>567</v>
      </c>
      <c r="K73" s="18" t="n">
        <v>0.24254418</v>
      </c>
      <c r="L73" s="20" t="n">
        <v>0.14541666</v>
      </c>
      <c r="M73" s="18" t="n">
        <v>0</v>
      </c>
      <c r="N73" s="20" t="n">
        <v>0</v>
      </c>
      <c r="O73" s="18" t="n">
        <v>0</v>
      </c>
      <c r="P73" s="20" t="n">
        <v>0</v>
      </c>
      <c r="Q73" s="18" t="n">
        <v>0.64514223</v>
      </c>
      <c r="R73" s="20" t="n">
        <v>0.32003318</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(1950.0/B75*100)</f>
        <v/>
      </c>
      <c r="D75" s="19" t="n">
        <v>456</v>
      </c>
      <c r="E75" s="18" t="n">
        <v>47.91878383</v>
      </c>
      <c r="F75" s="20" t="n">
        <v>3.03613281</v>
      </c>
      <c r="G75" s="18" t="n">
        <v>45.86612922</v>
      </c>
      <c r="H75" s="20" t="n">
        <v>3.05554794</v>
      </c>
      <c r="I75" s="18" t="s">
        <v>567</v>
      </c>
      <c r="J75" s="20" t="s">
        <v>567</v>
      </c>
      <c r="K75" s="18" t="n">
        <v>4.04326725</v>
      </c>
      <c r="L75" s="20" t="n">
        <v>0.93119484</v>
      </c>
      <c r="M75" s="18" t="n">
        <v>0</v>
      </c>
      <c r="N75" s="20" t="n">
        <v>0</v>
      </c>
      <c r="O75" s="18" t="n">
        <v>0</v>
      </c>
      <c r="P75" s="20" t="n">
        <v>0</v>
      </c>
      <c r="Q75" s="18" t="n">
        <v>2.1718197</v>
      </c>
      <c r="R75" s="20" t="n">
        <v>0.57666311</v>
      </c>
    </row>
    <row r="76" spans="1:18">
      <c r="A76" s="15" t="s">
        <v>636</v>
      </c>
      <c r="B76" s="17" t="n">
        <v>7052</v>
      </c>
      <c r="C76" s="18">
        <f>(5493.0/B76*100)</f>
        <v/>
      </c>
      <c r="D76" s="19" t="n">
        <v>1559</v>
      </c>
      <c r="E76" s="18" t="n">
        <v>42.70946701</v>
      </c>
      <c r="F76" s="20" t="n">
        <v>1.55214778</v>
      </c>
      <c r="G76" s="18" t="n">
        <v>53.34385425</v>
      </c>
      <c r="H76" s="20" t="n">
        <v>1.50466613</v>
      </c>
      <c r="I76" s="18" t="s">
        <v>567</v>
      </c>
      <c r="J76" s="20" t="s">
        <v>567</v>
      </c>
      <c r="K76" s="18" t="n">
        <v>2.54885859</v>
      </c>
      <c r="L76" s="20" t="n">
        <v>0.4610891</v>
      </c>
      <c r="M76" s="18" t="n">
        <v>0</v>
      </c>
      <c r="N76" s="20" t="n">
        <v>0</v>
      </c>
      <c r="O76" s="18" t="n">
        <v>0</v>
      </c>
      <c r="P76" s="20" t="n">
        <v>0</v>
      </c>
      <c r="Q76" s="18" t="n">
        <v>1.39782016</v>
      </c>
      <c r="R76" s="20" t="n">
        <v>0.36836042</v>
      </c>
    </row>
    <row r="77" spans="1:18">
      <c r="A77" s="15" t="s">
        <v>637</v>
      </c>
      <c r="B77" s="17" t="n">
        <v>2908</v>
      </c>
      <c r="C77" s="18">
        <f>(2321.0/B77*100)</f>
        <v/>
      </c>
      <c r="D77" s="19" t="n">
        <v>587</v>
      </c>
      <c r="E77" s="18" t="n">
        <v>45.18694127</v>
      </c>
      <c r="F77" s="20" t="n">
        <v>2.03478275</v>
      </c>
      <c r="G77" s="18" t="n">
        <v>50.15749266</v>
      </c>
      <c r="H77" s="20" t="n">
        <v>2.14405347</v>
      </c>
      <c r="I77" s="18" t="s">
        <v>567</v>
      </c>
      <c r="J77" s="20" t="s">
        <v>567</v>
      </c>
      <c r="K77" s="18" t="n">
        <v>3.49955445</v>
      </c>
      <c r="L77" s="20" t="n">
        <v>0.63164368</v>
      </c>
      <c r="M77" s="18" t="n">
        <v>0</v>
      </c>
      <c r="N77" s="20" t="n">
        <v>0</v>
      </c>
      <c r="O77" s="18" t="n">
        <v>0</v>
      </c>
      <c r="P77" s="20" t="n">
        <v>0</v>
      </c>
      <c r="Q77" s="18" t="n">
        <v>1.15601161</v>
      </c>
      <c r="R77" s="20" t="n">
        <v>0.39154771</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(3243.0/B81*100)</f>
        <v/>
      </c>
      <c r="D81" s="19" t="n">
        <v>920</v>
      </c>
      <c r="E81" s="18" t="n">
        <v>41.98149802</v>
      </c>
      <c r="F81" s="20" t="n">
        <v>2.07018691</v>
      </c>
      <c r="G81" s="18" t="n">
        <v>57.15137133</v>
      </c>
      <c r="H81" s="20" t="n">
        <v>2.08784886</v>
      </c>
      <c r="I81" s="18" t="s">
        <v>567</v>
      </c>
      <c r="J81" s="20" t="s">
        <v>567</v>
      </c>
      <c r="K81" s="18" t="n">
        <v>0.03661296</v>
      </c>
      <c r="L81" s="20" t="n">
        <v>0.01478882</v>
      </c>
      <c r="M81" s="18" t="n">
        <v>0</v>
      </c>
      <c r="N81" s="20" t="n">
        <v>0</v>
      </c>
      <c r="O81" s="18" t="n">
        <v>0</v>
      </c>
      <c r="P81" s="20" t="n">
        <v>0</v>
      </c>
      <c r="Q81" s="18" t="n">
        <v>0.8305177</v>
      </c>
      <c r="R81" s="20" t="n">
        <v>0.33748427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(5800.0/B7*100)</f>
        <v/>
      </c>
      <c r="D7" s="19" t="n">
        <v>1567</v>
      </c>
      <c r="E7" s="18" t="n">
        <v>33.93035926</v>
      </c>
      <c r="F7" s="20" t="n">
        <v>1.627392</v>
      </c>
      <c r="G7" s="18" t="n">
        <v>62.45966279</v>
      </c>
      <c r="H7" s="20" t="n">
        <v>1.66302288</v>
      </c>
      <c r="I7" s="18" t="s">
        <v>567</v>
      </c>
      <c r="J7" s="20" t="s">
        <v>567</v>
      </c>
      <c r="K7" s="18" t="n">
        <v>3.58455886</v>
      </c>
      <c r="L7" s="20" t="n">
        <v>0.58575392</v>
      </c>
      <c r="M7" s="18" t="n">
        <v>0.02541909</v>
      </c>
      <c r="N7" s="20" t="n">
        <v>0.01467412</v>
      </c>
      <c r="O7" s="18" t="n">
        <v>0</v>
      </c>
      <c r="P7" s="20" t="n">
        <v>0</v>
      </c>
      <c r="Q7" s="18" t="n">
        <v>0</v>
      </c>
      <c r="R7" s="20" t="n">
        <v>0</v>
      </c>
    </row>
    <row r="8" spans="1:18">
      <c r="A8" s="15" t="s">
        <v>568</v>
      </c>
      <c r="B8" s="17" t="n">
        <v>3564</v>
      </c>
      <c r="C8" s="18">
        <f>(2796.0/B8*100)</f>
        <v/>
      </c>
      <c r="D8" s="19" t="n">
        <v>768</v>
      </c>
      <c r="E8" s="18" t="n">
        <v>56.15431174</v>
      </c>
      <c r="F8" s="20" t="n">
        <v>2.21125516</v>
      </c>
      <c r="G8" s="18" t="n">
        <v>41.26715816</v>
      </c>
      <c r="H8" s="20" t="n">
        <v>2.18038878</v>
      </c>
      <c r="I8" s="18" t="s">
        <v>567</v>
      </c>
      <c r="J8" s="20" t="s">
        <v>567</v>
      </c>
      <c r="K8" s="18" t="n">
        <v>2.5785301</v>
      </c>
      <c r="L8" s="20" t="n">
        <v>0.8458186</v>
      </c>
      <c r="M8" s="18" t="n">
        <v>0</v>
      </c>
      <c r="N8" s="20" t="n">
        <v>0</v>
      </c>
      <c r="O8" s="18" t="n">
        <v>0</v>
      </c>
      <c r="P8" s="20" t="n">
        <v>0</v>
      </c>
      <c r="Q8" s="18" t="n">
        <v>0</v>
      </c>
      <c r="R8" s="20" t="n">
        <v>0</v>
      </c>
    </row>
    <row r="9" spans="1:18">
      <c r="A9" s="15" t="s">
        <v>569</v>
      </c>
      <c r="B9" s="17" t="n">
        <v>4899</v>
      </c>
      <c r="C9" s="18">
        <f>(3884.0/B9*100)</f>
        <v/>
      </c>
      <c r="D9" s="19" t="n">
        <v>1015</v>
      </c>
      <c r="E9" s="18" t="n">
        <v>34.76402926</v>
      </c>
      <c r="F9" s="20" t="n">
        <v>1.80509663</v>
      </c>
      <c r="G9" s="18" t="n">
        <v>62.78679805</v>
      </c>
      <c r="H9" s="20" t="n">
        <v>1.70984728</v>
      </c>
      <c r="I9" s="18" t="s">
        <v>567</v>
      </c>
      <c r="J9" s="20" t="s">
        <v>567</v>
      </c>
      <c r="K9" s="18" t="n">
        <v>1.9499455</v>
      </c>
      <c r="L9" s="20" t="n">
        <v>0.4633643</v>
      </c>
      <c r="M9" s="18" t="n">
        <v>0.49922719</v>
      </c>
      <c r="N9" s="20" t="n">
        <v>0.1735741</v>
      </c>
      <c r="O9" s="18" t="n">
        <v>0</v>
      </c>
      <c r="P9" s="20" t="n">
        <v>0</v>
      </c>
      <c r="Q9" s="18" t="n">
        <v>0</v>
      </c>
      <c r="R9" s="20" t="n">
        <v>0</v>
      </c>
    </row>
    <row r="10" spans="1:18">
      <c r="A10" s="15" t="s">
        <v>570</v>
      </c>
      <c r="B10" s="17" t="n">
        <v>10036</v>
      </c>
      <c r="C10" s="18">
        <f>(7817.0/B10*100)</f>
        <v/>
      </c>
      <c r="D10" s="19" t="n">
        <v>2219</v>
      </c>
      <c r="E10" s="18" t="n">
        <v>34.65879487</v>
      </c>
      <c r="F10" s="20" t="n">
        <v>1.62630466</v>
      </c>
      <c r="G10" s="18" t="n">
        <v>63.92304729</v>
      </c>
      <c r="H10" s="20" t="n">
        <v>1.66896099</v>
      </c>
      <c r="I10" s="18" t="s">
        <v>567</v>
      </c>
      <c r="J10" s="20" t="s">
        <v>567</v>
      </c>
      <c r="K10" s="18" t="n">
        <v>1.41242295</v>
      </c>
      <c r="L10" s="20" t="n">
        <v>0.32536972</v>
      </c>
      <c r="M10" s="18" t="n">
        <v>0.00573489</v>
      </c>
      <c r="N10" s="20" t="n">
        <v>0.00817994</v>
      </c>
      <c r="O10" s="18" t="n">
        <v>0</v>
      </c>
      <c r="P10" s="20" t="n">
        <v>0</v>
      </c>
      <c r="Q10" s="18" t="n">
        <v>0</v>
      </c>
      <c r="R10" s="20" t="n">
        <v>0</v>
      </c>
    </row>
    <row r="11" spans="1:18">
      <c r="A11" s="15" t="s">
        <v>571</v>
      </c>
      <c r="B11" s="17" t="n">
        <v>3553</v>
      </c>
      <c r="C11" s="18">
        <f>(2800.0/B11*100)</f>
        <v/>
      </c>
      <c r="D11" s="19" t="n">
        <v>753</v>
      </c>
      <c r="E11" s="18" t="n">
        <v>64.82432824</v>
      </c>
      <c r="F11" s="20" t="n">
        <v>1.96576611</v>
      </c>
      <c r="G11" s="18" t="n">
        <v>29.52426626</v>
      </c>
      <c r="H11" s="20" t="n">
        <v>1.99555368</v>
      </c>
      <c r="I11" s="18" t="s">
        <v>567</v>
      </c>
      <c r="J11" s="20" t="s">
        <v>567</v>
      </c>
      <c r="K11" s="18" t="n">
        <v>5.65140551</v>
      </c>
      <c r="L11" s="20" t="n">
        <v>1.01409739</v>
      </c>
      <c r="M11" s="18" t="n">
        <v>0</v>
      </c>
      <c r="N11" s="20" t="n">
        <v>0</v>
      </c>
      <c r="O11" s="18" t="n">
        <v>0</v>
      </c>
      <c r="P11" s="20" t="n">
        <v>0</v>
      </c>
      <c r="Q11" s="18" t="n">
        <v>0</v>
      </c>
      <c r="R11" s="20" t="n">
        <v>0</v>
      </c>
    </row>
    <row r="12" spans="1:18">
      <c r="A12" s="15" t="s">
        <v>572</v>
      </c>
      <c r="B12" s="17" t="n">
        <v>3472</v>
      </c>
      <c r="C12" s="18">
        <f>(2723.0/B12*100)</f>
        <v/>
      </c>
      <c r="D12" s="19" t="n">
        <v>749</v>
      </c>
      <c r="E12" s="18" t="n">
        <v>65.64687680999999</v>
      </c>
      <c r="F12" s="20" t="n">
        <v>2.12708557</v>
      </c>
      <c r="G12" s="18" t="n">
        <v>32.94858592</v>
      </c>
      <c r="H12" s="20" t="n">
        <v>2.11550069</v>
      </c>
      <c r="I12" s="18" t="s">
        <v>567</v>
      </c>
      <c r="J12" s="20" t="s">
        <v>567</v>
      </c>
      <c r="K12" s="18" t="n">
        <v>1.40453727</v>
      </c>
      <c r="L12" s="20" t="n">
        <v>0.40631905</v>
      </c>
      <c r="M12" s="18" t="n">
        <v>0</v>
      </c>
      <c r="N12" s="20" t="n">
        <v>0</v>
      </c>
      <c r="O12" s="18" t="n">
        <v>0</v>
      </c>
      <c r="P12" s="20" t="n">
        <v>0</v>
      </c>
      <c r="Q12" s="18" t="n">
        <v>0</v>
      </c>
      <c r="R12" s="20" t="n">
        <v>0</v>
      </c>
    </row>
    <row r="13" spans="1:18">
      <c r="A13" s="15" t="s">
        <v>573</v>
      </c>
      <c r="B13" s="17" t="n">
        <v>3559</v>
      </c>
      <c r="C13" s="18">
        <f>(2809.0/B13*100)</f>
        <v/>
      </c>
      <c r="D13" s="19" t="n">
        <v>750</v>
      </c>
      <c r="E13" s="18" t="n">
        <v>42.3855563</v>
      </c>
      <c r="F13" s="20" t="n">
        <v>2.15358826</v>
      </c>
      <c r="G13" s="18" t="n">
        <v>54.69876159</v>
      </c>
      <c r="H13" s="20" t="n">
        <v>2.24785412</v>
      </c>
      <c r="I13" s="18" t="s">
        <v>567</v>
      </c>
      <c r="J13" s="20" t="s">
        <v>567</v>
      </c>
      <c r="K13" s="18" t="n">
        <v>2.84467205</v>
      </c>
      <c r="L13" s="20" t="n">
        <v>0.62113503</v>
      </c>
      <c r="M13" s="18" t="n">
        <v>0.07101005000000001</v>
      </c>
      <c r="N13" s="20" t="n">
        <v>0.0677946</v>
      </c>
      <c r="O13" s="18" t="n">
        <v>0</v>
      </c>
      <c r="P13" s="20" t="n">
        <v>0</v>
      </c>
      <c r="Q13" s="18" t="n">
        <v>0</v>
      </c>
      <c r="R13" s="20" t="n">
        <v>0</v>
      </c>
    </row>
    <row r="14" spans="1:18">
      <c r="A14" s="15" t="s">
        <v>574</v>
      </c>
      <c r="B14" s="17" t="n">
        <v>2799</v>
      </c>
      <c r="C14" s="18">
        <f>(2176.0/B14*100)</f>
        <v/>
      </c>
      <c r="D14" s="19" t="n">
        <v>623</v>
      </c>
      <c r="E14" s="18" t="n">
        <v>33.62148231</v>
      </c>
      <c r="F14" s="20" t="n">
        <v>2.17934287</v>
      </c>
      <c r="G14" s="18" t="n">
        <v>65.83009746</v>
      </c>
      <c r="H14" s="20" t="n">
        <v>2.16491574</v>
      </c>
      <c r="I14" s="18" t="s">
        <v>567</v>
      </c>
      <c r="J14" s="20" t="s">
        <v>567</v>
      </c>
      <c r="K14" s="18" t="n">
        <v>0.54842023</v>
      </c>
      <c r="L14" s="20" t="n">
        <v>0.27925992</v>
      </c>
      <c r="M14" s="18" t="n">
        <v>0</v>
      </c>
      <c r="N14" s="20" t="n">
        <v>0</v>
      </c>
      <c r="O14" s="18" t="n">
        <v>0</v>
      </c>
      <c r="P14" s="20" t="n">
        <v>0</v>
      </c>
      <c r="Q14" s="18" t="n">
        <v>0</v>
      </c>
      <c r="R14" s="20" t="n">
        <v>0</v>
      </c>
    </row>
    <row r="15" spans="1:18">
      <c r="A15" s="15" t="s">
        <v>575</v>
      </c>
      <c r="B15" s="17" t="n">
        <v>3019</v>
      </c>
      <c r="C15" s="18">
        <f>(2304.0/B15*100)</f>
        <v/>
      </c>
      <c r="D15" s="19" t="n">
        <v>715</v>
      </c>
      <c r="E15" s="18" t="n">
        <v>41.93463821</v>
      </c>
      <c r="F15" s="20" t="n">
        <v>2.01906321</v>
      </c>
      <c r="G15" s="18" t="n">
        <v>56.99961489</v>
      </c>
      <c r="H15" s="20" t="n">
        <v>1.9829316</v>
      </c>
      <c r="I15" s="18" t="s">
        <v>567</v>
      </c>
      <c r="J15" s="20" t="s">
        <v>567</v>
      </c>
      <c r="K15" s="18" t="n">
        <v>1.0657469</v>
      </c>
      <c r="L15" s="20" t="n">
        <v>0.42357962</v>
      </c>
      <c r="M15" s="18" t="n">
        <v>0</v>
      </c>
      <c r="N15" s="20" t="n">
        <v>0</v>
      </c>
      <c r="O15" s="18" t="n">
        <v>0</v>
      </c>
      <c r="P15" s="20" t="n">
        <v>0</v>
      </c>
      <c r="Q15" s="18" t="n">
        <v>0</v>
      </c>
      <c r="R15" s="20" t="n">
        <v>0</v>
      </c>
    </row>
    <row r="16" spans="1:18">
      <c r="A16" s="15" t="s">
        <v>576</v>
      </c>
      <c r="B16" s="17" t="n">
        <v>2997</v>
      </c>
      <c r="C16" s="18">
        <f>(2332.0/B16*100)</f>
        <v/>
      </c>
      <c r="D16" s="19" t="n">
        <v>665</v>
      </c>
      <c r="E16" s="18" t="n">
        <v>36.22417402</v>
      </c>
      <c r="F16" s="20" t="n">
        <v>1.71419288</v>
      </c>
      <c r="G16" s="18" t="n">
        <v>58.48522594</v>
      </c>
      <c r="H16" s="20" t="n">
        <v>1.94695549</v>
      </c>
      <c r="I16" s="18" t="s">
        <v>567</v>
      </c>
      <c r="J16" s="20" t="s">
        <v>567</v>
      </c>
      <c r="K16" s="18" t="n">
        <v>5.29060004</v>
      </c>
      <c r="L16" s="20" t="n">
        <v>0.9466487</v>
      </c>
      <c r="M16" s="18" t="n">
        <v>0</v>
      </c>
      <c r="N16" s="20" t="n">
        <v>0</v>
      </c>
      <c r="O16" s="18" t="n">
        <v>0</v>
      </c>
      <c r="P16" s="20" t="n">
        <v>0</v>
      </c>
      <c r="Q16" s="18" t="n">
        <v>0</v>
      </c>
      <c r="R16" s="20" t="n">
        <v>0</v>
      </c>
    </row>
    <row r="17" spans="1:18">
      <c r="A17" s="15" t="s">
        <v>577</v>
      </c>
      <c r="B17" s="17" t="n">
        <v>3307</v>
      </c>
      <c r="C17" s="18">
        <f>(2600.0/B17*100)</f>
        <v/>
      </c>
      <c r="D17" s="19" t="n">
        <v>707</v>
      </c>
      <c r="E17" s="18" t="n">
        <v>42.72515694</v>
      </c>
      <c r="F17" s="20" t="n">
        <v>2.01400488</v>
      </c>
      <c r="G17" s="18" t="n">
        <v>53.56950372</v>
      </c>
      <c r="H17" s="20" t="n">
        <v>2.00131157</v>
      </c>
      <c r="I17" s="18" t="s">
        <v>567</v>
      </c>
      <c r="J17" s="20" t="s">
        <v>567</v>
      </c>
      <c r="K17" s="18" t="n">
        <v>3.70533934</v>
      </c>
      <c r="L17" s="20" t="n">
        <v>0.61649212</v>
      </c>
      <c r="M17" s="18" t="n">
        <v>0</v>
      </c>
      <c r="N17" s="20" t="n">
        <v>0</v>
      </c>
      <c r="O17" s="18" t="n">
        <v>0</v>
      </c>
      <c r="P17" s="20" t="n">
        <v>0</v>
      </c>
      <c r="Q17" s="18" t="n">
        <v>0</v>
      </c>
      <c r="R17" s="20" t="n">
        <v>0</v>
      </c>
    </row>
    <row r="18" spans="1:18">
      <c r="A18" s="15" t="s">
        <v>578</v>
      </c>
      <c r="B18" s="17" t="n">
        <v>2826</v>
      </c>
      <c r="C18" s="18">
        <f>(2220.0/B18*100)</f>
        <v/>
      </c>
      <c r="D18" s="19" t="n">
        <v>606</v>
      </c>
      <c r="E18" s="18" t="n">
        <v>62.33134801</v>
      </c>
      <c r="F18" s="20" t="n">
        <v>2.42468818</v>
      </c>
      <c r="G18" s="18" t="n">
        <v>35.79929795</v>
      </c>
      <c r="H18" s="20" t="n">
        <v>2.40409386</v>
      </c>
      <c r="I18" s="18" t="s">
        <v>567</v>
      </c>
      <c r="J18" s="20" t="s">
        <v>567</v>
      </c>
      <c r="K18" s="18" t="n">
        <v>1.86935404</v>
      </c>
      <c r="L18" s="20" t="n">
        <v>0.60164004</v>
      </c>
      <c r="M18" s="18" t="n">
        <v>0</v>
      </c>
      <c r="N18" s="20" t="n">
        <v>0</v>
      </c>
      <c r="O18" s="18" t="n">
        <v>0</v>
      </c>
      <c r="P18" s="20" t="n">
        <v>0</v>
      </c>
      <c r="Q18" s="18" t="n">
        <v>0</v>
      </c>
      <c r="R18" s="20" t="n">
        <v>0</v>
      </c>
    </row>
    <row r="19" spans="1:18">
      <c r="A19" s="15" t="s">
        <v>579</v>
      </c>
      <c r="B19" s="17" t="n">
        <v>2808</v>
      </c>
      <c r="C19" s="18">
        <f>(2207.0/B19*100)</f>
        <v/>
      </c>
      <c r="D19" s="19" t="n">
        <v>601</v>
      </c>
      <c r="E19" s="18" t="n">
        <v>53.76865147</v>
      </c>
      <c r="F19" s="20" t="n">
        <v>2.41913166</v>
      </c>
      <c r="G19" s="18" t="n">
        <v>45.23306972</v>
      </c>
      <c r="H19" s="20" t="n">
        <v>2.54373457</v>
      </c>
      <c r="I19" s="18" t="s">
        <v>567</v>
      </c>
      <c r="J19" s="20" t="s">
        <v>567</v>
      </c>
      <c r="K19" s="18" t="n">
        <v>0.99827881</v>
      </c>
      <c r="L19" s="20" t="n">
        <v>0.4498417</v>
      </c>
      <c r="M19" s="18" t="n">
        <v>0</v>
      </c>
      <c r="N19" s="20" t="n">
        <v>0</v>
      </c>
      <c r="O19" s="18" t="n">
        <v>0</v>
      </c>
      <c r="P19" s="20" t="n">
        <v>0</v>
      </c>
      <c r="Q19" s="18" t="n">
        <v>0</v>
      </c>
      <c r="R19" s="20" t="n">
        <v>0</v>
      </c>
    </row>
    <row r="20" spans="1:18">
      <c r="A20" s="15" t="s">
        <v>580</v>
      </c>
      <c r="B20" s="17" t="n">
        <v>1630</v>
      </c>
      <c r="C20" s="18">
        <f>(1276.0/B20*100)</f>
        <v/>
      </c>
      <c r="D20" s="19" t="n">
        <v>354</v>
      </c>
      <c r="E20" s="18" t="n">
        <v>55.77169538</v>
      </c>
      <c r="F20" s="20" t="n">
        <v>2.34636353</v>
      </c>
      <c r="G20" s="18" t="n">
        <v>41.99939734</v>
      </c>
      <c r="H20" s="20" t="n">
        <v>2.37153993</v>
      </c>
      <c r="I20" s="18" t="s">
        <v>567</v>
      </c>
      <c r="J20" s="20" t="s">
        <v>567</v>
      </c>
      <c r="K20" s="18" t="n">
        <v>2.22890729</v>
      </c>
      <c r="L20" s="20" t="n">
        <v>0.76752567</v>
      </c>
      <c r="M20" s="18" t="n">
        <v>0</v>
      </c>
      <c r="N20" s="20" t="n">
        <v>0</v>
      </c>
      <c r="O20" s="18" t="n">
        <v>0</v>
      </c>
      <c r="P20" s="20" t="n">
        <v>0</v>
      </c>
      <c r="Q20" s="18" t="n">
        <v>0</v>
      </c>
      <c r="R20" s="20" t="n">
        <v>0</v>
      </c>
    </row>
    <row r="21" spans="1:18">
      <c r="A21" s="15" t="s">
        <v>581</v>
      </c>
      <c r="B21" s="17" t="n">
        <v>2908</v>
      </c>
      <c r="C21" s="18">
        <f>(2258.0/B21*100)</f>
        <v/>
      </c>
      <c r="D21" s="19" t="n">
        <v>650</v>
      </c>
      <c r="E21" s="18" t="n">
        <v>24.90008145</v>
      </c>
      <c r="F21" s="20" t="n">
        <v>1.65518633</v>
      </c>
      <c r="G21" s="18" t="n">
        <v>69.71676363</v>
      </c>
      <c r="H21" s="20" t="n">
        <v>1.8579875</v>
      </c>
      <c r="I21" s="18" t="s">
        <v>567</v>
      </c>
      <c r="J21" s="20" t="s">
        <v>567</v>
      </c>
      <c r="K21" s="18" t="n">
        <v>5.38315492</v>
      </c>
      <c r="L21" s="20" t="n">
        <v>0.9007103</v>
      </c>
      <c r="M21" s="18" t="n">
        <v>0</v>
      </c>
      <c r="N21" s="20" t="n">
        <v>0</v>
      </c>
      <c r="O21" s="18" t="n">
        <v>0</v>
      </c>
      <c r="P21" s="20" t="n">
        <v>0</v>
      </c>
      <c r="Q21" s="18" t="n">
        <v>0</v>
      </c>
      <c r="R21" s="20" t="n">
        <v>0</v>
      </c>
    </row>
    <row r="22" spans="1:18">
      <c r="A22" s="15" t="s">
        <v>582</v>
      </c>
      <c r="B22" s="17" t="n">
        <v>2931</v>
      </c>
      <c r="C22" s="18">
        <f>(2359.0/B22*100)</f>
        <v/>
      </c>
      <c r="D22" s="19" t="n">
        <v>572</v>
      </c>
      <c r="E22" s="18" t="n">
        <v>47.15433457</v>
      </c>
      <c r="F22" s="20" t="n">
        <v>1.99343244</v>
      </c>
      <c r="G22" s="18" t="n">
        <v>48.25247738</v>
      </c>
      <c r="H22" s="20" t="n">
        <v>2.29742337</v>
      </c>
      <c r="I22" s="18" t="s">
        <v>567</v>
      </c>
      <c r="J22" s="20" t="s">
        <v>567</v>
      </c>
      <c r="K22" s="18" t="n">
        <v>4.59318805</v>
      </c>
      <c r="L22" s="20" t="n">
        <v>0.99995084</v>
      </c>
      <c r="M22" s="18" t="n">
        <v>0</v>
      </c>
      <c r="N22" s="20" t="n">
        <v>0</v>
      </c>
      <c r="O22" s="18" t="n">
        <v>0</v>
      </c>
      <c r="P22" s="20" t="n">
        <v>0</v>
      </c>
      <c r="Q22" s="18" t="n">
        <v>0</v>
      </c>
      <c r="R22" s="20" t="n">
        <v>0</v>
      </c>
    </row>
    <row r="23" spans="1:18">
      <c r="A23" s="15" t="s">
        <v>583</v>
      </c>
      <c r="B23" s="17" t="n">
        <v>5791</v>
      </c>
      <c r="C23" s="18">
        <f>(4560.0/B23*100)</f>
        <v/>
      </c>
      <c r="D23" s="19" t="n">
        <v>1231</v>
      </c>
      <c r="E23" s="18" t="n">
        <v>48.81607714</v>
      </c>
      <c r="F23" s="20" t="n">
        <v>1.72348358</v>
      </c>
      <c r="G23" s="18" t="n">
        <v>44.81163609</v>
      </c>
      <c r="H23" s="20" t="n">
        <v>1.66979838</v>
      </c>
      <c r="I23" s="18" t="s">
        <v>567</v>
      </c>
      <c r="J23" s="20" t="s">
        <v>567</v>
      </c>
      <c r="K23" s="18" t="n">
        <v>5.63628187</v>
      </c>
      <c r="L23" s="20" t="n">
        <v>0.98479831</v>
      </c>
      <c r="M23" s="18" t="n">
        <v>0.7360049</v>
      </c>
      <c r="N23" s="20" t="n">
        <v>0.2783988</v>
      </c>
      <c r="O23" s="18" t="n">
        <v>0</v>
      </c>
      <c r="P23" s="20" t="n">
        <v>0</v>
      </c>
      <c r="Q23" s="18" t="n">
        <v>0</v>
      </c>
      <c r="R23" s="20" t="n">
        <v>0</v>
      </c>
    </row>
    <row r="24" spans="1:18">
      <c r="A24" s="15" t="s">
        <v>584</v>
      </c>
      <c r="B24" s="17" t="n">
        <v>3338</v>
      </c>
      <c r="C24" s="18">
        <f>(2618.0/B24*100)</f>
        <v/>
      </c>
      <c r="D24" s="19" t="n">
        <v>720</v>
      </c>
      <c r="E24" s="18" t="n">
        <v>31.54108685</v>
      </c>
      <c r="F24" s="20" t="n">
        <v>1.89618673</v>
      </c>
      <c r="G24" s="18" t="n">
        <v>64.85540222</v>
      </c>
      <c r="H24" s="20" t="n">
        <v>2.07131498</v>
      </c>
      <c r="I24" s="18" t="s">
        <v>567</v>
      </c>
      <c r="J24" s="20" t="s">
        <v>567</v>
      </c>
      <c r="K24" s="18" t="n">
        <v>3.60351093</v>
      </c>
      <c r="L24" s="20" t="n">
        <v>0.78613871</v>
      </c>
      <c r="M24" s="18" t="n">
        <v>0</v>
      </c>
      <c r="N24" s="20" t="n">
        <v>0</v>
      </c>
      <c r="O24" s="18" t="n">
        <v>0</v>
      </c>
      <c r="P24" s="20" t="n">
        <v>0</v>
      </c>
      <c r="Q24" s="18" t="n">
        <v>0</v>
      </c>
      <c r="R24" s="20" t="n">
        <v>0</v>
      </c>
    </row>
    <row r="25" spans="1:18">
      <c r="A25" s="15" t="s">
        <v>585</v>
      </c>
      <c r="B25" s="17" t="n">
        <v>2912</v>
      </c>
      <c r="C25" s="18">
        <f>(2275.0/B25*100)</f>
        <v/>
      </c>
      <c r="D25" s="19" t="n">
        <v>637</v>
      </c>
      <c r="E25" s="18" t="n">
        <v>44.88026543</v>
      </c>
      <c r="F25" s="20" t="n">
        <v>2.15949535</v>
      </c>
      <c r="G25" s="18" t="n">
        <v>54.02429119</v>
      </c>
      <c r="H25" s="20" t="n">
        <v>2.22614005</v>
      </c>
      <c r="I25" s="18" t="s">
        <v>567</v>
      </c>
      <c r="J25" s="20" t="s">
        <v>567</v>
      </c>
      <c r="K25" s="18" t="n">
        <v>1.09544338</v>
      </c>
      <c r="L25" s="20" t="n">
        <v>0.42270759</v>
      </c>
      <c r="M25" s="18" t="n">
        <v>0</v>
      </c>
      <c r="N25" s="20" t="n">
        <v>0</v>
      </c>
      <c r="O25" s="18" t="n">
        <v>0</v>
      </c>
      <c r="P25" s="20" t="n">
        <v>0</v>
      </c>
      <c r="Q25" s="18" t="n">
        <v>0</v>
      </c>
      <c r="R25" s="20" t="n">
        <v>0</v>
      </c>
    </row>
    <row r="26" spans="1:18">
      <c r="A26" s="15" t="s">
        <v>586</v>
      </c>
      <c r="B26" s="17" t="n">
        <v>2450</v>
      </c>
      <c r="C26" s="18">
        <f>(1913.0/B26*100)</f>
        <v/>
      </c>
      <c r="D26" s="19" t="n">
        <v>537</v>
      </c>
      <c r="E26" s="18" t="n">
        <v>51.66383369</v>
      </c>
      <c r="F26" s="20" t="n">
        <v>2.20708754</v>
      </c>
      <c r="G26" s="18" t="n">
        <v>48.050188</v>
      </c>
      <c r="H26" s="20" t="n">
        <v>2.17115082</v>
      </c>
      <c r="I26" s="18" t="s">
        <v>567</v>
      </c>
      <c r="J26" s="20" t="s">
        <v>567</v>
      </c>
      <c r="K26" s="18" t="n">
        <v>0.28597831</v>
      </c>
      <c r="L26" s="20" t="n">
        <v>0.20237188</v>
      </c>
      <c r="M26" s="18" t="n">
        <v>0</v>
      </c>
      <c r="N26" s="20" t="n">
        <v>0</v>
      </c>
      <c r="O26" s="18" t="n">
        <v>0</v>
      </c>
      <c r="P26" s="20" t="n">
        <v>0</v>
      </c>
      <c r="Q26" s="18" t="n">
        <v>0</v>
      </c>
      <c r="R26" s="20" t="n">
        <v>0</v>
      </c>
    </row>
    <row r="27" spans="1:18">
      <c r="A27" s="15" t="s">
        <v>587</v>
      </c>
      <c r="B27" s="17" t="n">
        <v>2616</v>
      </c>
      <c r="C27" s="18">
        <f>(2063.0/B27*100)</f>
        <v/>
      </c>
      <c r="D27" s="19" t="n">
        <v>553</v>
      </c>
      <c r="E27" s="18" t="n">
        <v>43.98695032</v>
      </c>
      <c r="F27" s="20" t="n">
        <v>2.05214407</v>
      </c>
      <c r="G27" s="18" t="n">
        <v>52.51469415</v>
      </c>
      <c r="H27" s="20" t="n">
        <v>2.10744406</v>
      </c>
      <c r="I27" s="18" t="s">
        <v>567</v>
      </c>
      <c r="J27" s="20" t="s">
        <v>567</v>
      </c>
      <c r="K27" s="18" t="n">
        <v>3.49835553</v>
      </c>
      <c r="L27" s="20" t="n">
        <v>0.84417904</v>
      </c>
      <c r="M27" s="18" t="n">
        <v>0</v>
      </c>
      <c r="N27" s="20" t="n">
        <v>0</v>
      </c>
      <c r="O27" s="18" t="n">
        <v>0</v>
      </c>
      <c r="P27" s="20" t="n">
        <v>0</v>
      </c>
      <c r="Q27" s="18" t="n">
        <v>0</v>
      </c>
      <c r="R27" s="20" t="n">
        <v>0</v>
      </c>
    </row>
    <row r="28" spans="1:18">
      <c r="A28" s="15" t="s">
        <v>588</v>
      </c>
      <c r="B28" s="17" t="n">
        <v>3765</v>
      </c>
      <c r="C28" s="18">
        <f>(3088.0/B28*100)</f>
        <v/>
      </c>
      <c r="D28" s="19" t="n">
        <v>677</v>
      </c>
      <c r="E28" s="18" t="n">
        <v>78.58345776</v>
      </c>
      <c r="F28" s="20" t="n">
        <v>1.90775188</v>
      </c>
      <c r="G28" s="18" t="n">
        <v>19.12271201</v>
      </c>
      <c r="H28" s="20" t="n">
        <v>1.91927217</v>
      </c>
      <c r="I28" s="18" t="s">
        <v>567</v>
      </c>
      <c r="J28" s="20" t="s">
        <v>567</v>
      </c>
      <c r="K28" s="18" t="n">
        <v>2.17888034</v>
      </c>
      <c r="L28" s="20" t="n">
        <v>0.53743401</v>
      </c>
      <c r="M28" s="18" t="n">
        <v>0.1149499</v>
      </c>
      <c r="N28" s="20" t="n">
        <v>0.11476052</v>
      </c>
      <c r="O28" s="18" t="n">
        <v>0</v>
      </c>
      <c r="P28" s="20" t="n">
        <v>0</v>
      </c>
      <c r="Q28" s="18" t="n">
        <v>0</v>
      </c>
      <c r="R28" s="20" t="n">
        <v>0</v>
      </c>
    </row>
    <row r="29" spans="1:18">
      <c r="A29" s="15" t="s">
        <v>589</v>
      </c>
      <c r="B29" s="17" t="n">
        <v>2685</v>
      </c>
      <c r="C29" s="18">
        <f>(2100.0/B29*100)</f>
        <v/>
      </c>
      <c r="D29" s="19" t="n">
        <v>585</v>
      </c>
      <c r="E29" s="18" t="n">
        <v>39.87123116</v>
      </c>
      <c r="F29" s="20" t="n">
        <v>2.13828231</v>
      </c>
      <c r="G29" s="18" t="n">
        <v>59.09143462</v>
      </c>
      <c r="H29" s="20" t="n">
        <v>2.09897839</v>
      </c>
      <c r="I29" s="18" t="s">
        <v>567</v>
      </c>
      <c r="J29" s="20" t="s">
        <v>567</v>
      </c>
      <c r="K29" s="18" t="n">
        <v>1.03733422</v>
      </c>
      <c r="L29" s="20" t="n">
        <v>0.48155738</v>
      </c>
      <c r="M29" s="18" t="n">
        <v>0</v>
      </c>
      <c r="N29" s="20" t="n">
        <v>0</v>
      </c>
      <c r="O29" s="18" t="n">
        <v>0</v>
      </c>
      <c r="P29" s="20" t="n">
        <v>0</v>
      </c>
      <c r="Q29" s="18" t="n">
        <v>0</v>
      </c>
      <c r="R29" s="20" t="n">
        <v>0</v>
      </c>
    </row>
    <row r="30" spans="1:18">
      <c r="A30" s="15" t="s">
        <v>590</v>
      </c>
      <c r="B30" s="17" t="n">
        <v>2263</v>
      </c>
      <c r="C30" s="18">
        <f>(1793.0/B30*100)</f>
        <v/>
      </c>
      <c r="D30" s="19" t="n">
        <v>470</v>
      </c>
      <c r="E30" s="18" t="n">
        <v>29.67564372</v>
      </c>
      <c r="F30" s="20" t="n">
        <v>1.99683799</v>
      </c>
      <c r="G30" s="18" t="n">
        <v>66.10549672</v>
      </c>
      <c r="H30" s="20" t="n">
        <v>2.24161381</v>
      </c>
      <c r="I30" s="18" t="s">
        <v>567</v>
      </c>
      <c r="J30" s="20" t="s">
        <v>567</v>
      </c>
      <c r="K30" s="18" t="n">
        <v>4.21885955</v>
      </c>
      <c r="L30" s="20" t="n">
        <v>0.98585327</v>
      </c>
      <c r="M30" s="18" t="n">
        <v>0</v>
      </c>
      <c r="N30" s="20" t="n">
        <v>0</v>
      </c>
      <c r="O30" s="18" t="n">
        <v>0</v>
      </c>
      <c r="P30" s="20" t="n">
        <v>0</v>
      </c>
      <c r="Q30" s="18" t="n">
        <v>0</v>
      </c>
      <c r="R30" s="20" t="n">
        <v>0</v>
      </c>
    </row>
    <row r="31" spans="1:18">
      <c r="A31" s="15" t="s">
        <v>591</v>
      </c>
      <c r="B31" s="17" t="n">
        <v>2750</v>
      </c>
      <c r="C31" s="18">
        <f>(2190.0/B31*100)</f>
        <v/>
      </c>
      <c r="D31" s="19" t="n">
        <v>560</v>
      </c>
      <c r="E31" s="18" t="n">
        <v>40.09798378</v>
      </c>
      <c r="F31" s="20" t="n">
        <v>2.44823378</v>
      </c>
      <c r="G31" s="18" t="n">
        <v>57.20829113</v>
      </c>
      <c r="H31" s="20" t="n">
        <v>2.44796299</v>
      </c>
      <c r="I31" s="18" t="s">
        <v>567</v>
      </c>
      <c r="J31" s="20" t="s">
        <v>567</v>
      </c>
      <c r="K31" s="18" t="n">
        <v>2.33771415</v>
      </c>
      <c r="L31" s="20" t="n">
        <v>0.62408832</v>
      </c>
      <c r="M31" s="18" t="n">
        <v>0.35601094</v>
      </c>
      <c r="N31" s="20" t="n">
        <v>0.40961441</v>
      </c>
      <c r="O31" s="18" t="n">
        <v>0</v>
      </c>
      <c r="P31" s="20" t="n">
        <v>0</v>
      </c>
      <c r="Q31" s="18" t="n">
        <v>0</v>
      </c>
      <c r="R31" s="20" t="n">
        <v>0</v>
      </c>
    </row>
    <row r="32" spans="1:18">
      <c r="A32" s="15" t="s">
        <v>592</v>
      </c>
      <c r="B32" s="17" t="n">
        <v>2269</v>
      </c>
      <c r="C32" s="18">
        <f>(1817.0/B32*100)</f>
        <v/>
      </c>
      <c r="D32" s="19" t="n">
        <v>452</v>
      </c>
      <c r="E32" s="18" t="n">
        <v>54.62139826</v>
      </c>
      <c r="F32" s="20" t="n">
        <v>2.56784266</v>
      </c>
      <c r="G32" s="18" t="n">
        <v>44.59890353</v>
      </c>
      <c r="H32" s="20" t="n">
        <v>2.62812425</v>
      </c>
      <c r="I32" s="18" t="s">
        <v>567</v>
      </c>
      <c r="J32" s="20" t="s">
        <v>567</v>
      </c>
      <c r="K32" s="18" t="n">
        <v>0.7796982099999999</v>
      </c>
      <c r="L32" s="20" t="n">
        <v>0.48270489</v>
      </c>
      <c r="M32" s="18" t="n">
        <v>0</v>
      </c>
      <c r="N32" s="20" t="n">
        <v>0</v>
      </c>
      <c r="O32" s="18" t="n">
        <v>0</v>
      </c>
      <c r="P32" s="20" t="n">
        <v>0</v>
      </c>
      <c r="Q32" s="18" t="n">
        <v>0</v>
      </c>
      <c r="R32" s="20" t="n">
        <v>0</v>
      </c>
    </row>
    <row r="33" spans="1:18">
      <c r="A33" s="15" t="s">
        <v>593</v>
      </c>
      <c r="B33" s="17" t="n">
        <v>3674</v>
      </c>
      <c r="C33" s="18">
        <f>(2909.0/B33*100)</f>
        <v/>
      </c>
      <c r="D33" s="19" t="n">
        <v>765</v>
      </c>
      <c r="E33" s="18" t="n">
        <v>42.3945747</v>
      </c>
      <c r="F33" s="20" t="n">
        <v>2.35795624</v>
      </c>
      <c r="G33" s="18" t="n">
        <v>56.15519429</v>
      </c>
      <c r="H33" s="20" t="n">
        <v>2.40070355</v>
      </c>
      <c r="I33" s="18" t="s">
        <v>567</v>
      </c>
      <c r="J33" s="20" t="s">
        <v>567</v>
      </c>
      <c r="K33" s="18" t="n">
        <v>1.43857223</v>
      </c>
      <c r="L33" s="20" t="n">
        <v>0.48665503</v>
      </c>
      <c r="M33" s="18" t="n">
        <v>0.01165878</v>
      </c>
      <c r="N33" s="20" t="n">
        <v>0.00744435</v>
      </c>
      <c r="O33" s="18" t="n">
        <v>0</v>
      </c>
      <c r="P33" s="20" t="n">
        <v>0</v>
      </c>
      <c r="Q33" s="18" t="n">
        <v>0</v>
      </c>
      <c r="R33" s="20" t="n">
        <v>0</v>
      </c>
    </row>
    <row r="34" spans="1:18">
      <c r="A34" s="15" t="s">
        <v>594</v>
      </c>
      <c r="B34" s="17" t="n">
        <v>3315</v>
      </c>
      <c r="C34" s="18">
        <f>(2618.0/B34*100)</f>
        <v/>
      </c>
      <c r="D34" s="19" t="n">
        <v>697</v>
      </c>
      <c r="E34" s="18" t="n">
        <v>72.30912314</v>
      </c>
      <c r="F34" s="20" t="n">
        <v>1.90239499</v>
      </c>
      <c r="G34" s="18" t="n">
        <v>26.64900326</v>
      </c>
      <c r="H34" s="20" t="n">
        <v>1.92673532</v>
      </c>
      <c r="I34" s="18" t="s">
        <v>567</v>
      </c>
      <c r="J34" s="20" t="s">
        <v>567</v>
      </c>
      <c r="K34" s="18" t="n">
        <v>1.0418736</v>
      </c>
      <c r="L34" s="20" t="n">
        <v>0.34034802</v>
      </c>
      <c r="M34" s="18" t="n">
        <v>0</v>
      </c>
      <c r="N34" s="20" t="n">
        <v>0</v>
      </c>
      <c r="O34" s="18" t="n">
        <v>0</v>
      </c>
      <c r="P34" s="20" t="n">
        <v>0</v>
      </c>
      <c r="Q34" s="18" t="n">
        <v>0</v>
      </c>
      <c r="R34" s="20" t="n">
        <v>0</v>
      </c>
    </row>
    <row r="35" spans="1:18">
      <c r="A35" s="15" t="s">
        <v>595</v>
      </c>
      <c r="B35" s="17" t="n">
        <v>3505</v>
      </c>
      <c r="C35" s="18">
        <f>(2716.0/B35*100)</f>
        <v/>
      </c>
      <c r="D35" s="19" t="n">
        <v>789</v>
      </c>
      <c r="E35" s="18" t="n">
        <v>53.46501983</v>
      </c>
      <c r="F35" s="20" t="n">
        <v>2.03429321</v>
      </c>
      <c r="G35" s="18" t="n">
        <v>45.49627277</v>
      </c>
      <c r="H35" s="20" t="n">
        <v>2.0424527</v>
      </c>
      <c r="I35" s="18" t="s">
        <v>567</v>
      </c>
      <c r="J35" s="20" t="s">
        <v>567</v>
      </c>
      <c r="K35" s="18" t="n">
        <v>0.81382638</v>
      </c>
      <c r="L35" s="20" t="n">
        <v>0.31050426</v>
      </c>
      <c r="M35" s="18" t="n">
        <v>0.22488103</v>
      </c>
      <c r="N35" s="20" t="n">
        <v>0.22553844</v>
      </c>
      <c r="O35" s="18" t="n">
        <v>0</v>
      </c>
      <c r="P35" s="20" t="n">
        <v>0</v>
      </c>
      <c r="Q35" s="18" t="n">
        <v>0</v>
      </c>
      <c r="R35" s="20" t="n">
        <v>0</v>
      </c>
    </row>
    <row r="36" spans="1:18">
      <c r="A36" s="15" t="s">
        <v>596</v>
      </c>
      <c r="B36" s="17" t="n">
        <v>3332</v>
      </c>
      <c r="C36" s="18">
        <f>(2640.0/B36*100)</f>
        <v/>
      </c>
      <c r="D36" s="19" t="n">
        <v>692</v>
      </c>
      <c r="E36" s="18" t="n">
        <v>40.75055558</v>
      </c>
      <c r="F36" s="20" t="n">
        <v>2.10895658</v>
      </c>
      <c r="G36" s="18" t="n">
        <v>55.72358753</v>
      </c>
      <c r="H36" s="20" t="n">
        <v>2.08373376</v>
      </c>
      <c r="I36" s="18" t="s">
        <v>567</v>
      </c>
      <c r="J36" s="20" t="s">
        <v>567</v>
      </c>
      <c r="K36" s="18" t="n">
        <v>3.52585689</v>
      </c>
      <c r="L36" s="20" t="n">
        <v>0.81955639</v>
      </c>
      <c r="M36" s="18" t="n">
        <v>0</v>
      </c>
      <c r="N36" s="20" t="n">
        <v>0</v>
      </c>
      <c r="O36" s="18" t="n">
        <v>0</v>
      </c>
      <c r="P36" s="20" t="n">
        <v>0</v>
      </c>
      <c r="Q36" s="18" t="n">
        <v>0</v>
      </c>
      <c r="R36" s="20" t="n">
        <v>0</v>
      </c>
    </row>
    <row r="37" spans="1:18">
      <c r="A37" s="15" t="s">
        <v>597</v>
      </c>
      <c r="B37" s="17" t="n">
        <v>2727</v>
      </c>
      <c r="C37" s="18">
        <f>(2145.0/B37*100)</f>
        <v/>
      </c>
      <c r="D37" s="19" t="n">
        <v>582</v>
      </c>
      <c r="E37" s="18" t="n">
        <v>52.5944413</v>
      </c>
      <c r="F37" s="20" t="n">
        <v>2.09873296</v>
      </c>
      <c r="G37" s="18" t="n">
        <v>44.02192065</v>
      </c>
      <c r="H37" s="20" t="n">
        <v>2.12478828</v>
      </c>
      <c r="I37" s="18" t="s">
        <v>567</v>
      </c>
      <c r="J37" s="20" t="s">
        <v>567</v>
      </c>
      <c r="K37" s="18" t="n">
        <v>3.38363805</v>
      </c>
      <c r="L37" s="20" t="n">
        <v>0.80175438</v>
      </c>
      <c r="M37" s="18" t="n">
        <v>0</v>
      </c>
      <c r="N37" s="20" t="n">
        <v>0</v>
      </c>
      <c r="O37" s="18" t="n">
        <v>0</v>
      </c>
      <c r="P37" s="20" t="n">
        <v>0</v>
      </c>
      <c r="Q37" s="18" t="n">
        <v>0</v>
      </c>
      <c r="R37" s="20" t="n">
        <v>0</v>
      </c>
    </row>
    <row r="38" spans="1:18">
      <c r="A38" s="15" t="s">
        <v>598</v>
      </c>
      <c r="B38" s="17" t="n">
        <v>3053</v>
      </c>
      <c r="C38" s="18">
        <f>(2344.0/B38*100)</f>
        <v/>
      </c>
      <c r="D38" s="19" t="n">
        <v>709</v>
      </c>
      <c r="E38" s="18" t="n">
        <v>45.4917369</v>
      </c>
      <c r="F38" s="20" t="n">
        <v>2.45602416</v>
      </c>
      <c r="G38" s="18" t="n">
        <v>50.76848757</v>
      </c>
      <c r="H38" s="20" t="n">
        <v>2.46962416</v>
      </c>
      <c r="I38" s="18" t="s">
        <v>567</v>
      </c>
      <c r="J38" s="20" t="s">
        <v>567</v>
      </c>
      <c r="K38" s="18" t="n">
        <v>2.69897693</v>
      </c>
      <c r="L38" s="20" t="n">
        <v>0.5622439</v>
      </c>
      <c r="M38" s="18" t="n">
        <v>1.0407986</v>
      </c>
      <c r="N38" s="20" t="n">
        <v>0.3754253</v>
      </c>
      <c r="O38" s="18" t="n">
        <v>0</v>
      </c>
      <c r="P38" s="20" t="n">
        <v>0</v>
      </c>
      <c r="Q38" s="18" t="n">
        <v>0</v>
      </c>
      <c r="R38" s="20" t="n">
        <v>0</v>
      </c>
    </row>
    <row r="39" spans="1:18">
      <c r="A39" s="15" t="s">
        <v>599</v>
      </c>
      <c r="B39" s="17" t="n">
        <v>2957</v>
      </c>
      <c r="C39" s="18">
        <f>(2313.0/B39*100)</f>
        <v/>
      </c>
      <c r="D39" s="19" t="n">
        <v>644</v>
      </c>
      <c r="E39" s="18" t="n">
        <v>68.68181851999999</v>
      </c>
      <c r="F39" s="20" t="n">
        <v>2.33401219</v>
      </c>
      <c r="G39" s="18" t="n">
        <v>28.87128011</v>
      </c>
      <c r="H39" s="20" t="n">
        <v>2.23966274</v>
      </c>
      <c r="I39" s="18" t="s">
        <v>567</v>
      </c>
      <c r="J39" s="20" t="s">
        <v>567</v>
      </c>
      <c r="K39" s="18" t="n">
        <v>2.44690137</v>
      </c>
      <c r="L39" s="20" t="n">
        <v>0.62104005</v>
      </c>
      <c r="M39" s="18" t="n">
        <v>0</v>
      </c>
      <c r="N39" s="20" t="n">
        <v>0</v>
      </c>
      <c r="O39" s="18" t="n">
        <v>0</v>
      </c>
      <c r="P39" s="20" t="n">
        <v>0</v>
      </c>
      <c r="Q39" s="18" t="n">
        <v>0</v>
      </c>
      <c r="R39" s="20" t="n">
        <v>0</v>
      </c>
    </row>
    <row r="40" spans="1:18">
      <c r="A40" s="15" t="s">
        <v>600</v>
      </c>
      <c r="B40" s="17" t="n">
        <v>7235</v>
      </c>
      <c r="C40" s="18">
        <f>(5594.0/B40*100)</f>
        <v/>
      </c>
      <c r="D40" s="19" t="n">
        <v>1641</v>
      </c>
      <c r="E40" s="18" t="n">
        <v>29.14204848</v>
      </c>
      <c r="F40" s="20" t="n">
        <v>1.66327242</v>
      </c>
      <c r="G40" s="18" t="n">
        <v>68.14985213999999</v>
      </c>
      <c r="H40" s="20" t="n">
        <v>1.74727757</v>
      </c>
      <c r="I40" s="18" t="s">
        <v>567</v>
      </c>
      <c r="J40" s="20" t="s">
        <v>567</v>
      </c>
      <c r="K40" s="18" t="n">
        <v>2.66240933</v>
      </c>
      <c r="L40" s="20" t="n">
        <v>0.70940508</v>
      </c>
      <c r="M40" s="18" t="n">
        <v>0.04569005</v>
      </c>
      <c r="N40" s="20" t="n">
        <v>0.04424162</v>
      </c>
      <c r="O40" s="18" t="n">
        <v>0</v>
      </c>
      <c r="P40" s="20" t="n">
        <v>0</v>
      </c>
      <c r="Q40" s="18" t="n">
        <v>0</v>
      </c>
      <c r="R40" s="20" t="n">
        <v>0</v>
      </c>
    </row>
    <row r="41" spans="1:18">
      <c r="A41" s="15" t="s">
        <v>601</v>
      </c>
      <c r="B41" s="17" t="n">
        <v>2858</v>
      </c>
      <c r="C41" s="18">
        <f>(2264.0/B41*100)</f>
        <v/>
      </c>
      <c r="D41" s="19" t="n">
        <v>594</v>
      </c>
      <c r="E41" s="18" t="n">
        <v>42.38960461</v>
      </c>
      <c r="F41" s="20" t="n">
        <v>2.61664026</v>
      </c>
      <c r="G41" s="18" t="n">
        <v>56.35986543</v>
      </c>
      <c r="H41" s="20" t="n">
        <v>2.55168087</v>
      </c>
      <c r="I41" s="18" t="s">
        <v>567</v>
      </c>
      <c r="J41" s="20" t="s">
        <v>567</v>
      </c>
      <c r="K41" s="18" t="n">
        <v>1.25052995</v>
      </c>
      <c r="L41" s="20" t="n">
        <v>0.42551164</v>
      </c>
      <c r="M41" s="18" t="n">
        <v>0</v>
      </c>
      <c r="N41" s="20" t="n">
        <v>0</v>
      </c>
      <c r="O41" s="18" t="n">
        <v>0</v>
      </c>
      <c r="P41" s="20" t="n">
        <v>0</v>
      </c>
      <c r="Q41" s="18" t="n">
        <v>0</v>
      </c>
      <c r="R41" s="20" t="n">
        <v>0</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(2524.0/B44*100)</f>
        <v/>
      </c>
      <c r="D44" s="19" t="n">
        <v>0</v>
      </c>
      <c r="E44" s="18" t="s">
        <v>567</v>
      </c>
      <c r="F44" s="20" t="s">
        <v>567</v>
      </c>
      <c r="G44" s="18" t="s">
        <v>567</v>
      </c>
      <c r="H44" s="20" t="s">
        <v>567</v>
      </c>
      <c r="I44" s="18" t="s">
        <v>567</v>
      </c>
      <c r="J44" s="20" t="s">
        <v>567</v>
      </c>
      <c r="K44" s="18" t="s">
        <v>567</v>
      </c>
      <c r="L44" s="20" t="s">
        <v>567</v>
      </c>
      <c r="M44" s="18" t="s">
        <v>567</v>
      </c>
      <c r="N44" s="20" t="s">
        <v>567</v>
      </c>
      <c r="O44" s="18" t="s">
        <v>567</v>
      </c>
      <c r="P44" s="20" t="s">
        <v>567</v>
      </c>
      <c r="Q44" s="18" t="s">
        <v>567</v>
      </c>
      <c r="R44" s="20" t="s">
        <v>567</v>
      </c>
    </row>
    <row r="45" spans="1:18">
      <c r="A45" s="15" t="s">
        <v>605</v>
      </c>
      <c r="B45" s="17" t="n">
        <v>2849</v>
      </c>
      <c r="C45" s="18">
        <f>(2849.0/B45*100)</f>
        <v/>
      </c>
      <c r="D45" s="19" t="n">
        <v>0</v>
      </c>
      <c r="E45" s="18" t="s">
        <v>567</v>
      </c>
      <c r="F45" s="20" t="s">
        <v>567</v>
      </c>
      <c r="G45" s="18" t="s">
        <v>567</v>
      </c>
      <c r="H45" s="20" t="s">
        <v>567</v>
      </c>
      <c r="I45" s="18" t="s">
        <v>567</v>
      </c>
      <c r="J45" s="20" t="s">
        <v>567</v>
      </c>
      <c r="K45" s="18" t="s">
        <v>567</v>
      </c>
      <c r="L45" s="20" t="s">
        <v>567</v>
      </c>
      <c r="M45" s="18" t="s">
        <v>567</v>
      </c>
      <c r="N45" s="20" t="s">
        <v>567</v>
      </c>
      <c r="O45" s="18" t="s">
        <v>567</v>
      </c>
      <c r="P45" s="20" t="s">
        <v>567</v>
      </c>
      <c r="Q45" s="18" t="s">
        <v>567</v>
      </c>
      <c r="R45" s="20" t="s">
        <v>567</v>
      </c>
    </row>
    <row r="46" spans="1:18">
      <c r="A46" s="15" t="s">
        <v>606</v>
      </c>
      <c r="B46" s="17" t="n">
        <v>11068</v>
      </c>
      <c r="C46" s="18">
        <f>(9336.0/B46*100)</f>
        <v/>
      </c>
      <c r="D46" s="19" t="n">
        <v>1732</v>
      </c>
      <c r="E46" s="18" t="n">
        <v>74.81888063</v>
      </c>
      <c r="F46" s="20" t="n">
        <v>1.38229234</v>
      </c>
      <c r="G46" s="18" t="n">
        <v>18.10469884</v>
      </c>
      <c r="H46" s="20" t="n">
        <v>1.4497487</v>
      </c>
      <c r="I46" s="18" t="s">
        <v>567</v>
      </c>
      <c r="J46" s="20" t="s">
        <v>567</v>
      </c>
      <c r="K46" s="18" t="n">
        <v>6.48137345</v>
      </c>
      <c r="L46" s="20" t="n">
        <v>0.74031931</v>
      </c>
      <c r="M46" s="18" t="n">
        <v>0.59504708</v>
      </c>
      <c r="N46" s="20" t="n">
        <v>0.29615288</v>
      </c>
      <c r="O46" s="18" t="n">
        <v>0</v>
      </c>
      <c r="P46" s="20" t="n">
        <v>0</v>
      </c>
      <c r="Q46" s="18" t="n">
        <v>0</v>
      </c>
      <c r="R46" s="20" t="n">
        <v>0</v>
      </c>
    </row>
    <row r="47" spans="1:18">
      <c r="A47" s="15" t="s">
        <v>607</v>
      </c>
      <c r="B47" s="17" t="n">
        <v>3105</v>
      </c>
      <c r="C47" s="18">
        <f>(2463.0/B47*100)</f>
        <v/>
      </c>
      <c r="D47" s="19" t="n">
        <v>642</v>
      </c>
      <c r="E47" s="18" t="n">
        <v>71.75846203</v>
      </c>
      <c r="F47" s="20" t="n">
        <v>2.5146714</v>
      </c>
      <c r="G47" s="18" t="n">
        <v>26.10221036</v>
      </c>
      <c r="H47" s="20" t="n">
        <v>2.53147301</v>
      </c>
      <c r="I47" s="18" t="s">
        <v>567</v>
      </c>
      <c r="J47" s="20" t="s">
        <v>567</v>
      </c>
      <c r="K47" s="18" t="n">
        <v>1.99280552</v>
      </c>
      <c r="L47" s="20" t="n">
        <v>0.63450695</v>
      </c>
      <c r="M47" s="18" t="n">
        <v>0.14652209</v>
      </c>
      <c r="N47" s="20" t="n">
        <v>0.14786541</v>
      </c>
      <c r="O47" s="18" t="n">
        <v>0</v>
      </c>
      <c r="P47" s="20" t="n">
        <v>0</v>
      </c>
      <c r="Q47" s="18" t="n">
        <v>0</v>
      </c>
      <c r="R47" s="20" t="n">
        <v>0</v>
      </c>
    </row>
    <row r="48" spans="1:18">
      <c r="A48" s="15" t="s">
        <v>608</v>
      </c>
      <c r="B48" s="17" t="n">
        <v>5159</v>
      </c>
      <c r="C48" s="18">
        <f>(4020.0/B48*100)</f>
        <v/>
      </c>
      <c r="D48" s="19" t="n">
        <v>1139</v>
      </c>
      <c r="E48" s="18" t="n">
        <v>44.43049287</v>
      </c>
      <c r="F48" s="20" t="n">
        <v>2.22448281</v>
      </c>
      <c r="G48" s="18" t="n">
        <v>53.90348226</v>
      </c>
      <c r="H48" s="20" t="n">
        <v>2.20997902</v>
      </c>
      <c r="I48" s="18" t="s">
        <v>567</v>
      </c>
      <c r="J48" s="20" t="s">
        <v>567</v>
      </c>
      <c r="K48" s="18" t="n">
        <v>1.66602487</v>
      </c>
      <c r="L48" s="20" t="n">
        <v>0.88226383</v>
      </c>
      <c r="M48" s="18" t="n">
        <v>0</v>
      </c>
      <c r="N48" s="20" t="n">
        <v>0</v>
      </c>
      <c r="O48" s="18" t="n">
        <v>0</v>
      </c>
      <c r="P48" s="20" t="n">
        <v>0</v>
      </c>
      <c r="Q48" s="18" t="n">
        <v>0</v>
      </c>
      <c r="R48" s="20" t="n">
        <v>0</v>
      </c>
    </row>
    <row r="49" spans="1:18">
      <c r="A49" s="15" t="s">
        <v>609</v>
      </c>
      <c r="B49" s="17" t="n">
        <v>3018</v>
      </c>
      <c r="C49" s="18">
        <f>(3018.0/B49*100)</f>
        <v/>
      </c>
      <c r="D49" s="19" t="n">
        <v>0</v>
      </c>
      <c r="E49" s="18" t="s">
        <v>567</v>
      </c>
      <c r="F49" s="20" t="s">
        <v>567</v>
      </c>
      <c r="G49" s="18" t="s">
        <v>567</v>
      </c>
      <c r="H49" s="20" t="s">
        <v>567</v>
      </c>
      <c r="I49" s="18" t="s">
        <v>567</v>
      </c>
      <c r="J49" s="20" t="s">
        <v>567</v>
      </c>
      <c r="K49" s="18" t="s">
        <v>567</v>
      </c>
      <c r="L49" s="20" t="s">
        <v>567</v>
      </c>
      <c r="M49" s="18" t="s">
        <v>567</v>
      </c>
      <c r="N49" s="20" t="s">
        <v>567</v>
      </c>
      <c r="O49" s="18" t="s">
        <v>567</v>
      </c>
      <c r="P49" s="20" t="s">
        <v>567</v>
      </c>
      <c r="Q49" s="18" t="s">
        <v>567</v>
      </c>
      <c r="R49" s="20" t="s">
        <v>567</v>
      </c>
    </row>
    <row r="50" spans="1:18">
      <c r="A50" s="15" t="s">
        <v>610</v>
      </c>
      <c r="B50" s="17" t="n">
        <v>5637</v>
      </c>
      <c r="C50" s="18">
        <f>(4477.0/B50*100)</f>
        <v/>
      </c>
      <c r="D50" s="19" t="n">
        <v>1160</v>
      </c>
      <c r="E50" s="18" t="n">
        <v>70.81551842</v>
      </c>
      <c r="F50" s="20" t="n">
        <v>2.22259612</v>
      </c>
      <c r="G50" s="18" t="n">
        <v>24.0391801</v>
      </c>
      <c r="H50" s="20" t="n">
        <v>1.8677893</v>
      </c>
      <c r="I50" s="18" t="s">
        <v>567</v>
      </c>
      <c r="J50" s="20" t="s">
        <v>567</v>
      </c>
      <c r="K50" s="18" t="n">
        <v>5.12631008</v>
      </c>
      <c r="L50" s="20" t="n">
        <v>1.02546596</v>
      </c>
      <c r="M50" s="18" t="n">
        <v>0.0189914</v>
      </c>
      <c r="N50" s="20" t="n">
        <v>0.01909431</v>
      </c>
      <c r="O50" s="18" t="n">
        <v>0</v>
      </c>
      <c r="P50" s="20" t="n">
        <v>0</v>
      </c>
      <c r="Q50" s="18" t="n">
        <v>0</v>
      </c>
      <c r="R50" s="20" t="n">
        <v>0</v>
      </c>
    </row>
    <row r="51" spans="1:18">
      <c r="A51" s="15" t="s">
        <v>611</v>
      </c>
      <c r="B51" s="17" t="n">
        <v>3372</v>
      </c>
      <c r="C51" s="18">
        <f>(2774.0/B51*100)</f>
        <v/>
      </c>
      <c r="D51" s="19" t="n">
        <v>598</v>
      </c>
      <c r="E51" s="18" t="n">
        <v>80.17699435999999</v>
      </c>
      <c r="F51" s="20" t="n">
        <v>1.63274935</v>
      </c>
      <c r="G51" s="18" t="n">
        <v>17.21298029</v>
      </c>
      <c r="H51" s="20" t="n">
        <v>1.42810235</v>
      </c>
      <c r="I51" s="18" t="s">
        <v>567</v>
      </c>
      <c r="J51" s="20" t="s">
        <v>567</v>
      </c>
      <c r="K51" s="18" t="n">
        <v>2.61002535</v>
      </c>
      <c r="L51" s="20" t="n">
        <v>0.75505477</v>
      </c>
      <c r="M51" s="18" t="n">
        <v>0</v>
      </c>
      <c r="N51" s="20" t="n">
        <v>0</v>
      </c>
      <c r="O51" s="18" t="n">
        <v>0</v>
      </c>
      <c r="P51" s="20" t="n">
        <v>0</v>
      </c>
      <c r="Q51" s="18" t="n">
        <v>0</v>
      </c>
      <c r="R51" s="20" t="n">
        <v>0</v>
      </c>
    </row>
    <row r="52" spans="1:18">
      <c r="A52" s="15" t="s">
        <v>612</v>
      </c>
      <c r="B52" s="17" t="n">
        <v>2796</v>
      </c>
      <c r="C52" s="18">
        <f>(2189.0/B52*100)</f>
        <v/>
      </c>
      <c r="D52" s="19" t="n">
        <v>607</v>
      </c>
      <c r="E52" s="18" t="n">
        <v>50.88932925</v>
      </c>
      <c r="F52" s="20" t="n">
        <v>1.89462531</v>
      </c>
      <c r="G52" s="18" t="n">
        <v>46.76724392</v>
      </c>
      <c r="H52" s="20" t="n">
        <v>1.87251963</v>
      </c>
      <c r="I52" s="18" t="s">
        <v>567</v>
      </c>
      <c r="J52" s="20" t="s">
        <v>567</v>
      </c>
      <c r="K52" s="18" t="n">
        <v>2.34342683</v>
      </c>
      <c r="L52" s="20" t="n">
        <v>0.60441732</v>
      </c>
      <c r="M52" s="18" t="n">
        <v>0</v>
      </c>
      <c r="N52" s="20" t="n">
        <v>0</v>
      </c>
      <c r="O52" s="18" t="n">
        <v>0</v>
      </c>
      <c r="P52" s="20" t="n">
        <v>0</v>
      </c>
      <c r="Q52" s="18" t="n">
        <v>0</v>
      </c>
      <c r="R52" s="20" t="n">
        <v>0</v>
      </c>
    </row>
    <row r="53" spans="1:18">
      <c r="A53" s="15" t="s">
        <v>613</v>
      </c>
      <c r="B53" s="17" t="n">
        <v>2811</v>
      </c>
      <c r="C53" s="18">
        <f>(2188.0/B53*100)</f>
        <v/>
      </c>
      <c r="D53" s="19" t="n">
        <v>623</v>
      </c>
      <c r="E53" s="18" t="n">
        <v>67.13983177</v>
      </c>
      <c r="F53" s="20" t="n">
        <v>1.81360135</v>
      </c>
      <c r="G53" s="18" t="n">
        <v>31.16667796</v>
      </c>
      <c r="H53" s="20" t="n">
        <v>1.82429099</v>
      </c>
      <c r="I53" s="18" t="s">
        <v>567</v>
      </c>
      <c r="J53" s="20" t="s">
        <v>567</v>
      </c>
      <c r="K53" s="18" t="n">
        <v>1.69349028</v>
      </c>
      <c r="L53" s="20" t="n">
        <v>0.47470588</v>
      </c>
      <c r="M53" s="18" t="n">
        <v>0</v>
      </c>
      <c r="N53" s="20" t="n">
        <v>0</v>
      </c>
      <c r="O53" s="18" t="n">
        <v>0</v>
      </c>
      <c r="P53" s="20" t="n">
        <v>0</v>
      </c>
      <c r="Q53" s="18" t="n">
        <v>0</v>
      </c>
      <c r="R53" s="20" t="n">
        <v>0</v>
      </c>
    </row>
    <row r="54" spans="1:18">
      <c r="A54" s="15" t="s">
        <v>614</v>
      </c>
      <c r="B54" s="17" t="n">
        <v>2266</v>
      </c>
      <c r="C54" s="18">
        <f>(1794.0/B54*100)</f>
        <v/>
      </c>
      <c r="D54" s="19" t="n">
        <v>472</v>
      </c>
      <c r="E54" s="18" t="n">
        <v>68.24066035</v>
      </c>
      <c r="F54" s="20" t="n">
        <v>2.36853171</v>
      </c>
      <c r="G54" s="18" t="n">
        <v>3.79005783</v>
      </c>
      <c r="H54" s="20" t="n">
        <v>1.04241628</v>
      </c>
      <c r="I54" s="18" t="s">
        <v>567</v>
      </c>
      <c r="J54" s="20" t="s">
        <v>567</v>
      </c>
      <c r="K54" s="18" t="n">
        <v>27.10590926</v>
      </c>
      <c r="L54" s="20" t="n">
        <v>2.12981765</v>
      </c>
      <c r="M54" s="18" t="n">
        <v>0.86337256</v>
      </c>
      <c r="N54" s="20" t="n">
        <v>0.63302377</v>
      </c>
      <c r="O54" s="18" t="n">
        <v>0</v>
      </c>
      <c r="P54" s="20" t="n">
        <v>0</v>
      </c>
      <c r="Q54" s="18" t="n">
        <v>0</v>
      </c>
      <c r="R54" s="20" t="n">
        <v>0</v>
      </c>
    </row>
    <row r="55" spans="1:18">
      <c r="A55" s="15" t="s">
        <v>615</v>
      </c>
      <c r="B55" s="17" t="n">
        <v>2759</v>
      </c>
      <c r="C55" s="18">
        <f>(2759.0/B55*100)</f>
        <v/>
      </c>
      <c r="D55" s="19" t="n">
        <v>0</v>
      </c>
      <c r="E55" s="18" t="s">
        <v>567</v>
      </c>
      <c r="F55" s="20" t="s">
        <v>567</v>
      </c>
      <c r="G55" s="18" t="s">
        <v>567</v>
      </c>
      <c r="H55" s="20" t="s">
        <v>567</v>
      </c>
      <c r="I55" s="18" t="s">
        <v>567</v>
      </c>
      <c r="J55" s="20" t="s">
        <v>567</v>
      </c>
      <c r="K55" s="18" t="s">
        <v>567</v>
      </c>
      <c r="L55" s="20" t="s">
        <v>567</v>
      </c>
      <c r="M55" s="18" t="s">
        <v>567</v>
      </c>
      <c r="N55" s="20" t="s">
        <v>567</v>
      </c>
      <c r="O55" s="18" t="s">
        <v>567</v>
      </c>
      <c r="P55" s="20" t="s">
        <v>567</v>
      </c>
      <c r="Q55" s="18" t="s">
        <v>567</v>
      </c>
      <c r="R55" s="20" t="s">
        <v>567</v>
      </c>
    </row>
    <row r="56" spans="1:18">
      <c r="A56" s="15" t="s">
        <v>616</v>
      </c>
      <c r="B56" s="17" t="n">
        <v>2684</v>
      </c>
      <c r="C56" s="18">
        <f>(2099.0/B56*100)</f>
        <v/>
      </c>
      <c r="D56" s="19" t="n">
        <v>585</v>
      </c>
      <c r="E56" s="18" t="n">
        <v>37.63067072</v>
      </c>
      <c r="F56" s="20" t="n">
        <v>2.31666585</v>
      </c>
      <c r="G56" s="18" t="n">
        <v>60.85666668</v>
      </c>
      <c r="H56" s="20" t="n">
        <v>2.40759781</v>
      </c>
      <c r="I56" s="18" t="s">
        <v>567</v>
      </c>
      <c r="J56" s="20" t="s">
        <v>567</v>
      </c>
      <c r="K56" s="18" t="n">
        <v>1.5126626</v>
      </c>
      <c r="L56" s="20" t="n">
        <v>0.56586049</v>
      </c>
      <c r="M56" s="18" t="n">
        <v>0</v>
      </c>
      <c r="N56" s="20" t="n">
        <v>0</v>
      </c>
      <c r="O56" s="18" t="n">
        <v>0</v>
      </c>
      <c r="P56" s="20" t="n">
        <v>0</v>
      </c>
      <c r="Q56" s="18" t="n">
        <v>0</v>
      </c>
      <c r="R56" s="20" t="n">
        <v>0</v>
      </c>
    </row>
    <row r="57" spans="1:18">
      <c r="A57" s="15" t="s">
        <v>617</v>
      </c>
      <c r="B57" s="17" t="n">
        <v>3170</v>
      </c>
      <c r="C57" s="18">
        <f>(3170.0/B57*100)</f>
        <v/>
      </c>
      <c r="D57" s="19" t="n">
        <v>0</v>
      </c>
      <c r="E57" s="18" t="s">
        <v>567</v>
      </c>
      <c r="F57" s="20" t="s">
        <v>567</v>
      </c>
      <c r="G57" s="18" t="s">
        <v>567</v>
      </c>
      <c r="H57" s="20" t="s">
        <v>567</v>
      </c>
      <c r="I57" s="18" t="s">
        <v>567</v>
      </c>
      <c r="J57" s="20" t="s">
        <v>567</v>
      </c>
      <c r="K57" s="18" t="s">
        <v>567</v>
      </c>
      <c r="L57" s="20" t="s">
        <v>567</v>
      </c>
      <c r="M57" s="18" t="s">
        <v>567</v>
      </c>
      <c r="N57" s="20" t="s">
        <v>567</v>
      </c>
      <c r="O57" s="18" t="s">
        <v>567</v>
      </c>
      <c r="P57" s="20" t="s">
        <v>567</v>
      </c>
      <c r="Q57" s="18" t="s">
        <v>567</v>
      </c>
      <c r="R57" s="20" t="s">
        <v>567</v>
      </c>
    </row>
    <row r="58" spans="1:18">
      <c r="A58" s="15" t="s">
        <v>618</v>
      </c>
      <c r="B58" s="17" t="n">
        <v>3530</v>
      </c>
      <c r="C58" s="18">
        <f>(3530.0/B58*100)</f>
        <v/>
      </c>
      <c r="D58" s="19" t="n">
        <v>0</v>
      </c>
      <c r="E58" s="18" t="s">
        <v>567</v>
      </c>
      <c r="F58" s="20" t="s">
        <v>567</v>
      </c>
      <c r="G58" s="18" t="s">
        <v>567</v>
      </c>
      <c r="H58" s="20" t="s">
        <v>567</v>
      </c>
      <c r="I58" s="18" t="s">
        <v>567</v>
      </c>
      <c r="J58" s="20" t="s">
        <v>567</v>
      </c>
      <c r="K58" s="18" t="s">
        <v>567</v>
      </c>
      <c r="L58" s="20" t="s">
        <v>567</v>
      </c>
      <c r="M58" s="18" t="s">
        <v>567</v>
      </c>
      <c r="N58" s="20" t="s">
        <v>567</v>
      </c>
      <c r="O58" s="18" t="s">
        <v>567</v>
      </c>
      <c r="P58" s="20" t="s">
        <v>567</v>
      </c>
      <c r="Q58" s="18" t="s">
        <v>567</v>
      </c>
      <c r="R58" s="20" t="s">
        <v>567</v>
      </c>
    </row>
    <row r="59" spans="1:18">
      <c r="A59" s="15" t="s">
        <v>619</v>
      </c>
      <c r="B59" s="17" t="n">
        <v>2548</v>
      </c>
      <c r="C59" s="18">
        <f>(2548.0/B59*100)</f>
        <v/>
      </c>
      <c r="D59" s="19" t="n">
        <v>0</v>
      </c>
      <c r="E59" s="18" t="s">
        <v>567</v>
      </c>
      <c r="F59" s="20" t="s">
        <v>567</v>
      </c>
      <c r="G59" s="18" t="s">
        <v>567</v>
      </c>
      <c r="H59" s="20" t="s">
        <v>567</v>
      </c>
      <c r="I59" s="18" t="s">
        <v>567</v>
      </c>
      <c r="J59" s="20" t="s">
        <v>567</v>
      </c>
      <c r="K59" s="18" t="s">
        <v>567</v>
      </c>
      <c r="L59" s="20" t="s">
        <v>567</v>
      </c>
      <c r="M59" s="18" t="s">
        <v>567</v>
      </c>
      <c r="N59" s="20" t="s">
        <v>567</v>
      </c>
      <c r="O59" s="18" t="s">
        <v>567</v>
      </c>
      <c r="P59" s="20" t="s">
        <v>567</v>
      </c>
      <c r="Q59" s="18" t="s">
        <v>567</v>
      </c>
      <c r="R59" s="20" t="s">
        <v>567</v>
      </c>
    </row>
    <row r="60" spans="1:18">
      <c r="A60" s="15" t="s">
        <v>620</v>
      </c>
      <c r="B60" s="17" t="n">
        <v>2095</v>
      </c>
      <c r="C60" s="18">
        <f>(2095.0/B60*100)</f>
        <v/>
      </c>
      <c r="D60" s="19" t="n">
        <v>0</v>
      </c>
      <c r="E60" s="18" t="s">
        <v>567</v>
      </c>
      <c r="F60" s="20" t="s">
        <v>567</v>
      </c>
      <c r="G60" s="18" t="s">
        <v>567</v>
      </c>
      <c r="H60" s="20" t="s">
        <v>567</v>
      </c>
      <c r="I60" s="18" t="s">
        <v>567</v>
      </c>
      <c r="J60" s="20" t="s">
        <v>567</v>
      </c>
      <c r="K60" s="18" t="s">
        <v>567</v>
      </c>
      <c r="L60" s="20" t="s">
        <v>567</v>
      </c>
      <c r="M60" s="18" t="s">
        <v>567</v>
      </c>
      <c r="N60" s="20" t="s">
        <v>567</v>
      </c>
      <c r="O60" s="18" t="s">
        <v>567</v>
      </c>
      <c r="P60" s="20" t="s">
        <v>567</v>
      </c>
      <c r="Q60" s="18" t="s">
        <v>567</v>
      </c>
      <c r="R60" s="20" t="s">
        <v>567</v>
      </c>
    </row>
    <row r="61" spans="1:18">
      <c r="A61" s="15" t="s">
        <v>621</v>
      </c>
      <c r="B61" s="17" t="n">
        <v>3324</v>
      </c>
      <c r="C61" s="18">
        <f>(2611.0/B61*100)</f>
        <v/>
      </c>
      <c r="D61" s="19" t="n">
        <v>713</v>
      </c>
      <c r="E61" s="18" t="n">
        <v>55.79952065</v>
      </c>
      <c r="F61" s="20" t="n">
        <v>1.88518615</v>
      </c>
      <c r="G61" s="18" t="n">
        <v>43.12688994</v>
      </c>
      <c r="H61" s="20" t="n">
        <v>1.89279645</v>
      </c>
      <c r="I61" s="18" t="s">
        <v>567</v>
      </c>
      <c r="J61" s="20" t="s">
        <v>567</v>
      </c>
      <c r="K61" s="18" t="n">
        <v>1.07358941</v>
      </c>
      <c r="L61" s="20" t="n">
        <v>0.38837974</v>
      </c>
      <c r="M61" s="18" t="n">
        <v>0</v>
      </c>
      <c r="N61" s="20" t="n">
        <v>0</v>
      </c>
      <c r="O61" s="18" t="n">
        <v>0</v>
      </c>
      <c r="P61" s="20" t="n">
        <v>0</v>
      </c>
      <c r="Q61" s="18" t="n">
        <v>0</v>
      </c>
      <c r="R61" s="20" t="n">
        <v>0</v>
      </c>
    </row>
    <row r="62" spans="1:18">
      <c r="A62" s="15" t="s">
        <v>622</v>
      </c>
      <c r="B62" s="17" t="n">
        <v>2246</v>
      </c>
      <c r="C62" s="18">
        <f>(1760.0/B62*100)</f>
        <v/>
      </c>
      <c r="D62" s="19" t="n">
        <v>486</v>
      </c>
      <c r="E62" s="18" t="n">
        <v>38.91141988</v>
      </c>
      <c r="F62" s="20" t="n">
        <v>2.25096303</v>
      </c>
      <c r="G62" s="18" t="n">
        <v>61.08858012</v>
      </c>
      <c r="H62" s="20" t="n">
        <v>2.25096303</v>
      </c>
      <c r="I62" s="18" t="s">
        <v>567</v>
      </c>
      <c r="J62" s="20" t="s">
        <v>567</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567</v>
      </c>
      <c r="F63" s="20" t="s">
        <v>567</v>
      </c>
      <c r="G63" s="18" t="s">
        <v>567</v>
      </c>
      <c r="H63" s="20" t="s">
        <v>567</v>
      </c>
      <c r="I63" s="18" t="s">
        <v>567</v>
      </c>
      <c r="J63" s="20" t="s">
        <v>567</v>
      </c>
      <c r="K63" s="18" t="s">
        <v>567</v>
      </c>
      <c r="L63" s="20" t="s">
        <v>567</v>
      </c>
      <c r="M63" s="18" t="s">
        <v>567</v>
      </c>
      <c r="N63" s="20" t="s">
        <v>567</v>
      </c>
      <c r="O63" s="18" t="s">
        <v>567</v>
      </c>
      <c r="P63" s="20" t="s">
        <v>567</v>
      </c>
      <c r="Q63" s="18" t="s">
        <v>567</v>
      </c>
      <c r="R63" s="20" t="s">
        <v>567</v>
      </c>
    </row>
    <row r="64" spans="1:18">
      <c r="A64" s="15" t="s">
        <v>624</v>
      </c>
      <c r="B64" s="17" t="n">
        <v>1844</v>
      </c>
      <c r="C64" s="18">
        <f>(1844.0/B64*100)</f>
        <v/>
      </c>
      <c r="D64" s="19" t="n">
        <v>0</v>
      </c>
      <c r="E64" s="18" t="s">
        <v>567</v>
      </c>
      <c r="F64" s="20" t="s">
        <v>567</v>
      </c>
      <c r="G64" s="18" t="s">
        <v>567</v>
      </c>
      <c r="H64" s="20" t="s">
        <v>567</v>
      </c>
      <c r="I64" s="18" t="s">
        <v>567</v>
      </c>
      <c r="J64" s="20" t="s">
        <v>567</v>
      </c>
      <c r="K64" s="18" t="s">
        <v>567</v>
      </c>
      <c r="L64" s="20" t="s">
        <v>567</v>
      </c>
      <c r="M64" s="18" t="s">
        <v>567</v>
      </c>
      <c r="N64" s="20" t="s">
        <v>567</v>
      </c>
      <c r="O64" s="18" t="s">
        <v>567</v>
      </c>
      <c r="P64" s="20" t="s">
        <v>567</v>
      </c>
      <c r="Q64" s="18" t="s">
        <v>567</v>
      </c>
      <c r="R64" s="20" t="s">
        <v>567</v>
      </c>
    </row>
    <row r="65" spans="1:18">
      <c r="A65" s="15" t="s">
        <v>625</v>
      </c>
      <c r="B65" s="17" t="n">
        <v>2691</v>
      </c>
      <c r="C65" s="18">
        <f>(2691.0/B65*100)</f>
        <v/>
      </c>
      <c r="D65" s="19" t="n">
        <v>0</v>
      </c>
      <c r="E65" s="18" t="s">
        <v>567</v>
      </c>
      <c r="F65" s="20" t="s">
        <v>567</v>
      </c>
      <c r="G65" s="18" t="s">
        <v>567</v>
      </c>
      <c r="H65" s="20" t="s">
        <v>567</v>
      </c>
      <c r="I65" s="18" t="s">
        <v>567</v>
      </c>
      <c r="J65" s="20" t="s">
        <v>567</v>
      </c>
      <c r="K65" s="18" t="s">
        <v>567</v>
      </c>
      <c r="L65" s="20" t="s">
        <v>567</v>
      </c>
      <c r="M65" s="18" t="s">
        <v>567</v>
      </c>
      <c r="N65" s="20" t="s">
        <v>567</v>
      </c>
      <c r="O65" s="18" t="s">
        <v>567</v>
      </c>
      <c r="P65" s="20" t="s">
        <v>567</v>
      </c>
      <c r="Q65" s="18" t="s">
        <v>567</v>
      </c>
      <c r="R65" s="20" t="s">
        <v>567</v>
      </c>
    </row>
    <row r="66" spans="1:18">
      <c r="A66" s="15" t="s">
        <v>626</v>
      </c>
      <c r="B66" s="17" t="n">
        <v>2894</v>
      </c>
      <c r="C66" s="18">
        <f>(2330.0/B66*100)</f>
        <v/>
      </c>
      <c r="D66" s="19" t="n">
        <v>564</v>
      </c>
      <c r="E66" s="18" t="n">
        <v>70.69532949000001</v>
      </c>
      <c r="F66" s="20" t="n">
        <v>2.08035441</v>
      </c>
      <c r="G66" s="18" t="n">
        <v>23.34052127</v>
      </c>
      <c r="H66" s="20" t="n">
        <v>1.94474466</v>
      </c>
      <c r="I66" s="18" t="s">
        <v>567</v>
      </c>
      <c r="J66" s="20" t="s">
        <v>567</v>
      </c>
      <c r="K66" s="18" t="n">
        <v>5.96414925</v>
      </c>
      <c r="L66" s="20" t="n">
        <v>1.02936661</v>
      </c>
      <c r="M66" s="18" t="n">
        <v>0</v>
      </c>
      <c r="N66" s="20" t="n">
        <v>0</v>
      </c>
      <c r="O66" s="18" t="n">
        <v>0</v>
      </c>
      <c r="P66" s="20" t="n">
        <v>0</v>
      </c>
      <c r="Q66" s="18" t="n">
        <v>0</v>
      </c>
      <c r="R66" s="20" t="n">
        <v>0</v>
      </c>
    </row>
    <row r="67" spans="1:18">
      <c r="A67" s="15" t="s">
        <v>627</v>
      </c>
      <c r="B67" s="17" t="n">
        <v>3511</v>
      </c>
      <c r="C67" s="18">
        <f>(2869.0/B67*100)</f>
        <v/>
      </c>
      <c r="D67" s="19" t="n">
        <v>642</v>
      </c>
      <c r="E67" s="18" t="n">
        <v>83.8201157</v>
      </c>
      <c r="F67" s="20" t="n">
        <v>1.5237579</v>
      </c>
      <c r="G67" s="18" t="n">
        <v>12.44627528</v>
      </c>
      <c r="H67" s="20" t="n">
        <v>1.36677094</v>
      </c>
      <c r="I67" s="18" t="s">
        <v>567</v>
      </c>
      <c r="J67" s="20" t="s">
        <v>567</v>
      </c>
      <c r="K67" s="18" t="n">
        <v>3.50297561</v>
      </c>
      <c r="L67" s="20" t="n">
        <v>1.05013191</v>
      </c>
      <c r="M67" s="18" t="n">
        <v>0.23063341</v>
      </c>
      <c r="N67" s="20" t="n">
        <v>0.16586445</v>
      </c>
      <c r="O67" s="18" t="n">
        <v>0</v>
      </c>
      <c r="P67" s="20" t="n">
        <v>0</v>
      </c>
      <c r="Q67" s="18" t="n">
        <v>0</v>
      </c>
      <c r="R67" s="20" t="n">
        <v>0</v>
      </c>
    </row>
    <row r="68" spans="1:18">
      <c r="A68" s="15" t="s">
        <v>628</v>
      </c>
      <c r="B68" s="17" t="n">
        <v>6049</v>
      </c>
      <c r="C68" s="18">
        <f>(4682.0/B68*100)</f>
        <v/>
      </c>
      <c r="D68" s="19" t="n">
        <v>1367</v>
      </c>
      <c r="E68" s="18" t="n">
        <v>63.70689439</v>
      </c>
      <c r="F68" s="20" t="n">
        <v>1.33987473</v>
      </c>
      <c r="G68" s="18" t="n">
        <v>29.26720438</v>
      </c>
      <c r="H68" s="20" t="n">
        <v>1.14800429</v>
      </c>
      <c r="I68" s="18" t="s">
        <v>567</v>
      </c>
      <c r="J68" s="20" t="s">
        <v>567</v>
      </c>
      <c r="K68" s="18" t="n">
        <v>7.02590123</v>
      </c>
      <c r="L68" s="20" t="n">
        <v>0.72128705</v>
      </c>
      <c r="M68" s="18" t="n">
        <v>0</v>
      </c>
      <c r="N68" s="20" t="n">
        <v>0</v>
      </c>
      <c r="O68" s="18" t="n">
        <v>0</v>
      </c>
      <c r="P68" s="20" t="n">
        <v>0</v>
      </c>
      <c r="Q68" s="18" t="n">
        <v>0</v>
      </c>
      <c r="R68" s="20" t="n">
        <v>0</v>
      </c>
    </row>
    <row r="69" spans="1:18">
      <c r="A69" s="15" t="s">
        <v>629</v>
      </c>
      <c r="B69" s="17" t="n">
        <v>2410</v>
      </c>
      <c r="C69" s="18">
        <f>(2410.0/B69*100)</f>
        <v/>
      </c>
      <c r="D69" s="19" t="n">
        <v>0</v>
      </c>
      <c r="E69" s="18" t="s">
        <v>567</v>
      </c>
      <c r="F69" s="20" t="s">
        <v>567</v>
      </c>
      <c r="G69" s="18" t="s">
        <v>567</v>
      </c>
      <c r="H69" s="20" t="s">
        <v>567</v>
      </c>
      <c r="I69" s="18" t="s">
        <v>567</v>
      </c>
      <c r="J69" s="20" t="s">
        <v>567</v>
      </c>
      <c r="K69" s="18" t="s">
        <v>567</v>
      </c>
      <c r="L69" s="20" t="s">
        <v>567</v>
      </c>
      <c r="M69" s="18" t="s">
        <v>567</v>
      </c>
      <c r="N69" s="20" t="s">
        <v>567</v>
      </c>
      <c r="O69" s="18" t="s">
        <v>567</v>
      </c>
      <c r="P69" s="20" t="s">
        <v>567</v>
      </c>
      <c r="Q69" s="18" t="s">
        <v>567</v>
      </c>
      <c r="R69" s="20" t="s">
        <v>567</v>
      </c>
    </row>
    <row r="70" spans="1:18">
      <c r="A70" s="15" t="s">
        <v>630</v>
      </c>
      <c r="B70" s="17" t="n">
        <v>2929</v>
      </c>
      <c r="C70" s="18">
        <f>(2334.0/B70*100)</f>
        <v/>
      </c>
      <c r="D70" s="19" t="n">
        <v>595</v>
      </c>
      <c r="E70" s="18" t="n">
        <v>60.38158789</v>
      </c>
      <c r="F70" s="20" t="n">
        <v>2.50014291</v>
      </c>
      <c r="G70" s="18" t="n">
        <v>38.46284475</v>
      </c>
      <c r="H70" s="20" t="n">
        <v>2.55132269</v>
      </c>
      <c r="I70" s="18" t="s">
        <v>567</v>
      </c>
      <c r="J70" s="20" t="s">
        <v>567</v>
      </c>
      <c r="K70" s="18" t="n">
        <v>0.96648005</v>
      </c>
      <c r="L70" s="20" t="n">
        <v>0.36764274</v>
      </c>
      <c r="M70" s="18" t="n">
        <v>0.18908731</v>
      </c>
      <c r="N70" s="20" t="n">
        <v>0.18839416</v>
      </c>
      <c r="O70" s="18" t="n">
        <v>0</v>
      </c>
      <c r="P70" s="20" t="n">
        <v>0</v>
      </c>
      <c r="Q70" s="18" t="n">
        <v>0</v>
      </c>
      <c r="R70" s="20" t="n">
        <v>0</v>
      </c>
    </row>
    <row r="71" spans="1:18">
      <c r="A71" s="15" t="s">
        <v>631</v>
      </c>
      <c r="B71" s="17" t="n">
        <v>3142</v>
      </c>
      <c r="C71" s="18">
        <f>(2468.0/B71*100)</f>
        <v/>
      </c>
      <c r="D71" s="19" t="n">
        <v>674</v>
      </c>
      <c r="E71" s="18" t="n">
        <v>21.5526664</v>
      </c>
      <c r="F71" s="20" t="n">
        <v>1.50369269</v>
      </c>
      <c r="G71" s="18" t="n">
        <v>77.70454881000001</v>
      </c>
      <c r="H71" s="20" t="n">
        <v>1.44897191</v>
      </c>
      <c r="I71" s="18" t="s">
        <v>567</v>
      </c>
      <c r="J71" s="20" t="s">
        <v>567</v>
      </c>
      <c r="K71" s="18" t="n">
        <v>0.74278479</v>
      </c>
      <c r="L71" s="20" t="n">
        <v>0.33928675</v>
      </c>
      <c r="M71" s="18" t="n">
        <v>0</v>
      </c>
      <c r="N71" s="20" t="n">
        <v>0</v>
      </c>
      <c r="O71" s="18" t="n">
        <v>0</v>
      </c>
      <c r="P71" s="20" t="n">
        <v>0</v>
      </c>
      <c r="Q71" s="18" t="n">
        <v>0</v>
      </c>
      <c r="R71" s="20" t="n">
        <v>0</v>
      </c>
    </row>
    <row r="72" spans="1:18">
      <c r="A72" s="15" t="s">
        <v>632</v>
      </c>
      <c r="B72" s="17" t="n">
        <v>3889</v>
      </c>
      <c r="C72" s="18">
        <f>(3055.0/B72*100)</f>
        <v/>
      </c>
      <c r="D72" s="19" t="n">
        <v>834</v>
      </c>
      <c r="E72" s="18" t="n">
        <v>50.82831732</v>
      </c>
      <c r="F72" s="20" t="n">
        <v>2.2746071</v>
      </c>
      <c r="G72" s="18" t="n">
        <v>48.86406843</v>
      </c>
      <c r="H72" s="20" t="n">
        <v>2.27959498</v>
      </c>
      <c r="I72" s="18" t="s">
        <v>567</v>
      </c>
      <c r="J72" s="20" t="s">
        <v>567</v>
      </c>
      <c r="K72" s="18" t="n">
        <v>0.30761425</v>
      </c>
      <c r="L72" s="20" t="n">
        <v>0.19069915</v>
      </c>
      <c r="M72" s="18" t="n">
        <v>0</v>
      </c>
      <c r="N72" s="20" t="n">
        <v>0</v>
      </c>
      <c r="O72" s="18" t="n">
        <v>0</v>
      </c>
      <c r="P72" s="20" t="n">
        <v>0</v>
      </c>
      <c r="Q72" s="18" t="n">
        <v>0</v>
      </c>
      <c r="R72" s="20" t="n">
        <v>0</v>
      </c>
    </row>
    <row r="73" spans="1:18">
      <c r="A73" s="15" t="s">
        <v>633</v>
      </c>
      <c r="B73" s="17" t="n">
        <v>3597</v>
      </c>
      <c r="C73" s="18">
        <f>(2835.0/B73*100)</f>
        <v/>
      </c>
      <c r="D73" s="19" t="n">
        <v>762</v>
      </c>
      <c r="E73" s="18" t="n">
        <v>78.0552725</v>
      </c>
      <c r="F73" s="20" t="n">
        <v>2.36653249</v>
      </c>
      <c r="G73" s="18" t="n">
        <v>21.00042976</v>
      </c>
      <c r="H73" s="20" t="n">
        <v>2.30138011</v>
      </c>
      <c r="I73" s="18" t="s">
        <v>567</v>
      </c>
      <c r="J73" s="20" t="s">
        <v>567</v>
      </c>
      <c r="K73" s="18" t="n">
        <v>0.93882371</v>
      </c>
      <c r="L73" s="20" t="n">
        <v>0.39517198</v>
      </c>
      <c r="M73" s="18" t="n">
        <v>0.00547403</v>
      </c>
      <c r="N73" s="20" t="n">
        <v>0.00550966</v>
      </c>
      <c r="O73" s="18" t="n">
        <v>0</v>
      </c>
      <c r="P73" s="20" t="n">
        <v>0</v>
      </c>
      <c r="Q73" s="18" t="n">
        <v>0</v>
      </c>
      <c r="R73" s="20" t="n">
        <v>0</v>
      </c>
    </row>
    <row r="74" spans="1:18">
      <c r="A74" s="15" t="s">
        <v>634</v>
      </c>
      <c r="B74" s="17" t="n">
        <v>2239</v>
      </c>
      <c r="C74" s="18">
        <f>(2239.0/B74*100)</f>
        <v/>
      </c>
      <c r="D74" s="19" t="n">
        <v>0</v>
      </c>
      <c r="E74" s="18" t="s">
        <v>567</v>
      </c>
      <c r="F74" s="20" t="s">
        <v>567</v>
      </c>
      <c r="G74" s="18" t="s">
        <v>567</v>
      </c>
      <c r="H74" s="20" t="s">
        <v>567</v>
      </c>
      <c r="I74" s="18" t="s">
        <v>567</v>
      </c>
      <c r="J74" s="20" t="s">
        <v>567</v>
      </c>
      <c r="K74" s="18" t="s">
        <v>567</v>
      </c>
      <c r="L74" s="20" t="s">
        <v>567</v>
      </c>
      <c r="M74" s="18" t="s">
        <v>567</v>
      </c>
      <c r="N74" s="20" t="s">
        <v>567</v>
      </c>
      <c r="O74" s="18" t="s">
        <v>567</v>
      </c>
      <c r="P74" s="20" t="s">
        <v>567</v>
      </c>
      <c r="Q74" s="18" t="s">
        <v>567</v>
      </c>
      <c r="R74" s="20" t="s">
        <v>567</v>
      </c>
    </row>
    <row r="75" spans="1:18">
      <c r="A75" s="15" t="s">
        <v>635</v>
      </c>
      <c r="B75" s="17" t="n">
        <v>2406</v>
      </c>
      <c r="C75" s="18">
        <f>(1951.0/B75*100)</f>
        <v/>
      </c>
      <c r="D75" s="19" t="n">
        <v>455</v>
      </c>
      <c r="E75" s="18" t="n">
        <v>79.40852024</v>
      </c>
      <c r="F75" s="20" t="n">
        <v>2.11709737</v>
      </c>
      <c r="G75" s="18" t="n">
        <v>13.65585203</v>
      </c>
      <c r="H75" s="20" t="n">
        <v>2.05750232</v>
      </c>
      <c r="I75" s="18" t="s">
        <v>567</v>
      </c>
      <c r="J75" s="20" t="s">
        <v>567</v>
      </c>
      <c r="K75" s="18" t="n">
        <v>6.93562773</v>
      </c>
      <c r="L75" s="20" t="n">
        <v>1.17862374</v>
      </c>
      <c r="M75" s="18" t="n">
        <v>0</v>
      </c>
      <c r="N75" s="20" t="n">
        <v>0</v>
      </c>
      <c r="O75" s="18" t="n">
        <v>0</v>
      </c>
      <c r="P75" s="20" t="n">
        <v>0</v>
      </c>
      <c r="Q75" s="18" t="n">
        <v>0</v>
      </c>
      <c r="R75" s="20" t="n">
        <v>0</v>
      </c>
    </row>
    <row r="76" spans="1:18">
      <c r="A76" s="15" t="s">
        <v>636</v>
      </c>
      <c r="B76" s="17" t="n">
        <v>7052</v>
      </c>
      <c r="C76" s="18">
        <f>(5493.0/B76*100)</f>
        <v/>
      </c>
      <c r="D76" s="19" t="n">
        <v>1559</v>
      </c>
      <c r="E76" s="18" t="n">
        <v>63.58837463</v>
      </c>
      <c r="F76" s="20" t="n">
        <v>1.52403638</v>
      </c>
      <c r="G76" s="18" t="n">
        <v>31.46277963</v>
      </c>
      <c r="H76" s="20" t="n">
        <v>1.54391772</v>
      </c>
      <c r="I76" s="18" t="s">
        <v>567</v>
      </c>
      <c r="J76" s="20" t="s">
        <v>567</v>
      </c>
      <c r="K76" s="18" t="n">
        <v>4.60373427</v>
      </c>
      <c r="L76" s="20" t="n">
        <v>0.63678557</v>
      </c>
      <c r="M76" s="18" t="n">
        <v>0.34511147</v>
      </c>
      <c r="N76" s="20" t="n">
        <v>0.25228933</v>
      </c>
      <c r="O76" s="18" t="n">
        <v>0</v>
      </c>
      <c r="P76" s="20" t="n">
        <v>0</v>
      </c>
      <c r="Q76" s="18" t="n">
        <v>0</v>
      </c>
      <c r="R76" s="20" t="n">
        <v>0</v>
      </c>
    </row>
    <row r="77" spans="1:18">
      <c r="A77" s="15" t="s">
        <v>637</v>
      </c>
      <c r="B77" s="17" t="n">
        <v>2908</v>
      </c>
      <c r="C77" s="18">
        <f>(2326.0/B77*100)</f>
        <v/>
      </c>
      <c r="D77" s="19" t="n">
        <v>582</v>
      </c>
      <c r="E77" s="18" t="n">
        <v>62.8062468</v>
      </c>
      <c r="F77" s="20" t="n">
        <v>2.32049718</v>
      </c>
      <c r="G77" s="18" t="n">
        <v>30.33500047</v>
      </c>
      <c r="H77" s="20" t="n">
        <v>2.36555731</v>
      </c>
      <c r="I77" s="18" t="s">
        <v>567</v>
      </c>
      <c r="J77" s="20" t="s">
        <v>567</v>
      </c>
      <c r="K77" s="18" t="n">
        <v>6.85875273</v>
      </c>
      <c r="L77" s="20" t="n">
        <v>1.06457229</v>
      </c>
      <c r="M77" s="18" t="n">
        <v>0</v>
      </c>
      <c r="N77" s="20" t="n">
        <v>0</v>
      </c>
      <c r="O77" s="18" t="n">
        <v>0</v>
      </c>
      <c r="P77" s="20" t="n">
        <v>0</v>
      </c>
      <c r="Q77" s="18" t="n">
        <v>0</v>
      </c>
      <c r="R77" s="20" t="n">
        <v>0</v>
      </c>
    </row>
    <row r="78" spans="1:18">
      <c r="A78" s="15" t="s">
        <v>638</v>
      </c>
      <c r="B78" s="17" t="n">
        <v>2786</v>
      </c>
      <c r="C78" s="18">
        <f>(2786.0/B78*100)</f>
        <v/>
      </c>
      <c r="D78" s="19" t="n">
        <v>0</v>
      </c>
      <c r="E78" s="18" t="s">
        <v>567</v>
      </c>
      <c r="F78" s="20" t="s">
        <v>567</v>
      </c>
      <c r="G78" s="18" t="s">
        <v>567</v>
      </c>
      <c r="H78" s="20" t="s">
        <v>567</v>
      </c>
      <c r="I78" s="18" t="s">
        <v>567</v>
      </c>
      <c r="J78" s="20" t="s">
        <v>567</v>
      </c>
      <c r="K78" s="18" t="s">
        <v>567</v>
      </c>
      <c r="L78" s="20" t="s">
        <v>567</v>
      </c>
      <c r="M78" s="18" t="s">
        <v>567</v>
      </c>
      <c r="N78" s="20" t="s">
        <v>567</v>
      </c>
      <c r="O78" s="18" t="s">
        <v>567</v>
      </c>
      <c r="P78" s="20" t="s">
        <v>567</v>
      </c>
      <c r="Q78" s="18" t="s">
        <v>567</v>
      </c>
      <c r="R78" s="20" t="s">
        <v>567</v>
      </c>
    </row>
    <row customHeight="1" ht="25" r="79" spans="1:18">
      <c r="A79" s="15" t="s">
        <v>639</v>
      </c>
      <c r="B79" s="17" t="n">
        <v>787</v>
      </c>
      <c r="C79" s="18">
        <f>(787.0/B79*100)</f>
        <v/>
      </c>
      <c r="D79" s="19" t="n">
        <v>0</v>
      </c>
      <c r="E79" s="18" t="s">
        <v>567</v>
      </c>
      <c r="F79" s="20" t="s">
        <v>567</v>
      </c>
      <c r="G79" s="18" t="s">
        <v>567</v>
      </c>
      <c r="H79" s="20" t="s">
        <v>567</v>
      </c>
      <c r="I79" s="18" t="s">
        <v>567</v>
      </c>
      <c r="J79" s="20" t="s">
        <v>567</v>
      </c>
      <c r="K79" s="18" t="s">
        <v>567</v>
      </c>
      <c r="L79" s="20" t="s">
        <v>567</v>
      </c>
      <c r="M79" s="18" t="s">
        <v>567</v>
      </c>
      <c r="N79" s="20" t="s">
        <v>567</v>
      </c>
      <c r="O79" s="18" t="s">
        <v>567</v>
      </c>
      <c r="P79" s="20" t="s">
        <v>567</v>
      </c>
      <c r="Q79" s="18" t="s">
        <v>567</v>
      </c>
      <c r="R79" s="20" t="s">
        <v>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(3873.0/B81*100)</f>
        <v/>
      </c>
      <c r="D81" s="19" t="n">
        <v>290</v>
      </c>
      <c r="E81" s="18" t="n">
        <v>57.78453441</v>
      </c>
      <c r="F81" s="20" t="n">
        <v>3.51657366</v>
      </c>
      <c r="G81" s="18" t="n">
        <v>42.10308166</v>
      </c>
      <c r="H81" s="20" t="n">
        <v>3.51873626</v>
      </c>
      <c r="I81" s="18" t="s">
        <v>567</v>
      </c>
      <c r="J81" s="20" t="s">
        <v>567</v>
      </c>
      <c r="K81" s="18" t="n">
        <v>0.11238394</v>
      </c>
      <c r="L81" s="20" t="n">
        <v>0.04701678</v>
      </c>
      <c r="M81" s="18" t="n">
        <v>0</v>
      </c>
      <c r="N81" s="20" t="n">
        <v>0</v>
      </c>
      <c r="O81" s="18" t="n">
        <v>0</v>
      </c>
      <c r="P81" s="20" t="n">
        <v>0</v>
      </c>
      <c r="Q81" s="18" t="n">
        <v>0</v>
      </c>
      <c r="R81" s="20" t="n">
        <v>0</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(1641.0/B44*100)</f>
        <v/>
      </c>
      <c r="D44" s="19" t="n">
        <v>883</v>
      </c>
      <c r="E44" s="18" t="n">
        <v>32.7407708</v>
      </c>
      <c r="F44" s="20" t="n">
        <v>1.80000024</v>
      </c>
      <c r="G44" s="18" t="n">
        <v>33.92871278</v>
      </c>
      <c r="H44" s="20" t="n">
        <v>2.20638346</v>
      </c>
      <c r="I44" s="18" t="s">
        <v>567</v>
      </c>
      <c r="J44" s="20" t="s">
        <v>567</v>
      </c>
      <c r="K44" s="18" t="n">
        <v>1.35207012</v>
      </c>
      <c r="L44" s="20" t="n">
        <v>0.42934604</v>
      </c>
      <c r="M44" s="18" t="n">
        <v>0</v>
      </c>
      <c r="N44" s="20" t="n">
        <v>0</v>
      </c>
      <c r="O44" s="18" t="n">
        <v>0</v>
      </c>
      <c r="P44" s="20" t="n">
        <v>0</v>
      </c>
      <c r="Q44" s="18" t="n">
        <v>31.9784463</v>
      </c>
      <c r="R44" s="20" t="n">
        <v>1.82383782</v>
      </c>
    </row>
    <row r="45" spans="1:18">
      <c r="A45" s="15" t="s">
        <v>605</v>
      </c>
      <c r="B45" s="17" t="n">
        <v>2849</v>
      </c>
      <c r="C45" s="18">
        <f>(1905.0/B45*100)</f>
        <v/>
      </c>
      <c r="D45" s="19" t="n">
        <v>944</v>
      </c>
      <c r="E45" s="18" t="n">
        <v>53.50367275</v>
      </c>
      <c r="F45" s="20" t="n">
        <v>1.816783</v>
      </c>
      <c r="G45" s="18" t="n">
        <v>19.45403308</v>
      </c>
      <c r="H45" s="20" t="n">
        <v>1.26987861</v>
      </c>
      <c r="I45" s="18" t="s">
        <v>567</v>
      </c>
      <c r="J45" s="20" t="s">
        <v>567</v>
      </c>
      <c r="K45" s="18" t="n">
        <v>3.75004292</v>
      </c>
      <c r="L45" s="20" t="n">
        <v>0.68375298</v>
      </c>
      <c r="M45" s="18" t="n">
        <v>0.71641729</v>
      </c>
      <c r="N45" s="20" t="n">
        <v>0.28455359</v>
      </c>
      <c r="O45" s="18" t="n">
        <v>0.1248606</v>
      </c>
      <c r="P45" s="20" t="n">
        <v>0.08883849000000001</v>
      </c>
      <c r="Q45" s="18" t="n">
        <v>22.45097338</v>
      </c>
      <c r="R45" s="20" t="n">
        <v>1.42299793</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(1999.0/B49*100)</f>
        <v/>
      </c>
      <c r="D49" s="19" t="n">
        <v>1019</v>
      </c>
      <c r="E49" s="18" t="n">
        <v>41.97136937</v>
      </c>
      <c r="F49" s="20" t="n">
        <v>1.86146917</v>
      </c>
      <c r="G49" s="18" t="n">
        <v>37.0723845</v>
      </c>
      <c r="H49" s="20" t="n">
        <v>1.69285633</v>
      </c>
      <c r="I49" s="18" t="s">
        <v>567</v>
      </c>
      <c r="J49" s="20" t="s">
        <v>567</v>
      </c>
      <c r="K49" s="18" t="n">
        <v>1.0226321</v>
      </c>
      <c r="L49" s="20" t="n">
        <v>0.3411394</v>
      </c>
      <c r="M49" s="18" t="n">
        <v>0</v>
      </c>
      <c r="N49" s="20" t="n">
        <v>0</v>
      </c>
      <c r="O49" s="18" t="n">
        <v>0</v>
      </c>
      <c r="P49" s="20" t="n">
        <v>0</v>
      </c>
      <c r="Q49" s="18" t="n">
        <v>19.93361403</v>
      </c>
      <c r="R49" s="20" t="n">
        <v>1.69442536</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(1852.0/B55*100)</f>
        <v/>
      </c>
      <c r="D55" s="19" t="n">
        <v>907</v>
      </c>
      <c r="E55" s="18" t="n">
        <v>17.67876076</v>
      </c>
      <c r="F55" s="20" t="n">
        <v>1.33030651</v>
      </c>
      <c r="G55" s="18" t="n">
        <v>38.18888454</v>
      </c>
      <c r="H55" s="20" t="n">
        <v>1.68904855</v>
      </c>
      <c r="I55" s="18" t="s">
        <v>567</v>
      </c>
      <c r="J55" s="20" t="s">
        <v>567</v>
      </c>
      <c r="K55" s="18" t="n">
        <v>0.81395741</v>
      </c>
      <c r="L55" s="20" t="n">
        <v>0.33041611</v>
      </c>
      <c r="M55" s="18" t="n">
        <v>0.09095056</v>
      </c>
      <c r="N55" s="20" t="n">
        <v>0.09064706</v>
      </c>
      <c r="O55" s="18" t="n">
        <v>0.39126942</v>
      </c>
      <c r="P55" s="20" t="n">
        <v>0.19598317</v>
      </c>
      <c r="Q55" s="18" t="n">
        <v>42.83617731</v>
      </c>
      <c r="R55" s="20" t="n">
        <v>1.95690002</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59.14955608</v>
      </c>
      <c r="F57" s="20" t="n">
        <v>1.68313952</v>
      </c>
      <c r="G57" s="18" t="n">
        <v>35.11936604</v>
      </c>
      <c r="H57" s="20" t="n">
        <v>1.65532281</v>
      </c>
      <c r="I57" s="18" t="s">
        <v>567</v>
      </c>
      <c r="J57" s="20" t="s">
        <v>567</v>
      </c>
      <c r="K57" s="18" t="n">
        <v>1.22753412</v>
      </c>
      <c r="L57" s="20" t="n">
        <v>0.40581825</v>
      </c>
      <c r="M57" s="18" t="n">
        <v>0.17463409</v>
      </c>
      <c r="N57" s="20" t="n">
        <v>0.1744878</v>
      </c>
      <c r="O57" s="18" t="n">
        <v>0</v>
      </c>
      <c r="P57" s="20" t="n">
        <v>0</v>
      </c>
      <c r="Q57" s="18" t="n">
        <v>4.32890967</v>
      </c>
      <c r="R57" s="20" t="n">
        <v>0.75494519</v>
      </c>
    </row>
    <row r="58" spans="1:18">
      <c r="A58" s="15" t="s">
        <v>618</v>
      </c>
      <c r="B58" s="17" t="n">
        <v>3530</v>
      </c>
      <c r="C58" s="18">
        <f>(2348.0/B58*100)</f>
        <v/>
      </c>
      <c r="D58" s="19" t="n">
        <v>1182</v>
      </c>
      <c r="E58" s="18" t="n">
        <v>46.61717917</v>
      </c>
      <c r="F58" s="20" t="n">
        <v>1.77026072</v>
      </c>
      <c r="G58" s="18" t="n">
        <v>30.05866892</v>
      </c>
      <c r="H58" s="20" t="n">
        <v>1.66477953</v>
      </c>
      <c r="I58" s="18" t="s">
        <v>567</v>
      </c>
      <c r="J58" s="20" t="s">
        <v>567</v>
      </c>
      <c r="K58" s="18" t="n">
        <v>1.31491488</v>
      </c>
      <c r="L58" s="20" t="n">
        <v>0.36293912</v>
      </c>
      <c r="M58" s="18" t="n">
        <v>0</v>
      </c>
      <c r="N58" s="20" t="n">
        <v>0</v>
      </c>
      <c r="O58" s="18" t="n">
        <v>0</v>
      </c>
      <c r="P58" s="20" t="n">
        <v>0</v>
      </c>
      <c r="Q58" s="18" t="n">
        <v>22.00923702</v>
      </c>
      <c r="R58" s="20" t="n">
        <v>1.78387435</v>
      </c>
    </row>
    <row r="59" spans="1:18">
      <c r="A59" s="15" t="s">
        <v>619</v>
      </c>
      <c r="B59" s="17" t="n">
        <v>2548</v>
      </c>
      <c r="C59" s="18">
        <f>(1667.0/B59*100)</f>
        <v/>
      </c>
      <c r="D59" s="19" t="n">
        <v>881</v>
      </c>
      <c r="E59" s="18" t="n">
        <v>55.50426068</v>
      </c>
      <c r="F59" s="20" t="n">
        <v>1.97113616</v>
      </c>
      <c r="G59" s="18" t="n">
        <v>20.72640283</v>
      </c>
      <c r="H59" s="20" t="n">
        <v>1.65261852</v>
      </c>
      <c r="I59" s="18" t="s">
        <v>567</v>
      </c>
      <c r="J59" s="20" t="s">
        <v>567</v>
      </c>
      <c r="K59" s="18" t="n">
        <v>0.04712543</v>
      </c>
      <c r="L59" s="20" t="n">
        <v>0.04723796</v>
      </c>
      <c r="M59" s="18" t="n">
        <v>0</v>
      </c>
      <c r="N59" s="20" t="n">
        <v>0</v>
      </c>
      <c r="O59" s="18" t="n">
        <v>0</v>
      </c>
      <c r="P59" s="20" t="n">
        <v>0</v>
      </c>
      <c r="Q59" s="18" t="n">
        <v>23.72221105</v>
      </c>
      <c r="R59" s="20" t="n">
        <v>1.61500923</v>
      </c>
    </row>
    <row r="60" spans="1:18">
      <c r="A60" s="15" t="s">
        <v>620</v>
      </c>
      <c r="B60" s="17" t="n">
        <v>2095</v>
      </c>
      <c r="C60" s="18">
        <f>(1400.0/B60*100)</f>
        <v/>
      </c>
      <c r="D60" s="19" t="n">
        <v>695</v>
      </c>
      <c r="E60" s="18" t="n">
        <v>48.63354122</v>
      </c>
      <c r="F60" s="20" t="n">
        <v>2.09399432</v>
      </c>
      <c r="G60" s="18" t="n">
        <v>23.90737073</v>
      </c>
      <c r="H60" s="20" t="n">
        <v>2.04246704</v>
      </c>
      <c r="I60" s="18" t="s">
        <v>567</v>
      </c>
      <c r="J60" s="20" t="s">
        <v>567</v>
      </c>
      <c r="K60" s="18" t="n">
        <v>2.89601541</v>
      </c>
      <c r="L60" s="20" t="n">
        <v>0.6778473699999999</v>
      </c>
      <c r="M60" s="18" t="n">
        <v>0.12221101</v>
      </c>
      <c r="N60" s="20" t="n">
        <v>0.12020336</v>
      </c>
      <c r="O60" s="18" t="n">
        <v>0</v>
      </c>
      <c r="P60" s="20" t="n">
        <v>0</v>
      </c>
      <c r="Q60" s="18" t="n">
        <v>24.44086163</v>
      </c>
      <c r="R60" s="20" t="n">
        <v>2.29380081</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(1882.0/B63*100)</f>
        <v/>
      </c>
      <c r="D63" s="19" t="n">
        <v>931</v>
      </c>
      <c r="E63" s="18" t="n">
        <v>20.17369595</v>
      </c>
      <c r="F63" s="20" t="n">
        <v>1.33773222</v>
      </c>
      <c r="G63" s="18" t="n">
        <v>21.90227409</v>
      </c>
      <c r="H63" s="20" t="n">
        <v>1.61672647</v>
      </c>
      <c r="I63" s="18" t="s">
        <v>567</v>
      </c>
      <c r="J63" s="20" t="s">
        <v>567</v>
      </c>
      <c r="K63" s="18" t="n">
        <v>1.60221692</v>
      </c>
      <c r="L63" s="20" t="n">
        <v>0.43035063</v>
      </c>
      <c r="M63" s="18" t="n">
        <v>0</v>
      </c>
      <c r="N63" s="20" t="n">
        <v>0</v>
      </c>
      <c r="O63" s="18" t="n">
        <v>0</v>
      </c>
      <c r="P63" s="20" t="n">
        <v>0</v>
      </c>
      <c r="Q63" s="18" t="n">
        <v>56.32181304</v>
      </c>
      <c r="R63" s="20" t="n">
        <v>1.67695474</v>
      </c>
    </row>
    <row r="64" spans="1:18">
      <c r="A64" s="15" t="s">
        <v>624</v>
      </c>
      <c r="B64" s="17" t="n">
        <v>1844</v>
      </c>
      <c r="C64" s="18">
        <f>(1218.0/B64*100)</f>
        <v/>
      </c>
      <c r="D64" s="19" t="n">
        <v>626</v>
      </c>
      <c r="E64" s="18" t="n">
        <v>30.5175227</v>
      </c>
      <c r="F64" s="20" t="n">
        <v>1.86227953</v>
      </c>
      <c r="G64" s="18" t="n">
        <v>41.38230314</v>
      </c>
      <c r="H64" s="20" t="n">
        <v>1.96298608</v>
      </c>
      <c r="I64" s="18" t="s">
        <v>567</v>
      </c>
      <c r="J64" s="20" t="s">
        <v>567</v>
      </c>
      <c r="K64" s="18" t="n">
        <v>2.67852646</v>
      </c>
      <c r="L64" s="20" t="n">
        <v>0.58157738</v>
      </c>
      <c r="M64" s="18" t="n">
        <v>0</v>
      </c>
      <c r="N64" s="20" t="n">
        <v>0</v>
      </c>
      <c r="O64" s="18" t="n">
        <v>0</v>
      </c>
      <c r="P64" s="20" t="n">
        <v>0</v>
      </c>
      <c r="Q64" s="18" t="n">
        <v>25.4216477</v>
      </c>
      <c r="R64" s="20" t="n">
        <v>1.59388022</v>
      </c>
    </row>
    <row r="65" spans="1:18">
      <c r="A65" s="15" t="s">
        <v>625</v>
      </c>
      <c r="B65" s="17" t="n">
        <v>2691</v>
      </c>
      <c r="C65" s="18">
        <f>(1757.0/B65*100)</f>
        <v/>
      </c>
      <c r="D65" s="19" t="n">
        <v>934</v>
      </c>
      <c r="E65" s="18" t="n">
        <v>26.89066042</v>
      </c>
      <c r="F65" s="20" t="n">
        <v>1.35015019</v>
      </c>
      <c r="G65" s="18" t="n">
        <v>37.18820066</v>
      </c>
      <c r="H65" s="20" t="n">
        <v>1.59945869</v>
      </c>
      <c r="I65" s="18" t="s">
        <v>567</v>
      </c>
      <c r="J65" s="20" t="s">
        <v>567</v>
      </c>
      <c r="K65" s="18" t="n">
        <v>3.13297078</v>
      </c>
      <c r="L65" s="20" t="n">
        <v>0.58781144</v>
      </c>
      <c r="M65" s="18" t="n">
        <v>0</v>
      </c>
      <c r="N65" s="20" t="n">
        <v>0</v>
      </c>
      <c r="O65" s="18" t="n">
        <v>0</v>
      </c>
      <c r="P65" s="20" t="n">
        <v>0</v>
      </c>
      <c r="Q65" s="18" t="n">
        <v>32.78816815</v>
      </c>
      <c r="R65" s="20" t="n">
        <v>1.6455823</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(1635.0/B69*100)</f>
        <v/>
      </c>
      <c r="D69" s="19" t="n">
        <v>775</v>
      </c>
      <c r="E69" s="18" t="n">
        <v>54.98892875</v>
      </c>
      <c r="F69" s="20" t="n">
        <v>2.07201565</v>
      </c>
      <c r="G69" s="18" t="n">
        <v>44.65666074</v>
      </c>
      <c r="H69" s="20" t="n">
        <v>2.03576514</v>
      </c>
      <c r="I69" s="18" t="s">
        <v>567</v>
      </c>
      <c r="J69" s="20" t="s">
        <v>567</v>
      </c>
      <c r="K69" s="18" t="n">
        <v>0</v>
      </c>
      <c r="L69" s="20" t="n">
        <v>0</v>
      </c>
      <c r="M69" s="18" t="n">
        <v>0</v>
      </c>
      <c r="N69" s="20" t="n">
        <v>0</v>
      </c>
      <c r="O69" s="18" t="n">
        <v>0</v>
      </c>
      <c r="P69" s="20" t="n">
        <v>0</v>
      </c>
      <c r="Q69" s="18" t="n">
        <v>0.35441052</v>
      </c>
      <c r="R69" s="20" t="n">
        <v>0.26315659</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(1488.0/B74*100)</f>
        <v/>
      </c>
      <c r="D74" s="19" t="n">
        <v>751</v>
      </c>
      <c r="E74" s="18" t="n">
        <v>38.20282535</v>
      </c>
      <c r="F74" s="20" t="n">
        <v>1.68235259</v>
      </c>
      <c r="G74" s="18" t="n">
        <v>29.72816493</v>
      </c>
      <c r="H74" s="20" t="n">
        <v>1.68115869</v>
      </c>
      <c r="I74" s="18" t="s">
        <v>567</v>
      </c>
      <c r="J74" s="20" t="s">
        <v>567</v>
      </c>
      <c r="K74" s="18" t="n">
        <v>2.93830545</v>
      </c>
      <c r="L74" s="20" t="n">
        <v>0.7131309</v>
      </c>
      <c r="M74" s="18" t="n">
        <v>0</v>
      </c>
      <c r="N74" s="20" t="n">
        <v>0</v>
      </c>
      <c r="O74" s="18" t="n">
        <v>0</v>
      </c>
      <c r="P74" s="20" t="n">
        <v>0</v>
      </c>
      <c r="Q74" s="18" t="n">
        <v>29.13070428</v>
      </c>
      <c r="R74" s="20" t="n">
        <v>1.78473196</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(1885.0/B78*100)</f>
        <v/>
      </c>
      <c r="D78" s="19" t="n">
        <v>901</v>
      </c>
      <c r="E78" s="18" t="n">
        <v>34.0931415</v>
      </c>
      <c r="F78" s="20" t="n">
        <v>2.17932311</v>
      </c>
      <c r="G78" s="18" t="n">
        <v>64.40050307</v>
      </c>
      <c r="H78" s="20" t="n">
        <v>2.21672353</v>
      </c>
      <c r="I78" s="18" t="s">
        <v>567</v>
      </c>
      <c r="J78" s="20" t="s">
        <v>567</v>
      </c>
      <c r="K78" s="18" t="n">
        <v>0</v>
      </c>
      <c r="L78" s="20" t="n">
        <v>0</v>
      </c>
      <c r="M78" s="18" t="n">
        <v>0</v>
      </c>
      <c r="N78" s="20" t="n">
        <v>0</v>
      </c>
      <c r="O78" s="18" t="n">
        <v>0</v>
      </c>
      <c r="P78" s="20" t="n">
        <v>0</v>
      </c>
      <c r="Q78" s="18" t="n">
        <v>1.50635543</v>
      </c>
      <c r="R78" s="20" t="n">
        <v>0.44600265</v>
      </c>
    </row>
    <row customHeight="1" ht="25" r="79" spans="1:18">
      <c r="A79" s="15" t="s">
        <v>639</v>
      </c>
      <c r="B79" s="17" t="n">
        <v>787</v>
      </c>
      <c r="C79" s="18">
        <f>(524.0/B79*100)</f>
        <v/>
      </c>
      <c r="D79" s="19" t="n">
        <v>263</v>
      </c>
      <c r="E79" s="18" t="n">
        <v>36.16012923</v>
      </c>
      <c r="F79" s="20" t="n">
        <v>3.67429515</v>
      </c>
      <c r="G79" s="18" t="n">
        <v>44.87377582</v>
      </c>
      <c r="H79" s="20" t="n">
        <v>3.98380265</v>
      </c>
      <c r="I79" s="18" t="s">
        <v>567</v>
      </c>
      <c r="J79" s="20" t="s">
        <v>567</v>
      </c>
      <c r="K79" s="18" t="n">
        <v>2.10639792</v>
      </c>
      <c r="L79" s="20" t="n">
        <v>0.81404135</v>
      </c>
      <c r="M79" s="18" t="n">
        <v>0</v>
      </c>
      <c r="N79" s="20" t="n">
        <v>0</v>
      </c>
      <c r="O79" s="18" t="n">
        <v>0</v>
      </c>
      <c r="P79" s="20" t="n">
        <v>0</v>
      </c>
      <c r="Q79" s="18" t="n">
        <v>16.85969704</v>
      </c>
      <c r="R79" s="20" t="n">
        <v>2.14849286</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549</v>
      </c>
    </row>
    <row r="2" spans="1:24">
      <c r="A2" s="5" t="s">
        <v>854</v>
      </c>
    </row>
    <row customHeight="1" ht="30" r="4" spans="1:24">
      <c r="A4" s="6" t="n"/>
      <c r="B4" s="7" t="s">
        <v>551</v>
      </c>
      <c r="C4" s="7" t="s">
        <v>552</v>
      </c>
      <c r="D4" s="8" t="s">
        <v>551</v>
      </c>
      <c r="E4" s="9" t="s">
        <v>657</v>
      </c>
      <c r="F4" s="10" t="n"/>
      <c r="G4" s="9" t="s">
        <v>658</v>
      </c>
      <c r="H4" s="10" t="n"/>
      <c r="I4" s="9" t="s">
        <v>855</v>
      </c>
      <c r="J4" s="10" t="n"/>
      <c r="K4" s="9" t="s">
        <v>659</v>
      </c>
      <c r="L4" s="10" t="n"/>
      <c r="M4" s="9" t="s">
        <v>660</v>
      </c>
      <c r="N4" s="10" t="n"/>
      <c r="O4" s="9" t="s">
        <v>555</v>
      </c>
      <c r="P4" s="10" t="n"/>
      <c r="Q4" s="9" t="s">
        <v>556</v>
      </c>
      <c r="R4" s="10" t="n"/>
      <c r="S4" s="9" t="s">
        <v>557</v>
      </c>
      <c r="T4" s="10" t="n"/>
      <c r="U4" s="9" t="s">
        <v>558</v>
      </c>
      <c r="V4" s="10" t="n"/>
      <c r="W4" s="9" t="s">
        <v>559</v>
      </c>
      <c r="X4" s="10" t="n"/>
    </row>
    <row r="5" spans="1:24">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c r="W5" s="12" t="s">
        <v>563</v>
      </c>
      <c r="X5" s="11" t="s">
        <v>564</v>
      </c>
    </row>
    <row r="6" spans="1:24">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c r="U7" s="18" t="s">
        <v>567</v>
      </c>
      <c r="V7" s="20" t="s">
        <v>567</v>
      </c>
      <c r="W7" s="18" t="s">
        <v>567</v>
      </c>
      <c r="X7" s="20" t="s">
        <v>567</v>
      </c>
    </row>
    <row r="8" spans="1:24">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c r="U8" s="18" t="s">
        <v>567</v>
      </c>
      <c r="V8" s="20" t="s">
        <v>567</v>
      </c>
      <c r="W8" s="18" t="s">
        <v>567</v>
      </c>
      <c r="X8" s="20" t="s">
        <v>567</v>
      </c>
    </row>
    <row r="9" spans="1:24">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c r="U9" s="18" t="s">
        <v>567</v>
      </c>
      <c r="V9" s="20" t="s">
        <v>567</v>
      </c>
      <c r="W9" s="18" t="s">
        <v>567</v>
      </c>
      <c r="X9" s="20" t="s">
        <v>567</v>
      </c>
    </row>
    <row r="10" spans="1:24">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c r="U10" s="18" t="s">
        <v>567</v>
      </c>
      <c r="V10" s="20" t="s">
        <v>567</v>
      </c>
      <c r="W10" s="18" t="s">
        <v>567</v>
      </c>
      <c r="X10" s="20" t="s">
        <v>567</v>
      </c>
    </row>
    <row r="11" spans="1:24">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c r="U11" s="18" t="s">
        <v>567</v>
      </c>
      <c r="V11" s="20" t="s">
        <v>567</v>
      </c>
      <c r="W11" s="18" t="s">
        <v>567</v>
      </c>
      <c r="X11" s="20" t="s">
        <v>567</v>
      </c>
    </row>
    <row r="12" spans="1:24">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c r="U12" s="18" t="s">
        <v>567</v>
      </c>
      <c r="V12" s="20" t="s">
        <v>567</v>
      </c>
      <c r="W12" s="18" t="s">
        <v>567</v>
      </c>
      <c r="X12" s="20" t="s">
        <v>567</v>
      </c>
    </row>
    <row r="13" spans="1:24">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c r="U13" s="18" t="s">
        <v>567</v>
      </c>
      <c r="V13" s="20" t="s">
        <v>567</v>
      </c>
      <c r="W13" s="18" t="s">
        <v>567</v>
      </c>
      <c r="X13" s="20" t="s">
        <v>567</v>
      </c>
    </row>
    <row r="14" spans="1:24">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c r="U14" s="18" t="s">
        <v>567</v>
      </c>
      <c r="V14" s="20" t="s">
        <v>567</v>
      </c>
      <c r="W14" s="18" t="s">
        <v>567</v>
      </c>
      <c r="X14" s="20" t="s">
        <v>567</v>
      </c>
    </row>
    <row r="15" spans="1:24">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c r="U15" s="18" t="s">
        <v>567</v>
      </c>
      <c r="V15" s="20" t="s">
        <v>567</v>
      </c>
      <c r="W15" s="18" t="s">
        <v>567</v>
      </c>
      <c r="X15" s="20" t="s">
        <v>567</v>
      </c>
    </row>
    <row r="16" spans="1:24">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c r="U16" s="18" t="s">
        <v>567</v>
      </c>
      <c r="V16" s="20" t="s">
        <v>567</v>
      </c>
      <c r="W16" s="18" t="s">
        <v>567</v>
      </c>
      <c r="X16" s="20" t="s">
        <v>567</v>
      </c>
    </row>
    <row r="17" spans="1:24">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c r="U17" s="18" t="s">
        <v>567</v>
      </c>
      <c r="V17" s="20" t="s">
        <v>567</v>
      </c>
      <c r="W17" s="18" t="s">
        <v>567</v>
      </c>
      <c r="X17" s="20" t="s">
        <v>567</v>
      </c>
    </row>
    <row r="18" spans="1:24">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c r="U18" s="18" t="s">
        <v>567</v>
      </c>
      <c r="V18" s="20" t="s">
        <v>567</v>
      </c>
      <c r="W18" s="18" t="s">
        <v>567</v>
      </c>
      <c r="X18" s="20" t="s">
        <v>567</v>
      </c>
    </row>
    <row r="19" spans="1:24">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c r="U19" s="18" t="s">
        <v>567</v>
      </c>
      <c r="V19" s="20" t="s">
        <v>567</v>
      </c>
      <c r="W19" s="18" t="s">
        <v>567</v>
      </c>
      <c r="X19" s="20" t="s">
        <v>567</v>
      </c>
    </row>
    <row r="20" spans="1:24">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c r="U20" s="18" t="s">
        <v>567</v>
      </c>
      <c r="V20" s="20" t="s">
        <v>567</v>
      </c>
      <c r="W20" s="18" t="s">
        <v>567</v>
      </c>
      <c r="X20" s="20" t="s">
        <v>567</v>
      </c>
    </row>
    <row r="21" spans="1:24">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c r="U21" s="18" t="s">
        <v>567</v>
      </c>
      <c r="V21" s="20" t="s">
        <v>567</v>
      </c>
      <c r="W21" s="18" t="s">
        <v>567</v>
      </c>
      <c r="X21" s="20" t="s">
        <v>567</v>
      </c>
    </row>
    <row r="22" spans="1:24">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c r="U22" s="18" t="s">
        <v>567</v>
      </c>
      <c r="V22" s="20" t="s">
        <v>567</v>
      </c>
      <c r="W22" s="18" t="s">
        <v>567</v>
      </c>
      <c r="X22" s="20" t="s">
        <v>567</v>
      </c>
    </row>
    <row r="23" spans="1:24">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c r="U23" s="18" t="s">
        <v>567</v>
      </c>
      <c r="V23" s="20" t="s">
        <v>567</v>
      </c>
      <c r="W23" s="18" t="s">
        <v>567</v>
      </c>
      <c r="X23" s="20" t="s">
        <v>567</v>
      </c>
    </row>
    <row r="24" spans="1:24">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c r="U24" s="18" t="s">
        <v>567</v>
      </c>
      <c r="V24" s="20" t="s">
        <v>567</v>
      </c>
      <c r="W24" s="18" t="s">
        <v>567</v>
      </c>
      <c r="X24" s="20" t="s">
        <v>567</v>
      </c>
    </row>
    <row r="25" spans="1:24">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c r="U25" s="18" t="s">
        <v>567</v>
      </c>
      <c r="V25" s="20" t="s">
        <v>567</v>
      </c>
      <c r="W25" s="18" t="s">
        <v>567</v>
      </c>
      <c r="X25" s="20" t="s">
        <v>567</v>
      </c>
    </row>
    <row r="26" spans="1:24">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c r="U26" s="18" t="s">
        <v>567</v>
      </c>
      <c r="V26" s="20" t="s">
        <v>567</v>
      </c>
      <c r="W26" s="18" t="s">
        <v>567</v>
      </c>
      <c r="X26" s="20" t="s">
        <v>567</v>
      </c>
    </row>
    <row r="27" spans="1:24">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c r="U27" s="18" t="s">
        <v>567</v>
      </c>
      <c r="V27" s="20" t="s">
        <v>567</v>
      </c>
      <c r="W27" s="18" t="s">
        <v>567</v>
      </c>
      <c r="X27" s="20" t="s">
        <v>567</v>
      </c>
    </row>
    <row r="28" spans="1:24">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c r="U28" s="18" t="s">
        <v>567</v>
      </c>
      <c r="V28" s="20" t="s">
        <v>567</v>
      </c>
      <c r="W28" s="18" t="s">
        <v>567</v>
      </c>
      <c r="X28" s="20" t="s">
        <v>567</v>
      </c>
    </row>
    <row r="29" spans="1:24">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c r="U29" s="18" t="s">
        <v>567</v>
      </c>
      <c r="V29" s="20" t="s">
        <v>567</v>
      </c>
      <c r="W29" s="18" t="s">
        <v>567</v>
      </c>
      <c r="X29" s="20" t="s">
        <v>567</v>
      </c>
    </row>
    <row r="30" spans="1:24">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c r="U30" s="18" t="s">
        <v>567</v>
      </c>
      <c r="V30" s="20" t="s">
        <v>567</v>
      </c>
      <c r="W30" s="18" t="s">
        <v>567</v>
      </c>
      <c r="X30" s="20" t="s">
        <v>567</v>
      </c>
    </row>
    <row r="31" spans="1:24">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c r="U31" s="18" t="s">
        <v>567</v>
      </c>
      <c r="V31" s="20" t="s">
        <v>567</v>
      </c>
      <c r="W31" s="18" t="s">
        <v>567</v>
      </c>
      <c r="X31" s="20" t="s">
        <v>567</v>
      </c>
    </row>
    <row r="32" spans="1:24">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c r="U32" s="18" t="s">
        <v>567</v>
      </c>
      <c r="V32" s="20" t="s">
        <v>567</v>
      </c>
      <c r="W32" s="18" t="s">
        <v>567</v>
      </c>
      <c r="X32" s="20" t="s">
        <v>567</v>
      </c>
    </row>
    <row r="33" spans="1:24">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c r="U33" s="18" t="s">
        <v>567</v>
      </c>
      <c r="V33" s="20" t="s">
        <v>567</v>
      </c>
      <c r="W33" s="18" t="s">
        <v>567</v>
      </c>
      <c r="X33" s="20" t="s">
        <v>567</v>
      </c>
    </row>
    <row r="34" spans="1:24">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c r="U34" s="18" t="s">
        <v>567</v>
      </c>
      <c r="V34" s="20" t="s">
        <v>567</v>
      </c>
      <c r="W34" s="18" t="s">
        <v>567</v>
      </c>
      <c r="X34" s="20" t="s">
        <v>567</v>
      </c>
    </row>
    <row r="35" spans="1:24">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c r="U35" s="18" t="s">
        <v>567</v>
      </c>
      <c r="V35" s="20" t="s">
        <v>567</v>
      </c>
      <c r="W35" s="18" t="s">
        <v>567</v>
      </c>
      <c r="X35" s="20" t="s">
        <v>567</v>
      </c>
    </row>
    <row r="36" spans="1:24">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c r="U36" s="18" t="s">
        <v>567</v>
      </c>
      <c r="V36" s="20" t="s">
        <v>567</v>
      </c>
      <c r="W36" s="18" t="s">
        <v>567</v>
      </c>
      <c r="X36" s="20" t="s">
        <v>567</v>
      </c>
    </row>
    <row r="37" spans="1:24">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c r="U37" s="18" t="s">
        <v>567</v>
      </c>
      <c r="V37" s="20" t="s">
        <v>567</v>
      </c>
      <c r="W37" s="18" t="s">
        <v>567</v>
      </c>
      <c r="X37" s="20" t="s">
        <v>567</v>
      </c>
    </row>
    <row r="38" spans="1:24">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c r="U38" s="18" t="s">
        <v>567</v>
      </c>
      <c r="V38" s="20" t="s">
        <v>567</v>
      </c>
      <c r="W38" s="18" t="s">
        <v>567</v>
      </c>
      <c r="X38" s="20" t="s">
        <v>567</v>
      </c>
    </row>
    <row r="39" spans="1:24">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c r="U39" s="18" t="s">
        <v>567</v>
      </c>
      <c r="V39" s="20" t="s">
        <v>567</v>
      </c>
      <c r="W39" s="18" t="s">
        <v>567</v>
      </c>
      <c r="X39" s="20" t="s">
        <v>567</v>
      </c>
    </row>
    <row r="40" spans="1:24">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c r="U40" s="18" t="s">
        <v>567</v>
      </c>
      <c r="V40" s="20" t="s">
        <v>567</v>
      </c>
      <c r="W40" s="18" t="s">
        <v>567</v>
      </c>
      <c r="X40" s="20" t="s">
        <v>567</v>
      </c>
    </row>
    <row r="41" spans="1:24">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c r="U41" s="18" t="s">
        <v>567</v>
      </c>
      <c r="V41" s="20" t="s">
        <v>567</v>
      </c>
      <c r="W41" s="18" t="s">
        <v>567</v>
      </c>
      <c r="X41" s="20" t="s">
        <v>567</v>
      </c>
    </row>
    <row r="42" spans="1:24">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604</v>
      </c>
      <c r="B44" s="17" t="n">
        <v>2524</v>
      </c>
      <c r="C44" s="18">
        <f>(1641.0/B44*100)</f>
        <v/>
      </c>
      <c r="D44" s="19" t="n">
        <v>883</v>
      </c>
      <c r="E44" s="18" t="n">
        <v>14.45292896</v>
      </c>
      <c r="F44" s="20" t="n">
        <v>1.38067739</v>
      </c>
      <c r="G44" s="18" t="n">
        <v>16.48866019</v>
      </c>
      <c r="H44" s="20" t="n">
        <v>1.27196534</v>
      </c>
      <c r="I44" s="18" t="n">
        <v>0</v>
      </c>
      <c r="J44" s="20" t="n">
        <v>0</v>
      </c>
      <c r="K44" s="18" t="n">
        <v>32.07678443</v>
      </c>
      <c r="L44" s="20" t="n">
        <v>1.72396265</v>
      </c>
      <c r="M44" s="18" t="n">
        <v>8.535159999999999</v>
      </c>
      <c r="N44" s="20" t="n">
        <v>1.04357615</v>
      </c>
      <c r="O44" s="18" t="s">
        <v>567</v>
      </c>
      <c r="P44" s="20" t="s">
        <v>567</v>
      </c>
      <c r="Q44" s="18" t="n">
        <v>1.35207012</v>
      </c>
      <c r="R44" s="20" t="n">
        <v>0.42934604</v>
      </c>
      <c r="S44" s="18" t="n">
        <v>0</v>
      </c>
      <c r="T44" s="20" t="n">
        <v>0</v>
      </c>
      <c r="U44" s="18" t="n">
        <v>0</v>
      </c>
      <c r="V44" s="20" t="n">
        <v>0</v>
      </c>
      <c r="W44" s="18" t="n">
        <v>27.0943963</v>
      </c>
      <c r="X44" s="20" t="n">
        <v>2.08428191</v>
      </c>
    </row>
    <row r="45" spans="1:24">
      <c r="A45" s="15" t="s">
        <v>605</v>
      </c>
      <c r="B45" s="17" t="n">
        <v>2849</v>
      </c>
      <c r="C45" s="18">
        <f>(1905.0/B45*100)</f>
        <v/>
      </c>
      <c r="D45" s="19" t="n">
        <v>944</v>
      </c>
      <c r="E45" s="18" t="n">
        <v>28.80060022</v>
      </c>
      <c r="F45" s="20" t="n">
        <v>1.4641939</v>
      </c>
      <c r="G45" s="18" t="n">
        <v>30.59675871</v>
      </c>
      <c r="H45" s="20" t="n">
        <v>1.53391322</v>
      </c>
      <c r="I45" s="18" t="n">
        <v>0</v>
      </c>
      <c r="J45" s="20" t="n">
        <v>0</v>
      </c>
      <c r="K45" s="18" t="n">
        <v>6.79608138</v>
      </c>
      <c r="L45" s="20" t="n">
        <v>0.81777841</v>
      </c>
      <c r="M45" s="18" t="n">
        <v>5.01756378</v>
      </c>
      <c r="N45" s="20" t="n">
        <v>0.80336628</v>
      </c>
      <c r="O45" s="18" t="s">
        <v>567</v>
      </c>
      <c r="P45" s="20" t="s">
        <v>567</v>
      </c>
      <c r="Q45" s="18" t="n">
        <v>3.84223915</v>
      </c>
      <c r="R45" s="20" t="n">
        <v>0.70793123</v>
      </c>
      <c r="S45" s="18" t="n">
        <v>0.64752648</v>
      </c>
      <c r="T45" s="20" t="n">
        <v>0.27054965</v>
      </c>
      <c r="U45" s="18" t="n">
        <v>0.07837346000000001</v>
      </c>
      <c r="V45" s="20" t="n">
        <v>0.11478534</v>
      </c>
      <c r="W45" s="18" t="n">
        <v>24.22085682</v>
      </c>
      <c r="X45" s="20" t="n">
        <v>1.77703384</v>
      </c>
    </row>
    <row r="46" spans="1:24">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c r="U46" s="18" t="s">
        <v>567</v>
      </c>
      <c r="V46" s="20" t="s">
        <v>567</v>
      </c>
      <c r="W46" s="18" t="s">
        <v>567</v>
      </c>
      <c r="X46" s="20" t="s">
        <v>567</v>
      </c>
    </row>
    <row r="47" spans="1:24">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c r="U47" s="18" t="s">
        <v>567</v>
      </c>
      <c r="V47" s="20" t="s">
        <v>567</v>
      </c>
      <c r="W47" s="18" t="s">
        <v>567</v>
      </c>
      <c r="X47" s="20" t="s">
        <v>567</v>
      </c>
    </row>
    <row r="48" spans="1:24">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c r="U48" s="18" t="s">
        <v>567</v>
      </c>
      <c r="V48" s="20" t="s">
        <v>567</v>
      </c>
      <c r="W48" s="18" t="s">
        <v>567</v>
      </c>
      <c r="X48" s="20" t="s">
        <v>567</v>
      </c>
    </row>
    <row r="49" spans="1:24">
      <c r="A49" s="15" t="s">
        <v>609</v>
      </c>
      <c r="B49" s="17" t="n">
        <v>3018</v>
      </c>
      <c r="C49" s="18">
        <f>(1999.0/B49*100)</f>
        <v/>
      </c>
      <c r="D49" s="19" t="n">
        <v>1019</v>
      </c>
      <c r="E49" s="18" t="n">
        <v>18.24857332</v>
      </c>
      <c r="F49" s="20" t="n">
        <v>1.28369078</v>
      </c>
      <c r="G49" s="18" t="n">
        <v>30.36009562</v>
      </c>
      <c r="H49" s="20" t="n">
        <v>1.61615783</v>
      </c>
      <c r="I49" s="18" t="n">
        <v>0</v>
      </c>
      <c r="J49" s="20" t="n">
        <v>0</v>
      </c>
      <c r="K49" s="18" t="n">
        <v>15.48901126</v>
      </c>
      <c r="L49" s="20" t="n">
        <v>1.45641228</v>
      </c>
      <c r="M49" s="18" t="n">
        <v>6.3396669</v>
      </c>
      <c r="N49" s="20" t="n">
        <v>1.05642747</v>
      </c>
      <c r="O49" s="18" t="s">
        <v>567</v>
      </c>
      <c r="P49" s="20" t="s">
        <v>567</v>
      </c>
      <c r="Q49" s="18" t="n">
        <v>1.0547126</v>
      </c>
      <c r="R49" s="20" t="n">
        <v>0.34280399</v>
      </c>
      <c r="S49" s="18" t="n">
        <v>0</v>
      </c>
      <c r="T49" s="20" t="n">
        <v>0</v>
      </c>
      <c r="U49" s="18" t="n">
        <v>0</v>
      </c>
      <c r="V49" s="20" t="n">
        <v>0</v>
      </c>
      <c r="W49" s="18" t="n">
        <v>28.50794029</v>
      </c>
      <c r="X49" s="20" t="n">
        <v>1.75065289</v>
      </c>
    </row>
    <row r="50" spans="1:24">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c r="U50" s="18" t="s">
        <v>567</v>
      </c>
      <c r="V50" s="20" t="s">
        <v>567</v>
      </c>
      <c r="W50" s="18" t="s">
        <v>567</v>
      </c>
      <c r="X50" s="20" t="s">
        <v>567</v>
      </c>
    </row>
    <row r="51" spans="1:24">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c r="U51" s="18" t="s">
        <v>567</v>
      </c>
      <c r="V51" s="20" t="s">
        <v>567</v>
      </c>
      <c r="W51" s="18" t="s">
        <v>567</v>
      </c>
      <c r="X51" s="20" t="s">
        <v>567</v>
      </c>
    </row>
    <row r="52" spans="1:24">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c r="U52" s="18" t="s">
        <v>567</v>
      </c>
      <c r="V52" s="20" t="s">
        <v>567</v>
      </c>
      <c r="W52" s="18" t="s">
        <v>567</v>
      </c>
      <c r="X52" s="20" t="s">
        <v>567</v>
      </c>
    </row>
    <row r="53" spans="1:24">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c r="U53" s="18" t="s">
        <v>567</v>
      </c>
      <c r="V53" s="20" t="s">
        <v>567</v>
      </c>
      <c r="W53" s="18" t="s">
        <v>567</v>
      </c>
      <c r="X53" s="20" t="s">
        <v>567</v>
      </c>
    </row>
    <row r="54" spans="1:24">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c r="U54" s="18" t="s">
        <v>567</v>
      </c>
      <c r="V54" s="20" t="s">
        <v>567</v>
      </c>
      <c r="W54" s="18" t="s">
        <v>567</v>
      </c>
      <c r="X54" s="20" t="s">
        <v>567</v>
      </c>
    </row>
    <row r="55" spans="1:24">
      <c r="A55" s="15" t="s">
        <v>615</v>
      </c>
      <c r="B55" s="17" t="n">
        <v>2759</v>
      </c>
      <c r="C55" s="18">
        <f>(1852.0/B55*100)</f>
        <v/>
      </c>
      <c r="D55" s="19" t="n">
        <v>907</v>
      </c>
      <c r="E55" s="18" t="n">
        <v>17.26780784</v>
      </c>
      <c r="F55" s="20" t="n">
        <v>1.26189737</v>
      </c>
      <c r="G55" s="18" t="n">
        <v>19.25322677</v>
      </c>
      <c r="H55" s="20" t="n">
        <v>1.31211065</v>
      </c>
      <c r="I55" s="18" t="n">
        <v>0</v>
      </c>
      <c r="J55" s="20" t="n">
        <v>0</v>
      </c>
      <c r="K55" s="18" t="n">
        <v>16.88721284</v>
      </c>
      <c r="L55" s="20" t="n">
        <v>1.54107799</v>
      </c>
      <c r="M55" s="18" t="n">
        <v>5.11734124</v>
      </c>
      <c r="N55" s="20" t="n">
        <v>0.7053993200000001</v>
      </c>
      <c r="O55" s="18" t="s">
        <v>567</v>
      </c>
      <c r="P55" s="20" t="s">
        <v>567</v>
      </c>
      <c r="Q55" s="18" t="n">
        <v>0.81395741</v>
      </c>
      <c r="R55" s="20" t="n">
        <v>0.33041611</v>
      </c>
      <c r="S55" s="18" t="n">
        <v>0.09095056</v>
      </c>
      <c r="T55" s="20" t="n">
        <v>0.09064706</v>
      </c>
      <c r="U55" s="18" t="n">
        <v>0</v>
      </c>
      <c r="V55" s="20" t="n">
        <v>0</v>
      </c>
      <c r="W55" s="18" t="n">
        <v>40.56950334</v>
      </c>
      <c r="X55" s="20" t="n">
        <v>1.78003606</v>
      </c>
    </row>
    <row r="56" spans="1:24">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c r="U56" s="18" t="s">
        <v>567</v>
      </c>
      <c r="V56" s="20" t="s">
        <v>567</v>
      </c>
      <c r="W56" s="18" t="s">
        <v>567</v>
      </c>
      <c r="X56" s="20" t="s">
        <v>567</v>
      </c>
    </row>
    <row r="57" spans="1:24">
      <c r="A57" s="15" t="s">
        <v>617</v>
      </c>
      <c r="B57" s="17" t="n">
        <v>3170</v>
      </c>
      <c r="C57" s="18">
        <f>(2125.0/B57*100)</f>
        <v/>
      </c>
      <c r="D57" s="19" t="n">
        <v>1045</v>
      </c>
      <c r="E57" s="18" t="n">
        <v>35.53230766</v>
      </c>
      <c r="F57" s="20" t="n">
        <v>1.52535949</v>
      </c>
      <c r="G57" s="18" t="n">
        <v>39.1797099</v>
      </c>
      <c r="H57" s="20" t="n">
        <v>1.5400593</v>
      </c>
      <c r="I57" s="18" t="n">
        <v>0</v>
      </c>
      <c r="J57" s="20" t="n">
        <v>0</v>
      </c>
      <c r="K57" s="18" t="n">
        <v>12.27782129</v>
      </c>
      <c r="L57" s="20" t="n">
        <v>1.01878781</v>
      </c>
      <c r="M57" s="18" t="n">
        <v>7.32369636</v>
      </c>
      <c r="N57" s="20" t="n">
        <v>0.84141226</v>
      </c>
      <c r="O57" s="18" t="s">
        <v>567</v>
      </c>
      <c r="P57" s="20" t="s">
        <v>567</v>
      </c>
      <c r="Q57" s="18" t="n">
        <v>1.22753412</v>
      </c>
      <c r="R57" s="20" t="n">
        <v>0.40581825</v>
      </c>
      <c r="S57" s="18" t="n">
        <v>0.17463409</v>
      </c>
      <c r="T57" s="20" t="n">
        <v>0.1744878</v>
      </c>
      <c r="U57" s="18" t="n">
        <v>0</v>
      </c>
      <c r="V57" s="20" t="n">
        <v>0</v>
      </c>
      <c r="W57" s="18" t="n">
        <v>4.28429659</v>
      </c>
      <c r="X57" s="20" t="n">
        <v>0.75086825</v>
      </c>
    </row>
    <row r="58" spans="1:24">
      <c r="A58" s="15" t="s">
        <v>618</v>
      </c>
      <c r="B58" s="17" t="n">
        <v>3530</v>
      </c>
      <c r="C58" s="18">
        <f>(2348.0/B58*100)</f>
        <v/>
      </c>
      <c r="D58" s="19" t="n">
        <v>1182</v>
      </c>
      <c r="E58" s="18" t="n">
        <v>22.56352325</v>
      </c>
      <c r="F58" s="20" t="n">
        <v>1.22556584</v>
      </c>
      <c r="G58" s="18" t="n">
        <v>26.39962402</v>
      </c>
      <c r="H58" s="20" t="n">
        <v>1.61908597</v>
      </c>
      <c r="I58" s="18" t="n">
        <v>0</v>
      </c>
      <c r="J58" s="20" t="n">
        <v>0</v>
      </c>
      <c r="K58" s="18" t="n">
        <v>20.47802487</v>
      </c>
      <c r="L58" s="20" t="n">
        <v>1.58696271</v>
      </c>
      <c r="M58" s="18" t="n">
        <v>7.05171156</v>
      </c>
      <c r="N58" s="20" t="n">
        <v>0.92266445</v>
      </c>
      <c r="O58" s="18" t="s">
        <v>567</v>
      </c>
      <c r="P58" s="20" t="s">
        <v>567</v>
      </c>
      <c r="Q58" s="18" t="n">
        <v>1.39352968</v>
      </c>
      <c r="R58" s="20" t="n">
        <v>0.37150312</v>
      </c>
      <c r="S58" s="18" t="n">
        <v>0</v>
      </c>
      <c r="T58" s="20" t="n">
        <v>0</v>
      </c>
      <c r="U58" s="18" t="n">
        <v>0</v>
      </c>
      <c r="V58" s="20" t="n">
        <v>0</v>
      </c>
      <c r="W58" s="18" t="n">
        <v>22.11358663</v>
      </c>
      <c r="X58" s="20" t="n">
        <v>1.87121636</v>
      </c>
    </row>
    <row r="59" spans="1:24">
      <c r="A59" s="15" t="s">
        <v>619</v>
      </c>
      <c r="B59" s="17" t="n">
        <v>2548</v>
      </c>
      <c r="C59" s="18">
        <f>(1667.0/B59*100)</f>
        <v/>
      </c>
      <c r="D59" s="19" t="n">
        <v>881</v>
      </c>
      <c r="E59" s="18" t="n">
        <v>38.07893542</v>
      </c>
      <c r="F59" s="20" t="n">
        <v>1.66000859</v>
      </c>
      <c r="G59" s="18" t="n">
        <v>21.1215716</v>
      </c>
      <c r="H59" s="20" t="n">
        <v>1.64291641</v>
      </c>
      <c r="I59" s="18" t="n">
        <v>0</v>
      </c>
      <c r="J59" s="20" t="n">
        <v>0</v>
      </c>
      <c r="K59" s="18" t="n">
        <v>14.45765274</v>
      </c>
      <c r="L59" s="20" t="n">
        <v>1.58841137</v>
      </c>
      <c r="M59" s="18" t="n">
        <v>4.76999633</v>
      </c>
      <c r="N59" s="20" t="n">
        <v>0.82324283</v>
      </c>
      <c r="O59" s="18" t="s">
        <v>567</v>
      </c>
      <c r="P59" s="20" t="s">
        <v>567</v>
      </c>
      <c r="Q59" s="18" t="n">
        <v>0.04712543</v>
      </c>
      <c r="R59" s="20" t="n">
        <v>0.04723796</v>
      </c>
      <c r="S59" s="18" t="n">
        <v>0</v>
      </c>
      <c r="T59" s="20" t="n">
        <v>0</v>
      </c>
      <c r="U59" s="18" t="n">
        <v>0</v>
      </c>
      <c r="V59" s="20" t="n">
        <v>0</v>
      </c>
      <c r="W59" s="18" t="n">
        <v>21.52471847</v>
      </c>
      <c r="X59" s="20" t="n">
        <v>1.62758957</v>
      </c>
    </row>
    <row r="60" spans="1:24">
      <c r="A60" s="15" t="s">
        <v>620</v>
      </c>
      <c r="B60" s="17" t="n">
        <v>2095</v>
      </c>
      <c r="C60" s="18">
        <f>(1400.0/B60*100)</f>
        <v/>
      </c>
      <c r="D60" s="19" t="n">
        <v>695</v>
      </c>
      <c r="E60" s="18" t="n">
        <v>11.07935561</v>
      </c>
      <c r="F60" s="20" t="n">
        <v>1.33022747</v>
      </c>
      <c r="G60" s="18" t="n">
        <v>32.25991224</v>
      </c>
      <c r="H60" s="20" t="n">
        <v>2.02314672</v>
      </c>
      <c r="I60" s="18" t="n">
        <v>0</v>
      </c>
      <c r="J60" s="20" t="n">
        <v>0</v>
      </c>
      <c r="K60" s="18" t="n">
        <v>19.02802907</v>
      </c>
      <c r="L60" s="20" t="n">
        <v>1.84989794</v>
      </c>
      <c r="M60" s="18" t="n">
        <v>6.81608062</v>
      </c>
      <c r="N60" s="20" t="n">
        <v>0.98381106</v>
      </c>
      <c r="O60" s="18" t="s">
        <v>567</v>
      </c>
      <c r="P60" s="20" t="s">
        <v>567</v>
      </c>
      <c r="Q60" s="18" t="n">
        <v>2.89601541</v>
      </c>
      <c r="R60" s="20" t="n">
        <v>0.6778473699999999</v>
      </c>
      <c r="S60" s="18" t="n">
        <v>0</v>
      </c>
      <c r="T60" s="20" t="n">
        <v>0</v>
      </c>
      <c r="U60" s="18" t="n">
        <v>0.17793886</v>
      </c>
      <c r="V60" s="20" t="n">
        <v>0.17466867</v>
      </c>
      <c r="W60" s="18" t="n">
        <v>27.74266819</v>
      </c>
      <c r="X60" s="20" t="n">
        <v>2.45862859</v>
      </c>
    </row>
    <row r="61" spans="1:24">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c r="U61" s="18" t="s">
        <v>567</v>
      </c>
      <c r="V61" s="20" t="s">
        <v>567</v>
      </c>
      <c r="W61" s="18" t="s">
        <v>567</v>
      </c>
      <c r="X61" s="20" t="s">
        <v>567</v>
      </c>
    </row>
    <row r="62" spans="1:24">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c r="U62" s="18" t="s">
        <v>567</v>
      </c>
      <c r="V62" s="20" t="s">
        <v>567</v>
      </c>
      <c r="W62" s="18" t="s">
        <v>567</v>
      </c>
      <c r="X62" s="20" t="s">
        <v>567</v>
      </c>
    </row>
    <row r="63" spans="1:24">
      <c r="A63" s="15" t="s">
        <v>623</v>
      </c>
      <c r="B63" s="17" t="n">
        <v>2813</v>
      </c>
      <c r="C63" s="18">
        <f>(1882.0/B63*100)</f>
        <v/>
      </c>
      <c r="D63" s="19" t="n">
        <v>931</v>
      </c>
      <c r="E63" s="18" t="n">
        <v>21.21679109</v>
      </c>
      <c r="F63" s="20" t="n">
        <v>1.5755287</v>
      </c>
      <c r="G63" s="18" t="n">
        <v>12.29736653</v>
      </c>
      <c r="H63" s="20" t="n">
        <v>1.2128471</v>
      </c>
      <c r="I63" s="18" t="n">
        <v>0</v>
      </c>
      <c r="J63" s="20" t="n">
        <v>0</v>
      </c>
      <c r="K63" s="18" t="n">
        <v>6.58497414</v>
      </c>
      <c r="L63" s="20" t="n">
        <v>0.8799041399999999</v>
      </c>
      <c r="M63" s="18" t="n">
        <v>7.24282896</v>
      </c>
      <c r="N63" s="20" t="n">
        <v>0.78736541</v>
      </c>
      <c r="O63" s="18" t="s">
        <v>567</v>
      </c>
      <c r="P63" s="20" t="s">
        <v>567</v>
      </c>
      <c r="Q63" s="18" t="n">
        <v>1.60221692</v>
      </c>
      <c r="R63" s="20" t="n">
        <v>0.43035063</v>
      </c>
      <c r="S63" s="18" t="n">
        <v>0</v>
      </c>
      <c r="T63" s="20" t="n">
        <v>0</v>
      </c>
      <c r="U63" s="18" t="n">
        <v>0</v>
      </c>
      <c r="V63" s="20" t="n">
        <v>0</v>
      </c>
      <c r="W63" s="18" t="n">
        <v>51.05582236</v>
      </c>
      <c r="X63" s="20" t="n">
        <v>1.53987158</v>
      </c>
    </row>
    <row r="64" spans="1:24">
      <c r="A64" s="15" t="s">
        <v>624</v>
      </c>
      <c r="B64" s="17" t="n">
        <v>1844</v>
      </c>
      <c r="C64" s="18">
        <f>(1218.0/B64*100)</f>
        <v/>
      </c>
      <c r="D64" s="19" t="n">
        <v>626</v>
      </c>
      <c r="E64" s="18" t="n">
        <v>6.55736762</v>
      </c>
      <c r="F64" s="20" t="n">
        <v>0.9355498799999999</v>
      </c>
      <c r="G64" s="18" t="n">
        <v>22.22111983</v>
      </c>
      <c r="H64" s="20" t="n">
        <v>1.68209293</v>
      </c>
      <c r="I64" s="18" t="n">
        <v>0</v>
      </c>
      <c r="J64" s="20" t="n">
        <v>0</v>
      </c>
      <c r="K64" s="18" t="n">
        <v>35.2964048</v>
      </c>
      <c r="L64" s="20" t="n">
        <v>1.93294217</v>
      </c>
      <c r="M64" s="18" t="n">
        <v>9.66163834</v>
      </c>
      <c r="N64" s="20" t="n">
        <v>1.25900023</v>
      </c>
      <c r="O64" s="18" t="s">
        <v>567</v>
      </c>
      <c r="P64" s="20" t="s">
        <v>567</v>
      </c>
      <c r="Q64" s="18" t="n">
        <v>2.67852646</v>
      </c>
      <c r="R64" s="20" t="n">
        <v>0.58157738</v>
      </c>
      <c r="S64" s="18" t="n">
        <v>0</v>
      </c>
      <c r="T64" s="20" t="n">
        <v>0</v>
      </c>
      <c r="U64" s="18" t="n">
        <v>0</v>
      </c>
      <c r="V64" s="20" t="n">
        <v>0</v>
      </c>
      <c r="W64" s="18" t="n">
        <v>23.58494295</v>
      </c>
      <c r="X64" s="20" t="n">
        <v>1.71388419</v>
      </c>
    </row>
    <row r="65" spans="1:24">
      <c r="A65" s="15" t="s">
        <v>625</v>
      </c>
      <c r="B65" s="17" t="n">
        <v>2691</v>
      </c>
      <c r="C65" s="18">
        <f>(1757.0/B65*100)</f>
        <v/>
      </c>
      <c r="D65" s="19" t="n">
        <v>934</v>
      </c>
      <c r="E65" s="18" t="n">
        <v>11.23025829</v>
      </c>
      <c r="F65" s="20" t="n">
        <v>1.17408866</v>
      </c>
      <c r="G65" s="18" t="n">
        <v>22.85931223</v>
      </c>
      <c r="H65" s="20" t="n">
        <v>1.59557691</v>
      </c>
      <c r="I65" s="18" t="n">
        <v>0</v>
      </c>
      <c r="J65" s="20" t="n">
        <v>0</v>
      </c>
      <c r="K65" s="18" t="n">
        <v>20.45189861</v>
      </c>
      <c r="L65" s="20" t="n">
        <v>1.41265489</v>
      </c>
      <c r="M65" s="18" t="n">
        <v>8.030000279999999</v>
      </c>
      <c r="N65" s="20" t="n">
        <v>1.2251662</v>
      </c>
      <c r="O65" s="18" t="s">
        <v>567</v>
      </c>
      <c r="P65" s="20" t="s">
        <v>567</v>
      </c>
      <c r="Q65" s="18" t="n">
        <v>3.13297078</v>
      </c>
      <c r="R65" s="20" t="n">
        <v>0.58781144</v>
      </c>
      <c r="S65" s="18" t="n">
        <v>0</v>
      </c>
      <c r="T65" s="20" t="n">
        <v>0</v>
      </c>
      <c r="U65" s="18" t="n">
        <v>0</v>
      </c>
      <c r="V65" s="20" t="n">
        <v>0</v>
      </c>
      <c r="W65" s="18" t="n">
        <v>34.29555981</v>
      </c>
      <c r="X65" s="20" t="n">
        <v>1.84930494</v>
      </c>
    </row>
    <row r="66" spans="1:24">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c r="U66" s="18" t="s">
        <v>567</v>
      </c>
      <c r="V66" s="20" t="s">
        <v>567</v>
      </c>
      <c r="W66" s="18" t="s">
        <v>567</v>
      </c>
      <c r="X66" s="20" t="s">
        <v>567</v>
      </c>
    </row>
    <row r="67" spans="1:24">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c r="U67" s="18" t="s">
        <v>567</v>
      </c>
      <c r="V67" s="20" t="s">
        <v>567</v>
      </c>
      <c r="W67" s="18" t="s">
        <v>567</v>
      </c>
      <c r="X67" s="20" t="s">
        <v>567</v>
      </c>
    </row>
    <row r="68" spans="1:24">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c r="U68" s="18" t="s">
        <v>567</v>
      </c>
      <c r="V68" s="20" t="s">
        <v>567</v>
      </c>
      <c r="W68" s="18" t="s">
        <v>567</v>
      </c>
      <c r="X68" s="20" t="s">
        <v>567</v>
      </c>
    </row>
    <row r="69" spans="1:24">
      <c r="A69" s="15" t="s">
        <v>629</v>
      </c>
      <c r="B69" s="17" t="n">
        <v>2410</v>
      </c>
      <c r="C69" s="18">
        <f>(1635.0/B69*100)</f>
        <v/>
      </c>
      <c r="D69" s="19" t="n">
        <v>775</v>
      </c>
      <c r="E69" s="18" t="n">
        <v>22.14655779</v>
      </c>
      <c r="F69" s="20" t="n">
        <v>1.55332547</v>
      </c>
      <c r="G69" s="18" t="n">
        <v>48.35393746</v>
      </c>
      <c r="H69" s="20" t="n">
        <v>2.11003443</v>
      </c>
      <c r="I69" s="18" t="n">
        <v>0</v>
      </c>
      <c r="J69" s="20" t="n">
        <v>0</v>
      </c>
      <c r="K69" s="18" t="n">
        <v>20.17692103</v>
      </c>
      <c r="L69" s="20" t="n">
        <v>1.62959316</v>
      </c>
      <c r="M69" s="18" t="n">
        <v>8.968173200000001</v>
      </c>
      <c r="N69" s="20" t="n">
        <v>1.25476119</v>
      </c>
      <c r="O69" s="18" t="s">
        <v>567</v>
      </c>
      <c r="P69" s="20" t="s">
        <v>567</v>
      </c>
      <c r="Q69" s="18" t="n">
        <v>0</v>
      </c>
      <c r="R69" s="20" t="n">
        <v>0</v>
      </c>
      <c r="S69" s="18" t="n">
        <v>0</v>
      </c>
      <c r="T69" s="20" t="n">
        <v>0</v>
      </c>
      <c r="U69" s="18" t="n">
        <v>0</v>
      </c>
      <c r="V69" s="20" t="n">
        <v>0</v>
      </c>
      <c r="W69" s="18" t="n">
        <v>0.35441052</v>
      </c>
      <c r="X69" s="20" t="n">
        <v>0.26315659</v>
      </c>
    </row>
    <row r="70" spans="1:24">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c r="U70" s="18" t="s">
        <v>567</v>
      </c>
      <c r="V70" s="20" t="s">
        <v>567</v>
      </c>
      <c r="W70" s="18" t="s">
        <v>567</v>
      </c>
      <c r="X70" s="20" t="s">
        <v>567</v>
      </c>
    </row>
    <row r="71" spans="1:24">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c r="U71" s="18" t="s">
        <v>567</v>
      </c>
      <c r="V71" s="20" t="s">
        <v>567</v>
      </c>
      <c r="W71" s="18" t="s">
        <v>567</v>
      </c>
      <c r="X71" s="20" t="s">
        <v>567</v>
      </c>
    </row>
    <row r="72" spans="1:24">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c r="U72" s="18" t="s">
        <v>567</v>
      </c>
      <c r="V72" s="20" t="s">
        <v>567</v>
      </c>
      <c r="W72" s="18" t="s">
        <v>567</v>
      </c>
      <c r="X72" s="20" t="s">
        <v>567</v>
      </c>
    </row>
    <row r="73" spans="1:24">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c r="U73" s="18" t="s">
        <v>567</v>
      </c>
      <c r="V73" s="20" t="s">
        <v>567</v>
      </c>
      <c r="W73" s="18" t="s">
        <v>567</v>
      </c>
      <c r="X73" s="20" t="s">
        <v>567</v>
      </c>
    </row>
    <row r="74" spans="1:24">
      <c r="A74" s="15" t="s">
        <v>634</v>
      </c>
      <c r="B74" s="17" t="n">
        <v>2239</v>
      </c>
      <c r="C74" s="18">
        <f>(1488.0/B74*100)</f>
        <v/>
      </c>
      <c r="D74" s="19" t="n">
        <v>751</v>
      </c>
      <c r="E74" s="18" t="n">
        <v>9.359778029999999</v>
      </c>
      <c r="F74" s="20" t="n">
        <v>1.15627033</v>
      </c>
      <c r="G74" s="18" t="n">
        <v>27.60280658</v>
      </c>
      <c r="H74" s="20" t="n">
        <v>1.86478404</v>
      </c>
      <c r="I74" s="18" t="n">
        <v>0</v>
      </c>
      <c r="J74" s="20" t="n">
        <v>0</v>
      </c>
      <c r="K74" s="18" t="n">
        <v>19.12821875</v>
      </c>
      <c r="L74" s="20" t="n">
        <v>1.51845777</v>
      </c>
      <c r="M74" s="18" t="n">
        <v>8.589711700000001</v>
      </c>
      <c r="N74" s="20" t="n">
        <v>1.10630442</v>
      </c>
      <c r="O74" s="18" t="s">
        <v>567</v>
      </c>
      <c r="P74" s="20" t="s">
        <v>567</v>
      </c>
      <c r="Q74" s="18" t="n">
        <v>2.93830545</v>
      </c>
      <c r="R74" s="20" t="n">
        <v>0.7131309</v>
      </c>
      <c r="S74" s="18" t="n">
        <v>0</v>
      </c>
      <c r="T74" s="20" t="n">
        <v>0</v>
      </c>
      <c r="U74" s="18" t="n">
        <v>0</v>
      </c>
      <c r="V74" s="20" t="n">
        <v>0</v>
      </c>
      <c r="W74" s="18" t="n">
        <v>32.3811795</v>
      </c>
      <c r="X74" s="20" t="n">
        <v>1.71484789</v>
      </c>
    </row>
    <row r="75" spans="1:24">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c r="U75" s="18" t="s">
        <v>567</v>
      </c>
      <c r="V75" s="20" t="s">
        <v>567</v>
      </c>
      <c r="W75" s="18" t="s">
        <v>567</v>
      </c>
      <c r="X75" s="20" t="s">
        <v>567</v>
      </c>
    </row>
    <row r="76" spans="1:24">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c r="U76" s="18" t="s">
        <v>567</v>
      </c>
      <c r="V76" s="20" t="s">
        <v>567</v>
      </c>
      <c r="W76" s="18" t="s">
        <v>567</v>
      </c>
      <c r="X76" s="20" t="s">
        <v>567</v>
      </c>
    </row>
    <row r="77" spans="1:24">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c r="U77" s="18" t="s">
        <v>567</v>
      </c>
      <c r="V77" s="20" t="s">
        <v>567</v>
      </c>
      <c r="W77" s="18" t="s">
        <v>567</v>
      </c>
      <c r="X77" s="20" t="s">
        <v>567</v>
      </c>
    </row>
    <row r="78" spans="1:24">
      <c r="A78" s="15" t="s">
        <v>638</v>
      </c>
      <c r="B78" s="17" t="n">
        <v>2786</v>
      </c>
      <c r="C78" s="18">
        <f>(1885.0/B78*100)</f>
        <v/>
      </c>
      <c r="D78" s="19" t="n">
        <v>901</v>
      </c>
      <c r="E78" s="18" t="n">
        <v>9.24085223</v>
      </c>
      <c r="F78" s="20" t="n">
        <v>1.00856183</v>
      </c>
      <c r="G78" s="18" t="n">
        <v>38.31480144</v>
      </c>
      <c r="H78" s="20" t="n">
        <v>2.02949128</v>
      </c>
      <c r="I78" s="18" t="n">
        <v>0</v>
      </c>
      <c r="J78" s="20" t="n">
        <v>0</v>
      </c>
      <c r="K78" s="18" t="n">
        <v>30.82968949</v>
      </c>
      <c r="L78" s="20" t="n">
        <v>1.60260278</v>
      </c>
      <c r="M78" s="18" t="n">
        <v>19.59751601</v>
      </c>
      <c r="N78" s="20" t="n">
        <v>1.65158502</v>
      </c>
      <c r="O78" s="18" t="s">
        <v>567</v>
      </c>
      <c r="P78" s="20" t="s">
        <v>567</v>
      </c>
      <c r="Q78" s="18" t="n">
        <v>0</v>
      </c>
      <c r="R78" s="20" t="n">
        <v>0</v>
      </c>
      <c r="S78" s="18" t="n">
        <v>0</v>
      </c>
      <c r="T78" s="20" t="n">
        <v>0</v>
      </c>
      <c r="U78" s="18" t="n">
        <v>0</v>
      </c>
      <c r="V78" s="20" t="n">
        <v>0</v>
      </c>
      <c r="W78" s="18" t="n">
        <v>2.01714082</v>
      </c>
      <c r="X78" s="20" t="n">
        <v>0.65647996</v>
      </c>
    </row>
    <row customHeight="1" ht="25" r="79" spans="1:24">
      <c r="A79" s="15" t="s">
        <v>639</v>
      </c>
      <c r="B79" s="17" t="n">
        <v>787</v>
      </c>
      <c r="C79" s="18">
        <f>(524.0/B79*100)</f>
        <v/>
      </c>
      <c r="D79" s="19" t="n">
        <v>263</v>
      </c>
      <c r="E79" s="18" t="n">
        <v>18.09409436</v>
      </c>
      <c r="F79" s="20" t="n">
        <v>1.66242695</v>
      </c>
      <c r="G79" s="18" t="n">
        <v>21.65857334</v>
      </c>
      <c r="H79" s="20" t="n">
        <v>2.42739973</v>
      </c>
      <c r="I79" s="18" t="n">
        <v>0</v>
      </c>
      <c r="J79" s="20" t="n">
        <v>0</v>
      </c>
      <c r="K79" s="18" t="n">
        <v>25.09498823</v>
      </c>
      <c r="L79" s="20" t="n">
        <v>2.92843396</v>
      </c>
      <c r="M79" s="18" t="n">
        <v>8.5868255</v>
      </c>
      <c r="N79" s="20" t="n">
        <v>1.71245358</v>
      </c>
      <c r="O79" s="18" t="s">
        <v>567</v>
      </c>
      <c r="P79" s="20" t="s">
        <v>567</v>
      </c>
      <c r="Q79" s="18" t="n">
        <v>2.51140031</v>
      </c>
      <c r="R79" s="20" t="n">
        <v>0.92371249</v>
      </c>
      <c r="S79" s="18" t="n">
        <v>0</v>
      </c>
      <c r="T79" s="20" t="n">
        <v>0</v>
      </c>
      <c r="U79" s="18" t="n">
        <v>0</v>
      </c>
      <c r="V79" s="20" t="n">
        <v>0</v>
      </c>
      <c r="W79" s="18" t="n">
        <v>24.05411827</v>
      </c>
      <c r="X79" s="20" t="n">
        <v>2.55109675</v>
      </c>
    </row>
    <row r="80" spans="1:24">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c r="W80" s="18" t="s">
        <v>567</v>
      </c>
      <c r="X80" s="20" t="s">
        <v>567</v>
      </c>
    </row>
    <row r="81" spans="1:24">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c r="U81" s="18" t="s">
        <v>567</v>
      </c>
      <c r="V81" s="20" t="s">
        <v>567</v>
      </c>
      <c r="W81" s="18" t="s">
        <v>567</v>
      </c>
      <c r="X81" s="20" t="s">
        <v>567</v>
      </c>
    </row>
    <row r="82" spans="1:24">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c r="W82" s="22" t="s">
        <v>642</v>
      </c>
      <c r="X82" s="22" t="s">
        <v>642</v>
      </c>
    </row>
    <row r="83" spans="1:24">
      <c r="A83" s="3" t="s">
        <v>643</v>
      </c>
    </row>
    <row r="84" spans="1:24">
      <c r="A84" s="23" t="s">
        <v>644</v>
      </c>
    </row>
    <row r="85" spans="1:24">
      <c r="A85" s="23" t="s">
        <v>645</v>
      </c>
    </row>
    <row customHeight="1" ht="30" r="86" spans="1:24">
      <c r="A86" s="23" t="s">
        <v>646</v>
      </c>
    </row>
    <row customHeight="1" ht="30" r="87" spans="1:24">
      <c r="A87" s="23" t="s">
        <v>642</v>
      </c>
    </row>
    <row customHeight="1" ht="30" r="88" spans="1:24">
      <c r="A88" s="23" t="s">
        <v>647</v>
      </c>
    </row>
    <row customHeight="1" ht="30" r="89" spans="1:24">
      <c r="A89" s="23" t="s">
        <v>648</v>
      </c>
    </row>
    <row customHeight="1" ht="30" r="90" spans="1:24">
      <c r="A90" s="23" t="s">
        <v>649</v>
      </c>
    </row>
    <row customHeight="1" ht="30" r="91" spans="1:24">
      <c r="A91" s="23" t="s">
        <v>650</v>
      </c>
    </row>
    <row customHeight="1" ht="30" r="92" spans="1:24">
      <c r="A92" s="23" t="s">
        <v>651</v>
      </c>
    </row>
    <row customHeight="1" ht="30" r="93" spans="1:24">
      <c r="A93" s="23" t="s">
        <v>652</v>
      </c>
    </row>
    <row customHeight="1" ht="30" r="94" spans="1:24">
      <c r="A94" s="23" t="s">
        <v>653</v>
      </c>
    </row>
    <row customHeight="1" ht="30" r="95" spans="1:24">
      <c r="A95" s="23" t="s">
        <v>654</v>
      </c>
    </row>
    <row customHeight="1" ht="30" r="96" spans="1:24">
      <c r="A96" s="23" t="s">
        <v>655</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(1641.0/B44*100)</f>
        <v/>
      </c>
      <c r="D44" s="19" t="n">
        <v>883</v>
      </c>
      <c r="E44" s="18" t="n">
        <v>70.78505250000001</v>
      </c>
      <c r="F44" s="20" t="n">
        <v>1.98779145</v>
      </c>
      <c r="G44" s="18" t="n">
        <v>22.09982776</v>
      </c>
      <c r="H44" s="20" t="n">
        <v>1.94917457</v>
      </c>
      <c r="I44" s="18" t="s">
        <v>567</v>
      </c>
      <c r="J44" s="20" t="s">
        <v>567</v>
      </c>
      <c r="K44" s="18" t="n">
        <v>1.35207012</v>
      </c>
      <c r="L44" s="20" t="n">
        <v>0.42934604</v>
      </c>
      <c r="M44" s="18" t="n">
        <v>0</v>
      </c>
      <c r="N44" s="20" t="n">
        <v>0</v>
      </c>
      <c r="O44" s="18" t="n">
        <v>0</v>
      </c>
      <c r="P44" s="20" t="n">
        <v>0</v>
      </c>
      <c r="Q44" s="18" t="n">
        <v>5.76304962</v>
      </c>
      <c r="R44" s="20" t="n">
        <v>0.8843601</v>
      </c>
    </row>
    <row r="45" spans="1:18">
      <c r="A45" s="15" t="s">
        <v>605</v>
      </c>
      <c r="B45" s="17" t="n">
        <v>2849</v>
      </c>
      <c r="C45" s="18">
        <f>(1905.0/B45*100)</f>
        <v/>
      </c>
      <c r="D45" s="19" t="n">
        <v>944</v>
      </c>
      <c r="E45" s="18" t="n">
        <v>81.10563392</v>
      </c>
      <c r="F45" s="20" t="n">
        <v>1.4475338</v>
      </c>
      <c r="G45" s="18" t="n">
        <v>10.02082844</v>
      </c>
      <c r="H45" s="20" t="n">
        <v>1.12037563</v>
      </c>
      <c r="I45" s="18" t="s">
        <v>567</v>
      </c>
      <c r="J45" s="20" t="s">
        <v>567</v>
      </c>
      <c r="K45" s="18" t="n">
        <v>4.04945401</v>
      </c>
      <c r="L45" s="20" t="n">
        <v>0.72429305</v>
      </c>
      <c r="M45" s="18" t="n">
        <v>0</v>
      </c>
      <c r="N45" s="20" t="n">
        <v>0</v>
      </c>
      <c r="O45" s="18" t="n">
        <v>0</v>
      </c>
      <c r="P45" s="20" t="n">
        <v>0</v>
      </c>
      <c r="Q45" s="18" t="n">
        <v>4.82408363</v>
      </c>
      <c r="R45" s="20" t="n">
        <v>0.7584544600000001</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(1999.0/B49*100)</f>
        <v/>
      </c>
      <c r="D49" s="19" t="n">
        <v>1019</v>
      </c>
      <c r="E49" s="18" t="n">
        <v>75.47331628000001</v>
      </c>
      <c r="F49" s="20" t="n">
        <v>1.46164302</v>
      </c>
      <c r="G49" s="18" t="n">
        <v>21.72048132</v>
      </c>
      <c r="H49" s="20" t="n">
        <v>1.41450872</v>
      </c>
      <c r="I49" s="18" t="s">
        <v>567</v>
      </c>
      <c r="J49" s="20" t="s">
        <v>567</v>
      </c>
      <c r="K49" s="18" t="n">
        <v>1.0547126</v>
      </c>
      <c r="L49" s="20" t="n">
        <v>0.34280399</v>
      </c>
      <c r="M49" s="18" t="n">
        <v>0</v>
      </c>
      <c r="N49" s="20" t="n">
        <v>0</v>
      </c>
      <c r="O49" s="18" t="n">
        <v>0</v>
      </c>
      <c r="P49" s="20" t="n">
        <v>0</v>
      </c>
      <c r="Q49" s="18" t="n">
        <v>1.75148981</v>
      </c>
      <c r="R49" s="20" t="n">
        <v>0.55145279</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(1852.0/B55*100)</f>
        <v/>
      </c>
      <c r="D55" s="19" t="n">
        <v>907</v>
      </c>
      <c r="E55" s="18" t="n">
        <v>81.85081319</v>
      </c>
      <c r="F55" s="20" t="n">
        <v>1.51693945</v>
      </c>
      <c r="G55" s="18" t="n">
        <v>13.37090887</v>
      </c>
      <c r="H55" s="20" t="n">
        <v>1.1891728</v>
      </c>
      <c r="I55" s="18" t="s">
        <v>567</v>
      </c>
      <c r="J55" s="20" t="s">
        <v>567</v>
      </c>
      <c r="K55" s="18" t="n">
        <v>0.90388887</v>
      </c>
      <c r="L55" s="20" t="n">
        <v>0.34066527</v>
      </c>
      <c r="M55" s="18" t="n">
        <v>0</v>
      </c>
      <c r="N55" s="20" t="n">
        <v>0</v>
      </c>
      <c r="O55" s="18" t="n">
        <v>0</v>
      </c>
      <c r="P55" s="20" t="n">
        <v>0</v>
      </c>
      <c r="Q55" s="18" t="n">
        <v>3.87438907</v>
      </c>
      <c r="R55" s="20" t="n">
        <v>0.66825788</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88.01283491</v>
      </c>
      <c r="F57" s="20" t="n">
        <v>1.23869956</v>
      </c>
      <c r="G57" s="18" t="n">
        <v>9.5207575</v>
      </c>
      <c r="H57" s="20" t="n">
        <v>1.20298913</v>
      </c>
      <c r="I57" s="18" t="s">
        <v>567</v>
      </c>
      <c r="J57" s="20" t="s">
        <v>567</v>
      </c>
      <c r="K57" s="18" t="n">
        <v>1.31485115</v>
      </c>
      <c r="L57" s="20" t="n">
        <v>0.43281889</v>
      </c>
      <c r="M57" s="18" t="n">
        <v>0</v>
      </c>
      <c r="N57" s="20" t="n">
        <v>0</v>
      </c>
      <c r="O57" s="18" t="n">
        <v>0</v>
      </c>
      <c r="P57" s="20" t="n">
        <v>0</v>
      </c>
      <c r="Q57" s="18" t="n">
        <v>1.15155644</v>
      </c>
      <c r="R57" s="20" t="n">
        <v>0.32159096</v>
      </c>
    </row>
    <row r="58" spans="1:18">
      <c r="A58" s="15" t="s">
        <v>618</v>
      </c>
      <c r="B58" s="17" t="n">
        <v>3530</v>
      </c>
      <c r="C58" s="18">
        <f>(2348.0/B58*100)</f>
        <v/>
      </c>
      <c r="D58" s="19" t="n">
        <v>1182</v>
      </c>
      <c r="E58" s="18" t="n">
        <v>80.42062227</v>
      </c>
      <c r="F58" s="20" t="n">
        <v>1.53386013</v>
      </c>
      <c r="G58" s="18" t="n">
        <v>15.71386215</v>
      </c>
      <c r="H58" s="20" t="n">
        <v>1.33146193</v>
      </c>
      <c r="I58" s="18" t="s">
        <v>567</v>
      </c>
      <c r="J58" s="20" t="s">
        <v>567</v>
      </c>
      <c r="K58" s="18" t="n">
        <v>1.39352968</v>
      </c>
      <c r="L58" s="20" t="n">
        <v>0.37150312</v>
      </c>
      <c r="M58" s="18" t="n">
        <v>0</v>
      </c>
      <c r="N58" s="20" t="n">
        <v>0</v>
      </c>
      <c r="O58" s="18" t="n">
        <v>0</v>
      </c>
      <c r="P58" s="20" t="n">
        <v>0</v>
      </c>
      <c r="Q58" s="18" t="n">
        <v>2.4719859</v>
      </c>
      <c r="R58" s="20" t="n">
        <v>0.52181988</v>
      </c>
    </row>
    <row r="59" spans="1:18">
      <c r="A59" s="15" t="s">
        <v>619</v>
      </c>
      <c r="B59" s="17" t="n">
        <v>2548</v>
      </c>
      <c r="C59" s="18">
        <f>(1667.0/B59*100)</f>
        <v/>
      </c>
      <c r="D59" s="19" t="n">
        <v>881</v>
      </c>
      <c r="E59" s="18" t="n">
        <v>78.67345736</v>
      </c>
      <c r="F59" s="20" t="n">
        <v>1.34105936</v>
      </c>
      <c r="G59" s="18" t="n">
        <v>19.49808689</v>
      </c>
      <c r="H59" s="20" t="n">
        <v>1.37785859</v>
      </c>
      <c r="I59" s="18" t="s">
        <v>567</v>
      </c>
      <c r="J59" s="20" t="s">
        <v>567</v>
      </c>
      <c r="K59" s="18" t="n">
        <v>0.04712543</v>
      </c>
      <c r="L59" s="20" t="n">
        <v>0.04723796</v>
      </c>
      <c r="M59" s="18" t="n">
        <v>0</v>
      </c>
      <c r="N59" s="20" t="n">
        <v>0</v>
      </c>
      <c r="O59" s="18" t="n">
        <v>0.15198158</v>
      </c>
      <c r="P59" s="20" t="n">
        <v>0.15328246</v>
      </c>
      <c r="Q59" s="18" t="n">
        <v>1.62934874</v>
      </c>
      <c r="R59" s="20" t="n">
        <v>0.4532479</v>
      </c>
    </row>
    <row r="60" spans="1:18">
      <c r="A60" s="15" t="s">
        <v>620</v>
      </c>
      <c r="B60" s="17" t="n">
        <v>2095</v>
      </c>
      <c r="C60" s="18">
        <f>(1400.0/B60*100)</f>
        <v/>
      </c>
      <c r="D60" s="19" t="n">
        <v>695</v>
      </c>
      <c r="E60" s="18" t="n">
        <v>72.95527398999999</v>
      </c>
      <c r="F60" s="20" t="n">
        <v>1.94637248</v>
      </c>
      <c r="G60" s="18" t="n">
        <v>21.54531574</v>
      </c>
      <c r="H60" s="20" t="n">
        <v>1.88140644</v>
      </c>
      <c r="I60" s="18" t="s">
        <v>567</v>
      </c>
      <c r="J60" s="20" t="s">
        <v>567</v>
      </c>
      <c r="K60" s="18" t="n">
        <v>2.89601541</v>
      </c>
      <c r="L60" s="20" t="n">
        <v>0.6778473699999999</v>
      </c>
      <c r="M60" s="18" t="n">
        <v>0</v>
      </c>
      <c r="N60" s="20" t="n">
        <v>0</v>
      </c>
      <c r="O60" s="18" t="n">
        <v>0.27448888</v>
      </c>
      <c r="P60" s="20" t="n">
        <v>0.2009741</v>
      </c>
      <c r="Q60" s="18" t="n">
        <v>2.32890598</v>
      </c>
      <c r="R60" s="20" t="n">
        <v>0.69881221</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(1882.0/B63*100)</f>
        <v/>
      </c>
      <c r="D63" s="19" t="n">
        <v>931</v>
      </c>
      <c r="E63" s="18" t="n">
        <v>74.82150016999999</v>
      </c>
      <c r="F63" s="20" t="n">
        <v>1.59241519</v>
      </c>
      <c r="G63" s="18" t="n">
        <v>17.39299221</v>
      </c>
      <c r="H63" s="20" t="n">
        <v>1.45635507</v>
      </c>
      <c r="I63" s="18" t="s">
        <v>567</v>
      </c>
      <c r="J63" s="20" t="s">
        <v>567</v>
      </c>
      <c r="K63" s="18" t="n">
        <v>1.60221692</v>
      </c>
      <c r="L63" s="20" t="n">
        <v>0.43035063</v>
      </c>
      <c r="M63" s="18" t="n">
        <v>0</v>
      </c>
      <c r="N63" s="20" t="n">
        <v>0</v>
      </c>
      <c r="O63" s="18" t="n">
        <v>0</v>
      </c>
      <c r="P63" s="20" t="n">
        <v>0</v>
      </c>
      <c r="Q63" s="18" t="n">
        <v>6.1832907</v>
      </c>
      <c r="R63" s="20" t="n">
        <v>0.88547465</v>
      </c>
    </row>
    <row r="64" spans="1:18">
      <c r="A64" s="15" t="s">
        <v>624</v>
      </c>
      <c r="B64" s="17" t="n">
        <v>1844</v>
      </c>
      <c r="C64" s="18">
        <f>(1218.0/B64*100)</f>
        <v/>
      </c>
      <c r="D64" s="19" t="n">
        <v>626</v>
      </c>
      <c r="E64" s="18" t="n">
        <v>53.52686348</v>
      </c>
      <c r="F64" s="20" t="n">
        <v>1.93831533</v>
      </c>
      <c r="G64" s="18" t="n">
        <v>41.19588841</v>
      </c>
      <c r="H64" s="20" t="n">
        <v>1.90916203</v>
      </c>
      <c r="I64" s="18" t="s">
        <v>567</v>
      </c>
      <c r="J64" s="20" t="s">
        <v>567</v>
      </c>
      <c r="K64" s="18" t="n">
        <v>2.67852646</v>
      </c>
      <c r="L64" s="20" t="n">
        <v>0.58157738</v>
      </c>
      <c r="M64" s="18" t="n">
        <v>0</v>
      </c>
      <c r="N64" s="20" t="n">
        <v>0</v>
      </c>
      <c r="O64" s="18" t="n">
        <v>0</v>
      </c>
      <c r="P64" s="20" t="n">
        <v>0</v>
      </c>
      <c r="Q64" s="18" t="n">
        <v>2.59872165</v>
      </c>
      <c r="R64" s="20" t="n">
        <v>0.61096405</v>
      </c>
    </row>
    <row r="65" spans="1:18">
      <c r="A65" s="15" t="s">
        <v>625</v>
      </c>
      <c r="B65" s="17" t="n">
        <v>2691</v>
      </c>
      <c r="C65" s="18">
        <f>(1757.0/B65*100)</f>
        <v/>
      </c>
      <c r="D65" s="19" t="n">
        <v>934</v>
      </c>
      <c r="E65" s="18" t="n">
        <v>68.18673492000001</v>
      </c>
      <c r="F65" s="20" t="n">
        <v>1.64663769</v>
      </c>
      <c r="G65" s="18" t="n">
        <v>23.94260855</v>
      </c>
      <c r="H65" s="20" t="n">
        <v>1.58934995</v>
      </c>
      <c r="I65" s="18" t="s">
        <v>567</v>
      </c>
      <c r="J65" s="20" t="s">
        <v>567</v>
      </c>
      <c r="K65" s="18" t="n">
        <v>3.23850418</v>
      </c>
      <c r="L65" s="20" t="n">
        <v>0.57912241</v>
      </c>
      <c r="M65" s="18" t="n">
        <v>0.08864184999999999</v>
      </c>
      <c r="N65" s="20" t="n">
        <v>0.08894332000000001</v>
      </c>
      <c r="O65" s="18" t="n">
        <v>0</v>
      </c>
      <c r="P65" s="20" t="n">
        <v>0</v>
      </c>
      <c r="Q65" s="18" t="n">
        <v>4.5435105</v>
      </c>
      <c r="R65" s="20" t="n">
        <v>0.86749966</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(1635.0/B69*100)</f>
        <v/>
      </c>
      <c r="D69" s="19" t="n">
        <v>775</v>
      </c>
      <c r="E69" s="18" t="n">
        <v>81.86690391</v>
      </c>
      <c r="F69" s="20" t="n">
        <v>1.32748603</v>
      </c>
      <c r="G69" s="18" t="n">
        <v>18.13309609</v>
      </c>
      <c r="H69" s="20" t="n">
        <v>1.32748603</v>
      </c>
      <c r="I69" s="18" t="s">
        <v>567</v>
      </c>
      <c r="J69" s="20" t="s">
        <v>567</v>
      </c>
      <c r="K69" s="18" t="n">
        <v>0</v>
      </c>
      <c r="L69" s="20" t="n">
        <v>0</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(1488.0/B74*100)</f>
        <v/>
      </c>
      <c r="D74" s="19" t="n">
        <v>751</v>
      </c>
      <c r="E74" s="18" t="n">
        <v>70.90626677</v>
      </c>
      <c r="F74" s="20" t="n">
        <v>1.52195319</v>
      </c>
      <c r="G74" s="18" t="n">
        <v>21.03514058</v>
      </c>
      <c r="H74" s="20" t="n">
        <v>1.42081011</v>
      </c>
      <c r="I74" s="18" t="s">
        <v>567</v>
      </c>
      <c r="J74" s="20" t="s">
        <v>567</v>
      </c>
      <c r="K74" s="18" t="n">
        <v>2.93830545</v>
      </c>
      <c r="L74" s="20" t="n">
        <v>0.7131309</v>
      </c>
      <c r="M74" s="18" t="n">
        <v>0</v>
      </c>
      <c r="N74" s="20" t="n">
        <v>0</v>
      </c>
      <c r="O74" s="18" t="n">
        <v>0</v>
      </c>
      <c r="P74" s="20" t="n">
        <v>0</v>
      </c>
      <c r="Q74" s="18" t="n">
        <v>5.1202872</v>
      </c>
      <c r="R74" s="20" t="n">
        <v>1.00370084</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(1885.0/B78*100)</f>
        <v/>
      </c>
      <c r="D78" s="19" t="n">
        <v>901</v>
      </c>
      <c r="E78" s="18" t="n">
        <v>37.48419322</v>
      </c>
      <c r="F78" s="20" t="n">
        <v>2.12883794</v>
      </c>
      <c r="G78" s="18" t="n">
        <v>62.51580678</v>
      </c>
      <c r="H78" s="20" t="n">
        <v>2.12883794</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(524.0/B79*100)</f>
        <v/>
      </c>
      <c r="D79" s="19" t="n">
        <v>263</v>
      </c>
      <c r="E79" s="18" t="n">
        <v>64.2799869</v>
      </c>
      <c r="F79" s="20" t="n">
        <v>3.87519912</v>
      </c>
      <c r="G79" s="18" t="n">
        <v>31.5238447</v>
      </c>
      <c r="H79" s="20" t="n">
        <v>3.68943254</v>
      </c>
      <c r="I79" s="18" t="s">
        <v>567</v>
      </c>
      <c r="J79" s="20" t="s">
        <v>567</v>
      </c>
      <c r="K79" s="18" t="n">
        <v>2.51140031</v>
      </c>
      <c r="L79" s="20" t="n">
        <v>0.92371249</v>
      </c>
      <c r="M79" s="18" t="n">
        <v>0</v>
      </c>
      <c r="N79" s="20" t="n">
        <v>0</v>
      </c>
      <c r="O79" s="18" t="n">
        <v>0</v>
      </c>
      <c r="P79" s="20" t="n">
        <v>0</v>
      </c>
      <c r="Q79" s="18" t="n">
        <v>1.68476809</v>
      </c>
      <c r="R79" s="20" t="n">
        <v>0.7679078499999999</v>
      </c>
    </row>
    <row r="80" spans="1:18">
      <c r="A80" s="15" t="s">
        <v>640</v>
      </c>
      <c r="B80" s="17" t="n">
        <v>3798</v>
      </c>
      <c r="C80" s="18">
        <f>(2533.0/B80*100)</f>
        <v/>
      </c>
      <c r="D80" s="19" t="n">
        <v>1265</v>
      </c>
      <c r="E80" s="18" t="n">
        <v>74.0807427</v>
      </c>
      <c r="F80" s="20" t="n">
        <v>1.77372186</v>
      </c>
      <c r="G80" s="18" t="n">
        <v>25.80789197</v>
      </c>
      <c r="H80" s="20" t="n">
        <v>1.77409303</v>
      </c>
      <c r="I80" s="18" t="s">
        <v>567</v>
      </c>
      <c r="J80" s="20" t="s">
        <v>567</v>
      </c>
      <c r="K80" s="18" t="n">
        <v>0</v>
      </c>
      <c r="L80" s="20" t="n">
        <v>0</v>
      </c>
      <c r="M80" s="18" t="n">
        <v>0</v>
      </c>
      <c r="N80" s="20" t="n">
        <v>0</v>
      </c>
      <c r="O80" s="18" t="n">
        <v>0</v>
      </c>
      <c r="P80" s="20" t="n">
        <v>0</v>
      </c>
      <c r="Q80" s="18" t="n">
        <v>0.11136533</v>
      </c>
      <c r="R80" s="20" t="n">
        <v>0.07860829</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(1641.0/B44*100)</f>
        <v/>
      </c>
      <c r="D44" s="19" t="n">
        <v>883</v>
      </c>
      <c r="E44" s="18" t="n">
        <v>35.73354987</v>
      </c>
      <c r="F44" s="20" t="n">
        <v>2.37299145</v>
      </c>
      <c r="G44" s="18" t="n">
        <v>53.04555256</v>
      </c>
      <c r="H44" s="20" t="n">
        <v>2.26630391</v>
      </c>
      <c r="I44" s="18" t="s">
        <v>567</v>
      </c>
      <c r="J44" s="20" t="s">
        <v>567</v>
      </c>
      <c r="K44" s="18" t="n">
        <v>1.475027</v>
      </c>
      <c r="L44" s="20" t="n">
        <v>0.44729521</v>
      </c>
      <c r="M44" s="18" t="n">
        <v>0</v>
      </c>
      <c r="N44" s="20" t="n">
        <v>0</v>
      </c>
      <c r="O44" s="18" t="n">
        <v>2.8828107</v>
      </c>
      <c r="P44" s="20" t="n">
        <v>0.67816067</v>
      </c>
      <c r="Q44" s="18" t="n">
        <v>6.86305986</v>
      </c>
      <c r="R44" s="20" t="n">
        <v>0.88744395</v>
      </c>
    </row>
    <row r="45" spans="1:18">
      <c r="A45" s="15" t="s">
        <v>605</v>
      </c>
      <c r="B45" s="17" t="n">
        <v>2849</v>
      </c>
      <c r="C45" s="18">
        <f>(1905.0/B45*100)</f>
        <v/>
      </c>
      <c r="D45" s="19" t="n">
        <v>944</v>
      </c>
      <c r="E45" s="18" t="n">
        <v>50.47792555</v>
      </c>
      <c r="F45" s="20" t="n">
        <v>1.26142071</v>
      </c>
      <c r="G45" s="18" t="n">
        <v>32.00259969</v>
      </c>
      <c r="H45" s="20" t="n">
        <v>1.47837065</v>
      </c>
      <c r="I45" s="18" t="s">
        <v>567</v>
      </c>
      <c r="J45" s="20" t="s">
        <v>567</v>
      </c>
      <c r="K45" s="18" t="n">
        <v>4.04945401</v>
      </c>
      <c r="L45" s="20" t="n">
        <v>0.72429305</v>
      </c>
      <c r="M45" s="18" t="n">
        <v>0.19159582</v>
      </c>
      <c r="N45" s="20" t="n">
        <v>0.13978376</v>
      </c>
      <c r="O45" s="18" t="n">
        <v>5.96587995</v>
      </c>
      <c r="P45" s="20" t="n">
        <v>0.80570265</v>
      </c>
      <c r="Q45" s="18" t="n">
        <v>7.31254498</v>
      </c>
      <c r="R45" s="20" t="n">
        <v>0.96712985</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(1999.0/B49*100)</f>
        <v/>
      </c>
      <c r="D49" s="19" t="n">
        <v>1019</v>
      </c>
      <c r="E49" s="18" t="n">
        <v>45.93455543</v>
      </c>
      <c r="F49" s="20" t="n">
        <v>2.09556932</v>
      </c>
      <c r="G49" s="18" t="n">
        <v>49.67188294</v>
      </c>
      <c r="H49" s="20" t="n">
        <v>2.03873317</v>
      </c>
      <c r="I49" s="18" t="s">
        <v>567</v>
      </c>
      <c r="J49" s="20" t="s">
        <v>567</v>
      </c>
      <c r="K49" s="18" t="n">
        <v>1.31607671</v>
      </c>
      <c r="L49" s="20" t="n">
        <v>0.38175722</v>
      </c>
      <c r="M49" s="18" t="n">
        <v>0.06938298</v>
      </c>
      <c r="N49" s="20" t="n">
        <v>0.06332429000000001</v>
      </c>
      <c r="O49" s="18" t="n">
        <v>1.3567519</v>
      </c>
      <c r="P49" s="20" t="n">
        <v>0.70465952</v>
      </c>
      <c r="Q49" s="18" t="n">
        <v>1.65135004</v>
      </c>
      <c r="R49" s="20" t="n">
        <v>0.45894977</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(1852.0/B55*100)</f>
        <v/>
      </c>
      <c r="D55" s="19" t="n">
        <v>907</v>
      </c>
      <c r="E55" s="18" t="n">
        <v>39.3556908</v>
      </c>
      <c r="F55" s="20" t="n">
        <v>1.80296977</v>
      </c>
      <c r="G55" s="18" t="n">
        <v>55.00295702</v>
      </c>
      <c r="H55" s="20" t="n">
        <v>1.87039867</v>
      </c>
      <c r="I55" s="18" t="s">
        <v>567</v>
      </c>
      <c r="J55" s="20" t="s">
        <v>567</v>
      </c>
      <c r="K55" s="18" t="n">
        <v>1.02849977</v>
      </c>
      <c r="L55" s="20" t="n">
        <v>0.36418704</v>
      </c>
      <c r="M55" s="18" t="n">
        <v>0</v>
      </c>
      <c r="N55" s="20" t="n">
        <v>0</v>
      </c>
      <c r="O55" s="18" t="n">
        <v>0.8040166</v>
      </c>
      <c r="P55" s="20" t="n">
        <v>0.23261678</v>
      </c>
      <c r="Q55" s="18" t="n">
        <v>3.8088358</v>
      </c>
      <c r="R55" s="20" t="n">
        <v>0.63511865</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62.22780384</v>
      </c>
      <c r="F57" s="20" t="n">
        <v>1.79301418</v>
      </c>
      <c r="G57" s="18" t="n">
        <v>34.25315529</v>
      </c>
      <c r="H57" s="20" t="n">
        <v>1.73398122</v>
      </c>
      <c r="I57" s="18" t="s">
        <v>567</v>
      </c>
      <c r="J57" s="20" t="s">
        <v>567</v>
      </c>
      <c r="K57" s="18" t="n">
        <v>1.5535177</v>
      </c>
      <c r="L57" s="20" t="n">
        <v>0.47870601</v>
      </c>
      <c r="M57" s="18" t="n">
        <v>0</v>
      </c>
      <c r="N57" s="20" t="n">
        <v>0</v>
      </c>
      <c r="O57" s="18" t="n">
        <v>0.1129299</v>
      </c>
      <c r="P57" s="20" t="n">
        <v>0.11328141</v>
      </c>
      <c r="Q57" s="18" t="n">
        <v>1.85259327</v>
      </c>
      <c r="R57" s="20" t="n">
        <v>0.42946257</v>
      </c>
    </row>
    <row r="58" spans="1:18">
      <c r="A58" s="15" t="s">
        <v>618</v>
      </c>
      <c r="B58" s="17" t="n">
        <v>3530</v>
      </c>
      <c r="C58" s="18">
        <f>(2348.0/B58*100)</f>
        <v/>
      </c>
      <c r="D58" s="19" t="n">
        <v>1182</v>
      </c>
      <c r="E58" s="18" t="n">
        <v>61.83787418</v>
      </c>
      <c r="F58" s="20" t="n">
        <v>1.61708593</v>
      </c>
      <c r="G58" s="18" t="n">
        <v>28.16130857</v>
      </c>
      <c r="H58" s="20" t="n">
        <v>1.4443089</v>
      </c>
      <c r="I58" s="18" t="s">
        <v>567</v>
      </c>
      <c r="J58" s="20" t="s">
        <v>567</v>
      </c>
      <c r="K58" s="18" t="n">
        <v>1.76177759</v>
      </c>
      <c r="L58" s="20" t="n">
        <v>0.41621816</v>
      </c>
      <c r="M58" s="18" t="n">
        <v>0</v>
      </c>
      <c r="N58" s="20" t="n">
        <v>0</v>
      </c>
      <c r="O58" s="18" t="n">
        <v>0.83090503</v>
      </c>
      <c r="P58" s="20" t="n">
        <v>0.331526</v>
      </c>
      <c r="Q58" s="18" t="n">
        <v>7.40813462</v>
      </c>
      <c r="R58" s="20" t="n">
        <v>0.8100857</v>
      </c>
    </row>
    <row r="59" spans="1:18">
      <c r="A59" s="15" t="s">
        <v>619</v>
      </c>
      <c r="B59" s="17" t="n">
        <v>2548</v>
      </c>
      <c r="C59" s="18">
        <f>(1667.0/B59*100)</f>
        <v/>
      </c>
      <c r="D59" s="19" t="n">
        <v>881</v>
      </c>
      <c r="E59" s="18" t="n">
        <v>58.96019109</v>
      </c>
      <c r="F59" s="20" t="n">
        <v>1.82789475</v>
      </c>
      <c r="G59" s="18" t="n">
        <v>34.77861247</v>
      </c>
      <c r="H59" s="20" t="n">
        <v>1.8288538</v>
      </c>
      <c r="I59" s="18" t="s">
        <v>567</v>
      </c>
      <c r="J59" s="20" t="s">
        <v>567</v>
      </c>
      <c r="K59" s="18" t="n">
        <v>0.04712543</v>
      </c>
      <c r="L59" s="20" t="n">
        <v>0.04723796</v>
      </c>
      <c r="M59" s="18" t="n">
        <v>0</v>
      </c>
      <c r="N59" s="20" t="n">
        <v>0</v>
      </c>
      <c r="O59" s="18" t="n">
        <v>4.37336646</v>
      </c>
      <c r="P59" s="20" t="n">
        <v>0.80305971</v>
      </c>
      <c r="Q59" s="18" t="n">
        <v>1.84070455</v>
      </c>
      <c r="R59" s="20" t="n">
        <v>0.44346788</v>
      </c>
    </row>
    <row r="60" spans="1:18">
      <c r="A60" s="15" t="s">
        <v>620</v>
      </c>
      <c r="B60" s="17" t="n">
        <v>2095</v>
      </c>
      <c r="C60" s="18">
        <f>(1400.0/B60*100)</f>
        <v/>
      </c>
      <c r="D60" s="19" t="n">
        <v>695</v>
      </c>
      <c r="E60" s="18" t="n">
        <v>52.87266514</v>
      </c>
      <c r="F60" s="20" t="n">
        <v>2.41129502</v>
      </c>
      <c r="G60" s="18" t="n">
        <v>25.87702409</v>
      </c>
      <c r="H60" s="20" t="n">
        <v>1.86415251</v>
      </c>
      <c r="I60" s="18" t="s">
        <v>567</v>
      </c>
      <c r="J60" s="20" t="s">
        <v>567</v>
      </c>
      <c r="K60" s="18" t="n">
        <v>3.59276843</v>
      </c>
      <c r="L60" s="20" t="n">
        <v>0.74977503</v>
      </c>
      <c r="M60" s="18" t="n">
        <v>0</v>
      </c>
      <c r="N60" s="20" t="n">
        <v>0</v>
      </c>
      <c r="O60" s="18" t="n">
        <v>5.22987579</v>
      </c>
      <c r="P60" s="20" t="n">
        <v>0.88666718</v>
      </c>
      <c r="Q60" s="18" t="n">
        <v>12.42766654</v>
      </c>
      <c r="R60" s="20" t="n">
        <v>1.78105263</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(1882.0/B63*100)</f>
        <v/>
      </c>
      <c r="D63" s="19" t="n">
        <v>931</v>
      </c>
      <c r="E63" s="18" t="n">
        <v>56.84151612</v>
      </c>
      <c r="F63" s="20" t="n">
        <v>1.87872643</v>
      </c>
      <c r="G63" s="18" t="n">
        <v>28.81379266</v>
      </c>
      <c r="H63" s="20" t="n">
        <v>1.82589154</v>
      </c>
      <c r="I63" s="18" t="s">
        <v>567</v>
      </c>
      <c r="J63" s="20" t="s">
        <v>567</v>
      </c>
      <c r="K63" s="18" t="n">
        <v>1.70121496</v>
      </c>
      <c r="L63" s="20" t="n">
        <v>0.44084307</v>
      </c>
      <c r="M63" s="18" t="n">
        <v>0</v>
      </c>
      <c r="N63" s="20" t="n">
        <v>0</v>
      </c>
      <c r="O63" s="18" t="n">
        <v>0.8380582600000001</v>
      </c>
      <c r="P63" s="20" t="n">
        <v>0.33330255</v>
      </c>
      <c r="Q63" s="18" t="n">
        <v>11.80541801</v>
      </c>
      <c r="R63" s="20" t="n">
        <v>1.04501995</v>
      </c>
    </row>
    <row r="64" spans="1:18">
      <c r="A64" s="15" t="s">
        <v>624</v>
      </c>
      <c r="B64" s="17" t="n">
        <v>1844</v>
      </c>
      <c r="C64" s="18">
        <f>(1218.0/B64*100)</f>
        <v/>
      </c>
      <c r="D64" s="19" t="n">
        <v>626</v>
      </c>
      <c r="E64" s="18" t="n">
        <v>42.01994518</v>
      </c>
      <c r="F64" s="20" t="n">
        <v>2.00821338</v>
      </c>
      <c r="G64" s="18" t="n">
        <v>49.48116764</v>
      </c>
      <c r="H64" s="20" t="n">
        <v>1.88288514</v>
      </c>
      <c r="I64" s="18" t="s">
        <v>567</v>
      </c>
      <c r="J64" s="20" t="s">
        <v>567</v>
      </c>
      <c r="K64" s="18" t="n">
        <v>2.99798156</v>
      </c>
      <c r="L64" s="20" t="n">
        <v>0.63144999</v>
      </c>
      <c r="M64" s="18" t="n">
        <v>0</v>
      </c>
      <c r="N64" s="20" t="n">
        <v>0</v>
      </c>
      <c r="O64" s="18" t="n">
        <v>0.79560077</v>
      </c>
      <c r="P64" s="20" t="n">
        <v>0.35202508</v>
      </c>
      <c r="Q64" s="18" t="n">
        <v>4.70530485</v>
      </c>
      <c r="R64" s="20" t="n">
        <v>0.71436719</v>
      </c>
    </row>
    <row r="65" spans="1:18">
      <c r="A65" s="15" t="s">
        <v>625</v>
      </c>
      <c r="B65" s="17" t="n">
        <v>2691</v>
      </c>
      <c r="C65" s="18">
        <f>(1757.0/B65*100)</f>
        <v/>
      </c>
      <c r="D65" s="19" t="n">
        <v>934</v>
      </c>
      <c r="E65" s="18" t="n">
        <v>32.90774965</v>
      </c>
      <c r="F65" s="20" t="n">
        <v>1.79005861</v>
      </c>
      <c r="G65" s="18" t="n">
        <v>53.38532908</v>
      </c>
      <c r="H65" s="20" t="n">
        <v>1.90832501</v>
      </c>
      <c r="I65" s="18" t="s">
        <v>567</v>
      </c>
      <c r="J65" s="20" t="s">
        <v>567</v>
      </c>
      <c r="K65" s="18" t="n">
        <v>3.48185263</v>
      </c>
      <c r="L65" s="20" t="n">
        <v>0.6015101899999999</v>
      </c>
      <c r="M65" s="18" t="n">
        <v>6.10957461</v>
      </c>
      <c r="N65" s="20" t="n">
        <v>0.80965966</v>
      </c>
      <c r="O65" s="18" t="n">
        <v>0.11089555</v>
      </c>
      <c r="P65" s="20" t="n">
        <v>0.07829974000000001</v>
      </c>
      <c r="Q65" s="18" t="n">
        <v>4.00459848</v>
      </c>
      <c r="R65" s="20" t="n">
        <v>0.81266598</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(1635.0/B69*100)</f>
        <v/>
      </c>
      <c r="D69" s="19" t="n">
        <v>775</v>
      </c>
      <c r="E69" s="18" t="n">
        <v>48.81860039</v>
      </c>
      <c r="F69" s="20" t="n">
        <v>1.76945137</v>
      </c>
      <c r="G69" s="18" t="n">
        <v>50.83113956</v>
      </c>
      <c r="H69" s="20" t="n">
        <v>1.754494</v>
      </c>
      <c r="I69" s="18" t="s">
        <v>567</v>
      </c>
      <c r="J69" s="20" t="s">
        <v>567</v>
      </c>
      <c r="K69" s="18" t="n">
        <v>0</v>
      </c>
      <c r="L69" s="20" t="n">
        <v>0</v>
      </c>
      <c r="M69" s="18" t="n">
        <v>0</v>
      </c>
      <c r="N69" s="20" t="n">
        <v>0</v>
      </c>
      <c r="O69" s="18" t="n">
        <v>0</v>
      </c>
      <c r="P69" s="20" t="n">
        <v>0</v>
      </c>
      <c r="Q69" s="18" t="n">
        <v>0.35026005</v>
      </c>
      <c r="R69" s="20" t="n">
        <v>0.20294457</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(1488.0/B74*100)</f>
        <v/>
      </c>
      <c r="D74" s="19" t="n">
        <v>751</v>
      </c>
      <c r="E74" s="18" t="n">
        <v>46.40516452</v>
      </c>
      <c r="F74" s="20" t="n">
        <v>2.11417113</v>
      </c>
      <c r="G74" s="18" t="n">
        <v>46.25479096</v>
      </c>
      <c r="H74" s="20" t="n">
        <v>2.06991463</v>
      </c>
      <c r="I74" s="18" t="s">
        <v>567</v>
      </c>
      <c r="J74" s="20" t="s">
        <v>567</v>
      </c>
      <c r="K74" s="18" t="n">
        <v>3.39412083</v>
      </c>
      <c r="L74" s="20" t="n">
        <v>0.76912009</v>
      </c>
      <c r="M74" s="18" t="n">
        <v>0</v>
      </c>
      <c r="N74" s="20" t="n">
        <v>0</v>
      </c>
      <c r="O74" s="18" t="n">
        <v>0.12494663</v>
      </c>
      <c r="P74" s="20" t="n">
        <v>0.12421555</v>
      </c>
      <c r="Q74" s="18" t="n">
        <v>3.82097706</v>
      </c>
      <c r="R74" s="20" t="n">
        <v>0.75419643</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(1885.0/B78*100)</f>
        <v/>
      </c>
      <c r="D78" s="19" t="n">
        <v>901</v>
      </c>
      <c r="E78" s="18" t="n">
        <v>12.01672444</v>
      </c>
      <c r="F78" s="20" t="n">
        <v>1.55344994</v>
      </c>
      <c r="G78" s="18" t="n">
        <v>87.90859435</v>
      </c>
      <c r="H78" s="20" t="n">
        <v>1.55413123</v>
      </c>
      <c r="I78" s="18" t="s">
        <v>567</v>
      </c>
      <c r="J78" s="20" t="s">
        <v>567</v>
      </c>
      <c r="K78" s="18" t="n">
        <v>0</v>
      </c>
      <c r="L78" s="20" t="n">
        <v>0</v>
      </c>
      <c r="M78" s="18" t="n">
        <v>0</v>
      </c>
      <c r="N78" s="20" t="n">
        <v>0</v>
      </c>
      <c r="O78" s="18" t="n">
        <v>0</v>
      </c>
      <c r="P78" s="20" t="n">
        <v>0</v>
      </c>
      <c r="Q78" s="18" t="n">
        <v>0.0746812</v>
      </c>
      <c r="R78" s="20" t="n">
        <v>0.07490218999999999</v>
      </c>
    </row>
    <row customHeight="1" ht="25" r="79" spans="1:18">
      <c r="A79" s="15" t="s">
        <v>639</v>
      </c>
      <c r="B79" s="17" t="n">
        <v>787</v>
      </c>
      <c r="C79" s="18">
        <f>(524.0/B79*100)</f>
        <v/>
      </c>
      <c r="D79" s="19" t="n">
        <v>263</v>
      </c>
      <c r="E79" s="18" t="n">
        <v>31.11127828</v>
      </c>
      <c r="F79" s="20" t="n">
        <v>2.4459543</v>
      </c>
      <c r="G79" s="18" t="n">
        <v>63.76081358</v>
      </c>
      <c r="H79" s="20" t="n">
        <v>2.77062092</v>
      </c>
      <c r="I79" s="18" t="s">
        <v>567</v>
      </c>
      <c r="J79" s="20" t="s">
        <v>567</v>
      </c>
      <c r="K79" s="18" t="n">
        <v>2.95980496</v>
      </c>
      <c r="L79" s="20" t="n">
        <v>1.02023842</v>
      </c>
      <c r="M79" s="18" t="n">
        <v>0</v>
      </c>
      <c r="N79" s="20" t="n">
        <v>0</v>
      </c>
      <c r="O79" s="18" t="n">
        <v>1.12403399</v>
      </c>
      <c r="P79" s="20" t="n">
        <v>0.67352176</v>
      </c>
      <c r="Q79" s="18" t="n">
        <v>1.04406919</v>
      </c>
      <c r="R79" s="20" t="n">
        <v>0.44475358</v>
      </c>
    </row>
    <row r="80" spans="1:18">
      <c r="A80" s="15" t="s">
        <v>640</v>
      </c>
      <c r="B80" s="17" t="n">
        <v>3798</v>
      </c>
      <c r="C80" s="18">
        <f>(2533.0/B80*100)</f>
        <v/>
      </c>
      <c r="D80" s="19" t="n">
        <v>1265</v>
      </c>
      <c r="E80" s="18" t="n">
        <v>46.4925435</v>
      </c>
      <c r="F80" s="20" t="n">
        <v>2.29716879</v>
      </c>
      <c r="G80" s="18" t="n">
        <v>53.5074565</v>
      </c>
      <c r="H80" s="20" t="n">
        <v>2.29716879</v>
      </c>
      <c r="I80" s="18" t="s">
        <v>567</v>
      </c>
      <c r="J80" s="20" t="s">
        <v>567</v>
      </c>
      <c r="K80" s="18" t="n">
        <v>0</v>
      </c>
      <c r="L80" s="20" t="n">
        <v>0</v>
      </c>
      <c r="M80" s="18" t="n">
        <v>0</v>
      </c>
      <c r="N80" s="20" t="n">
        <v>0</v>
      </c>
      <c r="O80" s="18" t="n">
        <v>0</v>
      </c>
      <c r="P80" s="20" t="n">
        <v>0</v>
      </c>
      <c r="Q80" s="18" t="n">
        <v>0</v>
      </c>
      <c r="R80" s="20" t="n">
        <v>0</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(1641.0/B44*100)</f>
        <v/>
      </c>
      <c r="D44" s="19" t="n">
        <v>883</v>
      </c>
      <c r="E44" s="18" t="n">
        <v>47.40304255</v>
      </c>
      <c r="F44" s="20" t="n">
        <v>2.25870053</v>
      </c>
      <c r="G44" s="18" t="n">
        <v>22.6823381</v>
      </c>
      <c r="H44" s="20" t="n">
        <v>1.91314945</v>
      </c>
      <c r="I44" s="18" t="s">
        <v>567</v>
      </c>
      <c r="J44" s="20" t="s">
        <v>567</v>
      </c>
      <c r="K44" s="18" t="n">
        <v>1.475027</v>
      </c>
      <c r="L44" s="20" t="n">
        <v>0.44729521</v>
      </c>
      <c r="M44" s="18" t="n">
        <v>0</v>
      </c>
      <c r="N44" s="20" t="n">
        <v>0</v>
      </c>
      <c r="O44" s="18" t="n">
        <v>0</v>
      </c>
      <c r="P44" s="20" t="n">
        <v>0</v>
      </c>
      <c r="Q44" s="18" t="n">
        <v>28.43959235</v>
      </c>
      <c r="R44" s="20" t="n">
        <v>1.94823434</v>
      </c>
    </row>
    <row r="45" spans="1:18">
      <c r="A45" s="15" t="s">
        <v>605</v>
      </c>
      <c r="B45" s="17" t="n">
        <v>2849</v>
      </c>
      <c r="C45" s="18">
        <f>(1905.0/B45*100)</f>
        <v/>
      </c>
      <c r="D45" s="19" t="n">
        <v>944</v>
      </c>
      <c r="E45" s="18" t="n">
        <v>60.21199558</v>
      </c>
      <c r="F45" s="20" t="n">
        <v>1.69841663</v>
      </c>
      <c r="G45" s="18" t="n">
        <v>9.643343509999999</v>
      </c>
      <c r="H45" s="20" t="n">
        <v>1.03572888</v>
      </c>
      <c r="I45" s="18" t="s">
        <v>567</v>
      </c>
      <c r="J45" s="20" t="s">
        <v>567</v>
      </c>
      <c r="K45" s="18" t="n">
        <v>4.40618351</v>
      </c>
      <c r="L45" s="20" t="n">
        <v>0.7470745</v>
      </c>
      <c r="M45" s="18" t="n">
        <v>1.28170687</v>
      </c>
      <c r="N45" s="20" t="n">
        <v>0.38373663</v>
      </c>
      <c r="O45" s="18" t="n">
        <v>0.29006169</v>
      </c>
      <c r="P45" s="20" t="n">
        <v>0.20670316</v>
      </c>
      <c r="Q45" s="18" t="n">
        <v>24.16670884</v>
      </c>
      <c r="R45" s="20" t="n">
        <v>1.5439574</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(1999.0/B49*100)</f>
        <v/>
      </c>
      <c r="D49" s="19" t="n">
        <v>1019</v>
      </c>
      <c r="E49" s="18" t="n">
        <v>64.08725574</v>
      </c>
      <c r="F49" s="20" t="n">
        <v>1.56919841</v>
      </c>
      <c r="G49" s="18" t="n">
        <v>12.66799061</v>
      </c>
      <c r="H49" s="20" t="n">
        <v>1.12471162</v>
      </c>
      <c r="I49" s="18" t="s">
        <v>567</v>
      </c>
      <c r="J49" s="20" t="s">
        <v>567</v>
      </c>
      <c r="K49" s="18" t="n">
        <v>1.3677749</v>
      </c>
      <c r="L49" s="20" t="n">
        <v>0.38363045</v>
      </c>
      <c r="M49" s="18" t="n">
        <v>0</v>
      </c>
      <c r="N49" s="20" t="n">
        <v>0</v>
      </c>
      <c r="O49" s="18" t="n">
        <v>0</v>
      </c>
      <c r="P49" s="20" t="n">
        <v>0</v>
      </c>
      <c r="Q49" s="18" t="n">
        <v>21.87697875</v>
      </c>
      <c r="R49" s="20" t="n">
        <v>1.47608735</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(1852.0/B55*100)</f>
        <v/>
      </c>
      <c r="D55" s="19" t="n">
        <v>907</v>
      </c>
      <c r="E55" s="18" t="n">
        <v>40.53955288</v>
      </c>
      <c r="F55" s="20" t="n">
        <v>1.67922196</v>
      </c>
      <c r="G55" s="18" t="n">
        <v>17.56824943</v>
      </c>
      <c r="H55" s="20" t="n">
        <v>1.33449097</v>
      </c>
      <c r="I55" s="18" t="s">
        <v>567</v>
      </c>
      <c r="J55" s="20" t="s">
        <v>567</v>
      </c>
      <c r="K55" s="18" t="n">
        <v>1.02849977</v>
      </c>
      <c r="L55" s="20" t="n">
        <v>0.36418704</v>
      </c>
      <c r="M55" s="18" t="n">
        <v>0</v>
      </c>
      <c r="N55" s="20" t="n">
        <v>0</v>
      </c>
      <c r="O55" s="18" t="n">
        <v>0.18719956</v>
      </c>
      <c r="P55" s="20" t="n">
        <v>0.12880972</v>
      </c>
      <c r="Q55" s="18" t="n">
        <v>40.67649836</v>
      </c>
      <c r="R55" s="20" t="n">
        <v>1.55433321</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63.86641305</v>
      </c>
      <c r="F57" s="20" t="n">
        <v>1.63413831</v>
      </c>
      <c r="G57" s="18" t="n">
        <v>27.10042765</v>
      </c>
      <c r="H57" s="20" t="n">
        <v>1.47551466</v>
      </c>
      <c r="I57" s="18" t="s">
        <v>567</v>
      </c>
      <c r="J57" s="20" t="s">
        <v>567</v>
      </c>
      <c r="K57" s="18" t="n">
        <v>1.73316179</v>
      </c>
      <c r="L57" s="20" t="n">
        <v>0.5048494100000001</v>
      </c>
      <c r="M57" s="18" t="n">
        <v>0</v>
      </c>
      <c r="N57" s="20" t="n">
        <v>0</v>
      </c>
      <c r="O57" s="18" t="n">
        <v>0</v>
      </c>
      <c r="P57" s="20" t="n">
        <v>0</v>
      </c>
      <c r="Q57" s="18" t="n">
        <v>7.29999751</v>
      </c>
      <c r="R57" s="20" t="n">
        <v>0.99211109</v>
      </c>
    </row>
    <row r="58" spans="1:18">
      <c r="A58" s="15" t="s">
        <v>618</v>
      </c>
      <c r="B58" s="17" t="n">
        <v>3530</v>
      </c>
      <c r="C58" s="18">
        <f>(2348.0/B58*100)</f>
        <v/>
      </c>
      <c r="D58" s="19" t="n">
        <v>1182</v>
      </c>
      <c r="E58" s="18" t="n">
        <v>60.64950403</v>
      </c>
      <c r="F58" s="20" t="n">
        <v>1.87502653</v>
      </c>
      <c r="G58" s="18" t="n">
        <v>15.75396848</v>
      </c>
      <c r="H58" s="20" t="n">
        <v>1.28620837</v>
      </c>
      <c r="I58" s="18" t="s">
        <v>567</v>
      </c>
      <c r="J58" s="20" t="s">
        <v>567</v>
      </c>
      <c r="K58" s="18" t="n">
        <v>1.76177759</v>
      </c>
      <c r="L58" s="20" t="n">
        <v>0.41621816</v>
      </c>
      <c r="M58" s="18" t="n">
        <v>0</v>
      </c>
      <c r="N58" s="20" t="n">
        <v>0</v>
      </c>
      <c r="O58" s="18" t="n">
        <v>0</v>
      </c>
      <c r="P58" s="20" t="n">
        <v>0</v>
      </c>
      <c r="Q58" s="18" t="n">
        <v>21.8347499</v>
      </c>
      <c r="R58" s="20" t="n">
        <v>1.70116793</v>
      </c>
    </row>
    <row r="59" spans="1:18">
      <c r="A59" s="15" t="s">
        <v>619</v>
      </c>
      <c r="B59" s="17" t="n">
        <v>2548</v>
      </c>
      <c r="C59" s="18">
        <f>(1667.0/B59*100)</f>
        <v/>
      </c>
      <c r="D59" s="19" t="n">
        <v>881</v>
      </c>
      <c r="E59" s="18" t="n">
        <v>65.94646286</v>
      </c>
      <c r="F59" s="20" t="n">
        <v>1.61062754</v>
      </c>
      <c r="G59" s="18" t="n">
        <v>13.69351313</v>
      </c>
      <c r="H59" s="20" t="n">
        <v>1.37158543</v>
      </c>
      <c r="I59" s="18" t="s">
        <v>567</v>
      </c>
      <c r="J59" s="20" t="s">
        <v>567</v>
      </c>
      <c r="K59" s="18" t="n">
        <v>0.04712543</v>
      </c>
      <c r="L59" s="20" t="n">
        <v>0.04723796</v>
      </c>
      <c r="M59" s="18" t="n">
        <v>0</v>
      </c>
      <c r="N59" s="20" t="n">
        <v>0</v>
      </c>
      <c r="O59" s="18" t="n">
        <v>0.16232445</v>
      </c>
      <c r="P59" s="20" t="n">
        <v>0.16297686</v>
      </c>
      <c r="Q59" s="18" t="n">
        <v>20.15057413</v>
      </c>
      <c r="R59" s="20" t="n">
        <v>1.47571252</v>
      </c>
    </row>
    <row r="60" spans="1:18">
      <c r="A60" s="15" t="s">
        <v>620</v>
      </c>
      <c r="B60" s="17" t="n">
        <v>2095</v>
      </c>
      <c r="C60" s="18">
        <f>(1400.0/B60*100)</f>
        <v/>
      </c>
      <c r="D60" s="19" t="n">
        <v>695</v>
      </c>
      <c r="E60" s="18" t="n">
        <v>49.23538635</v>
      </c>
      <c r="F60" s="20" t="n">
        <v>2.18789064</v>
      </c>
      <c r="G60" s="18" t="n">
        <v>14.2179385</v>
      </c>
      <c r="H60" s="20" t="n">
        <v>1.48943023</v>
      </c>
      <c r="I60" s="18" t="s">
        <v>567</v>
      </c>
      <c r="J60" s="20" t="s">
        <v>567</v>
      </c>
      <c r="K60" s="18" t="n">
        <v>3.71406648</v>
      </c>
      <c r="L60" s="20" t="n">
        <v>0.75550986</v>
      </c>
      <c r="M60" s="18" t="n">
        <v>0.12458767</v>
      </c>
      <c r="N60" s="20" t="n">
        <v>0.12439259</v>
      </c>
      <c r="O60" s="18" t="n">
        <v>0.15150667</v>
      </c>
      <c r="P60" s="20" t="n">
        <v>0.15223009</v>
      </c>
      <c r="Q60" s="18" t="n">
        <v>32.55651432</v>
      </c>
      <c r="R60" s="20" t="n">
        <v>2.32844477</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(1882.0/B63*100)</f>
        <v/>
      </c>
      <c r="D63" s="19" t="n">
        <v>931</v>
      </c>
      <c r="E63" s="18" t="n">
        <v>27.47636635</v>
      </c>
      <c r="F63" s="20" t="n">
        <v>1.55750258</v>
      </c>
      <c r="G63" s="18" t="n">
        <v>17.51934911</v>
      </c>
      <c r="H63" s="20" t="n">
        <v>1.29455518</v>
      </c>
      <c r="I63" s="18" t="s">
        <v>567</v>
      </c>
      <c r="J63" s="20" t="s">
        <v>567</v>
      </c>
      <c r="K63" s="18" t="n">
        <v>1.82129318</v>
      </c>
      <c r="L63" s="20" t="n">
        <v>0.45502817</v>
      </c>
      <c r="M63" s="18" t="n">
        <v>0</v>
      </c>
      <c r="N63" s="20" t="n">
        <v>0</v>
      </c>
      <c r="O63" s="18" t="n">
        <v>0.09150125000000001</v>
      </c>
      <c r="P63" s="20" t="n">
        <v>0.08947958</v>
      </c>
      <c r="Q63" s="18" t="n">
        <v>53.09149011</v>
      </c>
      <c r="R63" s="20" t="n">
        <v>1.51811621</v>
      </c>
    </row>
    <row r="64" spans="1:18">
      <c r="A64" s="15" t="s">
        <v>624</v>
      </c>
      <c r="B64" s="17" t="n">
        <v>1844</v>
      </c>
      <c r="C64" s="18">
        <f>(1218.0/B64*100)</f>
        <v/>
      </c>
      <c r="D64" s="19" t="n">
        <v>626</v>
      </c>
      <c r="E64" s="18" t="n">
        <v>43.28237386</v>
      </c>
      <c r="F64" s="20" t="n">
        <v>1.87736034</v>
      </c>
      <c r="G64" s="18" t="n">
        <v>25.09340042</v>
      </c>
      <c r="H64" s="20" t="n">
        <v>1.66478477</v>
      </c>
      <c r="I64" s="18" t="s">
        <v>567</v>
      </c>
      <c r="J64" s="20" t="s">
        <v>567</v>
      </c>
      <c r="K64" s="18" t="n">
        <v>3.20013165</v>
      </c>
      <c r="L64" s="20" t="n">
        <v>0.68426616</v>
      </c>
      <c r="M64" s="18" t="n">
        <v>0</v>
      </c>
      <c r="N64" s="20" t="n">
        <v>0</v>
      </c>
      <c r="O64" s="18" t="n">
        <v>0</v>
      </c>
      <c r="P64" s="20" t="n">
        <v>0</v>
      </c>
      <c r="Q64" s="18" t="n">
        <v>28.42409408</v>
      </c>
      <c r="R64" s="20" t="n">
        <v>1.68527272</v>
      </c>
    </row>
    <row r="65" spans="1:18">
      <c r="A65" s="15" t="s">
        <v>625</v>
      </c>
      <c r="B65" s="17" t="n">
        <v>2691</v>
      </c>
      <c r="C65" s="18">
        <f>(1757.0/B65*100)</f>
        <v/>
      </c>
      <c r="D65" s="19" t="n">
        <v>934</v>
      </c>
      <c r="E65" s="18" t="n">
        <v>38.02321564</v>
      </c>
      <c r="F65" s="20" t="n">
        <v>1.80325698</v>
      </c>
      <c r="G65" s="18" t="n">
        <v>29.98639679</v>
      </c>
      <c r="H65" s="20" t="n">
        <v>1.61692217</v>
      </c>
      <c r="I65" s="18" t="s">
        <v>567</v>
      </c>
      <c r="J65" s="20" t="s">
        <v>567</v>
      </c>
      <c r="K65" s="18" t="n">
        <v>3.57434854</v>
      </c>
      <c r="L65" s="20" t="n">
        <v>0.60841178</v>
      </c>
      <c r="M65" s="18" t="n">
        <v>0</v>
      </c>
      <c r="N65" s="20" t="n">
        <v>0</v>
      </c>
      <c r="O65" s="18" t="n">
        <v>0</v>
      </c>
      <c r="P65" s="20" t="n">
        <v>0</v>
      </c>
      <c r="Q65" s="18" t="n">
        <v>28.41603903</v>
      </c>
      <c r="R65" s="20" t="n">
        <v>1.76589673</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(1635.0/B69*100)</f>
        <v/>
      </c>
      <c r="D69" s="19" t="n">
        <v>775</v>
      </c>
      <c r="E69" s="18" t="n">
        <v>57.65910623</v>
      </c>
      <c r="F69" s="20" t="n">
        <v>1.95671056</v>
      </c>
      <c r="G69" s="18" t="n">
        <v>42.34089377</v>
      </c>
      <c r="H69" s="20" t="n">
        <v>1.95671056</v>
      </c>
      <c r="I69" s="18" t="s">
        <v>567</v>
      </c>
      <c r="J69" s="20" t="s">
        <v>567</v>
      </c>
      <c r="K69" s="18" t="n">
        <v>0</v>
      </c>
      <c r="L69" s="20" t="n">
        <v>0</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(1488.0/B74*100)</f>
        <v/>
      </c>
      <c r="D74" s="19" t="n">
        <v>751</v>
      </c>
      <c r="E74" s="18" t="n">
        <v>42.30247766</v>
      </c>
      <c r="F74" s="20" t="n">
        <v>2.02167972</v>
      </c>
      <c r="G74" s="18" t="n">
        <v>27.16135479</v>
      </c>
      <c r="H74" s="20" t="n">
        <v>1.70351508</v>
      </c>
      <c r="I74" s="18" t="s">
        <v>567</v>
      </c>
      <c r="J74" s="20" t="s">
        <v>567</v>
      </c>
      <c r="K74" s="18" t="n">
        <v>3.50556089</v>
      </c>
      <c r="L74" s="20" t="n">
        <v>0.81247625</v>
      </c>
      <c r="M74" s="18" t="n">
        <v>0</v>
      </c>
      <c r="N74" s="20" t="n">
        <v>0</v>
      </c>
      <c r="O74" s="18" t="n">
        <v>0</v>
      </c>
      <c r="P74" s="20" t="n">
        <v>0</v>
      </c>
      <c r="Q74" s="18" t="n">
        <v>27.03060665</v>
      </c>
      <c r="R74" s="20" t="n">
        <v>1.89648098</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(1885.0/B78*100)</f>
        <v/>
      </c>
      <c r="D78" s="19" t="n">
        <v>901</v>
      </c>
      <c r="E78" s="18" t="n">
        <v>45.00052459</v>
      </c>
      <c r="F78" s="20" t="n">
        <v>1.90927512</v>
      </c>
      <c r="G78" s="18" t="n">
        <v>53.23837384</v>
      </c>
      <c r="H78" s="20" t="n">
        <v>1.8692882</v>
      </c>
      <c r="I78" s="18" t="s">
        <v>567</v>
      </c>
      <c r="J78" s="20" t="s">
        <v>567</v>
      </c>
      <c r="K78" s="18" t="n">
        <v>0</v>
      </c>
      <c r="L78" s="20" t="n">
        <v>0</v>
      </c>
      <c r="M78" s="18" t="n">
        <v>0</v>
      </c>
      <c r="N78" s="20" t="n">
        <v>0</v>
      </c>
      <c r="O78" s="18" t="n">
        <v>0</v>
      </c>
      <c r="P78" s="20" t="n">
        <v>0</v>
      </c>
      <c r="Q78" s="18" t="n">
        <v>1.76110158</v>
      </c>
      <c r="R78" s="20" t="n">
        <v>0.42131649</v>
      </c>
    </row>
    <row customHeight="1" ht="25" r="79" spans="1:18">
      <c r="A79" s="15" t="s">
        <v>639</v>
      </c>
      <c r="B79" s="17" t="n">
        <v>787</v>
      </c>
      <c r="C79" s="18">
        <f>(524.0/B79*100)</f>
        <v/>
      </c>
      <c r="D79" s="19" t="n">
        <v>263</v>
      </c>
      <c r="E79" s="18" t="n">
        <v>62.88246824</v>
      </c>
      <c r="F79" s="20" t="n">
        <v>4.06110335</v>
      </c>
      <c r="G79" s="18" t="n">
        <v>12.23466326</v>
      </c>
      <c r="H79" s="20" t="n">
        <v>2.99835392</v>
      </c>
      <c r="I79" s="18" t="s">
        <v>567</v>
      </c>
      <c r="J79" s="20" t="s">
        <v>567</v>
      </c>
      <c r="K79" s="18" t="n">
        <v>3.6124722</v>
      </c>
      <c r="L79" s="20" t="n">
        <v>1.14309962</v>
      </c>
      <c r="M79" s="18" t="n">
        <v>0</v>
      </c>
      <c r="N79" s="20" t="n">
        <v>0</v>
      </c>
      <c r="O79" s="18" t="n">
        <v>0</v>
      </c>
      <c r="P79" s="20" t="n">
        <v>0</v>
      </c>
      <c r="Q79" s="18" t="n">
        <v>21.2703963</v>
      </c>
      <c r="R79" s="20" t="n">
        <v>3.34779035</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(1641.0/B44*100)</f>
        <v/>
      </c>
      <c r="D44" s="19" t="n">
        <v>883</v>
      </c>
      <c r="E44" s="18" t="n">
        <v>52.55143075</v>
      </c>
      <c r="F44" s="20" t="n">
        <v>1.93489464</v>
      </c>
      <c r="G44" s="18" t="n">
        <v>43.34726819</v>
      </c>
      <c r="H44" s="20" t="n">
        <v>1.85581868</v>
      </c>
      <c r="I44" s="18" t="s">
        <v>567</v>
      </c>
      <c r="J44" s="20" t="s">
        <v>567</v>
      </c>
      <c r="K44" s="18" t="n">
        <v>1.475027</v>
      </c>
      <c r="L44" s="20" t="n">
        <v>0.44729521</v>
      </c>
      <c r="M44" s="18" t="n">
        <v>0</v>
      </c>
      <c r="N44" s="20" t="n">
        <v>0</v>
      </c>
      <c r="O44" s="18" t="n">
        <v>0</v>
      </c>
      <c r="P44" s="20" t="n">
        <v>0</v>
      </c>
      <c r="Q44" s="18" t="n">
        <v>2.62627406</v>
      </c>
      <c r="R44" s="20" t="n">
        <v>0.5940729300000001</v>
      </c>
    </row>
    <row r="45" spans="1:18">
      <c r="A45" s="15" t="s">
        <v>605</v>
      </c>
      <c r="B45" s="17" t="n">
        <v>2849</v>
      </c>
      <c r="C45" s="18">
        <f>(1905.0/B45*100)</f>
        <v/>
      </c>
      <c r="D45" s="19" t="n">
        <v>944</v>
      </c>
      <c r="E45" s="18" t="n">
        <v>66.11215006</v>
      </c>
      <c r="F45" s="20" t="n">
        <v>1.47592241</v>
      </c>
      <c r="G45" s="18" t="n">
        <v>27.97328373</v>
      </c>
      <c r="H45" s="20" t="n">
        <v>1.42024773</v>
      </c>
      <c r="I45" s="18" t="s">
        <v>567</v>
      </c>
      <c r="J45" s="20" t="s">
        <v>567</v>
      </c>
      <c r="K45" s="18" t="n">
        <v>4.40618351</v>
      </c>
      <c r="L45" s="20" t="n">
        <v>0.7470745</v>
      </c>
      <c r="M45" s="18" t="n">
        <v>0.08683425</v>
      </c>
      <c r="N45" s="20" t="n">
        <v>0.08821443</v>
      </c>
      <c r="O45" s="18" t="n">
        <v>0</v>
      </c>
      <c r="P45" s="20" t="n">
        <v>0</v>
      </c>
      <c r="Q45" s="18" t="n">
        <v>1.42154844</v>
      </c>
      <c r="R45" s="20" t="n">
        <v>0.34376133</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(1999.0/B49*100)</f>
        <v/>
      </c>
      <c r="D49" s="19" t="n">
        <v>1019</v>
      </c>
      <c r="E49" s="18" t="n">
        <v>60.63515903</v>
      </c>
      <c r="F49" s="20" t="n">
        <v>1.78613434</v>
      </c>
      <c r="G49" s="18" t="n">
        <v>36.83937805</v>
      </c>
      <c r="H49" s="20" t="n">
        <v>1.85108291</v>
      </c>
      <c r="I49" s="18" t="s">
        <v>567</v>
      </c>
      <c r="J49" s="20" t="s">
        <v>567</v>
      </c>
      <c r="K49" s="18" t="n">
        <v>1.65982621</v>
      </c>
      <c r="L49" s="20" t="n">
        <v>0.46498202</v>
      </c>
      <c r="M49" s="18" t="n">
        <v>0</v>
      </c>
      <c r="N49" s="20" t="n">
        <v>0</v>
      </c>
      <c r="O49" s="18" t="n">
        <v>0</v>
      </c>
      <c r="P49" s="20" t="n">
        <v>0</v>
      </c>
      <c r="Q49" s="18" t="n">
        <v>0.8656367</v>
      </c>
      <c r="R49" s="20" t="n">
        <v>0.24929298</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(1852.0/B55*100)</f>
        <v/>
      </c>
      <c r="D55" s="19" t="n">
        <v>907</v>
      </c>
      <c r="E55" s="18" t="n">
        <v>70.96512573</v>
      </c>
      <c r="F55" s="20" t="n">
        <v>1.50353608</v>
      </c>
      <c r="G55" s="18" t="n">
        <v>26.30652258</v>
      </c>
      <c r="H55" s="20" t="n">
        <v>1.47876946</v>
      </c>
      <c r="I55" s="18" t="s">
        <v>567</v>
      </c>
      <c r="J55" s="20" t="s">
        <v>567</v>
      </c>
      <c r="K55" s="18" t="n">
        <v>1.1114083</v>
      </c>
      <c r="L55" s="20" t="n">
        <v>0.37401979</v>
      </c>
      <c r="M55" s="18" t="n">
        <v>0</v>
      </c>
      <c r="N55" s="20" t="n">
        <v>0</v>
      </c>
      <c r="O55" s="18" t="n">
        <v>0</v>
      </c>
      <c r="P55" s="20" t="n">
        <v>0</v>
      </c>
      <c r="Q55" s="18" t="n">
        <v>1.61694339</v>
      </c>
      <c r="R55" s="20" t="n">
        <v>0.32825941</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56.69365763</v>
      </c>
      <c r="F57" s="20" t="n">
        <v>1.79957424</v>
      </c>
      <c r="G57" s="18" t="n">
        <v>40.36102797</v>
      </c>
      <c r="H57" s="20" t="n">
        <v>1.72268852</v>
      </c>
      <c r="I57" s="18" t="s">
        <v>567</v>
      </c>
      <c r="J57" s="20" t="s">
        <v>567</v>
      </c>
      <c r="K57" s="18" t="n">
        <v>1.88540309</v>
      </c>
      <c r="L57" s="20" t="n">
        <v>0.51196294</v>
      </c>
      <c r="M57" s="18" t="n">
        <v>0.17463409</v>
      </c>
      <c r="N57" s="20" t="n">
        <v>0.1744878</v>
      </c>
      <c r="O57" s="18" t="n">
        <v>0</v>
      </c>
      <c r="P57" s="20" t="n">
        <v>0</v>
      </c>
      <c r="Q57" s="18" t="n">
        <v>0.88527721</v>
      </c>
      <c r="R57" s="20" t="n">
        <v>0.30984299</v>
      </c>
    </row>
    <row r="58" spans="1:18">
      <c r="A58" s="15" t="s">
        <v>618</v>
      </c>
      <c r="B58" s="17" t="n">
        <v>3530</v>
      </c>
      <c r="C58" s="18">
        <f>(2348.0/B58*100)</f>
        <v/>
      </c>
      <c r="D58" s="19" t="n">
        <v>1182</v>
      </c>
      <c r="E58" s="18" t="n">
        <v>67.87017496</v>
      </c>
      <c r="F58" s="20" t="n">
        <v>1.69774835</v>
      </c>
      <c r="G58" s="18" t="n">
        <v>28.47829991</v>
      </c>
      <c r="H58" s="20" t="n">
        <v>1.72187395</v>
      </c>
      <c r="I58" s="18" t="s">
        <v>567</v>
      </c>
      <c r="J58" s="20" t="s">
        <v>567</v>
      </c>
      <c r="K58" s="18" t="n">
        <v>1.76177759</v>
      </c>
      <c r="L58" s="20" t="n">
        <v>0.41621816</v>
      </c>
      <c r="M58" s="18" t="n">
        <v>0</v>
      </c>
      <c r="N58" s="20" t="n">
        <v>0</v>
      </c>
      <c r="O58" s="18" t="n">
        <v>0</v>
      </c>
      <c r="P58" s="20" t="n">
        <v>0</v>
      </c>
      <c r="Q58" s="18" t="n">
        <v>1.88974754</v>
      </c>
      <c r="R58" s="20" t="n">
        <v>0.49265325</v>
      </c>
    </row>
    <row r="59" spans="1:18">
      <c r="A59" s="15" t="s">
        <v>619</v>
      </c>
      <c r="B59" s="17" t="n">
        <v>2548</v>
      </c>
      <c r="C59" s="18">
        <f>(1667.0/B59*100)</f>
        <v/>
      </c>
      <c r="D59" s="19" t="n">
        <v>881</v>
      </c>
      <c r="E59" s="18" t="n">
        <v>63.65126449</v>
      </c>
      <c r="F59" s="20" t="n">
        <v>1.97696909</v>
      </c>
      <c r="G59" s="18" t="n">
        <v>34.46133788</v>
      </c>
      <c r="H59" s="20" t="n">
        <v>1.91648016</v>
      </c>
      <c r="I59" s="18" t="s">
        <v>567</v>
      </c>
      <c r="J59" s="20" t="s">
        <v>567</v>
      </c>
      <c r="K59" s="18" t="n">
        <v>0.04712543</v>
      </c>
      <c r="L59" s="20" t="n">
        <v>0.04723796</v>
      </c>
      <c r="M59" s="18" t="n">
        <v>0</v>
      </c>
      <c r="N59" s="20" t="n">
        <v>0</v>
      </c>
      <c r="O59" s="18" t="n">
        <v>0.15198158</v>
      </c>
      <c r="P59" s="20" t="n">
        <v>0.15328246</v>
      </c>
      <c r="Q59" s="18" t="n">
        <v>1.68829062</v>
      </c>
      <c r="R59" s="20" t="n">
        <v>0.3710621</v>
      </c>
    </row>
    <row r="60" spans="1:18">
      <c r="A60" s="15" t="s">
        <v>620</v>
      </c>
      <c r="B60" s="17" t="n">
        <v>2095</v>
      </c>
      <c r="C60" s="18">
        <f>(1400.0/B60*100)</f>
        <v/>
      </c>
      <c r="D60" s="19" t="n">
        <v>695</v>
      </c>
      <c r="E60" s="18" t="n">
        <v>63.32755742</v>
      </c>
      <c r="F60" s="20" t="n">
        <v>1.89897036</v>
      </c>
      <c r="G60" s="18" t="n">
        <v>29.22350302</v>
      </c>
      <c r="H60" s="20" t="n">
        <v>1.8256841</v>
      </c>
      <c r="I60" s="18" t="s">
        <v>567</v>
      </c>
      <c r="J60" s="20" t="s">
        <v>567</v>
      </c>
      <c r="K60" s="18" t="n">
        <v>3.89126455</v>
      </c>
      <c r="L60" s="20" t="n">
        <v>0.77314307</v>
      </c>
      <c r="M60" s="18" t="n">
        <v>0</v>
      </c>
      <c r="N60" s="20" t="n">
        <v>0</v>
      </c>
      <c r="O60" s="18" t="n">
        <v>0.17871842</v>
      </c>
      <c r="P60" s="20" t="n">
        <v>0.17877931</v>
      </c>
      <c r="Q60" s="18" t="n">
        <v>3.3789566</v>
      </c>
      <c r="R60" s="20" t="n">
        <v>0.81348508</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(1882.0/B63*100)</f>
        <v/>
      </c>
      <c r="D63" s="19" t="n">
        <v>931</v>
      </c>
      <c r="E63" s="18" t="n">
        <v>60.96376407</v>
      </c>
      <c r="F63" s="20" t="n">
        <v>1.70986238</v>
      </c>
      <c r="G63" s="18" t="n">
        <v>33.54724422</v>
      </c>
      <c r="H63" s="20" t="n">
        <v>1.67447326</v>
      </c>
      <c r="I63" s="18" t="s">
        <v>567</v>
      </c>
      <c r="J63" s="20" t="s">
        <v>567</v>
      </c>
      <c r="K63" s="18" t="n">
        <v>1.82129318</v>
      </c>
      <c r="L63" s="20" t="n">
        <v>0.45502817</v>
      </c>
      <c r="M63" s="18" t="n">
        <v>0</v>
      </c>
      <c r="N63" s="20" t="n">
        <v>0</v>
      </c>
      <c r="O63" s="18" t="n">
        <v>0</v>
      </c>
      <c r="P63" s="20" t="n">
        <v>0</v>
      </c>
      <c r="Q63" s="18" t="n">
        <v>3.66769853</v>
      </c>
      <c r="R63" s="20" t="n">
        <v>0.68750418</v>
      </c>
    </row>
    <row r="64" spans="1:18">
      <c r="A64" s="15" t="s">
        <v>624</v>
      </c>
      <c r="B64" s="17" t="n">
        <v>1844</v>
      </c>
      <c r="C64" s="18">
        <f>(1218.0/B64*100)</f>
        <v/>
      </c>
      <c r="D64" s="19" t="n">
        <v>626</v>
      </c>
      <c r="E64" s="18" t="n">
        <v>51.83337129</v>
      </c>
      <c r="F64" s="20" t="n">
        <v>1.80375144</v>
      </c>
      <c r="G64" s="18" t="n">
        <v>43.48310216</v>
      </c>
      <c r="H64" s="20" t="n">
        <v>1.82396295</v>
      </c>
      <c r="I64" s="18" t="s">
        <v>567</v>
      </c>
      <c r="J64" s="20" t="s">
        <v>567</v>
      </c>
      <c r="K64" s="18" t="n">
        <v>3.20013165</v>
      </c>
      <c r="L64" s="20" t="n">
        <v>0.68426616</v>
      </c>
      <c r="M64" s="18" t="n">
        <v>0</v>
      </c>
      <c r="N64" s="20" t="n">
        <v>0</v>
      </c>
      <c r="O64" s="18" t="n">
        <v>0</v>
      </c>
      <c r="P64" s="20" t="n">
        <v>0</v>
      </c>
      <c r="Q64" s="18" t="n">
        <v>1.4833949</v>
      </c>
      <c r="R64" s="20" t="n">
        <v>0.48636657</v>
      </c>
    </row>
    <row r="65" spans="1:18">
      <c r="A65" s="15" t="s">
        <v>625</v>
      </c>
      <c r="B65" s="17" t="n">
        <v>2691</v>
      </c>
      <c r="C65" s="18">
        <f>(1757.0/B65*100)</f>
        <v/>
      </c>
      <c r="D65" s="19" t="n">
        <v>934</v>
      </c>
      <c r="E65" s="18" t="n">
        <v>49.70856546</v>
      </c>
      <c r="F65" s="20" t="n">
        <v>1.82258859</v>
      </c>
      <c r="G65" s="18" t="n">
        <v>44.87224987</v>
      </c>
      <c r="H65" s="20" t="n">
        <v>1.68033041</v>
      </c>
      <c r="I65" s="18" t="s">
        <v>567</v>
      </c>
      <c r="J65" s="20" t="s">
        <v>567</v>
      </c>
      <c r="K65" s="18" t="n">
        <v>3.79705744</v>
      </c>
      <c r="L65" s="20" t="n">
        <v>0.6572586500000001</v>
      </c>
      <c r="M65" s="18" t="n">
        <v>0</v>
      </c>
      <c r="N65" s="20" t="n">
        <v>0</v>
      </c>
      <c r="O65" s="18" t="n">
        <v>0</v>
      </c>
      <c r="P65" s="20" t="n">
        <v>0</v>
      </c>
      <c r="Q65" s="18" t="n">
        <v>1.62212723</v>
      </c>
      <c r="R65" s="20" t="n">
        <v>0.42910906</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(1635.0/B69*100)</f>
        <v/>
      </c>
      <c r="D69" s="19" t="n">
        <v>775</v>
      </c>
      <c r="E69" s="18" t="n">
        <v>64.2471084</v>
      </c>
      <c r="F69" s="20" t="n">
        <v>1.84385448</v>
      </c>
      <c r="G69" s="18" t="n">
        <v>35.65099776</v>
      </c>
      <c r="H69" s="20" t="n">
        <v>1.85319764</v>
      </c>
      <c r="I69" s="18" t="s">
        <v>567</v>
      </c>
      <c r="J69" s="20" t="s">
        <v>567</v>
      </c>
      <c r="K69" s="18" t="n">
        <v>0</v>
      </c>
      <c r="L69" s="20" t="n">
        <v>0</v>
      </c>
      <c r="M69" s="18" t="n">
        <v>0</v>
      </c>
      <c r="N69" s="20" t="n">
        <v>0</v>
      </c>
      <c r="O69" s="18" t="n">
        <v>0</v>
      </c>
      <c r="P69" s="20" t="n">
        <v>0</v>
      </c>
      <c r="Q69" s="18" t="n">
        <v>0.10189383</v>
      </c>
      <c r="R69" s="20" t="n">
        <v>0.10090249</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(1488.0/B74*100)</f>
        <v/>
      </c>
      <c r="D74" s="19" t="n">
        <v>751</v>
      </c>
      <c r="E74" s="18" t="n">
        <v>47.92227833</v>
      </c>
      <c r="F74" s="20" t="n">
        <v>2.04456853</v>
      </c>
      <c r="G74" s="18" t="n">
        <v>44.77959359</v>
      </c>
      <c r="H74" s="20" t="n">
        <v>2.20636761</v>
      </c>
      <c r="I74" s="18" t="s">
        <v>567</v>
      </c>
      <c r="J74" s="20" t="s">
        <v>567</v>
      </c>
      <c r="K74" s="18" t="n">
        <v>3.58721398</v>
      </c>
      <c r="L74" s="20" t="n">
        <v>0.8154661</v>
      </c>
      <c r="M74" s="18" t="n">
        <v>0</v>
      </c>
      <c r="N74" s="20" t="n">
        <v>0</v>
      </c>
      <c r="O74" s="18" t="n">
        <v>0</v>
      </c>
      <c r="P74" s="20" t="n">
        <v>0</v>
      </c>
      <c r="Q74" s="18" t="n">
        <v>3.7109141</v>
      </c>
      <c r="R74" s="20" t="n">
        <v>0.73415947</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(1885.0/B78*100)</f>
        <v/>
      </c>
      <c r="D78" s="19" t="n">
        <v>901</v>
      </c>
      <c r="E78" s="18" t="n">
        <v>9.255037769999999</v>
      </c>
      <c r="F78" s="20" t="n">
        <v>0.99477783</v>
      </c>
      <c r="G78" s="18" t="n">
        <v>90.74496223</v>
      </c>
      <c r="H78" s="20" t="n">
        <v>0.99477783</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(524.0/B79*100)</f>
        <v/>
      </c>
      <c r="D79" s="19" t="n">
        <v>263</v>
      </c>
      <c r="E79" s="18" t="n">
        <v>54.45557788</v>
      </c>
      <c r="F79" s="20" t="n">
        <v>3.99384621</v>
      </c>
      <c r="G79" s="18" t="n">
        <v>40.3922358</v>
      </c>
      <c r="H79" s="20" t="n">
        <v>4.09864875</v>
      </c>
      <c r="I79" s="18" t="s">
        <v>567</v>
      </c>
      <c r="J79" s="20" t="s">
        <v>567</v>
      </c>
      <c r="K79" s="18" t="n">
        <v>3.6124722</v>
      </c>
      <c r="L79" s="20" t="n">
        <v>1.14309962</v>
      </c>
      <c r="M79" s="18" t="n">
        <v>0</v>
      </c>
      <c r="N79" s="20" t="n">
        <v>0</v>
      </c>
      <c r="O79" s="18" t="n">
        <v>0</v>
      </c>
      <c r="P79" s="20" t="n">
        <v>0</v>
      </c>
      <c r="Q79" s="18" t="n">
        <v>1.53971412</v>
      </c>
      <c r="R79" s="20" t="n">
        <v>0.7123208</v>
      </c>
    </row>
    <row r="80" spans="1:18">
      <c r="A80" s="15" t="s">
        <v>640</v>
      </c>
      <c r="B80" s="17" t="n">
        <v>3798</v>
      </c>
      <c r="C80" s="18">
        <f>(2533.0/B80*100)</f>
        <v/>
      </c>
      <c r="D80" s="19" t="n">
        <v>1265</v>
      </c>
      <c r="E80" s="18" t="n">
        <v>57.89716414</v>
      </c>
      <c r="F80" s="20" t="n">
        <v>2.11458012</v>
      </c>
      <c r="G80" s="18" t="n">
        <v>42.10283586</v>
      </c>
      <c r="H80" s="20" t="n">
        <v>2.11458012</v>
      </c>
      <c r="I80" s="18" t="s">
        <v>567</v>
      </c>
      <c r="J80" s="20" t="s">
        <v>567</v>
      </c>
      <c r="K80" s="18" t="n">
        <v>0</v>
      </c>
      <c r="L80" s="20" t="n">
        <v>0</v>
      </c>
      <c r="M80" s="18" t="n">
        <v>0</v>
      </c>
      <c r="N80" s="20" t="n">
        <v>0</v>
      </c>
      <c r="O80" s="18" t="n">
        <v>0</v>
      </c>
      <c r="P80" s="20" t="n">
        <v>0</v>
      </c>
      <c r="Q80" s="18" t="n">
        <v>0</v>
      </c>
      <c r="R80" s="20" t="n">
        <v>0</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(1641.0/B44*100)</f>
        <v/>
      </c>
      <c r="D44" s="19" t="n">
        <v>883</v>
      </c>
      <c r="E44" s="18" t="n">
        <v>65.48579968</v>
      </c>
      <c r="F44" s="20" t="n">
        <v>1.90804146</v>
      </c>
      <c r="G44" s="18" t="n">
        <v>17.9509792</v>
      </c>
      <c r="H44" s="20" t="n">
        <v>1.53303022</v>
      </c>
      <c r="I44" s="18" t="s">
        <v>567</v>
      </c>
      <c r="J44" s="20" t="s">
        <v>567</v>
      </c>
      <c r="K44" s="18" t="n">
        <v>2.20542571</v>
      </c>
      <c r="L44" s="20" t="n">
        <v>0.58300789</v>
      </c>
      <c r="M44" s="18" t="n">
        <v>0</v>
      </c>
      <c r="N44" s="20" t="n">
        <v>0</v>
      </c>
      <c r="O44" s="18" t="n">
        <v>5.67305192</v>
      </c>
      <c r="P44" s="20" t="n">
        <v>1.0337358</v>
      </c>
      <c r="Q44" s="18" t="n">
        <v>8.684743490000001</v>
      </c>
      <c r="R44" s="20" t="n">
        <v>0.96362531</v>
      </c>
    </row>
    <row r="45" spans="1:18">
      <c r="A45" s="15" t="s">
        <v>605</v>
      </c>
      <c r="B45" s="17" t="n">
        <v>2849</v>
      </c>
      <c r="C45" s="18">
        <f>(1905.0/B45*100)</f>
        <v/>
      </c>
      <c r="D45" s="19" t="n">
        <v>944</v>
      </c>
      <c r="E45" s="18" t="n">
        <v>54.66935647</v>
      </c>
      <c r="F45" s="20" t="n">
        <v>1.80646399</v>
      </c>
      <c r="G45" s="18" t="n">
        <v>26.84137212</v>
      </c>
      <c r="H45" s="20" t="n">
        <v>1.72654658</v>
      </c>
      <c r="I45" s="18" t="s">
        <v>567</v>
      </c>
      <c r="J45" s="20" t="s">
        <v>567</v>
      </c>
      <c r="K45" s="18" t="n">
        <v>4.63381567</v>
      </c>
      <c r="L45" s="20" t="n">
        <v>0.74048534</v>
      </c>
      <c r="M45" s="18" t="n">
        <v>0.40556428</v>
      </c>
      <c r="N45" s="20" t="n">
        <v>0.20922824</v>
      </c>
      <c r="O45" s="18" t="n">
        <v>7.56408235</v>
      </c>
      <c r="P45" s="20" t="n">
        <v>1.12406185</v>
      </c>
      <c r="Q45" s="18" t="n">
        <v>5.8858091</v>
      </c>
      <c r="R45" s="20" t="n">
        <v>0.86241686</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(1999.0/B49*100)</f>
        <v/>
      </c>
      <c r="D49" s="19" t="n">
        <v>1019</v>
      </c>
      <c r="E49" s="18" t="n">
        <v>62.93691048</v>
      </c>
      <c r="F49" s="20" t="n">
        <v>1.78934644</v>
      </c>
      <c r="G49" s="18" t="n">
        <v>31.55201188</v>
      </c>
      <c r="H49" s="20" t="n">
        <v>1.75507095</v>
      </c>
      <c r="I49" s="18" t="s">
        <v>567</v>
      </c>
      <c r="J49" s="20" t="s">
        <v>567</v>
      </c>
      <c r="K49" s="18" t="n">
        <v>1.79135887</v>
      </c>
      <c r="L49" s="20" t="n">
        <v>0.47731236</v>
      </c>
      <c r="M49" s="18" t="n">
        <v>0</v>
      </c>
      <c r="N49" s="20" t="n">
        <v>0</v>
      </c>
      <c r="O49" s="18" t="n">
        <v>1.0251465</v>
      </c>
      <c r="P49" s="20" t="n">
        <v>0.36127903</v>
      </c>
      <c r="Q49" s="18" t="n">
        <v>2.69457227</v>
      </c>
      <c r="R49" s="20" t="n">
        <v>0.57498508</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(1852.0/B55*100)</f>
        <v/>
      </c>
      <c r="D55" s="19" t="n">
        <v>907</v>
      </c>
      <c r="E55" s="18" t="n">
        <v>65.74749202</v>
      </c>
      <c r="F55" s="20" t="n">
        <v>1.88569899</v>
      </c>
      <c r="G55" s="18" t="n">
        <v>23.17667411</v>
      </c>
      <c r="H55" s="20" t="n">
        <v>1.65894547</v>
      </c>
      <c r="I55" s="18" t="s">
        <v>567</v>
      </c>
      <c r="J55" s="20" t="s">
        <v>567</v>
      </c>
      <c r="K55" s="18" t="n">
        <v>1.31506099</v>
      </c>
      <c r="L55" s="20" t="n">
        <v>0.40079664</v>
      </c>
      <c r="M55" s="18" t="n">
        <v>0</v>
      </c>
      <c r="N55" s="20" t="n">
        <v>0</v>
      </c>
      <c r="O55" s="18" t="n">
        <v>1.95242029</v>
      </c>
      <c r="P55" s="20" t="n">
        <v>0.52381792</v>
      </c>
      <c r="Q55" s="18" t="n">
        <v>7.80835259</v>
      </c>
      <c r="R55" s="20" t="n">
        <v>0.9198708</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81.39591617000001</v>
      </c>
      <c r="F57" s="20" t="n">
        <v>1.34156632</v>
      </c>
      <c r="G57" s="18" t="n">
        <v>15.38153642</v>
      </c>
      <c r="H57" s="20" t="n">
        <v>1.13947304</v>
      </c>
      <c r="I57" s="18" t="s">
        <v>567</v>
      </c>
      <c r="J57" s="20" t="s">
        <v>567</v>
      </c>
      <c r="K57" s="18" t="n">
        <v>2.1880113</v>
      </c>
      <c r="L57" s="20" t="n">
        <v>0.54304782</v>
      </c>
      <c r="M57" s="18" t="n">
        <v>0</v>
      </c>
      <c r="N57" s="20" t="n">
        <v>0</v>
      </c>
      <c r="O57" s="18" t="n">
        <v>0.1129299</v>
      </c>
      <c r="P57" s="20" t="n">
        <v>0.11328141</v>
      </c>
      <c r="Q57" s="18" t="n">
        <v>0.92160621</v>
      </c>
      <c r="R57" s="20" t="n">
        <v>0.26487208</v>
      </c>
    </row>
    <row r="58" spans="1:18">
      <c r="A58" s="15" t="s">
        <v>618</v>
      </c>
      <c r="B58" s="17" t="n">
        <v>3530</v>
      </c>
      <c r="C58" s="18">
        <f>(2348.0/B58*100)</f>
        <v/>
      </c>
      <c r="D58" s="19" t="n">
        <v>1182</v>
      </c>
      <c r="E58" s="18" t="n">
        <v>59.77905161</v>
      </c>
      <c r="F58" s="20" t="n">
        <v>2.01348917</v>
      </c>
      <c r="G58" s="18" t="n">
        <v>24.78808118</v>
      </c>
      <c r="H58" s="20" t="n">
        <v>1.67886089</v>
      </c>
      <c r="I58" s="18" t="s">
        <v>567</v>
      </c>
      <c r="J58" s="20" t="s">
        <v>567</v>
      </c>
      <c r="K58" s="18" t="n">
        <v>2.03542307</v>
      </c>
      <c r="L58" s="20" t="n">
        <v>0.46296269</v>
      </c>
      <c r="M58" s="18" t="n">
        <v>0</v>
      </c>
      <c r="N58" s="20" t="n">
        <v>0</v>
      </c>
      <c r="O58" s="18" t="n">
        <v>3.3311302</v>
      </c>
      <c r="P58" s="20" t="n">
        <v>0.57405024</v>
      </c>
      <c r="Q58" s="18" t="n">
        <v>10.06631395</v>
      </c>
      <c r="R58" s="20" t="n">
        <v>1.35807232</v>
      </c>
    </row>
    <row r="59" spans="1:18">
      <c r="A59" s="15" t="s">
        <v>619</v>
      </c>
      <c r="B59" s="17" t="n">
        <v>2548</v>
      </c>
      <c r="C59" s="18">
        <f>(1667.0/B59*100)</f>
        <v/>
      </c>
      <c r="D59" s="19" t="n">
        <v>881</v>
      </c>
      <c r="E59" s="18" t="n">
        <v>74.79955252000001</v>
      </c>
      <c r="F59" s="20" t="n">
        <v>1.85885661</v>
      </c>
      <c r="G59" s="18" t="n">
        <v>14.83801381</v>
      </c>
      <c r="H59" s="20" t="n">
        <v>1.60770496</v>
      </c>
      <c r="I59" s="18" t="s">
        <v>567</v>
      </c>
      <c r="J59" s="20" t="s">
        <v>567</v>
      </c>
      <c r="K59" s="18" t="n">
        <v>0.12512788</v>
      </c>
      <c r="L59" s="20" t="n">
        <v>0.07180227</v>
      </c>
      <c r="M59" s="18" t="n">
        <v>0</v>
      </c>
      <c r="N59" s="20" t="n">
        <v>0</v>
      </c>
      <c r="O59" s="18" t="n">
        <v>5.83370153</v>
      </c>
      <c r="P59" s="20" t="n">
        <v>0.95125884</v>
      </c>
      <c r="Q59" s="18" t="n">
        <v>4.40360426</v>
      </c>
      <c r="R59" s="20" t="n">
        <v>0.82086182</v>
      </c>
    </row>
    <row r="60" spans="1:18">
      <c r="A60" s="15" t="s">
        <v>620</v>
      </c>
      <c r="B60" s="17" t="n">
        <v>2095</v>
      </c>
      <c r="C60" s="18">
        <f>(1400.0/B60*100)</f>
        <v/>
      </c>
      <c r="D60" s="19" t="n">
        <v>695</v>
      </c>
      <c r="E60" s="18" t="n">
        <v>58.33492147</v>
      </c>
      <c r="F60" s="20" t="n">
        <v>2.22181991</v>
      </c>
      <c r="G60" s="18" t="n">
        <v>20.03168828</v>
      </c>
      <c r="H60" s="20" t="n">
        <v>1.55433555</v>
      </c>
      <c r="I60" s="18" t="s">
        <v>567</v>
      </c>
      <c r="J60" s="20" t="s">
        <v>567</v>
      </c>
      <c r="K60" s="18" t="n">
        <v>4.09880509</v>
      </c>
      <c r="L60" s="20" t="n">
        <v>0.7854259099999999</v>
      </c>
      <c r="M60" s="18" t="n">
        <v>0</v>
      </c>
      <c r="N60" s="20" t="n">
        <v>0</v>
      </c>
      <c r="O60" s="18" t="n">
        <v>4.22184379</v>
      </c>
      <c r="P60" s="20" t="n">
        <v>1.06861775</v>
      </c>
      <c r="Q60" s="18" t="n">
        <v>13.31274138</v>
      </c>
      <c r="R60" s="20" t="n">
        <v>1.9993114</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(1882.0/B63*100)</f>
        <v/>
      </c>
      <c r="D63" s="19" t="n">
        <v>931</v>
      </c>
      <c r="E63" s="18" t="n">
        <v>67.74920049000001</v>
      </c>
      <c r="F63" s="20" t="n">
        <v>1.61000916</v>
      </c>
      <c r="G63" s="18" t="n">
        <v>15.50627786</v>
      </c>
      <c r="H63" s="20" t="n">
        <v>1.43652294</v>
      </c>
      <c r="I63" s="18" t="s">
        <v>567</v>
      </c>
      <c r="J63" s="20" t="s">
        <v>567</v>
      </c>
      <c r="K63" s="18" t="n">
        <v>2.1874704</v>
      </c>
      <c r="L63" s="20" t="n">
        <v>0.52324718</v>
      </c>
      <c r="M63" s="18" t="n">
        <v>0</v>
      </c>
      <c r="N63" s="20" t="n">
        <v>0</v>
      </c>
      <c r="O63" s="18" t="n">
        <v>1.72477</v>
      </c>
      <c r="P63" s="20" t="n">
        <v>0.45308641</v>
      </c>
      <c r="Q63" s="18" t="n">
        <v>12.83228124</v>
      </c>
      <c r="R63" s="20" t="n">
        <v>1.04312684</v>
      </c>
    </row>
    <row r="64" spans="1:18">
      <c r="A64" s="15" t="s">
        <v>624</v>
      </c>
      <c r="B64" s="17" t="n">
        <v>1844</v>
      </c>
      <c r="C64" s="18">
        <f>(1218.0/B64*100)</f>
        <v/>
      </c>
      <c r="D64" s="19" t="n">
        <v>626</v>
      </c>
      <c r="E64" s="18" t="n">
        <v>58.24959502</v>
      </c>
      <c r="F64" s="20" t="n">
        <v>1.84939502</v>
      </c>
      <c r="G64" s="18" t="n">
        <v>30.55780582</v>
      </c>
      <c r="H64" s="20" t="n">
        <v>1.74796904</v>
      </c>
      <c r="I64" s="18" t="s">
        <v>567</v>
      </c>
      <c r="J64" s="20" t="s">
        <v>567</v>
      </c>
      <c r="K64" s="18" t="n">
        <v>3.50663297</v>
      </c>
      <c r="L64" s="20" t="n">
        <v>0.6897715800000001</v>
      </c>
      <c r="M64" s="18" t="n">
        <v>0</v>
      </c>
      <c r="N64" s="20" t="n">
        <v>0</v>
      </c>
      <c r="O64" s="18" t="n">
        <v>0.96414813</v>
      </c>
      <c r="P64" s="20" t="n">
        <v>0.395412</v>
      </c>
      <c r="Q64" s="18" t="n">
        <v>6.72181806</v>
      </c>
      <c r="R64" s="20" t="n">
        <v>1.17092457</v>
      </c>
    </row>
    <row r="65" spans="1:18">
      <c r="A65" s="15" t="s">
        <v>625</v>
      </c>
      <c r="B65" s="17" t="n">
        <v>2691</v>
      </c>
      <c r="C65" s="18">
        <f>(1757.0/B65*100)</f>
        <v/>
      </c>
      <c r="D65" s="19" t="n">
        <v>934</v>
      </c>
      <c r="E65" s="18" t="n">
        <v>56.69747257</v>
      </c>
      <c r="F65" s="20" t="n">
        <v>1.65452924</v>
      </c>
      <c r="G65" s="18" t="n">
        <v>25.84974972</v>
      </c>
      <c r="H65" s="20" t="n">
        <v>1.48090299</v>
      </c>
      <c r="I65" s="18" t="s">
        <v>567</v>
      </c>
      <c r="J65" s="20" t="s">
        <v>567</v>
      </c>
      <c r="K65" s="18" t="n">
        <v>4.37948964</v>
      </c>
      <c r="L65" s="20" t="n">
        <v>0.68239457</v>
      </c>
      <c r="M65" s="18" t="n">
        <v>6.20495004</v>
      </c>
      <c r="N65" s="20" t="n">
        <v>0.76689315</v>
      </c>
      <c r="O65" s="18" t="n">
        <v>0</v>
      </c>
      <c r="P65" s="20" t="n">
        <v>0</v>
      </c>
      <c r="Q65" s="18" t="n">
        <v>6.86833802</v>
      </c>
      <c r="R65" s="20" t="n">
        <v>0.90484478</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(1635.0/B69*100)</f>
        <v/>
      </c>
      <c r="D69" s="19" t="n">
        <v>775</v>
      </c>
      <c r="E69" s="18" t="n">
        <v>77.33433162999999</v>
      </c>
      <c r="F69" s="20" t="n">
        <v>1.39381356</v>
      </c>
      <c r="G69" s="18" t="n">
        <v>22.43840874</v>
      </c>
      <c r="H69" s="20" t="n">
        <v>1.39111385</v>
      </c>
      <c r="I69" s="18" t="s">
        <v>567</v>
      </c>
      <c r="J69" s="20" t="s">
        <v>567</v>
      </c>
      <c r="K69" s="18" t="n">
        <v>0.12536579</v>
      </c>
      <c r="L69" s="20" t="n">
        <v>0.12515365</v>
      </c>
      <c r="M69" s="18" t="n">
        <v>0</v>
      </c>
      <c r="N69" s="20" t="n">
        <v>0</v>
      </c>
      <c r="O69" s="18" t="n">
        <v>0</v>
      </c>
      <c r="P69" s="20" t="n">
        <v>0</v>
      </c>
      <c r="Q69" s="18" t="n">
        <v>0.10189383</v>
      </c>
      <c r="R69" s="20" t="n">
        <v>0.10090249</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(1488.0/B74*100)</f>
        <v/>
      </c>
      <c r="D74" s="19" t="n">
        <v>751</v>
      </c>
      <c r="E74" s="18" t="n">
        <v>63.35522688</v>
      </c>
      <c r="F74" s="20" t="n">
        <v>1.90622224</v>
      </c>
      <c r="G74" s="18" t="n">
        <v>25.7097849</v>
      </c>
      <c r="H74" s="20" t="n">
        <v>1.76819662</v>
      </c>
      <c r="I74" s="18" t="s">
        <v>567</v>
      </c>
      <c r="J74" s="20" t="s">
        <v>567</v>
      </c>
      <c r="K74" s="18" t="n">
        <v>4.08187976</v>
      </c>
      <c r="L74" s="20" t="n">
        <v>0.8957053</v>
      </c>
      <c r="M74" s="18" t="n">
        <v>0</v>
      </c>
      <c r="N74" s="20" t="n">
        <v>0</v>
      </c>
      <c r="O74" s="18" t="n">
        <v>0.09003757</v>
      </c>
      <c r="P74" s="20" t="n">
        <v>0.08713986999999999</v>
      </c>
      <c r="Q74" s="18" t="n">
        <v>6.76307089</v>
      </c>
      <c r="R74" s="20" t="n">
        <v>1.029379</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(1885.0/B78*100)</f>
        <v/>
      </c>
      <c r="D78" s="19" t="n">
        <v>901</v>
      </c>
      <c r="E78" s="18" t="n">
        <v>16.16226941</v>
      </c>
      <c r="F78" s="20" t="n">
        <v>1.46075984</v>
      </c>
      <c r="G78" s="18" t="n">
        <v>83.83773059000001</v>
      </c>
      <c r="H78" s="20" t="n">
        <v>1.46075984</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(524.0/B79*100)</f>
        <v/>
      </c>
      <c r="D79" s="19" t="n">
        <v>263</v>
      </c>
      <c r="E79" s="18" t="n">
        <v>51.39206088</v>
      </c>
      <c r="F79" s="20" t="n">
        <v>3.11085287</v>
      </c>
      <c r="G79" s="18" t="n">
        <v>41.67051655</v>
      </c>
      <c r="H79" s="20" t="n">
        <v>3.29413073</v>
      </c>
      <c r="I79" s="18" t="s">
        <v>567</v>
      </c>
      <c r="J79" s="20" t="s">
        <v>567</v>
      </c>
      <c r="K79" s="18" t="n">
        <v>3.787694</v>
      </c>
      <c r="L79" s="20" t="n">
        <v>1.09852925</v>
      </c>
      <c r="M79" s="18" t="n">
        <v>0</v>
      </c>
      <c r="N79" s="20" t="n">
        <v>0</v>
      </c>
      <c r="O79" s="18" t="n">
        <v>0.82697985</v>
      </c>
      <c r="P79" s="20" t="n">
        <v>0.56627631</v>
      </c>
      <c r="Q79" s="18" t="n">
        <v>2.32274872</v>
      </c>
      <c r="R79" s="20" t="n">
        <v>0.90119823</v>
      </c>
    </row>
    <row r="80" spans="1:18">
      <c r="A80" s="15" t="s">
        <v>640</v>
      </c>
      <c r="B80" s="17" t="n">
        <v>3798</v>
      </c>
      <c r="C80" s="18">
        <f>(2533.0/B80*100)</f>
        <v/>
      </c>
      <c r="D80" s="19" t="n">
        <v>1265</v>
      </c>
      <c r="E80" s="18" t="n">
        <v>58.45088264</v>
      </c>
      <c r="F80" s="20" t="n">
        <v>1.9172349</v>
      </c>
      <c r="G80" s="18" t="n">
        <v>41.32566333</v>
      </c>
      <c r="H80" s="20" t="n">
        <v>1.92086644</v>
      </c>
      <c r="I80" s="18" t="s">
        <v>567</v>
      </c>
      <c r="J80" s="20" t="s">
        <v>567</v>
      </c>
      <c r="K80" s="18" t="n">
        <v>0</v>
      </c>
      <c r="L80" s="20" t="n">
        <v>0</v>
      </c>
      <c r="M80" s="18" t="n">
        <v>0</v>
      </c>
      <c r="N80" s="20" t="n">
        <v>0</v>
      </c>
      <c r="O80" s="18" t="n">
        <v>0</v>
      </c>
      <c r="P80" s="20" t="n">
        <v>0</v>
      </c>
      <c r="Q80" s="18" t="n">
        <v>0.22345403</v>
      </c>
      <c r="R80" s="20" t="n">
        <v>0.08097666000000001</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(1641.0/B44*100)</f>
        <v/>
      </c>
      <c r="D44" s="19" t="n">
        <v>883</v>
      </c>
      <c r="E44" s="18" t="n">
        <v>35.47959053</v>
      </c>
      <c r="F44" s="20" t="n">
        <v>1.80722972</v>
      </c>
      <c r="G44" s="18" t="n">
        <v>56.56589132</v>
      </c>
      <c r="H44" s="20" t="n">
        <v>1.78389279</v>
      </c>
      <c r="I44" s="18" t="s">
        <v>567</v>
      </c>
      <c r="J44" s="20" t="s">
        <v>567</v>
      </c>
      <c r="K44" s="18" t="n">
        <v>2.68718327</v>
      </c>
      <c r="L44" s="20" t="n">
        <v>0.64681588</v>
      </c>
      <c r="M44" s="18" t="n">
        <v>0</v>
      </c>
      <c r="N44" s="20" t="n">
        <v>0</v>
      </c>
      <c r="O44" s="18" t="n">
        <v>1.61113241</v>
      </c>
      <c r="P44" s="20" t="n">
        <v>0.49513025</v>
      </c>
      <c r="Q44" s="18" t="n">
        <v>3.65620248</v>
      </c>
      <c r="R44" s="20" t="n">
        <v>0.75085053</v>
      </c>
    </row>
    <row r="45" spans="1:18">
      <c r="A45" s="15" t="s">
        <v>605</v>
      </c>
      <c r="B45" s="17" t="n">
        <v>2849</v>
      </c>
      <c r="C45" s="18">
        <f>(1905.0/B45*100)</f>
        <v/>
      </c>
      <c r="D45" s="19" t="n">
        <v>944</v>
      </c>
      <c r="E45" s="18" t="n">
        <v>56.94101883</v>
      </c>
      <c r="F45" s="20" t="n">
        <v>1.73200964</v>
      </c>
      <c r="G45" s="18" t="n">
        <v>29.4391239</v>
      </c>
      <c r="H45" s="20" t="n">
        <v>1.80233207</v>
      </c>
      <c r="I45" s="18" t="s">
        <v>567</v>
      </c>
      <c r="J45" s="20" t="s">
        <v>567</v>
      </c>
      <c r="K45" s="18" t="n">
        <v>5.33953361</v>
      </c>
      <c r="L45" s="20" t="n">
        <v>0.7840545</v>
      </c>
      <c r="M45" s="18" t="n">
        <v>0.08683425</v>
      </c>
      <c r="N45" s="20" t="n">
        <v>0.08821443</v>
      </c>
      <c r="O45" s="18" t="n">
        <v>4.3228141</v>
      </c>
      <c r="P45" s="20" t="n">
        <v>0.82942089</v>
      </c>
      <c r="Q45" s="18" t="n">
        <v>3.87067531</v>
      </c>
      <c r="R45" s="20" t="n">
        <v>0.67358638</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(1999.0/B49*100)</f>
        <v/>
      </c>
      <c r="D49" s="19" t="n">
        <v>1019</v>
      </c>
      <c r="E49" s="18" t="n">
        <v>49.5573927</v>
      </c>
      <c r="F49" s="20" t="n">
        <v>2.00495651</v>
      </c>
      <c r="G49" s="18" t="n">
        <v>46.71465784</v>
      </c>
      <c r="H49" s="20" t="n">
        <v>1.9131349</v>
      </c>
      <c r="I49" s="18" t="s">
        <v>567</v>
      </c>
      <c r="J49" s="20" t="s">
        <v>567</v>
      </c>
      <c r="K49" s="18" t="n">
        <v>1.79135887</v>
      </c>
      <c r="L49" s="20" t="n">
        <v>0.47731236</v>
      </c>
      <c r="M49" s="18" t="n">
        <v>0</v>
      </c>
      <c r="N49" s="20" t="n">
        <v>0</v>
      </c>
      <c r="O49" s="18" t="n">
        <v>0.86328306</v>
      </c>
      <c r="P49" s="20" t="n">
        <v>0.26393766</v>
      </c>
      <c r="Q49" s="18" t="n">
        <v>1.07330754</v>
      </c>
      <c r="R49" s="20" t="n">
        <v>0.34089343</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(1852.0/B55*100)</f>
        <v/>
      </c>
      <c r="D55" s="19" t="n">
        <v>907</v>
      </c>
      <c r="E55" s="18" t="n">
        <v>64.88685554</v>
      </c>
      <c r="F55" s="20" t="n">
        <v>1.78216904</v>
      </c>
      <c r="G55" s="18" t="n">
        <v>29.65901233</v>
      </c>
      <c r="H55" s="20" t="n">
        <v>1.7284131</v>
      </c>
      <c r="I55" s="18" t="s">
        <v>567</v>
      </c>
      <c r="J55" s="20" t="s">
        <v>567</v>
      </c>
      <c r="K55" s="18" t="n">
        <v>1.61439595</v>
      </c>
      <c r="L55" s="20" t="n">
        <v>0.431806</v>
      </c>
      <c r="M55" s="18" t="n">
        <v>0.31724892</v>
      </c>
      <c r="N55" s="20" t="n">
        <v>0.09271466</v>
      </c>
      <c r="O55" s="18" t="n">
        <v>0.09078657</v>
      </c>
      <c r="P55" s="20" t="n">
        <v>0.08981051</v>
      </c>
      <c r="Q55" s="18" t="n">
        <v>3.43170068</v>
      </c>
      <c r="R55" s="20" t="n">
        <v>0.67735815</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50.73525446</v>
      </c>
      <c r="F57" s="20" t="n">
        <v>1.8478899</v>
      </c>
      <c r="G57" s="18" t="n">
        <v>46.20037663</v>
      </c>
      <c r="H57" s="20" t="n">
        <v>1.91727146</v>
      </c>
      <c r="I57" s="18" t="s">
        <v>567</v>
      </c>
      <c r="J57" s="20" t="s">
        <v>567</v>
      </c>
      <c r="K57" s="18" t="n">
        <v>2.36752451</v>
      </c>
      <c r="L57" s="20" t="n">
        <v>0.57129218</v>
      </c>
      <c r="M57" s="18" t="n">
        <v>0</v>
      </c>
      <c r="N57" s="20" t="n">
        <v>0</v>
      </c>
      <c r="O57" s="18" t="n">
        <v>0</v>
      </c>
      <c r="P57" s="20" t="n">
        <v>0</v>
      </c>
      <c r="Q57" s="18" t="n">
        <v>0.6968444</v>
      </c>
      <c r="R57" s="20" t="n">
        <v>0.27212919</v>
      </c>
    </row>
    <row r="58" spans="1:18">
      <c r="A58" s="15" t="s">
        <v>618</v>
      </c>
      <c r="B58" s="17" t="n">
        <v>3530</v>
      </c>
      <c r="C58" s="18">
        <f>(2348.0/B58*100)</f>
        <v/>
      </c>
      <c r="D58" s="19" t="n">
        <v>1182</v>
      </c>
      <c r="E58" s="18" t="n">
        <v>60.46122885</v>
      </c>
      <c r="F58" s="20" t="n">
        <v>1.73532841</v>
      </c>
      <c r="G58" s="18" t="n">
        <v>31.82535216</v>
      </c>
      <c r="H58" s="20" t="n">
        <v>1.66551385</v>
      </c>
      <c r="I58" s="18" t="s">
        <v>567</v>
      </c>
      <c r="J58" s="20" t="s">
        <v>567</v>
      </c>
      <c r="K58" s="18" t="n">
        <v>2.16697138</v>
      </c>
      <c r="L58" s="20" t="n">
        <v>0.5160532</v>
      </c>
      <c r="M58" s="18" t="n">
        <v>0</v>
      </c>
      <c r="N58" s="20" t="n">
        <v>0</v>
      </c>
      <c r="O58" s="18" t="n">
        <v>0.79384111</v>
      </c>
      <c r="P58" s="20" t="n">
        <v>0.27907851</v>
      </c>
      <c r="Q58" s="18" t="n">
        <v>4.7526065</v>
      </c>
      <c r="R58" s="20" t="n">
        <v>0.84396753</v>
      </c>
    </row>
    <row r="59" spans="1:18">
      <c r="A59" s="15" t="s">
        <v>619</v>
      </c>
      <c r="B59" s="17" t="n">
        <v>2548</v>
      </c>
      <c r="C59" s="18">
        <f>(1667.0/B59*100)</f>
        <v/>
      </c>
      <c r="D59" s="19" t="n">
        <v>881</v>
      </c>
      <c r="E59" s="18" t="n">
        <v>49.00197839</v>
      </c>
      <c r="F59" s="20" t="n">
        <v>1.71021266</v>
      </c>
      <c r="G59" s="18" t="n">
        <v>47.44017204</v>
      </c>
      <c r="H59" s="20" t="n">
        <v>1.81469104</v>
      </c>
      <c r="I59" s="18" t="s">
        <v>567</v>
      </c>
      <c r="J59" s="20" t="s">
        <v>567</v>
      </c>
      <c r="K59" s="18" t="n">
        <v>0.12512788</v>
      </c>
      <c r="L59" s="20" t="n">
        <v>0.07180227</v>
      </c>
      <c r="M59" s="18" t="n">
        <v>0</v>
      </c>
      <c r="N59" s="20" t="n">
        <v>0</v>
      </c>
      <c r="O59" s="18" t="n">
        <v>2.09896847</v>
      </c>
      <c r="P59" s="20" t="n">
        <v>0.48502141</v>
      </c>
      <c r="Q59" s="18" t="n">
        <v>1.33375322</v>
      </c>
      <c r="R59" s="20" t="n">
        <v>0.53027845</v>
      </c>
    </row>
    <row r="60" spans="1:18">
      <c r="A60" s="15" t="s">
        <v>620</v>
      </c>
      <c r="B60" s="17" t="n">
        <v>2095</v>
      </c>
      <c r="C60" s="18">
        <f>(1400.0/B60*100)</f>
        <v/>
      </c>
      <c r="D60" s="19" t="n">
        <v>695</v>
      </c>
      <c r="E60" s="18" t="n">
        <v>51.13971517</v>
      </c>
      <c r="F60" s="20" t="n">
        <v>2.20684607</v>
      </c>
      <c r="G60" s="18" t="n">
        <v>36.21554933</v>
      </c>
      <c r="H60" s="20" t="n">
        <v>2.31606959</v>
      </c>
      <c r="I60" s="18" t="s">
        <v>567</v>
      </c>
      <c r="J60" s="20" t="s">
        <v>567</v>
      </c>
      <c r="K60" s="18" t="n">
        <v>4.20461866</v>
      </c>
      <c r="L60" s="20" t="n">
        <v>0.7953010700000001</v>
      </c>
      <c r="M60" s="18" t="n">
        <v>0</v>
      </c>
      <c r="N60" s="20" t="n">
        <v>0</v>
      </c>
      <c r="O60" s="18" t="n">
        <v>4.69273023</v>
      </c>
      <c r="P60" s="20" t="n">
        <v>0.74538749</v>
      </c>
      <c r="Q60" s="18" t="n">
        <v>3.74738661</v>
      </c>
      <c r="R60" s="20" t="n">
        <v>0.89066394</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(1882.0/B63*100)</f>
        <v/>
      </c>
      <c r="D63" s="19" t="n">
        <v>931</v>
      </c>
      <c r="E63" s="18" t="n">
        <v>66.99270577</v>
      </c>
      <c r="F63" s="20" t="n">
        <v>1.87412226</v>
      </c>
      <c r="G63" s="18" t="n">
        <v>25.98609148</v>
      </c>
      <c r="H63" s="20" t="n">
        <v>1.77801195</v>
      </c>
      <c r="I63" s="18" t="s">
        <v>567</v>
      </c>
      <c r="J63" s="20" t="s">
        <v>567</v>
      </c>
      <c r="K63" s="18" t="n">
        <v>2.30877649</v>
      </c>
      <c r="L63" s="20" t="n">
        <v>0.54813886</v>
      </c>
      <c r="M63" s="18" t="n">
        <v>0</v>
      </c>
      <c r="N63" s="20" t="n">
        <v>0</v>
      </c>
      <c r="O63" s="18" t="n">
        <v>0.72154051</v>
      </c>
      <c r="P63" s="20" t="n">
        <v>0.29854247</v>
      </c>
      <c r="Q63" s="18" t="n">
        <v>3.99088574</v>
      </c>
      <c r="R63" s="20" t="n">
        <v>0.69186686</v>
      </c>
    </row>
    <row r="64" spans="1:18">
      <c r="A64" s="15" t="s">
        <v>624</v>
      </c>
      <c r="B64" s="17" t="n">
        <v>1844</v>
      </c>
      <c r="C64" s="18">
        <f>(1218.0/B64*100)</f>
        <v/>
      </c>
      <c r="D64" s="19" t="n">
        <v>626</v>
      </c>
      <c r="E64" s="18" t="n">
        <v>42.1485625</v>
      </c>
      <c r="F64" s="20" t="n">
        <v>2.10431313</v>
      </c>
      <c r="G64" s="18" t="n">
        <v>50.93870754</v>
      </c>
      <c r="H64" s="20" t="n">
        <v>2.07944635</v>
      </c>
      <c r="I64" s="18" t="s">
        <v>567</v>
      </c>
      <c r="J64" s="20" t="s">
        <v>567</v>
      </c>
      <c r="K64" s="18" t="n">
        <v>3.50663297</v>
      </c>
      <c r="L64" s="20" t="n">
        <v>0.6897715800000001</v>
      </c>
      <c r="M64" s="18" t="n">
        <v>0</v>
      </c>
      <c r="N64" s="20" t="n">
        <v>0</v>
      </c>
      <c r="O64" s="18" t="n">
        <v>0.69850808</v>
      </c>
      <c r="P64" s="20" t="n">
        <v>0.39769778</v>
      </c>
      <c r="Q64" s="18" t="n">
        <v>2.70758891</v>
      </c>
      <c r="R64" s="20" t="n">
        <v>0.67403965</v>
      </c>
    </row>
    <row r="65" spans="1:18">
      <c r="A65" s="15" t="s">
        <v>625</v>
      </c>
      <c r="B65" s="17" t="n">
        <v>2691</v>
      </c>
      <c r="C65" s="18">
        <f>(1757.0/B65*100)</f>
        <v/>
      </c>
      <c r="D65" s="19" t="n">
        <v>934</v>
      </c>
      <c r="E65" s="18" t="n">
        <v>50.57053328</v>
      </c>
      <c r="F65" s="20" t="n">
        <v>1.61960906</v>
      </c>
      <c r="G65" s="18" t="n">
        <v>38.0910998</v>
      </c>
      <c r="H65" s="20" t="n">
        <v>1.69018253</v>
      </c>
      <c r="I65" s="18" t="s">
        <v>567</v>
      </c>
      <c r="J65" s="20" t="s">
        <v>567</v>
      </c>
      <c r="K65" s="18" t="n">
        <v>4.74211548</v>
      </c>
      <c r="L65" s="20" t="n">
        <v>0.72826859</v>
      </c>
      <c r="M65" s="18" t="n">
        <v>3.24267658</v>
      </c>
      <c r="N65" s="20" t="n">
        <v>0.66349723</v>
      </c>
      <c r="O65" s="18" t="n">
        <v>0.08756888</v>
      </c>
      <c r="P65" s="20" t="n">
        <v>0.08753021</v>
      </c>
      <c r="Q65" s="18" t="n">
        <v>3.26600598</v>
      </c>
      <c r="R65" s="20" t="n">
        <v>0.6743685699999999</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(1635.0/B69*100)</f>
        <v/>
      </c>
      <c r="D69" s="19" t="n">
        <v>775</v>
      </c>
      <c r="E69" s="18" t="n">
        <v>58.6573695</v>
      </c>
      <c r="F69" s="20" t="n">
        <v>2.03025666</v>
      </c>
      <c r="G69" s="18" t="n">
        <v>41.11537087</v>
      </c>
      <c r="H69" s="20" t="n">
        <v>2.0377095</v>
      </c>
      <c r="I69" s="18" t="s">
        <v>567</v>
      </c>
      <c r="J69" s="20" t="s">
        <v>567</v>
      </c>
      <c r="K69" s="18" t="n">
        <v>0.12536579</v>
      </c>
      <c r="L69" s="20" t="n">
        <v>0.12515365</v>
      </c>
      <c r="M69" s="18" t="n">
        <v>0</v>
      </c>
      <c r="N69" s="20" t="n">
        <v>0</v>
      </c>
      <c r="O69" s="18" t="n">
        <v>0</v>
      </c>
      <c r="P69" s="20" t="n">
        <v>0</v>
      </c>
      <c r="Q69" s="18" t="n">
        <v>0.10189383</v>
      </c>
      <c r="R69" s="20" t="n">
        <v>0.10090249</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(1488.0/B74*100)</f>
        <v/>
      </c>
      <c r="D74" s="19" t="n">
        <v>751</v>
      </c>
      <c r="E74" s="18" t="n">
        <v>52.90104309</v>
      </c>
      <c r="F74" s="20" t="n">
        <v>2.05328762</v>
      </c>
      <c r="G74" s="18" t="n">
        <v>39.45709364</v>
      </c>
      <c r="H74" s="20" t="n">
        <v>1.95513029</v>
      </c>
      <c r="I74" s="18" t="s">
        <v>567</v>
      </c>
      <c r="J74" s="20" t="s">
        <v>567</v>
      </c>
      <c r="K74" s="18" t="n">
        <v>4.60028901</v>
      </c>
      <c r="L74" s="20" t="n">
        <v>0.94142021</v>
      </c>
      <c r="M74" s="18" t="n">
        <v>0</v>
      </c>
      <c r="N74" s="20" t="n">
        <v>0</v>
      </c>
      <c r="O74" s="18" t="n">
        <v>0</v>
      </c>
      <c r="P74" s="20" t="n">
        <v>0</v>
      </c>
      <c r="Q74" s="18" t="n">
        <v>3.04157426</v>
      </c>
      <c r="R74" s="20" t="n">
        <v>0.61793184</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(1885.0/B78*100)</f>
        <v/>
      </c>
      <c r="D78" s="19" t="n">
        <v>901</v>
      </c>
      <c r="E78" s="18" t="n">
        <v>28.55468285</v>
      </c>
      <c r="F78" s="20" t="n">
        <v>1.90129921</v>
      </c>
      <c r="G78" s="18" t="n">
        <v>71.44531714999999</v>
      </c>
      <c r="H78" s="20" t="n">
        <v>1.90129921</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(524.0/B79*100)</f>
        <v/>
      </c>
      <c r="D79" s="19" t="n">
        <v>263</v>
      </c>
      <c r="E79" s="18" t="n">
        <v>46.61227449</v>
      </c>
      <c r="F79" s="20" t="n">
        <v>4.03733836</v>
      </c>
      <c r="G79" s="18" t="n">
        <v>46.56866464</v>
      </c>
      <c r="H79" s="20" t="n">
        <v>3.98781597</v>
      </c>
      <c r="I79" s="18" t="s">
        <v>567</v>
      </c>
      <c r="J79" s="20" t="s">
        <v>567</v>
      </c>
      <c r="K79" s="18" t="n">
        <v>3.787694</v>
      </c>
      <c r="L79" s="20" t="n">
        <v>1.09852925</v>
      </c>
      <c r="M79" s="18" t="n">
        <v>0</v>
      </c>
      <c r="N79" s="20" t="n">
        <v>0</v>
      </c>
      <c r="O79" s="18" t="n">
        <v>0.86055214</v>
      </c>
      <c r="P79" s="20" t="n">
        <v>0.61090465</v>
      </c>
      <c r="Q79" s="18" t="n">
        <v>2.17081473</v>
      </c>
      <c r="R79" s="20" t="n">
        <v>0.86202004</v>
      </c>
    </row>
    <row r="80" spans="1:18">
      <c r="A80" s="15" t="s">
        <v>640</v>
      </c>
      <c r="B80" s="17" t="n">
        <v>3798</v>
      </c>
      <c r="C80" s="18">
        <f>(2533.0/B80*100)</f>
        <v/>
      </c>
      <c r="D80" s="19" t="n">
        <v>1265</v>
      </c>
      <c r="E80" s="18" t="n">
        <v>47.79224009</v>
      </c>
      <c r="F80" s="20" t="n">
        <v>2.13064925</v>
      </c>
      <c r="G80" s="18" t="n">
        <v>51.88614479</v>
      </c>
      <c r="H80" s="20" t="n">
        <v>2.12381464</v>
      </c>
      <c r="I80" s="18" t="s">
        <v>567</v>
      </c>
      <c r="J80" s="20" t="s">
        <v>567</v>
      </c>
      <c r="K80" s="18" t="n">
        <v>0</v>
      </c>
      <c r="L80" s="20" t="n">
        <v>0</v>
      </c>
      <c r="M80" s="18" t="n">
        <v>0</v>
      </c>
      <c r="N80" s="20" t="n">
        <v>0</v>
      </c>
      <c r="O80" s="18" t="n">
        <v>0</v>
      </c>
      <c r="P80" s="20" t="n">
        <v>0</v>
      </c>
      <c r="Q80" s="18" t="n">
        <v>0.32161512</v>
      </c>
      <c r="R80" s="20" t="n">
        <v>0.13411305</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(1641.0/B44*100)</f>
        <v/>
      </c>
      <c r="D44" s="19" t="n">
        <v>883</v>
      </c>
      <c r="E44" s="18" t="n">
        <v>19.2484099</v>
      </c>
      <c r="F44" s="20" t="n">
        <v>1.67427721</v>
      </c>
      <c r="G44" s="18" t="n">
        <v>73.37553436</v>
      </c>
      <c r="H44" s="20" t="n">
        <v>1.80166464</v>
      </c>
      <c r="I44" s="18" t="s">
        <v>567</v>
      </c>
      <c r="J44" s="20" t="s">
        <v>567</v>
      </c>
      <c r="K44" s="18" t="n">
        <v>2.73042972</v>
      </c>
      <c r="L44" s="20" t="n">
        <v>0.65395235</v>
      </c>
      <c r="M44" s="18" t="n">
        <v>0</v>
      </c>
      <c r="N44" s="20" t="n">
        <v>0</v>
      </c>
      <c r="O44" s="18" t="n">
        <v>0.26278053</v>
      </c>
      <c r="P44" s="20" t="n">
        <v>0.15694911</v>
      </c>
      <c r="Q44" s="18" t="n">
        <v>4.38284549</v>
      </c>
      <c r="R44" s="20" t="n">
        <v>0.68380244</v>
      </c>
    </row>
    <row r="45" spans="1:18">
      <c r="A45" s="15" t="s">
        <v>605</v>
      </c>
      <c r="B45" s="17" t="n">
        <v>2849</v>
      </c>
      <c r="C45" s="18">
        <f>(1905.0/B45*100)</f>
        <v/>
      </c>
      <c r="D45" s="19" t="n">
        <v>944</v>
      </c>
      <c r="E45" s="18" t="n">
        <v>27.61033451</v>
      </c>
      <c r="F45" s="20" t="n">
        <v>1.46987161</v>
      </c>
      <c r="G45" s="18" t="n">
        <v>58.87984462</v>
      </c>
      <c r="H45" s="20" t="n">
        <v>1.90696418</v>
      </c>
      <c r="I45" s="18" t="s">
        <v>567</v>
      </c>
      <c r="J45" s="20" t="s">
        <v>567</v>
      </c>
      <c r="K45" s="18" t="n">
        <v>5.56651055</v>
      </c>
      <c r="L45" s="20" t="n">
        <v>0.78421199</v>
      </c>
      <c r="M45" s="18" t="n">
        <v>0.19885636</v>
      </c>
      <c r="N45" s="20" t="n">
        <v>0.1458923</v>
      </c>
      <c r="O45" s="18" t="n">
        <v>2.24382266</v>
      </c>
      <c r="P45" s="20" t="n">
        <v>0.63055984</v>
      </c>
      <c r="Q45" s="18" t="n">
        <v>5.5006313</v>
      </c>
      <c r="R45" s="20" t="n">
        <v>0.77665396</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(1999.0/B49*100)</f>
        <v/>
      </c>
      <c r="D49" s="19" t="n">
        <v>1019</v>
      </c>
      <c r="E49" s="18" t="n">
        <v>18.55039013</v>
      </c>
      <c r="F49" s="20" t="n">
        <v>1.70126714</v>
      </c>
      <c r="G49" s="18" t="n">
        <v>77.92725414</v>
      </c>
      <c r="H49" s="20" t="n">
        <v>1.7978699</v>
      </c>
      <c r="I49" s="18" t="s">
        <v>567</v>
      </c>
      <c r="J49" s="20" t="s">
        <v>567</v>
      </c>
      <c r="K49" s="18" t="n">
        <v>1.79135887</v>
      </c>
      <c r="L49" s="20" t="n">
        <v>0.47731236</v>
      </c>
      <c r="M49" s="18" t="n">
        <v>0</v>
      </c>
      <c r="N49" s="20" t="n">
        <v>0</v>
      </c>
      <c r="O49" s="18" t="n">
        <v>0.50714408</v>
      </c>
      <c r="P49" s="20" t="n">
        <v>0.27200664</v>
      </c>
      <c r="Q49" s="18" t="n">
        <v>1.22385279</v>
      </c>
      <c r="R49" s="20" t="n">
        <v>0.37024616</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(1852.0/B55*100)</f>
        <v/>
      </c>
      <c r="D55" s="19" t="n">
        <v>907</v>
      </c>
      <c r="E55" s="18" t="n">
        <v>22.31367071</v>
      </c>
      <c r="F55" s="20" t="n">
        <v>1.58977005</v>
      </c>
      <c r="G55" s="18" t="n">
        <v>71.99168985</v>
      </c>
      <c r="H55" s="20" t="n">
        <v>1.61512855</v>
      </c>
      <c r="I55" s="18" t="s">
        <v>567</v>
      </c>
      <c r="J55" s="20" t="s">
        <v>567</v>
      </c>
      <c r="K55" s="18" t="n">
        <v>1.61439595</v>
      </c>
      <c r="L55" s="20" t="n">
        <v>0.431806</v>
      </c>
      <c r="M55" s="18" t="n">
        <v>0.31724892</v>
      </c>
      <c r="N55" s="20" t="n">
        <v>0.09271466</v>
      </c>
      <c r="O55" s="18" t="n">
        <v>0.09185361</v>
      </c>
      <c r="P55" s="20" t="n">
        <v>0.09076457</v>
      </c>
      <c r="Q55" s="18" t="n">
        <v>3.67114095</v>
      </c>
      <c r="R55" s="20" t="n">
        <v>0.63393278</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54.01014621</v>
      </c>
      <c r="F57" s="20" t="n">
        <v>1.89053835</v>
      </c>
      <c r="G57" s="18" t="n">
        <v>42.17958278</v>
      </c>
      <c r="H57" s="20" t="n">
        <v>1.81001538</v>
      </c>
      <c r="I57" s="18" t="s">
        <v>567</v>
      </c>
      <c r="J57" s="20" t="s">
        <v>567</v>
      </c>
      <c r="K57" s="18" t="n">
        <v>2.46376241</v>
      </c>
      <c r="L57" s="20" t="n">
        <v>0.58892098</v>
      </c>
      <c r="M57" s="18" t="n">
        <v>0</v>
      </c>
      <c r="N57" s="20" t="n">
        <v>0</v>
      </c>
      <c r="O57" s="18" t="n">
        <v>0.1129299</v>
      </c>
      <c r="P57" s="20" t="n">
        <v>0.11328141</v>
      </c>
      <c r="Q57" s="18" t="n">
        <v>1.2335787</v>
      </c>
      <c r="R57" s="20" t="n">
        <v>0.46067674</v>
      </c>
    </row>
    <row r="58" spans="1:18">
      <c r="A58" s="15" t="s">
        <v>618</v>
      </c>
      <c r="B58" s="17" t="n">
        <v>3530</v>
      </c>
      <c r="C58" s="18">
        <f>(2348.0/B58*100)</f>
        <v/>
      </c>
      <c r="D58" s="19" t="n">
        <v>1182</v>
      </c>
      <c r="E58" s="18" t="n">
        <v>23.02247526</v>
      </c>
      <c r="F58" s="20" t="n">
        <v>1.48004506</v>
      </c>
      <c r="G58" s="18" t="n">
        <v>70.24786622000001</v>
      </c>
      <c r="H58" s="20" t="n">
        <v>1.80155988</v>
      </c>
      <c r="I58" s="18" t="s">
        <v>567</v>
      </c>
      <c r="J58" s="20" t="s">
        <v>567</v>
      </c>
      <c r="K58" s="18" t="n">
        <v>2.27233253</v>
      </c>
      <c r="L58" s="20" t="n">
        <v>0.52695399</v>
      </c>
      <c r="M58" s="18" t="n">
        <v>0</v>
      </c>
      <c r="N58" s="20" t="n">
        <v>0</v>
      </c>
      <c r="O58" s="18" t="n">
        <v>0.76011534</v>
      </c>
      <c r="P58" s="20" t="n">
        <v>0.27046088</v>
      </c>
      <c r="Q58" s="18" t="n">
        <v>3.69721065</v>
      </c>
      <c r="R58" s="20" t="n">
        <v>0.79982883</v>
      </c>
    </row>
    <row r="59" spans="1:18">
      <c r="A59" s="15" t="s">
        <v>619</v>
      </c>
      <c r="B59" s="17" t="n">
        <v>2548</v>
      </c>
      <c r="C59" s="18">
        <f>(1667.0/B59*100)</f>
        <v/>
      </c>
      <c r="D59" s="19" t="n">
        <v>881</v>
      </c>
      <c r="E59" s="18" t="n">
        <v>29.83372928</v>
      </c>
      <c r="F59" s="20" t="n">
        <v>1.68793031</v>
      </c>
      <c r="G59" s="18" t="n">
        <v>66.41452289999999</v>
      </c>
      <c r="H59" s="20" t="n">
        <v>1.62963847</v>
      </c>
      <c r="I59" s="18" t="s">
        <v>567</v>
      </c>
      <c r="J59" s="20" t="s">
        <v>567</v>
      </c>
      <c r="K59" s="18" t="n">
        <v>0.26124753</v>
      </c>
      <c r="L59" s="20" t="n">
        <v>0.15371508</v>
      </c>
      <c r="M59" s="18" t="n">
        <v>0</v>
      </c>
      <c r="N59" s="20" t="n">
        <v>0</v>
      </c>
      <c r="O59" s="18" t="n">
        <v>1.30110836</v>
      </c>
      <c r="P59" s="20" t="n">
        <v>0.37051974</v>
      </c>
      <c r="Q59" s="18" t="n">
        <v>2.18939194</v>
      </c>
      <c r="R59" s="20" t="n">
        <v>0.59761989</v>
      </c>
    </row>
    <row r="60" spans="1:18">
      <c r="A60" s="15" t="s">
        <v>620</v>
      </c>
      <c r="B60" s="17" t="n">
        <v>2095</v>
      </c>
      <c r="C60" s="18">
        <f>(1400.0/B60*100)</f>
        <v/>
      </c>
      <c r="D60" s="19" t="n">
        <v>695</v>
      </c>
      <c r="E60" s="18" t="n">
        <v>26.48779577</v>
      </c>
      <c r="F60" s="20" t="n">
        <v>1.92440069</v>
      </c>
      <c r="G60" s="18" t="n">
        <v>62.03217734</v>
      </c>
      <c r="H60" s="20" t="n">
        <v>2.12887566</v>
      </c>
      <c r="I60" s="18" t="s">
        <v>567</v>
      </c>
      <c r="J60" s="20" t="s">
        <v>567</v>
      </c>
      <c r="K60" s="18" t="n">
        <v>4.41283591</v>
      </c>
      <c r="L60" s="20" t="n">
        <v>0.87674861</v>
      </c>
      <c r="M60" s="18" t="n">
        <v>0</v>
      </c>
      <c r="N60" s="20" t="n">
        <v>0</v>
      </c>
      <c r="O60" s="18" t="n">
        <v>1.95597349</v>
      </c>
      <c r="P60" s="20" t="n">
        <v>0.51445055</v>
      </c>
      <c r="Q60" s="18" t="n">
        <v>5.11121749</v>
      </c>
      <c r="R60" s="20" t="n">
        <v>0.9054643</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(1882.0/B63*100)</f>
        <v/>
      </c>
      <c r="D63" s="19" t="n">
        <v>931</v>
      </c>
      <c r="E63" s="18" t="n">
        <v>27.35634337</v>
      </c>
      <c r="F63" s="20" t="n">
        <v>1.41038206</v>
      </c>
      <c r="G63" s="18" t="n">
        <v>64.26993653</v>
      </c>
      <c r="H63" s="20" t="n">
        <v>1.60585762</v>
      </c>
      <c r="I63" s="18" t="s">
        <v>567</v>
      </c>
      <c r="J63" s="20" t="s">
        <v>567</v>
      </c>
      <c r="K63" s="18" t="n">
        <v>2.49734572</v>
      </c>
      <c r="L63" s="20" t="n">
        <v>0.57611048</v>
      </c>
      <c r="M63" s="18" t="n">
        <v>0</v>
      </c>
      <c r="N63" s="20" t="n">
        <v>0</v>
      </c>
      <c r="O63" s="18" t="n">
        <v>0.12128803</v>
      </c>
      <c r="P63" s="20" t="n">
        <v>0.12081548</v>
      </c>
      <c r="Q63" s="18" t="n">
        <v>5.75508636</v>
      </c>
      <c r="R63" s="20" t="n">
        <v>0.88727741</v>
      </c>
    </row>
    <row r="64" spans="1:18">
      <c r="A64" s="15" t="s">
        <v>624</v>
      </c>
      <c r="B64" s="17" t="n">
        <v>1844</v>
      </c>
      <c r="C64" s="18">
        <f>(1218.0/B64*100)</f>
        <v/>
      </c>
      <c r="D64" s="19" t="n">
        <v>626</v>
      </c>
      <c r="E64" s="18" t="n">
        <v>22.28782397</v>
      </c>
      <c r="F64" s="20" t="n">
        <v>1.63875566</v>
      </c>
      <c r="G64" s="18" t="n">
        <v>70.48910524999999</v>
      </c>
      <c r="H64" s="20" t="n">
        <v>1.89567309</v>
      </c>
      <c r="I64" s="18" t="s">
        <v>567</v>
      </c>
      <c r="J64" s="20" t="s">
        <v>567</v>
      </c>
      <c r="K64" s="18" t="n">
        <v>3.50663297</v>
      </c>
      <c r="L64" s="20" t="n">
        <v>0.6897715800000001</v>
      </c>
      <c r="M64" s="18" t="n">
        <v>0</v>
      </c>
      <c r="N64" s="20" t="n">
        <v>0</v>
      </c>
      <c r="O64" s="18" t="n">
        <v>0.32080276</v>
      </c>
      <c r="P64" s="20" t="n">
        <v>0.22797648</v>
      </c>
      <c r="Q64" s="18" t="n">
        <v>3.39563505</v>
      </c>
      <c r="R64" s="20" t="n">
        <v>0.7434674</v>
      </c>
    </row>
    <row r="65" spans="1:18">
      <c r="A65" s="15" t="s">
        <v>625</v>
      </c>
      <c r="B65" s="17" t="n">
        <v>2691</v>
      </c>
      <c r="C65" s="18">
        <f>(1757.0/B65*100)</f>
        <v/>
      </c>
      <c r="D65" s="19" t="n">
        <v>934</v>
      </c>
      <c r="E65" s="18" t="n">
        <v>15.21891558</v>
      </c>
      <c r="F65" s="20" t="n">
        <v>1.30688661</v>
      </c>
      <c r="G65" s="18" t="n">
        <v>74.2580119</v>
      </c>
      <c r="H65" s="20" t="n">
        <v>1.753574</v>
      </c>
      <c r="I65" s="18" t="s">
        <v>567</v>
      </c>
      <c r="J65" s="20" t="s">
        <v>567</v>
      </c>
      <c r="K65" s="18" t="n">
        <v>4.92980416</v>
      </c>
      <c r="L65" s="20" t="n">
        <v>0.7681422999999999</v>
      </c>
      <c r="M65" s="18" t="n">
        <v>1.76896567</v>
      </c>
      <c r="N65" s="20" t="n">
        <v>0.45971079</v>
      </c>
      <c r="O65" s="18" t="n">
        <v>0</v>
      </c>
      <c r="P65" s="20" t="n">
        <v>0</v>
      </c>
      <c r="Q65" s="18" t="n">
        <v>3.82430269</v>
      </c>
      <c r="R65" s="20" t="n">
        <v>0.64078577</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(1635.0/B69*100)</f>
        <v/>
      </c>
      <c r="D69" s="19" t="n">
        <v>775</v>
      </c>
      <c r="E69" s="18" t="n">
        <v>20.88472232</v>
      </c>
      <c r="F69" s="20" t="n">
        <v>1.48727913</v>
      </c>
      <c r="G69" s="18" t="n">
        <v>78.88801805</v>
      </c>
      <c r="H69" s="20" t="n">
        <v>1.47727291</v>
      </c>
      <c r="I69" s="18" t="s">
        <v>567</v>
      </c>
      <c r="J69" s="20" t="s">
        <v>567</v>
      </c>
      <c r="K69" s="18" t="n">
        <v>0.12536579</v>
      </c>
      <c r="L69" s="20" t="n">
        <v>0.12515365</v>
      </c>
      <c r="M69" s="18" t="n">
        <v>0</v>
      </c>
      <c r="N69" s="20" t="n">
        <v>0</v>
      </c>
      <c r="O69" s="18" t="n">
        <v>0</v>
      </c>
      <c r="P69" s="20" t="n">
        <v>0</v>
      </c>
      <c r="Q69" s="18" t="n">
        <v>0.10189383</v>
      </c>
      <c r="R69" s="20" t="n">
        <v>0.10090249</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(1488.0/B74*100)</f>
        <v/>
      </c>
      <c r="D74" s="19" t="n">
        <v>751</v>
      </c>
      <c r="E74" s="18" t="n">
        <v>27.94581212</v>
      </c>
      <c r="F74" s="20" t="n">
        <v>1.91873266</v>
      </c>
      <c r="G74" s="18" t="n">
        <v>62.91598274</v>
      </c>
      <c r="H74" s="20" t="n">
        <v>2.02702209</v>
      </c>
      <c r="I74" s="18" t="s">
        <v>567</v>
      </c>
      <c r="J74" s="20" t="s">
        <v>567</v>
      </c>
      <c r="K74" s="18" t="n">
        <v>4.73817922</v>
      </c>
      <c r="L74" s="20" t="n">
        <v>0.9472265</v>
      </c>
      <c r="M74" s="18" t="n">
        <v>0</v>
      </c>
      <c r="N74" s="20" t="n">
        <v>0</v>
      </c>
      <c r="O74" s="18" t="n">
        <v>0</v>
      </c>
      <c r="P74" s="20" t="n">
        <v>0</v>
      </c>
      <c r="Q74" s="18" t="n">
        <v>4.40002593</v>
      </c>
      <c r="R74" s="20" t="n">
        <v>0.98576444</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(1885.0/B78*100)</f>
        <v/>
      </c>
      <c r="D78" s="19" t="n">
        <v>901</v>
      </c>
      <c r="E78" s="18" t="n">
        <v>0.78324238</v>
      </c>
      <c r="F78" s="20" t="n">
        <v>0.32341823</v>
      </c>
      <c r="G78" s="18" t="n">
        <v>99.21675762</v>
      </c>
      <c r="H78" s="20" t="n">
        <v>0.32341823</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(524.0/B79*100)</f>
        <v/>
      </c>
      <c r="D79" s="19" t="n">
        <v>263</v>
      </c>
      <c r="E79" s="18" t="n">
        <v>9.673940030000001</v>
      </c>
      <c r="F79" s="20" t="n">
        <v>2.28655056</v>
      </c>
      <c r="G79" s="18" t="n">
        <v>84.85027639</v>
      </c>
      <c r="H79" s="20" t="n">
        <v>2.36438775</v>
      </c>
      <c r="I79" s="18" t="s">
        <v>567</v>
      </c>
      <c r="J79" s="20" t="s">
        <v>567</v>
      </c>
      <c r="K79" s="18" t="n">
        <v>3.787694</v>
      </c>
      <c r="L79" s="20" t="n">
        <v>1.09852925</v>
      </c>
      <c r="M79" s="18" t="n">
        <v>0</v>
      </c>
      <c r="N79" s="20" t="n">
        <v>0</v>
      </c>
      <c r="O79" s="18" t="n">
        <v>0</v>
      </c>
      <c r="P79" s="20" t="n">
        <v>0</v>
      </c>
      <c r="Q79" s="18" t="n">
        <v>1.68808959</v>
      </c>
      <c r="R79" s="20" t="n">
        <v>0.74664387</v>
      </c>
    </row>
    <row r="80" spans="1:18">
      <c r="A80" s="15" t="s">
        <v>640</v>
      </c>
      <c r="B80" s="17" t="n">
        <v>3798</v>
      </c>
      <c r="C80" s="18">
        <f>(2533.0/B80*100)</f>
        <v/>
      </c>
      <c r="D80" s="19" t="n">
        <v>1265</v>
      </c>
      <c r="E80" s="18" t="n">
        <v>16.29653883</v>
      </c>
      <c r="F80" s="20" t="n">
        <v>1.61289553</v>
      </c>
      <c r="G80" s="18" t="n">
        <v>83.26411812000001</v>
      </c>
      <c r="H80" s="20" t="n">
        <v>1.61491316</v>
      </c>
      <c r="I80" s="18" t="s">
        <v>567</v>
      </c>
      <c r="J80" s="20" t="s">
        <v>567</v>
      </c>
      <c r="K80" s="18" t="n">
        <v>0</v>
      </c>
      <c r="L80" s="20" t="n">
        <v>0</v>
      </c>
      <c r="M80" s="18" t="n">
        <v>0</v>
      </c>
      <c r="N80" s="20" t="n">
        <v>0</v>
      </c>
      <c r="O80" s="18" t="n">
        <v>0</v>
      </c>
      <c r="P80" s="20" t="n">
        <v>0</v>
      </c>
      <c r="Q80" s="18" t="n">
        <v>0.43934305</v>
      </c>
      <c r="R80" s="20" t="n">
        <v>0.09678004</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863</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row>
    <row r="8" spans="1:20">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row>
    <row r="9" spans="1:20">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row>
    <row r="10" spans="1:20">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row>
    <row r="11" spans="1:20">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row>
    <row r="12" spans="1:20">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row>
    <row r="13" spans="1:20">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row>
    <row r="14" spans="1:20">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row>
    <row r="15" spans="1:20">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row>
    <row r="16" spans="1:20">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row>
    <row r="17" spans="1:20">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row>
    <row r="18" spans="1:20">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row>
    <row r="19" spans="1:20">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row>
    <row r="20" spans="1:20">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row>
    <row r="21" spans="1:20">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row>
    <row r="22" spans="1:20">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row>
    <row r="23" spans="1:20">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row>
    <row r="24" spans="1:20">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row>
    <row r="25" spans="1:20">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row>
    <row r="26" spans="1:20">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row>
    <row r="27" spans="1:20">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row>
    <row r="28" spans="1:20">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row>
    <row r="29" spans="1:20">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row>
    <row r="30" spans="1:20">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row>
    <row r="31" spans="1:20">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row>
    <row r="32" spans="1:20">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row>
    <row r="33" spans="1:20">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row>
    <row r="34" spans="1:20">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row>
    <row r="35" spans="1:20">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row>
    <row r="36" spans="1:20">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row>
    <row r="37" spans="1:20">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row>
    <row r="38" spans="1:20">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row>
    <row r="39" spans="1:20">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row>
    <row r="40" spans="1:20">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row>
    <row r="41" spans="1:20">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2524</v>
      </c>
      <c r="C44" s="18">
        <f>(1641.0/B44*100)</f>
        <v/>
      </c>
      <c r="D44" s="19" t="n">
        <v>883</v>
      </c>
      <c r="E44" s="18" t="n">
        <v>41.40983075</v>
      </c>
      <c r="F44" s="20" t="n">
        <v>2.42500528</v>
      </c>
      <c r="G44" s="18" t="n">
        <v>11.53552278</v>
      </c>
      <c r="H44" s="20" t="n">
        <v>1.21188672</v>
      </c>
      <c r="I44" s="18" t="n">
        <v>10.78479175</v>
      </c>
      <c r="J44" s="20" t="n">
        <v>1.52903966</v>
      </c>
      <c r="K44" s="18" t="s">
        <v>567</v>
      </c>
      <c r="L44" s="20" t="s">
        <v>567</v>
      </c>
      <c r="M44" s="18" t="n">
        <v>3.2919061</v>
      </c>
      <c r="N44" s="20" t="n">
        <v>0.692038</v>
      </c>
      <c r="O44" s="18" t="n">
        <v>0</v>
      </c>
      <c r="P44" s="20" t="n">
        <v>0</v>
      </c>
      <c r="Q44" s="18" t="n">
        <v>0</v>
      </c>
      <c r="R44" s="20" t="n">
        <v>0</v>
      </c>
      <c r="S44" s="18" t="n">
        <v>32.97794862</v>
      </c>
      <c r="T44" s="20" t="n">
        <v>2.22558439</v>
      </c>
    </row>
    <row r="45" spans="1:20">
      <c r="A45" s="15" t="s">
        <v>605</v>
      </c>
      <c r="B45" s="17" t="n">
        <v>2849</v>
      </c>
      <c r="C45" s="18">
        <f>(1905.0/B45*100)</f>
        <v/>
      </c>
      <c r="D45" s="19" t="n">
        <v>944</v>
      </c>
      <c r="E45" s="18" t="n">
        <v>43.34070002</v>
      </c>
      <c r="F45" s="20" t="n">
        <v>1.53177822</v>
      </c>
      <c r="G45" s="18" t="n">
        <v>11.49095944</v>
      </c>
      <c r="H45" s="20" t="n">
        <v>0.89567173</v>
      </c>
      <c r="I45" s="18" t="n">
        <v>5.43628757</v>
      </c>
      <c r="J45" s="20" t="n">
        <v>0.8309881</v>
      </c>
      <c r="K45" s="18" t="s">
        <v>567</v>
      </c>
      <c r="L45" s="20" t="s">
        <v>567</v>
      </c>
      <c r="M45" s="18" t="n">
        <v>6.09395349</v>
      </c>
      <c r="N45" s="20" t="n">
        <v>0.77453306</v>
      </c>
      <c r="O45" s="18" t="n">
        <v>0.71623369</v>
      </c>
      <c r="P45" s="20" t="n">
        <v>0.29643106</v>
      </c>
      <c r="Q45" s="18" t="n">
        <v>0.11136765</v>
      </c>
      <c r="R45" s="20" t="n">
        <v>0.11461937</v>
      </c>
      <c r="S45" s="18" t="n">
        <v>32.81049814</v>
      </c>
      <c r="T45" s="20" t="n">
        <v>1.82908508</v>
      </c>
    </row>
    <row r="46" spans="1:20">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row>
    <row r="47" spans="1:20">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row>
    <row r="48" spans="1:20">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row>
    <row r="49" spans="1:20">
      <c r="A49" s="15" t="s">
        <v>609</v>
      </c>
      <c r="B49" s="17" t="n">
        <v>3018</v>
      </c>
      <c r="C49" s="18">
        <f>(1999.0/B49*100)</f>
        <v/>
      </c>
      <c r="D49" s="19" t="n">
        <v>1019</v>
      </c>
      <c r="E49" s="18" t="n">
        <v>48.28547528</v>
      </c>
      <c r="F49" s="20" t="n">
        <v>1.55882529</v>
      </c>
      <c r="G49" s="18" t="n">
        <v>13.02311153</v>
      </c>
      <c r="H49" s="20" t="n">
        <v>1.26130548</v>
      </c>
      <c r="I49" s="18" t="n">
        <v>18.7967398</v>
      </c>
      <c r="J49" s="20" t="n">
        <v>1.31260096</v>
      </c>
      <c r="K49" s="18" t="s">
        <v>567</v>
      </c>
      <c r="L49" s="20" t="s">
        <v>567</v>
      </c>
      <c r="M49" s="18" t="n">
        <v>2.15811271</v>
      </c>
      <c r="N49" s="20" t="n">
        <v>0.5101928100000001</v>
      </c>
      <c r="O49" s="18" t="n">
        <v>0.28704579</v>
      </c>
      <c r="P49" s="20" t="n">
        <v>0.26367174</v>
      </c>
      <c r="Q49" s="18" t="n">
        <v>0</v>
      </c>
      <c r="R49" s="20" t="n">
        <v>0</v>
      </c>
      <c r="S49" s="18" t="n">
        <v>17.44951489</v>
      </c>
      <c r="T49" s="20" t="n">
        <v>1.21169566</v>
      </c>
    </row>
    <row r="50" spans="1:20">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row>
    <row r="51" spans="1:20">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row>
    <row r="52" spans="1:20">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row>
    <row r="53" spans="1:20">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row>
    <row r="54" spans="1:20">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row>
    <row r="55" spans="1:20">
      <c r="A55" s="15" t="s">
        <v>615</v>
      </c>
      <c r="B55" s="17" t="n">
        <v>2759</v>
      </c>
      <c r="C55" s="18">
        <f>(1852.0/B55*100)</f>
        <v/>
      </c>
      <c r="D55" s="19" t="n">
        <v>907</v>
      </c>
      <c r="E55" s="18" t="n">
        <v>37.23873817</v>
      </c>
      <c r="F55" s="20" t="n">
        <v>1.85582528</v>
      </c>
      <c r="G55" s="18" t="n">
        <v>7.11316775</v>
      </c>
      <c r="H55" s="20" t="n">
        <v>0.963937</v>
      </c>
      <c r="I55" s="18" t="n">
        <v>9.84415091</v>
      </c>
      <c r="J55" s="20" t="n">
        <v>1.087429</v>
      </c>
      <c r="K55" s="18" t="s">
        <v>567</v>
      </c>
      <c r="L55" s="20" t="s">
        <v>567</v>
      </c>
      <c r="M55" s="18" t="n">
        <v>1.78271328</v>
      </c>
      <c r="N55" s="20" t="n">
        <v>0.48581108</v>
      </c>
      <c r="O55" s="18" t="n">
        <v>0</v>
      </c>
      <c r="P55" s="20" t="n">
        <v>0</v>
      </c>
      <c r="Q55" s="18" t="n">
        <v>0.47252219</v>
      </c>
      <c r="R55" s="20" t="n">
        <v>0.2448549</v>
      </c>
      <c r="S55" s="18" t="n">
        <v>43.54870771</v>
      </c>
      <c r="T55" s="20" t="n">
        <v>1.99650026</v>
      </c>
    </row>
    <row r="56" spans="1:20">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row>
    <row r="57" spans="1:20">
      <c r="A57" s="15" t="s">
        <v>617</v>
      </c>
      <c r="B57" s="17" t="n">
        <v>3170</v>
      </c>
      <c r="C57" s="18">
        <f>(2125.0/B57*100)</f>
        <v/>
      </c>
      <c r="D57" s="19" t="n">
        <v>1045</v>
      </c>
      <c r="E57" s="18" t="n">
        <v>60.737645</v>
      </c>
      <c r="F57" s="20" t="n">
        <v>1.79050041</v>
      </c>
      <c r="G57" s="18" t="n">
        <v>19.62672229</v>
      </c>
      <c r="H57" s="20" t="n">
        <v>1.44218565</v>
      </c>
      <c r="I57" s="18" t="n">
        <v>5.81880321</v>
      </c>
      <c r="J57" s="20" t="n">
        <v>0.64993591</v>
      </c>
      <c r="K57" s="18" t="s">
        <v>567</v>
      </c>
      <c r="L57" s="20" t="s">
        <v>567</v>
      </c>
      <c r="M57" s="18" t="n">
        <v>2.55063102</v>
      </c>
      <c r="N57" s="20" t="n">
        <v>0.6000459</v>
      </c>
      <c r="O57" s="18" t="n">
        <v>0</v>
      </c>
      <c r="P57" s="20" t="n">
        <v>0</v>
      </c>
      <c r="Q57" s="18" t="n">
        <v>0</v>
      </c>
      <c r="R57" s="20" t="n">
        <v>0</v>
      </c>
      <c r="S57" s="18" t="n">
        <v>11.26619848</v>
      </c>
      <c r="T57" s="20" t="n">
        <v>1.41611058</v>
      </c>
    </row>
    <row r="58" spans="1:20">
      <c r="A58" s="15" t="s">
        <v>618</v>
      </c>
      <c r="B58" s="17" t="n">
        <v>3530</v>
      </c>
      <c r="C58" s="18">
        <f>(2348.0/B58*100)</f>
        <v/>
      </c>
      <c r="D58" s="19" t="n">
        <v>1182</v>
      </c>
      <c r="E58" s="18" t="n">
        <v>49.28778111</v>
      </c>
      <c r="F58" s="20" t="n">
        <v>1.47462291</v>
      </c>
      <c r="G58" s="18" t="n">
        <v>9.297315469999999</v>
      </c>
      <c r="H58" s="20" t="n">
        <v>0.83396145</v>
      </c>
      <c r="I58" s="18" t="n">
        <v>4.07249895</v>
      </c>
      <c r="J58" s="20" t="n">
        <v>0.56068391</v>
      </c>
      <c r="K58" s="18" t="s">
        <v>567</v>
      </c>
      <c r="L58" s="20" t="s">
        <v>567</v>
      </c>
      <c r="M58" s="18" t="n">
        <v>2.8261662</v>
      </c>
      <c r="N58" s="20" t="n">
        <v>0.56861125</v>
      </c>
      <c r="O58" s="18" t="n">
        <v>0</v>
      </c>
      <c r="P58" s="20" t="n">
        <v>0</v>
      </c>
      <c r="Q58" s="18" t="n">
        <v>0</v>
      </c>
      <c r="R58" s="20" t="n">
        <v>0</v>
      </c>
      <c r="S58" s="18" t="n">
        <v>34.51623827</v>
      </c>
      <c r="T58" s="20" t="n">
        <v>1.67679958</v>
      </c>
    </row>
    <row r="59" spans="1:20">
      <c r="A59" s="15" t="s">
        <v>619</v>
      </c>
      <c r="B59" s="17" t="n">
        <v>2548</v>
      </c>
      <c r="C59" s="18">
        <f>(1667.0/B59*100)</f>
        <v/>
      </c>
      <c r="D59" s="19" t="n">
        <v>881</v>
      </c>
      <c r="E59" s="18" t="n">
        <v>62.80009646</v>
      </c>
      <c r="F59" s="20" t="n">
        <v>1.65467253</v>
      </c>
      <c r="G59" s="18" t="n">
        <v>10.88660612</v>
      </c>
      <c r="H59" s="20" t="n">
        <v>1.39643611</v>
      </c>
      <c r="I59" s="18" t="n">
        <v>4.41187331</v>
      </c>
      <c r="J59" s="20" t="n">
        <v>1.01248862</v>
      </c>
      <c r="K59" s="18" t="s">
        <v>567</v>
      </c>
      <c r="L59" s="20" t="s">
        <v>567</v>
      </c>
      <c r="M59" s="18" t="n">
        <v>0.44871286</v>
      </c>
      <c r="N59" s="20" t="n">
        <v>0.19018067</v>
      </c>
      <c r="O59" s="18" t="n">
        <v>0</v>
      </c>
      <c r="P59" s="20" t="n">
        <v>0</v>
      </c>
      <c r="Q59" s="18" t="n">
        <v>0</v>
      </c>
      <c r="R59" s="20" t="n">
        <v>0</v>
      </c>
      <c r="S59" s="18" t="n">
        <v>21.45271125</v>
      </c>
      <c r="T59" s="20" t="n">
        <v>1.51207625</v>
      </c>
    </row>
    <row r="60" spans="1:20">
      <c r="A60" s="15" t="s">
        <v>620</v>
      </c>
      <c r="B60" s="17" t="n">
        <v>2095</v>
      </c>
      <c r="C60" s="18">
        <f>(1400.0/B60*100)</f>
        <v/>
      </c>
      <c r="D60" s="19" t="n">
        <v>695</v>
      </c>
      <c r="E60" s="18" t="n">
        <v>34.17673387</v>
      </c>
      <c r="F60" s="20" t="n">
        <v>2.10285794</v>
      </c>
      <c r="G60" s="18" t="n">
        <v>10.1839552</v>
      </c>
      <c r="H60" s="20" t="n">
        <v>1.15973444</v>
      </c>
      <c r="I60" s="18" t="n">
        <v>14.82030755</v>
      </c>
      <c r="J60" s="20" t="n">
        <v>1.34507314</v>
      </c>
      <c r="K60" s="18" t="s">
        <v>567</v>
      </c>
      <c r="L60" s="20" t="s">
        <v>567</v>
      </c>
      <c r="M60" s="18" t="n">
        <v>5.50396327</v>
      </c>
      <c r="N60" s="20" t="n">
        <v>1.03788198</v>
      </c>
      <c r="O60" s="18" t="n">
        <v>0</v>
      </c>
      <c r="P60" s="20" t="n">
        <v>0</v>
      </c>
      <c r="Q60" s="18" t="n">
        <v>0.13782769</v>
      </c>
      <c r="R60" s="20" t="n">
        <v>0.10215911</v>
      </c>
      <c r="S60" s="18" t="n">
        <v>35.17721241</v>
      </c>
      <c r="T60" s="20" t="n">
        <v>2.71413553</v>
      </c>
    </row>
    <row r="61" spans="1:20">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row>
    <row r="62" spans="1:20">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row>
    <row r="63" spans="1:20">
      <c r="A63" s="15" t="s">
        <v>623</v>
      </c>
      <c r="B63" s="17" t="n">
        <v>2813</v>
      </c>
      <c r="C63" s="18">
        <f>(1882.0/B63*100)</f>
        <v/>
      </c>
      <c r="D63" s="19" t="n">
        <v>931</v>
      </c>
      <c r="E63" s="18" t="n">
        <v>28.4397995</v>
      </c>
      <c r="F63" s="20" t="n">
        <v>1.76317462</v>
      </c>
      <c r="G63" s="18" t="n">
        <v>13.44294944</v>
      </c>
      <c r="H63" s="20" t="n">
        <v>1.25541272</v>
      </c>
      <c r="I63" s="18" t="n">
        <v>11.04726075</v>
      </c>
      <c r="J63" s="20" t="n">
        <v>1.19233169</v>
      </c>
      <c r="K63" s="18" t="s">
        <v>567</v>
      </c>
      <c r="L63" s="20" t="s">
        <v>567</v>
      </c>
      <c r="M63" s="18" t="n">
        <v>2.65639641</v>
      </c>
      <c r="N63" s="20" t="n">
        <v>0.6042422</v>
      </c>
      <c r="O63" s="18" t="n">
        <v>0</v>
      </c>
      <c r="P63" s="20" t="n">
        <v>0</v>
      </c>
      <c r="Q63" s="18" t="n">
        <v>0</v>
      </c>
      <c r="R63" s="20" t="n">
        <v>0</v>
      </c>
      <c r="S63" s="18" t="n">
        <v>44.41359391</v>
      </c>
      <c r="T63" s="20" t="n">
        <v>1.72670724</v>
      </c>
    </row>
    <row r="64" spans="1:20">
      <c r="A64" s="15" t="s">
        <v>624</v>
      </c>
      <c r="B64" s="17" t="n">
        <v>1844</v>
      </c>
      <c r="C64" s="18">
        <f>(1218.0/B64*100)</f>
        <v/>
      </c>
      <c r="D64" s="19" t="n">
        <v>626</v>
      </c>
      <c r="E64" s="18" t="n">
        <v>30.03938922</v>
      </c>
      <c r="F64" s="20" t="n">
        <v>1.9738559</v>
      </c>
      <c r="G64" s="18" t="n">
        <v>26.29151033</v>
      </c>
      <c r="H64" s="20" t="n">
        <v>1.5196172</v>
      </c>
      <c r="I64" s="18" t="n">
        <v>18.78850883</v>
      </c>
      <c r="J64" s="20" t="n">
        <v>1.58925557</v>
      </c>
      <c r="K64" s="18" t="s">
        <v>567</v>
      </c>
      <c r="L64" s="20" t="s">
        <v>567</v>
      </c>
      <c r="M64" s="18" t="n">
        <v>4.01132224</v>
      </c>
      <c r="N64" s="20" t="n">
        <v>0.74653527</v>
      </c>
      <c r="O64" s="18" t="n">
        <v>0</v>
      </c>
      <c r="P64" s="20" t="n">
        <v>0</v>
      </c>
      <c r="Q64" s="18" t="n">
        <v>0</v>
      </c>
      <c r="R64" s="20" t="n">
        <v>0</v>
      </c>
      <c r="S64" s="18" t="n">
        <v>20.86926939</v>
      </c>
      <c r="T64" s="20" t="n">
        <v>1.61159621</v>
      </c>
    </row>
    <row r="65" spans="1:20">
      <c r="A65" s="15" t="s">
        <v>625</v>
      </c>
      <c r="B65" s="17" t="n">
        <v>2691</v>
      </c>
      <c r="C65" s="18">
        <f>(1757.0/B65*100)</f>
        <v/>
      </c>
      <c r="D65" s="19" t="n">
        <v>934</v>
      </c>
      <c r="E65" s="18" t="n">
        <v>39.93668413</v>
      </c>
      <c r="F65" s="20" t="n">
        <v>2.03479155</v>
      </c>
      <c r="G65" s="18" t="n">
        <v>15.2836974</v>
      </c>
      <c r="H65" s="20" t="n">
        <v>1.63442087</v>
      </c>
      <c r="I65" s="18" t="n">
        <v>7.93586625</v>
      </c>
      <c r="J65" s="20" t="n">
        <v>0.93886985</v>
      </c>
      <c r="K65" s="18" t="s">
        <v>567</v>
      </c>
      <c r="L65" s="20" t="s">
        <v>567</v>
      </c>
      <c r="M65" s="18" t="n">
        <v>6.18891391</v>
      </c>
      <c r="N65" s="20" t="n">
        <v>0.88648988</v>
      </c>
      <c r="O65" s="18" t="n">
        <v>0</v>
      </c>
      <c r="P65" s="20" t="n">
        <v>0</v>
      </c>
      <c r="Q65" s="18" t="n">
        <v>0</v>
      </c>
      <c r="R65" s="20" t="n">
        <v>0</v>
      </c>
      <c r="S65" s="18" t="n">
        <v>30.65483832</v>
      </c>
      <c r="T65" s="20" t="n">
        <v>1.66491141</v>
      </c>
    </row>
    <row r="66" spans="1:20">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row>
    <row r="67" spans="1:20">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row>
    <row r="68" spans="1:20">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row>
    <row r="69" spans="1:20">
      <c r="A69" s="15" t="s">
        <v>629</v>
      </c>
      <c r="B69" s="17" t="n">
        <v>2410</v>
      </c>
      <c r="C69" s="18">
        <f>(1635.0/B69*100)</f>
        <v/>
      </c>
      <c r="D69" s="19" t="n">
        <v>775</v>
      </c>
      <c r="E69" s="18" t="n">
        <v>62.8448253</v>
      </c>
      <c r="F69" s="20" t="n">
        <v>1.74823262</v>
      </c>
      <c r="G69" s="18" t="n">
        <v>23.85717768</v>
      </c>
      <c r="H69" s="20" t="n">
        <v>1.43157253</v>
      </c>
      <c r="I69" s="18" t="n">
        <v>13.17263123</v>
      </c>
      <c r="J69" s="20" t="n">
        <v>1.08497968</v>
      </c>
      <c r="K69" s="18" t="s">
        <v>567</v>
      </c>
      <c r="L69" s="20" t="s">
        <v>567</v>
      </c>
      <c r="M69" s="18" t="n">
        <v>0.12536579</v>
      </c>
      <c r="N69" s="20" t="n">
        <v>0.12515365</v>
      </c>
      <c r="O69" s="18" t="n">
        <v>0</v>
      </c>
      <c r="P69" s="20" t="n">
        <v>0</v>
      </c>
      <c r="Q69" s="18" t="n">
        <v>0</v>
      </c>
      <c r="R69" s="20" t="n">
        <v>0</v>
      </c>
      <c r="S69" s="18" t="n">
        <v>0</v>
      </c>
      <c r="T69" s="20" t="n">
        <v>0</v>
      </c>
    </row>
    <row r="70" spans="1:20">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row>
    <row r="71" spans="1:20">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row>
    <row r="72" spans="1:20">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row>
    <row r="73" spans="1:20">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row>
    <row r="74" spans="1:20">
      <c r="A74" s="15" t="s">
        <v>634</v>
      </c>
      <c r="B74" s="17" t="n">
        <v>2239</v>
      </c>
      <c r="C74" s="18">
        <f>(1488.0/B74*100)</f>
        <v/>
      </c>
      <c r="D74" s="19" t="n">
        <v>751</v>
      </c>
      <c r="E74" s="18" t="n">
        <v>37.40218671</v>
      </c>
      <c r="F74" s="20" t="n">
        <v>1.90936857</v>
      </c>
      <c r="G74" s="18" t="n">
        <v>21.39328959</v>
      </c>
      <c r="H74" s="20" t="n">
        <v>1.70934508</v>
      </c>
      <c r="I74" s="18" t="n">
        <v>6.49459691</v>
      </c>
      <c r="J74" s="20" t="n">
        <v>1.00113176</v>
      </c>
      <c r="K74" s="18" t="s">
        <v>567</v>
      </c>
      <c r="L74" s="20" t="s">
        <v>567</v>
      </c>
      <c r="M74" s="18" t="n">
        <v>6.03041805</v>
      </c>
      <c r="N74" s="20" t="n">
        <v>1.02343277</v>
      </c>
      <c r="O74" s="18" t="n">
        <v>0</v>
      </c>
      <c r="P74" s="20" t="n">
        <v>0</v>
      </c>
      <c r="Q74" s="18" t="n">
        <v>0</v>
      </c>
      <c r="R74" s="20" t="n">
        <v>0</v>
      </c>
      <c r="S74" s="18" t="n">
        <v>28.67950873</v>
      </c>
      <c r="T74" s="20" t="n">
        <v>1.98019479</v>
      </c>
    </row>
    <row r="75" spans="1:20">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row>
    <row r="76" spans="1:20">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row>
    <row r="77" spans="1:20">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row>
    <row r="78" spans="1:20">
      <c r="A78" s="15" t="s">
        <v>638</v>
      </c>
      <c r="B78" s="17" t="n">
        <v>2786</v>
      </c>
      <c r="C78" s="18">
        <f>(1885.0/B78*100)</f>
        <v/>
      </c>
      <c r="D78" s="19" t="n">
        <v>901</v>
      </c>
      <c r="E78" s="18" t="n">
        <v>39.44222821</v>
      </c>
      <c r="F78" s="20" t="n">
        <v>2.23627518</v>
      </c>
      <c r="G78" s="18" t="n">
        <v>33.91915251</v>
      </c>
      <c r="H78" s="20" t="n">
        <v>2.00310999</v>
      </c>
      <c r="I78" s="18" t="n">
        <v>23.61841258</v>
      </c>
      <c r="J78" s="20" t="n">
        <v>1.78881357</v>
      </c>
      <c r="K78" s="18" t="s">
        <v>567</v>
      </c>
      <c r="L78" s="20" t="s">
        <v>567</v>
      </c>
      <c r="M78" s="18" t="n">
        <v>0</v>
      </c>
      <c r="N78" s="20" t="n">
        <v>0</v>
      </c>
      <c r="O78" s="18" t="n">
        <v>0</v>
      </c>
      <c r="P78" s="20" t="n">
        <v>0</v>
      </c>
      <c r="Q78" s="18" t="n">
        <v>0</v>
      </c>
      <c r="R78" s="20" t="n">
        <v>0</v>
      </c>
      <c r="S78" s="18" t="n">
        <v>3.0202067</v>
      </c>
      <c r="T78" s="20" t="n">
        <v>0.71877407</v>
      </c>
    </row>
    <row customHeight="1" ht="25" r="79" spans="1:20">
      <c r="A79" s="15" t="s">
        <v>639</v>
      </c>
      <c r="B79" s="17" t="n">
        <v>787</v>
      </c>
      <c r="C79" s="18">
        <f>(524.0/B79*100)</f>
        <v/>
      </c>
      <c r="D79" s="19" t="n">
        <v>263</v>
      </c>
      <c r="E79" s="18" t="n">
        <v>40.23710159</v>
      </c>
      <c r="F79" s="20" t="n">
        <v>2.74758174</v>
      </c>
      <c r="G79" s="18" t="n">
        <v>15.02763628</v>
      </c>
      <c r="H79" s="20" t="n">
        <v>2.15482384</v>
      </c>
      <c r="I79" s="18" t="n">
        <v>25.96429702</v>
      </c>
      <c r="J79" s="20" t="n">
        <v>2.94645115</v>
      </c>
      <c r="K79" s="18" t="s">
        <v>567</v>
      </c>
      <c r="L79" s="20" t="s">
        <v>567</v>
      </c>
      <c r="M79" s="18" t="n">
        <v>4.40853226</v>
      </c>
      <c r="N79" s="20" t="n">
        <v>1.14129859</v>
      </c>
      <c r="O79" s="18" t="n">
        <v>0</v>
      </c>
      <c r="P79" s="20" t="n">
        <v>0</v>
      </c>
      <c r="Q79" s="18" t="n">
        <v>0</v>
      </c>
      <c r="R79" s="20" t="n">
        <v>0</v>
      </c>
      <c r="S79" s="18" t="n">
        <v>14.36243285</v>
      </c>
      <c r="T79" s="20" t="n">
        <v>1.88325133</v>
      </c>
    </row>
    <row r="80" spans="1:20">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(1641.0/B44*100)</f>
        <v/>
      </c>
      <c r="D44" s="19" t="n">
        <v>883</v>
      </c>
      <c r="E44" s="18" t="n">
        <v>61.76458126</v>
      </c>
      <c r="F44" s="20" t="n">
        <v>2.16824855</v>
      </c>
      <c r="G44" s="18" t="n">
        <v>28.96069373</v>
      </c>
      <c r="H44" s="20" t="n">
        <v>2.00615751</v>
      </c>
      <c r="I44" s="18" t="s">
        <v>567</v>
      </c>
      <c r="J44" s="20" t="s">
        <v>567</v>
      </c>
      <c r="K44" s="18" t="n">
        <v>3.2919061</v>
      </c>
      <c r="L44" s="20" t="n">
        <v>0.692038</v>
      </c>
      <c r="M44" s="18" t="n">
        <v>0</v>
      </c>
      <c r="N44" s="20" t="n">
        <v>0</v>
      </c>
      <c r="O44" s="18" t="n">
        <v>0</v>
      </c>
      <c r="P44" s="20" t="n">
        <v>0</v>
      </c>
      <c r="Q44" s="18" t="n">
        <v>5.98281891</v>
      </c>
      <c r="R44" s="20" t="n">
        <v>1.08855382</v>
      </c>
    </row>
    <row r="45" spans="1:18">
      <c r="A45" s="15" t="s">
        <v>605</v>
      </c>
      <c r="B45" s="17" t="n">
        <v>2849</v>
      </c>
      <c r="C45" s="18">
        <f>(1905.0/B45*100)</f>
        <v/>
      </c>
      <c r="D45" s="19" t="n">
        <v>944</v>
      </c>
      <c r="E45" s="18" t="n">
        <v>55.88076289</v>
      </c>
      <c r="F45" s="20" t="n">
        <v>1.7115255</v>
      </c>
      <c r="G45" s="18" t="n">
        <v>33.10443416</v>
      </c>
      <c r="H45" s="20" t="n">
        <v>1.78916422</v>
      </c>
      <c r="I45" s="18" t="s">
        <v>567</v>
      </c>
      <c r="J45" s="20" t="s">
        <v>567</v>
      </c>
      <c r="K45" s="18" t="n">
        <v>6.19475104</v>
      </c>
      <c r="L45" s="20" t="n">
        <v>0.77793433</v>
      </c>
      <c r="M45" s="18" t="n">
        <v>0.08683425</v>
      </c>
      <c r="N45" s="20" t="n">
        <v>0.08821443</v>
      </c>
      <c r="O45" s="18" t="n">
        <v>0.1246971</v>
      </c>
      <c r="P45" s="20" t="n">
        <v>0.10308626</v>
      </c>
      <c r="Q45" s="18" t="n">
        <v>4.60852057</v>
      </c>
      <c r="R45" s="20" t="n">
        <v>0.82728815</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(1999.0/B49*100)</f>
        <v/>
      </c>
      <c r="D49" s="19" t="n">
        <v>1019</v>
      </c>
      <c r="E49" s="18" t="n">
        <v>44.23765072</v>
      </c>
      <c r="F49" s="20" t="n">
        <v>1.92351856</v>
      </c>
      <c r="G49" s="18" t="n">
        <v>51.9331081</v>
      </c>
      <c r="H49" s="20" t="n">
        <v>2.05106906</v>
      </c>
      <c r="I49" s="18" t="s">
        <v>567</v>
      </c>
      <c r="J49" s="20" t="s">
        <v>567</v>
      </c>
      <c r="K49" s="18" t="n">
        <v>2.15811271</v>
      </c>
      <c r="L49" s="20" t="n">
        <v>0.5101928100000001</v>
      </c>
      <c r="M49" s="18" t="n">
        <v>0</v>
      </c>
      <c r="N49" s="20" t="n">
        <v>0</v>
      </c>
      <c r="O49" s="18" t="n">
        <v>0</v>
      </c>
      <c r="P49" s="20" t="n">
        <v>0</v>
      </c>
      <c r="Q49" s="18" t="n">
        <v>1.67112847</v>
      </c>
      <c r="R49" s="20" t="n">
        <v>0.3894826</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(1852.0/B55*100)</f>
        <v/>
      </c>
      <c r="D55" s="19" t="n">
        <v>907</v>
      </c>
      <c r="E55" s="18" t="n">
        <v>51.47759437</v>
      </c>
      <c r="F55" s="20" t="n">
        <v>1.85114382</v>
      </c>
      <c r="G55" s="18" t="n">
        <v>43.78997395</v>
      </c>
      <c r="H55" s="20" t="n">
        <v>1.79726871</v>
      </c>
      <c r="I55" s="18" t="s">
        <v>567</v>
      </c>
      <c r="J55" s="20" t="s">
        <v>567</v>
      </c>
      <c r="K55" s="18" t="n">
        <v>1.86072778</v>
      </c>
      <c r="L55" s="20" t="n">
        <v>0.49275931</v>
      </c>
      <c r="M55" s="18" t="n">
        <v>0</v>
      </c>
      <c r="N55" s="20" t="n">
        <v>0</v>
      </c>
      <c r="O55" s="18" t="n">
        <v>0</v>
      </c>
      <c r="P55" s="20" t="n">
        <v>0</v>
      </c>
      <c r="Q55" s="18" t="n">
        <v>2.8717039</v>
      </c>
      <c r="R55" s="20" t="n">
        <v>0.63550291</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57.71316524</v>
      </c>
      <c r="F57" s="20" t="n">
        <v>1.66385689</v>
      </c>
      <c r="G57" s="18" t="n">
        <v>38.35407102</v>
      </c>
      <c r="H57" s="20" t="n">
        <v>1.69618289</v>
      </c>
      <c r="I57" s="18" t="s">
        <v>567</v>
      </c>
      <c r="J57" s="20" t="s">
        <v>567</v>
      </c>
      <c r="K57" s="18" t="n">
        <v>2.55063102</v>
      </c>
      <c r="L57" s="20" t="n">
        <v>0.6000459</v>
      </c>
      <c r="M57" s="18" t="n">
        <v>0</v>
      </c>
      <c r="N57" s="20" t="n">
        <v>0</v>
      </c>
      <c r="O57" s="18" t="n">
        <v>0</v>
      </c>
      <c r="P57" s="20" t="n">
        <v>0</v>
      </c>
      <c r="Q57" s="18" t="n">
        <v>1.38213272</v>
      </c>
      <c r="R57" s="20" t="n">
        <v>0.38824307</v>
      </c>
    </row>
    <row r="58" spans="1:18">
      <c r="A58" s="15" t="s">
        <v>618</v>
      </c>
      <c r="B58" s="17" t="n">
        <v>3530</v>
      </c>
      <c r="C58" s="18">
        <f>(2348.0/B58*100)</f>
        <v/>
      </c>
      <c r="D58" s="19" t="n">
        <v>1182</v>
      </c>
      <c r="E58" s="18" t="n">
        <v>55.90814599</v>
      </c>
      <c r="F58" s="20" t="n">
        <v>1.84875333</v>
      </c>
      <c r="G58" s="18" t="n">
        <v>38.20842645</v>
      </c>
      <c r="H58" s="20" t="n">
        <v>1.92006476</v>
      </c>
      <c r="I58" s="18" t="s">
        <v>567</v>
      </c>
      <c r="J58" s="20" t="s">
        <v>567</v>
      </c>
      <c r="K58" s="18" t="n">
        <v>2.96693635</v>
      </c>
      <c r="L58" s="20" t="n">
        <v>0.58281259</v>
      </c>
      <c r="M58" s="18" t="n">
        <v>0</v>
      </c>
      <c r="N58" s="20" t="n">
        <v>0</v>
      </c>
      <c r="O58" s="18" t="n">
        <v>0</v>
      </c>
      <c r="P58" s="20" t="n">
        <v>0</v>
      </c>
      <c r="Q58" s="18" t="n">
        <v>2.91649121</v>
      </c>
      <c r="R58" s="20" t="n">
        <v>0.56302093</v>
      </c>
    </row>
    <row r="59" spans="1:18">
      <c r="A59" s="15" t="s">
        <v>619</v>
      </c>
      <c r="B59" s="17" t="n">
        <v>2548</v>
      </c>
      <c r="C59" s="18">
        <f>(1667.0/B59*100)</f>
        <v/>
      </c>
      <c r="D59" s="19" t="n">
        <v>881</v>
      </c>
      <c r="E59" s="18" t="n">
        <v>61.70232301</v>
      </c>
      <c r="F59" s="20" t="n">
        <v>1.87663198</v>
      </c>
      <c r="G59" s="18" t="n">
        <v>35.68363897</v>
      </c>
      <c r="H59" s="20" t="n">
        <v>1.99105342</v>
      </c>
      <c r="I59" s="18" t="s">
        <v>567</v>
      </c>
      <c r="J59" s="20" t="s">
        <v>567</v>
      </c>
      <c r="K59" s="18" t="n">
        <v>0.44871286</v>
      </c>
      <c r="L59" s="20" t="n">
        <v>0.19018067</v>
      </c>
      <c r="M59" s="18" t="n">
        <v>0</v>
      </c>
      <c r="N59" s="20" t="n">
        <v>0</v>
      </c>
      <c r="O59" s="18" t="n">
        <v>0.16282481</v>
      </c>
      <c r="P59" s="20" t="n">
        <v>0.16234906</v>
      </c>
      <c r="Q59" s="18" t="n">
        <v>2.00250035</v>
      </c>
      <c r="R59" s="20" t="n">
        <v>0.52010257</v>
      </c>
    </row>
    <row r="60" spans="1:18">
      <c r="A60" s="15" t="s">
        <v>620</v>
      </c>
      <c r="B60" s="17" t="n">
        <v>2095</v>
      </c>
      <c r="C60" s="18">
        <f>(1400.0/B60*100)</f>
        <v/>
      </c>
      <c r="D60" s="19" t="n">
        <v>695</v>
      </c>
      <c r="E60" s="18" t="n">
        <v>43.10867476</v>
      </c>
      <c r="F60" s="20" t="n">
        <v>2.04559928</v>
      </c>
      <c r="G60" s="18" t="n">
        <v>44.92029379</v>
      </c>
      <c r="H60" s="20" t="n">
        <v>2.259353</v>
      </c>
      <c r="I60" s="18" t="s">
        <v>567</v>
      </c>
      <c r="J60" s="20" t="s">
        <v>567</v>
      </c>
      <c r="K60" s="18" t="n">
        <v>5.50396327</v>
      </c>
      <c r="L60" s="20" t="n">
        <v>1.03788198</v>
      </c>
      <c r="M60" s="18" t="n">
        <v>0</v>
      </c>
      <c r="N60" s="20" t="n">
        <v>0</v>
      </c>
      <c r="O60" s="18" t="n">
        <v>0.29424435</v>
      </c>
      <c r="P60" s="20" t="n">
        <v>0.20827856</v>
      </c>
      <c r="Q60" s="18" t="n">
        <v>6.17282382</v>
      </c>
      <c r="R60" s="20" t="n">
        <v>1.03912487</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(1882.0/B63*100)</f>
        <v/>
      </c>
      <c r="D63" s="19" t="n">
        <v>931</v>
      </c>
      <c r="E63" s="18" t="n">
        <v>61.87747581</v>
      </c>
      <c r="F63" s="20" t="n">
        <v>1.77396201</v>
      </c>
      <c r="G63" s="18" t="n">
        <v>31.23559754</v>
      </c>
      <c r="H63" s="20" t="n">
        <v>1.67045109</v>
      </c>
      <c r="I63" s="18" t="s">
        <v>567</v>
      </c>
      <c r="J63" s="20" t="s">
        <v>567</v>
      </c>
      <c r="K63" s="18" t="n">
        <v>2.72643623</v>
      </c>
      <c r="L63" s="20" t="n">
        <v>0.6071122799999999</v>
      </c>
      <c r="M63" s="18" t="n">
        <v>0</v>
      </c>
      <c r="N63" s="20" t="n">
        <v>0</v>
      </c>
      <c r="O63" s="18" t="n">
        <v>0</v>
      </c>
      <c r="P63" s="20" t="n">
        <v>0</v>
      </c>
      <c r="Q63" s="18" t="n">
        <v>4.16049042</v>
      </c>
      <c r="R63" s="20" t="n">
        <v>0.72426423</v>
      </c>
    </row>
    <row r="64" spans="1:18">
      <c r="A64" s="15" t="s">
        <v>624</v>
      </c>
      <c r="B64" s="17" t="n">
        <v>1844</v>
      </c>
      <c r="C64" s="18">
        <f>(1218.0/B64*100)</f>
        <v/>
      </c>
      <c r="D64" s="19" t="n">
        <v>626</v>
      </c>
      <c r="E64" s="18" t="n">
        <v>41.39713692</v>
      </c>
      <c r="F64" s="20" t="n">
        <v>1.96635344</v>
      </c>
      <c r="G64" s="18" t="n">
        <v>51.94790145</v>
      </c>
      <c r="H64" s="20" t="n">
        <v>2.01181112</v>
      </c>
      <c r="I64" s="18" t="s">
        <v>567</v>
      </c>
      <c r="J64" s="20" t="s">
        <v>567</v>
      </c>
      <c r="K64" s="18" t="n">
        <v>4.01132224</v>
      </c>
      <c r="L64" s="20" t="n">
        <v>0.74653527</v>
      </c>
      <c r="M64" s="18" t="n">
        <v>0</v>
      </c>
      <c r="N64" s="20" t="n">
        <v>0</v>
      </c>
      <c r="O64" s="18" t="n">
        <v>0.14974066</v>
      </c>
      <c r="P64" s="20" t="n">
        <v>0.15031209</v>
      </c>
      <c r="Q64" s="18" t="n">
        <v>2.49389874</v>
      </c>
      <c r="R64" s="20" t="n">
        <v>0.57337039</v>
      </c>
    </row>
    <row r="65" spans="1:18">
      <c r="A65" s="15" t="s">
        <v>625</v>
      </c>
      <c r="B65" s="17" t="n">
        <v>2691</v>
      </c>
      <c r="C65" s="18">
        <f>(1757.0/B65*100)</f>
        <v/>
      </c>
      <c r="D65" s="19" t="n">
        <v>934</v>
      </c>
      <c r="E65" s="18" t="n">
        <v>45.31300908</v>
      </c>
      <c r="F65" s="20" t="n">
        <v>1.91624035</v>
      </c>
      <c r="G65" s="18" t="n">
        <v>44.13220074</v>
      </c>
      <c r="H65" s="20" t="n">
        <v>1.81225192</v>
      </c>
      <c r="I65" s="18" t="s">
        <v>567</v>
      </c>
      <c r="J65" s="20" t="s">
        <v>567</v>
      </c>
      <c r="K65" s="18" t="n">
        <v>6.40123343</v>
      </c>
      <c r="L65" s="20" t="n">
        <v>0.89525111</v>
      </c>
      <c r="M65" s="18" t="n">
        <v>0</v>
      </c>
      <c r="N65" s="20" t="n">
        <v>0</v>
      </c>
      <c r="O65" s="18" t="n">
        <v>0</v>
      </c>
      <c r="P65" s="20" t="n">
        <v>0</v>
      </c>
      <c r="Q65" s="18" t="n">
        <v>4.15355675</v>
      </c>
      <c r="R65" s="20" t="n">
        <v>0.70781511</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(1635.0/B69*100)</f>
        <v/>
      </c>
      <c r="D69" s="19" t="n">
        <v>775</v>
      </c>
      <c r="E69" s="18" t="n">
        <v>53.70042971</v>
      </c>
      <c r="F69" s="20" t="n">
        <v>1.94411875</v>
      </c>
      <c r="G69" s="18" t="n">
        <v>46.07231066</v>
      </c>
      <c r="H69" s="20" t="n">
        <v>1.94228731</v>
      </c>
      <c r="I69" s="18" t="s">
        <v>567</v>
      </c>
      <c r="J69" s="20" t="s">
        <v>567</v>
      </c>
      <c r="K69" s="18" t="n">
        <v>0.12536579</v>
      </c>
      <c r="L69" s="20" t="n">
        <v>0.12515365</v>
      </c>
      <c r="M69" s="18" t="n">
        <v>0</v>
      </c>
      <c r="N69" s="20" t="n">
        <v>0</v>
      </c>
      <c r="O69" s="18" t="n">
        <v>0</v>
      </c>
      <c r="P69" s="20" t="n">
        <v>0</v>
      </c>
      <c r="Q69" s="18" t="n">
        <v>0.10189383</v>
      </c>
      <c r="R69" s="20" t="n">
        <v>0.10090249</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(1488.0/B74*100)</f>
        <v/>
      </c>
      <c r="D74" s="19" t="n">
        <v>751</v>
      </c>
      <c r="E74" s="18" t="n">
        <v>46.38373372</v>
      </c>
      <c r="F74" s="20" t="n">
        <v>1.69818185</v>
      </c>
      <c r="G74" s="18" t="n">
        <v>40.72307181</v>
      </c>
      <c r="H74" s="20" t="n">
        <v>1.58421399</v>
      </c>
      <c r="I74" s="18" t="s">
        <v>567</v>
      </c>
      <c r="J74" s="20" t="s">
        <v>567</v>
      </c>
      <c r="K74" s="18" t="n">
        <v>6.0982413</v>
      </c>
      <c r="L74" s="20" t="n">
        <v>1.0210606</v>
      </c>
      <c r="M74" s="18" t="n">
        <v>0</v>
      </c>
      <c r="N74" s="20" t="n">
        <v>0</v>
      </c>
      <c r="O74" s="18" t="n">
        <v>0</v>
      </c>
      <c r="P74" s="20" t="n">
        <v>0</v>
      </c>
      <c r="Q74" s="18" t="n">
        <v>6.79495317</v>
      </c>
      <c r="R74" s="20" t="n">
        <v>1.02743153</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(1885.0/B78*100)</f>
        <v/>
      </c>
      <c r="D78" s="19" t="n">
        <v>901</v>
      </c>
      <c r="E78" s="18" t="n">
        <v>30.57154751</v>
      </c>
      <c r="F78" s="20" t="n">
        <v>1.78572942</v>
      </c>
      <c r="G78" s="18" t="n">
        <v>69.42845249</v>
      </c>
      <c r="H78" s="20" t="n">
        <v>1.78572942</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(524.0/B79*100)</f>
        <v/>
      </c>
      <c r="D79" s="19" t="n">
        <v>263</v>
      </c>
      <c r="E79" s="18" t="n">
        <v>38.63468869</v>
      </c>
      <c r="F79" s="20" t="n">
        <v>3.00333206</v>
      </c>
      <c r="G79" s="18" t="n">
        <v>54.80505502</v>
      </c>
      <c r="H79" s="20" t="n">
        <v>2.85875414</v>
      </c>
      <c r="I79" s="18" t="s">
        <v>567</v>
      </c>
      <c r="J79" s="20" t="s">
        <v>567</v>
      </c>
      <c r="K79" s="18" t="n">
        <v>4.40853226</v>
      </c>
      <c r="L79" s="20" t="n">
        <v>1.14129859</v>
      </c>
      <c r="M79" s="18" t="n">
        <v>0</v>
      </c>
      <c r="N79" s="20" t="n">
        <v>0</v>
      </c>
      <c r="O79" s="18" t="n">
        <v>0</v>
      </c>
      <c r="P79" s="20" t="n">
        <v>0</v>
      </c>
      <c r="Q79" s="18" t="n">
        <v>2.15172402</v>
      </c>
      <c r="R79" s="20" t="n">
        <v>1.02345462</v>
      </c>
    </row>
    <row r="80" spans="1:18">
      <c r="A80" s="15" t="s">
        <v>640</v>
      </c>
      <c r="B80" s="17" t="n">
        <v>3798</v>
      </c>
      <c r="C80" s="18">
        <f>(2533.0/B80*100)</f>
        <v/>
      </c>
      <c r="D80" s="19" t="n">
        <v>1265</v>
      </c>
      <c r="E80" s="18" t="n">
        <v>46.33441177</v>
      </c>
      <c r="F80" s="20" t="n">
        <v>2.09383614</v>
      </c>
      <c r="G80" s="18" t="n">
        <v>53.34397312</v>
      </c>
      <c r="H80" s="20" t="n">
        <v>2.09977947</v>
      </c>
      <c r="I80" s="18" t="s">
        <v>567</v>
      </c>
      <c r="J80" s="20" t="s">
        <v>567</v>
      </c>
      <c r="K80" s="18" t="n">
        <v>0</v>
      </c>
      <c r="L80" s="20" t="n">
        <v>0</v>
      </c>
      <c r="M80" s="18" t="n">
        <v>0</v>
      </c>
      <c r="N80" s="20" t="n">
        <v>0</v>
      </c>
      <c r="O80" s="18" t="n">
        <v>0</v>
      </c>
      <c r="P80" s="20" t="n">
        <v>0</v>
      </c>
      <c r="Q80" s="18" t="n">
        <v>0.32161512</v>
      </c>
      <c r="R80" s="20" t="n">
        <v>0.13411305</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(1641.0/B44*100)</f>
        <v/>
      </c>
      <c r="D44" s="19" t="n">
        <v>883</v>
      </c>
      <c r="E44" s="18" t="n">
        <v>40.91522983</v>
      </c>
      <c r="F44" s="20" t="n">
        <v>1.78234344</v>
      </c>
      <c r="G44" s="18" t="n">
        <v>16.29073378</v>
      </c>
      <c r="H44" s="20" t="n">
        <v>1.52316646</v>
      </c>
      <c r="I44" s="18" t="s">
        <v>567</v>
      </c>
      <c r="J44" s="20" t="s">
        <v>567</v>
      </c>
      <c r="K44" s="18" t="n">
        <v>3.52009198</v>
      </c>
      <c r="L44" s="20" t="n">
        <v>0.70633755</v>
      </c>
      <c r="M44" s="18" t="n">
        <v>0</v>
      </c>
      <c r="N44" s="20" t="n">
        <v>0</v>
      </c>
      <c r="O44" s="18" t="n">
        <v>0</v>
      </c>
      <c r="P44" s="20" t="n">
        <v>0</v>
      </c>
      <c r="Q44" s="18" t="n">
        <v>39.27394441</v>
      </c>
      <c r="R44" s="20" t="n">
        <v>2.2142574</v>
      </c>
    </row>
    <row r="45" spans="1:18">
      <c r="A45" s="15" t="s">
        <v>605</v>
      </c>
      <c r="B45" s="17" t="n">
        <v>2849</v>
      </c>
      <c r="C45" s="18">
        <f>(1905.0/B45*100)</f>
        <v/>
      </c>
      <c r="D45" s="19" t="n">
        <v>944</v>
      </c>
      <c r="E45" s="18" t="n">
        <v>51.49233632</v>
      </c>
      <c r="F45" s="20" t="n">
        <v>1.75981193</v>
      </c>
      <c r="G45" s="18" t="n">
        <v>13.42129582</v>
      </c>
      <c r="H45" s="20" t="n">
        <v>1.16407152</v>
      </c>
      <c r="I45" s="18" t="s">
        <v>567</v>
      </c>
      <c r="J45" s="20" t="s">
        <v>567</v>
      </c>
      <c r="K45" s="18" t="n">
        <v>6.81945741</v>
      </c>
      <c r="L45" s="20" t="n">
        <v>0.77840131</v>
      </c>
      <c r="M45" s="18" t="n">
        <v>0.81760926</v>
      </c>
      <c r="N45" s="20" t="n">
        <v>0.31466161</v>
      </c>
      <c r="O45" s="18" t="n">
        <v>0.58416876</v>
      </c>
      <c r="P45" s="20" t="n">
        <v>0.25830482</v>
      </c>
      <c r="Q45" s="18" t="n">
        <v>26.86513243</v>
      </c>
      <c r="R45" s="20" t="n">
        <v>1.72771616</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(1999.0/B49*100)</f>
        <v/>
      </c>
      <c r="D49" s="19" t="n">
        <v>1019</v>
      </c>
      <c r="E49" s="18" t="n">
        <v>52.63158311</v>
      </c>
      <c r="F49" s="20" t="n">
        <v>1.98109345</v>
      </c>
      <c r="G49" s="18" t="n">
        <v>14.90175368</v>
      </c>
      <c r="H49" s="20" t="n">
        <v>1.19211491</v>
      </c>
      <c r="I49" s="18" t="s">
        <v>567</v>
      </c>
      <c r="J49" s="20" t="s">
        <v>567</v>
      </c>
      <c r="K49" s="18" t="n">
        <v>2.68707471</v>
      </c>
      <c r="L49" s="20" t="n">
        <v>0.58345613</v>
      </c>
      <c r="M49" s="18" t="n">
        <v>0.28704579</v>
      </c>
      <c r="N49" s="20" t="n">
        <v>0.26367174</v>
      </c>
      <c r="O49" s="18" t="n">
        <v>0</v>
      </c>
      <c r="P49" s="20" t="n">
        <v>0</v>
      </c>
      <c r="Q49" s="18" t="n">
        <v>29.4925427</v>
      </c>
      <c r="R49" s="20" t="n">
        <v>1.97608082</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(1852.0/B55*100)</f>
        <v/>
      </c>
      <c r="D55" s="19" t="n">
        <v>907</v>
      </c>
      <c r="E55" s="18" t="n">
        <v>31.51723424</v>
      </c>
      <c r="F55" s="20" t="n">
        <v>1.75271525</v>
      </c>
      <c r="G55" s="18" t="n">
        <v>15.01323272</v>
      </c>
      <c r="H55" s="20" t="n">
        <v>1.34228553</v>
      </c>
      <c r="I55" s="18" t="s">
        <v>567</v>
      </c>
      <c r="J55" s="20" t="s">
        <v>567</v>
      </c>
      <c r="K55" s="18" t="n">
        <v>2.9113702</v>
      </c>
      <c r="L55" s="20" t="n">
        <v>0.62887559</v>
      </c>
      <c r="M55" s="18" t="n">
        <v>0</v>
      </c>
      <c r="N55" s="20" t="n">
        <v>0</v>
      </c>
      <c r="O55" s="18" t="n">
        <v>0</v>
      </c>
      <c r="P55" s="20" t="n">
        <v>0</v>
      </c>
      <c r="Q55" s="18" t="n">
        <v>50.55816284</v>
      </c>
      <c r="R55" s="20" t="n">
        <v>2.11277927</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60.49396529</v>
      </c>
      <c r="F57" s="20" t="n">
        <v>1.64141468</v>
      </c>
      <c r="G57" s="18" t="n">
        <v>29.81748412</v>
      </c>
      <c r="H57" s="20" t="n">
        <v>1.58783609</v>
      </c>
      <c r="I57" s="18" t="s">
        <v>567</v>
      </c>
      <c r="J57" s="20" t="s">
        <v>567</v>
      </c>
      <c r="K57" s="18" t="n">
        <v>2.61524772</v>
      </c>
      <c r="L57" s="20" t="n">
        <v>0.60061373</v>
      </c>
      <c r="M57" s="18" t="n">
        <v>0</v>
      </c>
      <c r="N57" s="20" t="n">
        <v>0</v>
      </c>
      <c r="O57" s="18" t="n">
        <v>0</v>
      </c>
      <c r="P57" s="20" t="n">
        <v>0</v>
      </c>
      <c r="Q57" s="18" t="n">
        <v>7.07330287</v>
      </c>
      <c r="R57" s="20" t="n">
        <v>0.91234911</v>
      </c>
    </row>
    <row r="58" spans="1:18">
      <c r="A58" s="15" t="s">
        <v>618</v>
      </c>
      <c r="B58" s="17" t="n">
        <v>3530</v>
      </c>
      <c r="C58" s="18">
        <f>(2348.0/B58*100)</f>
        <v/>
      </c>
      <c r="D58" s="19" t="n">
        <v>1182</v>
      </c>
      <c r="E58" s="18" t="n">
        <v>63.72274797</v>
      </c>
      <c r="F58" s="20" t="n">
        <v>1.77473061</v>
      </c>
      <c r="G58" s="18" t="n">
        <v>6.17791218</v>
      </c>
      <c r="H58" s="20" t="n">
        <v>0.87302547</v>
      </c>
      <c r="I58" s="18" t="s">
        <v>567</v>
      </c>
      <c r="J58" s="20" t="s">
        <v>567</v>
      </c>
      <c r="K58" s="18" t="n">
        <v>3.59115732</v>
      </c>
      <c r="L58" s="20" t="n">
        <v>0.66316329</v>
      </c>
      <c r="M58" s="18" t="n">
        <v>0</v>
      </c>
      <c r="N58" s="20" t="n">
        <v>0</v>
      </c>
      <c r="O58" s="18" t="n">
        <v>0</v>
      </c>
      <c r="P58" s="20" t="n">
        <v>0</v>
      </c>
      <c r="Q58" s="18" t="n">
        <v>26.50818252</v>
      </c>
      <c r="R58" s="20" t="n">
        <v>1.74105912</v>
      </c>
    </row>
    <row r="59" spans="1:18">
      <c r="A59" s="15" t="s">
        <v>619</v>
      </c>
      <c r="B59" s="17" t="n">
        <v>2548</v>
      </c>
      <c r="C59" s="18">
        <f>(1667.0/B59*100)</f>
        <v/>
      </c>
      <c r="D59" s="19" t="n">
        <v>881</v>
      </c>
      <c r="E59" s="18" t="n">
        <v>57.93220759</v>
      </c>
      <c r="F59" s="20" t="n">
        <v>1.91236582</v>
      </c>
      <c r="G59" s="18" t="n">
        <v>15.04228245</v>
      </c>
      <c r="H59" s="20" t="n">
        <v>1.50695255</v>
      </c>
      <c r="I59" s="18" t="s">
        <v>567</v>
      </c>
      <c r="J59" s="20" t="s">
        <v>567</v>
      </c>
      <c r="K59" s="18" t="n">
        <v>0.44871286</v>
      </c>
      <c r="L59" s="20" t="n">
        <v>0.19018067</v>
      </c>
      <c r="M59" s="18" t="n">
        <v>0</v>
      </c>
      <c r="N59" s="20" t="n">
        <v>0</v>
      </c>
      <c r="O59" s="18" t="n">
        <v>0</v>
      </c>
      <c r="P59" s="20" t="n">
        <v>0</v>
      </c>
      <c r="Q59" s="18" t="n">
        <v>26.5767971</v>
      </c>
      <c r="R59" s="20" t="n">
        <v>1.60735875</v>
      </c>
    </row>
    <row r="60" spans="1:18">
      <c r="A60" s="15" t="s">
        <v>620</v>
      </c>
      <c r="B60" s="17" t="n">
        <v>2095</v>
      </c>
      <c r="C60" s="18">
        <f>(1400.0/B60*100)</f>
        <v/>
      </c>
      <c r="D60" s="19" t="n">
        <v>695</v>
      </c>
      <c r="E60" s="18" t="n">
        <v>54.81139517</v>
      </c>
      <c r="F60" s="20" t="n">
        <v>1.95035861</v>
      </c>
      <c r="G60" s="18" t="n">
        <v>9.719704500000001</v>
      </c>
      <c r="H60" s="20" t="n">
        <v>1.29789566</v>
      </c>
      <c r="I60" s="18" t="s">
        <v>567</v>
      </c>
      <c r="J60" s="20" t="s">
        <v>567</v>
      </c>
      <c r="K60" s="18" t="n">
        <v>5.9935858</v>
      </c>
      <c r="L60" s="20" t="n">
        <v>0.99324893</v>
      </c>
      <c r="M60" s="18" t="n">
        <v>0</v>
      </c>
      <c r="N60" s="20" t="n">
        <v>0</v>
      </c>
      <c r="O60" s="18" t="n">
        <v>0.31703053</v>
      </c>
      <c r="P60" s="20" t="n">
        <v>0.18715845</v>
      </c>
      <c r="Q60" s="18" t="n">
        <v>29.158284</v>
      </c>
      <c r="R60" s="20" t="n">
        <v>2.2621271</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(1882.0/B63*100)</f>
        <v/>
      </c>
      <c r="D63" s="19" t="n">
        <v>931</v>
      </c>
      <c r="E63" s="18" t="n">
        <v>29.48961739</v>
      </c>
      <c r="F63" s="20" t="n">
        <v>1.56984399</v>
      </c>
      <c r="G63" s="18" t="n">
        <v>12.24071587</v>
      </c>
      <c r="H63" s="20" t="n">
        <v>1.35128027</v>
      </c>
      <c r="I63" s="18" t="s">
        <v>567</v>
      </c>
      <c r="J63" s="20" t="s">
        <v>567</v>
      </c>
      <c r="K63" s="18" t="n">
        <v>3.55802808</v>
      </c>
      <c r="L63" s="20" t="n">
        <v>0.69498137</v>
      </c>
      <c r="M63" s="18" t="n">
        <v>0</v>
      </c>
      <c r="N63" s="20" t="n">
        <v>0</v>
      </c>
      <c r="O63" s="18" t="n">
        <v>0</v>
      </c>
      <c r="P63" s="20" t="n">
        <v>0</v>
      </c>
      <c r="Q63" s="18" t="n">
        <v>54.71163866</v>
      </c>
      <c r="R63" s="20" t="n">
        <v>1.40026353</v>
      </c>
    </row>
    <row r="64" spans="1:18">
      <c r="A64" s="15" t="s">
        <v>624</v>
      </c>
      <c r="B64" s="17" t="n">
        <v>1844</v>
      </c>
      <c r="C64" s="18">
        <f>(1218.0/B64*100)</f>
        <v/>
      </c>
      <c r="D64" s="19" t="n">
        <v>626</v>
      </c>
      <c r="E64" s="18" t="n">
        <v>47.67512097</v>
      </c>
      <c r="F64" s="20" t="n">
        <v>1.88192253</v>
      </c>
      <c r="G64" s="18" t="n">
        <v>20.52062112</v>
      </c>
      <c r="H64" s="20" t="n">
        <v>1.46160001</v>
      </c>
      <c r="I64" s="18" t="s">
        <v>567</v>
      </c>
      <c r="J64" s="20" t="s">
        <v>567</v>
      </c>
      <c r="K64" s="18" t="n">
        <v>4.6354593</v>
      </c>
      <c r="L64" s="20" t="n">
        <v>0.76923104</v>
      </c>
      <c r="M64" s="18" t="n">
        <v>0</v>
      </c>
      <c r="N64" s="20" t="n">
        <v>0</v>
      </c>
      <c r="O64" s="18" t="n">
        <v>0.14665854</v>
      </c>
      <c r="P64" s="20" t="n">
        <v>0.14811102</v>
      </c>
      <c r="Q64" s="18" t="n">
        <v>27.02214006</v>
      </c>
      <c r="R64" s="20" t="n">
        <v>1.77036348</v>
      </c>
    </row>
    <row r="65" spans="1:18">
      <c r="A65" s="15" t="s">
        <v>625</v>
      </c>
      <c r="B65" s="17" t="n">
        <v>2691</v>
      </c>
      <c r="C65" s="18">
        <f>(1757.0/B65*100)</f>
        <v/>
      </c>
      <c r="D65" s="19" t="n">
        <v>934</v>
      </c>
      <c r="E65" s="18" t="n">
        <v>35.15514814</v>
      </c>
      <c r="F65" s="20" t="n">
        <v>1.68096997</v>
      </c>
      <c r="G65" s="18" t="n">
        <v>19.57165201</v>
      </c>
      <c r="H65" s="20" t="n">
        <v>1.34153496</v>
      </c>
      <c r="I65" s="18" t="s">
        <v>567</v>
      </c>
      <c r="J65" s="20" t="s">
        <v>567</v>
      </c>
      <c r="K65" s="18" t="n">
        <v>7.51800893</v>
      </c>
      <c r="L65" s="20" t="n">
        <v>1.0479973</v>
      </c>
      <c r="M65" s="18" t="n">
        <v>0</v>
      </c>
      <c r="N65" s="20" t="n">
        <v>0</v>
      </c>
      <c r="O65" s="18" t="n">
        <v>0</v>
      </c>
      <c r="P65" s="20" t="n">
        <v>0</v>
      </c>
      <c r="Q65" s="18" t="n">
        <v>37.75519092</v>
      </c>
      <c r="R65" s="20" t="n">
        <v>1.53990484</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(1635.0/B69*100)</f>
        <v/>
      </c>
      <c r="D69" s="19" t="n">
        <v>775</v>
      </c>
      <c r="E69" s="18" t="n">
        <v>76.23599900000001</v>
      </c>
      <c r="F69" s="20" t="n">
        <v>1.67382571</v>
      </c>
      <c r="G69" s="18" t="n">
        <v>23.40831885</v>
      </c>
      <c r="H69" s="20" t="n">
        <v>1.68513018</v>
      </c>
      <c r="I69" s="18" t="s">
        <v>567</v>
      </c>
      <c r="J69" s="20" t="s">
        <v>567</v>
      </c>
      <c r="K69" s="18" t="n">
        <v>0.12536579</v>
      </c>
      <c r="L69" s="20" t="n">
        <v>0.12515365</v>
      </c>
      <c r="M69" s="18" t="n">
        <v>0</v>
      </c>
      <c r="N69" s="20" t="n">
        <v>0</v>
      </c>
      <c r="O69" s="18" t="n">
        <v>0</v>
      </c>
      <c r="P69" s="20" t="n">
        <v>0</v>
      </c>
      <c r="Q69" s="18" t="n">
        <v>0.23031636</v>
      </c>
      <c r="R69" s="20" t="n">
        <v>0.16345601</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(1488.0/B74*100)</f>
        <v/>
      </c>
      <c r="D74" s="19" t="n">
        <v>751</v>
      </c>
      <c r="E74" s="18" t="n">
        <v>52.08920415</v>
      </c>
      <c r="F74" s="20" t="n">
        <v>1.94421671</v>
      </c>
      <c r="G74" s="18" t="n">
        <v>6.55554748</v>
      </c>
      <c r="H74" s="20" t="n">
        <v>0.8292844</v>
      </c>
      <c r="I74" s="18" t="s">
        <v>567</v>
      </c>
      <c r="J74" s="20" t="s">
        <v>567</v>
      </c>
      <c r="K74" s="18" t="n">
        <v>7.64604523</v>
      </c>
      <c r="L74" s="20" t="n">
        <v>1.23182731</v>
      </c>
      <c r="M74" s="18" t="n">
        <v>0</v>
      </c>
      <c r="N74" s="20" t="n">
        <v>0</v>
      </c>
      <c r="O74" s="18" t="n">
        <v>0</v>
      </c>
      <c r="P74" s="20" t="n">
        <v>0</v>
      </c>
      <c r="Q74" s="18" t="n">
        <v>33.70920314</v>
      </c>
      <c r="R74" s="20" t="n">
        <v>1.99797306</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(1885.0/B78*100)</f>
        <v/>
      </c>
      <c r="D78" s="19" t="n">
        <v>901</v>
      </c>
      <c r="E78" s="18" t="n">
        <v>66.39117166</v>
      </c>
      <c r="F78" s="20" t="n">
        <v>1.98610975</v>
      </c>
      <c r="G78" s="18" t="n">
        <v>30.57948458</v>
      </c>
      <c r="H78" s="20" t="n">
        <v>1.81688903</v>
      </c>
      <c r="I78" s="18" t="s">
        <v>567</v>
      </c>
      <c r="J78" s="20" t="s">
        <v>567</v>
      </c>
      <c r="K78" s="18" t="n">
        <v>0</v>
      </c>
      <c r="L78" s="20" t="n">
        <v>0</v>
      </c>
      <c r="M78" s="18" t="n">
        <v>0</v>
      </c>
      <c r="N78" s="20" t="n">
        <v>0</v>
      </c>
      <c r="O78" s="18" t="n">
        <v>0</v>
      </c>
      <c r="P78" s="20" t="n">
        <v>0</v>
      </c>
      <c r="Q78" s="18" t="n">
        <v>3.02934376</v>
      </c>
      <c r="R78" s="20" t="n">
        <v>0.93553547</v>
      </c>
    </row>
    <row customHeight="1" ht="25" r="79" spans="1:18">
      <c r="A79" s="15" t="s">
        <v>639</v>
      </c>
      <c r="B79" s="17" t="n">
        <v>787</v>
      </c>
      <c r="C79" s="18">
        <f>(524.0/B79*100)</f>
        <v/>
      </c>
      <c r="D79" s="19" t="n">
        <v>263</v>
      </c>
      <c r="E79" s="18" t="n">
        <v>59.5970515</v>
      </c>
      <c r="F79" s="20" t="n">
        <v>2.68803845</v>
      </c>
      <c r="G79" s="18" t="n">
        <v>16.82128591</v>
      </c>
      <c r="H79" s="20" t="n">
        <v>2.22043869</v>
      </c>
      <c r="I79" s="18" t="s">
        <v>567</v>
      </c>
      <c r="J79" s="20" t="s">
        <v>567</v>
      </c>
      <c r="K79" s="18" t="n">
        <v>4.89513887</v>
      </c>
      <c r="L79" s="20" t="n">
        <v>1.18881327</v>
      </c>
      <c r="M79" s="18" t="n">
        <v>0</v>
      </c>
      <c r="N79" s="20" t="n">
        <v>0</v>
      </c>
      <c r="O79" s="18" t="n">
        <v>0</v>
      </c>
      <c r="P79" s="20" t="n">
        <v>0</v>
      </c>
      <c r="Q79" s="18" t="n">
        <v>18.68652371</v>
      </c>
      <c r="R79" s="20" t="n">
        <v>2.59338045</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(1641.0/B44*100)</f>
        <v/>
      </c>
      <c r="D44" s="19" t="n">
        <v>883</v>
      </c>
      <c r="E44" s="18" t="n">
        <v>80.20880381000001</v>
      </c>
      <c r="F44" s="20" t="n">
        <v>2.11040428</v>
      </c>
      <c r="G44" s="18" t="n">
        <v>4.80721171</v>
      </c>
      <c r="H44" s="20" t="n">
        <v>1.06664055</v>
      </c>
      <c r="I44" s="18" t="s">
        <v>567</v>
      </c>
      <c r="J44" s="20" t="s">
        <v>567</v>
      </c>
      <c r="K44" s="18" t="n">
        <v>3.67410347</v>
      </c>
      <c r="L44" s="20" t="n">
        <v>0.69300847</v>
      </c>
      <c r="M44" s="18" t="n">
        <v>0</v>
      </c>
      <c r="N44" s="20" t="n">
        <v>0</v>
      </c>
      <c r="O44" s="18" t="n">
        <v>0.52749413</v>
      </c>
      <c r="P44" s="20" t="n">
        <v>0.24184846</v>
      </c>
      <c r="Q44" s="18" t="n">
        <v>10.78238688</v>
      </c>
      <c r="R44" s="20" t="n">
        <v>1.41655094</v>
      </c>
    </row>
    <row r="45" spans="1:18">
      <c r="A45" s="15" t="s">
        <v>605</v>
      </c>
      <c r="B45" s="17" t="n">
        <v>2849</v>
      </c>
      <c r="C45" s="18">
        <f>(1905.0/B45*100)</f>
        <v/>
      </c>
      <c r="D45" s="19" t="n">
        <v>944</v>
      </c>
      <c r="E45" s="18" t="n">
        <v>76.32369669000001</v>
      </c>
      <c r="F45" s="20" t="n">
        <v>1.36683336</v>
      </c>
      <c r="G45" s="18" t="n">
        <v>2.43087812</v>
      </c>
      <c r="H45" s="20" t="n">
        <v>0.73584624</v>
      </c>
      <c r="I45" s="18" t="s">
        <v>567</v>
      </c>
      <c r="J45" s="20" t="s">
        <v>567</v>
      </c>
      <c r="K45" s="18" t="n">
        <v>7.53279614</v>
      </c>
      <c r="L45" s="20" t="n">
        <v>0.84832313</v>
      </c>
      <c r="M45" s="18" t="n">
        <v>0.42434028</v>
      </c>
      <c r="N45" s="20" t="n">
        <v>0.2179422</v>
      </c>
      <c r="O45" s="18" t="n">
        <v>0.91113689</v>
      </c>
      <c r="P45" s="20" t="n">
        <v>0.31200479</v>
      </c>
      <c r="Q45" s="18" t="n">
        <v>12.37715189</v>
      </c>
      <c r="R45" s="20" t="n">
        <v>1.1048956</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(1999.0/B49*100)</f>
        <v/>
      </c>
      <c r="D49" s="19" t="n">
        <v>1019</v>
      </c>
      <c r="E49" s="18" t="n">
        <v>75.28574611000001</v>
      </c>
      <c r="F49" s="20" t="n">
        <v>1.47809386</v>
      </c>
      <c r="G49" s="18" t="n">
        <v>15.77571428</v>
      </c>
      <c r="H49" s="20" t="n">
        <v>1.45187791</v>
      </c>
      <c r="I49" s="18" t="s">
        <v>567</v>
      </c>
      <c r="J49" s="20" t="s">
        <v>567</v>
      </c>
      <c r="K49" s="18" t="n">
        <v>2.68707471</v>
      </c>
      <c r="L49" s="20" t="n">
        <v>0.58345613</v>
      </c>
      <c r="M49" s="18" t="n">
        <v>0</v>
      </c>
      <c r="N49" s="20" t="n">
        <v>0</v>
      </c>
      <c r="O49" s="18" t="n">
        <v>0.59108826</v>
      </c>
      <c r="P49" s="20" t="n">
        <v>0.27117807</v>
      </c>
      <c r="Q49" s="18" t="n">
        <v>5.66037664</v>
      </c>
      <c r="R49" s="20" t="n">
        <v>0.9455345000000001</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(1852.0/B55*100)</f>
        <v/>
      </c>
      <c r="D55" s="19" t="n">
        <v>907</v>
      </c>
      <c r="E55" s="18" t="n">
        <v>84.11262741</v>
      </c>
      <c r="F55" s="20" t="n">
        <v>1.40066529</v>
      </c>
      <c r="G55" s="18" t="n">
        <v>6.60008486</v>
      </c>
      <c r="H55" s="20" t="n">
        <v>0.97188659</v>
      </c>
      <c r="I55" s="18" t="s">
        <v>567</v>
      </c>
      <c r="J55" s="20" t="s">
        <v>567</v>
      </c>
      <c r="K55" s="18" t="n">
        <v>3.11025053</v>
      </c>
      <c r="L55" s="20" t="n">
        <v>0.65382657</v>
      </c>
      <c r="M55" s="18" t="n">
        <v>0</v>
      </c>
      <c r="N55" s="20" t="n">
        <v>0</v>
      </c>
      <c r="O55" s="18" t="n">
        <v>0.7357702699999999</v>
      </c>
      <c r="P55" s="20" t="n">
        <v>0.30493799</v>
      </c>
      <c r="Q55" s="18" t="n">
        <v>5.44126692</v>
      </c>
      <c r="R55" s="20" t="n">
        <v>0.75643874</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85.60465120000001</v>
      </c>
      <c r="F57" s="20" t="n">
        <v>1.37883754</v>
      </c>
      <c r="G57" s="18" t="n">
        <v>6.0073629</v>
      </c>
      <c r="H57" s="20" t="n">
        <v>0.73800605</v>
      </c>
      <c r="I57" s="18" t="s">
        <v>567</v>
      </c>
      <c r="J57" s="20" t="s">
        <v>567</v>
      </c>
      <c r="K57" s="18" t="n">
        <v>2.61524772</v>
      </c>
      <c r="L57" s="20" t="n">
        <v>0.60061373</v>
      </c>
      <c r="M57" s="18" t="n">
        <v>0</v>
      </c>
      <c r="N57" s="20" t="n">
        <v>0</v>
      </c>
      <c r="O57" s="18" t="n">
        <v>0.23866655</v>
      </c>
      <c r="P57" s="20" t="n">
        <v>0.23365617</v>
      </c>
      <c r="Q57" s="18" t="n">
        <v>5.53407163</v>
      </c>
      <c r="R57" s="20" t="n">
        <v>0.93769187</v>
      </c>
    </row>
    <row r="58" spans="1:18">
      <c r="A58" s="15" t="s">
        <v>618</v>
      </c>
      <c r="B58" s="17" t="n">
        <v>3530</v>
      </c>
      <c r="C58" s="18">
        <f>(2348.0/B58*100)</f>
        <v/>
      </c>
      <c r="D58" s="19" t="n">
        <v>1182</v>
      </c>
      <c r="E58" s="18" t="n">
        <v>80.14049032</v>
      </c>
      <c r="F58" s="20" t="n">
        <v>1.42236129</v>
      </c>
      <c r="G58" s="18" t="n">
        <v>8.901283599999999</v>
      </c>
      <c r="H58" s="20" t="n">
        <v>1.15201705</v>
      </c>
      <c r="I58" s="18" t="s">
        <v>567</v>
      </c>
      <c r="J58" s="20" t="s">
        <v>567</v>
      </c>
      <c r="K58" s="18" t="n">
        <v>3.59115732</v>
      </c>
      <c r="L58" s="20" t="n">
        <v>0.66316329</v>
      </c>
      <c r="M58" s="18" t="n">
        <v>0</v>
      </c>
      <c r="N58" s="20" t="n">
        <v>0</v>
      </c>
      <c r="O58" s="18" t="n">
        <v>0.5952050800000001</v>
      </c>
      <c r="P58" s="20" t="n">
        <v>0.21167792</v>
      </c>
      <c r="Q58" s="18" t="n">
        <v>6.77186368</v>
      </c>
      <c r="R58" s="20" t="n">
        <v>0.96297434</v>
      </c>
    </row>
    <row r="59" spans="1:18">
      <c r="A59" s="15" t="s">
        <v>619</v>
      </c>
      <c r="B59" s="17" t="n">
        <v>2548</v>
      </c>
      <c r="C59" s="18">
        <f>(1667.0/B59*100)</f>
        <v/>
      </c>
      <c r="D59" s="19" t="n">
        <v>881</v>
      </c>
      <c r="E59" s="18" t="n">
        <v>87.88642082</v>
      </c>
      <c r="F59" s="20" t="n">
        <v>1.20096642</v>
      </c>
      <c r="G59" s="18" t="n">
        <v>2.85720202</v>
      </c>
      <c r="H59" s="20" t="n">
        <v>0.8097953</v>
      </c>
      <c r="I59" s="18" t="s">
        <v>567</v>
      </c>
      <c r="J59" s="20" t="s">
        <v>567</v>
      </c>
      <c r="K59" s="18" t="n">
        <v>0.50330634</v>
      </c>
      <c r="L59" s="20" t="n">
        <v>0.19783912</v>
      </c>
      <c r="M59" s="18" t="n">
        <v>0</v>
      </c>
      <c r="N59" s="20" t="n">
        <v>0</v>
      </c>
      <c r="O59" s="18" t="n">
        <v>1.37826956</v>
      </c>
      <c r="P59" s="20" t="n">
        <v>0.47013636</v>
      </c>
      <c r="Q59" s="18" t="n">
        <v>7.37480126</v>
      </c>
      <c r="R59" s="20" t="n">
        <v>0.94778733</v>
      </c>
    </row>
    <row r="60" spans="1:18">
      <c r="A60" s="15" t="s">
        <v>620</v>
      </c>
      <c r="B60" s="17" t="n">
        <v>2095</v>
      </c>
      <c r="C60" s="18">
        <f>(1400.0/B60*100)</f>
        <v/>
      </c>
      <c r="D60" s="19" t="n">
        <v>695</v>
      </c>
      <c r="E60" s="18" t="n">
        <v>76.81254245</v>
      </c>
      <c r="F60" s="20" t="n">
        <v>1.85743205</v>
      </c>
      <c r="G60" s="18" t="n">
        <v>3.66483082</v>
      </c>
      <c r="H60" s="20" t="n">
        <v>0.68606966</v>
      </c>
      <c r="I60" s="18" t="s">
        <v>567</v>
      </c>
      <c r="J60" s="20" t="s">
        <v>567</v>
      </c>
      <c r="K60" s="18" t="n">
        <v>6.61735991</v>
      </c>
      <c r="L60" s="20" t="n">
        <v>1.01716552</v>
      </c>
      <c r="M60" s="18" t="n">
        <v>0</v>
      </c>
      <c r="N60" s="20" t="n">
        <v>0</v>
      </c>
      <c r="O60" s="18" t="n">
        <v>1.26529934</v>
      </c>
      <c r="P60" s="20" t="n">
        <v>0.50048262</v>
      </c>
      <c r="Q60" s="18" t="n">
        <v>11.63996748</v>
      </c>
      <c r="R60" s="20" t="n">
        <v>1.3987055</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(1882.0/B63*100)</f>
        <v/>
      </c>
      <c r="D63" s="19" t="n">
        <v>931</v>
      </c>
      <c r="E63" s="18" t="n">
        <v>77.70724233999999</v>
      </c>
      <c r="F63" s="20" t="n">
        <v>1.42548618</v>
      </c>
      <c r="G63" s="18" t="n">
        <v>3.83756135</v>
      </c>
      <c r="H63" s="20" t="n">
        <v>0.78293927</v>
      </c>
      <c r="I63" s="18" t="s">
        <v>567</v>
      </c>
      <c r="J63" s="20" t="s">
        <v>567</v>
      </c>
      <c r="K63" s="18" t="n">
        <v>3.55802808</v>
      </c>
      <c r="L63" s="20" t="n">
        <v>0.69498137</v>
      </c>
      <c r="M63" s="18" t="n">
        <v>0</v>
      </c>
      <c r="N63" s="20" t="n">
        <v>0</v>
      </c>
      <c r="O63" s="18" t="n">
        <v>0.31126636</v>
      </c>
      <c r="P63" s="20" t="n">
        <v>0.18797896</v>
      </c>
      <c r="Q63" s="18" t="n">
        <v>14.58590187</v>
      </c>
      <c r="R63" s="20" t="n">
        <v>1.10233743</v>
      </c>
    </row>
    <row r="64" spans="1:18">
      <c r="A64" s="15" t="s">
        <v>624</v>
      </c>
      <c r="B64" s="17" t="n">
        <v>1844</v>
      </c>
      <c r="C64" s="18">
        <f>(1218.0/B64*100)</f>
        <v/>
      </c>
      <c r="D64" s="19" t="n">
        <v>626</v>
      </c>
      <c r="E64" s="18" t="n">
        <v>76.58433889</v>
      </c>
      <c r="F64" s="20" t="n">
        <v>1.64945927</v>
      </c>
      <c r="G64" s="18" t="n">
        <v>12.53859938</v>
      </c>
      <c r="H64" s="20" t="n">
        <v>1.29824989</v>
      </c>
      <c r="I64" s="18" t="s">
        <v>567</v>
      </c>
      <c r="J64" s="20" t="s">
        <v>567</v>
      </c>
      <c r="K64" s="18" t="n">
        <v>4.95739815</v>
      </c>
      <c r="L64" s="20" t="n">
        <v>0.8071925</v>
      </c>
      <c r="M64" s="18" t="n">
        <v>0</v>
      </c>
      <c r="N64" s="20" t="n">
        <v>0</v>
      </c>
      <c r="O64" s="18" t="n">
        <v>0.7130548</v>
      </c>
      <c r="P64" s="20" t="n">
        <v>0.36366419</v>
      </c>
      <c r="Q64" s="18" t="n">
        <v>5.20660878</v>
      </c>
      <c r="R64" s="20" t="n">
        <v>0.96046213</v>
      </c>
    </row>
    <row r="65" spans="1:18">
      <c r="A65" s="15" t="s">
        <v>625</v>
      </c>
      <c r="B65" s="17" t="n">
        <v>2691</v>
      </c>
      <c r="C65" s="18">
        <f>(1757.0/B65*100)</f>
        <v/>
      </c>
      <c r="D65" s="19" t="n">
        <v>934</v>
      </c>
      <c r="E65" s="18" t="n">
        <v>76.79018592</v>
      </c>
      <c r="F65" s="20" t="n">
        <v>1.66032819</v>
      </c>
      <c r="G65" s="18" t="n">
        <v>8.08301661</v>
      </c>
      <c r="H65" s="20" t="n">
        <v>1.0844414</v>
      </c>
      <c r="I65" s="18" t="s">
        <v>567</v>
      </c>
      <c r="J65" s="20" t="s">
        <v>567</v>
      </c>
      <c r="K65" s="18" t="n">
        <v>7.80453389</v>
      </c>
      <c r="L65" s="20" t="n">
        <v>1.06906828</v>
      </c>
      <c r="M65" s="18" t="n">
        <v>0.49879887</v>
      </c>
      <c r="N65" s="20" t="n">
        <v>0.22029484</v>
      </c>
      <c r="O65" s="18" t="n">
        <v>0</v>
      </c>
      <c r="P65" s="20" t="n">
        <v>0</v>
      </c>
      <c r="Q65" s="18" t="n">
        <v>6.82346472</v>
      </c>
      <c r="R65" s="20" t="n">
        <v>0.95756449</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(1635.0/B69*100)</f>
        <v/>
      </c>
      <c r="D69" s="19" t="n">
        <v>775</v>
      </c>
      <c r="E69" s="18" t="n">
        <v>91.87669055000001</v>
      </c>
      <c r="F69" s="20" t="n">
        <v>1.07530803</v>
      </c>
      <c r="G69" s="18" t="n">
        <v>7.75494009</v>
      </c>
      <c r="H69" s="20" t="n">
        <v>1.11813934</v>
      </c>
      <c r="I69" s="18" t="s">
        <v>567</v>
      </c>
      <c r="J69" s="20" t="s">
        <v>567</v>
      </c>
      <c r="K69" s="18" t="n">
        <v>0.12536579</v>
      </c>
      <c r="L69" s="20" t="n">
        <v>0.12515365</v>
      </c>
      <c r="M69" s="18" t="n">
        <v>0</v>
      </c>
      <c r="N69" s="20" t="n">
        <v>0</v>
      </c>
      <c r="O69" s="18" t="n">
        <v>0</v>
      </c>
      <c r="P69" s="20" t="n">
        <v>0</v>
      </c>
      <c r="Q69" s="18" t="n">
        <v>0.24300357</v>
      </c>
      <c r="R69" s="20" t="n">
        <v>0.1761597</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(1488.0/B74*100)</f>
        <v/>
      </c>
      <c r="D74" s="19" t="n">
        <v>751</v>
      </c>
      <c r="E74" s="18" t="n">
        <v>72.30115527</v>
      </c>
      <c r="F74" s="20" t="n">
        <v>1.62553169</v>
      </c>
      <c r="G74" s="18" t="n">
        <v>11.32960009</v>
      </c>
      <c r="H74" s="20" t="n">
        <v>1.05431397</v>
      </c>
      <c r="I74" s="18" t="s">
        <v>567</v>
      </c>
      <c r="J74" s="20" t="s">
        <v>567</v>
      </c>
      <c r="K74" s="18" t="n">
        <v>8.335337409999999</v>
      </c>
      <c r="L74" s="20" t="n">
        <v>1.24801401</v>
      </c>
      <c r="M74" s="18" t="n">
        <v>0</v>
      </c>
      <c r="N74" s="20" t="n">
        <v>0</v>
      </c>
      <c r="O74" s="18" t="n">
        <v>0.18215767</v>
      </c>
      <c r="P74" s="20" t="n">
        <v>0.12584362</v>
      </c>
      <c r="Q74" s="18" t="n">
        <v>7.85174956</v>
      </c>
      <c r="R74" s="20" t="n">
        <v>1.2554839</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(1885.0/B78*100)</f>
        <v/>
      </c>
      <c r="D78" s="19" t="n">
        <v>901</v>
      </c>
      <c r="E78" s="18" t="n">
        <v>35.41729606</v>
      </c>
      <c r="F78" s="20" t="n">
        <v>2.20352715</v>
      </c>
      <c r="G78" s="18" t="n">
        <v>64.50992512000001</v>
      </c>
      <c r="H78" s="20" t="n">
        <v>2.21344341</v>
      </c>
      <c r="I78" s="18" t="s">
        <v>567</v>
      </c>
      <c r="J78" s="20" t="s">
        <v>567</v>
      </c>
      <c r="K78" s="18" t="n">
        <v>0</v>
      </c>
      <c r="L78" s="20" t="n">
        <v>0</v>
      </c>
      <c r="M78" s="18" t="n">
        <v>0</v>
      </c>
      <c r="N78" s="20" t="n">
        <v>0</v>
      </c>
      <c r="O78" s="18" t="n">
        <v>0</v>
      </c>
      <c r="P78" s="20" t="n">
        <v>0</v>
      </c>
      <c r="Q78" s="18" t="n">
        <v>0.07277883</v>
      </c>
      <c r="R78" s="20" t="n">
        <v>0.07387286</v>
      </c>
    </row>
    <row customHeight="1" ht="25" r="79" spans="1:18">
      <c r="A79" s="15" t="s">
        <v>639</v>
      </c>
      <c r="B79" s="17" t="n">
        <v>787</v>
      </c>
      <c r="C79" s="18">
        <f>(524.0/B79*100)</f>
        <v/>
      </c>
      <c r="D79" s="19" t="n">
        <v>263</v>
      </c>
      <c r="E79" s="18" t="n">
        <v>70.1425402</v>
      </c>
      <c r="F79" s="20" t="n">
        <v>3.31297488</v>
      </c>
      <c r="G79" s="18" t="n">
        <v>22.49714466</v>
      </c>
      <c r="H79" s="20" t="n">
        <v>2.66985443</v>
      </c>
      <c r="I79" s="18" t="s">
        <v>567</v>
      </c>
      <c r="J79" s="20" t="s">
        <v>567</v>
      </c>
      <c r="K79" s="18" t="n">
        <v>4.89513887</v>
      </c>
      <c r="L79" s="20" t="n">
        <v>1.18881327</v>
      </c>
      <c r="M79" s="18" t="n">
        <v>0</v>
      </c>
      <c r="N79" s="20" t="n">
        <v>0</v>
      </c>
      <c r="O79" s="18" t="n">
        <v>0</v>
      </c>
      <c r="P79" s="20" t="n">
        <v>0</v>
      </c>
      <c r="Q79" s="18" t="n">
        <v>2.46517627</v>
      </c>
      <c r="R79" s="20" t="n">
        <v>1.15130448</v>
      </c>
    </row>
    <row r="80" spans="1:18">
      <c r="A80" s="15" t="s">
        <v>640</v>
      </c>
      <c r="B80" s="17" t="n">
        <v>3798</v>
      </c>
      <c r="C80" s="18">
        <f>(2533.0/B80*100)</f>
        <v/>
      </c>
      <c r="D80" s="19" t="n">
        <v>1265</v>
      </c>
      <c r="E80" s="18" t="n">
        <v>88.6861071</v>
      </c>
      <c r="F80" s="20" t="n">
        <v>1.3073259</v>
      </c>
      <c r="G80" s="18" t="n">
        <v>10.73462589</v>
      </c>
      <c r="H80" s="20" t="n">
        <v>1.31441843</v>
      </c>
      <c r="I80" s="18" t="s">
        <v>567</v>
      </c>
      <c r="J80" s="20" t="s">
        <v>567</v>
      </c>
      <c r="K80" s="18" t="n">
        <v>0.04573692</v>
      </c>
      <c r="L80" s="20" t="n">
        <v>0.0322589</v>
      </c>
      <c r="M80" s="18" t="n">
        <v>0</v>
      </c>
      <c r="N80" s="20" t="n">
        <v>0</v>
      </c>
      <c r="O80" s="18" t="n">
        <v>0</v>
      </c>
      <c r="P80" s="20" t="n">
        <v>0</v>
      </c>
      <c r="Q80" s="18" t="n">
        <v>0.53353009</v>
      </c>
      <c r="R80" s="20" t="n">
        <v>0.24750863</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(1641.0/B44*100)</f>
        <v/>
      </c>
      <c r="D44" s="19" t="n">
        <v>883</v>
      </c>
      <c r="E44" s="18" t="n">
        <v>49.68671453</v>
      </c>
      <c r="F44" s="20" t="n">
        <v>2.1996641</v>
      </c>
      <c r="G44" s="18" t="n">
        <v>40.62944413</v>
      </c>
      <c r="H44" s="20" t="n">
        <v>2.13919112</v>
      </c>
      <c r="I44" s="18" t="s">
        <v>567</v>
      </c>
      <c r="J44" s="20" t="s">
        <v>567</v>
      </c>
      <c r="K44" s="18" t="n">
        <v>3.67410347</v>
      </c>
      <c r="L44" s="20" t="n">
        <v>0.69300847</v>
      </c>
      <c r="M44" s="18" t="n">
        <v>0</v>
      </c>
      <c r="N44" s="20" t="n">
        <v>0</v>
      </c>
      <c r="O44" s="18" t="n">
        <v>0</v>
      </c>
      <c r="P44" s="20" t="n">
        <v>0</v>
      </c>
      <c r="Q44" s="18" t="n">
        <v>6.00973787</v>
      </c>
      <c r="R44" s="20" t="n">
        <v>1.14983904</v>
      </c>
    </row>
    <row r="45" spans="1:18">
      <c r="A45" s="15" t="s">
        <v>605</v>
      </c>
      <c r="B45" s="17" t="n">
        <v>2849</v>
      </c>
      <c r="C45" s="18">
        <f>(1905.0/B45*100)</f>
        <v/>
      </c>
      <c r="D45" s="19" t="n">
        <v>944</v>
      </c>
      <c r="E45" s="18" t="n">
        <v>49.46758221</v>
      </c>
      <c r="F45" s="20" t="n">
        <v>1.6964614</v>
      </c>
      <c r="G45" s="18" t="n">
        <v>39.98205434</v>
      </c>
      <c r="H45" s="20" t="n">
        <v>1.57500141</v>
      </c>
      <c r="I45" s="18" t="s">
        <v>567</v>
      </c>
      <c r="J45" s="20" t="s">
        <v>567</v>
      </c>
      <c r="K45" s="18" t="n">
        <v>7.79103196</v>
      </c>
      <c r="L45" s="20" t="n">
        <v>0.85567336</v>
      </c>
      <c r="M45" s="18" t="n">
        <v>0.18566514</v>
      </c>
      <c r="N45" s="20" t="n">
        <v>0.13270597</v>
      </c>
      <c r="O45" s="18" t="n">
        <v>0</v>
      </c>
      <c r="P45" s="20" t="n">
        <v>0</v>
      </c>
      <c r="Q45" s="18" t="n">
        <v>2.57366635</v>
      </c>
      <c r="R45" s="20" t="n">
        <v>0.43278083</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(1999.0/B49*100)</f>
        <v/>
      </c>
      <c r="D49" s="19" t="n">
        <v>1019</v>
      </c>
      <c r="E49" s="18" t="n">
        <v>52.82330457</v>
      </c>
      <c r="F49" s="20" t="n">
        <v>1.66829134</v>
      </c>
      <c r="G49" s="18" t="n">
        <v>41.81142426</v>
      </c>
      <c r="H49" s="20" t="n">
        <v>1.88614225</v>
      </c>
      <c r="I49" s="18" t="s">
        <v>567</v>
      </c>
      <c r="J49" s="20" t="s">
        <v>567</v>
      </c>
      <c r="K49" s="18" t="n">
        <v>2.68707471</v>
      </c>
      <c r="L49" s="20" t="n">
        <v>0.58345613</v>
      </c>
      <c r="M49" s="18" t="n">
        <v>0</v>
      </c>
      <c r="N49" s="20" t="n">
        <v>0</v>
      </c>
      <c r="O49" s="18" t="n">
        <v>0</v>
      </c>
      <c r="P49" s="20" t="n">
        <v>0</v>
      </c>
      <c r="Q49" s="18" t="n">
        <v>2.67819646</v>
      </c>
      <c r="R49" s="20" t="n">
        <v>0.60160687</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(1852.0/B55*100)</f>
        <v/>
      </c>
      <c r="D55" s="19" t="n">
        <v>907</v>
      </c>
      <c r="E55" s="18" t="n">
        <v>52.46050744</v>
      </c>
      <c r="F55" s="20" t="n">
        <v>1.86235567</v>
      </c>
      <c r="G55" s="18" t="n">
        <v>39.64587726</v>
      </c>
      <c r="H55" s="20" t="n">
        <v>1.87504746</v>
      </c>
      <c r="I55" s="18" t="s">
        <v>567</v>
      </c>
      <c r="J55" s="20" t="s">
        <v>567</v>
      </c>
      <c r="K55" s="18" t="n">
        <v>3.51482386</v>
      </c>
      <c r="L55" s="20" t="n">
        <v>0.68590014</v>
      </c>
      <c r="M55" s="18" t="n">
        <v>0</v>
      </c>
      <c r="N55" s="20" t="n">
        <v>0</v>
      </c>
      <c r="O55" s="18" t="n">
        <v>0</v>
      </c>
      <c r="P55" s="20" t="n">
        <v>0</v>
      </c>
      <c r="Q55" s="18" t="n">
        <v>4.37879144</v>
      </c>
      <c r="R55" s="20" t="n">
        <v>0.70292413</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63.80202491</v>
      </c>
      <c r="F57" s="20" t="n">
        <v>1.73027812</v>
      </c>
      <c r="G57" s="18" t="n">
        <v>32.13074124</v>
      </c>
      <c r="H57" s="20" t="n">
        <v>1.51363529</v>
      </c>
      <c r="I57" s="18" t="s">
        <v>567</v>
      </c>
      <c r="J57" s="20" t="s">
        <v>567</v>
      </c>
      <c r="K57" s="18" t="n">
        <v>2.78525313</v>
      </c>
      <c r="L57" s="20" t="n">
        <v>0.60751849</v>
      </c>
      <c r="M57" s="18" t="n">
        <v>0</v>
      </c>
      <c r="N57" s="20" t="n">
        <v>0</v>
      </c>
      <c r="O57" s="18" t="n">
        <v>0</v>
      </c>
      <c r="P57" s="20" t="n">
        <v>0</v>
      </c>
      <c r="Q57" s="18" t="n">
        <v>1.28198072</v>
      </c>
      <c r="R57" s="20" t="n">
        <v>0.37029147</v>
      </c>
    </row>
    <row r="58" spans="1:18">
      <c r="A58" s="15" t="s">
        <v>618</v>
      </c>
      <c r="B58" s="17" t="n">
        <v>3530</v>
      </c>
      <c r="C58" s="18">
        <f>(2348.0/B58*100)</f>
        <v/>
      </c>
      <c r="D58" s="19" t="n">
        <v>1182</v>
      </c>
      <c r="E58" s="18" t="n">
        <v>49.81679367</v>
      </c>
      <c r="F58" s="20" t="n">
        <v>1.76774818</v>
      </c>
      <c r="G58" s="18" t="n">
        <v>43.51394216</v>
      </c>
      <c r="H58" s="20" t="n">
        <v>1.72003026</v>
      </c>
      <c r="I58" s="18" t="s">
        <v>567</v>
      </c>
      <c r="J58" s="20" t="s">
        <v>567</v>
      </c>
      <c r="K58" s="18" t="n">
        <v>4.02543162</v>
      </c>
      <c r="L58" s="20" t="n">
        <v>0.65743995</v>
      </c>
      <c r="M58" s="18" t="n">
        <v>0</v>
      </c>
      <c r="N58" s="20" t="n">
        <v>0</v>
      </c>
      <c r="O58" s="18" t="n">
        <v>0.01998728</v>
      </c>
      <c r="P58" s="20" t="n">
        <v>0.01406059</v>
      </c>
      <c r="Q58" s="18" t="n">
        <v>2.62384527</v>
      </c>
      <c r="R58" s="20" t="n">
        <v>0.52445732</v>
      </c>
    </row>
    <row r="59" spans="1:18">
      <c r="A59" s="15" t="s">
        <v>619</v>
      </c>
      <c r="B59" s="17" t="n">
        <v>2548</v>
      </c>
      <c r="C59" s="18">
        <f>(1667.0/B59*100)</f>
        <v/>
      </c>
      <c r="D59" s="19" t="n">
        <v>881</v>
      </c>
      <c r="E59" s="18" t="n">
        <v>61.16280453</v>
      </c>
      <c r="F59" s="20" t="n">
        <v>1.85480869</v>
      </c>
      <c r="G59" s="18" t="n">
        <v>33.64530228</v>
      </c>
      <c r="H59" s="20" t="n">
        <v>1.79742766</v>
      </c>
      <c r="I59" s="18" t="s">
        <v>567</v>
      </c>
      <c r="J59" s="20" t="s">
        <v>567</v>
      </c>
      <c r="K59" s="18" t="n">
        <v>0.64335657</v>
      </c>
      <c r="L59" s="20" t="n">
        <v>0.24444254</v>
      </c>
      <c r="M59" s="18" t="n">
        <v>0</v>
      </c>
      <c r="N59" s="20" t="n">
        <v>0</v>
      </c>
      <c r="O59" s="18" t="n">
        <v>0</v>
      </c>
      <c r="P59" s="20" t="n">
        <v>0</v>
      </c>
      <c r="Q59" s="18" t="n">
        <v>4.54853663</v>
      </c>
      <c r="R59" s="20" t="n">
        <v>0.78966443</v>
      </c>
    </row>
    <row r="60" spans="1:18">
      <c r="A60" s="15" t="s">
        <v>620</v>
      </c>
      <c r="B60" s="17" t="n">
        <v>2095</v>
      </c>
      <c r="C60" s="18">
        <f>(1400.0/B60*100)</f>
        <v/>
      </c>
      <c r="D60" s="19" t="n">
        <v>695</v>
      </c>
      <c r="E60" s="18" t="n">
        <v>56.9951078</v>
      </c>
      <c r="F60" s="20" t="n">
        <v>2.2541512</v>
      </c>
      <c r="G60" s="18" t="n">
        <v>32.07713419</v>
      </c>
      <c r="H60" s="20" t="n">
        <v>2.05171509</v>
      </c>
      <c r="I60" s="18" t="s">
        <v>567</v>
      </c>
      <c r="J60" s="20" t="s">
        <v>567</v>
      </c>
      <c r="K60" s="18" t="n">
        <v>6.70083014</v>
      </c>
      <c r="L60" s="20" t="n">
        <v>1.01961267</v>
      </c>
      <c r="M60" s="18" t="n">
        <v>0</v>
      </c>
      <c r="N60" s="20" t="n">
        <v>0</v>
      </c>
      <c r="O60" s="18" t="n">
        <v>0.17871842</v>
      </c>
      <c r="P60" s="20" t="n">
        <v>0.17877931</v>
      </c>
      <c r="Q60" s="18" t="n">
        <v>4.04820946</v>
      </c>
      <c r="R60" s="20" t="n">
        <v>0.75092789</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(1882.0/B63*100)</f>
        <v/>
      </c>
      <c r="D63" s="19" t="n">
        <v>931</v>
      </c>
      <c r="E63" s="18" t="n">
        <v>60.49329647</v>
      </c>
      <c r="F63" s="20" t="n">
        <v>1.74525782</v>
      </c>
      <c r="G63" s="18" t="n">
        <v>28.55016566</v>
      </c>
      <c r="H63" s="20" t="n">
        <v>1.66535702</v>
      </c>
      <c r="I63" s="18" t="s">
        <v>567</v>
      </c>
      <c r="J63" s="20" t="s">
        <v>567</v>
      </c>
      <c r="K63" s="18" t="n">
        <v>3.70592222</v>
      </c>
      <c r="L63" s="20" t="n">
        <v>0.70681172</v>
      </c>
      <c r="M63" s="18" t="n">
        <v>0</v>
      </c>
      <c r="N63" s="20" t="n">
        <v>0</v>
      </c>
      <c r="O63" s="18" t="n">
        <v>0</v>
      </c>
      <c r="P63" s="20" t="n">
        <v>0</v>
      </c>
      <c r="Q63" s="18" t="n">
        <v>7.25061565</v>
      </c>
      <c r="R63" s="20" t="n">
        <v>0.94599606</v>
      </c>
    </row>
    <row r="64" spans="1:18">
      <c r="A64" s="15" t="s">
        <v>624</v>
      </c>
      <c r="B64" s="17" t="n">
        <v>1844</v>
      </c>
      <c r="C64" s="18">
        <f>(1218.0/B64*100)</f>
        <v/>
      </c>
      <c r="D64" s="19" t="n">
        <v>626</v>
      </c>
      <c r="E64" s="18" t="n">
        <v>40.77644853</v>
      </c>
      <c r="F64" s="20" t="n">
        <v>1.89769819</v>
      </c>
      <c r="G64" s="18" t="n">
        <v>52.96303318</v>
      </c>
      <c r="H64" s="20" t="n">
        <v>1.84800217</v>
      </c>
      <c r="I64" s="18" t="s">
        <v>567</v>
      </c>
      <c r="J64" s="20" t="s">
        <v>567</v>
      </c>
      <c r="K64" s="18" t="n">
        <v>4.95739815</v>
      </c>
      <c r="L64" s="20" t="n">
        <v>0.8071925</v>
      </c>
      <c r="M64" s="18" t="n">
        <v>0</v>
      </c>
      <c r="N64" s="20" t="n">
        <v>0</v>
      </c>
      <c r="O64" s="18" t="n">
        <v>0.16845841</v>
      </c>
      <c r="P64" s="20" t="n">
        <v>0.16845524</v>
      </c>
      <c r="Q64" s="18" t="n">
        <v>1.13466173</v>
      </c>
      <c r="R64" s="20" t="n">
        <v>0.41536823</v>
      </c>
    </row>
    <row r="65" spans="1:18">
      <c r="A65" s="15" t="s">
        <v>625</v>
      </c>
      <c r="B65" s="17" t="n">
        <v>2691</v>
      </c>
      <c r="C65" s="18">
        <f>(1757.0/B65*100)</f>
        <v/>
      </c>
      <c r="D65" s="19" t="n">
        <v>934</v>
      </c>
      <c r="E65" s="18" t="n">
        <v>62.67883861</v>
      </c>
      <c r="F65" s="20" t="n">
        <v>1.54422486</v>
      </c>
      <c r="G65" s="18" t="n">
        <v>25.52151112</v>
      </c>
      <c r="H65" s="20" t="n">
        <v>1.47393841</v>
      </c>
      <c r="I65" s="18" t="s">
        <v>567</v>
      </c>
      <c r="J65" s="20" t="s">
        <v>567</v>
      </c>
      <c r="K65" s="18" t="n">
        <v>8.018822159999999</v>
      </c>
      <c r="L65" s="20" t="n">
        <v>1.07658232</v>
      </c>
      <c r="M65" s="18" t="n">
        <v>0.09272633</v>
      </c>
      <c r="N65" s="20" t="n">
        <v>0.09311918</v>
      </c>
      <c r="O65" s="18" t="n">
        <v>0</v>
      </c>
      <c r="P65" s="20" t="n">
        <v>0</v>
      </c>
      <c r="Q65" s="18" t="n">
        <v>3.68810178</v>
      </c>
      <c r="R65" s="20" t="n">
        <v>0.72462311</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(1635.0/B69*100)</f>
        <v/>
      </c>
      <c r="D69" s="19" t="n">
        <v>775</v>
      </c>
      <c r="E69" s="18" t="n">
        <v>68.83162096</v>
      </c>
      <c r="F69" s="20" t="n">
        <v>1.82682087</v>
      </c>
      <c r="G69" s="18" t="n">
        <v>31.04301324</v>
      </c>
      <c r="H69" s="20" t="n">
        <v>1.83890828</v>
      </c>
      <c r="I69" s="18" t="s">
        <v>567</v>
      </c>
      <c r="J69" s="20" t="s">
        <v>567</v>
      </c>
      <c r="K69" s="18" t="n">
        <v>0.12536579</v>
      </c>
      <c r="L69" s="20" t="n">
        <v>0.12515365</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(1488.0/B74*100)</f>
        <v/>
      </c>
      <c r="D74" s="19" t="n">
        <v>751</v>
      </c>
      <c r="E74" s="18" t="n">
        <v>56.50004913</v>
      </c>
      <c r="F74" s="20" t="n">
        <v>2.01650091</v>
      </c>
      <c r="G74" s="18" t="n">
        <v>30.54711261</v>
      </c>
      <c r="H74" s="20" t="n">
        <v>1.42967852</v>
      </c>
      <c r="I74" s="18" t="s">
        <v>567</v>
      </c>
      <c r="J74" s="20" t="s">
        <v>567</v>
      </c>
      <c r="K74" s="18" t="n">
        <v>8.88419796</v>
      </c>
      <c r="L74" s="20" t="n">
        <v>1.28989901</v>
      </c>
      <c r="M74" s="18" t="n">
        <v>0</v>
      </c>
      <c r="N74" s="20" t="n">
        <v>0</v>
      </c>
      <c r="O74" s="18" t="n">
        <v>0</v>
      </c>
      <c r="P74" s="20" t="n">
        <v>0</v>
      </c>
      <c r="Q74" s="18" t="n">
        <v>4.0686403</v>
      </c>
      <c r="R74" s="20" t="n">
        <v>0.75103949</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(1885.0/B78*100)</f>
        <v/>
      </c>
      <c r="D78" s="19" t="n">
        <v>901</v>
      </c>
      <c r="E78" s="18" t="n">
        <v>48.88657574</v>
      </c>
      <c r="F78" s="20" t="n">
        <v>1.82711783</v>
      </c>
      <c r="G78" s="18" t="n">
        <v>51.11342426</v>
      </c>
      <c r="H78" s="20" t="n">
        <v>1.82711783</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(524.0/B79*100)</f>
        <v/>
      </c>
      <c r="D79" s="19" t="n">
        <v>263</v>
      </c>
      <c r="E79" s="18" t="n">
        <v>44.4269693</v>
      </c>
      <c r="F79" s="20" t="n">
        <v>3.31016835</v>
      </c>
      <c r="G79" s="18" t="n">
        <v>48.83512627</v>
      </c>
      <c r="H79" s="20" t="n">
        <v>3.29328665</v>
      </c>
      <c r="I79" s="18" t="s">
        <v>567</v>
      </c>
      <c r="J79" s="20" t="s">
        <v>567</v>
      </c>
      <c r="K79" s="18" t="n">
        <v>4.89513887</v>
      </c>
      <c r="L79" s="20" t="n">
        <v>1.18881327</v>
      </c>
      <c r="M79" s="18" t="n">
        <v>0</v>
      </c>
      <c r="N79" s="20" t="n">
        <v>0</v>
      </c>
      <c r="O79" s="18" t="n">
        <v>0</v>
      </c>
      <c r="P79" s="20" t="n">
        <v>0</v>
      </c>
      <c r="Q79" s="18" t="n">
        <v>1.84276555</v>
      </c>
      <c r="R79" s="20" t="n">
        <v>1.03167028</v>
      </c>
    </row>
    <row r="80" spans="1:18">
      <c r="A80" s="15" t="s">
        <v>640</v>
      </c>
      <c r="B80" s="17" t="n">
        <v>3798</v>
      </c>
      <c r="C80" s="18">
        <f>(2533.0/B80*100)</f>
        <v/>
      </c>
      <c r="D80" s="19" t="n">
        <v>1265</v>
      </c>
      <c r="E80" s="18" t="n">
        <v>58.79863192</v>
      </c>
      <c r="F80" s="20" t="n">
        <v>1.73291145</v>
      </c>
      <c r="G80" s="18" t="n">
        <v>40.78485355</v>
      </c>
      <c r="H80" s="20" t="n">
        <v>1.74332948</v>
      </c>
      <c r="I80" s="18" t="s">
        <v>567</v>
      </c>
      <c r="J80" s="20" t="s">
        <v>567</v>
      </c>
      <c r="K80" s="18" t="n">
        <v>0.04573692</v>
      </c>
      <c r="L80" s="20" t="n">
        <v>0.0322589</v>
      </c>
      <c r="M80" s="18" t="n">
        <v>0</v>
      </c>
      <c r="N80" s="20" t="n">
        <v>0</v>
      </c>
      <c r="O80" s="18" t="n">
        <v>0</v>
      </c>
      <c r="P80" s="20" t="n">
        <v>0</v>
      </c>
      <c r="Q80" s="18" t="n">
        <v>0.3707776</v>
      </c>
      <c r="R80" s="20" t="n">
        <v>0.2138882</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(1641.0/B44*100)</f>
        <v/>
      </c>
      <c r="D44" s="19" t="n">
        <v>883</v>
      </c>
      <c r="E44" s="18" t="n">
        <v>56.85016411</v>
      </c>
      <c r="F44" s="20" t="n">
        <v>1.96955995</v>
      </c>
      <c r="G44" s="18" t="n">
        <v>34.28422639</v>
      </c>
      <c r="H44" s="20" t="n">
        <v>2.18245577</v>
      </c>
      <c r="I44" s="18" t="s">
        <v>567</v>
      </c>
      <c r="J44" s="20" t="s">
        <v>567</v>
      </c>
      <c r="K44" s="18" t="n">
        <v>4.09258179</v>
      </c>
      <c r="L44" s="20" t="n">
        <v>0.74694991</v>
      </c>
      <c r="M44" s="18" t="n">
        <v>0</v>
      </c>
      <c r="N44" s="20" t="n">
        <v>0</v>
      </c>
      <c r="O44" s="18" t="n">
        <v>0</v>
      </c>
      <c r="P44" s="20" t="n">
        <v>0</v>
      </c>
      <c r="Q44" s="18" t="n">
        <v>4.77302771</v>
      </c>
      <c r="R44" s="20" t="n">
        <v>0.95980071</v>
      </c>
    </row>
    <row r="45" spans="1:18">
      <c r="A45" s="15" t="s">
        <v>605</v>
      </c>
      <c r="B45" s="17" t="n">
        <v>2849</v>
      </c>
      <c r="C45" s="18">
        <f>(1905.0/B45*100)</f>
        <v/>
      </c>
      <c r="D45" s="19" t="n">
        <v>944</v>
      </c>
      <c r="E45" s="18" t="n">
        <v>62.68110709</v>
      </c>
      <c r="F45" s="20" t="n">
        <v>1.5919868</v>
      </c>
      <c r="G45" s="18" t="n">
        <v>26.58589194</v>
      </c>
      <c r="H45" s="20" t="n">
        <v>1.36333604</v>
      </c>
      <c r="I45" s="18" t="s">
        <v>567</v>
      </c>
      <c r="J45" s="20" t="s">
        <v>567</v>
      </c>
      <c r="K45" s="18" t="n">
        <v>8.065545330000001</v>
      </c>
      <c r="L45" s="20" t="n">
        <v>0.89573811</v>
      </c>
      <c r="M45" s="18" t="n">
        <v>0.18566514</v>
      </c>
      <c r="N45" s="20" t="n">
        <v>0.13270597</v>
      </c>
      <c r="O45" s="18" t="n">
        <v>0</v>
      </c>
      <c r="P45" s="20" t="n">
        <v>0</v>
      </c>
      <c r="Q45" s="18" t="n">
        <v>2.48179051</v>
      </c>
      <c r="R45" s="20" t="n">
        <v>0.53687394</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(1999.0/B49*100)</f>
        <v/>
      </c>
      <c r="D49" s="19" t="n">
        <v>1019</v>
      </c>
      <c r="E49" s="18" t="n">
        <v>52.72499328</v>
      </c>
      <c r="F49" s="20" t="n">
        <v>1.93183941</v>
      </c>
      <c r="G49" s="18" t="n">
        <v>41.53777203</v>
      </c>
      <c r="H49" s="20" t="n">
        <v>2.03176631</v>
      </c>
      <c r="I49" s="18" t="s">
        <v>567</v>
      </c>
      <c r="J49" s="20" t="s">
        <v>567</v>
      </c>
      <c r="K49" s="18" t="n">
        <v>2.98683516</v>
      </c>
      <c r="L49" s="20" t="n">
        <v>0.64996729</v>
      </c>
      <c r="M49" s="18" t="n">
        <v>0</v>
      </c>
      <c r="N49" s="20" t="n">
        <v>0</v>
      </c>
      <c r="O49" s="18" t="n">
        <v>0</v>
      </c>
      <c r="P49" s="20" t="n">
        <v>0</v>
      </c>
      <c r="Q49" s="18" t="n">
        <v>2.75039952</v>
      </c>
      <c r="R49" s="20" t="n">
        <v>0.63819591</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(1852.0/B55*100)</f>
        <v/>
      </c>
      <c r="D55" s="19" t="n">
        <v>907</v>
      </c>
      <c r="E55" s="18" t="n">
        <v>59.67011805</v>
      </c>
      <c r="F55" s="20" t="n">
        <v>1.46592685</v>
      </c>
      <c r="G55" s="18" t="n">
        <v>33.63584552</v>
      </c>
      <c r="H55" s="20" t="n">
        <v>1.35846483</v>
      </c>
      <c r="I55" s="18" t="s">
        <v>567</v>
      </c>
      <c r="J55" s="20" t="s">
        <v>567</v>
      </c>
      <c r="K55" s="18" t="n">
        <v>3.95980923</v>
      </c>
      <c r="L55" s="20" t="n">
        <v>0.74950627</v>
      </c>
      <c r="M55" s="18" t="n">
        <v>0</v>
      </c>
      <c r="N55" s="20" t="n">
        <v>0</v>
      </c>
      <c r="O55" s="18" t="n">
        <v>0</v>
      </c>
      <c r="P55" s="20" t="n">
        <v>0</v>
      </c>
      <c r="Q55" s="18" t="n">
        <v>2.73422719</v>
      </c>
      <c r="R55" s="20" t="n">
        <v>0.52400413</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67.09493328000001</v>
      </c>
      <c r="F57" s="20" t="n">
        <v>1.42872356</v>
      </c>
      <c r="G57" s="18" t="n">
        <v>28.4163774</v>
      </c>
      <c r="H57" s="20" t="n">
        <v>1.49757611</v>
      </c>
      <c r="I57" s="18" t="s">
        <v>567</v>
      </c>
      <c r="J57" s="20" t="s">
        <v>567</v>
      </c>
      <c r="K57" s="18" t="n">
        <v>3.25282554</v>
      </c>
      <c r="L57" s="20" t="n">
        <v>0.6704459699999999</v>
      </c>
      <c r="M57" s="18" t="n">
        <v>0</v>
      </c>
      <c r="N57" s="20" t="n">
        <v>0</v>
      </c>
      <c r="O57" s="18" t="n">
        <v>0</v>
      </c>
      <c r="P57" s="20" t="n">
        <v>0</v>
      </c>
      <c r="Q57" s="18" t="n">
        <v>1.23586378</v>
      </c>
      <c r="R57" s="20" t="n">
        <v>0.42610878</v>
      </c>
    </row>
    <row r="58" spans="1:18">
      <c r="A58" s="15" t="s">
        <v>618</v>
      </c>
      <c r="B58" s="17" t="n">
        <v>3530</v>
      </c>
      <c r="C58" s="18">
        <f>(2348.0/B58*100)</f>
        <v/>
      </c>
      <c r="D58" s="19" t="n">
        <v>1182</v>
      </c>
      <c r="E58" s="18" t="n">
        <v>60.04743323</v>
      </c>
      <c r="F58" s="20" t="n">
        <v>1.66911177</v>
      </c>
      <c r="G58" s="18" t="n">
        <v>33.92633748</v>
      </c>
      <c r="H58" s="20" t="n">
        <v>1.74264314</v>
      </c>
      <c r="I58" s="18" t="s">
        <v>567</v>
      </c>
      <c r="J58" s="20" t="s">
        <v>567</v>
      </c>
      <c r="K58" s="18" t="n">
        <v>4.13259013</v>
      </c>
      <c r="L58" s="20" t="n">
        <v>0.65191426</v>
      </c>
      <c r="M58" s="18" t="n">
        <v>0</v>
      </c>
      <c r="N58" s="20" t="n">
        <v>0</v>
      </c>
      <c r="O58" s="18" t="n">
        <v>0.0473812</v>
      </c>
      <c r="P58" s="20" t="n">
        <v>0.04737301</v>
      </c>
      <c r="Q58" s="18" t="n">
        <v>1.84625796</v>
      </c>
      <c r="R58" s="20" t="n">
        <v>0.42619537</v>
      </c>
    </row>
    <row r="59" spans="1:18">
      <c r="A59" s="15" t="s">
        <v>619</v>
      </c>
      <c r="B59" s="17" t="n">
        <v>2548</v>
      </c>
      <c r="C59" s="18">
        <f>(1667.0/B59*100)</f>
        <v/>
      </c>
      <c r="D59" s="19" t="n">
        <v>881</v>
      </c>
      <c r="E59" s="18" t="n">
        <v>70.03181625000001</v>
      </c>
      <c r="F59" s="20" t="n">
        <v>1.95380201</v>
      </c>
      <c r="G59" s="18" t="n">
        <v>26.9554851</v>
      </c>
      <c r="H59" s="20" t="n">
        <v>1.81173983</v>
      </c>
      <c r="I59" s="18" t="s">
        <v>567</v>
      </c>
      <c r="J59" s="20" t="s">
        <v>567</v>
      </c>
      <c r="K59" s="18" t="n">
        <v>0.70595694</v>
      </c>
      <c r="L59" s="20" t="n">
        <v>0.25206342</v>
      </c>
      <c r="M59" s="18" t="n">
        <v>0</v>
      </c>
      <c r="N59" s="20" t="n">
        <v>0</v>
      </c>
      <c r="O59" s="18" t="n">
        <v>0.15198158</v>
      </c>
      <c r="P59" s="20" t="n">
        <v>0.15328246</v>
      </c>
      <c r="Q59" s="18" t="n">
        <v>2.15476013</v>
      </c>
      <c r="R59" s="20" t="n">
        <v>0.58493829</v>
      </c>
    </row>
    <row r="60" spans="1:18">
      <c r="A60" s="15" t="s">
        <v>620</v>
      </c>
      <c r="B60" s="17" t="n">
        <v>2095</v>
      </c>
      <c r="C60" s="18">
        <f>(1400.0/B60*100)</f>
        <v/>
      </c>
      <c r="D60" s="19" t="n">
        <v>695</v>
      </c>
      <c r="E60" s="18" t="n">
        <v>51.36528602</v>
      </c>
      <c r="F60" s="20" t="n">
        <v>2.48790386</v>
      </c>
      <c r="G60" s="18" t="n">
        <v>36.44602972</v>
      </c>
      <c r="H60" s="20" t="n">
        <v>2.42520666</v>
      </c>
      <c r="I60" s="18" t="s">
        <v>567</v>
      </c>
      <c r="J60" s="20" t="s">
        <v>567</v>
      </c>
      <c r="K60" s="18" t="n">
        <v>6.70083014</v>
      </c>
      <c r="L60" s="20" t="n">
        <v>1.01961267</v>
      </c>
      <c r="M60" s="18" t="n">
        <v>0</v>
      </c>
      <c r="N60" s="20" t="n">
        <v>0</v>
      </c>
      <c r="O60" s="18" t="n">
        <v>0.17871842</v>
      </c>
      <c r="P60" s="20" t="n">
        <v>0.17877931</v>
      </c>
      <c r="Q60" s="18" t="n">
        <v>5.3091357</v>
      </c>
      <c r="R60" s="20" t="n">
        <v>0.8056079900000001</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(1882.0/B63*100)</f>
        <v/>
      </c>
      <c r="D63" s="19" t="n">
        <v>931</v>
      </c>
      <c r="E63" s="18" t="n">
        <v>64.24279645999999</v>
      </c>
      <c r="F63" s="20" t="n">
        <v>1.87454593</v>
      </c>
      <c r="G63" s="18" t="n">
        <v>26.90509736</v>
      </c>
      <c r="H63" s="20" t="n">
        <v>1.78894141</v>
      </c>
      <c r="I63" s="18" t="s">
        <v>567</v>
      </c>
      <c r="J63" s="20" t="s">
        <v>567</v>
      </c>
      <c r="K63" s="18" t="n">
        <v>3.98755921</v>
      </c>
      <c r="L63" s="20" t="n">
        <v>0.73658563</v>
      </c>
      <c r="M63" s="18" t="n">
        <v>0</v>
      </c>
      <c r="N63" s="20" t="n">
        <v>0</v>
      </c>
      <c r="O63" s="18" t="n">
        <v>0</v>
      </c>
      <c r="P63" s="20" t="n">
        <v>0</v>
      </c>
      <c r="Q63" s="18" t="n">
        <v>4.86454697</v>
      </c>
      <c r="R63" s="20" t="n">
        <v>0.7279716000000001</v>
      </c>
    </row>
    <row r="64" spans="1:18">
      <c r="A64" s="15" t="s">
        <v>624</v>
      </c>
      <c r="B64" s="17" t="n">
        <v>1844</v>
      </c>
      <c r="C64" s="18">
        <f>(1218.0/B64*100)</f>
        <v/>
      </c>
      <c r="D64" s="19" t="n">
        <v>626</v>
      </c>
      <c r="E64" s="18" t="n">
        <v>43.0086815</v>
      </c>
      <c r="F64" s="20" t="n">
        <v>1.77655203</v>
      </c>
      <c r="G64" s="18" t="n">
        <v>49.3520948</v>
      </c>
      <c r="H64" s="20" t="n">
        <v>1.93807982</v>
      </c>
      <c r="I64" s="18" t="s">
        <v>567</v>
      </c>
      <c r="J64" s="20" t="s">
        <v>567</v>
      </c>
      <c r="K64" s="18" t="n">
        <v>5.4669498</v>
      </c>
      <c r="L64" s="20" t="n">
        <v>0.886911</v>
      </c>
      <c r="M64" s="18" t="n">
        <v>0</v>
      </c>
      <c r="N64" s="20" t="n">
        <v>0</v>
      </c>
      <c r="O64" s="18" t="n">
        <v>0.16845841</v>
      </c>
      <c r="P64" s="20" t="n">
        <v>0.16845524</v>
      </c>
      <c r="Q64" s="18" t="n">
        <v>2.00381549</v>
      </c>
      <c r="R64" s="20" t="n">
        <v>0.56496377</v>
      </c>
    </row>
    <row r="65" spans="1:18">
      <c r="A65" s="15" t="s">
        <v>625</v>
      </c>
      <c r="B65" s="17" t="n">
        <v>2691</v>
      </c>
      <c r="C65" s="18">
        <f>(1757.0/B65*100)</f>
        <v/>
      </c>
      <c r="D65" s="19" t="n">
        <v>934</v>
      </c>
      <c r="E65" s="18" t="n">
        <v>56.85512966</v>
      </c>
      <c r="F65" s="20" t="n">
        <v>1.9245138</v>
      </c>
      <c r="G65" s="18" t="n">
        <v>30.89627378</v>
      </c>
      <c r="H65" s="20" t="n">
        <v>1.42297296</v>
      </c>
      <c r="I65" s="18" t="s">
        <v>567</v>
      </c>
      <c r="J65" s="20" t="s">
        <v>567</v>
      </c>
      <c r="K65" s="18" t="n">
        <v>8.53180324</v>
      </c>
      <c r="L65" s="20" t="n">
        <v>1.12034874</v>
      </c>
      <c r="M65" s="18" t="n">
        <v>0</v>
      </c>
      <c r="N65" s="20" t="n">
        <v>0</v>
      </c>
      <c r="O65" s="18" t="n">
        <v>0</v>
      </c>
      <c r="P65" s="20" t="n">
        <v>0</v>
      </c>
      <c r="Q65" s="18" t="n">
        <v>3.71679333</v>
      </c>
      <c r="R65" s="20" t="n">
        <v>0.6728359</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(1635.0/B69*100)</f>
        <v/>
      </c>
      <c r="D69" s="19" t="n">
        <v>775</v>
      </c>
      <c r="E69" s="18" t="n">
        <v>58.69874937</v>
      </c>
      <c r="F69" s="20" t="n">
        <v>2.01710264</v>
      </c>
      <c r="G69" s="18" t="n">
        <v>41.17588484</v>
      </c>
      <c r="H69" s="20" t="n">
        <v>2.00488805</v>
      </c>
      <c r="I69" s="18" t="s">
        <v>567</v>
      </c>
      <c r="J69" s="20" t="s">
        <v>567</v>
      </c>
      <c r="K69" s="18" t="n">
        <v>0.12536579</v>
      </c>
      <c r="L69" s="20" t="n">
        <v>0.12515365</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(1488.0/B74*100)</f>
        <v/>
      </c>
      <c r="D74" s="19" t="n">
        <v>751</v>
      </c>
      <c r="E74" s="18" t="n">
        <v>55.50356818</v>
      </c>
      <c r="F74" s="20" t="n">
        <v>1.76060211</v>
      </c>
      <c r="G74" s="18" t="n">
        <v>30.05306551</v>
      </c>
      <c r="H74" s="20" t="n">
        <v>1.50707352</v>
      </c>
      <c r="I74" s="18" t="s">
        <v>567</v>
      </c>
      <c r="J74" s="20" t="s">
        <v>567</v>
      </c>
      <c r="K74" s="18" t="n">
        <v>9.996151169999999</v>
      </c>
      <c r="L74" s="20" t="n">
        <v>1.37047326</v>
      </c>
      <c r="M74" s="18" t="n">
        <v>0</v>
      </c>
      <c r="N74" s="20" t="n">
        <v>0</v>
      </c>
      <c r="O74" s="18" t="n">
        <v>0</v>
      </c>
      <c r="P74" s="20" t="n">
        <v>0</v>
      </c>
      <c r="Q74" s="18" t="n">
        <v>4.44721514</v>
      </c>
      <c r="R74" s="20" t="n">
        <v>0.8099125700000001</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(1885.0/B78*100)</f>
        <v/>
      </c>
      <c r="D78" s="19" t="n">
        <v>901</v>
      </c>
      <c r="E78" s="18" t="n">
        <v>33.91002502</v>
      </c>
      <c r="F78" s="20" t="n">
        <v>1.65874838</v>
      </c>
      <c r="G78" s="18" t="n">
        <v>66.08997497999999</v>
      </c>
      <c r="H78" s="20" t="n">
        <v>1.65874838</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(524.0/B79*100)</f>
        <v/>
      </c>
      <c r="D79" s="19" t="n">
        <v>263</v>
      </c>
      <c r="E79" s="18" t="n">
        <v>42.66913953</v>
      </c>
      <c r="F79" s="20" t="n">
        <v>2.59017253</v>
      </c>
      <c r="G79" s="18" t="n">
        <v>49.85611939</v>
      </c>
      <c r="H79" s="20" t="n">
        <v>2.5157944</v>
      </c>
      <c r="I79" s="18" t="s">
        <v>567</v>
      </c>
      <c r="J79" s="20" t="s">
        <v>567</v>
      </c>
      <c r="K79" s="18" t="n">
        <v>4.89513887</v>
      </c>
      <c r="L79" s="20" t="n">
        <v>1.18881327</v>
      </c>
      <c r="M79" s="18" t="n">
        <v>0</v>
      </c>
      <c r="N79" s="20" t="n">
        <v>0</v>
      </c>
      <c r="O79" s="18" t="n">
        <v>0</v>
      </c>
      <c r="P79" s="20" t="n">
        <v>0</v>
      </c>
      <c r="Q79" s="18" t="n">
        <v>2.5796022</v>
      </c>
      <c r="R79" s="20" t="n">
        <v>1.12309972</v>
      </c>
    </row>
    <row r="80" spans="1:18">
      <c r="A80" s="15" t="s">
        <v>640</v>
      </c>
      <c r="B80" s="17" t="n">
        <v>3798</v>
      </c>
      <c r="C80" s="18">
        <f>(2533.0/B80*100)</f>
        <v/>
      </c>
      <c r="D80" s="19" t="n">
        <v>1265</v>
      </c>
      <c r="E80" s="18" t="n">
        <v>59.28471394</v>
      </c>
      <c r="F80" s="20" t="n">
        <v>1.9200572</v>
      </c>
      <c r="G80" s="18" t="n">
        <v>40.19236087</v>
      </c>
      <c r="H80" s="20" t="n">
        <v>1.92415661</v>
      </c>
      <c r="I80" s="18" t="s">
        <v>567</v>
      </c>
      <c r="J80" s="20" t="s">
        <v>567</v>
      </c>
      <c r="K80" s="18" t="n">
        <v>0.14054797</v>
      </c>
      <c r="L80" s="20" t="n">
        <v>0.10099373</v>
      </c>
      <c r="M80" s="18" t="n">
        <v>0</v>
      </c>
      <c r="N80" s="20" t="n">
        <v>0</v>
      </c>
      <c r="O80" s="18" t="n">
        <v>0</v>
      </c>
      <c r="P80" s="20" t="n">
        <v>0</v>
      </c>
      <c r="Q80" s="18" t="n">
        <v>0.38237723</v>
      </c>
      <c r="R80" s="20" t="n">
        <v>0.23173912</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(1641.0/B44*100)</f>
        <v/>
      </c>
      <c r="D44" s="19" t="n">
        <v>883</v>
      </c>
      <c r="E44" s="18" t="n">
        <v>40.30343173</v>
      </c>
      <c r="F44" s="20" t="n">
        <v>1.98157637</v>
      </c>
      <c r="G44" s="18" t="n">
        <v>52.18843108</v>
      </c>
      <c r="H44" s="20" t="n">
        <v>2.1619295</v>
      </c>
      <c r="I44" s="18" t="s">
        <v>567</v>
      </c>
      <c r="J44" s="20" t="s">
        <v>567</v>
      </c>
      <c r="K44" s="18" t="n">
        <v>5.51273153</v>
      </c>
      <c r="L44" s="20" t="n">
        <v>0.93861739</v>
      </c>
      <c r="M44" s="18" t="n">
        <v>0</v>
      </c>
      <c r="N44" s="20" t="n">
        <v>0</v>
      </c>
      <c r="O44" s="18" t="n">
        <v>0</v>
      </c>
      <c r="P44" s="20" t="n">
        <v>0</v>
      </c>
      <c r="Q44" s="18" t="n">
        <v>1.99540566</v>
      </c>
      <c r="R44" s="20" t="n">
        <v>0.55808112</v>
      </c>
    </row>
    <row r="45" spans="1:18">
      <c r="A45" s="15" t="s">
        <v>605</v>
      </c>
      <c r="B45" s="17" t="n">
        <v>2849</v>
      </c>
      <c r="C45" s="18">
        <f>(1905.0/B45*100)</f>
        <v/>
      </c>
      <c r="D45" s="19" t="n">
        <v>944</v>
      </c>
      <c r="E45" s="18" t="n">
        <v>54.91359289</v>
      </c>
      <c r="F45" s="20" t="n">
        <v>1.65645452</v>
      </c>
      <c r="G45" s="18" t="n">
        <v>34.95552901</v>
      </c>
      <c r="H45" s="20" t="n">
        <v>1.57149578</v>
      </c>
      <c r="I45" s="18" t="s">
        <v>567</v>
      </c>
      <c r="J45" s="20" t="s">
        <v>567</v>
      </c>
      <c r="K45" s="18" t="n">
        <v>9.57401394</v>
      </c>
      <c r="L45" s="20" t="n">
        <v>0.96153602</v>
      </c>
      <c r="M45" s="18" t="n">
        <v>0.18566514</v>
      </c>
      <c r="N45" s="20" t="n">
        <v>0.13270597</v>
      </c>
      <c r="O45" s="18" t="n">
        <v>0</v>
      </c>
      <c r="P45" s="20" t="n">
        <v>0</v>
      </c>
      <c r="Q45" s="18" t="n">
        <v>0.37119902</v>
      </c>
      <c r="R45" s="20" t="n">
        <v>0.18855218</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(1999.0/B49*100)</f>
        <v/>
      </c>
      <c r="D49" s="19" t="n">
        <v>1019</v>
      </c>
      <c r="E49" s="18" t="n">
        <v>31.98210942</v>
      </c>
      <c r="F49" s="20" t="n">
        <v>1.76470436</v>
      </c>
      <c r="G49" s="18" t="n">
        <v>63.59452553</v>
      </c>
      <c r="H49" s="20" t="n">
        <v>1.82241829</v>
      </c>
      <c r="I49" s="18" t="s">
        <v>567</v>
      </c>
      <c r="J49" s="20" t="s">
        <v>567</v>
      </c>
      <c r="K49" s="18" t="n">
        <v>3.96241383</v>
      </c>
      <c r="L49" s="20" t="n">
        <v>0.78416639</v>
      </c>
      <c r="M49" s="18" t="n">
        <v>0</v>
      </c>
      <c r="N49" s="20" t="n">
        <v>0</v>
      </c>
      <c r="O49" s="18" t="n">
        <v>0</v>
      </c>
      <c r="P49" s="20" t="n">
        <v>0</v>
      </c>
      <c r="Q49" s="18" t="n">
        <v>0.46095122</v>
      </c>
      <c r="R49" s="20" t="n">
        <v>0.22570848</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(1852.0/B55*100)</f>
        <v/>
      </c>
      <c r="D55" s="19" t="n">
        <v>907</v>
      </c>
      <c r="E55" s="18" t="n">
        <v>47.14782509</v>
      </c>
      <c r="F55" s="20" t="n">
        <v>1.64941805</v>
      </c>
      <c r="G55" s="18" t="n">
        <v>46.70509833</v>
      </c>
      <c r="H55" s="20" t="n">
        <v>1.62951164</v>
      </c>
      <c r="I55" s="18" t="s">
        <v>567</v>
      </c>
      <c r="J55" s="20" t="s">
        <v>567</v>
      </c>
      <c r="K55" s="18" t="n">
        <v>4.61844514</v>
      </c>
      <c r="L55" s="20" t="n">
        <v>0.76532902</v>
      </c>
      <c r="M55" s="18" t="n">
        <v>0</v>
      </c>
      <c r="N55" s="20" t="n">
        <v>0</v>
      </c>
      <c r="O55" s="18" t="n">
        <v>0</v>
      </c>
      <c r="P55" s="20" t="n">
        <v>0</v>
      </c>
      <c r="Q55" s="18" t="n">
        <v>1.52863144</v>
      </c>
      <c r="R55" s="20" t="n">
        <v>0.45395026</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57.82238443</v>
      </c>
      <c r="F57" s="20" t="n">
        <v>1.47722556</v>
      </c>
      <c r="G57" s="18" t="n">
        <v>38.17627435</v>
      </c>
      <c r="H57" s="20" t="n">
        <v>1.62788331</v>
      </c>
      <c r="I57" s="18" t="s">
        <v>567</v>
      </c>
      <c r="J57" s="20" t="s">
        <v>567</v>
      </c>
      <c r="K57" s="18" t="n">
        <v>3.61458162</v>
      </c>
      <c r="L57" s="20" t="n">
        <v>0.75258858</v>
      </c>
      <c r="M57" s="18" t="n">
        <v>0</v>
      </c>
      <c r="N57" s="20" t="n">
        <v>0</v>
      </c>
      <c r="O57" s="18" t="n">
        <v>0</v>
      </c>
      <c r="P57" s="20" t="n">
        <v>0</v>
      </c>
      <c r="Q57" s="18" t="n">
        <v>0.38675961</v>
      </c>
      <c r="R57" s="20" t="n">
        <v>0.17525227</v>
      </c>
    </row>
    <row r="58" spans="1:18">
      <c r="A58" s="15" t="s">
        <v>618</v>
      </c>
      <c r="B58" s="17" t="n">
        <v>3530</v>
      </c>
      <c r="C58" s="18">
        <f>(2348.0/B58*100)</f>
        <v/>
      </c>
      <c r="D58" s="19" t="n">
        <v>1182</v>
      </c>
      <c r="E58" s="18" t="n">
        <v>54.88036334</v>
      </c>
      <c r="F58" s="20" t="n">
        <v>1.46497912</v>
      </c>
      <c r="G58" s="18" t="n">
        <v>38.82428008</v>
      </c>
      <c r="H58" s="20" t="n">
        <v>1.57341854</v>
      </c>
      <c r="I58" s="18" t="s">
        <v>567</v>
      </c>
      <c r="J58" s="20" t="s">
        <v>567</v>
      </c>
      <c r="K58" s="18" t="n">
        <v>4.79360319</v>
      </c>
      <c r="L58" s="20" t="n">
        <v>0.69362905</v>
      </c>
      <c r="M58" s="18" t="n">
        <v>0</v>
      </c>
      <c r="N58" s="20" t="n">
        <v>0</v>
      </c>
      <c r="O58" s="18" t="n">
        <v>0</v>
      </c>
      <c r="P58" s="20" t="n">
        <v>0</v>
      </c>
      <c r="Q58" s="18" t="n">
        <v>1.50175339</v>
      </c>
      <c r="R58" s="20" t="n">
        <v>0.44240845</v>
      </c>
    </row>
    <row r="59" spans="1:18">
      <c r="A59" s="15" t="s">
        <v>619</v>
      </c>
      <c r="B59" s="17" t="n">
        <v>2548</v>
      </c>
      <c r="C59" s="18">
        <f>(1667.0/B59*100)</f>
        <v/>
      </c>
      <c r="D59" s="19" t="n">
        <v>881</v>
      </c>
      <c r="E59" s="18" t="n">
        <v>52.41587085</v>
      </c>
      <c r="F59" s="20" t="n">
        <v>2.09161095</v>
      </c>
      <c r="G59" s="18" t="n">
        <v>45.0401779</v>
      </c>
      <c r="H59" s="20" t="n">
        <v>2.09403518</v>
      </c>
      <c r="I59" s="18" t="s">
        <v>567</v>
      </c>
      <c r="J59" s="20" t="s">
        <v>567</v>
      </c>
      <c r="K59" s="18" t="n">
        <v>1.0730751</v>
      </c>
      <c r="L59" s="20" t="n">
        <v>0.32990472</v>
      </c>
      <c r="M59" s="18" t="n">
        <v>0</v>
      </c>
      <c r="N59" s="20" t="n">
        <v>0</v>
      </c>
      <c r="O59" s="18" t="n">
        <v>0.15198158</v>
      </c>
      <c r="P59" s="20" t="n">
        <v>0.15328246</v>
      </c>
      <c r="Q59" s="18" t="n">
        <v>1.31889457</v>
      </c>
      <c r="R59" s="20" t="n">
        <v>0.40963701</v>
      </c>
    </row>
    <row r="60" spans="1:18">
      <c r="A60" s="15" t="s">
        <v>620</v>
      </c>
      <c r="B60" s="17" t="n">
        <v>2095</v>
      </c>
      <c r="C60" s="18">
        <f>(1400.0/B60*100)</f>
        <v/>
      </c>
      <c r="D60" s="19" t="n">
        <v>695</v>
      </c>
      <c r="E60" s="18" t="n">
        <v>52.75114947</v>
      </c>
      <c r="F60" s="20" t="n">
        <v>2.26763786</v>
      </c>
      <c r="G60" s="18" t="n">
        <v>37.38390932</v>
      </c>
      <c r="H60" s="20" t="n">
        <v>1.91463039</v>
      </c>
      <c r="I60" s="18" t="s">
        <v>567</v>
      </c>
      <c r="J60" s="20" t="s">
        <v>567</v>
      </c>
      <c r="K60" s="18" t="n">
        <v>8.47269423</v>
      </c>
      <c r="L60" s="20" t="n">
        <v>1.23935791</v>
      </c>
      <c r="M60" s="18" t="n">
        <v>0</v>
      </c>
      <c r="N60" s="20" t="n">
        <v>0</v>
      </c>
      <c r="O60" s="18" t="n">
        <v>0.17871842</v>
      </c>
      <c r="P60" s="20" t="n">
        <v>0.17877931</v>
      </c>
      <c r="Q60" s="18" t="n">
        <v>1.21352857</v>
      </c>
      <c r="R60" s="20" t="n">
        <v>0.44975162</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(1882.0/B63*100)</f>
        <v/>
      </c>
      <c r="D63" s="19" t="n">
        <v>931</v>
      </c>
      <c r="E63" s="18" t="n">
        <v>55.06390973</v>
      </c>
      <c r="F63" s="20" t="n">
        <v>1.55302184</v>
      </c>
      <c r="G63" s="18" t="n">
        <v>38.11360278</v>
      </c>
      <c r="H63" s="20" t="n">
        <v>1.69988788</v>
      </c>
      <c r="I63" s="18" t="s">
        <v>567</v>
      </c>
      <c r="J63" s="20" t="s">
        <v>567</v>
      </c>
      <c r="K63" s="18" t="n">
        <v>4.94596971</v>
      </c>
      <c r="L63" s="20" t="n">
        <v>0.80844008</v>
      </c>
      <c r="M63" s="18" t="n">
        <v>0</v>
      </c>
      <c r="N63" s="20" t="n">
        <v>0</v>
      </c>
      <c r="O63" s="18" t="n">
        <v>0</v>
      </c>
      <c r="P63" s="20" t="n">
        <v>0</v>
      </c>
      <c r="Q63" s="18" t="n">
        <v>1.87651778</v>
      </c>
      <c r="R63" s="20" t="n">
        <v>0.43080165</v>
      </c>
    </row>
    <row r="64" spans="1:18">
      <c r="A64" s="15" t="s">
        <v>624</v>
      </c>
      <c r="B64" s="17" t="n">
        <v>1844</v>
      </c>
      <c r="C64" s="18">
        <f>(1218.0/B64*100)</f>
        <v/>
      </c>
      <c r="D64" s="19" t="n">
        <v>626</v>
      </c>
      <c r="E64" s="18" t="n">
        <v>36.8593242</v>
      </c>
      <c r="F64" s="20" t="n">
        <v>1.80428841</v>
      </c>
      <c r="G64" s="18" t="n">
        <v>57.16205717</v>
      </c>
      <c r="H64" s="20" t="n">
        <v>1.92879651</v>
      </c>
      <c r="I64" s="18" t="s">
        <v>567</v>
      </c>
      <c r="J64" s="20" t="s">
        <v>567</v>
      </c>
      <c r="K64" s="18" t="n">
        <v>5.64170182</v>
      </c>
      <c r="L64" s="20" t="n">
        <v>0.89900103</v>
      </c>
      <c r="M64" s="18" t="n">
        <v>0</v>
      </c>
      <c r="N64" s="20" t="n">
        <v>0</v>
      </c>
      <c r="O64" s="18" t="n">
        <v>0.16845841</v>
      </c>
      <c r="P64" s="20" t="n">
        <v>0.16845524</v>
      </c>
      <c r="Q64" s="18" t="n">
        <v>0.16845841</v>
      </c>
      <c r="R64" s="20" t="n">
        <v>0.16883074</v>
      </c>
    </row>
    <row r="65" spans="1:18">
      <c r="A65" s="15" t="s">
        <v>625</v>
      </c>
      <c r="B65" s="17" t="n">
        <v>2691</v>
      </c>
      <c r="C65" s="18">
        <f>(1757.0/B65*100)</f>
        <v/>
      </c>
      <c r="D65" s="19" t="n">
        <v>934</v>
      </c>
      <c r="E65" s="18" t="n">
        <v>40.44380264</v>
      </c>
      <c r="F65" s="20" t="n">
        <v>1.77630833</v>
      </c>
      <c r="G65" s="18" t="n">
        <v>48.55469982</v>
      </c>
      <c r="H65" s="20" t="n">
        <v>1.90230366</v>
      </c>
      <c r="I65" s="18" t="s">
        <v>567</v>
      </c>
      <c r="J65" s="20" t="s">
        <v>567</v>
      </c>
      <c r="K65" s="18" t="n">
        <v>10.173545</v>
      </c>
      <c r="L65" s="20" t="n">
        <v>1.14396392</v>
      </c>
      <c r="M65" s="18" t="n">
        <v>0</v>
      </c>
      <c r="N65" s="20" t="n">
        <v>0</v>
      </c>
      <c r="O65" s="18" t="n">
        <v>0</v>
      </c>
      <c r="P65" s="20" t="n">
        <v>0</v>
      </c>
      <c r="Q65" s="18" t="n">
        <v>0.82795254</v>
      </c>
      <c r="R65" s="20" t="n">
        <v>0.30216824</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(1635.0/B69*100)</f>
        <v/>
      </c>
      <c r="D69" s="19" t="n">
        <v>775</v>
      </c>
      <c r="E69" s="18" t="n">
        <v>57.75253717</v>
      </c>
      <c r="F69" s="20" t="n">
        <v>2.10333937</v>
      </c>
      <c r="G69" s="18" t="n">
        <v>42.12209704</v>
      </c>
      <c r="H69" s="20" t="n">
        <v>2.09820262</v>
      </c>
      <c r="I69" s="18" t="s">
        <v>567</v>
      </c>
      <c r="J69" s="20" t="s">
        <v>567</v>
      </c>
      <c r="K69" s="18" t="n">
        <v>0.12536579</v>
      </c>
      <c r="L69" s="20" t="n">
        <v>0.12515365</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(1488.0/B74*100)</f>
        <v/>
      </c>
      <c r="D74" s="19" t="n">
        <v>751</v>
      </c>
      <c r="E74" s="18" t="n">
        <v>41.07076202</v>
      </c>
      <c r="F74" s="20" t="n">
        <v>2.10116555</v>
      </c>
      <c r="G74" s="18" t="n">
        <v>46.98523707</v>
      </c>
      <c r="H74" s="20" t="n">
        <v>2.21799968</v>
      </c>
      <c r="I74" s="18" t="s">
        <v>567</v>
      </c>
      <c r="J74" s="20" t="s">
        <v>567</v>
      </c>
      <c r="K74" s="18" t="n">
        <v>11.03172314</v>
      </c>
      <c r="L74" s="20" t="n">
        <v>1.41939016</v>
      </c>
      <c r="M74" s="18" t="n">
        <v>0</v>
      </c>
      <c r="N74" s="20" t="n">
        <v>0</v>
      </c>
      <c r="O74" s="18" t="n">
        <v>0</v>
      </c>
      <c r="P74" s="20" t="n">
        <v>0</v>
      </c>
      <c r="Q74" s="18" t="n">
        <v>0.91227777</v>
      </c>
      <c r="R74" s="20" t="n">
        <v>0.36915148</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(1885.0/B78*100)</f>
        <v/>
      </c>
      <c r="D78" s="19" t="n">
        <v>901</v>
      </c>
      <c r="E78" s="18" t="n">
        <v>21.32430869</v>
      </c>
      <c r="F78" s="20" t="n">
        <v>1.85714856</v>
      </c>
      <c r="G78" s="18" t="n">
        <v>78.60291248</v>
      </c>
      <c r="H78" s="20" t="n">
        <v>1.87616838</v>
      </c>
      <c r="I78" s="18" t="s">
        <v>567</v>
      </c>
      <c r="J78" s="20" t="s">
        <v>567</v>
      </c>
      <c r="K78" s="18" t="n">
        <v>0</v>
      </c>
      <c r="L78" s="20" t="n">
        <v>0</v>
      </c>
      <c r="M78" s="18" t="n">
        <v>0</v>
      </c>
      <c r="N78" s="20" t="n">
        <v>0</v>
      </c>
      <c r="O78" s="18" t="n">
        <v>0</v>
      </c>
      <c r="P78" s="20" t="n">
        <v>0</v>
      </c>
      <c r="Q78" s="18" t="n">
        <v>0.07277883</v>
      </c>
      <c r="R78" s="20" t="n">
        <v>0.07387286</v>
      </c>
    </row>
    <row customHeight="1" ht="25" r="79" spans="1:18">
      <c r="A79" s="15" t="s">
        <v>639</v>
      </c>
      <c r="B79" s="17" t="n">
        <v>787</v>
      </c>
      <c r="C79" s="18">
        <f>(524.0/B79*100)</f>
        <v/>
      </c>
      <c r="D79" s="19" t="n">
        <v>263</v>
      </c>
      <c r="E79" s="18" t="n">
        <v>20.02038146</v>
      </c>
      <c r="F79" s="20" t="n">
        <v>2.71483934</v>
      </c>
      <c r="G79" s="18" t="n">
        <v>73.14713856</v>
      </c>
      <c r="H79" s="20" t="n">
        <v>2.57821952</v>
      </c>
      <c r="I79" s="18" t="s">
        <v>567</v>
      </c>
      <c r="J79" s="20" t="s">
        <v>567</v>
      </c>
      <c r="K79" s="18" t="n">
        <v>6.16043682</v>
      </c>
      <c r="L79" s="20" t="n">
        <v>1.23118541</v>
      </c>
      <c r="M79" s="18" t="n">
        <v>0</v>
      </c>
      <c r="N79" s="20" t="n">
        <v>0</v>
      </c>
      <c r="O79" s="18" t="n">
        <v>0</v>
      </c>
      <c r="P79" s="20" t="n">
        <v>0</v>
      </c>
      <c r="Q79" s="18" t="n">
        <v>0.67204316</v>
      </c>
      <c r="R79" s="20" t="n">
        <v>0.48457033</v>
      </c>
    </row>
    <row r="80" spans="1:18">
      <c r="A80" s="15" t="s">
        <v>640</v>
      </c>
      <c r="B80" s="17" t="n">
        <v>3798</v>
      </c>
      <c r="C80" s="18">
        <f>(2533.0/B80*100)</f>
        <v/>
      </c>
      <c r="D80" s="19" t="n">
        <v>1265</v>
      </c>
      <c r="E80" s="18" t="n">
        <v>45.15121266</v>
      </c>
      <c r="F80" s="20" t="n">
        <v>2.10681177</v>
      </c>
      <c r="G80" s="18" t="n">
        <v>54.41284647</v>
      </c>
      <c r="H80" s="20" t="n">
        <v>2.10288122</v>
      </c>
      <c r="I80" s="18" t="s">
        <v>567</v>
      </c>
      <c r="J80" s="20" t="s">
        <v>567</v>
      </c>
      <c r="K80" s="18" t="n">
        <v>0.32002416</v>
      </c>
      <c r="L80" s="20" t="n">
        <v>0.14457941</v>
      </c>
      <c r="M80" s="18" t="n">
        <v>0</v>
      </c>
      <c r="N80" s="20" t="n">
        <v>0</v>
      </c>
      <c r="O80" s="18" t="n">
        <v>0</v>
      </c>
      <c r="P80" s="20" t="n">
        <v>0</v>
      </c>
      <c r="Q80" s="18" t="n">
        <v>0.11591672</v>
      </c>
      <c r="R80" s="20" t="n">
        <v>0.17287097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(1641.0/B44*100)</f>
        <v/>
      </c>
      <c r="D44" s="19" t="n">
        <v>883</v>
      </c>
      <c r="E44" s="18" t="n">
        <v>51.06407337</v>
      </c>
      <c r="F44" s="20" t="n">
        <v>1.95765143</v>
      </c>
      <c r="G44" s="18" t="n">
        <v>41.86707325</v>
      </c>
      <c r="H44" s="20" t="n">
        <v>2.10614125</v>
      </c>
      <c r="I44" s="18" t="s">
        <v>567</v>
      </c>
      <c r="J44" s="20" t="s">
        <v>567</v>
      </c>
      <c r="K44" s="18" t="n">
        <v>6.0320947</v>
      </c>
      <c r="L44" s="20" t="n">
        <v>0.98349849</v>
      </c>
      <c r="M44" s="18" t="n">
        <v>0</v>
      </c>
      <c r="N44" s="20" t="n">
        <v>0</v>
      </c>
      <c r="O44" s="18" t="n">
        <v>0</v>
      </c>
      <c r="P44" s="20" t="n">
        <v>0</v>
      </c>
      <c r="Q44" s="18" t="n">
        <v>1.03675869</v>
      </c>
      <c r="R44" s="20" t="n">
        <v>0.3810896</v>
      </c>
    </row>
    <row r="45" spans="1:18">
      <c r="A45" s="15" t="s">
        <v>605</v>
      </c>
      <c r="B45" s="17" t="n">
        <v>2849</v>
      </c>
      <c r="C45" s="18">
        <f>(1905.0/B45*100)</f>
        <v/>
      </c>
      <c r="D45" s="19" t="n">
        <v>944</v>
      </c>
      <c r="E45" s="18" t="n">
        <v>62.36754803</v>
      </c>
      <c r="F45" s="20" t="n">
        <v>1.59566338</v>
      </c>
      <c r="G45" s="18" t="n">
        <v>24.69410224</v>
      </c>
      <c r="H45" s="20" t="n">
        <v>1.5019888</v>
      </c>
      <c r="I45" s="18" t="s">
        <v>567</v>
      </c>
      <c r="J45" s="20" t="s">
        <v>567</v>
      </c>
      <c r="K45" s="18" t="n">
        <v>11.29416115</v>
      </c>
      <c r="L45" s="20" t="n">
        <v>1.14410283</v>
      </c>
      <c r="M45" s="18" t="n">
        <v>0.2904267</v>
      </c>
      <c r="N45" s="20" t="n">
        <v>0.17121282</v>
      </c>
      <c r="O45" s="18" t="n">
        <v>0</v>
      </c>
      <c r="P45" s="20" t="n">
        <v>0</v>
      </c>
      <c r="Q45" s="18" t="n">
        <v>1.35376188</v>
      </c>
      <c r="R45" s="20" t="n">
        <v>0.34421383</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(1999.0/B49*100)</f>
        <v/>
      </c>
      <c r="D49" s="19" t="n">
        <v>1019</v>
      </c>
      <c r="E49" s="18" t="n">
        <v>36.52594612</v>
      </c>
      <c r="F49" s="20" t="n">
        <v>1.83613226</v>
      </c>
      <c r="G49" s="18" t="n">
        <v>58.59360626</v>
      </c>
      <c r="H49" s="20" t="n">
        <v>1.89452741</v>
      </c>
      <c r="I49" s="18" t="s">
        <v>567</v>
      </c>
      <c r="J49" s="20" t="s">
        <v>567</v>
      </c>
      <c r="K49" s="18" t="n">
        <v>4.22670691</v>
      </c>
      <c r="L49" s="20" t="n">
        <v>0.84272143</v>
      </c>
      <c r="M49" s="18" t="n">
        <v>0</v>
      </c>
      <c r="N49" s="20" t="n">
        <v>0</v>
      </c>
      <c r="O49" s="18" t="n">
        <v>0</v>
      </c>
      <c r="P49" s="20" t="n">
        <v>0</v>
      </c>
      <c r="Q49" s="18" t="n">
        <v>0.65374071</v>
      </c>
      <c r="R49" s="20" t="n">
        <v>0.2551174</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(1852.0/B55*100)</f>
        <v/>
      </c>
      <c r="D55" s="19" t="n">
        <v>907</v>
      </c>
      <c r="E55" s="18" t="n">
        <v>60.30794988</v>
      </c>
      <c r="F55" s="20" t="n">
        <v>1.79956291</v>
      </c>
      <c r="G55" s="18" t="n">
        <v>33.08884016</v>
      </c>
      <c r="H55" s="20" t="n">
        <v>1.87362208</v>
      </c>
      <c r="I55" s="18" t="s">
        <v>567</v>
      </c>
      <c r="J55" s="20" t="s">
        <v>567</v>
      </c>
      <c r="K55" s="18" t="n">
        <v>4.91287591</v>
      </c>
      <c r="L55" s="20" t="n">
        <v>0.81225503</v>
      </c>
      <c r="M55" s="18" t="n">
        <v>0</v>
      </c>
      <c r="N55" s="20" t="n">
        <v>0</v>
      </c>
      <c r="O55" s="18" t="n">
        <v>0</v>
      </c>
      <c r="P55" s="20" t="n">
        <v>0</v>
      </c>
      <c r="Q55" s="18" t="n">
        <v>1.69033404</v>
      </c>
      <c r="R55" s="20" t="n">
        <v>0.30857326</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46.04507337</v>
      </c>
      <c r="F57" s="20" t="n">
        <v>1.79537498</v>
      </c>
      <c r="G57" s="18" t="n">
        <v>49.1288542</v>
      </c>
      <c r="H57" s="20" t="n">
        <v>1.88287255</v>
      </c>
      <c r="I57" s="18" t="s">
        <v>567</v>
      </c>
      <c r="J57" s="20" t="s">
        <v>567</v>
      </c>
      <c r="K57" s="18" t="n">
        <v>4.15487755</v>
      </c>
      <c r="L57" s="20" t="n">
        <v>0.80092791</v>
      </c>
      <c r="M57" s="18" t="n">
        <v>0</v>
      </c>
      <c r="N57" s="20" t="n">
        <v>0</v>
      </c>
      <c r="O57" s="18" t="n">
        <v>0</v>
      </c>
      <c r="P57" s="20" t="n">
        <v>0</v>
      </c>
      <c r="Q57" s="18" t="n">
        <v>0.67119489</v>
      </c>
      <c r="R57" s="20" t="n">
        <v>0.30742099</v>
      </c>
    </row>
    <row r="58" spans="1:18">
      <c r="A58" s="15" t="s">
        <v>618</v>
      </c>
      <c r="B58" s="17" t="n">
        <v>3530</v>
      </c>
      <c r="C58" s="18">
        <f>(2348.0/B58*100)</f>
        <v/>
      </c>
      <c r="D58" s="19" t="n">
        <v>1182</v>
      </c>
      <c r="E58" s="18" t="n">
        <v>67.57048328</v>
      </c>
      <c r="F58" s="20" t="n">
        <v>1.46696719</v>
      </c>
      <c r="G58" s="18" t="n">
        <v>26.24945542</v>
      </c>
      <c r="H58" s="20" t="n">
        <v>1.57016822</v>
      </c>
      <c r="I58" s="18" t="s">
        <v>567</v>
      </c>
      <c r="J58" s="20" t="s">
        <v>567</v>
      </c>
      <c r="K58" s="18" t="n">
        <v>5.43282593</v>
      </c>
      <c r="L58" s="20" t="n">
        <v>0.82527551</v>
      </c>
      <c r="M58" s="18" t="n">
        <v>0</v>
      </c>
      <c r="N58" s="20" t="n">
        <v>0</v>
      </c>
      <c r="O58" s="18" t="n">
        <v>0.0473812</v>
      </c>
      <c r="P58" s="20" t="n">
        <v>0.04737301</v>
      </c>
      <c r="Q58" s="18" t="n">
        <v>0.6998541700000001</v>
      </c>
      <c r="R58" s="20" t="n">
        <v>0.49859433</v>
      </c>
    </row>
    <row r="59" spans="1:18">
      <c r="A59" s="15" t="s">
        <v>619</v>
      </c>
      <c r="B59" s="17" t="n">
        <v>2548</v>
      </c>
      <c r="C59" s="18">
        <f>(1667.0/B59*100)</f>
        <v/>
      </c>
      <c r="D59" s="19" t="n">
        <v>881</v>
      </c>
      <c r="E59" s="18" t="n">
        <v>67.24275685000001</v>
      </c>
      <c r="F59" s="20" t="n">
        <v>1.86218683</v>
      </c>
      <c r="G59" s="18" t="n">
        <v>30.39653571</v>
      </c>
      <c r="H59" s="20" t="n">
        <v>1.84062999</v>
      </c>
      <c r="I59" s="18" t="s">
        <v>567</v>
      </c>
      <c r="J59" s="20" t="s">
        <v>567</v>
      </c>
      <c r="K59" s="18" t="n">
        <v>1.5341779</v>
      </c>
      <c r="L59" s="20" t="n">
        <v>0.38211956</v>
      </c>
      <c r="M59" s="18" t="n">
        <v>0</v>
      </c>
      <c r="N59" s="20" t="n">
        <v>0</v>
      </c>
      <c r="O59" s="18" t="n">
        <v>0.15198158</v>
      </c>
      <c r="P59" s="20" t="n">
        <v>0.15328246</v>
      </c>
      <c r="Q59" s="18" t="n">
        <v>0.67454797</v>
      </c>
      <c r="R59" s="20" t="n">
        <v>0.25362269</v>
      </c>
    </row>
    <row r="60" spans="1:18">
      <c r="A60" s="15" t="s">
        <v>620</v>
      </c>
      <c r="B60" s="17" t="n">
        <v>2095</v>
      </c>
      <c r="C60" s="18">
        <f>(1400.0/B60*100)</f>
        <v/>
      </c>
      <c r="D60" s="19" t="n">
        <v>695</v>
      </c>
      <c r="E60" s="18" t="n">
        <v>56.13302305</v>
      </c>
      <c r="F60" s="20" t="n">
        <v>2.24571409</v>
      </c>
      <c r="G60" s="18" t="n">
        <v>31.88678434</v>
      </c>
      <c r="H60" s="20" t="n">
        <v>1.98121871</v>
      </c>
      <c r="I60" s="18" t="s">
        <v>567</v>
      </c>
      <c r="J60" s="20" t="s">
        <v>567</v>
      </c>
      <c r="K60" s="18" t="n">
        <v>9.40747917</v>
      </c>
      <c r="L60" s="20" t="n">
        <v>1.2798603</v>
      </c>
      <c r="M60" s="18" t="n">
        <v>0</v>
      </c>
      <c r="N60" s="20" t="n">
        <v>0</v>
      </c>
      <c r="O60" s="18" t="n">
        <v>0.27448888</v>
      </c>
      <c r="P60" s="20" t="n">
        <v>0.2009741</v>
      </c>
      <c r="Q60" s="18" t="n">
        <v>2.29822455</v>
      </c>
      <c r="R60" s="20" t="n">
        <v>0.55939399</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(1882.0/B63*100)</f>
        <v/>
      </c>
      <c r="D63" s="19" t="n">
        <v>931</v>
      </c>
      <c r="E63" s="18" t="n">
        <v>55.23127242</v>
      </c>
      <c r="F63" s="20" t="n">
        <v>1.84146976</v>
      </c>
      <c r="G63" s="18" t="n">
        <v>35.30938119</v>
      </c>
      <c r="H63" s="20" t="n">
        <v>1.87511452</v>
      </c>
      <c r="I63" s="18" t="s">
        <v>567</v>
      </c>
      <c r="J63" s="20" t="s">
        <v>567</v>
      </c>
      <c r="K63" s="18" t="n">
        <v>6.45565788</v>
      </c>
      <c r="L63" s="20" t="n">
        <v>0.7767613799999999</v>
      </c>
      <c r="M63" s="18" t="n">
        <v>0</v>
      </c>
      <c r="N63" s="20" t="n">
        <v>0</v>
      </c>
      <c r="O63" s="18" t="n">
        <v>0</v>
      </c>
      <c r="P63" s="20" t="n">
        <v>0</v>
      </c>
      <c r="Q63" s="18" t="n">
        <v>3.00368851</v>
      </c>
      <c r="R63" s="20" t="n">
        <v>0.6241520699999999</v>
      </c>
    </row>
    <row r="64" spans="1:18">
      <c r="A64" s="15" t="s">
        <v>624</v>
      </c>
      <c r="B64" s="17" t="n">
        <v>1844</v>
      </c>
      <c r="C64" s="18">
        <f>(1218.0/B64*100)</f>
        <v/>
      </c>
      <c r="D64" s="19" t="n">
        <v>626</v>
      </c>
      <c r="E64" s="18" t="n">
        <v>44.01153463</v>
      </c>
      <c r="F64" s="20" t="n">
        <v>1.7208932</v>
      </c>
      <c r="G64" s="18" t="n">
        <v>49.67464414</v>
      </c>
      <c r="H64" s="20" t="n">
        <v>1.81307895</v>
      </c>
      <c r="I64" s="18" t="s">
        <v>567</v>
      </c>
      <c r="J64" s="20" t="s">
        <v>567</v>
      </c>
      <c r="K64" s="18" t="n">
        <v>5.81645383</v>
      </c>
      <c r="L64" s="20" t="n">
        <v>0.91220536</v>
      </c>
      <c r="M64" s="18" t="n">
        <v>0</v>
      </c>
      <c r="N64" s="20" t="n">
        <v>0</v>
      </c>
      <c r="O64" s="18" t="n">
        <v>0.34321043</v>
      </c>
      <c r="P64" s="20" t="n">
        <v>0.24363333</v>
      </c>
      <c r="Q64" s="18" t="n">
        <v>0.15415697</v>
      </c>
      <c r="R64" s="20" t="n">
        <v>0.15289358</v>
      </c>
    </row>
    <row r="65" spans="1:18">
      <c r="A65" s="15" t="s">
        <v>625</v>
      </c>
      <c r="B65" s="17" t="n">
        <v>2691</v>
      </c>
      <c r="C65" s="18">
        <f>(1757.0/B65*100)</f>
        <v/>
      </c>
      <c r="D65" s="19" t="n">
        <v>934</v>
      </c>
      <c r="E65" s="18" t="n">
        <v>43.24445287</v>
      </c>
      <c r="F65" s="20" t="n">
        <v>1.60877977</v>
      </c>
      <c r="G65" s="18" t="n">
        <v>44.64073007</v>
      </c>
      <c r="H65" s="20" t="n">
        <v>1.78635873</v>
      </c>
      <c r="I65" s="18" t="s">
        <v>567</v>
      </c>
      <c r="J65" s="20" t="s">
        <v>567</v>
      </c>
      <c r="K65" s="18" t="n">
        <v>11.35269495</v>
      </c>
      <c r="L65" s="20" t="n">
        <v>1.21817791</v>
      </c>
      <c r="M65" s="18" t="n">
        <v>0</v>
      </c>
      <c r="N65" s="20" t="n">
        <v>0</v>
      </c>
      <c r="O65" s="18" t="n">
        <v>0</v>
      </c>
      <c r="P65" s="20" t="n">
        <v>0</v>
      </c>
      <c r="Q65" s="18" t="n">
        <v>0.76212211</v>
      </c>
      <c r="R65" s="20" t="n">
        <v>0.29563729</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(1635.0/B69*100)</f>
        <v/>
      </c>
      <c r="D69" s="19" t="n">
        <v>775</v>
      </c>
      <c r="E69" s="18" t="n">
        <v>60.9355439</v>
      </c>
      <c r="F69" s="20" t="n">
        <v>2.0099818</v>
      </c>
      <c r="G69" s="18" t="n">
        <v>38.93909031</v>
      </c>
      <c r="H69" s="20" t="n">
        <v>2.02084747</v>
      </c>
      <c r="I69" s="18" t="s">
        <v>567</v>
      </c>
      <c r="J69" s="20" t="s">
        <v>567</v>
      </c>
      <c r="K69" s="18" t="n">
        <v>0.12536579</v>
      </c>
      <c r="L69" s="20" t="n">
        <v>0.12515365</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(1488.0/B74*100)</f>
        <v/>
      </c>
      <c r="D74" s="19" t="n">
        <v>751</v>
      </c>
      <c r="E74" s="18" t="n">
        <v>45.13855717</v>
      </c>
      <c r="F74" s="20" t="n">
        <v>1.66942049</v>
      </c>
      <c r="G74" s="18" t="n">
        <v>42.68136207</v>
      </c>
      <c r="H74" s="20" t="n">
        <v>1.7558545</v>
      </c>
      <c r="I74" s="18" t="s">
        <v>567</v>
      </c>
      <c r="J74" s="20" t="s">
        <v>567</v>
      </c>
      <c r="K74" s="18" t="n">
        <v>11.50108802</v>
      </c>
      <c r="L74" s="20" t="n">
        <v>1.44207322</v>
      </c>
      <c r="M74" s="18" t="n">
        <v>0</v>
      </c>
      <c r="N74" s="20" t="n">
        <v>0</v>
      </c>
      <c r="O74" s="18" t="n">
        <v>0</v>
      </c>
      <c r="P74" s="20" t="n">
        <v>0</v>
      </c>
      <c r="Q74" s="18" t="n">
        <v>0.67899274</v>
      </c>
      <c r="R74" s="20" t="n">
        <v>0.2507105</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(1885.0/B78*100)</f>
        <v/>
      </c>
      <c r="D78" s="19" t="n">
        <v>901</v>
      </c>
      <c r="E78" s="18" t="n">
        <v>21.15776542</v>
      </c>
      <c r="F78" s="20" t="n">
        <v>1.56473981</v>
      </c>
      <c r="G78" s="18" t="n">
        <v>78.84223458</v>
      </c>
      <c r="H78" s="20" t="n">
        <v>1.56473981</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(524.0/B79*100)</f>
        <v/>
      </c>
      <c r="D79" s="19" t="n">
        <v>263</v>
      </c>
      <c r="E79" s="18" t="n">
        <v>27.88635146</v>
      </c>
      <c r="F79" s="20" t="n">
        <v>2.43540339</v>
      </c>
      <c r="G79" s="18" t="n">
        <v>64.79083949</v>
      </c>
      <c r="H79" s="20" t="n">
        <v>2.47015859</v>
      </c>
      <c r="I79" s="18" t="s">
        <v>567</v>
      </c>
      <c r="J79" s="20" t="s">
        <v>567</v>
      </c>
      <c r="K79" s="18" t="n">
        <v>6.16043682</v>
      </c>
      <c r="L79" s="20" t="n">
        <v>1.23118541</v>
      </c>
      <c r="M79" s="18" t="n">
        <v>0</v>
      </c>
      <c r="N79" s="20" t="n">
        <v>0</v>
      </c>
      <c r="O79" s="18" t="n">
        <v>0</v>
      </c>
      <c r="P79" s="20" t="n">
        <v>0</v>
      </c>
      <c r="Q79" s="18" t="n">
        <v>1.16237223</v>
      </c>
      <c r="R79" s="20" t="n">
        <v>0.8299537299999999</v>
      </c>
    </row>
    <row r="80" spans="1:18">
      <c r="A80" s="15" t="s">
        <v>640</v>
      </c>
      <c r="B80" s="17" t="n">
        <v>3798</v>
      </c>
      <c r="C80" s="18">
        <f>(2533.0/B80*100)</f>
        <v/>
      </c>
      <c r="D80" s="19" t="n">
        <v>1265</v>
      </c>
      <c r="E80" s="18" t="n">
        <v>52.46889657</v>
      </c>
      <c r="F80" s="20" t="n">
        <v>2.4817433</v>
      </c>
      <c r="G80" s="18" t="n">
        <v>47.0259272</v>
      </c>
      <c r="H80" s="20" t="n">
        <v>2.52821811</v>
      </c>
      <c r="I80" s="18" t="s">
        <v>567</v>
      </c>
      <c r="J80" s="20" t="s">
        <v>567</v>
      </c>
      <c r="K80" s="18" t="n">
        <v>0.32002416</v>
      </c>
      <c r="L80" s="20" t="n">
        <v>0.14457941</v>
      </c>
      <c r="M80" s="18" t="n">
        <v>0</v>
      </c>
      <c r="N80" s="20" t="n">
        <v>0</v>
      </c>
      <c r="O80" s="18" t="n">
        <v>0</v>
      </c>
      <c r="P80" s="20" t="n">
        <v>0</v>
      </c>
      <c r="Q80" s="18" t="n">
        <v>0.18515208</v>
      </c>
      <c r="R80" s="20" t="n">
        <v>0.10775868</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(1641.0/B44*100)</f>
        <v/>
      </c>
      <c r="D44" s="19" t="n">
        <v>883</v>
      </c>
      <c r="E44" s="18" t="n">
        <v>58.27822572</v>
      </c>
      <c r="F44" s="20" t="n">
        <v>2.03336122</v>
      </c>
      <c r="G44" s="18" t="n">
        <v>30.90426021</v>
      </c>
      <c r="H44" s="20" t="n">
        <v>1.79729437</v>
      </c>
      <c r="I44" s="18" t="s">
        <v>567</v>
      </c>
      <c r="J44" s="20" t="s">
        <v>567</v>
      </c>
      <c r="K44" s="18" t="n">
        <v>10.37256862</v>
      </c>
      <c r="L44" s="20" t="n">
        <v>1.42523335</v>
      </c>
      <c r="M44" s="18" t="n">
        <v>0</v>
      </c>
      <c r="N44" s="20" t="n">
        <v>0</v>
      </c>
      <c r="O44" s="18" t="n">
        <v>0.44494545</v>
      </c>
      <c r="P44" s="20" t="n">
        <v>0.19923099</v>
      </c>
      <c r="Q44" s="18" t="n">
        <v>0</v>
      </c>
      <c r="R44" s="20" t="n">
        <v>0</v>
      </c>
    </row>
    <row r="45" spans="1:18">
      <c r="A45" s="15" t="s">
        <v>605</v>
      </c>
      <c r="B45" s="17" t="n">
        <v>2849</v>
      </c>
      <c r="C45" s="18">
        <f>(1905.0/B45*100)</f>
        <v/>
      </c>
      <c r="D45" s="19" t="n">
        <v>944</v>
      </c>
      <c r="E45" s="18" t="n">
        <v>57.69015284</v>
      </c>
      <c r="F45" s="20" t="n">
        <v>1.63844194</v>
      </c>
      <c r="G45" s="18" t="n">
        <v>21.07529147</v>
      </c>
      <c r="H45" s="20" t="n">
        <v>1.12375787</v>
      </c>
      <c r="I45" s="18" t="s">
        <v>567</v>
      </c>
      <c r="J45" s="20" t="s">
        <v>567</v>
      </c>
      <c r="K45" s="18" t="n">
        <v>15.45560951</v>
      </c>
      <c r="L45" s="20" t="n">
        <v>1.25129373</v>
      </c>
      <c r="M45" s="18" t="n">
        <v>0.29768725</v>
      </c>
      <c r="N45" s="20" t="n">
        <v>0.17612498</v>
      </c>
      <c r="O45" s="18" t="n">
        <v>5.48125894</v>
      </c>
      <c r="P45" s="20" t="n">
        <v>0.85307606</v>
      </c>
      <c r="Q45" s="18" t="n">
        <v>0</v>
      </c>
      <c r="R45" s="20" t="n">
        <v>0</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(1999.0/B49*100)</f>
        <v/>
      </c>
      <c r="D49" s="19" t="n">
        <v>1019</v>
      </c>
      <c r="E49" s="18" t="n">
        <v>50.20243375</v>
      </c>
      <c r="F49" s="20" t="n">
        <v>2.11353947</v>
      </c>
      <c r="G49" s="18" t="n">
        <v>41.70504826</v>
      </c>
      <c r="H49" s="20" t="n">
        <v>2.25142473</v>
      </c>
      <c r="I49" s="18" t="s">
        <v>567</v>
      </c>
      <c r="J49" s="20" t="s">
        <v>567</v>
      </c>
      <c r="K49" s="18" t="n">
        <v>6.4128271</v>
      </c>
      <c r="L49" s="20" t="n">
        <v>1.21406723</v>
      </c>
      <c r="M49" s="18" t="n">
        <v>0</v>
      </c>
      <c r="N49" s="20" t="n">
        <v>0</v>
      </c>
      <c r="O49" s="18" t="n">
        <v>1.67969089</v>
      </c>
      <c r="P49" s="20" t="n">
        <v>0.51721511</v>
      </c>
      <c r="Q49" s="18" t="n">
        <v>0</v>
      </c>
      <c r="R49" s="20" t="n">
        <v>0</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(1852.0/B55*100)</f>
        <v/>
      </c>
      <c r="D55" s="19" t="n">
        <v>907</v>
      </c>
      <c r="E55" s="18" t="n">
        <v>50.61186135</v>
      </c>
      <c r="F55" s="20" t="n">
        <v>1.70315877</v>
      </c>
      <c r="G55" s="18" t="n">
        <v>40.98927345</v>
      </c>
      <c r="H55" s="20" t="n">
        <v>1.65979094</v>
      </c>
      <c r="I55" s="18" t="s">
        <v>567</v>
      </c>
      <c r="J55" s="20" t="s">
        <v>567</v>
      </c>
      <c r="K55" s="18" t="n">
        <v>7.43913192</v>
      </c>
      <c r="L55" s="20" t="n">
        <v>0.99580516</v>
      </c>
      <c r="M55" s="18" t="n">
        <v>0</v>
      </c>
      <c r="N55" s="20" t="n">
        <v>0</v>
      </c>
      <c r="O55" s="18" t="n">
        <v>0.95973327</v>
      </c>
      <c r="P55" s="20" t="n">
        <v>0.25983636</v>
      </c>
      <c r="Q55" s="18" t="n">
        <v>0</v>
      </c>
      <c r="R55" s="20" t="n">
        <v>0</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65.13360141</v>
      </c>
      <c r="F57" s="20" t="n">
        <v>1.77108466</v>
      </c>
      <c r="G57" s="18" t="n">
        <v>29.88328465</v>
      </c>
      <c r="H57" s="20" t="n">
        <v>1.67629248</v>
      </c>
      <c r="I57" s="18" t="s">
        <v>567</v>
      </c>
      <c r="J57" s="20" t="s">
        <v>567</v>
      </c>
      <c r="K57" s="18" t="n">
        <v>4.98311394</v>
      </c>
      <c r="L57" s="20" t="n">
        <v>0.77920908</v>
      </c>
      <c r="M57" s="18" t="n">
        <v>0</v>
      </c>
      <c r="N57" s="20" t="n">
        <v>0</v>
      </c>
      <c r="O57" s="18" t="n">
        <v>0</v>
      </c>
      <c r="P57" s="20" t="n">
        <v>0</v>
      </c>
      <c r="Q57" s="18" t="n">
        <v>0</v>
      </c>
      <c r="R57" s="20" t="n">
        <v>0</v>
      </c>
    </row>
    <row r="58" spans="1:18">
      <c r="A58" s="15" t="s">
        <v>618</v>
      </c>
      <c r="B58" s="17" t="n">
        <v>3530</v>
      </c>
      <c r="C58" s="18">
        <f>(2348.0/B58*100)</f>
        <v/>
      </c>
      <c r="D58" s="19" t="n">
        <v>1182</v>
      </c>
      <c r="E58" s="18" t="n">
        <v>53.63598217</v>
      </c>
      <c r="F58" s="20" t="n">
        <v>1.63463644</v>
      </c>
      <c r="G58" s="18" t="n">
        <v>35.37147703</v>
      </c>
      <c r="H58" s="20" t="n">
        <v>1.85701098</v>
      </c>
      <c r="I58" s="18" t="s">
        <v>567</v>
      </c>
      <c r="J58" s="20" t="s">
        <v>567</v>
      </c>
      <c r="K58" s="18" t="n">
        <v>10.1666664</v>
      </c>
      <c r="L58" s="20" t="n">
        <v>1.16209267</v>
      </c>
      <c r="M58" s="18" t="n">
        <v>0</v>
      </c>
      <c r="N58" s="20" t="n">
        <v>0</v>
      </c>
      <c r="O58" s="18" t="n">
        <v>0.8258744</v>
      </c>
      <c r="P58" s="20" t="n">
        <v>0.30280201</v>
      </c>
      <c r="Q58" s="18" t="n">
        <v>0</v>
      </c>
      <c r="R58" s="20" t="n">
        <v>0</v>
      </c>
    </row>
    <row r="59" spans="1:18">
      <c r="A59" s="15" t="s">
        <v>619</v>
      </c>
      <c r="B59" s="17" t="n">
        <v>2548</v>
      </c>
      <c r="C59" s="18">
        <f>(1667.0/B59*100)</f>
        <v/>
      </c>
      <c r="D59" s="19" t="n">
        <v>881</v>
      </c>
      <c r="E59" s="18" t="n">
        <v>61.28163502</v>
      </c>
      <c r="F59" s="20" t="n">
        <v>1.99711148</v>
      </c>
      <c r="G59" s="18" t="n">
        <v>33.40862699</v>
      </c>
      <c r="H59" s="20" t="n">
        <v>1.88256874</v>
      </c>
      <c r="I59" s="18" t="s">
        <v>567</v>
      </c>
      <c r="J59" s="20" t="s">
        <v>567</v>
      </c>
      <c r="K59" s="18" t="n">
        <v>3.58143025</v>
      </c>
      <c r="L59" s="20" t="n">
        <v>0.54399721</v>
      </c>
      <c r="M59" s="18" t="n">
        <v>0</v>
      </c>
      <c r="N59" s="20" t="n">
        <v>0</v>
      </c>
      <c r="O59" s="18" t="n">
        <v>1.72830774</v>
      </c>
      <c r="P59" s="20" t="n">
        <v>0.444599</v>
      </c>
      <c r="Q59" s="18" t="n">
        <v>0</v>
      </c>
      <c r="R59" s="20" t="n">
        <v>0</v>
      </c>
    </row>
    <row r="60" spans="1:18">
      <c r="A60" s="15" t="s">
        <v>620</v>
      </c>
      <c r="B60" s="17" t="n">
        <v>2095</v>
      </c>
      <c r="C60" s="18">
        <f>(1400.0/B60*100)</f>
        <v/>
      </c>
      <c r="D60" s="19" t="n">
        <v>695</v>
      </c>
      <c r="E60" s="18" t="n">
        <v>52.20231509</v>
      </c>
      <c r="F60" s="20" t="n">
        <v>2.37093046</v>
      </c>
      <c r="G60" s="18" t="n">
        <v>31.02970364</v>
      </c>
      <c r="H60" s="20" t="n">
        <v>2.20603819</v>
      </c>
      <c r="I60" s="18" t="s">
        <v>567</v>
      </c>
      <c r="J60" s="20" t="s">
        <v>567</v>
      </c>
      <c r="K60" s="18" t="n">
        <v>15.26529274</v>
      </c>
      <c r="L60" s="20" t="n">
        <v>1.87873534</v>
      </c>
      <c r="M60" s="18" t="n">
        <v>0</v>
      </c>
      <c r="N60" s="20" t="n">
        <v>0</v>
      </c>
      <c r="O60" s="18" t="n">
        <v>1.50268854</v>
      </c>
      <c r="P60" s="20" t="n">
        <v>0.5182994399999999</v>
      </c>
      <c r="Q60" s="18" t="n">
        <v>0</v>
      </c>
      <c r="R60" s="20" t="n">
        <v>0</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(1882.0/B63*100)</f>
        <v/>
      </c>
      <c r="D63" s="19" t="n">
        <v>931</v>
      </c>
      <c r="E63" s="18" t="n">
        <v>50.35437533</v>
      </c>
      <c r="F63" s="20" t="n">
        <v>1.84528817</v>
      </c>
      <c r="G63" s="18" t="n">
        <v>36.58872174</v>
      </c>
      <c r="H63" s="20" t="n">
        <v>1.89710479</v>
      </c>
      <c r="I63" s="18" t="s">
        <v>567</v>
      </c>
      <c r="J63" s="20" t="s">
        <v>567</v>
      </c>
      <c r="K63" s="18" t="n">
        <v>12.00589509</v>
      </c>
      <c r="L63" s="20" t="n">
        <v>1.13967155</v>
      </c>
      <c r="M63" s="18" t="n">
        <v>0</v>
      </c>
      <c r="N63" s="20" t="n">
        <v>0</v>
      </c>
      <c r="O63" s="18" t="n">
        <v>1.05100784</v>
      </c>
      <c r="P63" s="20" t="n">
        <v>0.38313436</v>
      </c>
      <c r="Q63" s="18" t="n">
        <v>0</v>
      </c>
      <c r="R63" s="20" t="n">
        <v>0</v>
      </c>
    </row>
    <row r="64" spans="1:18">
      <c r="A64" s="15" t="s">
        <v>624</v>
      </c>
      <c r="B64" s="17" t="n">
        <v>1844</v>
      </c>
      <c r="C64" s="18">
        <f>(1218.0/B64*100)</f>
        <v/>
      </c>
      <c r="D64" s="19" t="n">
        <v>626</v>
      </c>
      <c r="E64" s="18" t="n">
        <v>48.83407037</v>
      </c>
      <c r="F64" s="20" t="n">
        <v>1.93949753</v>
      </c>
      <c r="G64" s="18" t="n">
        <v>41.38824905</v>
      </c>
      <c r="H64" s="20" t="n">
        <v>1.80038865</v>
      </c>
      <c r="I64" s="18" t="s">
        <v>567</v>
      </c>
      <c r="J64" s="20" t="s">
        <v>567</v>
      </c>
      <c r="K64" s="18" t="n">
        <v>8.22790094</v>
      </c>
      <c r="L64" s="20" t="n">
        <v>1.18261062</v>
      </c>
      <c r="M64" s="18" t="n">
        <v>0</v>
      </c>
      <c r="N64" s="20" t="n">
        <v>0</v>
      </c>
      <c r="O64" s="18" t="n">
        <v>1.54977964</v>
      </c>
      <c r="P64" s="20" t="n">
        <v>0.42805555</v>
      </c>
      <c r="Q64" s="18" t="n">
        <v>0</v>
      </c>
      <c r="R64" s="20" t="n">
        <v>0</v>
      </c>
    </row>
    <row r="65" spans="1:18">
      <c r="A65" s="15" t="s">
        <v>625</v>
      </c>
      <c r="B65" s="17" t="n">
        <v>2691</v>
      </c>
      <c r="C65" s="18">
        <f>(1757.0/B65*100)</f>
        <v/>
      </c>
      <c r="D65" s="19" t="n">
        <v>934</v>
      </c>
      <c r="E65" s="18" t="n">
        <v>39.40628417</v>
      </c>
      <c r="F65" s="20" t="n">
        <v>1.97856855</v>
      </c>
      <c r="G65" s="18" t="n">
        <v>41.8499294</v>
      </c>
      <c r="H65" s="20" t="n">
        <v>2.10874392</v>
      </c>
      <c r="I65" s="18" t="s">
        <v>567</v>
      </c>
      <c r="J65" s="20" t="s">
        <v>567</v>
      </c>
      <c r="K65" s="18" t="n">
        <v>15.846957</v>
      </c>
      <c r="L65" s="20" t="n">
        <v>1.34339145</v>
      </c>
      <c r="M65" s="18" t="n">
        <v>2.52635843</v>
      </c>
      <c r="N65" s="20" t="n">
        <v>0.5112167399999999</v>
      </c>
      <c r="O65" s="18" t="n">
        <v>0.37047099</v>
      </c>
      <c r="P65" s="20" t="n">
        <v>0.22696611</v>
      </c>
      <c r="Q65" s="18" t="n">
        <v>0</v>
      </c>
      <c r="R65" s="20" t="n">
        <v>0</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(1635.0/B69*100)</f>
        <v/>
      </c>
      <c r="D69" s="19" t="n">
        <v>775</v>
      </c>
      <c r="E69" s="18" t="n">
        <v>56.4567911</v>
      </c>
      <c r="F69" s="20" t="n">
        <v>2.33805047</v>
      </c>
      <c r="G69" s="18" t="n">
        <v>43.30937294</v>
      </c>
      <c r="H69" s="20" t="n">
        <v>2.33430295</v>
      </c>
      <c r="I69" s="18" t="s">
        <v>567</v>
      </c>
      <c r="J69" s="20" t="s">
        <v>567</v>
      </c>
      <c r="K69" s="18" t="n">
        <v>0.23383596</v>
      </c>
      <c r="L69" s="20" t="n">
        <v>0.16854477</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(1488.0/B74*100)</f>
        <v/>
      </c>
      <c r="D74" s="19" t="n">
        <v>751</v>
      </c>
      <c r="E74" s="18" t="n">
        <v>55.62041113</v>
      </c>
      <c r="F74" s="20" t="n">
        <v>1.85046096</v>
      </c>
      <c r="G74" s="18" t="n">
        <v>30.98897807</v>
      </c>
      <c r="H74" s="20" t="n">
        <v>1.72222988</v>
      </c>
      <c r="I74" s="18" t="s">
        <v>567</v>
      </c>
      <c r="J74" s="20" t="s">
        <v>567</v>
      </c>
      <c r="K74" s="18" t="n">
        <v>13.3906108</v>
      </c>
      <c r="L74" s="20" t="n">
        <v>1.4938037</v>
      </c>
      <c r="M74" s="18" t="n">
        <v>0</v>
      </c>
      <c r="N74" s="20" t="n">
        <v>0</v>
      </c>
      <c r="O74" s="18" t="n">
        <v>0</v>
      </c>
      <c r="P74" s="20" t="n">
        <v>0</v>
      </c>
      <c r="Q74" s="18" t="n">
        <v>0</v>
      </c>
      <c r="R74" s="20" t="n">
        <v>0</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(1885.0/B78*100)</f>
        <v/>
      </c>
      <c r="D78" s="19" t="n">
        <v>901</v>
      </c>
      <c r="E78" s="18" t="n">
        <v>37.01162976</v>
      </c>
      <c r="F78" s="20" t="n">
        <v>1.74498424</v>
      </c>
      <c r="G78" s="18" t="n">
        <v>62.9566631</v>
      </c>
      <c r="H78" s="20" t="n">
        <v>1.74478979</v>
      </c>
      <c r="I78" s="18" t="s">
        <v>567</v>
      </c>
      <c r="J78" s="20" t="s">
        <v>567</v>
      </c>
      <c r="K78" s="18" t="n">
        <v>0.03170714</v>
      </c>
      <c r="L78" s="20" t="n">
        <v>0.0318934</v>
      </c>
      <c r="M78" s="18" t="n">
        <v>0</v>
      </c>
      <c r="N78" s="20" t="n">
        <v>0</v>
      </c>
      <c r="O78" s="18" t="n">
        <v>0</v>
      </c>
      <c r="P78" s="20" t="n">
        <v>0</v>
      </c>
      <c r="Q78" s="18" t="n">
        <v>0</v>
      </c>
      <c r="R78" s="20" t="n">
        <v>0</v>
      </c>
    </row>
    <row customHeight="1" ht="25" r="79" spans="1:18">
      <c r="A79" s="15" t="s">
        <v>639</v>
      </c>
      <c r="B79" s="17" t="n">
        <v>787</v>
      </c>
      <c r="C79" s="18">
        <f>(524.0/B79*100)</f>
        <v/>
      </c>
      <c r="D79" s="19" t="n">
        <v>263</v>
      </c>
      <c r="E79" s="18" t="n">
        <v>42.92349102</v>
      </c>
      <c r="F79" s="20" t="n">
        <v>3.70725272</v>
      </c>
      <c r="G79" s="18" t="n">
        <v>48.5087017</v>
      </c>
      <c r="H79" s="20" t="n">
        <v>4.01658478</v>
      </c>
      <c r="I79" s="18" t="s">
        <v>567</v>
      </c>
      <c r="J79" s="20" t="s">
        <v>567</v>
      </c>
      <c r="K79" s="18" t="n">
        <v>7.70071822</v>
      </c>
      <c r="L79" s="20" t="n">
        <v>1.54992585</v>
      </c>
      <c r="M79" s="18" t="n">
        <v>0</v>
      </c>
      <c r="N79" s="20" t="n">
        <v>0</v>
      </c>
      <c r="O79" s="18" t="n">
        <v>0.86708906</v>
      </c>
      <c r="P79" s="20" t="n">
        <v>0.64094361</v>
      </c>
      <c r="Q79" s="18" t="n">
        <v>0</v>
      </c>
      <c r="R79" s="20" t="n">
        <v>0</v>
      </c>
    </row>
    <row r="80" spans="1:18">
      <c r="A80" s="15" t="s">
        <v>640</v>
      </c>
      <c r="B80" s="17" t="n">
        <v>3798</v>
      </c>
      <c r="C80" s="18">
        <f>(2533.0/B80*100)</f>
        <v/>
      </c>
      <c r="D80" s="19" t="n">
        <v>1265</v>
      </c>
      <c r="E80" s="18" t="n">
        <v>42.92747945</v>
      </c>
      <c r="F80" s="20" t="n">
        <v>2.15228166</v>
      </c>
      <c r="G80" s="18" t="n">
        <v>56.75249639</v>
      </c>
      <c r="H80" s="20" t="n">
        <v>2.14454023</v>
      </c>
      <c r="I80" s="18" t="s">
        <v>567</v>
      </c>
      <c r="J80" s="20" t="s">
        <v>567</v>
      </c>
      <c r="K80" s="18" t="n">
        <v>0.32002416</v>
      </c>
      <c r="L80" s="20" t="n">
        <v>0.14457941</v>
      </c>
      <c r="M80" s="18" t="n">
        <v>0</v>
      </c>
      <c r="N80" s="20" t="n">
        <v>0</v>
      </c>
      <c r="O80" s="18" t="n">
        <v>0</v>
      </c>
      <c r="P80" s="20" t="n">
        <v>0</v>
      </c>
      <c r="Q80" s="18" t="n">
        <v>0</v>
      </c>
      <c r="R80" s="20" t="n">
        <v>0</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(1673.0/B44*100)</f>
        <v/>
      </c>
      <c r="D44" s="19" t="n">
        <v>851</v>
      </c>
      <c r="E44" s="18" t="n">
        <v>25.29343112</v>
      </c>
      <c r="F44" s="20" t="n">
        <v>1.61001848</v>
      </c>
      <c r="G44" s="18" t="n">
        <v>38.71868762</v>
      </c>
      <c r="H44" s="20" t="n">
        <v>2.00159478</v>
      </c>
      <c r="I44" s="18" t="s">
        <v>567</v>
      </c>
      <c r="J44" s="20" t="s">
        <v>567</v>
      </c>
      <c r="K44" s="18" t="n">
        <v>1.42511315</v>
      </c>
      <c r="L44" s="20" t="n">
        <v>0.45101633</v>
      </c>
      <c r="M44" s="18" t="n">
        <v>0</v>
      </c>
      <c r="N44" s="20" t="n">
        <v>0</v>
      </c>
      <c r="O44" s="18" t="n">
        <v>0</v>
      </c>
      <c r="P44" s="20" t="n">
        <v>0</v>
      </c>
      <c r="Q44" s="18" t="n">
        <v>34.56276811</v>
      </c>
      <c r="R44" s="20" t="n">
        <v>2.09909623</v>
      </c>
    </row>
    <row r="45" spans="1:18">
      <c r="A45" s="15" t="s">
        <v>605</v>
      </c>
      <c r="B45" s="17" t="n">
        <v>2849</v>
      </c>
      <c r="C45" s="18">
        <f>(1903.0/B45*100)</f>
        <v/>
      </c>
      <c r="D45" s="19" t="n">
        <v>946</v>
      </c>
      <c r="E45" s="18" t="n">
        <v>42.56176767</v>
      </c>
      <c r="F45" s="20" t="n">
        <v>1.65851815</v>
      </c>
      <c r="G45" s="18" t="n">
        <v>29.91568391</v>
      </c>
      <c r="H45" s="20" t="n">
        <v>1.42192742</v>
      </c>
      <c r="I45" s="18" t="s">
        <v>567</v>
      </c>
      <c r="J45" s="20" t="s">
        <v>567</v>
      </c>
      <c r="K45" s="18" t="n">
        <v>3.21797219</v>
      </c>
      <c r="L45" s="20" t="n">
        <v>0.6493023999999999</v>
      </c>
      <c r="M45" s="18" t="n">
        <v>1.20358115</v>
      </c>
      <c r="N45" s="20" t="n">
        <v>0.38483489</v>
      </c>
      <c r="O45" s="18" t="n">
        <v>0.155155</v>
      </c>
      <c r="P45" s="20" t="n">
        <v>0.15844573</v>
      </c>
      <c r="Q45" s="18" t="n">
        <v>22.94584008</v>
      </c>
      <c r="R45" s="20" t="n">
        <v>1.63984455</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(2060.0/B49*100)</f>
        <v/>
      </c>
      <c r="D49" s="19" t="n">
        <v>958</v>
      </c>
      <c r="E49" s="18" t="n">
        <v>27.24864245</v>
      </c>
      <c r="F49" s="20" t="n">
        <v>1.66588377</v>
      </c>
      <c r="G49" s="18" t="n">
        <v>51.2449012</v>
      </c>
      <c r="H49" s="20" t="n">
        <v>1.74856407</v>
      </c>
      <c r="I49" s="18" t="s">
        <v>567</v>
      </c>
      <c r="J49" s="20" t="s">
        <v>567</v>
      </c>
      <c r="K49" s="18" t="n">
        <v>1.5038216</v>
      </c>
      <c r="L49" s="20" t="n">
        <v>0.42182659</v>
      </c>
      <c r="M49" s="18" t="n">
        <v>0</v>
      </c>
      <c r="N49" s="20" t="n">
        <v>0</v>
      </c>
      <c r="O49" s="18" t="n">
        <v>0</v>
      </c>
      <c r="P49" s="20" t="n">
        <v>0</v>
      </c>
      <c r="Q49" s="18" t="n">
        <v>20.00263475</v>
      </c>
      <c r="R49" s="20" t="n">
        <v>1.44818021</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(1846.0/B55*100)</f>
        <v/>
      </c>
      <c r="D55" s="19" t="n">
        <v>913</v>
      </c>
      <c r="E55" s="18" t="n">
        <v>24.16602835</v>
      </c>
      <c r="F55" s="20" t="n">
        <v>1.33558252</v>
      </c>
      <c r="G55" s="18" t="n">
        <v>29.49786472</v>
      </c>
      <c r="H55" s="20" t="n">
        <v>1.58889484</v>
      </c>
      <c r="I55" s="18" t="s">
        <v>567</v>
      </c>
      <c r="J55" s="20" t="s">
        <v>567</v>
      </c>
      <c r="K55" s="18" t="n">
        <v>0.40273303</v>
      </c>
      <c r="L55" s="20" t="n">
        <v>0.19923219</v>
      </c>
      <c r="M55" s="18" t="n">
        <v>0</v>
      </c>
      <c r="N55" s="20" t="n">
        <v>0</v>
      </c>
      <c r="O55" s="18" t="n">
        <v>0</v>
      </c>
      <c r="P55" s="20" t="n">
        <v>0</v>
      </c>
      <c r="Q55" s="18" t="n">
        <v>45.93337391</v>
      </c>
      <c r="R55" s="20" t="n">
        <v>1.83984666</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(2113.0/B57*100)</f>
        <v/>
      </c>
      <c r="D57" s="19" t="n">
        <v>1057</v>
      </c>
      <c r="E57" s="18" t="n">
        <v>52.10811982</v>
      </c>
      <c r="F57" s="20" t="n">
        <v>1.29937878</v>
      </c>
      <c r="G57" s="18" t="n">
        <v>42.34140629</v>
      </c>
      <c r="H57" s="20" t="n">
        <v>1.44504329</v>
      </c>
      <c r="I57" s="18" t="s">
        <v>567</v>
      </c>
      <c r="J57" s="20" t="s">
        <v>567</v>
      </c>
      <c r="K57" s="18" t="n">
        <v>0.46017232</v>
      </c>
      <c r="L57" s="20" t="n">
        <v>0.26035814</v>
      </c>
      <c r="M57" s="18" t="n">
        <v>0</v>
      </c>
      <c r="N57" s="20" t="n">
        <v>0</v>
      </c>
      <c r="O57" s="18" t="n">
        <v>0</v>
      </c>
      <c r="P57" s="20" t="n">
        <v>0</v>
      </c>
      <c r="Q57" s="18" t="n">
        <v>5.09030158</v>
      </c>
      <c r="R57" s="20" t="n">
        <v>0.7831433</v>
      </c>
    </row>
    <row r="58" spans="1:18">
      <c r="A58" s="15" t="s">
        <v>618</v>
      </c>
      <c r="B58" s="17" t="n">
        <v>3530</v>
      </c>
      <c r="C58" s="18">
        <f>(2348.0/B58*100)</f>
        <v/>
      </c>
      <c r="D58" s="19" t="n">
        <v>1182</v>
      </c>
      <c r="E58" s="18" t="n">
        <v>52.94319677</v>
      </c>
      <c r="F58" s="20" t="n">
        <v>1.47894467</v>
      </c>
      <c r="G58" s="18" t="n">
        <v>28.21966463</v>
      </c>
      <c r="H58" s="20" t="n">
        <v>1.52553415</v>
      </c>
      <c r="I58" s="18" t="s">
        <v>567</v>
      </c>
      <c r="J58" s="20" t="s">
        <v>567</v>
      </c>
      <c r="K58" s="18" t="n">
        <v>1.35808237</v>
      </c>
      <c r="L58" s="20" t="n">
        <v>0.41489509</v>
      </c>
      <c r="M58" s="18" t="n">
        <v>0</v>
      </c>
      <c r="N58" s="20" t="n">
        <v>0</v>
      </c>
      <c r="O58" s="18" t="n">
        <v>0</v>
      </c>
      <c r="P58" s="20" t="n">
        <v>0</v>
      </c>
      <c r="Q58" s="18" t="n">
        <v>17.47905623</v>
      </c>
      <c r="R58" s="20" t="n">
        <v>1.46192353</v>
      </c>
    </row>
    <row r="59" spans="1:18">
      <c r="A59" s="15" t="s">
        <v>619</v>
      </c>
      <c r="B59" s="17" t="n">
        <v>2548</v>
      </c>
      <c r="C59" s="18">
        <f>(1717.0/B59*100)</f>
        <v/>
      </c>
      <c r="D59" s="19" t="n">
        <v>831</v>
      </c>
      <c r="E59" s="18" t="n">
        <v>56.78480549</v>
      </c>
      <c r="F59" s="20" t="n">
        <v>2.07269847</v>
      </c>
      <c r="G59" s="18" t="n">
        <v>18.00563372</v>
      </c>
      <c r="H59" s="20" t="n">
        <v>1.86300048</v>
      </c>
      <c r="I59" s="18" t="s">
        <v>567</v>
      </c>
      <c r="J59" s="20" t="s">
        <v>567</v>
      </c>
      <c r="K59" s="18" t="n">
        <v>0.33522061</v>
      </c>
      <c r="L59" s="20" t="n">
        <v>0.20163091</v>
      </c>
      <c r="M59" s="18" t="n">
        <v>0</v>
      </c>
      <c r="N59" s="20" t="n">
        <v>0</v>
      </c>
      <c r="O59" s="18" t="n">
        <v>0</v>
      </c>
      <c r="P59" s="20" t="n">
        <v>0</v>
      </c>
      <c r="Q59" s="18" t="n">
        <v>24.87434019</v>
      </c>
      <c r="R59" s="20" t="n">
        <v>1.64126454</v>
      </c>
    </row>
    <row r="60" spans="1:18">
      <c r="A60" s="15" t="s">
        <v>620</v>
      </c>
      <c r="B60" s="17" t="n">
        <v>2095</v>
      </c>
      <c r="C60" s="18">
        <f>(1419.0/B60*100)</f>
        <v/>
      </c>
      <c r="D60" s="19" t="n">
        <v>676</v>
      </c>
      <c r="E60" s="18" t="n">
        <v>49.33727359</v>
      </c>
      <c r="F60" s="20" t="n">
        <v>2.61113731</v>
      </c>
      <c r="G60" s="18" t="n">
        <v>20.23303112</v>
      </c>
      <c r="H60" s="20" t="n">
        <v>1.83489939</v>
      </c>
      <c r="I60" s="18" t="s">
        <v>567</v>
      </c>
      <c r="J60" s="20" t="s">
        <v>567</v>
      </c>
      <c r="K60" s="18" t="n">
        <v>2.73020673</v>
      </c>
      <c r="L60" s="20" t="n">
        <v>0.71205271</v>
      </c>
      <c r="M60" s="18" t="n">
        <v>0</v>
      </c>
      <c r="N60" s="20" t="n">
        <v>0</v>
      </c>
      <c r="O60" s="18" t="n">
        <v>0.34755312</v>
      </c>
      <c r="P60" s="20" t="n">
        <v>0.35726167</v>
      </c>
      <c r="Q60" s="18" t="n">
        <v>27.35193544</v>
      </c>
      <c r="R60" s="20" t="n">
        <v>2.24114915</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(1883.0/B63*100)</f>
        <v/>
      </c>
      <c r="D63" s="19" t="n">
        <v>930</v>
      </c>
      <c r="E63" s="18" t="n">
        <v>26.38738485</v>
      </c>
      <c r="F63" s="20" t="n">
        <v>1.66271389</v>
      </c>
      <c r="G63" s="18" t="n">
        <v>21.285871</v>
      </c>
      <c r="H63" s="20" t="n">
        <v>1.64217171</v>
      </c>
      <c r="I63" s="18" t="s">
        <v>567</v>
      </c>
      <c r="J63" s="20" t="s">
        <v>567</v>
      </c>
      <c r="K63" s="18" t="n">
        <v>2.31224152</v>
      </c>
      <c r="L63" s="20" t="n">
        <v>0.51868995</v>
      </c>
      <c r="M63" s="18" t="n">
        <v>0</v>
      </c>
      <c r="N63" s="20" t="n">
        <v>0</v>
      </c>
      <c r="O63" s="18" t="n">
        <v>0</v>
      </c>
      <c r="P63" s="20" t="n">
        <v>0</v>
      </c>
      <c r="Q63" s="18" t="n">
        <v>50.01450263</v>
      </c>
      <c r="R63" s="20" t="n">
        <v>1.9446925</v>
      </c>
    </row>
    <row r="64" spans="1:18">
      <c r="A64" s="15" t="s">
        <v>624</v>
      </c>
      <c r="B64" s="17" t="n">
        <v>1844</v>
      </c>
      <c r="C64" s="18">
        <f>(1232.0/B64*100)</f>
        <v/>
      </c>
      <c r="D64" s="19" t="n">
        <v>612</v>
      </c>
      <c r="E64" s="18" t="n">
        <v>23.57979702</v>
      </c>
      <c r="F64" s="20" t="n">
        <v>1.5403249</v>
      </c>
      <c r="G64" s="18" t="n">
        <v>52.12181107</v>
      </c>
      <c r="H64" s="20" t="n">
        <v>1.88240587</v>
      </c>
      <c r="I64" s="18" t="s">
        <v>567</v>
      </c>
      <c r="J64" s="20" t="s">
        <v>567</v>
      </c>
      <c r="K64" s="18" t="n">
        <v>1.43361609</v>
      </c>
      <c r="L64" s="20" t="n">
        <v>0.49374833</v>
      </c>
      <c r="M64" s="18" t="n">
        <v>0</v>
      </c>
      <c r="N64" s="20" t="n">
        <v>0</v>
      </c>
      <c r="O64" s="18" t="n">
        <v>0.17341246</v>
      </c>
      <c r="P64" s="20" t="n">
        <v>0.17096733</v>
      </c>
      <c r="Q64" s="18" t="n">
        <v>22.69136336</v>
      </c>
      <c r="R64" s="20" t="n">
        <v>1.61062546</v>
      </c>
    </row>
    <row r="65" spans="1:18">
      <c r="A65" s="15" t="s">
        <v>625</v>
      </c>
      <c r="B65" s="17" t="n">
        <v>2691</v>
      </c>
      <c r="C65" s="18">
        <f>(1789.0/B65*100)</f>
        <v/>
      </c>
      <c r="D65" s="19" t="n">
        <v>902</v>
      </c>
      <c r="E65" s="18" t="n">
        <v>13.62810891</v>
      </c>
      <c r="F65" s="20" t="n">
        <v>1.33321626</v>
      </c>
      <c r="G65" s="18" t="n">
        <v>49.3987923</v>
      </c>
      <c r="H65" s="20" t="n">
        <v>1.77987933</v>
      </c>
      <c r="I65" s="18" t="s">
        <v>567</v>
      </c>
      <c r="J65" s="20" t="s">
        <v>567</v>
      </c>
      <c r="K65" s="18" t="n">
        <v>3.23453225</v>
      </c>
      <c r="L65" s="20" t="n">
        <v>0.58368824</v>
      </c>
      <c r="M65" s="18" t="n">
        <v>0</v>
      </c>
      <c r="N65" s="20" t="n">
        <v>0</v>
      </c>
      <c r="O65" s="18" t="n">
        <v>0</v>
      </c>
      <c r="P65" s="20" t="n">
        <v>0</v>
      </c>
      <c r="Q65" s="18" t="n">
        <v>33.73856654</v>
      </c>
      <c r="R65" s="20" t="n">
        <v>1.77176165</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(1603.0/B69*100)</f>
        <v/>
      </c>
      <c r="D69" s="19" t="n">
        <v>807</v>
      </c>
      <c r="E69" s="18" t="n">
        <v>42.5414783</v>
      </c>
      <c r="F69" s="20" t="n">
        <v>2.09543778</v>
      </c>
      <c r="G69" s="18" t="n">
        <v>57.2314722</v>
      </c>
      <c r="H69" s="20" t="n">
        <v>2.09557826</v>
      </c>
      <c r="I69" s="18" t="s">
        <v>567</v>
      </c>
      <c r="J69" s="20" t="s">
        <v>567</v>
      </c>
      <c r="K69" s="18" t="n">
        <v>0</v>
      </c>
      <c r="L69" s="20" t="n">
        <v>0</v>
      </c>
      <c r="M69" s="18" t="n">
        <v>0</v>
      </c>
      <c r="N69" s="20" t="n">
        <v>0</v>
      </c>
      <c r="O69" s="18" t="n">
        <v>0</v>
      </c>
      <c r="P69" s="20" t="n">
        <v>0</v>
      </c>
      <c r="Q69" s="18" t="n">
        <v>0.2270495</v>
      </c>
      <c r="R69" s="20" t="n">
        <v>0.16048095</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(1491.0/B74*100)</f>
        <v/>
      </c>
      <c r="D74" s="19" t="n">
        <v>748</v>
      </c>
      <c r="E74" s="18" t="n">
        <v>24.15041559</v>
      </c>
      <c r="F74" s="20" t="n">
        <v>1.90949224</v>
      </c>
      <c r="G74" s="18" t="n">
        <v>40.31628416</v>
      </c>
      <c r="H74" s="20" t="n">
        <v>2.1939245</v>
      </c>
      <c r="I74" s="18" t="s">
        <v>567</v>
      </c>
      <c r="J74" s="20" t="s">
        <v>567</v>
      </c>
      <c r="K74" s="18" t="n">
        <v>2.79924641</v>
      </c>
      <c r="L74" s="20" t="n">
        <v>0.76971954</v>
      </c>
      <c r="M74" s="18" t="n">
        <v>0</v>
      </c>
      <c r="N74" s="20" t="n">
        <v>0</v>
      </c>
      <c r="O74" s="18" t="n">
        <v>0</v>
      </c>
      <c r="P74" s="20" t="n">
        <v>0</v>
      </c>
      <c r="Q74" s="18" t="n">
        <v>32.73405384</v>
      </c>
      <c r="R74" s="20" t="n">
        <v>1.84146564</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37.35753241</v>
      </c>
      <c r="F78" s="20" t="n">
        <v>2.07006793</v>
      </c>
      <c r="G78" s="18" t="n">
        <v>60.80115084</v>
      </c>
      <c r="H78" s="20" t="n">
        <v>1.97559728</v>
      </c>
      <c r="I78" s="18" t="s">
        <v>567</v>
      </c>
      <c r="J78" s="20" t="s">
        <v>567</v>
      </c>
      <c r="K78" s="18" t="n">
        <v>0</v>
      </c>
      <c r="L78" s="20" t="n">
        <v>0</v>
      </c>
      <c r="M78" s="18" t="n">
        <v>0</v>
      </c>
      <c r="N78" s="20" t="n">
        <v>0</v>
      </c>
      <c r="O78" s="18" t="n">
        <v>0</v>
      </c>
      <c r="P78" s="20" t="n">
        <v>0</v>
      </c>
      <c r="Q78" s="18" t="n">
        <v>1.84131675</v>
      </c>
      <c r="R78" s="20" t="n">
        <v>0.5651442800000001</v>
      </c>
    </row>
    <row customHeight="1" ht="25" r="79" spans="1:18">
      <c r="A79" s="15" t="s">
        <v>639</v>
      </c>
      <c r="B79" s="17" t="n">
        <v>787</v>
      </c>
      <c r="C79" s="18">
        <f>(529.0/B79*100)</f>
        <v/>
      </c>
      <c r="D79" s="19" t="n">
        <v>258</v>
      </c>
      <c r="E79" s="18" t="n">
        <v>21.21006632</v>
      </c>
      <c r="F79" s="20" t="n">
        <v>2.41204775</v>
      </c>
      <c r="G79" s="18" t="n">
        <v>57.51385199</v>
      </c>
      <c r="H79" s="20" t="n">
        <v>3.11290033</v>
      </c>
      <c r="I79" s="18" t="s">
        <v>567</v>
      </c>
      <c r="J79" s="20" t="s">
        <v>567</v>
      </c>
      <c r="K79" s="18" t="n">
        <v>1.78980325</v>
      </c>
      <c r="L79" s="20" t="n">
        <v>0.8641986699999999</v>
      </c>
      <c r="M79" s="18" t="n">
        <v>0</v>
      </c>
      <c r="N79" s="20" t="n">
        <v>0</v>
      </c>
      <c r="O79" s="18" t="n">
        <v>0</v>
      </c>
      <c r="P79" s="20" t="n">
        <v>0</v>
      </c>
      <c r="Q79" s="18" t="n">
        <v>19.48627843</v>
      </c>
      <c r="R79" s="20" t="n">
        <v>2.30329575</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(1673.0/B44*100)</f>
        <v/>
      </c>
      <c r="D44" s="19" t="n">
        <v>851</v>
      </c>
      <c r="E44" s="18" t="n">
        <v>24.38935126</v>
      </c>
      <c r="F44" s="20" t="n">
        <v>1.3954664</v>
      </c>
      <c r="G44" s="18" t="n">
        <v>33.99465387</v>
      </c>
      <c r="H44" s="20" t="n">
        <v>2.14924067</v>
      </c>
      <c r="I44" s="18" t="s">
        <v>567</v>
      </c>
      <c r="J44" s="20" t="s">
        <v>567</v>
      </c>
      <c r="K44" s="18" t="n">
        <v>1.42511315</v>
      </c>
      <c r="L44" s="20" t="n">
        <v>0.45101633</v>
      </c>
      <c r="M44" s="18" t="n">
        <v>0</v>
      </c>
      <c r="N44" s="20" t="n">
        <v>0</v>
      </c>
      <c r="O44" s="18" t="n">
        <v>0</v>
      </c>
      <c r="P44" s="20" t="n">
        <v>0</v>
      </c>
      <c r="Q44" s="18" t="n">
        <v>40.19088172</v>
      </c>
      <c r="R44" s="20" t="n">
        <v>2.249579</v>
      </c>
    </row>
    <row r="45" spans="1:18">
      <c r="A45" s="15" t="s">
        <v>605</v>
      </c>
      <c r="B45" s="17" t="n">
        <v>2849</v>
      </c>
      <c r="C45" s="18">
        <f>(1903.0/B45*100)</f>
        <v/>
      </c>
      <c r="D45" s="19" t="n">
        <v>946</v>
      </c>
      <c r="E45" s="18" t="n">
        <v>37.30785655</v>
      </c>
      <c r="F45" s="20" t="n">
        <v>1.65371002</v>
      </c>
      <c r="G45" s="18" t="n">
        <v>27.37369965</v>
      </c>
      <c r="H45" s="20" t="n">
        <v>1.64371421</v>
      </c>
      <c r="I45" s="18" t="s">
        <v>567</v>
      </c>
      <c r="J45" s="20" t="s">
        <v>567</v>
      </c>
      <c r="K45" s="18" t="n">
        <v>3.21797219</v>
      </c>
      <c r="L45" s="20" t="n">
        <v>0.6493023999999999</v>
      </c>
      <c r="M45" s="18" t="n">
        <v>1.36430811</v>
      </c>
      <c r="N45" s="20" t="n">
        <v>0.42054721</v>
      </c>
      <c r="O45" s="18" t="n">
        <v>0.155155</v>
      </c>
      <c r="P45" s="20" t="n">
        <v>0.15844573</v>
      </c>
      <c r="Q45" s="18" t="n">
        <v>30.58100849</v>
      </c>
      <c r="R45" s="20" t="n">
        <v>1.72996928</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(2060.0/B49*100)</f>
        <v/>
      </c>
      <c r="D49" s="19" t="n">
        <v>958</v>
      </c>
      <c r="E49" s="18" t="n">
        <v>31.27867581</v>
      </c>
      <c r="F49" s="20" t="n">
        <v>1.93173709</v>
      </c>
      <c r="G49" s="18" t="n">
        <v>42.71514285</v>
      </c>
      <c r="H49" s="20" t="n">
        <v>1.98380723</v>
      </c>
      <c r="I49" s="18" t="s">
        <v>567</v>
      </c>
      <c r="J49" s="20" t="s">
        <v>567</v>
      </c>
      <c r="K49" s="18" t="n">
        <v>1.5038216</v>
      </c>
      <c r="L49" s="20" t="n">
        <v>0.42182659</v>
      </c>
      <c r="M49" s="18" t="n">
        <v>0</v>
      </c>
      <c r="N49" s="20" t="n">
        <v>0</v>
      </c>
      <c r="O49" s="18" t="n">
        <v>0</v>
      </c>
      <c r="P49" s="20" t="n">
        <v>0</v>
      </c>
      <c r="Q49" s="18" t="n">
        <v>24.50235974</v>
      </c>
      <c r="R49" s="20" t="n">
        <v>1.5617139</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(1846.0/B55*100)</f>
        <v/>
      </c>
      <c r="D55" s="19" t="n">
        <v>913</v>
      </c>
      <c r="E55" s="18" t="n">
        <v>21.02576009</v>
      </c>
      <c r="F55" s="20" t="n">
        <v>1.28230336</v>
      </c>
      <c r="G55" s="18" t="n">
        <v>28.9757544</v>
      </c>
      <c r="H55" s="20" t="n">
        <v>1.73745002</v>
      </c>
      <c r="I55" s="18" t="s">
        <v>567</v>
      </c>
      <c r="J55" s="20" t="s">
        <v>567</v>
      </c>
      <c r="K55" s="18" t="n">
        <v>0.50263048</v>
      </c>
      <c r="L55" s="20" t="n">
        <v>0.22236494</v>
      </c>
      <c r="M55" s="18" t="n">
        <v>0</v>
      </c>
      <c r="N55" s="20" t="n">
        <v>0</v>
      </c>
      <c r="O55" s="18" t="n">
        <v>0</v>
      </c>
      <c r="P55" s="20" t="n">
        <v>0</v>
      </c>
      <c r="Q55" s="18" t="n">
        <v>49.49585503</v>
      </c>
      <c r="R55" s="20" t="n">
        <v>1.953902</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(2113.0/B57*100)</f>
        <v/>
      </c>
      <c r="D57" s="19" t="n">
        <v>1057</v>
      </c>
      <c r="E57" s="18" t="n">
        <v>68.70954500000001</v>
      </c>
      <c r="F57" s="20" t="n">
        <v>1.53975421</v>
      </c>
      <c r="G57" s="18" t="n">
        <v>23.65946971</v>
      </c>
      <c r="H57" s="20" t="n">
        <v>1.4396311</v>
      </c>
      <c r="I57" s="18" t="s">
        <v>567</v>
      </c>
      <c r="J57" s="20" t="s">
        <v>567</v>
      </c>
      <c r="K57" s="18" t="n">
        <v>0.46017232</v>
      </c>
      <c r="L57" s="20" t="n">
        <v>0.26035814</v>
      </c>
      <c r="M57" s="18" t="n">
        <v>0</v>
      </c>
      <c r="N57" s="20" t="n">
        <v>0</v>
      </c>
      <c r="O57" s="18" t="n">
        <v>0</v>
      </c>
      <c r="P57" s="20" t="n">
        <v>0</v>
      </c>
      <c r="Q57" s="18" t="n">
        <v>7.17081298</v>
      </c>
      <c r="R57" s="20" t="n">
        <v>1.04333965</v>
      </c>
    </row>
    <row r="58" spans="1:18">
      <c r="A58" s="15" t="s">
        <v>618</v>
      </c>
      <c r="B58" s="17" t="n">
        <v>3530</v>
      </c>
      <c r="C58" s="18">
        <f>(2348.0/B58*100)</f>
        <v/>
      </c>
      <c r="D58" s="19" t="n">
        <v>1182</v>
      </c>
      <c r="E58" s="18" t="n">
        <v>41.93550099</v>
      </c>
      <c r="F58" s="20" t="n">
        <v>1.86677265</v>
      </c>
      <c r="G58" s="18" t="n">
        <v>34.25351636</v>
      </c>
      <c r="H58" s="20" t="n">
        <v>2.09890311</v>
      </c>
      <c r="I58" s="18" t="s">
        <v>567</v>
      </c>
      <c r="J58" s="20" t="s">
        <v>567</v>
      </c>
      <c r="K58" s="18" t="n">
        <v>1.47366692</v>
      </c>
      <c r="L58" s="20" t="n">
        <v>0.4312533</v>
      </c>
      <c r="M58" s="18" t="n">
        <v>0</v>
      </c>
      <c r="N58" s="20" t="n">
        <v>0</v>
      </c>
      <c r="O58" s="18" t="n">
        <v>0</v>
      </c>
      <c r="P58" s="20" t="n">
        <v>0</v>
      </c>
      <c r="Q58" s="18" t="n">
        <v>22.33731573</v>
      </c>
      <c r="R58" s="20" t="n">
        <v>1.50474527</v>
      </c>
    </row>
    <row r="59" spans="1:18">
      <c r="A59" s="15" t="s">
        <v>619</v>
      </c>
      <c r="B59" s="17" t="n">
        <v>2548</v>
      </c>
      <c r="C59" s="18">
        <f>(1717.0/B59*100)</f>
        <v/>
      </c>
      <c r="D59" s="19" t="n">
        <v>831</v>
      </c>
      <c r="E59" s="18" t="n">
        <v>57.30924288</v>
      </c>
      <c r="F59" s="20" t="n">
        <v>1.86860969</v>
      </c>
      <c r="G59" s="18" t="n">
        <v>13.22896304</v>
      </c>
      <c r="H59" s="20" t="n">
        <v>1.24104479</v>
      </c>
      <c r="I59" s="18" t="s">
        <v>567</v>
      </c>
      <c r="J59" s="20" t="s">
        <v>567</v>
      </c>
      <c r="K59" s="18" t="n">
        <v>0.33522061</v>
      </c>
      <c r="L59" s="20" t="n">
        <v>0.20163091</v>
      </c>
      <c r="M59" s="18" t="n">
        <v>0</v>
      </c>
      <c r="N59" s="20" t="n">
        <v>0</v>
      </c>
      <c r="O59" s="18" t="n">
        <v>0</v>
      </c>
      <c r="P59" s="20" t="n">
        <v>0</v>
      </c>
      <c r="Q59" s="18" t="n">
        <v>29.12657348</v>
      </c>
      <c r="R59" s="20" t="n">
        <v>1.75923767</v>
      </c>
    </row>
    <row r="60" spans="1:18">
      <c r="A60" s="15" t="s">
        <v>620</v>
      </c>
      <c r="B60" s="17" t="n">
        <v>2095</v>
      </c>
      <c r="C60" s="18">
        <f>(1419.0/B60*100)</f>
        <v/>
      </c>
      <c r="D60" s="19" t="n">
        <v>676</v>
      </c>
      <c r="E60" s="18" t="n">
        <v>42.49870632</v>
      </c>
      <c r="F60" s="20" t="n">
        <v>2.17152108</v>
      </c>
      <c r="G60" s="18" t="n">
        <v>22.19511167</v>
      </c>
      <c r="H60" s="20" t="n">
        <v>1.7115468</v>
      </c>
      <c r="I60" s="18" t="s">
        <v>567</v>
      </c>
      <c r="J60" s="20" t="s">
        <v>567</v>
      </c>
      <c r="K60" s="18" t="n">
        <v>2.73020673</v>
      </c>
      <c r="L60" s="20" t="n">
        <v>0.71205271</v>
      </c>
      <c r="M60" s="18" t="n">
        <v>0</v>
      </c>
      <c r="N60" s="20" t="n">
        <v>0</v>
      </c>
      <c r="O60" s="18" t="n">
        <v>0</v>
      </c>
      <c r="P60" s="20" t="n">
        <v>0</v>
      </c>
      <c r="Q60" s="18" t="n">
        <v>32.57597528</v>
      </c>
      <c r="R60" s="20" t="n">
        <v>2.24902473</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(1883.0/B63*100)</f>
        <v/>
      </c>
      <c r="D63" s="19" t="n">
        <v>930</v>
      </c>
      <c r="E63" s="18" t="n">
        <v>28.1429834</v>
      </c>
      <c r="F63" s="20" t="n">
        <v>1.67649588</v>
      </c>
      <c r="G63" s="18" t="n">
        <v>14.31542079</v>
      </c>
      <c r="H63" s="20" t="n">
        <v>1.2442107</v>
      </c>
      <c r="I63" s="18" t="s">
        <v>567</v>
      </c>
      <c r="J63" s="20" t="s">
        <v>567</v>
      </c>
      <c r="K63" s="18" t="n">
        <v>2.31224152</v>
      </c>
      <c r="L63" s="20" t="n">
        <v>0.51868995</v>
      </c>
      <c r="M63" s="18" t="n">
        <v>0</v>
      </c>
      <c r="N63" s="20" t="n">
        <v>0</v>
      </c>
      <c r="O63" s="18" t="n">
        <v>0</v>
      </c>
      <c r="P63" s="20" t="n">
        <v>0</v>
      </c>
      <c r="Q63" s="18" t="n">
        <v>55.22935429</v>
      </c>
      <c r="R63" s="20" t="n">
        <v>1.89972658</v>
      </c>
    </row>
    <row r="64" spans="1:18">
      <c r="A64" s="15" t="s">
        <v>624</v>
      </c>
      <c r="B64" s="17" t="n">
        <v>1844</v>
      </c>
      <c r="C64" s="18">
        <f>(1232.0/B64*100)</f>
        <v/>
      </c>
      <c r="D64" s="19" t="n">
        <v>612</v>
      </c>
      <c r="E64" s="18" t="n">
        <v>20.13046499</v>
      </c>
      <c r="F64" s="20" t="n">
        <v>1.63179615</v>
      </c>
      <c r="G64" s="18" t="n">
        <v>56.59171567</v>
      </c>
      <c r="H64" s="20" t="n">
        <v>2.12039574</v>
      </c>
      <c r="I64" s="18" t="s">
        <v>567</v>
      </c>
      <c r="J64" s="20" t="s">
        <v>567</v>
      </c>
      <c r="K64" s="18" t="n">
        <v>1.43361609</v>
      </c>
      <c r="L64" s="20" t="n">
        <v>0.49374833</v>
      </c>
      <c r="M64" s="18" t="n">
        <v>0</v>
      </c>
      <c r="N64" s="20" t="n">
        <v>0</v>
      </c>
      <c r="O64" s="18" t="n">
        <v>0.17341246</v>
      </c>
      <c r="P64" s="20" t="n">
        <v>0.17096733</v>
      </c>
      <c r="Q64" s="18" t="n">
        <v>21.67079078</v>
      </c>
      <c r="R64" s="20" t="n">
        <v>1.73435144</v>
      </c>
    </row>
    <row r="65" spans="1:18">
      <c r="A65" s="15" t="s">
        <v>625</v>
      </c>
      <c r="B65" s="17" t="n">
        <v>2691</v>
      </c>
      <c r="C65" s="18">
        <f>(1789.0/B65*100)</f>
        <v/>
      </c>
      <c r="D65" s="19" t="n">
        <v>902</v>
      </c>
      <c r="E65" s="18" t="n">
        <v>26.25326716</v>
      </c>
      <c r="F65" s="20" t="n">
        <v>1.56611936</v>
      </c>
      <c r="G65" s="18" t="n">
        <v>34.06162213</v>
      </c>
      <c r="H65" s="20" t="n">
        <v>1.69888327</v>
      </c>
      <c r="I65" s="18" t="s">
        <v>567</v>
      </c>
      <c r="J65" s="20" t="s">
        <v>567</v>
      </c>
      <c r="K65" s="18" t="n">
        <v>3.23453225</v>
      </c>
      <c r="L65" s="20" t="n">
        <v>0.58368824</v>
      </c>
      <c r="M65" s="18" t="n">
        <v>0</v>
      </c>
      <c r="N65" s="20" t="n">
        <v>0</v>
      </c>
      <c r="O65" s="18" t="n">
        <v>0</v>
      </c>
      <c r="P65" s="20" t="n">
        <v>0</v>
      </c>
      <c r="Q65" s="18" t="n">
        <v>36.45057845</v>
      </c>
      <c r="R65" s="20" t="n">
        <v>1.84348518</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(1603.0/B69*100)</f>
        <v/>
      </c>
      <c r="D69" s="19" t="n">
        <v>807</v>
      </c>
      <c r="E69" s="18" t="n">
        <v>62.52658336</v>
      </c>
      <c r="F69" s="20" t="n">
        <v>2.02169985</v>
      </c>
      <c r="G69" s="18" t="n">
        <v>37.24636714</v>
      </c>
      <c r="H69" s="20" t="n">
        <v>2.03207554</v>
      </c>
      <c r="I69" s="18" t="s">
        <v>567</v>
      </c>
      <c r="J69" s="20" t="s">
        <v>567</v>
      </c>
      <c r="K69" s="18" t="n">
        <v>0</v>
      </c>
      <c r="L69" s="20" t="n">
        <v>0</v>
      </c>
      <c r="M69" s="18" t="n">
        <v>0</v>
      </c>
      <c r="N69" s="20" t="n">
        <v>0</v>
      </c>
      <c r="O69" s="18" t="n">
        <v>0</v>
      </c>
      <c r="P69" s="20" t="n">
        <v>0</v>
      </c>
      <c r="Q69" s="18" t="n">
        <v>0.2270495</v>
      </c>
      <c r="R69" s="20" t="n">
        <v>0.16048095</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(1491.0/B74*100)</f>
        <v/>
      </c>
      <c r="D74" s="19" t="n">
        <v>748</v>
      </c>
      <c r="E74" s="18" t="n">
        <v>30.58154032</v>
      </c>
      <c r="F74" s="20" t="n">
        <v>1.88573538</v>
      </c>
      <c r="G74" s="18" t="n">
        <v>29.68561815</v>
      </c>
      <c r="H74" s="20" t="n">
        <v>1.67334225</v>
      </c>
      <c r="I74" s="18" t="s">
        <v>567</v>
      </c>
      <c r="J74" s="20" t="s">
        <v>567</v>
      </c>
      <c r="K74" s="18" t="n">
        <v>3.02467297</v>
      </c>
      <c r="L74" s="20" t="n">
        <v>0.82272121</v>
      </c>
      <c r="M74" s="18" t="n">
        <v>0</v>
      </c>
      <c r="N74" s="20" t="n">
        <v>0</v>
      </c>
      <c r="O74" s="18" t="n">
        <v>0</v>
      </c>
      <c r="P74" s="20" t="n">
        <v>0</v>
      </c>
      <c r="Q74" s="18" t="n">
        <v>36.70816856</v>
      </c>
      <c r="R74" s="20" t="n">
        <v>1.85812497</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48.51239057</v>
      </c>
      <c r="F78" s="20" t="n">
        <v>2.06666808</v>
      </c>
      <c r="G78" s="18" t="n">
        <v>48.37154892</v>
      </c>
      <c r="H78" s="20" t="n">
        <v>1.960493</v>
      </c>
      <c r="I78" s="18" t="s">
        <v>567</v>
      </c>
      <c r="J78" s="20" t="s">
        <v>567</v>
      </c>
      <c r="K78" s="18" t="n">
        <v>0</v>
      </c>
      <c r="L78" s="20" t="n">
        <v>0</v>
      </c>
      <c r="M78" s="18" t="n">
        <v>0</v>
      </c>
      <c r="N78" s="20" t="n">
        <v>0</v>
      </c>
      <c r="O78" s="18" t="n">
        <v>0</v>
      </c>
      <c r="P78" s="20" t="n">
        <v>0</v>
      </c>
      <c r="Q78" s="18" t="n">
        <v>3.11606051</v>
      </c>
      <c r="R78" s="20" t="n">
        <v>0.65502967</v>
      </c>
    </row>
    <row customHeight="1" ht="25" r="79" spans="1:18">
      <c r="A79" s="15" t="s">
        <v>639</v>
      </c>
      <c r="B79" s="17" t="n">
        <v>787</v>
      </c>
      <c r="C79" s="18">
        <f>(529.0/B79*100)</f>
        <v/>
      </c>
      <c r="D79" s="19" t="n">
        <v>258</v>
      </c>
      <c r="E79" s="18" t="n">
        <v>27.08630281</v>
      </c>
      <c r="F79" s="20" t="n">
        <v>3.1743386</v>
      </c>
      <c r="G79" s="18" t="n">
        <v>52.72321402</v>
      </c>
      <c r="H79" s="20" t="n">
        <v>3.68575946</v>
      </c>
      <c r="I79" s="18" t="s">
        <v>567</v>
      </c>
      <c r="J79" s="20" t="s">
        <v>567</v>
      </c>
      <c r="K79" s="18" t="n">
        <v>1.78980325</v>
      </c>
      <c r="L79" s="20" t="n">
        <v>0.8641986699999999</v>
      </c>
      <c r="M79" s="18" t="n">
        <v>0</v>
      </c>
      <c r="N79" s="20" t="n">
        <v>0</v>
      </c>
      <c r="O79" s="18" t="n">
        <v>0</v>
      </c>
      <c r="P79" s="20" t="n">
        <v>0</v>
      </c>
      <c r="Q79" s="18" t="n">
        <v>18.40067992</v>
      </c>
      <c r="R79" s="20" t="n">
        <v>2.4116363</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(1673.0/B44*100)</f>
        <v/>
      </c>
      <c r="D44" s="19" t="n">
        <v>851</v>
      </c>
      <c r="E44" s="18" t="n">
        <v>47.74017518</v>
      </c>
      <c r="F44" s="20" t="n">
        <v>2.21904457</v>
      </c>
      <c r="G44" s="18" t="n">
        <v>32.13968347</v>
      </c>
      <c r="H44" s="20" t="n">
        <v>2.16720335</v>
      </c>
      <c r="I44" s="18" t="s">
        <v>567</v>
      </c>
      <c r="J44" s="20" t="s">
        <v>567</v>
      </c>
      <c r="K44" s="18" t="n">
        <v>1.42511315</v>
      </c>
      <c r="L44" s="20" t="n">
        <v>0.45101633</v>
      </c>
      <c r="M44" s="18" t="n">
        <v>0</v>
      </c>
      <c r="N44" s="20" t="n">
        <v>0</v>
      </c>
      <c r="O44" s="18" t="n">
        <v>0.50796309</v>
      </c>
      <c r="P44" s="20" t="n">
        <v>0.24921035</v>
      </c>
      <c r="Q44" s="18" t="n">
        <v>18.18706511</v>
      </c>
      <c r="R44" s="20" t="n">
        <v>1.48690441</v>
      </c>
    </row>
    <row r="45" spans="1:18">
      <c r="A45" s="15" t="s">
        <v>605</v>
      </c>
      <c r="B45" s="17" t="n">
        <v>2849</v>
      </c>
      <c r="C45" s="18">
        <f>(1903.0/B45*100)</f>
        <v/>
      </c>
      <c r="D45" s="19" t="n">
        <v>946</v>
      </c>
      <c r="E45" s="18" t="n">
        <v>64.20138765</v>
      </c>
      <c r="F45" s="20" t="n">
        <v>1.86455639</v>
      </c>
      <c r="G45" s="18" t="n">
        <v>19.98912577</v>
      </c>
      <c r="H45" s="20" t="n">
        <v>1.69132231</v>
      </c>
      <c r="I45" s="18" t="s">
        <v>567</v>
      </c>
      <c r="J45" s="20" t="s">
        <v>567</v>
      </c>
      <c r="K45" s="18" t="n">
        <v>3.54907266</v>
      </c>
      <c r="L45" s="20" t="n">
        <v>0.69537562</v>
      </c>
      <c r="M45" s="18" t="n">
        <v>0.56799557</v>
      </c>
      <c r="N45" s="20" t="n">
        <v>0.25200868</v>
      </c>
      <c r="O45" s="18" t="n">
        <v>1.80684912</v>
      </c>
      <c r="P45" s="20" t="n">
        <v>0.46744077</v>
      </c>
      <c r="Q45" s="18" t="n">
        <v>9.88556923</v>
      </c>
      <c r="R45" s="20" t="n">
        <v>1.02210607</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(2060.0/B49*100)</f>
        <v/>
      </c>
      <c r="D49" s="19" t="n">
        <v>958</v>
      </c>
      <c r="E49" s="18" t="n">
        <v>45.50924432</v>
      </c>
      <c r="F49" s="20" t="n">
        <v>1.52242563</v>
      </c>
      <c r="G49" s="18" t="n">
        <v>43.67715834</v>
      </c>
      <c r="H49" s="20" t="n">
        <v>1.55166498</v>
      </c>
      <c r="I49" s="18" t="s">
        <v>567</v>
      </c>
      <c r="J49" s="20" t="s">
        <v>567</v>
      </c>
      <c r="K49" s="18" t="n">
        <v>1.5038216</v>
      </c>
      <c r="L49" s="20" t="n">
        <v>0.42182659</v>
      </c>
      <c r="M49" s="18" t="n">
        <v>0</v>
      </c>
      <c r="N49" s="20" t="n">
        <v>0</v>
      </c>
      <c r="O49" s="18" t="n">
        <v>0.40193193</v>
      </c>
      <c r="P49" s="20" t="n">
        <v>0.24443502</v>
      </c>
      <c r="Q49" s="18" t="n">
        <v>8.90784382</v>
      </c>
      <c r="R49" s="20" t="n">
        <v>0.99516418</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(1846.0/B55*100)</f>
        <v/>
      </c>
      <c r="D55" s="19" t="n">
        <v>913</v>
      </c>
      <c r="E55" s="18" t="n">
        <v>52.05382691</v>
      </c>
      <c r="F55" s="20" t="n">
        <v>1.86450288</v>
      </c>
      <c r="G55" s="18" t="n">
        <v>34.11990203</v>
      </c>
      <c r="H55" s="20" t="n">
        <v>1.92556763</v>
      </c>
      <c r="I55" s="18" t="s">
        <v>567</v>
      </c>
      <c r="J55" s="20" t="s">
        <v>567</v>
      </c>
      <c r="K55" s="18" t="n">
        <v>0.50263048</v>
      </c>
      <c r="L55" s="20" t="n">
        <v>0.22236494</v>
      </c>
      <c r="M55" s="18" t="n">
        <v>0</v>
      </c>
      <c r="N55" s="20" t="n">
        <v>0</v>
      </c>
      <c r="O55" s="18" t="n">
        <v>0.39389953</v>
      </c>
      <c r="P55" s="20" t="n">
        <v>0.19892227</v>
      </c>
      <c r="Q55" s="18" t="n">
        <v>12.92974105</v>
      </c>
      <c r="R55" s="20" t="n">
        <v>1.16908874</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(2113.0/B57*100)</f>
        <v/>
      </c>
      <c r="D57" s="19" t="n">
        <v>1057</v>
      </c>
      <c r="E57" s="18" t="n">
        <v>77.48192460999999</v>
      </c>
      <c r="F57" s="20" t="n">
        <v>1.53768419</v>
      </c>
      <c r="G57" s="18" t="n">
        <v>19.36542225</v>
      </c>
      <c r="H57" s="20" t="n">
        <v>1.48041682</v>
      </c>
      <c r="I57" s="18" t="s">
        <v>567</v>
      </c>
      <c r="J57" s="20" t="s">
        <v>567</v>
      </c>
      <c r="K57" s="18" t="n">
        <v>0.51727074</v>
      </c>
      <c r="L57" s="20" t="n">
        <v>0.26650658</v>
      </c>
      <c r="M57" s="18" t="n">
        <v>0</v>
      </c>
      <c r="N57" s="20" t="n">
        <v>0</v>
      </c>
      <c r="O57" s="18" t="n">
        <v>0</v>
      </c>
      <c r="P57" s="20" t="n">
        <v>0</v>
      </c>
      <c r="Q57" s="18" t="n">
        <v>2.63538241</v>
      </c>
      <c r="R57" s="20" t="n">
        <v>0.55659777</v>
      </c>
    </row>
    <row r="58" spans="1:18">
      <c r="A58" s="15" t="s">
        <v>618</v>
      </c>
      <c r="B58" s="17" t="n">
        <v>3530</v>
      </c>
      <c r="C58" s="18">
        <f>(2348.0/B58*100)</f>
        <v/>
      </c>
      <c r="D58" s="19" t="n">
        <v>1182</v>
      </c>
      <c r="E58" s="18" t="n">
        <v>51.43179334</v>
      </c>
      <c r="F58" s="20" t="n">
        <v>2.08919273</v>
      </c>
      <c r="G58" s="18" t="n">
        <v>36.16252804</v>
      </c>
      <c r="H58" s="20" t="n">
        <v>1.98677098</v>
      </c>
      <c r="I58" s="18" t="s">
        <v>567</v>
      </c>
      <c r="J58" s="20" t="s">
        <v>567</v>
      </c>
      <c r="K58" s="18" t="n">
        <v>1.73954382</v>
      </c>
      <c r="L58" s="20" t="n">
        <v>0.5134003700000001</v>
      </c>
      <c r="M58" s="18" t="n">
        <v>0</v>
      </c>
      <c r="N58" s="20" t="n">
        <v>0</v>
      </c>
      <c r="O58" s="18" t="n">
        <v>0.8945540199999999</v>
      </c>
      <c r="P58" s="20" t="n">
        <v>0.32625497</v>
      </c>
      <c r="Q58" s="18" t="n">
        <v>9.77158079</v>
      </c>
      <c r="R58" s="20" t="n">
        <v>1.03766482</v>
      </c>
    </row>
    <row r="59" spans="1:18">
      <c r="A59" s="15" t="s">
        <v>619</v>
      </c>
      <c r="B59" s="17" t="n">
        <v>2548</v>
      </c>
      <c r="C59" s="18">
        <f>(1717.0/B59*100)</f>
        <v/>
      </c>
      <c r="D59" s="19" t="n">
        <v>831</v>
      </c>
      <c r="E59" s="18" t="n">
        <v>66.48678418999999</v>
      </c>
      <c r="F59" s="20" t="n">
        <v>1.91731802</v>
      </c>
      <c r="G59" s="18" t="n">
        <v>26.90978035</v>
      </c>
      <c r="H59" s="20" t="n">
        <v>1.82115486</v>
      </c>
      <c r="I59" s="18" t="s">
        <v>567</v>
      </c>
      <c r="J59" s="20" t="s">
        <v>567</v>
      </c>
      <c r="K59" s="18" t="n">
        <v>0.33522061</v>
      </c>
      <c r="L59" s="20" t="n">
        <v>0.20163091</v>
      </c>
      <c r="M59" s="18" t="n">
        <v>0</v>
      </c>
      <c r="N59" s="20" t="n">
        <v>0</v>
      </c>
      <c r="O59" s="18" t="n">
        <v>1.34372266</v>
      </c>
      <c r="P59" s="20" t="n">
        <v>0.4259124</v>
      </c>
      <c r="Q59" s="18" t="n">
        <v>4.9244922</v>
      </c>
      <c r="R59" s="20" t="n">
        <v>0.76044961</v>
      </c>
    </row>
    <row r="60" spans="1:18">
      <c r="A60" s="15" t="s">
        <v>620</v>
      </c>
      <c r="B60" s="17" t="n">
        <v>2095</v>
      </c>
      <c r="C60" s="18">
        <f>(1419.0/B60*100)</f>
        <v/>
      </c>
      <c r="D60" s="19" t="n">
        <v>676</v>
      </c>
      <c r="E60" s="18" t="n">
        <v>45.01983136</v>
      </c>
      <c r="F60" s="20" t="n">
        <v>2.0468096</v>
      </c>
      <c r="G60" s="18" t="n">
        <v>38.64018594</v>
      </c>
      <c r="H60" s="20" t="n">
        <v>2.18643492</v>
      </c>
      <c r="I60" s="18" t="s">
        <v>567</v>
      </c>
      <c r="J60" s="20" t="s">
        <v>567</v>
      </c>
      <c r="K60" s="18" t="n">
        <v>2.84973563</v>
      </c>
      <c r="L60" s="20" t="n">
        <v>0.71971375</v>
      </c>
      <c r="M60" s="18" t="n">
        <v>0</v>
      </c>
      <c r="N60" s="20" t="n">
        <v>0</v>
      </c>
      <c r="O60" s="18" t="n">
        <v>1.76255302</v>
      </c>
      <c r="P60" s="20" t="n">
        <v>0.57100469</v>
      </c>
      <c r="Q60" s="18" t="n">
        <v>11.72769406</v>
      </c>
      <c r="R60" s="20" t="n">
        <v>1.72025761</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(1883.0/B63*100)</f>
        <v/>
      </c>
      <c r="D63" s="19" t="n">
        <v>930</v>
      </c>
      <c r="E63" s="18" t="n">
        <v>50.43347267</v>
      </c>
      <c r="F63" s="20" t="n">
        <v>1.8059293</v>
      </c>
      <c r="G63" s="18" t="n">
        <v>30.5044676</v>
      </c>
      <c r="H63" s="20" t="n">
        <v>1.97489027</v>
      </c>
      <c r="I63" s="18" t="s">
        <v>567</v>
      </c>
      <c r="J63" s="20" t="s">
        <v>567</v>
      </c>
      <c r="K63" s="18" t="n">
        <v>2.31224152</v>
      </c>
      <c r="L63" s="20" t="n">
        <v>0.51868995</v>
      </c>
      <c r="M63" s="18" t="n">
        <v>0</v>
      </c>
      <c r="N63" s="20" t="n">
        <v>0</v>
      </c>
      <c r="O63" s="18" t="n">
        <v>0.64479712</v>
      </c>
      <c r="P63" s="20" t="n">
        <v>0.30583679</v>
      </c>
      <c r="Q63" s="18" t="n">
        <v>16.10502108</v>
      </c>
      <c r="R63" s="20" t="n">
        <v>1.41520261</v>
      </c>
    </row>
    <row r="64" spans="1:18">
      <c r="A64" s="15" t="s">
        <v>624</v>
      </c>
      <c r="B64" s="17" t="n">
        <v>1844</v>
      </c>
      <c r="C64" s="18">
        <f>(1232.0/B64*100)</f>
        <v/>
      </c>
      <c r="D64" s="19" t="n">
        <v>612</v>
      </c>
      <c r="E64" s="18" t="n">
        <v>46.88617531</v>
      </c>
      <c r="F64" s="20" t="n">
        <v>1.78158456</v>
      </c>
      <c r="G64" s="18" t="n">
        <v>41.33832358</v>
      </c>
      <c r="H64" s="20" t="n">
        <v>1.81886401</v>
      </c>
      <c r="I64" s="18" t="s">
        <v>567</v>
      </c>
      <c r="J64" s="20" t="s">
        <v>567</v>
      </c>
      <c r="K64" s="18" t="n">
        <v>1.43361609</v>
      </c>
      <c r="L64" s="20" t="n">
        <v>0.49374833</v>
      </c>
      <c r="M64" s="18" t="n">
        <v>0</v>
      </c>
      <c r="N64" s="20" t="n">
        <v>0</v>
      </c>
      <c r="O64" s="18" t="n">
        <v>0.17341246</v>
      </c>
      <c r="P64" s="20" t="n">
        <v>0.17096733</v>
      </c>
      <c r="Q64" s="18" t="n">
        <v>10.16847257</v>
      </c>
      <c r="R64" s="20" t="n">
        <v>1.22578877</v>
      </c>
    </row>
    <row r="65" spans="1:18">
      <c r="A65" s="15" t="s">
        <v>625</v>
      </c>
      <c r="B65" s="17" t="n">
        <v>2691</v>
      </c>
      <c r="C65" s="18">
        <f>(1789.0/B65*100)</f>
        <v/>
      </c>
      <c r="D65" s="19" t="n">
        <v>902</v>
      </c>
      <c r="E65" s="18" t="n">
        <v>49.9578297</v>
      </c>
      <c r="F65" s="20" t="n">
        <v>2.08675363</v>
      </c>
      <c r="G65" s="18" t="n">
        <v>34.51618109</v>
      </c>
      <c r="H65" s="20" t="n">
        <v>1.91749231</v>
      </c>
      <c r="I65" s="18" t="s">
        <v>567</v>
      </c>
      <c r="J65" s="20" t="s">
        <v>567</v>
      </c>
      <c r="K65" s="18" t="n">
        <v>3.23453225</v>
      </c>
      <c r="L65" s="20" t="n">
        <v>0.58368824</v>
      </c>
      <c r="M65" s="18" t="n">
        <v>0.98643746</v>
      </c>
      <c r="N65" s="20" t="n">
        <v>0.31914622</v>
      </c>
      <c r="O65" s="18" t="n">
        <v>0</v>
      </c>
      <c r="P65" s="20" t="n">
        <v>0</v>
      </c>
      <c r="Q65" s="18" t="n">
        <v>11.30501951</v>
      </c>
      <c r="R65" s="20" t="n">
        <v>1.24630796</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(1603.0/B69*100)</f>
        <v/>
      </c>
      <c r="D69" s="19" t="n">
        <v>807</v>
      </c>
      <c r="E69" s="18" t="n">
        <v>59.66969316</v>
      </c>
      <c r="F69" s="20" t="n">
        <v>1.85651178</v>
      </c>
      <c r="G69" s="18" t="n">
        <v>39.49341868</v>
      </c>
      <c r="H69" s="20" t="n">
        <v>1.88577443</v>
      </c>
      <c r="I69" s="18" t="s">
        <v>567</v>
      </c>
      <c r="J69" s="20" t="s">
        <v>567</v>
      </c>
      <c r="K69" s="18" t="n">
        <v>0</v>
      </c>
      <c r="L69" s="20" t="n">
        <v>0</v>
      </c>
      <c r="M69" s="18" t="n">
        <v>0</v>
      </c>
      <c r="N69" s="20" t="n">
        <v>0</v>
      </c>
      <c r="O69" s="18" t="n">
        <v>0</v>
      </c>
      <c r="P69" s="20" t="n">
        <v>0</v>
      </c>
      <c r="Q69" s="18" t="n">
        <v>0.83688816</v>
      </c>
      <c r="R69" s="20" t="n">
        <v>0.36231777</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(1491.0/B74*100)</f>
        <v/>
      </c>
      <c r="D74" s="19" t="n">
        <v>748</v>
      </c>
      <c r="E74" s="18" t="n">
        <v>44.10865336</v>
      </c>
      <c r="F74" s="20" t="n">
        <v>2.03486476</v>
      </c>
      <c r="G74" s="18" t="n">
        <v>39.34851373</v>
      </c>
      <c r="H74" s="20" t="n">
        <v>1.82489469</v>
      </c>
      <c r="I74" s="18" t="s">
        <v>567</v>
      </c>
      <c r="J74" s="20" t="s">
        <v>567</v>
      </c>
      <c r="K74" s="18" t="n">
        <v>3.02467297</v>
      </c>
      <c r="L74" s="20" t="n">
        <v>0.82272121</v>
      </c>
      <c r="M74" s="18" t="n">
        <v>0</v>
      </c>
      <c r="N74" s="20" t="n">
        <v>0</v>
      </c>
      <c r="O74" s="18" t="n">
        <v>0</v>
      </c>
      <c r="P74" s="20" t="n">
        <v>0</v>
      </c>
      <c r="Q74" s="18" t="n">
        <v>13.51815995</v>
      </c>
      <c r="R74" s="20" t="n">
        <v>1.58802765</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52.6452446</v>
      </c>
      <c r="F78" s="20" t="n">
        <v>1.93102902</v>
      </c>
      <c r="G78" s="18" t="n">
        <v>47.3547554</v>
      </c>
      <c r="H78" s="20" t="n">
        <v>1.93102902</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(529.0/B79*100)</f>
        <v/>
      </c>
      <c r="D79" s="19" t="n">
        <v>258</v>
      </c>
      <c r="E79" s="18" t="n">
        <v>40.25880475</v>
      </c>
      <c r="F79" s="20" t="n">
        <v>2.8659216</v>
      </c>
      <c r="G79" s="18" t="n">
        <v>48.96345995</v>
      </c>
      <c r="H79" s="20" t="n">
        <v>3.14644368</v>
      </c>
      <c r="I79" s="18" t="s">
        <v>567</v>
      </c>
      <c r="J79" s="20" t="s">
        <v>567</v>
      </c>
      <c r="K79" s="18" t="n">
        <v>1.78980325</v>
      </c>
      <c r="L79" s="20" t="n">
        <v>0.8641986699999999</v>
      </c>
      <c r="M79" s="18" t="n">
        <v>0</v>
      </c>
      <c r="N79" s="20" t="n">
        <v>0</v>
      </c>
      <c r="O79" s="18" t="n">
        <v>0.78246864</v>
      </c>
      <c r="P79" s="20" t="n">
        <v>0.78429056</v>
      </c>
      <c r="Q79" s="18" t="n">
        <v>8.20546341</v>
      </c>
      <c r="R79" s="20" t="n">
        <v>1.41010913</v>
      </c>
    </row>
    <row r="80" spans="1:18">
      <c r="A80" s="15" t="s">
        <v>640</v>
      </c>
      <c r="B80" s="17" t="n">
        <v>3798</v>
      </c>
      <c r="C80" s="18">
        <f>(2538.0/B80*100)</f>
        <v/>
      </c>
      <c r="D80" s="19" t="n">
        <v>1260</v>
      </c>
      <c r="E80" s="18" t="n">
        <v>54.32458783</v>
      </c>
      <c r="F80" s="20" t="n">
        <v>2.17063851</v>
      </c>
      <c r="G80" s="18" t="n">
        <v>45.27288736</v>
      </c>
      <c r="H80" s="20" t="n">
        <v>2.16213356</v>
      </c>
      <c r="I80" s="18" t="s">
        <v>567</v>
      </c>
      <c r="J80" s="20" t="s">
        <v>567</v>
      </c>
      <c r="K80" s="18" t="n">
        <v>0</v>
      </c>
      <c r="L80" s="20" t="n">
        <v>0</v>
      </c>
      <c r="M80" s="18" t="n">
        <v>0</v>
      </c>
      <c r="N80" s="20" t="n">
        <v>0</v>
      </c>
      <c r="O80" s="18" t="n">
        <v>0</v>
      </c>
      <c r="P80" s="20" t="n">
        <v>0</v>
      </c>
      <c r="Q80" s="18" t="n">
        <v>0.4025248</v>
      </c>
      <c r="R80" s="20" t="n">
        <v>0.13909452</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(1673.0/B44*100)</f>
        <v/>
      </c>
      <c r="D44" s="19" t="n">
        <v>851</v>
      </c>
      <c r="E44" s="18" t="n">
        <v>72.85090812999999</v>
      </c>
      <c r="F44" s="20" t="n">
        <v>1.83362476</v>
      </c>
      <c r="G44" s="18" t="n">
        <v>14.79123359</v>
      </c>
      <c r="H44" s="20" t="n">
        <v>1.64451105</v>
      </c>
      <c r="I44" s="18" t="s">
        <v>567</v>
      </c>
      <c r="J44" s="20" t="s">
        <v>567</v>
      </c>
      <c r="K44" s="18" t="n">
        <v>1.42511315</v>
      </c>
      <c r="L44" s="20" t="n">
        <v>0.45101633</v>
      </c>
      <c r="M44" s="18" t="n">
        <v>0</v>
      </c>
      <c r="N44" s="20" t="n">
        <v>0</v>
      </c>
      <c r="O44" s="18" t="n">
        <v>0</v>
      </c>
      <c r="P44" s="20" t="n">
        <v>0</v>
      </c>
      <c r="Q44" s="18" t="n">
        <v>10.93274513</v>
      </c>
      <c r="R44" s="20" t="n">
        <v>1.29368394</v>
      </c>
    </row>
    <row r="45" spans="1:18">
      <c r="A45" s="15" t="s">
        <v>605</v>
      </c>
      <c r="B45" s="17" t="n">
        <v>2849</v>
      </c>
      <c r="C45" s="18">
        <f>(1903.0/B45*100)</f>
        <v/>
      </c>
      <c r="D45" s="19" t="n">
        <v>946</v>
      </c>
      <c r="E45" s="18" t="n">
        <v>78.25867099</v>
      </c>
      <c r="F45" s="20" t="n">
        <v>1.45837911</v>
      </c>
      <c r="G45" s="18" t="n">
        <v>14.02234461</v>
      </c>
      <c r="H45" s="20" t="n">
        <v>1.25527859</v>
      </c>
      <c r="I45" s="18" t="s">
        <v>567</v>
      </c>
      <c r="J45" s="20" t="s">
        <v>567</v>
      </c>
      <c r="K45" s="18" t="n">
        <v>3.77150428</v>
      </c>
      <c r="L45" s="20" t="n">
        <v>0.72802871</v>
      </c>
      <c r="M45" s="18" t="n">
        <v>0.08524213999999999</v>
      </c>
      <c r="N45" s="20" t="n">
        <v>0.08661068</v>
      </c>
      <c r="O45" s="18" t="n">
        <v>0.13021893</v>
      </c>
      <c r="P45" s="20" t="n">
        <v>0.11167865</v>
      </c>
      <c r="Q45" s="18" t="n">
        <v>3.73201905</v>
      </c>
      <c r="R45" s="20" t="n">
        <v>0.65393649</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(2060.0/B49*100)</f>
        <v/>
      </c>
      <c r="D49" s="19" t="n">
        <v>958</v>
      </c>
      <c r="E49" s="18" t="n">
        <v>77.71643951999999</v>
      </c>
      <c r="F49" s="20" t="n">
        <v>1.30724908</v>
      </c>
      <c r="G49" s="18" t="n">
        <v>15.04692368</v>
      </c>
      <c r="H49" s="20" t="n">
        <v>1.17355194</v>
      </c>
      <c r="I49" s="18" t="s">
        <v>567</v>
      </c>
      <c r="J49" s="20" t="s">
        <v>567</v>
      </c>
      <c r="K49" s="18" t="n">
        <v>1.5038216</v>
      </c>
      <c r="L49" s="20" t="n">
        <v>0.42182659</v>
      </c>
      <c r="M49" s="18" t="n">
        <v>0</v>
      </c>
      <c r="N49" s="20" t="n">
        <v>0</v>
      </c>
      <c r="O49" s="18" t="n">
        <v>0</v>
      </c>
      <c r="P49" s="20" t="n">
        <v>0</v>
      </c>
      <c r="Q49" s="18" t="n">
        <v>5.73281521</v>
      </c>
      <c r="R49" s="20" t="n">
        <v>0.77203477</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(1846.0/B55*100)</f>
        <v/>
      </c>
      <c r="D55" s="19" t="n">
        <v>913</v>
      </c>
      <c r="E55" s="18" t="n">
        <v>84.38613641000001</v>
      </c>
      <c r="F55" s="20" t="n">
        <v>1.41449152</v>
      </c>
      <c r="G55" s="18" t="n">
        <v>7.58321409</v>
      </c>
      <c r="H55" s="20" t="n">
        <v>0.99970187</v>
      </c>
      <c r="I55" s="18" t="s">
        <v>567</v>
      </c>
      <c r="J55" s="20" t="s">
        <v>567</v>
      </c>
      <c r="K55" s="18" t="n">
        <v>0.50263048</v>
      </c>
      <c r="L55" s="20" t="n">
        <v>0.22236494</v>
      </c>
      <c r="M55" s="18" t="n">
        <v>0</v>
      </c>
      <c r="N55" s="20" t="n">
        <v>0</v>
      </c>
      <c r="O55" s="18" t="n">
        <v>0.12601149</v>
      </c>
      <c r="P55" s="20" t="n">
        <v>0.13321076</v>
      </c>
      <c r="Q55" s="18" t="n">
        <v>7.40200753</v>
      </c>
      <c r="R55" s="20" t="n">
        <v>0.86538222</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(2113.0/B57*100)</f>
        <v/>
      </c>
      <c r="D57" s="19" t="n">
        <v>1057</v>
      </c>
      <c r="E57" s="18" t="n">
        <v>89.07781461</v>
      </c>
      <c r="F57" s="20" t="n">
        <v>1.11613725</v>
      </c>
      <c r="G57" s="18" t="n">
        <v>8.710421480000001</v>
      </c>
      <c r="H57" s="20" t="n">
        <v>0.95067976</v>
      </c>
      <c r="I57" s="18" t="s">
        <v>567</v>
      </c>
      <c r="J57" s="20" t="s">
        <v>567</v>
      </c>
      <c r="K57" s="18" t="n">
        <v>0.71335983</v>
      </c>
      <c r="L57" s="20" t="n">
        <v>0.40920247</v>
      </c>
      <c r="M57" s="18" t="n">
        <v>0</v>
      </c>
      <c r="N57" s="20" t="n">
        <v>0</v>
      </c>
      <c r="O57" s="18" t="n">
        <v>0</v>
      </c>
      <c r="P57" s="20" t="n">
        <v>0</v>
      </c>
      <c r="Q57" s="18" t="n">
        <v>1.49840409</v>
      </c>
      <c r="R57" s="20" t="n">
        <v>0.43198723</v>
      </c>
    </row>
    <row r="58" spans="1:18">
      <c r="A58" s="15" t="s">
        <v>618</v>
      </c>
      <c r="B58" s="17" t="n">
        <v>3530</v>
      </c>
      <c r="C58" s="18">
        <f>(2348.0/B58*100)</f>
        <v/>
      </c>
      <c r="D58" s="19" t="n">
        <v>1182</v>
      </c>
      <c r="E58" s="18" t="n">
        <v>85.94134003000001</v>
      </c>
      <c r="F58" s="20" t="n">
        <v>1.31951623</v>
      </c>
      <c r="G58" s="18" t="n">
        <v>7.33818759</v>
      </c>
      <c r="H58" s="20" t="n">
        <v>1.11447768</v>
      </c>
      <c r="I58" s="18" t="s">
        <v>567</v>
      </c>
      <c r="J58" s="20" t="s">
        <v>567</v>
      </c>
      <c r="K58" s="18" t="n">
        <v>1.73954382</v>
      </c>
      <c r="L58" s="20" t="n">
        <v>0.5134003700000001</v>
      </c>
      <c r="M58" s="18" t="n">
        <v>0</v>
      </c>
      <c r="N58" s="20" t="n">
        <v>0</v>
      </c>
      <c r="O58" s="18" t="n">
        <v>0.1451993</v>
      </c>
      <c r="P58" s="20" t="n">
        <v>0.14348807</v>
      </c>
      <c r="Q58" s="18" t="n">
        <v>4.83572925</v>
      </c>
      <c r="R58" s="20" t="n">
        <v>0.7792745</v>
      </c>
    </row>
    <row r="59" spans="1:18">
      <c r="A59" s="15" t="s">
        <v>619</v>
      </c>
      <c r="B59" s="17" t="n">
        <v>2548</v>
      </c>
      <c r="C59" s="18">
        <f>(1717.0/B59*100)</f>
        <v/>
      </c>
      <c r="D59" s="19" t="n">
        <v>831</v>
      </c>
      <c r="E59" s="18" t="n">
        <v>89.19942892</v>
      </c>
      <c r="F59" s="20" t="n">
        <v>1.25933198</v>
      </c>
      <c r="G59" s="18" t="n">
        <v>7.00241459</v>
      </c>
      <c r="H59" s="20" t="n">
        <v>1.02460722</v>
      </c>
      <c r="I59" s="18" t="s">
        <v>567</v>
      </c>
      <c r="J59" s="20" t="s">
        <v>567</v>
      </c>
      <c r="K59" s="18" t="n">
        <v>0.33522061</v>
      </c>
      <c r="L59" s="20" t="n">
        <v>0.20163091</v>
      </c>
      <c r="M59" s="18" t="n">
        <v>0</v>
      </c>
      <c r="N59" s="20" t="n">
        <v>0</v>
      </c>
      <c r="O59" s="18" t="n">
        <v>0.08437119</v>
      </c>
      <c r="P59" s="20" t="n">
        <v>0.08498496</v>
      </c>
      <c r="Q59" s="18" t="n">
        <v>3.3785647</v>
      </c>
      <c r="R59" s="20" t="n">
        <v>0.6630656700000001</v>
      </c>
    </row>
    <row r="60" spans="1:18">
      <c r="A60" s="15" t="s">
        <v>620</v>
      </c>
      <c r="B60" s="17" t="n">
        <v>2095</v>
      </c>
      <c r="C60" s="18">
        <f>(1419.0/B60*100)</f>
        <v/>
      </c>
      <c r="D60" s="19" t="n">
        <v>676</v>
      </c>
      <c r="E60" s="18" t="n">
        <v>68.82828499</v>
      </c>
      <c r="F60" s="20" t="n">
        <v>2.13890831</v>
      </c>
      <c r="G60" s="18" t="n">
        <v>21.10354864</v>
      </c>
      <c r="H60" s="20" t="n">
        <v>1.9275601</v>
      </c>
      <c r="I60" s="18" t="s">
        <v>567</v>
      </c>
      <c r="J60" s="20" t="s">
        <v>567</v>
      </c>
      <c r="K60" s="18" t="n">
        <v>2.84973563</v>
      </c>
      <c r="L60" s="20" t="n">
        <v>0.71971375</v>
      </c>
      <c r="M60" s="18" t="n">
        <v>0</v>
      </c>
      <c r="N60" s="20" t="n">
        <v>0</v>
      </c>
      <c r="O60" s="18" t="n">
        <v>0</v>
      </c>
      <c r="P60" s="20" t="n">
        <v>0</v>
      </c>
      <c r="Q60" s="18" t="n">
        <v>7.21843075</v>
      </c>
      <c r="R60" s="20" t="n">
        <v>1.19819382</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(1883.0/B63*100)</f>
        <v/>
      </c>
      <c r="D63" s="19" t="n">
        <v>930</v>
      </c>
      <c r="E63" s="18" t="n">
        <v>77.74221583000001</v>
      </c>
      <c r="F63" s="20" t="n">
        <v>1.62922007</v>
      </c>
      <c r="G63" s="18" t="n">
        <v>10.37193743</v>
      </c>
      <c r="H63" s="20" t="n">
        <v>1.29207751</v>
      </c>
      <c r="I63" s="18" t="s">
        <v>567</v>
      </c>
      <c r="J63" s="20" t="s">
        <v>567</v>
      </c>
      <c r="K63" s="18" t="n">
        <v>2.31224152</v>
      </c>
      <c r="L63" s="20" t="n">
        <v>0.51868995</v>
      </c>
      <c r="M63" s="18" t="n">
        <v>0</v>
      </c>
      <c r="N63" s="20" t="n">
        <v>0</v>
      </c>
      <c r="O63" s="18" t="n">
        <v>0</v>
      </c>
      <c r="P63" s="20" t="n">
        <v>0</v>
      </c>
      <c r="Q63" s="18" t="n">
        <v>9.573605219999999</v>
      </c>
      <c r="R63" s="20" t="n">
        <v>1.02299547</v>
      </c>
    </row>
    <row r="64" spans="1:18">
      <c r="A64" s="15" t="s">
        <v>624</v>
      </c>
      <c r="B64" s="17" t="n">
        <v>1844</v>
      </c>
      <c r="C64" s="18">
        <f>(1232.0/B64*100)</f>
        <v/>
      </c>
      <c r="D64" s="19" t="n">
        <v>612</v>
      </c>
      <c r="E64" s="18" t="n">
        <v>68.21644089</v>
      </c>
      <c r="F64" s="20" t="n">
        <v>1.64991302</v>
      </c>
      <c r="G64" s="18" t="n">
        <v>25.71786031</v>
      </c>
      <c r="H64" s="20" t="n">
        <v>1.55188581</v>
      </c>
      <c r="I64" s="18" t="s">
        <v>567</v>
      </c>
      <c r="J64" s="20" t="s">
        <v>567</v>
      </c>
      <c r="K64" s="18" t="n">
        <v>1.43361609</v>
      </c>
      <c r="L64" s="20" t="n">
        <v>0.49374833</v>
      </c>
      <c r="M64" s="18" t="n">
        <v>0</v>
      </c>
      <c r="N64" s="20" t="n">
        <v>0</v>
      </c>
      <c r="O64" s="18" t="n">
        <v>0</v>
      </c>
      <c r="P64" s="20" t="n">
        <v>0</v>
      </c>
      <c r="Q64" s="18" t="n">
        <v>4.63208271</v>
      </c>
      <c r="R64" s="20" t="n">
        <v>0.91339823</v>
      </c>
    </row>
    <row r="65" spans="1:18">
      <c r="A65" s="15" t="s">
        <v>625</v>
      </c>
      <c r="B65" s="17" t="n">
        <v>2691</v>
      </c>
      <c r="C65" s="18">
        <f>(1789.0/B65*100)</f>
        <v/>
      </c>
      <c r="D65" s="19" t="n">
        <v>902</v>
      </c>
      <c r="E65" s="18" t="n">
        <v>81.43481696000001</v>
      </c>
      <c r="F65" s="20" t="n">
        <v>1.44100649</v>
      </c>
      <c r="G65" s="18" t="n">
        <v>8.999898870000001</v>
      </c>
      <c r="H65" s="20" t="n">
        <v>0.9496385899999999</v>
      </c>
      <c r="I65" s="18" t="s">
        <v>567</v>
      </c>
      <c r="J65" s="20" t="s">
        <v>567</v>
      </c>
      <c r="K65" s="18" t="n">
        <v>3.23453225</v>
      </c>
      <c r="L65" s="20" t="n">
        <v>0.58368824</v>
      </c>
      <c r="M65" s="18" t="n">
        <v>0</v>
      </c>
      <c r="N65" s="20" t="n">
        <v>0</v>
      </c>
      <c r="O65" s="18" t="n">
        <v>0</v>
      </c>
      <c r="P65" s="20" t="n">
        <v>0</v>
      </c>
      <c r="Q65" s="18" t="n">
        <v>6.33075191</v>
      </c>
      <c r="R65" s="20" t="n">
        <v>0.9615589</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(1603.0/B69*100)</f>
        <v/>
      </c>
      <c r="D69" s="19" t="n">
        <v>807</v>
      </c>
      <c r="E69" s="18" t="n">
        <v>91.30523126</v>
      </c>
      <c r="F69" s="20" t="n">
        <v>0.92585879</v>
      </c>
      <c r="G69" s="18" t="n">
        <v>7.96894576</v>
      </c>
      <c r="H69" s="20" t="n">
        <v>0.88671183</v>
      </c>
      <c r="I69" s="18" t="s">
        <v>567</v>
      </c>
      <c r="J69" s="20" t="s">
        <v>567</v>
      </c>
      <c r="K69" s="18" t="n">
        <v>0</v>
      </c>
      <c r="L69" s="20" t="n">
        <v>0</v>
      </c>
      <c r="M69" s="18" t="n">
        <v>0</v>
      </c>
      <c r="N69" s="20" t="n">
        <v>0</v>
      </c>
      <c r="O69" s="18" t="n">
        <v>0</v>
      </c>
      <c r="P69" s="20" t="n">
        <v>0</v>
      </c>
      <c r="Q69" s="18" t="n">
        <v>0.72582298</v>
      </c>
      <c r="R69" s="20" t="n">
        <v>0.34401402</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(1491.0/B74*100)</f>
        <v/>
      </c>
      <c r="D74" s="19" t="n">
        <v>748</v>
      </c>
      <c r="E74" s="18" t="n">
        <v>76.75258325</v>
      </c>
      <c r="F74" s="20" t="n">
        <v>1.61928412</v>
      </c>
      <c r="G74" s="18" t="n">
        <v>11.2830579</v>
      </c>
      <c r="H74" s="20" t="n">
        <v>1.30836857</v>
      </c>
      <c r="I74" s="18" t="s">
        <v>567</v>
      </c>
      <c r="J74" s="20" t="s">
        <v>567</v>
      </c>
      <c r="K74" s="18" t="n">
        <v>3.02467297</v>
      </c>
      <c r="L74" s="20" t="n">
        <v>0.82272121</v>
      </c>
      <c r="M74" s="18" t="n">
        <v>0</v>
      </c>
      <c r="N74" s="20" t="n">
        <v>0</v>
      </c>
      <c r="O74" s="18" t="n">
        <v>0</v>
      </c>
      <c r="P74" s="20" t="n">
        <v>0</v>
      </c>
      <c r="Q74" s="18" t="n">
        <v>8.93968589</v>
      </c>
      <c r="R74" s="20" t="n">
        <v>1.20635388</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45.62577132</v>
      </c>
      <c r="F78" s="20" t="n">
        <v>2.22747761</v>
      </c>
      <c r="G78" s="18" t="n">
        <v>54.37422868</v>
      </c>
      <c r="H78" s="20" t="n">
        <v>2.22747761</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(529.0/B79*100)</f>
        <v/>
      </c>
      <c r="D79" s="19" t="n">
        <v>258</v>
      </c>
      <c r="E79" s="18" t="n">
        <v>72.83714928000001</v>
      </c>
      <c r="F79" s="20" t="n">
        <v>2.97416761</v>
      </c>
      <c r="G79" s="18" t="n">
        <v>19.89445423</v>
      </c>
      <c r="H79" s="20" t="n">
        <v>2.87238574</v>
      </c>
      <c r="I79" s="18" t="s">
        <v>567</v>
      </c>
      <c r="J79" s="20" t="s">
        <v>567</v>
      </c>
      <c r="K79" s="18" t="n">
        <v>1.78980325</v>
      </c>
      <c r="L79" s="20" t="n">
        <v>0.8641986699999999</v>
      </c>
      <c r="M79" s="18" t="n">
        <v>0</v>
      </c>
      <c r="N79" s="20" t="n">
        <v>0</v>
      </c>
      <c r="O79" s="18" t="n">
        <v>0</v>
      </c>
      <c r="P79" s="20" t="n">
        <v>0</v>
      </c>
      <c r="Q79" s="18" t="n">
        <v>5.47859324</v>
      </c>
      <c r="R79" s="20" t="n">
        <v>1.42499903</v>
      </c>
    </row>
    <row r="80" spans="1:18">
      <c r="A80" s="15" t="s">
        <v>640</v>
      </c>
      <c r="B80" s="17" t="n">
        <v>3798</v>
      </c>
      <c r="C80" s="18">
        <f>(2538.0/B80*100)</f>
        <v/>
      </c>
      <c r="D80" s="19" t="n">
        <v>1260</v>
      </c>
      <c r="E80" s="18" t="n">
        <v>72.75885255</v>
      </c>
      <c r="F80" s="20" t="n">
        <v>1.91292932</v>
      </c>
      <c r="G80" s="18" t="n">
        <v>26.95387566</v>
      </c>
      <c r="H80" s="20" t="n">
        <v>1.90354849</v>
      </c>
      <c r="I80" s="18" t="s">
        <v>567</v>
      </c>
      <c r="J80" s="20" t="s">
        <v>567</v>
      </c>
      <c r="K80" s="18" t="n">
        <v>0</v>
      </c>
      <c r="L80" s="20" t="n">
        <v>0</v>
      </c>
      <c r="M80" s="18" t="n">
        <v>0</v>
      </c>
      <c r="N80" s="20" t="n">
        <v>0</v>
      </c>
      <c r="O80" s="18" t="n">
        <v>0</v>
      </c>
      <c r="P80" s="20" t="n">
        <v>0</v>
      </c>
      <c r="Q80" s="18" t="n">
        <v>0.28727179</v>
      </c>
      <c r="R80" s="20" t="n">
        <v>0.1664452</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(1673.0/B44*100)</f>
        <v/>
      </c>
      <c r="D44" s="19" t="n">
        <v>851</v>
      </c>
      <c r="E44" s="18" t="n">
        <v>11.70729834</v>
      </c>
      <c r="F44" s="20" t="n">
        <v>1.24060873</v>
      </c>
      <c r="G44" s="18" t="n">
        <v>84.34312067</v>
      </c>
      <c r="H44" s="20" t="n">
        <v>1.4689034</v>
      </c>
      <c r="I44" s="18" t="s">
        <v>567</v>
      </c>
      <c r="J44" s="20" t="s">
        <v>567</v>
      </c>
      <c r="K44" s="18" t="n">
        <v>1.5008448</v>
      </c>
      <c r="L44" s="20" t="n">
        <v>0.46884262</v>
      </c>
      <c r="M44" s="18" t="n">
        <v>0</v>
      </c>
      <c r="N44" s="20" t="n">
        <v>0</v>
      </c>
      <c r="O44" s="18" t="n">
        <v>0.23972066</v>
      </c>
      <c r="P44" s="20" t="n">
        <v>0.24329669</v>
      </c>
      <c r="Q44" s="18" t="n">
        <v>2.20901553</v>
      </c>
      <c r="R44" s="20" t="n">
        <v>0.57586324</v>
      </c>
    </row>
    <row r="45" spans="1:18">
      <c r="A45" s="15" t="s">
        <v>605</v>
      </c>
      <c r="B45" s="17" t="n">
        <v>2849</v>
      </c>
      <c r="C45" s="18">
        <f>(1903.0/B45*100)</f>
        <v/>
      </c>
      <c r="D45" s="19" t="n">
        <v>946</v>
      </c>
      <c r="E45" s="18" t="n">
        <v>31.74331953</v>
      </c>
      <c r="F45" s="20" t="n">
        <v>1.46814219</v>
      </c>
      <c r="G45" s="18" t="n">
        <v>58.81598908</v>
      </c>
      <c r="H45" s="20" t="n">
        <v>1.60341981</v>
      </c>
      <c r="I45" s="18" t="s">
        <v>567</v>
      </c>
      <c r="J45" s="20" t="s">
        <v>567</v>
      </c>
      <c r="K45" s="18" t="n">
        <v>3.77150428</v>
      </c>
      <c r="L45" s="20" t="n">
        <v>0.72802871</v>
      </c>
      <c r="M45" s="18" t="n">
        <v>0.25435736</v>
      </c>
      <c r="N45" s="20" t="n">
        <v>0.17560579</v>
      </c>
      <c r="O45" s="18" t="n">
        <v>2.35914045</v>
      </c>
      <c r="P45" s="20" t="n">
        <v>0.49129778</v>
      </c>
      <c r="Q45" s="18" t="n">
        <v>3.05568929</v>
      </c>
      <c r="R45" s="20" t="n">
        <v>0.6059085400000001</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(2060.0/B49*100)</f>
        <v/>
      </c>
      <c r="D49" s="19" t="n">
        <v>958</v>
      </c>
      <c r="E49" s="18" t="n">
        <v>13.38627433</v>
      </c>
      <c r="F49" s="20" t="n">
        <v>1.24808566</v>
      </c>
      <c r="G49" s="18" t="n">
        <v>83.78244011</v>
      </c>
      <c r="H49" s="20" t="n">
        <v>1.31279753</v>
      </c>
      <c r="I49" s="18" t="s">
        <v>567</v>
      </c>
      <c r="J49" s="20" t="s">
        <v>567</v>
      </c>
      <c r="K49" s="18" t="n">
        <v>1.62394624</v>
      </c>
      <c r="L49" s="20" t="n">
        <v>0.43908889</v>
      </c>
      <c r="M49" s="18" t="n">
        <v>0</v>
      </c>
      <c r="N49" s="20" t="n">
        <v>0</v>
      </c>
      <c r="O49" s="18" t="n">
        <v>0.37729194</v>
      </c>
      <c r="P49" s="20" t="n">
        <v>0.21576556</v>
      </c>
      <c r="Q49" s="18" t="n">
        <v>0.83004737</v>
      </c>
      <c r="R49" s="20" t="n">
        <v>0.33322032</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(1846.0/B55*100)</f>
        <v/>
      </c>
      <c r="D55" s="19" t="n">
        <v>913</v>
      </c>
      <c r="E55" s="18" t="n">
        <v>17.93746127</v>
      </c>
      <c r="F55" s="20" t="n">
        <v>1.35840942</v>
      </c>
      <c r="G55" s="18" t="n">
        <v>79.69853886999999</v>
      </c>
      <c r="H55" s="20" t="n">
        <v>1.40543281</v>
      </c>
      <c r="I55" s="18" t="s">
        <v>567</v>
      </c>
      <c r="J55" s="20" t="s">
        <v>567</v>
      </c>
      <c r="K55" s="18" t="n">
        <v>0.5931479</v>
      </c>
      <c r="L55" s="20" t="n">
        <v>0.24003735</v>
      </c>
      <c r="M55" s="18" t="n">
        <v>0.09043184999999999</v>
      </c>
      <c r="N55" s="20" t="n">
        <v>0.09375588999999999</v>
      </c>
      <c r="O55" s="18" t="n">
        <v>0.42409888</v>
      </c>
      <c r="P55" s="20" t="n">
        <v>0.23265153</v>
      </c>
      <c r="Q55" s="18" t="n">
        <v>1.25632123</v>
      </c>
      <c r="R55" s="20" t="n">
        <v>0.35339017</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(2113.0/B57*100)</f>
        <v/>
      </c>
      <c r="D57" s="19" t="n">
        <v>1057</v>
      </c>
      <c r="E57" s="18" t="n">
        <v>11.69344957</v>
      </c>
      <c r="F57" s="20" t="n">
        <v>1.2220228</v>
      </c>
      <c r="G57" s="18" t="n">
        <v>87.27858701</v>
      </c>
      <c r="H57" s="20" t="n">
        <v>1.22896478</v>
      </c>
      <c r="I57" s="18" t="s">
        <v>567</v>
      </c>
      <c r="J57" s="20" t="s">
        <v>567</v>
      </c>
      <c r="K57" s="18" t="n">
        <v>0.71335983</v>
      </c>
      <c r="L57" s="20" t="n">
        <v>0.40920247</v>
      </c>
      <c r="M57" s="18" t="n">
        <v>0</v>
      </c>
      <c r="N57" s="20" t="n">
        <v>0</v>
      </c>
      <c r="O57" s="18" t="n">
        <v>0</v>
      </c>
      <c r="P57" s="20" t="n">
        <v>0</v>
      </c>
      <c r="Q57" s="18" t="n">
        <v>0.31460359</v>
      </c>
      <c r="R57" s="20" t="n">
        <v>0.16522798</v>
      </c>
    </row>
    <row r="58" spans="1:18">
      <c r="A58" s="15" t="s">
        <v>618</v>
      </c>
      <c r="B58" s="17" t="n">
        <v>3530</v>
      </c>
      <c r="C58" s="18">
        <f>(2348.0/B58*100)</f>
        <v/>
      </c>
      <c r="D58" s="19" t="n">
        <v>1182</v>
      </c>
      <c r="E58" s="18" t="n">
        <v>16.76278402</v>
      </c>
      <c r="F58" s="20" t="n">
        <v>1.34870113</v>
      </c>
      <c r="G58" s="18" t="n">
        <v>77.94745285</v>
      </c>
      <c r="H58" s="20" t="n">
        <v>1.56567672</v>
      </c>
      <c r="I58" s="18" t="s">
        <v>567</v>
      </c>
      <c r="J58" s="20" t="s">
        <v>567</v>
      </c>
      <c r="K58" s="18" t="n">
        <v>1.73954382</v>
      </c>
      <c r="L58" s="20" t="n">
        <v>0.5134003700000001</v>
      </c>
      <c r="M58" s="18" t="n">
        <v>0</v>
      </c>
      <c r="N58" s="20" t="n">
        <v>0</v>
      </c>
      <c r="O58" s="18" t="n">
        <v>0.70180142</v>
      </c>
      <c r="P58" s="20" t="n">
        <v>0.28161608</v>
      </c>
      <c r="Q58" s="18" t="n">
        <v>2.8484179</v>
      </c>
      <c r="R58" s="20" t="n">
        <v>0.60810812</v>
      </c>
    </row>
    <row r="59" spans="1:18">
      <c r="A59" s="15" t="s">
        <v>619</v>
      </c>
      <c r="B59" s="17" t="n">
        <v>2548</v>
      </c>
      <c r="C59" s="18">
        <f>(1717.0/B59*100)</f>
        <v/>
      </c>
      <c r="D59" s="19" t="n">
        <v>831</v>
      </c>
      <c r="E59" s="18" t="n">
        <v>24.46285355</v>
      </c>
      <c r="F59" s="20" t="n">
        <v>1.76551792</v>
      </c>
      <c r="G59" s="18" t="n">
        <v>74.36955829999999</v>
      </c>
      <c r="H59" s="20" t="n">
        <v>1.75040607</v>
      </c>
      <c r="I59" s="18" t="s">
        <v>567</v>
      </c>
      <c r="J59" s="20" t="s">
        <v>567</v>
      </c>
      <c r="K59" s="18" t="n">
        <v>0.39000526</v>
      </c>
      <c r="L59" s="20" t="n">
        <v>0.20834867</v>
      </c>
      <c r="M59" s="18" t="n">
        <v>0.08007243999999999</v>
      </c>
      <c r="N59" s="20" t="n">
        <v>0.08169108999999999</v>
      </c>
      <c r="O59" s="18" t="n">
        <v>0.43672691</v>
      </c>
      <c r="P59" s="20" t="n">
        <v>0.21479084</v>
      </c>
      <c r="Q59" s="18" t="n">
        <v>0.26078354</v>
      </c>
      <c r="R59" s="20" t="n">
        <v>0.25836113</v>
      </c>
    </row>
    <row r="60" spans="1:18">
      <c r="A60" s="15" t="s">
        <v>620</v>
      </c>
      <c r="B60" s="17" t="n">
        <v>2095</v>
      </c>
      <c r="C60" s="18">
        <f>(1419.0/B60*100)</f>
        <v/>
      </c>
      <c r="D60" s="19" t="n">
        <v>676</v>
      </c>
      <c r="E60" s="18" t="n">
        <v>31.35390312</v>
      </c>
      <c r="F60" s="20" t="n">
        <v>2.25534397</v>
      </c>
      <c r="G60" s="18" t="n">
        <v>59.95575243</v>
      </c>
      <c r="H60" s="20" t="n">
        <v>2.21481559</v>
      </c>
      <c r="I60" s="18" t="s">
        <v>567</v>
      </c>
      <c r="J60" s="20" t="s">
        <v>567</v>
      </c>
      <c r="K60" s="18" t="n">
        <v>3.25412065</v>
      </c>
      <c r="L60" s="20" t="n">
        <v>0.7052543100000001</v>
      </c>
      <c r="M60" s="18" t="n">
        <v>0</v>
      </c>
      <c r="N60" s="20" t="n">
        <v>0</v>
      </c>
      <c r="O60" s="18" t="n">
        <v>2.03920779</v>
      </c>
      <c r="P60" s="20" t="n">
        <v>0.6566413</v>
      </c>
      <c r="Q60" s="18" t="n">
        <v>3.397016</v>
      </c>
      <c r="R60" s="20" t="n">
        <v>0.80112505</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(1883.0/B63*100)</f>
        <v/>
      </c>
      <c r="D63" s="19" t="n">
        <v>930</v>
      </c>
      <c r="E63" s="18" t="n">
        <v>23.86907662</v>
      </c>
      <c r="F63" s="20" t="n">
        <v>1.55153086</v>
      </c>
      <c r="G63" s="18" t="n">
        <v>71.09105087</v>
      </c>
      <c r="H63" s="20" t="n">
        <v>1.57185817</v>
      </c>
      <c r="I63" s="18" t="s">
        <v>567</v>
      </c>
      <c r="J63" s="20" t="s">
        <v>567</v>
      </c>
      <c r="K63" s="18" t="n">
        <v>2.31224152</v>
      </c>
      <c r="L63" s="20" t="n">
        <v>0.51868995</v>
      </c>
      <c r="M63" s="18" t="n">
        <v>0</v>
      </c>
      <c r="N63" s="20" t="n">
        <v>0</v>
      </c>
      <c r="O63" s="18" t="n">
        <v>0.59986899</v>
      </c>
      <c r="P63" s="20" t="n">
        <v>0.30000132</v>
      </c>
      <c r="Q63" s="18" t="n">
        <v>2.12776199</v>
      </c>
      <c r="R63" s="20" t="n">
        <v>0.52216258</v>
      </c>
    </row>
    <row r="64" spans="1:18">
      <c r="A64" s="15" t="s">
        <v>624</v>
      </c>
      <c r="B64" s="17" t="n">
        <v>1844</v>
      </c>
      <c r="C64" s="18">
        <f>(1232.0/B64*100)</f>
        <v/>
      </c>
      <c r="D64" s="19" t="n">
        <v>612</v>
      </c>
      <c r="E64" s="18" t="n">
        <v>13.53762283</v>
      </c>
      <c r="F64" s="20" t="n">
        <v>1.29053025</v>
      </c>
      <c r="G64" s="18" t="n">
        <v>83.14881739</v>
      </c>
      <c r="H64" s="20" t="n">
        <v>1.4763895</v>
      </c>
      <c r="I64" s="18" t="s">
        <v>567</v>
      </c>
      <c r="J64" s="20" t="s">
        <v>567</v>
      </c>
      <c r="K64" s="18" t="n">
        <v>1.43361609</v>
      </c>
      <c r="L64" s="20" t="n">
        <v>0.49374833</v>
      </c>
      <c r="M64" s="18" t="n">
        <v>0</v>
      </c>
      <c r="N64" s="20" t="n">
        <v>0</v>
      </c>
      <c r="O64" s="18" t="n">
        <v>0.36060913</v>
      </c>
      <c r="P64" s="20" t="n">
        <v>0.25068009</v>
      </c>
      <c r="Q64" s="18" t="n">
        <v>1.51933456</v>
      </c>
      <c r="R64" s="20" t="n">
        <v>0.50457112</v>
      </c>
    </row>
    <row r="65" spans="1:18">
      <c r="A65" s="15" t="s">
        <v>625</v>
      </c>
      <c r="B65" s="17" t="n">
        <v>2691</v>
      </c>
      <c r="C65" s="18">
        <f>(1789.0/B65*100)</f>
        <v/>
      </c>
      <c r="D65" s="19" t="n">
        <v>902</v>
      </c>
      <c r="E65" s="18" t="n">
        <v>14.43428218</v>
      </c>
      <c r="F65" s="20" t="n">
        <v>1.10935962</v>
      </c>
      <c r="G65" s="18" t="n">
        <v>79.87524424999999</v>
      </c>
      <c r="H65" s="20" t="n">
        <v>1.29987839</v>
      </c>
      <c r="I65" s="18" t="s">
        <v>567</v>
      </c>
      <c r="J65" s="20" t="s">
        <v>567</v>
      </c>
      <c r="K65" s="18" t="n">
        <v>3.3564478</v>
      </c>
      <c r="L65" s="20" t="n">
        <v>0.57000348</v>
      </c>
      <c r="M65" s="18" t="n">
        <v>1.02838317</v>
      </c>
      <c r="N65" s="20" t="n">
        <v>0.36668683</v>
      </c>
      <c r="O65" s="18" t="n">
        <v>0.10946644</v>
      </c>
      <c r="P65" s="20" t="n">
        <v>0.11004863</v>
      </c>
      <c r="Q65" s="18" t="n">
        <v>1.19617616</v>
      </c>
      <c r="R65" s="20" t="n">
        <v>0.38977679</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(1603.0/B69*100)</f>
        <v/>
      </c>
      <c r="D69" s="19" t="n">
        <v>807</v>
      </c>
      <c r="E69" s="18" t="n">
        <v>19.73717552</v>
      </c>
      <c r="F69" s="20" t="n">
        <v>1.60441814</v>
      </c>
      <c r="G69" s="18" t="n">
        <v>80.26282448000001</v>
      </c>
      <c r="H69" s="20" t="n">
        <v>1.60441814</v>
      </c>
      <c r="I69" s="18" t="s">
        <v>567</v>
      </c>
      <c r="J69" s="20" t="s">
        <v>567</v>
      </c>
      <c r="K69" s="18" t="n">
        <v>0</v>
      </c>
      <c r="L69" s="20" t="n">
        <v>0</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(1491.0/B74*100)</f>
        <v/>
      </c>
      <c r="D74" s="19" t="n">
        <v>748</v>
      </c>
      <c r="E74" s="18" t="n">
        <v>8.42080429</v>
      </c>
      <c r="F74" s="20" t="n">
        <v>1.09300902</v>
      </c>
      <c r="G74" s="18" t="n">
        <v>84.86712060000001</v>
      </c>
      <c r="H74" s="20" t="n">
        <v>1.4206204</v>
      </c>
      <c r="I74" s="18" t="s">
        <v>567</v>
      </c>
      <c r="J74" s="20" t="s">
        <v>567</v>
      </c>
      <c r="K74" s="18" t="n">
        <v>3.18977193</v>
      </c>
      <c r="L74" s="20" t="n">
        <v>0.84029058</v>
      </c>
      <c r="M74" s="18" t="n">
        <v>0</v>
      </c>
      <c r="N74" s="20" t="n">
        <v>0</v>
      </c>
      <c r="O74" s="18" t="n">
        <v>0</v>
      </c>
      <c r="P74" s="20" t="n">
        <v>0</v>
      </c>
      <c r="Q74" s="18" t="n">
        <v>3.52230318</v>
      </c>
      <c r="R74" s="20" t="n">
        <v>0.8220931299999999</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1.30203311</v>
      </c>
      <c r="F78" s="20" t="n">
        <v>0.54634909</v>
      </c>
      <c r="G78" s="18" t="n">
        <v>98.69796689</v>
      </c>
      <c r="H78" s="20" t="n">
        <v>0.54634909</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(529.0/B79*100)</f>
        <v/>
      </c>
      <c r="D79" s="19" t="n">
        <v>258</v>
      </c>
      <c r="E79" s="18" t="n">
        <v>10.8042673</v>
      </c>
      <c r="F79" s="20" t="n">
        <v>2.05678903</v>
      </c>
      <c r="G79" s="18" t="n">
        <v>85.75931248000001</v>
      </c>
      <c r="H79" s="20" t="n">
        <v>2.52943502</v>
      </c>
      <c r="I79" s="18" t="s">
        <v>567</v>
      </c>
      <c r="J79" s="20" t="s">
        <v>567</v>
      </c>
      <c r="K79" s="18" t="n">
        <v>1.96294669</v>
      </c>
      <c r="L79" s="20" t="n">
        <v>0.86506935</v>
      </c>
      <c r="M79" s="18" t="n">
        <v>0</v>
      </c>
      <c r="N79" s="20" t="n">
        <v>0</v>
      </c>
      <c r="O79" s="18" t="n">
        <v>0</v>
      </c>
      <c r="P79" s="20" t="n">
        <v>0</v>
      </c>
      <c r="Q79" s="18" t="n">
        <v>1.47347354</v>
      </c>
      <c r="R79" s="20" t="n">
        <v>0.71795955</v>
      </c>
    </row>
    <row r="80" spans="1:18">
      <c r="A80" s="15" t="s">
        <v>640</v>
      </c>
      <c r="B80" s="17" t="n">
        <v>3798</v>
      </c>
      <c r="C80" s="18">
        <f>(2538.0/B80*100)</f>
        <v/>
      </c>
      <c r="D80" s="19" t="n">
        <v>1260</v>
      </c>
      <c r="E80" s="18" t="n">
        <v>12.23168953</v>
      </c>
      <c r="F80" s="20" t="n">
        <v>1.34917648</v>
      </c>
      <c r="G80" s="18" t="n">
        <v>87.43065722999999</v>
      </c>
      <c r="H80" s="20" t="n">
        <v>1.36094193</v>
      </c>
      <c r="I80" s="18" t="s">
        <v>567</v>
      </c>
      <c r="J80" s="20" t="s">
        <v>567</v>
      </c>
      <c r="K80" s="18" t="n">
        <v>0</v>
      </c>
      <c r="L80" s="20" t="n">
        <v>0</v>
      </c>
      <c r="M80" s="18" t="n">
        <v>0</v>
      </c>
      <c r="N80" s="20" t="n">
        <v>0</v>
      </c>
      <c r="O80" s="18" t="n">
        <v>0</v>
      </c>
      <c r="P80" s="20" t="n">
        <v>0</v>
      </c>
      <c r="Q80" s="18" t="n">
        <v>0.33765324</v>
      </c>
      <c r="R80" s="20" t="n">
        <v>0.14867566</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(1673.0/B44*100)</f>
        <v/>
      </c>
      <c r="D44" s="19" t="n">
        <v>851</v>
      </c>
      <c r="E44" s="18" t="n">
        <v>61.63588259</v>
      </c>
      <c r="F44" s="20" t="n">
        <v>2.01689957</v>
      </c>
      <c r="G44" s="18" t="n">
        <v>31.13932275</v>
      </c>
      <c r="H44" s="20" t="n">
        <v>2.03263824</v>
      </c>
      <c r="I44" s="18" t="s">
        <v>567</v>
      </c>
      <c r="J44" s="20" t="s">
        <v>567</v>
      </c>
      <c r="K44" s="18" t="n">
        <v>1.9155593</v>
      </c>
      <c r="L44" s="20" t="n">
        <v>0.52093016</v>
      </c>
      <c r="M44" s="18" t="n">
        <v>0</v>
      </c>
      <c r="N44" s="20" t="n">
        <v>0</v>
      </c>
      <c r="O44" s="18" t="n">
        <v>2.33725375</v>
      </c>
      <c r="P44" s="20" t="n">
        <v>0.55883151</v>
      </c>
      <c r="Q44" s="18" t="n">
        <v>2.97198161</v>
      </c>
      <c r="R44" s="20" t="n">
        <v>0.5907926100000001</v>
      </c>
    </row>
    <row r="45" spans="1:18">
      <c r="A45" s="15" t="s">
        <v>605</v>
      </c>
      <c r="B45" s="17" t="n">
        <v>2849</v>
      </c>
      <c r="C45" s="18">
        <f>(1903.0/B45*100)</f>
        <v/>
      </c>
      <c r="D45" s="19" t="n">
        <v>946</v>
      </c>
      <c r="E45" s="18" t="n">
        <v>70.80686349</v>
      </c>
      <c r="F45" s="20" t="n">
        <v>1.66681492</v>
      </c>
      <c r="G45" s="18" t="n">
        <v>17.27104085</v>
      </c>
      <c r="H45" s="20" t="n">
        <v>1.29279219</v>
      </c>
      <c r="I45" s="18" t="s">
        <v>567</v>
      </c>
      <c r="J45" s="20" t="s">
        <v>567</v>
      </c>
      <c r="K45" s="18" t="n">
        <v>4.01110839</v>
      </c>
      <c r="L45" s="20" t="n">
        <v>0.73560837</v>
      </c>
      <c r="M45" s="18" t="n">
        <v>0.28737941</v>
      </c>
      <c r="N45" s="20" t="n">
        <v>0.17827025</v>
      </c>
      <c r="O45" s="18" t="n">
        <v>5.32128813</v>
      </c>
      <c r="P45" s="20" t="n">
        <v>0.81527924</v>
      </c>
      <c r="Q45" s="18" t="n">
        <v>2.30231973</v>
      </c>
      <c r="R45" s="20" t="n">
        <v>0.42996778</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(2060.0/B49*100)</f>
        <v/>
      </c>
      <c r="D49" s="19" t="n">
        <v>958</v>
      </c>
      <c r="E49" s="18" t="n">
        <v>54.64007308</v>
      </c>
      <c r="F49" s="20" t="n">
        <v>1.98834718</v>
      </c>
      <c r="G49" s="18" t="n">
        <v>41.04252314</v>
      </c>
      <c r="H49" s="20" t="n">
        <v>1.91694909</v>
      </c>
      <c r="I49" s="18" t="s">
        <v>567</v>
      </c>
      <c r="J49" s="20" t="s">
        <v>567</v>
      </c>
      <c r="K49" s="18" t="n">
        <v>1.79881154</v>
      </c>
      <c r="L49" s="20" t="n">
        <v>0.47643913</v>
      </c>
      <c r="M49" s="18" t="n">
        <v>1.04655596</v>
      </c>
      <c r="N49" s="20" t="n">
        <v>0.38629331</v>
      </c>
      <c r="O49" s="18" t="n">
        <v>1.09717497</v>
      </c>
      <c r="P49" s="20" t="n">
        <v>0.39329529</v>
      </c>
      <c r="Q49" s="18" t="n">
        <v>0.37486131</v>
      </c>
      <c r="R49" s="20" t="n">
        <v>0.18744742</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(1846.0/B55*100)</f>
        <v/>
      </c>
      <c r="D55" s="19" t="n">
        <v>913</v>
      </c>
      <c r="E55" s="18" t="n">
        <v>75.95308733</v>
      </c>
      <c r="F55" s="20" t="n">
        <v>1.53563779</v>
      </c>
      <c r="G55" s="18" t="n">
        <v>21.12869801</v>
      </c>
      <c r="H55" s="20" t="n">
        <v>1.51228222</v>
      </c>
      <c r="I55" s="18" t="s">
        <v>567</v>
      </c>
      <c r="J55" s="20" t="s">
        <v>567</v>
      </c>
      <c r="K55" s="18" t="n">
        <v>0.5931479</v>
      </c>
      <c r="L55" s="20" t="n">
        <v>0.24003735</v>
      </c>
      <c r="M55" s="18" t="n">
        <v>0</v>
      </c>
      <c r="N55" s="20" t="n">
        <v>0</v>
      </c>
      <c r="O55" s="18" t="n">
        <v>1.39562396</v>
      </c>
      <c r="P55" s="20" t="n">
        <v>0.36971056</v>
      </c>
      <c r="Q55" s="18" t="n">
        <v>0.9294428</v>
      </c>
      <c r="R55" s="20" t="n">
        <v>0.33770598</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(2113.0/B57*100)</f>
        <v/>
      </c>
      <c r="D57" s="19" t="n">
        <v>1057</v>
      </c>
      <c r="E57" s="18" t="n">
        <v>64.94990471</v>
      </c>
      <c r="F57" s="20" t="n">
        <v>1.58747294</v>
      </c>
      <c r="G57" s="18" t="n">
        <v>33.32828618</v>
      </c>
      <c r="H57" s="20" t="n">
        <v>1.56302146</v>
      </c>
      <c r="I57" s="18" t="s">
        <v>567</v>
      </c>
      <c r="J57" s="20" t="s">
        <v>567</v>
      </c>
      <c r="K57" s="18" t="n">
        <v>0.71335983</v>
      </c>
      <c r="L57" s="20" t="n">
        <v>0.40920247</v>
      </c>
      <c r="M57" s="18" t="n">
        <v>0.08157965</v>
      </c>
      <c r="N57" s="20" t="n">
        <v>0.08498679000000001</v>
      </c>
      <c r="O57" s="18" t="n">
        <v>0</v>
      </c>
      <c r="P57" s="20" t="n">
        <v>0</v>
      </c>
      <c r="Q57" s="18" t="n">
        <v>0.92686963</v>
      </c>
      <c r="R57" s="20" t="n">
        <v>0.31505393</v>
      </c>
    </row>
    <row r="58" spans="1:18">
      <c r="A58" s="15" t="s">
        <v>618</v>
      </c>
      <c r="B58" s="17" t="n">
        <v>3530</v>
      </c>
      <c r="C58" s="18">
        <f>(2348.0/B58*100)</f>
        <v/>
      </c>
      <c r="D58" s="19" t="n">
        <v>1182</v>
      </c>
      <c r="E58" s="18" t="n">
        <v>74.76376714</v>
      </c>
      <c r="F58" s="20" t="n">
        <v>1.73102804</v>
      </c>
      <c r="G58" s="18" t="n">
        <v>19.95275809</v>
      </c>
      <c r="H58" s="20" t="n">
        <v>1.42072243</v>
      </c>
      <c r="I58" s="18" t="s">
        <v>567</v>
      </c>
      <c r="J58" s="20" t="s">
        <v>567</v>
      </c>
      <c r="K58" s="18" t="n">
        <v>2.07699249</v>
      </c>
      <c r="L58" s="20" t="n">
        <v>0.55478562</v>
      </c>
      <c r="M58" s="18" t="n">
        <v>0</v>
      </c>
      <c r="N58" s="20" t="n">
        <v>0</v>
      </c>
      <c r="O58" s="18" t="n">
        <v>1.16134787</v>
      </c>
      <c r="P58" s="20" t="n">
        <v>0.28807064</v>
      </c>
      <c r="Q58" s="18" t="n">
        <v>2.04513441</v>
      </c>
      <c r="R58" s="20" t="n">
        <v>0.60146259</v>
      </c>
    </row>
    <row r="59" spans="1:18">
      <c r="A59" s="15" t="s">
        <v>619</v>
      </c>
      <c r="B59" s="17" t="n">
        <v>2548</v>
      </c>
      <c r="C59" s="18">
        <f>(1717.0/B59*100)</f>
        <v/>
      </c>
      <c r="D59" s="19" t="n">
        <v>831</v>
      </c>
      <c r="E59" s="18" t="n">
        <v>71.24547627</v>
      </c>
      <c r="F59" s="20" t="n">
        <v>1.90155092</v>
      </c>
      <c r="G59" s="18" t="n">
        <v>23.94899269</v>
      </c>
      <c r="H59" s="20" t="n">
        <v>1.67862031</v>
      </c>
      <c r="I59" s="18" t="s">
        <v>567</v>
      </c>
      <c r="J59" s="20" t="s">
        <v>567</v>
      </c>
      <c r="K59" s="18" t="n">
        <v>0.39000526</v>
      </c>
      <c r="L59" s="20" t="n">
        <v>0.20834867</v>
      </c>
      <c r="M59" s="18" t="n">
        <v>1.0312398</v>
      </c>
      <c r="N59" s="20" t="n">
        <v>0.51539174</v>
      </c>
      <c r="O59" s="18" t="n">
        <v>2.90988484</v>
      </c>
      <c r="P59" s="20" t="n">
        <v>0.64420901</v>
      </c>
      <c r="Q59" s="18" t="n">
        <v>0.47440114</v>
      </c>
      <c r="R59" s="20" t="n">
        <v>0.22469727</v>
      </c>
    </row>
    <row r="60" spans="1:18">
      <c r="A60" s="15" t="s">
        <v>620</v>
      </c>
      <c r="B60" s="17" t="n">
        <v>2095</v>
      </c>
      <c r="C60" s="18">
        <f>(1419.0/B60*100)</f>
        <v/>
      </c>
      <c r="D60" s="19" t="n">
        <v>676</v>
      </c>
      <c r="E60" s="18" t="n">
        <v>61.32322275</v>
      </c>
      <c r="F60" s="20" t="n">
        <v>2.11559943</v>
      </c>
      <c r="G60" s="18" t="n">
        <v>27.47375618</v>
      </c>
      <c r="H60" s="20" t="n">
        <v>1.85834203</v>
      </c>
      <c r="I60" s="18" t="s">
        <v>567</v>
      </c>
      <c r="J60" s="20" t="s">
        <v>567</v>
      </c>
      <c r="K60" s="18" t="n">
        <v>3.69427084</v>
      </c>
      <c r="L60" s="20" t="n">
        <v>0.78036613</v>
      </c>
      <c r="M60" s="18" t="n">
        <v>0</v>
      </c>
      <c r="N60" s="20" t="n">
        <v>0</v>
      </c>
      <c r="O60" s="18" t="n">
        <v>3.57466067</v>
      </c>
      <c r="P60" s="20" t="n">
        <v>0.79965779</v>
      </c>
      <c r="Q60" s="18" t="n">
        <v>3.93408956</v>
      </c>
      <c r="R60" s="20" t="n">
        <v>0.85218594</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(1883.0/B63*100)</f>
        <v/>
      </c>
      <c r="D63" s="19" t="n">
        <v>930</v>
      </c>
      <c r="E63" s="18" t="n">
        <v>73.49133055</v>
      </c>
      <c r="F63" s="20" t="n">
        <v>1.58941798</v>
      </c>
      <c r="G63" s="18" t="n">
        <v>20.52951045</v>
      </c>
      <c r="H63" s="20" t="n">
        <v>1.40944979</v>
      </c>
      <c r="I63" s="18" t="s">
        <v>567</v>
      </c>
      <c r="J63" s="20" t="s">
        <v>567</v>
      </c>
      <c r="K63" s="18" t="n">
        <v>2.31224152</v>
      </c>
      <c r="L63" s="20" t="n">
        <v>0.51868995</v>
      </c>
      <c r="M63" s="18" t="n">
        <v>0</v>
      </c>
      <c r="N63" s="20" t="n">
        <v>0</v>
      </c>
      <c r="O63" s="18" t="n">
        <v>1.65850055</v>
      </c>
      <c r="P63" s="20" t="n">
        <v>0.44530326</v>
      </c>
      <c r="Q63" s="18" t="n">
        <v>2.00841693</v>
      </c>
      <c r="R63" s="20" t="n">
        <v>0.52442986</v>
      </c>
    </row>
    <row r="64" spans="1:18">
      <c r="A64" s="15" t="s">
        <v>624</v>
      </c>
      <c r="B64" s="17" t="n">
        <v>1844</v>
      </c>
      <c r="C64" s="18">
        <f>(1232.0/B64*100)</f>
        <v/>
      </c>
      <c r="D64" s="19" t="n">
        <v>612</v>
      </c>
      <c r="E64" s="18" t="n">
        <v>54.29098317</v>
      </c>
      <c r="F64" s="20" t="n">
        <v>1.97461785</v>
      </c>
      <c r="G64" s="18" t="n">
        <v>41.59058738</v>
      </c>
      <c r="H64" s="20" t="n">
        <v>1.93720278</v>
      </c>
      <c r="I64" s="18" t="s">
        <v>567</v>
      </c>
      <c r="J64" s="20" t="s">
        <v>567</v>
      </c>
      <c r="K64" s="18" t="n">
        <v>1.59060015</v>
      </c>
      <c r="L64" s="20" t="n">
        <v>0.5160287099999999</v>
      </c>
      <c r="M64" s="18" t="n">
        <v>0</v>
      </c>
      <c r="N64" s="20" t="n">
        <v>0</v>
      </c>
      <c r="O64" s="18" t="n">
        <v>0.50828996</v>
      </c>
      <c r="P64" s="20" t="n">
        <v>0.2903589</v>
      </c>
      <c r="Q64" s="18" t="n">
        <v>2.01953934</v>
      </c>
      <c r="R64" s="20" t="n">
        <v>0.53177765</v>
      </c>
    </row>
    <row r="65" spans="1:18">
      <c r="A65" s="15" t="s">
        <v>625</v>
      </c>
      <c r="B65" s="17" t="n">
        <v>2691</v>
      </c>
      <c r="C65" s="18">
        <f>(1789.0/B65*100)</f>
        <v/>
      </c>
      <c r="D65" s="19" t="n">
        <v>902</v>
      </c>
      <c r="E65" s="18" t="n">
        <v>64.48535214</v>
      </c>
      <c r="F65" s="20" t="n">
        <v>1.81865044</v>
      </c>
      <c r="G65" s="18" t="n">
        <v>26.54473835</v>
      </c>
      <c r="H65" s="20" t="n">
        <v>1.58669389</v>
      </c>
      <c r="I65" s="18" t="s">
        <v>567</v>
      </c>
      <c r="J65" s="20" t="s">
        <v>567</v>
      </c>
      <c r="K65" s="18" t="n">
        <v>3.69067691</v>
      </c>
      <c r="L65" s="20" t="n">
        <v>0.61740082</v>
      </c>
      <c r="M65" s="18" t="n">
        <v>3.73635855</v>
      </c>
      <c r="N65" s="20" t="n">
        <v>0.85127172</v>
      </c>
      <c r="O65" s="18" t="n">
        <v>0.13064372</v>
      </c>
      <c r="P65" s="20" t="n">
        <v>0.09281116</v>
      </c>
      <c r="Q65" s="18" t="n">
        <v>1.41223032</v>
      </c>
      <c r="R65" s="20" t="n">
        <v>0.42711925</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(1603.0/B69*100)</f>
        <v/>
      </c>
      <c r="D69" s="19" t="n">
        <v>807</v>
      </c>
      <c r="E69" s="18" t="n">
        <v>72.7761029</v>
      </c>
      <c r="F69" s="20" t="n">
        <v>1.82750941</v>
      </c>
      <c r="G69" s="18" t="n">
        <v>27.2238971</v>
      </c>
      <c r="H69" s="20" t="n">
        <v>1.82750941</v>
      </c>
      <c r="I69" s="18" t="s">
        <v>567</v>
      </c>
      <c r="J69" s="20" t="s">
        <v>567</v>
      </c>
      <c r="K69" s="18" t="n">
        <v>0</v>
      </c>
      <c r="L69" s="20" t="n">
        <v>0</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(1491.0/B74*100)</f>
        <v/>
      </c>
      <c r="D74" s="19" t="n">
        <v>748</v>
      </c>
      <c r="E74" s="18" t="n">
        <v>57.73803804</v>
      </c>
      <c r="F74" s="20" t="n">
        <v>1.75777452</v>
      </c>
      <c r="G74" s="18" t="n">
        <v>36.94709353</v>
      </c>
      <c r="H74" s="20" t="n">
        <v>1.73079149</v>
      </c>
      <c r="I74" s="18" t="s">
        <v>567</v>
      </c>
      <c r="J74" s="20" t="s">
        <v>567</v>
      </c>
      <c r="K74" s="18" t="n">
        <v>3.73602314</v>
      </c>
      <c r="L74" s="20" t="n">
        <v>0.93403147</v>
      </c>
      <c r="M74" s="18" t="n">
        <v>0</v>
      </c>
      <c r="N74" s="20" t="n">
        <v>0</v>
      </c>
      <c r="O74" s="18" t="n">
        <v>0</v>
      </c>
      <c r="P74" s="20" t="n">
        <v>0</v>
      </c>
      <c r="Q74" s="18" t="n">
        <v>1.57884529</v>
      </c>
      <c r="R74" s="20" t="n">
        <v>0.56160465</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30.26898096</v>
      </c>
      <c r="F78" s="20" t="n">
        <v>1.81832871</v>
      </c>
      <c r="G78" s="18" t="n">
        <v>69.62625001000001</v>
      </c>
      <c r="H78" s="20" t="n">
        <v>1.82367627</v>
      </c>
      <c r="I78" s="18" t="s">
        <v>567</v>
      </c>
      <c r="J78" s="20" t="s">
        <v>567</v>
      </c>
      <c r="K78" s="18" t="n">
        <v>0</v>
      </c>
      <c r="L78" s="20" t="n">
        <v>0</v>
      </c>
      <c r="M78" s="18" t="n">
        <v>0</v>
      </c>
      <c r="N78" s="20" t="n">
        <v>0</v>
      </c>
      <c r="O78" s="18" t="n">
        <v>0</v>
      </c>
      <c r="P78" s="20" t="n">
        <v>0</v>
      </c>
      <c r="Q78" s="18" t="n">
        <v>0.10476903</v>
      </c>
      <c r="R78" s="20" t="n">
        <v>0.10486805</v>
      </c>
    </row>
    <row customHeight="1" ht="25" r="79" spans="1:18">
      <c r="A79" s="15" t="s">
        <v>639</v>
      </c>
      <c r="B79" s="17" t="n">
        <v>787</v>
      </c>
      <c r="C79" s="18">
        <f>(529.0/B79*100)</f>
        <v/>
      </c>
      <c r="D79" s="19" t="n">
        <v>258</v>
      </c>
      <c r="E79" s="18" t="n">
        <v>44.98530906</v>
      </c>
      <c r="F79" s="20" t="n">
        <v>2.72620511</v>
      </c>
      <c r="G79" s="18" t="n">
        <v>48.66911832</v>
      </c>
      <c r="H79" s="20" t="n">
        <v>3.27611375</v>
      </c>
      <c r="I79" s="18" t="s">
        <v>567</v>
      </c>
      <c r="J79" s="20" t="s">
        <v>567</v>
      </c>
      <c r="K79" s="18" t="n">
        <v>1.96294669</v>
      </c>
      <c r="L79" s="20" t="n">
        <v>0.86506935</v>
      </c>
      <c r="M79" s="18" t="n">
        <v>1.67915126</v>
      </c>
      <c r="N79" s="20" t="n">
        <v>0.84859308</v>
      </c>
      <c r="O79" s="18" t="n">
        <v>2.04277415</v>
      </c>
      <c r="P79" s="20" t="n">
        <v>1.0539734</v>
      </c>
      <c r="Q79" s="18" t="n">
        <v>0.66070052</v>
      </c>
      <c r="R79" s="20" t="n">
        <v>0.48704859</v>
      </c>
    </row>
    <row r="80" spans="1:18">
      <c r="A80" s="15" t="s">
        <v>640</v>
      </c>
      <c r="B80" s="17" t="n">
        <v>3798</v>
      </c>
      <c r="C80" s="18">
        <f>(2538.0/B80*100)</f>
        <v/>
      </c>
      <c r="D80" s="19" t="n">
        <v>1260</v>
      </c>
      <c r="E80" s="18" t="n">
        <v>60.3089429</v>
      </c>
      <c r="F80" s="20" t="n">
        <v>2.42480576</v>
      </c>
      <c r="G80" s="18" t="n">
        <v>39.18879176</v>
      </c>
      <c r="H80" s="20" t="n">
        <v>2.45206241</v>
      </c>
      <c r="I80" s="18" t="s">
        <v>567</v>
      </c>
      <c r="J80" s="20" t="s">
        <v>567</v>
      </c>
      <c r="K80" s="18" t="n">
        <v>0</v>
      </c>
      <c r="L80" s="20" t="n">
        <v>0</v>
      </c>
      <c r="M80" s="18" t="n">
        <v>0</v>
      </c>
      <c r="N80" s="20" t="n">
        <v>0</v>
      </c>
      <c r="O80" s="18" t="n">
        <v>0</v>
      </c>
      <c r="P80" s="20" t="n">
        <v>0</v>
      </c>
      <c r="Q80" s="18" t="n">
        <v>0.50226533</v>
      </c>
      <c r="R80" s="20" t="n">
        <v>0.27364211</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(1673.0/B44*100)</f>
        <v/>
      </c>
      <c r="D44" s="19" t="n">
        <v>851</v>
      </c>
      <c r="E44" s="18" t="n">
        <v>53.54705141</v>
      </c>
      <c r="F44" s="20" t="n">
        <v>1.94522717</v>
      </c>
      <c r="G44" s="18" t="n">
        <v>38.92966311</v>
      </c>
      <c r="H44" s="20" t="n">
        <v>2.11787367</v>
      </c>
      <c r="I44" s="18" t="s">
        <v>567</v>
      </c>
      <c r="J44" s="20" t="s">
        <v>567</v>
      </c>
      <c r="K44" s="18" t="n">
        <v>3.0126461</v>
      </c>
      <c r="L44" s="20" t="n">
        <v>0.54412394</v>
      </c>
      <c r="M44" s="18" t="n">
        <v>0</v>
      </c>
      <c r="N44" s="20" t="n">
        <v>0</v>
      </c>
      <c r="O44" s="18" t="n">
        <v>0</v>
      </c>
      <c r="P44" s="20" t="n">
        <v>0</v>
      </c>
      <c r="Q44" s="18" t="n">
        <v>4.51063938</v>
      </c>
      <c r="R44" s="20" t="n">
        <v>0.8618017100000001</v>
      </c>
    </row>
    <row r="45" spans="1:18">
      <c r="A45" s="15" t="s">
        <v>605</v>
      </c>
      <c r="B45" s="17" t="n">
        <v>2849</v>
      </c>
      <c r="C45" s="18">
        <f>(1903.0/B45*100)</f>
        <v/>
      </c>
      <c r="D45" s="19" t="n">
        <v>946</v>
      </c>
      <c r="E45" s="18" t="n">
        <v>70.42282648</v>
      </c>
      <c r="F45" s="20" t="n">
        <v>1.55961465</v>
      </c>
      <c r="G45" s="18" t="n">
        <v>22.25304819</v>
      </c>
      <c r="H45" s="20" t="n">
        <v>1.54305801</v>
      </c>
      <c r="I45" s="18" t="s">
        <v>567</v>
      </c>
      <c r="J45" s="20" t="s">
        <v>567</v>
      </c>
      <c r="K45" s="18" t="n">
        <v>4.08236149</v>
      </c>
      <c r="L45" s="20" t="n">
        <v>0.74133906</v>
      </c>
      <c r="M45" s="18" t="n">
        <v>0.08524213999999999</v>
      </c>
      <c r="N45" s="20" t="n">
        <v>0.08661068</v>
      </c>
      <c r="O45" s="18" t="n">
        <v>0</v>
      </c>
      <c r="P45" s="20" t="n">
        <v>0</v>
      </c>
      <c r="Q45" s="18" t="n">
        <v>3.1565217</v>
      </c>
      <c r="R45" s="20" t="n">
        <v>0.58178649</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(2060.0/B49*100)</f>
        <v/>
      </c>
      <c r="D49" s="19" t="n">
        <v>958</v>
      </c>
      <c r="E49" s="18" t="n">
        <v>52.39660837</v>
      </c>
      <c r="F49" s="20" t="n">
        <v>2.12348468</v>
      </c>
      <c r="G49" s="18" t="n">
        <v>42.52535478</v>
      </c>
      <c r="H49" s="20" t="n">
        <v>1.92868615</v>
      </c>
      <c r="I49" s="18" t="s">
        <v>567</v>
      </c>
      <c r="J49" s="20" t="s">
        <v>567</v>
      </c>
      <c r="K49" s="18" t="n">
        <v>2.16846346</v>
      </c>
      <c r="L49" s="20" t="n">
        <v>0.57826625</v>
      </c>
      <c r="M49" s="18" t="n">
        <v>1.04655596</v>
      </c>
      <c r="N49" s="20" t="n">
        <v>0.38629331</v>
      </c>
      <c r="O49" s="18" t="n">
        <v>0</v>
      </c>
      <c r="P49" s="20" t="n">
        <v>0</v>
      </c>
      <c r="Q49" s="18" t="n">
        <v>1.86301743</v>
      </c>
      <c r="R49" s="20" t="n">
        <v>0.59522494</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(1846.0/B55*100)</f>
        <v/>
      </c>
      <c r="D55" s="19" t="n">
        <v>913</v>
      </c>
      <c r="E55" s="18" t="n">
        <v>70.40623698</v>
      </c>
      <c r="F55" s="20" t="n">
        <v>1.72080669</v>
      </c>
      <c r="G55" s="18" t="n">
        <v>26.09673416</v>
      </c>
      <c r="H55" s="20" t="n">
        <v>1.67718809</v>
      </c>
      <c r="I55" s="18" t="s">
        <v>567</v>
      </c>
      <c r="J55" s="20" t="s">
        <v>567</v>
      </c>
      <c r="K55" s="18" t="n">
        <v>0.78383873</v>
      </c>
      <c r="L55" s="20" t="n">
        <v>0.27711883</v>
      </c>
      <c r="M55" s="18" t="n">
        <v>0</v>
      </c>
      <c r="N55" s="20" t="n">
        <v>0</v>
      </c>
      <c r="O55" s="18" t="n">
        <v>0</v>
      </c>
      <c r="P55" s="20" t="n">
        <v>0</v>
      </c>
      <c r="Q55" s="18" t="n">
        <v>2.71319013</v>
      </c>
      <c r="R55" s="20" t="n">
        <v>0.58836651</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(2113.0/B57*100)</f>
        <v/>
      </c>
      <c r="D57" s="19" t="n">
        <v>1057</v>
      </c>
      <c r="E57" s="18" t="n">
        <v>77.50942430000001</v>
      </c>
      <c r="F57" s="20" t="n">
        <v>1.65789035</v>
      </c>
      <c r="G57" s="18" t="n">
        <v>21.01665909</v>
      </c>
      <c r="H57" s="20" t="n">
        <v>1.57450912</v>
      </c>
      <c r="I57" s="18" t="s">
        <v>567</v>
      </c>
      <c r="J57" s="20" t="s">
        <v>567</v>
      </c>
      <c r="K57" s="18" t="n">
        <v>1.05258817</v>
      </c>
      <c r="L57" s="20" t="n">
        <v>0.44040193</v>
      </c>
      <c r="M57" s="18" t="n">
        <v>0.08157965</v>
      </c>
      <c r="N57" s="20" t="n">
        <v>0.08498679000000001</v>
      </c>
      <c r="O57" s="18" t="n">
        <v>0</v>
      </c>
      <c r="P57" s="20" t="n">
        <v>0</v>
      </c>
      <c r="Q57" s="18" t="n">
        <v>0.33974879</v>
      </c>
      <c r="R57" s="20" t="n">
        <v>0.15803198</v>
      </c>
    </row>
    <row r="58" spans="1:18">
      <c r="A58" s="15" t="s">
        <v>618</v>
      </c>
      <c r="B58" s="17" t="n">
        <v>3530</v>
      </c>
      <c r="C58" s="18">
        <f>(2348.0/B58*100)</f>
        <v/>
      </c>
      <c r="D58" s="19" t="n">
        <v>1182</v>
      </c>
      <c r="E58" s="18" t="n">
        <v>66.15265865000001</v>
      </c>
      <c r="F58" s="20" t="n">
        <v>1.62599557</v>
      </c>
      <c r="G58" s="18" t="n">
        <v>29.34849167</v>
      </c>
      <c r="H58" s="20" t="n">
        <v>1.65186428</v>
      </c>
      <c r="I58" s="18" t="s">
        <v>567</v>
      </c>
      <c r="J58" s="20" t="s">
        <v>567</v>
      </c>
      <c r="K58" s="18" t="n">
        <v>2.40410186</v>
      </c>
      <c r="L58" s="20" t="n">
        <v>0.58781995</v>
      </c>
      <c r="M58" s="18" t="n">
        <v>0</v>
      </c>
      <c r="N58" s="20" t="n">
        <v>0</v>
      </c>
      <c r="O58" s="18" t="n">
        <v>0.1451993</v>
      </c>
      <c r="P58" s="20" t="n">
        <v>0.14348807</v>
      </c>
      <c r="Q58" s="18" t="n">
        <v>1.94954851</v>
      </c>
      <c r="R58" s="20" t="n">
        <v>0.55301946</v>
      </c>
    </row>
    <row r="59" spans="1:18">
      <c r="A59" s="15" t="s">
        <v>619</v>
      </c>
      <c r="B59" s="17" t="n">
        <v>2548</v>
      </c>
      <c r="C59" s="18">
        <f>(1717.0/B59*100)</f>
        <v/>
      </c>
      <c r="D59" s="19" t="n">
        <v>831</v>
      </c>
      <c r="E59" s="18" t="n">
        <v>73.62574524999999</v>
      </c>
      <c r="F59" s="20" t="n">
        <v>1.82113048</v>
      </c>
      <c r="G59" s="18" t="n">
        <v>25.4457599</v>
      </c>
      <c r="H59" s="20" t="n">
        <v>1.8220062</v>
      </c>
      <c r="I59" s="18" t="s">
        <v>567</v>
      </c>
      <c r="J59" s="20" t="s">
        <v>567</v>
      </c>
      <c r="K59" s="18" t="n">
        <v>0.39000526</v>
      </c>
      <c r="L59" s="20" t="n">
        <v>0.20834867</v>
      </c>
      <c r="M59" s="18" t="n">
        <v>0.04965665</v>
      </c>
      <c r="N59" s="20" t="n">
        <v>0.0498933</v>
      </c>
      <c r="O59" s="18" t="n">
        <v>0</v>
      </c>
      <c r="P59" s="20" t="n">
        <v>0</v>
      </c>
      <c r="Q59" s="18" t="n">
        <v>0.48883294</v>
      </c>
      <c r="R59" s="20" t="n">
        <v>0.28794669</v>
      </c>
    </row>
    <row r="60" spans="1:18">
      <c r="A60" s="15" t="s">
        <v>620</v>
      </c>
      <c r="B60" s="17" t="n">
        <v>2095</v>
      </c>
      <c r="C60" s="18">
        <f>(1419.0/B60*100)</f>
        <v/>
      </c>
      <c r="D60" s="19" t="n">
        <v>676</v>
      </c>
      <c r="E60" s="18" t="n">
        <v>58.13266981</v>
      </c>
      <c r="F60" s="20" t="n">
        <v>2.11973873</v>
      </c>
      <c r="G60" s="18" t="n">
        <v>35.2969204</v>
      </c>
      <c r="H60" s="20" t="n">
        <v>2.03427132</v>
      </c>
      <c r="I60" s="18" t="s">
        <v>567</v>
      </c>
      <c r="J60" s="20" t="s">
        <v>567</v>
      </c>
      <c r="K60" s="18" t="n">
        <v>4.36327326</v>
      </c>
      <c r="L60" s="20" t="n">
        <v>0.94948719</v>
      </c>
      <c r="M60" s="18" t="n">
        <v>0</v>
      </c>
      <c r="N60" s="20" t="n">
        <v>0</v>
      </c>
      <c r="O60" s="18" t="n">
        <v>0</v>
      </c>
      <c r="P60" s="20" t="n">
        <v>0</v>
      </c>
      <c r="Q60" s="18" t="n">
        <v>2.20713654</v>
      </c>
      <c r="R60" s="20" t="n">
        <v>0.60232064</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(1883.0/B63*100)</f>
        <v/>
      </c>
      <c r="D63" s="19" t="n">
        <v>930</v>
      </c>
      <c r="E63" s="18" t="n">
        <v>67.11342845</v>
      </c>
      <c r="F63" s="20" t="n">
        <v>1.80844472</v>
      </c>
      <c r="G63" s="18" t="n">
        <v>26.99825323</v>
      </c>
      <c r="H63" s="20" t="n">
        <v>1.70861699</v>
      </c>
      <c r="I63" s="18" t="s">
        <v>567</v>
      </c>
      <c r="J63" s="20" t="s">
        <v>567</v>
      </c>
      <c r="K63" s="18" t="n">
        <v>2.82128827</v>
      </c>
      <c r="L63" s="20" t="n">
        <v>0.61435609</v>
      </c>
      <c r="M63" s="18" t="n">
        <v>0</v>
      </c>
      <c r="N63" s="20" t="n">
        <v>0</v>
      </c>
      <c r="O63" s="18" t="n">
        <v>0</v>
      </c>
      <c r="P63" s="20" t="n">
        <v>0</v>
      </c>
      <c r="Q63" s="18" t="n">
        <v>3.06703005</v>
      </c>
      <c r="R63" s="20" t="n">
        <v>0.56771211</v>
      </c>
    </row>
    <row r="64" spans="1:18">
      <c r="A64" s="15" t="s">
        <v>624</v>
      </c>
      <c r="B64" s="17" t="n">
        <v>1844</v>
      </c>
      <c r="C64" s="18">
        <f>(1232.0/B64*100)</f>
        <v/>
      </c>
      <c r="D64" s="19" t="n">
        <v>612</v>
      </c>
      <c r="E64" s="18" t="n">
        <v>51.68334945</v>
      </c>
      <c r="F64" s="20" t="n">
        <v>1.93958797</v>
      </c>
      <c r="G64" s="18" t="n">
        <v>44.39206849</v>
      </c>
      <c r="H64" s="20" t="n">
        <v>1.96256675</v>
      </c>
      <c r="I64" s="18" t="s">
        <v>567</v>
      </c>
      <c r="J64" s="20" t="s">
        <v>567</v>
      </c>
      <c r="K64" s="18" t="n">
        <v>1.59060015</v>
      </c>
      <c r="L64" s="20" t="n">
        <v>0.5160287099999999</v>
      </c>
      <c r="M64" s="18" t="n">
        <v>0</v>
      </c>
      <c r="N64" s="20" t="n">
        <v>0</v>
      </c>
      <c r="O64" s="18" t="n">
        <v>0.17989115</v>
      </c>
      <c r="P64" s="20" t="n">
        <v>0.17963265</v>
      </c>
      <c r="Q64" s="18" t="n">
        <v>2.15409076</v>
      </c>
      <c r="R64" s="20" t="n">
        <v>0.59008061</v>
      </c>
    </row>
    <row r="65" spans="1:18">
      <c r="A65" s="15" t="s">
        <v>625</v>
      </c>
      <c r="B65" s="17" t="n">
        <v>2691</v>
      </c>
      <c r="C65" s="18">
        <f>(1789.0/B65*100)</f>
        <v/>
      </c>
      <c r="D65" s="19" t="n">
        <v>902</v>
      </c>
      <c r="E65" s="18" t="n">
        <v>51.41354766</v>
      </c>
      <c r="F65" s="20" t="n">
        <v>1.9128361</v>
      </c>
      <c r="G65" s="18" t="n">
        <v>41.47563891</v>
      </c>
      <c r="H65" s="20" t="n">
        <v>1.9424257</v>
      </c>
      <c r="I65" s="18" t="s">
        <v>567</v>
      </c>
      <c r="J65" s="20" t="s">
        <v>567</v>
      </c>
      <c r="K65" s="18" t="n">
        <v>4.6053082</v>
      </c>
      <c r="L65" s="20" t="n">
        <v>0.68915051</v>
      </c>
      <c r="M65" s="18" t="n">
        <v>0</v>
      </c>
      <c r="N65" s="20" t="n">
        <v>0</v>
      </c>
      <c r="O65" s="18" t="n">
        <v>0</v>
      </c>
      <c r="P65" s="20" t="n">
        <v>0</v>
      </c>
      <c r="Q65" s="18" t="n">
        <v>2.50550523</v>
      </c>
      <c r="R65" s="20" t="n">
        <v>0.48506145</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(1603.0/B69*100)</f>
        <v/>
      </c>
      <c r="D69" s="19" t="n">
        <v>807</v>
      </c>
      <c r="E69" s="18" t="n">
        <v>58.10638516</v>
      </c>
      <c r="F69" s="20" t="n">
        <v>2.15413895</v>
      </c>
      <c r="G69" s="18" t="n">
        <v>41.40379928</v>
      </c>
      <c r="H69" s="20" t="n">
        <v>2.17839136</v>
      </c>
      <c r="I69" s="18" t="s">
        <v>567</v>
      </c>
      <c r="J69" s="20" t="s">
        <v>567</v>
      </c>
      <c r="K69" s="18" t="n">
        <v>0</v>
      </c>
      <c r="L69" s="20" t="n">
        <v>0</v>
      </c>
      <c r="M69" s="18" t="n">
        <v>0</v>
      </c>
      <c r="N69" s="20" t="n">
        <v>0</v>
      </c>
      <c r="O69" s="18" t="n">
        <v>0</v>
      </c>
      <c r="P69" s="20" t="n">
        <v>0</v>
      </c>
      <c r="Q69" s="18" t="n">
        <v>0.48981556</v>
      </c>
      <c r="R69" s="20" t="n">
        <v>0.30594593</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(1491.0/B74*100)</f>
        <v/>
      </c>
      <c r="D74" s="19" t="n">
        <v>748</v>
      </c>
      <c r="E74" s="18" t="n">
        <v>59.83398193</v>
      </c>
      <c r="F74" s="20" t="n">
        <v>1.97893442</v>
      </c>
      <c r="G74" s="18" t="n">
        <v>31.57115987</v>
      </c>
      <c r="H74" s="20" t="n">
        <v>1.84055975</v>
      </c>
      <c r="I74" s="18" t="s">
        <v>567</v>
      </c>
      <c r="J74" s="20" t="s">
        <v>567</v>
      </c>
      <c r="K74" s="18" t="n">
        <v>5.22432615</v>
      </c>
      <c r="L74" s="20" t="n">
        <v>0.98483498</v>
      </c>
      <c r="M74" s="18" t="n">
        <v>0</v>
      </c>
      <c r="N74" s="20" t="n">
        <v>0</v>
      </c>
      <c r="O74" s="18" t="n">
        <v>0</v>
      </c>
      <c r="P74" s="20" t="n">
        <v>0</v>
      </c>
      <c r="Q74" s="18" t="n">
        <v>3.37053205</v>
      </c>
      <c r="R74" s="20" t="n">
        <v>0.77634819</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45.82338166</v>
      </c>
      <c r="F78" s="20" t="n">
        <v>1.70100866</v>
      </c>
      <c r="G78" s="18" t="n">
        <v>54.17661834</v>
      </c>
      <c r="H78" s="20" t="n">
        <v>1.70100866</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(529.0/B79*100)</f>
        <v/>
      </c>
      <c r="D79" s="19" t="n">
        <v>258</v>
      </c>
      <c r="E79" s="18" t="n">
        <v>39.48519013</v>
      </c>
      <c r="F79" s="20" t="n">
        <v>3.1072879</v>
      </c>
      <c r="G79" s="18" t="n">
        <v>53.13753809</v>
      </c>
      <c r="H79" s="20" t="n">
        <v>3.13926771</v>
      </c>
      <c r="I79" s="18" t="s">
        <v>567</v>
      </c>
      <c r="J79" s="20" t="s">
        <v>567</v>
      </c>
      <c r="K79" s="18" t="n">
        <v>2.82214318</v>
      </c>
      <c r="L79" s="20" t="n">
        <v>0.97673853</v>
      </c>
      <c r="M79" s="18" t="n">
        <v>1.67915126</v>
      </c>
      <c r="N79" s="20" t="n">
        <v>0.84859308</v>
      </c>
      <c r="O79" s="18" t="n">
        <v>0</v>
      </c>
      <c r="P79" s="20" t="n">
        <v>0</v>
      </c>
      <c r="Q79" s="18" t="n">
        <v>2.87597734</v>
      </c>
      <c r="R79" s="20" t="n">
        <v>1.32085827</v>
      </c>
    </row>
    <row r="80" spans="1:18">
      <c r="A80" s="15" t="s">
        <v>640</v>
      </c>
      <c r="B80" s="17" t="n">
        <v>3798</v>
      </c>
      <c r="C80" s="18">
        <f>(2538.0/B80*100)</f>
        <v/>
      </c>
      <c r="D80" s="19" t="n">
        <v>1260</v>
      </c>
      <c r="E80" s="18" t="n">
        <v>67.72091752</v>
      </c>
      <c r="F80" s="20" t="n">
        <v>2.10072411</v>
      </c>
      <c r="G80" s="18" t="n">
        <v>32.18816925</v>
      </c>
      <c r="H80" s="20" t="n">
        <v>2.09567085</v>
      </c>
      <c r="I80" s="18" t="s">
        <v>567</v>
      </c>
      <c r="J80" s="20" t="s">
        <v>567</v>
      </c>
      <c r="K80" s="18" t="n">
        <v>0</v>
      </c>
      <c r="L80" s="20" t="n">
        <v>0</v>
      </c>
      <c r="M80" s="18" t="n">
        <v>0</v>
      </c>
      <c r="N80" s="20" t="n">
        <v>0</v>
      </c>
      <c r="O80" s="18" t="n">
        <v>0</v>
      </c>
      <c r="P80" s="20" t="n">
        <v>0</v>
      </c>
      <c r="Q80" s="18" t="n">
        <v>0.09091322</v>
      </c>
      <c r="R80" s="20" t="n">
        <v>0.09071084</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(1673.0/B44*100)</f>
        <v/>
      </c>
      <c r="D44" s="19" t="n">
        <v>851</v>
      </c>
      <c r="E44" s="18" t="n">
        <v>46.32423992</v>
      </c>
      <c r="F44" s="20" t="n">
        <v>2.34266162</v>
      </c>
      <c r="G44" s="18" t="n">
        <v>44.89754192</v>
      </c>
      <c r="H44" s="20" t="n">
        <v>2.36921825</v>
      </c>
      <c r="I44" s="18" t="s">
        <v>567</v>
      </c>
      <c r="J44" s="20" t="s">
        <v>567</v>
      </c>
      <c r="K44" s="18" t="n">
        <v>3.30359204</v>
      </c>
      <c r="L44" s="20" t="n">
        <v>0.57981756</v>
      </c>
      <c r="M44" s="18" t="n">
        <v>0</v>
      </c>
      <c r="N44" s="20" t="n">
        <v>0</v>
      </c>
      <c r="O44" s="18" t="n">
        <v>0</v>
      </c>
      <c r="P44" s="20" t="n">
        <v>0</v>
      </c>
      <c r="Q44" s="18" t="n">
        <v>5.47462611</v>
      </c>
      <c r="R44" s="20" t="n">
        <v>1.00963778</v>
      </c>
    </row>
    <row r="45" spans="1:18">
      <c r="A45" s="15" t="s">
        <v>605</v>
      </c>
      <c r="B45" s="17" t="n">
        <v>2849</v>
      </c>
      <c r="C45" s="18">
        <f>(1903.0/B45*100)</f>
        <v/>
      </c>
      <c r="D45" s="19" t="n">
        <v>946</v>
      </c>
      <c r="E45" s="18" t="n">
        <v>62.61058127</v>
      </c>
      <c r="F45" s="20" t="n">
        <v>1.96857937</v>
      </c>
      <c r="G45" s="18" t="n">
        <v>30.72528277</v>
      </c>
      <c r="H45" s="20" t="n">
        <v>1.88697628</v>
      </c>
      <c r="I45" s="18" t="s">
        <v>567</v>
      </c>
      <c r="J45" s="20" t="s">
        <v>567</v>
      </c>
      <c r="K45" s="18" t="n">
        <v>4.22919086</v>
      </c>
      <c r="L45" s="20" t="n">
        <v>0.7519685</v>
      </c>
      <c r="M45" s="18" t="n">
        <v>0.08524213999999999</v>
      </c>
      <c r="N45" s="20" t="n">
        <v>0.08661068</v>
      </c>
      <c r="O45" s="18" t="n">
        <v>0.09164050999999999</v>
      </c>
      <c r="P45" s="20" t="n">
        <v>0.09352321</v>
      </c>
      <c r="Q45" s="18" t="n">
        <v>2.25806245</v>
      </c>
      <c r="R45" s="20" t="n">
        <v>0.57791076</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(2060.0/B49*100)</f>
        <v/>
      </c>
      <c r="D49" s="19" t="n">
        <v>958</v>
      </c>
      <c r="E49" s="18" t="n">
        <v>0</v>
      </c>
      <c r="F49" s="20" t="n">
        <v>0</v>
      </c>
      <c r="G49" s="18" t="n">
        <v>0</v>
      </c>
      <c r="H49" s="20" t="n">
        <v>0</v>
      </c>
      <c r="I49" s="18" t="s">
        <v>567</v>
      </c>
      <c r="J49" s="20" t="s">
        <v>567</v>
      </c>
      <c r="K49" s="18" t="n">
        <v>0</v>
      </c>
      <c r="L49" s="20" t="n">
        <v>0</v>
      </c>
      <c r="M49" s="18" t="n">
        <v>100</v>
      </c>
      <c r="N49" s="20" t="n">
        <v>0</v>
      </c>
      <c r="O49" s="18" t="n">
        <v>0</v>
      </c>
      <c r="P49" s="20" t="n">
        <v>0</v>
      </c>
      <c r="Q49" s="18" t="n">
        <v>0</v>
      </c>
      <c r="R49" s="20" t="n">
        <v>0</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(1846.0/B55*100)</f>
        <v/>
      </c>
      <c r="D55" s="19" t="n">
        <v>913</v>
      </c>
      <c r="E55" s="18" t="n">
        <v>55.09258751</v>
      </c>
      <c r="F55" s="20" t="n">
        <v>1.50398215</v>
      </c>
      <c r="G55" s="18" t="n">
        <v>41.95179744</v>
      </c>
      <c r="H55" s="20" t="n">
        <v>1.56386985</v>
      </c>
      <c r="I55" s="18" t="s">
        <v>567</v>
      </c>
      <c r="J55" s="20" t="s">
        <v>567</v>
      </c>
      <c r="K55" s="18" t="n">
        <v>0.89842319</v>
      </c>
      <c r="L55" s="20" t="n">
        <v>0.29758867</v>
      </c>
      <c r="M55" s="18" t="n">
        <v>0</v>
      </c>
      <c r="N55" s="20" t="n">
        <v>0</v>
      </c>
      <c r="O55" s="18" t="n">
        <v>0</v>
      </c>
      <c r="P55" s="20" t="n">
        <v>0</v>
      </c>
      <c r="Q55" s="18" t="n">
        <v>2.05719187</v>
      </c>
      <c r="R55" s="20" t="n">
        <v>0.52446004</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(2113.0/B57*100)</f>
        <v/>
      </c>
      <c r="D57" s="19" t="n">
        <v>1057</v>
      </c>
      <c r="E57" s="18" t="n">
        <v>57.37957882</v>
      </c>
      <c r="F57" s="20" t="n">
        <v>1.67577598</v>
      </c>
      <c r="G57" s="18" t="n">
        <v>40.85773752</v>
      </c>
      <c r="H57" s="20" t="n">
        <v>1.64148681</v>
      </c>
      <c r="I57" s="18" t="s">
        <v>567</v>
      </c>
      <c r="J57" s="20" t="s">
        <v>567</v>
      </c>
      <c r="K57" s="18" t="n">
        <v>1.24136536</v>
      </c>
      <c r="L57" s="20" t="n">
        <v>0.47438777</v>
      </c>
      <c r="M57" s="18" t="n">
        <v>0</v>
      </c>
      <c r="N57" s="20" t="n">
        <v>0</v>
      </c>
      <c r="O57" s="18" t="n">
        <v>0</v>
      </c>
      <c r="P57" s="20" t="n">
        <v>0</v>
      </c>
      <c r="Q57" s="18" t="n">
        <v>0.5213183</v>
      </c>
      <c r="R57" s="20" t="n">
        <v>0.23218667</v>
      </c>
    </row>
    <row r="58" spans="1:18">
      <c r="A58" s="15" t="s">
        <v>618</v>
      </c>
      <c r="B58" s="17" t="n">
        <v>3530</v>
      </c>
      <c r="C58" s="18">
        <f>(2348.0/B58*100)</f>
        <v/>
      </c>
      <c r="D58" s="19" t="n">
        <v>1182</v>
      </c>
      <c r="E58" s="18" t="n">
        <v>48.80578932</v>
      </c>
      <c r="F58" s="20" t="n">
        <v>2.08248029</v>
      </c>
      <c r="G58" s="18" t="n">
        <v>46.37205859</v>
      </c>
      <c r="H58" s="20" t="n">
        <v>2.02845457</v>
      </c>
      <c r="I58" s="18" t="s">
        <v>567</v>
      </c>
      <c r="J58" s="20" t="s">
        <v>567</v>
      </c>
      <c r="K58" s="18" t="n">
        <v>2.73635129</v>
      </c>
      <c r="L58" s="20" t="n">
        <v>0.6266406799999999</v>
      </c>
      <c r="M58" s="18" t="n">
        <v>0</v>
      </c>
      <c r="N58" s="20" t="n">
        <v>0</v>
      </c>
      <c r="O58" s="18" t="n">
        <v>0.17423883</v>
      </c>
      <c r="P58" s="20" t="n">
        <v>0.14614077</v>
      </c>
      <c r="Q58" s="18" t="n">
        <v>1.91156197</v>
      </c>
      <c r="R58" s="20" t="n">
        <v>0.53370677</v>
      </c>
    </row>
    <row r="59" spans="1:18">
      <c r="A59" s="15" t="s">
        <v>619</v>
      </c>
      <c r="B59" s="17" t="n">
        <v>2548</v>
      </c>
      <c r="C59" s="18">
        <f>(1717.0/B59*100)</f>
        <v/>
      </c>
      <c r="D59" s="19" t="n">
        <v>831</v>
      </c>
      <c r="E59" s="18" t="n">
        <v>63.71450541</v>
      </c>
      <c r="F59" s="20" t="n">
        <v>2.0491234</v>
      </c>
      <c r="G59" s="18" t="n">
        <v>35.08119542</v>
      </c>
      <c r="H59" s="20" t="n">
        <v>2.0695618</v>
      </c>
      <c r="I59" s="18" t="s">
        <v>567</v>
      </c>
      <c r="J59" s="20" t="s">
        <v>567</v>
      </c>
      <c r="K59" s="18" t="n">
        <v>0.54038165</v>
      </c>
      <c r="L59" s="20" t="n">
        <v>0.23797441</v>
      </c>
      <c r="M59" s="18" t="n">
        <v>0.04965665</v>
      </c>
      <c r="N59" s="20" t="n">
        <v>0.0498933</v>
      </c>
      <c r="O59" s="18" t="n">
        <v>0</v>
      </c>
      <c r="P59" s="20" t="n">
        <v>0</v>
      </c>
      <c r="Q59" s="18" t="n">
        <v>0.61426087</v>
      </c>
      <c r="R59" s="20" t="n">
        <v>0.30281029</v>
      </c>
    </row>
    <row r="60" spans="1:18">
      <c r="A60" s="15" t="s">
        <v>620</v>
      </c>
      <c r="B60" s="17" t="n">
        <v>2095</v>
      </c>
      <c r="C60" s="18">
        <f>(1419.0/B60*100)</f>
        <v/>
      </c>
      <c r="D60" s="19" t="n">
        <v>676</v>
      </c>
      <c r="E60" s="18" t="n">
        <v>46.08445717</v>
      </c>
      <c r="F60" s="20" t="n">
        <v>2.3067276</v>
      </c>
      <c r="G60" s="18" t="n">
        <v>45.43656591</v>
      </c>
      <c r="H60" s="20" t="n">
        <v>2.34628033</v>
      </c>
      <c r="I60" s="18" t="s">
        <v>567</v>
      </c>
      <c r="J60" s="20" t="s">
        <v>567</v>
      </c>
      <c r="K60" s="18" t="n">
        <v>4.47160079</v>
      </c>
      <c r="L60" s="20" t="n">
        <v>0.95035721</v>
      </c>
      <c r="M60" s="18" t="n">
        <v>0</v>
      </c>
      <c r="N60" s="20" t="n">
        <v>0</v>
      </c>
      <c r="O60" s="18" t="n">
        <v>0</v>
      </c>
      <c r="P60" s="20" t="n">
        <v>0</v>
      </c>
      <c r="Q60" s="18" t="n">
        <v>4.00737613</v>
      </c>
      <c r="R60" s="20" t="n">
        <v>1.0943887</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(1883.0/B63*100)</f>
        <v/>
      </c>
      <c r="D63" s="19" t="n">
        <v>930</v>
      </c>
      <c r="E63" s="18" t="n">
        <v>55.84854784</v>
      </c>
      <c r="F63" s="20" t="n">
        <v>1.77429493</v>
      </c>
      <c r="G63" s="18" t="n">
        <v>38.99228627</v>
      </c>
      <c r="H63" s="20" t="n">
        <v>1.83126505</v>
      </c>
      <c r="I63" s="18" t="s">
        <v>567</v>
      </c>
      <c r="J63" s="20" t="s">
        <v>567</v>
      </c>
      <c r="K63" s="18" t="n">
        <v>2.86543509</v>
      </c>
      <c r="L63" s="20" t="n">
        <v>0.61617845</v>
      </c>
      <c r="M63" s="18" t="n">
        <v>0</v>
      </c>
      <c r="N63" s="20" t="n">
        <v>0</v>
      </c>
      <c r="O63" s="18" t="n">
        <v>0.11513605</v>
      </c>
      <c r="P63" s="20" t="n">
        <v>0.11643033</v>
      </c>
      <c r="Q63" s="18" t="n">
        <v>2.17859475</v>
      </c>
      <c r="R63" s="20" t="n">
        <v>0.46371795</v>
      </c>
    </row>
    <row r="64" spans="1:18">
      <c r="A64" s="15" t="s">
        <v>624</v>
      </c>
      <c r="B64" s="17" t="n">
        <v>1844</v>
      </c>
      <c r="C64" s="18">
        <f>(1232.0/B64*100)</f>
        <v/>
      </c>
      <c r="D64" s="19" t="n">
        <v>612</v>
      </c>
      <c r="E64" s="18" t="n">
        <v>37.88866554</v>
      </c>
      <c r="F64" s="20" t="n">
        <v>1.80139461</v>
      </c>
      <c r="G64" s="18" t="n">
        <v>58.51321038</v>
      </c>
      <c r="H64" s="20" t="n">
        <v>1.90250807</v>
      </c>
      <c r="I64" s="18" t="s">
        <v>567</v>
      </c>
      <c r="J64" s="20" t="s">
        <v>567</v>
      </c>
      <c r="K64" s="18" t="n">
        <v>1.59060015</v>
      </c>
      <c r="L64" s="20" t="n">
        <v>0.5160287099999999</v>
      </c>
      <c r="M64" s="18" t="n">
        <v>0</v>
      </c>
      <c r="N64" s="20" t="n">
        <v>0</v>
      </c>
      <c r="O64" s="18" t="n">
        <v>0</v>
      </c>
      <c r="P64" s="20" t="n">
        <v>0</v>
      </c>
      <c r="Q64" s="18" t="n">
        <v>2.00752394</v>
      </c>
      <c r="R64" s="20" t="n">
        <v>0.57811599</v>
      </c>
    </row>
    <row r="65" spans="1:18">
      <c r="A65" s="15" t="s">
        <v>625</v>
      </c>
      <c r="B65" s="17" t="n">
        <v>2691</v>
      </c>
      <c r="C65" s="18">
        <f>(1789.0/B65*100)</f>
        <v/>
      </c>
      <c r="D65" s="19" t="n">
        <v>902</v>
      </c>
      <c r="E65" s="18" t="n">
        <v>47.99733598</v>
      </c>
      <c r="F65" s="20" t="n">
        <v>1.5216702</v>
      </c>
      <c r="G65" s="18" t="n">
        <v>45.59783876</v>
      </c>
      <c r="H65" s="20" t="n">
        <v>1.66968301</v>
      </c>
      <c r="I65" s="18" t="s">
        <v>567</v>
      </c>
      <c r="J65" s="20" t="s">
        <v>567</v>
      </c>
      <c r="K65" s="18" t="n">
        <v>4.71374048</v>
      </c>
      <c r="L65" s="20" t="n">
        <v>0.68377407</v>
      </c>
      <c r="M65" s="18" t="n">
        <v>0</v>
      </c>
      <c r="N65" s="20" t="n">
        <v>0</v>
      </c>
      <c r="O65" s="18" t="n">
        <v>0</v>
      </c>
      <c r="P65" s="20" t="n">
        <v>0</v>
      </c>
      <c r="Q65" s="18" t="n">
        <v>1.69108478</v>
      </c>
      <c r="R65" s="20" t="n">
        <v>0.41772874</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(1603.0/B69*100)</f>
        <v/>
      </c>
      <c r="D69" s="19" t="n">
        <v>807</v>
      </c>
      <c r="E69" s="18" t="n">
        <v>50.39124114</v>
      </c>
      <c r="F69" s="20" t="n">
        <v>2.0302312</v>
      </c>
      <c r="G69" s="18" t="n">
        <v>49.13514275</v>
      </c>
      <c r="H69" s="20" t="n">
        <v>2.03088679</v>
      </c>
      <c r="I69" s="18" t="s">
        <v>567</v>
      </c>
      <c r="J69" s="20" t="s">
        <v>567</v>
      </c>
      <c r="K69" s="18" t="n">
        <v>0</v>
      </c>
      <c r="L69" s="20" t="n">
        <v>0</v>
      </c>
      <c r="M69" s="18" t="n">
        <v>0</v>
      </c>
      <c r="N69" s="20" t="n">
        <v>0</v>
      </c>
      <c r="O69" s="18" t="n">
        <v>0</v>
      </c>
      <c r="P69" s="20" t="n">
        <v>0</v>
      </c>
      <c r="Q69" s="18" t="n">
        <v>0.47361611</v>
      </c>
      <c r="R69" s="20" t="n">
        <v>0.30178984</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(1491.0/B74*100)</f>
        <v/>
      </c>
      <c r="D74" s="19" t="n">
        <v>748</v>
      </c>
      <c r="E74" s="18" t="n">
        <v>43.76595867</v>
      </c>
      <c r="F74" s="20" t="n">
        <v>2.07876029</v>
      </c>
      <c r="G74" s="18" t="n">
        <v>46.37830301</v>
      </c>
      <c r="H74" s="20" t="n">
        <v>1.92286339</v>
      </c>
      <c r="I74" s="18" t="s">
        <v>567</v>
      </c>
      <c r="J74" s="20" t="s">
        <v>567</v>
      </c>
      <c r="K74" s="18" t="n">
        <v>5.77430556</v>
      </c>
      <c r="L74" s="20" t="n">
        <v>0.99503891</v>
      </c>
      <c r="M74" s="18" t="n">
        <v>0</v>
      </c>
      <c r="N74" s="20" t="n">
        <v>0</v>
      </c>
      <c r="O74" s="18" t="n">
        <v>0</v>
      </c>
      <c r="P74" s="20" t="n">
        <v>0</v>
      </c>
      <c r="Q74" s="18" t="n">
        <v>4.08143276</v>
      </c>
      <c r="R74" s="20" t="n">
        <v>0.77439508</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13.71063048</v>
      </c>
      <c r="F78" s="20" t="n">
        <v>1.41686604</v>
      </c>
      <c r="G78" s="18" t="n">
        <v>86.28936951999999</v>
      </c>
      <c r="H78" s="20" t="n">
        <v>1.41686604</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(529.0/B79*100)</f>
        <v/>
      </c>
      <c r="D79" s="19" t="n">
        <v>258</v>
      </c>
      <c r="E79" s="18" t="n">
        <v>0</v>
      </c>
      <c r="F79" s="20" t="n">
        <v>0</v>
      </c>
      <c r="G79" s="18" t="n">
        <v>0</v>
      </c>
      <c r="H79" s="20" t="n">
        <v>0</v>
      </c>
      <c r="I79" s="18" t="s">
        <v>567</v>
      </c>
      <c r="J79" s="20" t="s">
        <v>567</v>
      </c>
      <c r="K79" s="18" t="n">
        <v>0</v>
      </c>
      <c r="L79" s="20" t="n">
        <v>0</v>
      </c>
      <c r="M79" s="18" t="n">
        <v>100</v>
      </c>
      <c r="N79" s="20" t="n">
        <v>0</v>
      </c>
      <c r="O79" s="18" t="n">
        <v>0</v>
      </c>
      <c r="P79" s="20" t="n">
        <v>0</v>
      </c>
      <c r="Q79" s="18" t="n">
        <v>0</v>
      </c>
      <c r="R79" s="20" t="n">
        <v>0</v>
      </c>
    </row>
    <row r="80" spans="1:18">
      <c r="A80" s="15" t="s">
        <v>640</v>
      </c>
      <c r="B80" s="17" t="n">
        <v>3798</v>
      </c>
      <c r="C80" s="18">
        <f>(2538.0/B80*100)</f>
        <v/>
      </c>
      <c r="D80" s="19" t="n">
        <v>1260</v>
      </c>
      <c r="E80" s="18" t="n">
        <v>45.17243325</v>
      </c>
      <c r="F80" s="20" t="n">
        <v>2.09237875</v>
      </c>
      <c r="G80" s="18" t="n">
        <v>54.62599566</v>
      </c>
      <c r="H80" s="20" t="n">
        <v>2.09312721</v>
      </c>
      <c r="I80" s="18" t="s">
        <v>567</v>
      </c>
      <c r="J80" s="20" t="s">
        <v>567</v>
      </c>
      <c r="K80" s="18" t="n">
        <v>0</v>
      </c>
      <c r="L80" s="20" t="n">
        <v>0</v>
      </c>
      <c r="M80" s="18" t="n">
        <v>0</v>
      </c>
      <c r="N80" s="20" t="n">
        <v>0</v>
      </c>
      <c r="O80" s="18" t="n">
        <v>0</v>
      </c>
      <c r="P80" s="20" t="n">
        <v>0</v>
      </c>
      <c r="Q80" s="18" t="n">
        <v>0.20157109</v>
      </c>
      <c r="R80" s="20" t="n">
        <v>0.11925794</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(1673.0/B44*100)</f>
        <v/>
      </c>
      <c r="D44" s="19" t="n">
        <v>851</v>
      </c>
      <c r="E44" s="18" t="n">
        <v>40.25144026</v>
      </c>
      <c r="F44" s="20" t="n">
        <v>1.98645301</v>
      </c>
      <c r="G44" s="18" t="n">
        <v>27.33739144</v>
      </c>
      <c r="H44" s="20" t="n">
        <v>1.85015331</v>
      </c>
      <c r="I44" s="18" t="s">
        <v>567</v>
      </c>
      <c r="J44" s="20" t="s">
        <v>567</v>
      </c>
      <c r="K44" s="18" t="n">
        <v>3.89674152</v>
      </c>
      <c r="L44" s="20" t="n">
        <v>0.70882239</v>
      </c>
      <c r="M44" s="18" t="n">
        <v>0</v>
      </c>
      <c r="N44" s="20" t="n">
        <v>0</v>
      </c>
      <c r="O44" s="18" t="n">
        <v>0</v>
      </c>
      <c r="P44" s="20" t="n">
        <v>0</v>
      </c>
      <c r="Q44" s="18" t="n">
        <v>28.51442678</v>
      </c>
      <c r="R44" s="20" t="n">
        <v>1.985192</v>
      </c>
    </row>
    <row r="45" spans="1:18">
      <c r="A45" s="15" t="s">
        <v>605</v>
      </c>
      <c r="B45" s="17" t="n">
        <v>2849</v>
      </c>
      <c r="C45" s="18">
        <f>(1903.0/B45*100)</f>
        <v/>
      </c>
      <c r="D45" s="19" t="n">
        <v>946</v>
      </c>
      <c r="E45" s="18" t="n">
        <v>67.06605075</v>
      </c>
      <c r="F45" s="20" t="n">
        <v>1.70601915</v>
      </c>
      <c r="G45" s="18" t="n">
        <v>9.974940139999999</v>
      </c>
      <c r="H45" s="20" t="n">
        <v>1.25660199</v>
      </c>
      <c r="I45" s="18" t="s">
        <v>567</v>
      </c>
      <c r="J45" s="20" t="s">
        <v>567</v>
      </c>
      <c r="K45" s="18" t="n">
        <v>4.99285483</v>
      </c>
      <c r="L45" s="20" t="n">
        <v>0.78498888</v>
      </c>
      <c r="M45" s="18" t="n">
        <v>0.74884586</v>
      </c>
      <c r="N45" s="20" t="n">
        <v>0.31341503</v>
      </c>
      <c r="O45" s="18" t="n">
        <v>0.08480657</v>
      </c>
      <c r="P45" s="20" t="n">
        <v>0.12022433</v>
      </c>
      <c r="Q45" s="18" t="n">
        <v>17.13250184</v>
      </c>
      <c r="R45" s="20" t="n">
        <v>1.39838308</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(2060.0/B49*100)</f>
        <v/>
      </c>
      <c r="D49" s="19" t="n">
        <v>958</v>
      </c>
      <c r="E49" s="18" t="n">
        <v>54.19127762</v>
      </c>
      <c r="F49" s="20" t="n">
        <v>1.65719007</v>
      </c>
      <c r="G49" s="18" t="n">
        <v>18.19114055</v>
      </c>
      <c r="H49" s="20" t="n">
        <v>1.54123581</v>
      </c>
      <c r="I49" s="18" t="s">
        <v>567</v>
      </c>
      <c r="J49" s="20" t="s">
        <v>567</v>
      </c>
      <c r="K49" s="18" t="n">
        <v>2.66476279</v>
      </c>
      <c r="L49" s="20" t="n">
        <v>0.60350896</v>
      </c>
      <c r="M49" s="18" t="n">
        <v>1.16557423</v>
      </c>
      <c r="N49" s="20" t="n">
        <v>0.40121695</v>
      </c>
      <c r="O49" s="18" t="n">
        <v>0</v>
      </c>
      <c r="P49" s="20" t="n">
        <v>0</v>
      </c>
      <c r="Q49" s="18" t="n">
        <v>23.78724481</v>
      </c>
      <c r="R49" s="20" t="n">
        <v>1.78610053</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(1846.0/B55*100)</f>
        <v/>
      </c>
      <c r="D55" s="19" t="n">
        <v>913</v>
      </c>
      <c r="E55" s="18" t="n">
        <v>46.84189765</v>
      </c>
      <c r="F55" s="20" t="n">
        <v>1.69849287</v>
      </c>
      <c r="G55" s="18" t="n">
        <v>20.83766592</v>
      </c>
      <c r="H55" s="20" t="n">
        <v>1.45733925</v>
      </c>
      <c r="I55" s="18" t="s">
        <v>567</v>
      </c>
      <c r="J55" s="20" t="s">
        <v>567</v>
      </c>
      <c r="K55" s="18" t="n">
        <v>1.29695816</v>
      </c>
      <c r="L55" s="20" t="n">
        <v>0.36505949</v>
      </c>
      <c r="M55" s="18" t="n">
        <v>0</v>
      </c>
      <c r="N55" s="20" t="n">
        <v>0</v>
      </c>
      <c r="O55" s="18" t="n">
        <v>0.08612955999999999</v>
      </c>
      <c r="P55" s="20" t="n">
        <v>0.09007648</v>
      </c>
      <c r="Q55" s="18" t="n">
        <v>30.93734871</v>
      </c>
      <c r="R55" s="20" t="n">
        <v>1.71584348</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(2113.0/B57*100)</f>
        <v/>
      </c>
      <c r="D57" s="19" t="n">
        <v>1057</v>
      </c>
      <c r="E57" s="18" t="n">
        <v>62.71232492</v>
      </c>
      <c r="F57" s="20" t="n">
        <v>1.77894354</v>
      </c>
      <c r="G57" s="18" t="n">
        <v>19.2307616</v>
      </c>
      <c r="H57" s="20" t="n">
        <v>1.5462752</v>
      </c>
      <c r="I57" s="18" t="s">
        <v>567</v>
      </c>
      <c r="J57" s="20" t="s">
        <v>567</v>
      </c>
      <c r="K57" s="18" t="n">
        <v>1.41154862</v>
      </c>
      <c r="L57" s="20" t="n">
        <v>0.48753204</v>
      </c>
      <c r="M57" s="18" t="n">
        <v>0</v>
      </c>
      <c r="N57" s="20" t="n">
        <v>0</v>
      </c>
      <c r="O57" s="18" t="n">
        <v>0</v>
      </c>
      <c r="P57" s="20" t="n">
        <v>0</v>
      </c>
      <c r="Q57" s="18" t="n">
        <v>16.64536486</v>
      </c>
      <c r="R57" s="20" t="n">
        <v>1.29723162</v>
      </c>
    </row>
    <row r="58" spans="1:18">
      <c r="A58" s="15" t="s">
        <v>618</v>
      </c>
      <c r="B58" s="17" t="n">
        <v>3530</v>
      </c>
      <c r="C58" s="18">
        <f>(2348.0/B58*100)</f>
        <v/>
      </c>
      <c r="D58" s="19" t="n">
        <v>1182</v>
      </c>
      <c r="E58" s="18" t="n">
        <v>57.7440326</v>
      </c>
      <c r="F58" s="20" t="n">
        <v>1.81040243</v>
      </c>
      <c r="G58" s="18" t="n">
        <v>23.19173866</v>
      </c>
      <c r="H58" s="20" t="n">
        <v>1.8098343</v>
      </c>
      <c r="I58" s="18" t="s">
        <v>567</v>
      </c>
      <c r="J58" s="20" t="s">
        <v>567</v>
      </c>
      <c r="K58" s="18" t="n">
        <v>2.98709265</v>
      </c>
      <c r="L58" s="20" t="n">
        <v>0.57614245</v>
      </c>
      <c r="M58" s="18" t="n">
        <v>0</v>
      </c>
      <c r="N58" s="20" t="n">
        <v>0</v>
      </c>
      <c r="O58" s="18" t="n">
        <v>0</v>
      </c>
      <c r="P58" s="20" t="n">
        <v>0</v>
      </c>
      <c r="Q58" s="18" t="n">
        <v>16.0771361</v>
      </c>
      <c r="R58" s="20" t="n">
        <v>1.30602514</v>
      </c>
    </row>
    <row r="59" spans="1:18">
      <c r="A59" s="15" t="s">
        <v>619</v>
      </c>
      <c r="B59" s="17" t="n">
        <v>2548</v>
      </c>
      <c r="C59" s="18">
        <f>(1717.0/B59*100)</f>
        <v/>
      </c>
      <c r="D59" s="19" t="n">
        <v>831</v>
      </c>
      <c r="E59" s="18" t="n">
        <v>60.26264242</v>
      </c>
      <c r="F59" s="20" t="n">
        <v>1.9758806</v>
      </c>
      <c r="G59" s="18" t="n">
        <v>11.08310634</v>
      </c>
      <c r="H59" s="20" t="n">
        <v>1.44641235</v>
      </c>
      <c r="I59" s="18" t="s">
        <v>567</v>
      </c>
      <c r="J59" s="20" t="s">
        <v>567</v>
      </c>
      <c r="K59" s="18" t="n">
        <v>0.54038165</v>
      </c>
      <c r="L59" s="20" t="n">
        <v>0.23797441</v>
      </c>
      <c r="M59" s="18" t="n">
        <v>0.04965665</v>
      </c>
      <c r="N59" s="20" t="n">
        <v>0.0498933</v>
      </c>
      <c r="O59" s="18" t="n">
        <v>0</v>
      </c>
      <c r="P59" s="20" t="n">
        <v>0</v>
      </c>
      <c r="Q59" s="18" t="n">
        <v>28.06421294</v>
      </c>
      <c r="R59" s="20" t="n">
        <v>1.5428167</v>
      </c>
    </row>
    <row r="60" spans="1:18">
      <c r="A60" s="15" t="s">
        <v>620</v>
      </c>
      <c r="B60" s="17" t="n">
        <v>2095</v>
      </c>
      <c r="C60" s="18">
        <f>(1419.0/B60*100)</f>
        <v/>
      </c>
      <c r="D60" s="19" t="n">
        <v>676</v>
      </c>
      <c r="E60" s="18" t="n">
        <v>46.13722942</v>
      </c>
      <c r="F60" s="20" t="n">
        <v>2.07545856</v>
      </c>
      <c r="G60" s="18" t="n">
        <v>25.21137743</v>
      </c>
      <c r="H60" s="20" t="n">
        <v>2.0139774</v>
      </c>
      <c r="I60" s="18" t="s">
        <v>567</v>
      </c>
      <c r="J60" s="20" t="s">
        <v>567</v>
      </c>
      <c r="K60" s="18" t="n">
        <v>4.69922682</v>
      </c>
      <c r="L60" s="20" t="n">
        <v>0.97574367</v>
      </c>
      <c r="M60" s="18" t="n">
        <v>0</v>
      </c>
      <c r="N60" s="20" t="n">
        <v>0</v>
      </c>
      <c r="O60" s="18" t="n">
        <v>0</v>
      </c>
      <c r="P60" s="20" t="n">
        <v>0</v>
      </c>
      <c r="Q60" s="18" t="n">
        <v>23.95216633</v>
      </c>
      <c r="R60" s="20" t="n">
        <v>1.98804815</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(1883.0/B63*100)</f>
        <v/>
      </c>
      <c r="D63" s="19" t="n">
        <v>930</v>
      </c>
      <c r="E63" s="18" t="n">
        <v>43.46212298</v>
      </c>
      <c r="F63" s="20" t="n">
        <v>1.55728483</v>
      </c>
      <c r="G63" s="18" t="n">
        <v>12.93209662</v>
      </c>
      <c r="H63" s="20" t="n">
        <v>1.16051976</v>
      </c>
      <c r="I63" s="18" t="s">
        <v>567</v>
      </c>
      <c r="J63" s="20" t="s">
        <v>567</v>
      </c>
      <c r="K63" s="18" t="n">
        <v>3.44704307</v>
      </c>
      <c r="L63" s="20" t="n">
        <v>0.66518806</v>
      </c>
      <c r="M63" s="18" t="n">
        <v>0</v>
      </c>
      <c r="N63" s="20" t="n">
        <v>0</v>
      </c>
      <c r="O63" s="18" t="n">
        <v>0</v>
      </c>
      <c r="P63" s="20" t="n">
        <v>0</v>
      </c>
      <c r="Q63" s="18" t="n">
        <v>40.15873733</v>
      </c>
      <c r="R63" s="20" t="n">
        <v>1.70137485</v>
      </c>
    </row>
    <row r="64" spans="1:18">
      <c r="A64" s="15" t="s">
        <v>624</v>
      </c>
      <c r="B64" s="17" t="n">
        <v>1844</v>
      </c>
      <c r="C64" s="18">
        <f>(1232.0/B64*100)</f>
        <v/>
      </c>
      <c r="D64" s="19" t="n">
        <v>612</v>
      </c>
      <c r="E64" s="18" t="n">
        <v>41.30726888</v>
      </c>
      <c r="F64" s="20" t="n">
        <v>1.63509712</v>
      </c>
      <c r="G64" s="18" t="n">
        <v>43.10610687</v>
      </c>
      <c r="H64" s="20" t="n">
        <v>1.7556612</v>
      </c>
      <c r="I64" s="18" t="s">
        <v>567</v>
      </c>
      <c r="J64" s="20" t="s">
        <v>567</v>
      </c>
      <c r="K64" s="18" t="n">
        <v>1.94019967</v>
      </c>
      <c r="L64" s="20" t="n">
        <v>0.56714506</v>
      </c>
      <c r="M64" s="18" t="n">
        <v>0</v>
      </c>
      <c r="N64" s="20" t="n">
        <v>0</v>
      </c>
      <c r="O64" s="18" t="n">
        <v>0</v>
      </c>
      <c r="P64" s="20" t="n">
        <v>0</v>
      </c>
      <c r="Q64" s="18" t="n">
        <v>13.64642459</v>
      </c>
      <c r="R64" s="20" t="n">
        <v>1.5412438</v>
      </c>
    </row>
    <row r="65" spans="1:18">
      <c r="A65" s="15" t="s">
        <v>625</v>
      </c>
      <c r="B65" s="17" t="n">
        <v>2691</v>
      </c>
      <c r="C65" s="18">
        <f>(1789.0/B65*100)</f>
        <v/>
      </c>
      <c r="D65" s="19" t="n">
        <v>902</v>
      </c>
      <c r="E65" s="18" t="n">
        <v>40.6756003</v>
      </c>
      <c r="F65" s="20" t="n">
        <v>1.65047267</v>
      </c>
      <c r="G65" s="18" t="n">
        <v>27.91495101</v>
      </c>
      <c r="H65" s="20" t="n">
        <v>1.79917639</v>
      </c>
      <c r="I65" s="18" t="s">
        <v>567</v>
      </c>
      <c r="J65" s="20" t="s">
        <v>567</v>
      </c>
      <c r="K65" s="18" t="n">
        <v>5.25853672</v>
      </c>
      <c r="L65" s="20" t="n">
        <v>0.73929706</v>
      </c>
      <c r="M65" s="18" t="n">
        <v>0</v>
      </c>
      <c r="N65" s="20" t="n">
        <v>0</v>
      </c>
      <c r="O65" s="18" t="n">
        <v>0</v>
      </c>
      <c r="P65" s="20" t="n">
        <v>0</v>
      </c>
      <c r="Q65" s="18" t="n">
        <v>26.15091198</v>
      </c>
      <c r="R65" s="20" t="n">
        <v>1.45355943</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(1603.0/B69*100)</f>
        <v/>
      </c>
      <c r="D69" s="19" t="n">
        <v>807</v>
      </c>
      <c r="E69" s="18" t="n">
        <v>71.36993750000001</v>
      </c>
      <c r="F69" s="20" t="n">
        <v>1.91592369</v>
      </c>
      <c r="G69" s="18" t="n">
        <v>28.50997627</v>
      </c>
      <c r="H69" s="20" t="n">
        <v>1.91882343</v>
      </c>
      <c r="I69" s="18" t="s">
        <v>567</v>
      </c>
      <c r="J69" s="20" t="s">
        <v>567</v>
      </c>
      <c r="K69" s="18" t="n">
        <v>0</v>
      </c>
      <c r="L69" s="20" t="n">
        <v>0</v>
      </c>
      <c r="M69" s="18" t="n">
        <v>0</v>
      </c>
      <c r="N69" s="20" t="n">
        <v>0</v>
      </c>
      <c r="O69" s="18" t="n">
        <v>0</v>
      </c>
      <c r="P69" s="20" t="n">
        <v>0</v>
      </c>
      <c r="Q69" s="18" t="n">
        <v>0.12008623</v>
      </c>
      <c r="R69" s="20" t="n">
        <v>0.12002461</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(1491.0/B74*100)</f>
        <v/>
      </c>
      <c r="D74" s="19" t="n">
        <v>748</v>
      </c>
      <c r="E74" s="18" t="n">
        <v>43.58799109</v>
      </c>
      <c r="F74" s="20" t="n">
        <v>2.3410011</v>
      </c>
      <c r="G74" s="18" t="n">
        <v>21.10356256</v>
      </c>
      <c r="H74" s="20" t="n">
        <v>1.58475145</v>
      </c>
      <c r="I74" s="18" t="s">
        <v>567</v>
      </c>
      <c r="J74" s="20" t="s">
        <v>567</v>
      </c>
      <c r="K74" s="18" t="n">
        <v>6.58020696</v>
      </c>
      <c r="L74" s="20" t="n">
        <v>1.1012705</v>
      </c>
      <c r="M74" s="18" t="n">
        <v>0</v>
      </c>
      <c r="N74" s="20" t="n">
        <v>0</v>
      </c>
      <c r="O74" s="18" t="n">
        <v>0</v>
      </c>
      <c r="P74" s="20" t="n">
        <v>0</v>
      </c>
      <c r="Q74" s="18" t="n">
        <v>28.72823939</v>
      </c>
      <c r="R74" s="20" t="n">
        <v>1.84712717</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45.82882348</v>
      </c>
      <c r="F78" s="20" t="n">
        <v>1.96278471</v>
      </c>
      <c r="G78" s="18" t="n">
        <v>49.93291694</v>
      </c>
      <c r="H78" s="20" t="n">
        <v>1.99691157</v>
      </c>
      <c r="I78" s="18" t="s">
        <v>567</v>
      </c>
      <c r="J78" s="20" t="s">
        <v>567</v>
      </c>
      <c r="K78" s="18" t="n">
        <v>0</v>
      </c>
      <c r="L78" s="20" t="n">
        <v>0</v>
      </c>
      <c r="M78" s="18" t="n">
        <v>0</v>
      </c>
      <c r="N78" s="20" t="n">
        <v>0</v>
      </c>
      <c r="O78" s="18" t="n">
        <v>0</v>
      </c>
      <c r="P78" s="20" t="n">
        <v>0</v>
      </c>
      <c r="Q78" s="18" t="n">
        <v>4.23825958</v>
      </c>
      <c r="R78" s="20" t="n">
        <v>0.86749191</v>
      </c>
    </row>
    <row customHeight="1" ht="25" r="79" spans="1:18">
      <c r="A79" s="15" t="s">
        <v>639</v>
      </c>
      <c r="B79" s="17" t="n">
        <v>787</v>
      </c>
      <c r="C79" s="18">
        <f>(529.0/B79*100)</f>
        <v/>
      </c>
      <c r="D79" s="19" t="n">
        <v>258</v>
      </c>
      <c r="E79" s="18" t="n">
        <v>48.57683504</v>
      </c>
      <c r="F79" s="20" t="n">
        <v>2.86775344</v>
      </c>
      <c r="G79" s="18" t="n">
        <v>27.39264296</v>
      </c>
      <c r="H79" s="20" t="n">
        <v>3.53947914</v>
      </c>
      <c r="I79" s="18" t="s">
        <v>567</v>
      </c>
      <c r="J79" s="20" t="s">
        <v>567</v>
      </c>
      <c r="K79" s="18" t="n">
        <v>3.67387903</v>
      </c>
      <c r="L79" s="20" t="n">
        <v>1.00596781</v>
      </c>
      <c r="M79" s="18" t="n">
        <v>1.67915126</v>
      </c>
      <c r="N79" s="20" t="n">
        <v>0.84859308</v>
      </c>
      <c r="O79" s="18" t="n">
        <v>0</v>
      </c>
      <c r="P79" s="20" t="n">
        <v>0</v>
      </c>
      <c r="Q79" s="18" t="n">
        <v>18.67749171</v>
      </c>
      <c r="R79" s="20" t="n">
        <v>2.11889567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(1673.0/B44*100)</f>
        <v/>
      </c>
      <c r="D44" s="19" t="n">
        <v>851</v>
      </c>
      <c r="E44" s="18" t="n">
        <v>64.10810728</v>
      </c>
      <c r="F44" s="20" t="n">
        <v>1.6944456</v>
      </c>
      <c r="G44" s="18" t="n">
        <v>27.1906469</v>
      </c>
      <c r="H44" s="20" t="n">
        <v>1.6935156</v>
      </c>
      <c r="I44" s="18" t="s">
        <v>567</v>
      </c>
      <c r="J44" s="20" t="s">
        <v>567</v>
      </c>
      <c r="K44" s="18" t="n">
        <v>4.35560924</v>
      </c>
      <c r="L44" s="20" t="n">
        <v>0.7966534199999999</v>
      </c>
      <c r="M44" s="18" t="n">
        <v>0</v>
      </c>
      <c r="N44" s="20" t="n">
        <v>0</v>
      </c>
      <c r="O44" s="18" t="n">
        <v>0</v>
      </c>
      <c r="P44" s="20" t="n">
        <v>0</v>
      </c>
      <c r="Q44" s="18" t="n">
        <v>4.34563659</v>
      </c>
      <c r="R44" s="20" t="n">
        <v>0.8009998699999999</v>
      </c>
    </row>
    <row r="45" spans="1:18">
      <c r="A45" s="15" t="s">
        <v>605</v>
      </c>
      <c r="B45" s="17" t="n">
        <v>2849</v>
      </c>
      <c r="C45" s="18">
        <f>(1903.0/B45*100)</f>
        <v/>
      </c>
      <c r="D45" s="19" t="n">
        <v>946</v>
      </c>
      <c r="E45" s="18" t="n">
        <v>76.67025051</v>
      </c>
      <c r="F45" s="20" t="n">
        <v>1.3050067</v>
      </c>
      <c r="G45" s="18" t="n">
        <v>14.78433909</v>
      </c>
      <c r="H45" s="20" t="n">
        <v>1.16268826</v>
      </c>
      <c r="I45" s="18" t="s">
        <v>567</v>
      </c>
      <c r="J45" s="20" t="s">
        <v>567</v>
      </c>
      <c r="K45" s="18" t="n">
        <v>5.25780639</v>
      </c>
      <c r="L45" s="20" t="n">
        <v>0.77600149</v>
      </c>
      <c r="M45" s="18" t="n">
        <v>0.17511251</v>
      </c>
      <c r="N45" s="20" t="n">
        <v>0.12782932</v>
      </c>
      <c r="O45" s="18" t="n">
        <v>0</v>
      </c>
      <c r="P45" s="20" t="n">
        <v>0</v>
      </c>
      <c r="Q45" s="18" t="n">
        <v>3.1124915</v>
      </c>
      <c r="R45" s="20" t="n">
        <v>0.66234666</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(2060.0/B49*100)</f>
        <v/>
      </c>
      <c r="D49" s="19" t="n">
        <v>958</v>
      </c>
      <c r="E49" s="18" t="n">
        <v>57.57074394</v>
      </c>
      <c r="F49" s="20" t="n">
        <v>1.65699163</v>
      </c>
      <c r="G49" s="18" t="n">
        <v>36.41809243</v>
      </c>
      <c r="H49" s="20" t="n">
        <v>1.64995161</v>
      </c>
      <c r="I49" s="18" t="s">
        <v>567</v>
      </c>
      <c r="J49" s="20" t="s">
        <v>567</v>
      </c>
      <c r="K49" s="18" t="n">
        <v>2.76501566</v>
      </c>
      <c r="L49" s="20" t="n">
        <v>0.61056177</v>
      </c>
      <c r="M49" s="18" t="n">
        <v>1.16557423</v>
      </c>
      <c r="N49" s="20" t="n">
        <v>0.40121695</v>
      </c>
      <c r="O49" s="18" t="n">
        <v>0</v>
      </c>
      <c r="P49" s="20" t="n">
        <v>0</v>
      </c>
      <c r="Q49" s="18" t="n">
        <v>2.08057374</v>
      </c>
      <c r="R49" s="20" t="n">
        <v>0.52261165</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(1846.0/B55*100)</f>
        <v/>
      </c>
      <c r="D55" s="19" t="n">
        <v>913</v>
      </c>
      <c r="E55" s="18" t="n">
        <v>67.56650718</v>
      </c>
      <c r="F55" s="20" t="n">
        <v>1.60897503</v>
      </c>
      <c r="G55" s="18" t="n">
        <v>28.78957566</v>
      </c>
      <c r="H55" s="20" t="n">
        <v>1.6922061</v>
      </c>
      <c r="I55" s="18" t="s">
        <v>567</v>
      </c>
      <c r="J55" s="20" t="s">
        <v>567</v>
      </c>
      <c r="K55" s="18" t="n">
        <v>1.61910095</v>
      </c>
      <c r="L55" s="20" t="n">
        <v>0.42120147</v>
      </c>
      <c r="M55" s="18" t="n">
        <v>0</v>
      </c>
      <c r="N55" s="20" t="n">
        <v>0</v>
      </c>
      <c r="O55" s="18" t="n">
        <v>0.12601149</v>
      </c>
      <c r="P55" s="20" t="n">
        <v>0.13321076</v>
      </c>
      <c r="Q55" s="18" t="n">
        <v>1.89880472</v>
      </c>
      <c r="R55" s="20" t="n">
        <v>0.43983786</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(2113.0/B57*100)</f>
        <v/>
      </c>
      <c r="D57" s="19" t="n">
        <v>1057</v>
      </c>
      <c r="E57" s="18" t="n">
        <v>72.22564477</v>
      </c>
      <c r="F57" s="20" t="n">
        <v>1.68056421</v>
      </c>
      <c r="G57" s="18" t="n">
        <v>25.05716172</v>
      </c>
      <c r="H57" s="20" t="n">
        <v>1.6145736</v>
      </c>
      <c r="I57" s="18" t="s">
        <v>567</v>
      </c>
      <c r="J57" s="20" t="s">
        <v>567</v>
      </c>
      <c r="K57" s="18" t="n">
        <v>1.50921033</v>
      </c>
      <c r="L57" s="20" t="n">
        <v>0.48537084</v>
      </c>
      <c r="M57" s="18" t="n">
        <v>0.09483448999999999</v>
      </c>
      <c r="N57" s="20" t="n">
        <v>0.09062073</v>
      </c>
      <c r="O57" s="18" t="n">
        <v>0</v>
      </c>
      <c r="P57" s="20" t="n">
        <v>0</v>
      </c>
      <c r="Q57" s="18" t="n">
        <v>1.11314868</v>
      </c>
      <c r="R57" s="20" t="n">
        <v>0.3044389</v>
      </c>
    </row>
    <row r="58" spans="1:18">
      <c r="A58" s="15" t="s">
        <v>618</v>
      </c>
      <c r="B58" s="17" t="n">
        <v>3530</v>
      </c>
      <c r="C58" s="18">
        <f>(2348.0/B58*100)</f>
        <v/>
      </c>
      <c r="D58" s="19" t="n">
        <v>1182</v>
      </c>
      <c r="E58" s="18" t="n">
        <v>74.25486411</v>
      </c>
      <c r="F58" s="20" t="n">
        <v>1.57719965</v>
      </c>
      <c r="G58" s="18" t="n">
        <v>19.42296044</v>
      </c>
      <c r="H58" s="20" t="n">
        <v>1.57407654</v>
      </c>
      <c r="I58" s="18" t="s">
        <v>567</v>
      </c>
      <c r="J58" s="20" t="s">
        <v>567</v>
      </c>
      <c r="K58" s="18" t="n">
        <v>3.1167186</v>
      </c>
      <c r="L58" s="20" t="n">
        <v>0.57109829</v>
      </c>
      <c r="M58" s="18" t="n">
        <v>0</v>
      </c>
      <c r="N58" s="20" t="n">
        <v>0</v>
      </c>
      <c r="O58" s="18" t="n">
        <v>0.1451993</v>
      </c>
      <c r="P58" s="20" t="n">
        <v>0.14348807</v>
      </c>
      <c r="Q58" s="18" t="n">
        <v>3.06025755</v>
      </c>
      <c r="R58" s="20" t="n">
        <v>0.66665867</v>
      </c>
    </row>
    <row r="59" spans="1:18">
      <c r="A59" s="15" t="s">
        <v>619</v>
      </c>
      <c r="B59" s="17" t="n">
        <v>2548</v>
      </c>
      <c r="C59" s="18">
        <f>(1717.0/B59*100)</f>
        <v/>
      </c>
      <c r="D59" s="19" t="n">
        <v>831</v>
      </c>
      <c r="E59" s="18" t="n">
        <v>82.31352397000001</v>
      </c>
      <c r="F59" s="20" t="n">
        <v>1.63008435</v>
      </c>
      <c r="G59" s="18" t="n">
        <v>15.52777195</v>
      </c>
      <c r="H59" s="20" t="n">
        <v>1.56367925</v>
      </c>
      <c r="I59" s="18" t="s">
        <v>567</v>
      </c>
      <c r="J59" s="20" t="s">
        <v>567</v>
      </c>
      <c r="K59" s="18" t="n">
        <v>0.54038165</v>
      </c>
      <c r="L59" s="20" t="n">
        <v>0.23797441</v>
      </c>
      <c r="M59" s="18" t="n">
        <v>0</v>
      </c>
      <c r="N59" s="20" t="n">
        <v>0</v>
      </c>
      <c r="O59" s="18" t="n">
        <v>0.07746790000000001</v>
      </c>
      <c r="P59" s="20" t="n">
        <v>0.07802793</v>
      </c>
      <c r="Q59" s="18" t="n">
        <v>1.54085453</v>
      </c>
      <c r="R59" s="20" t="n">
        <v>0.47293239</v>
      </c>
    </row>
    <row r="60" spans="1:18">
      <c r="A60" s="15" t="s">
        <v>620</v>
      </c>
      <c r="B60" s="17" t="n">
        <v>2095</v>
      </c>
      <c r="C60" s="18">
        <f>(1419.0/B60*100)</f>
        <v/>
      </c>
      <c r="D60" s="19" t="n">
        <v>676</v>
      </c>
      <c r="E60" s="18" t="n">
        <v>75.18596257</v>
      </c>
      <c r="F60" s="20" t="n">
        <v>1.96196775</v>
      </c>
      <c r="G60" s="18" t="n">
        <v>17.97782801</v>
      </c>
      <c r="H60" s="20" t="n">
        <v>1.77680076</v>
      </c>
      <c r="I60" s="18" t="s">
        <v>567</v>
      </c>
      <c r="J60" s="20" t="s">
        <v>567</v>
      </c>
      <c r="K60" s="18" t="n">
        <v>4.69922682</v>
      </c>
      <c r="L60" s="20" t="n">
        <v>0.97574367</v>
      </c>
      <c r="M60" s="18" t="n">
        <v>0</v>
      </c>
      <c r="N60" s="20" t="n">
        <v>0</v>
      </c>
      <c r="O60" s="18" t="n">
        <v>0</v>
      </c>
      <c r="P60" s="20" t="n">
        <v>0</v>
      </c>
      <c r="Q60" s="18" t="n">
        <v>2.1369826</v>
      </c>
      <c r="R60" s="20" t="n">
        <v>0.6834468</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(1883.0/B63*100)</f>
        <v/>
      </c>
      <c r="D63" s="19" t="n">
        <v>930</v>
      </c>
      <c r="E63" s="18" t="n">
        <v>82.960381</v>
      </c>
      <c r="F63" s="20" t="n">
        <v>1.35295651</v>
      </c>
      <c r="G63" s="18" t="n">
        <v>10.12076009</v>
      </c>
      <c r="H63" s="20" t="n">
        <v>1.24833119</v>
      </c>
      <c r="I63" s="18" t="s">
        <v>567</v>
      </c>
      <c r="J63" s="20" t="s">
        <v>567</v>
      </c>
      <c r="K63" s="18" t="n">
        <v>3.44704307</v>
      </c>
      <c r="L63" s="20" t="n">
        <v>0.66518806</v>
      </c>
      <c r="M63" s="18" t="n">
        <v>0</v>
      </c>
      <c r="N63" s="20" t="n">
        <v>0</v>
      </c>
      <c r="O63" s="18" t="n">
        <v>0.11513605</v>
      </c>
      <c r="P63" s="20" t="n">
        <v>0.11643033</v>
      </c>
      <c r="Q63" s="18" t="n">
        <v>3.35667979</v>
      </c>
      <c r="R63" s="20" t="n">
        <v>0.64905297</v>
      </c>
    </row>
    <row r="64" spans="1:18">
      <c r="A64" s="15" t="s">
        <v>624</v>
      </c>
      <c r="B64" s="17" t="n">
        <v>1844</v>
      </c>
      <c r="C64" s="18">
        <f>(1232.0/B64*100)</f>
        <v/>
      </c>
      <c r="D64" s="19" t="n">
        <v>612</v>
      </c>
      <c r="E64" s="18" t="n">
        <v>54.27779966</v>
      </c>
      <c r="F64" s="20" t="n">
        <v>1.88036816</v>
      </c>
      <c r="G64" s="18" t="n">
        <v>41.10546255</v>
      </c>
      <c r="H64" s="20" t="n">
        <v>1.92023458</v>
      </c>
      <c r="I64" s="18" t="s">
        <v>567</v>
      </c>
      <c r="J64" s="20" t="s">
        <v>567</v>
      </c>
      <c r="K64" s="18" t="n">
        <v>2.11478163</v>
      </c>
      <c r="L64" s="20" t="n">
        <v>0.59383953</v>
      </c>
      <c r="M64" s="18" t="n">
        <v>0</v>
      </c>
      <c r="N64" s="20" t="n">
        <v>0</v>
      </c>
      <c r="O64" s="18" t="n">
        <v>0</v>
      </c>
      <c r="P64" s="20" t="n">
        <v>0</v>
      </c>
      <c r="Q64" s="18" t="n">
        <v>2.50195616</v>
      </c>
      <c r="R64" s="20" t="n">
        <v>0.66033436</v>
      </c>
    </row>
    <row r="65" spans="1:18">
      <c r="A65" s="15" t="s">
        <v>625</v>
      </c>
      <c r="B65" s="17" t="n">
        <v>2691</v>
      </c>
      <c r="C65" s="18">
        <f>(1789.0/B65*100)</f>
        <v/>
      </c>
      <c r="D65" s="19" t="n">
        <v>902</v>
      </c>
      <c r="E65" s="18" t="n">
        <v>60.66179717</v>
      </c>
      <c r="F65" s="20" t="n">
        <v>1.45173694</v>
      </c>
      <c r="G65" s="18" t="n">
        <v>31.9239797</v>
      </c>
      <c r="H65" s="20" t="n">
        <v>1.37800654</v>
      </c>
      <c r="I65" s="18" t="s">
        <v>567</v>
      </c>
      <c r="J65" s="20" t="s">
        <v>567</v>
      </c>
      <c r="K65" s="18" t="n">
        <v>5.27916976</v>
      </c>
      <c r="L65" s="20" t="n">
        <v>0.73902422</v>
      </c>
      <c r="M65" s="18" t="n">
        <v>0</v>
      </c>
      <c r="N65" s="20" t="n">
        <v>0</v>
      </c>
      <c r="O65" s="18" t="n">
        <v>0</v>
      </c>
      <c r="P65" s="20" t="n">
        <v>0</v>
      </c>
      <c r="Q65" s="18" t="n">
        <v>2.13505337</v>
      </c>
      <c r="R65" s="20" t="n">
        <v>0.48453105</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(1603.0/B69*100)</f>
        <v/>
      </c>
      <c r="D69" s="19" t="n">
        <v>807</v>
      </c>
      <c r="E69" s="18" t="n">
        <v>71.85544229</v>
      </c>
      <c r="F69" s="20" t="n">
        <v>1.58410471</v>
      </c>
      <c r="G69" s="18" t="n">
        <v>27.54133099</v>
      </c>
      <c r="H69" s="20" t="n">
        <v>1.55883356</v>
      </c>
      <c r="I69" s="18" t="s">
        <v>567</v>
      </c>
      <c r="J69" s="20" t="s">
        <v>567</v>
      </c>
      <c r="K69" s="18" t="n">
        <v>0</v>
      </c>
      <c r="L69" s="20" t="n">
        <v>0</v>
      </c>
      <c r="M69" s="18" t="n">
        <v>0</v>
      </c>
      <c r="N69" s="20" t="n">
        <v>0</v>
      </c>
      <c r="O69" s="18" t="n">
        <v>0</v>
      </c>
      <c r="P69" s="20" t="n">
        <v>0</v>
      </c>
      <c r="Q69" s="18" t="n">
        <v>0.60322672</v>
      </c>
      <c r="R69" s="20" t="n">
        <v>0.32577986</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(1491.0/B74*100)</f>
        <v/>
      </c>
      <c r="D74" s="19" t="n">
        <v>748</v>
      </c>
      <c r="E74" s="18" t="n">
        <v>55.36780305</v>
      </c>
      <c r="F74" s="20" t="n">
        <v>1.85372836</v>
      </c>
      <c r="G74" s="18" t="n">
        <v>33.13138086</v>
      </c>
      <c r="H74" s="20" t="n">
        <v>1.92873361</v>
      </c>
      <c r="I74" s="18" t="s">
        <v>567</v>
      </c>
      <c r="J74" s="20" t="s">
        <v>567</v>
      </c>
      <c r="K74" s="18" t="n">
        <v>6.58020696</v>
      </c>
      <c r="L74" s="20" t="n">
        <v>1.1012705</v>
      </c>
      <c r="M74" s="18" t="n">
        <v>0</v>
      </c>
      <c r="N74" s="20" t="n">
        <v>0</v>
      </c>
      <c r="O74" s="18" t="n">
        <v>0</v>
      </c>
      <c r="P74" s="20" t="n">
        <v>0</v>
      </c>
      <c r="Q74" s="18" t="n">
        <v>4.92060913</v>
      </c>
      <c r="R74" s="20" t="n">
        <v>0.90466649</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33.75120322</v>
      </c>
      <c r="F78" s="20" t="n">
        <v>1.71783799</v>
      </c>
      <c r="G78" s="18" t="n">
        <v>66.24879678000001</v>
      </c>
      <c r="H78" s="20" t="n">
        <v>1.71783799</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(529.0/B79*100)</f>
        <v/>
      </c>
      <c r="D79" s="19" t="n">
        <v>258</v>
      </c>
      <c r="E79" s="18" t="n">
        <v>49.87363849</v>
      </c>
      <c r="F79" s="20" t="n">
        <v>3.47210025</v>
      </c>
      <c r="G79" s="18" t="n">
        <v>41.56157691</v>
      </c>
      <c r="H79" s="20" t="n">
        <v>3.04149728</v>
      </c>
      <c r="I79" s="18" t="s">
        <v>567</v>
      </c>
      <c r="J79" s="20" t="s">
        <v>567</v>
      </c>
      <c r="K79" s="18" t="n">
        <v>3.84702247</v>
      </c>
      <c r="L79" s="20" t="n">
        <v>1.03675474</v>
      </c>
      <c r="M79" s="18" t="n">
        <v>1.67915126</v>
      </c>
      <c r="N79" s="20" t="n">
        <v>0.84859308</v>
      </c>
      <c r="O79" s="18" t="n">
        <v>0</v>
      </c>
      <c r="P79" s="20" t="n">
        <v>0</v>
      </c>
      <c r="Q79" s="18" t="n">
        <v>3.03861088</v>
      </c>
      <c r="R79" s="20" t="n">
        <v>1.17432306</v>
      </c>
    </row>
    <row r="80" spans="1:18">
      <c r="A80" s="15" t="s">
        <v>640</v>
      </c>
      <c r="B80" s="17" t="n">
        <v>3798</v>
      </c>
      <c r="C80" s="18">
        <f>(2538.0/B80*100)</f>
        <v/>
      </c>
      <c r="D80" s="19" t="n">
        <v>1260</v>
      </c>
      <c r="E80" s="18" t="n">
        <v>63.46030747</v>
      </c>
      <c r="F80" s="20" t="n">
        <v>2.21956017</v>
      </c>
      <c r="G80" s="18" t="n">
        <v>36.35854174</v>
      </c>
      <c r="H80" s="20" t="n">
        <v>2.23522642</v>
      </c>
      <c r="I80" s="18" t="s">
        <v>567</v>
      </c>
      <c r="J80" s="20" t="s">
        <v>567</v>
      </c>
      <c r="K80" s="18" t="n">
        <v>0</v>
      </c>
      <c r="L80" s="20" t="n">
        <v>0</v>
      </c>
      <c r="M80" s="18" t="n">
        <v>0</v>
      </c>
      <c r="N80" s="20" t="n">
        <v>0</v>
      </c>
      <c r="O80" s="18" t="n">
        <v>0</v>
      </c>
      <c r="P80" s="20" t="n">
        <v>0</v>
      </c>
      <c r="Q80" s="18" t="n">
        <v>0.18115079</v>
      </c>
      <c r="R80" s="20" t="n">
        <v>0.12774703</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(1673.0/B44*100)</f>
        <v/>
      </c>
      <c r="D44" s="19" t="n">
        <v>851</v>
      </c>
      <c r="E44" s="18" t="n">
        <v>28.65298282</v>
      </c>
      <c r="F44" s="20" t="n">
        <v>2.05195752</v>
      </c>
      <c r="G44" s="18" t="n">
        <v>39.2319268</v>
      </c>
      <c r="H44" s="20" t="n">
        <v>2.26315676</v>
      </c>
      <c r="I44" s="18" t="s">
        <v>567</v>
      </c>
      <c r="J44" s="20" t="s">
        <v>567</v>
      </c>
      <c r="K44" s="18" t="n">
        <v>5.65154998</v>
      </c>
      <c r="L44" s="20" t="n">
        <v>0.9126210300000001</v>
      </c>
      <c r="M44" s="18" t="n">
        <v>0</v>
      </c>
      <c r="N44" s="20" t="n">
        <v>0</v>
      </c>
      <c r="O44" s="18" t="n">
        <v>1.06784182</v>
      </c>
      <c r="P44" s="20" t="n">
        <v>0.36780795</v>
      </c>
      <c r="Q44" s="18" t="n">
        <v>25.39569858</v>
      </c>
      <c r="R44" s="20" t="n">
        <v>2.31783564</v>
      </c>
    </row>
    <row r="45" spans="1:18">
      <c r="A45" s="15" t="s">
        <v>605</v>
      </c>
      <c r="B45" s="17" t="n">
        <v>2849</v>
      </c>
      <c r="C45" s="18">
        <f>(1903.0/B45*100)</f>
        <v/>
      </c>
      <c r="D45" s="19" t="n">
        <v>946</v>
      </c>
      <c r="E45" s="18" t="n">
        <v>29.64158132</v>
      </c>
      <c r="F45" s="20" t="n">
        <v>1.48758761</v>
      </c>
      <c r="G45" s="18" t="n">
        <v>33.60057592</v>
      </c>
      <c r="H45" s="20" t="n">
        <v>1.81364847</v>
      </c>
      <c r="I45" s="18" t="s">
        <v>567</v>
      </c>
      <c r="J45" s="20" t="s">
        <v>567</v>
      </c>
      <c r="K45" s="18" t="n">
        <v>6.3095654</v>
      </c>
      <c r="L45" s="20" t="n">
        <v>0.94115783</v>
      </c>
      <c r="M45" s="18" t="n">
        <v>1.90985536</v>
      </c>
      <c r="N45" s="20" t="n">
        <v>0.47308211</v>
      </c>
      <c r="O45" s="18" t="n">
        <v>2.38052855</v>
      </c>
      <c r="P45" s="20" t="n">
        <v>0.5004473</v>
      </c>
      <c r="Q45" s="18" t="n">
        <v>26.15789344</v>
      </c>
      <c r="R45" s="20" t="n">
        <v>1.75403228</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(2060.0/B49*100)</f>
        <v/>
      </c>
      <c r="D49" s="19" t="n">
        <v>958</v>
      </c>
      <c r="E49" s="18" t="n">
        <v>23.12550026</v>
      </c>
      <c r="F49" s="20" t="n">
        <v>1.66545165</v>
      </c>
      <c r="G49" s="18" t="n">
        <v>63.31925624</v>
      </c>
      <c r="H49" s="20" t="n">
        <v>1.90539385</v>
      </c>
      <c r="I49" s="18" t="s">
        <v>567</v>
      </c>
      <c r="J49" s="20" t="s">
        <v>567</v>
      </c>
      <c r="K49" s="18" t="n">
        <v>3.26722735</v>
      </c>
      <c r="L49" s="20" t="n">
        <v>0.67611047</v>
      </c>
      <c r="M49" s="18" t="n">
        <v>1.16557423</v>
      </c>
      <c r="N49" s="20" t="n">
        <v>0.40121695</v>
      </c>
      <c r="O49" s="18" t="n">
        <v>0.29971238</v>
      </c>
      <c r="P49" s="20" t="n">
        <v>0.17586133</v>
      </c>
      <c r="Q49" s="18" t="n">
        <v>8.822729539999999</v>
      </c>
      <c r="R49" s="20" t="n">
        <v>1.02309453</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(1846.0/B55*100)</f>
        <v/>
      </c>
      <c r="D55" s="19" t="n">
        <v>913</v>
      </c>
      <c r="E55" s="18" t="n">
        <v>38.11549069</v>
      </c>
      <c r="F55" s="20" t="n">
        <v>1.84264371</v>
      </c>
      <c r="G55" s="18" t="n">
        <v>39.08601289</v>
      </c>
      <c r="H55" s="20" t="n">
        <v>1.79649145</v>
      </c>
      <c r="I55" s="18" t="s">
        <v>567</v>
      </c>
      <c r="J55" s="20" t="s">
        <v>567</v>
      </c>
      <c r="K55" s="18" t="n">
        <v>1.99037952</v>
      </c>
      <c r="L55" s="20" t="n">
        <v>0.4097867</v>
      </c>
      <c r="M55" s="18" t="n">
        <v>0</v>
      </c>
      <c r="N55" s="20" t="n">
        <v>0</v>
      </c>
      <c r="O55" s="18" t="n">
        <v>1.18419684</v>
      </c>
      <c r="P55" s="20" t="n">
        <v>0.38091503</v>
      </c>
      <c r="Q55" s="18" t="n">
        <v>19.62392005</v>
      </c>
      <c r="R55" s="20" t="n">
        <v>1.65098199</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(2113.0/B57*100)</f>
        <v/>
      </c>
      <c r="D57" s="19" t="n">
        <v>1057</v>
      </c>
      <c r="E57" s="18" t="n">
        <v>42.70832467</v>
      </c>
      <c r="F57" s="20" t="n">
        <v>1.90486936</v>
      </c>
      <c r="G57" s="18" t="n">
        <v>49.14563017</v>
      </c>
      <c r="H57" s="20" t="n">
        <v>1.76671208</v>
      </c>
      <c r="I57" s="18" t="s">
        <v>567</v>
      </c>
      <c r="J57" s="20" t="s">
        <v>567</v>
      </c>
      <c r="K57" s="18" t="n">
        <v>1.70297292</v>
      </c>
      <c r="L57" s="20" t="n">
        <v>0.49987174</v>
      </c>
      <c r="M57" s="18" t="n">
        <v>0.09483448999999999</v>
      </c>
      <c r="N57" s="20" t="n">
        <v>0.09062073</v>
      </c>
      <c r="O57" s="18" t="n">
        <v>0</v>
      </c>
      <c r="P57" s="20" t="n">
        <v>0</v>
      </c>
      <c r="Q57" s="18" t="n">
        <v>6.34823775</v>
      </c>
      <c r="R57" s="20" t="n">
        <v>0.82771043</v>
      </c>
    </row>
    <row r="58" spans="1:18">
      <c r="A58" s="15" t="s">
        <v>618</v>
      </c>
      <c r="B58" s="17" t="n">
        <v>3530</v>
      </c>
      <c r="C58" s="18">
        <f>(2348.0/B58*100)</f>
        <v/>
      </c>
      <c r="D58" s="19" t="n">
        <v>1182</v>
      </c>
      <c r="E58" s="18" t="n">
        <v>24.23913521</v>
      </c>
      <c r="F58" s="20" t="n">
        <v>1.40715263</v>
      </c>
      <c r="G58" s="18" t="n">
        <v>55.10074152</v>
      </c>
      <c r="H58" s="20" t="n">
        <v>1.75868527</v>
      </c>
      <c r="I58" s="18" t="s">
        <v>567</v>
      </c>
      <c r="J58" s="20" t="s">
        <v>567</v>
      </c>
      <c r="K58" s="18" t="n">
        <v>3.54415744</v>
      </c>
      <c r="L58" s="20" t="n">
        <v>0.63759612</v>
      </c>
      <c r="M58" s="18" t="n">
        <v>0</v>
      </c>
      <c r="N58" s="20" t="n">
        <v>0</v>
      </c>
      <c r="O58" s="18" t="n">
        <v>2.44249559</v>
      </c>
      <c r="P58" s="20" t="n">
        <v>0.55490052</v>
      </c>
      <c r="Q58" s="18" t="n">
        <v>14.67347024</v>
      </c>
      <c r="R58" s="20" t="n">
        <v>1.26285497</v>
      </c>
    </row>
    <row r="59" spans="1:18">
      <c r="A59" s="15" t="s">
        <v>619</v>
      </c>
      <c r="B59" s="17" t="n">
        <v>2548</v>
      </c>
      <c r="C59" s="18">
        <f>(1717.0/B59*100)</f>
        <v/>
      </c>
      <c r="D59" s="19" t="n">
        <v>831</v>
      </c>
      <c r="E59" s="18" t="n">
        <v>29.16520233</v>
      </c>
      <c r="F59" s="20" t="n">
        <v>2.06706454</v>
      </c>
      <c r="G59" s="18" t="n">
        <v>42.87194178</v>
      </c>
      <c r="H59" s="20" t="n">
        <v>2.08759006</v>
      </c>
      <c r="I59" s="18" t="s">
        <v>567</v>
      </c>
      <c r="J59" s="20" t="s">
        <v>567</v>
      </c>
      <c r="K59" s="18" t="n">
        <v>0.7026706700000001</v>
      </c>
      <c r="L59" s="20" t="n">
        <v>0.26516423</v>
      </c>
      <c r="M59" s="18" t="n">
        <v>0.21730803</v>
      </c>
      <c r="N59" s="20" t="n">
        <v>0.17324744</v>
      </c>
      <c r="O59" s="18" t="n">
        <v>1.39014096</v>
      </c>
      <c r="P59" s="20" t="n">
        <v>0.44466902</v>
      </c>
      <c r="Q59" s="18" t="n">
        <v>25.65273623</v>
      </c>
      <c r="R59" s="20" t="n">
        <v>1.83771879</v>
      </c>
    </row>
    <row r="60" spans="1:18">
      <c r="A60" s="15" t="s">
        <v>620</v>
      </c>
      <c r="B60" s="17" t="n">
        <v>2095</v>
      </c>
      <c r="C60" s="18">
        <f>(1419.0/B60*100)</f>
        <v/>
      </c>
      <c r="D60" s="19" t="n">
        <v>676</v>
      </c>
      <c r="E60" s="18" t="n">
        <v>36.554238</v>
      </c>
      <c r="F60" s="20" t="n">
        <v>2.18383067</v>
      </c>
      <c r="G60" s="18" t="n">
        <v>31.04599177</v>
      </c>
      <c r="H60" s="20" t="n">
        <v>2.53514334</v>
      </c>
      <c r="I60" s="18" t="s">
        <v>567</v>
      </c>
      <c r="J60" s="20" t="s">
        <v>567</v>
      </c>
      <c r="K60" s="18" t="n">
        <v>5.06230128</v>
      </c>
      <c r="L60" s="20" t="n">
        <v>1.00082137</v>
      </c>
      <c r="M60" s="18" t="n">
        <v>0</v>
      </c>
      <c r="N60" s="20" t="n">
        <v>0</v>
      </c>
      <c r="O60" s="18" t="n">
        <v>2.73381329</v>
      </c>
      <c r="P60" s="20" t="n">
        <v>0.66844436</v>
      </c>
      <c r="Q60" s="18" t="n">
        <v>24.60365567</v>
      </c>
      <c r="R60" s="20" t="n">
        <v>1.87813698</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(1883.0/B63*100)</f>
        <v/>
      </c>
      <c r="D63" s="19" t="n">
        <v>930</v>
      </c>
      <c r="E63" s="18" t="n">
        <v>30.55529349</v>
      </c>
      <c r="F63" s="20" t="n">
        <v>1.9501166</v>
      </c>
      <c r="G63" s="18" t="n">
        <v>39.10890254</v>
      </c>
      <c r="H63" s="20" t="n">
        <v>1.68259791</v>
      </c>
      <c r="I63" s="18" t="s">
        <v>567</v>
      </c>
      <c r="J63" s="20" t="s">
        <v>567</v>
      </c>
      <c r="K63" s="18" t="n">
        <v>4.06466859</v>
      </c>
      <c r="L63" s="20" t="n">
        <v>0.70048498</v>
      </c>
      <c r="M63" s="18" t="n">
        <v>0</v>
      </c>
      <c r="N63" s="20" t="n">
        <v>0</v>
      </c>
      <c r="O63" s="18" t="n">
        <v>0.77141031</v>
      </c>
      <c r="P63" s="20" t="n">
        <v>0.27060222</v>
      </c>
      <c r="Q63" s="18" t="n">
        <v>25.49972507</v>
      </c>
      <c r="R63" s="20" t="n">
        <v>1.65168715</v>
      </c>
    </row>
    <row r="64" spans="1:18">
      <c r="A64" s="15" t="s">
        <v>624</v>
      </c>
      <c r="B64" s="17" t="n">
        <v>1844</v>
      </c>
      <c r="C64" s="18">
        <f>(1232.0/B64*100)</f>
        <v/>
      </c>
      <c r="D64" s="19" t="n">
        <v>612</v>
      </c>
      <c r="E64" s="18" t="n">
        <v>28.63029903</v>
      </c>
      <c r="F64" s="20" t="n">
        <v>1.84100337</v>
      </c>
      <c r="G64" s="18" t="n">
        <v>58.06488922</v>
      </c>
      <c r="H64" s="20" t="n">
        <v>1.80191019</v>
      </c>
      <c r="I64" s="18" t="s">
        <v>567</v>
      </c>
      <c r="J64" s="20" t="s">
        <v>567</v>
      </c>
      <c r="K64" s="18" t="n">
        <v>2.29467278</v>
      </c>
      <c r="L64" s="20" t="n">
        <v>0.62044627</v>
      </c>
      <c r="M64" s="18" t="n">
        <v>0</v>
      </c>
      <c r="N64" s="20" t="n">
        <v>0</v>
      </c>
      <c r="O64" s="18" t="n">
        <v>1.04462835</v>
      </c>
      <c r="P64" s="20" t="n">
        <v>0.35784146</v>
      </c>
      <c r="Q64" s="18" t="n">
        <v>9.96551062</v>
      </c>
      <c r="R64" s="20" t="n">
        <v>1.24080693</v>
      </c>
    </row>
    <row r="65" spans="1:18">
      <c r="A65" s="15" t="s">
        <v>625</v>
      </c>
      <c r="B65" s="17" t="n">
        <v>2691</v>
      </c>
      <c r="C65" s="18">
        <f>(1789.0/B65*100)</f>
        <v/>
      </c>
      <c r="D65" s="19" t="n">
        <v>902</v>
      </c>
      <c r="E65" s="18" t="n">
        <v>24.34685003</v>
      </c>
      <c r="F65" s="20" t="n">
        <v>1.60723377</v>
      </c>
      <c r="G65" s="18" t="n">
        <v>50.99098114</v>
      </c>
      <c r="H65" s="20" t="n">
        <v>2.13069054</v>
      </c>
      <c r="I65" s="18" t="s">
        <v>567</v>
      </c>
      <c r="J65" s="20" t="s">
        <v>567</v>
      </c>
      <c r="K65" s="18" t="n">
        <v>6.75778266</v>
      </c>
      <c r="L65" s="20" t="n">
        <v>0.8629941</v>
      </c>
      <c r="M65" s="18" t="n">
        <v>1.48646927</v>
      </c>
      <c r="N65" s="20" t="n">
        <v>0.48842385</v>
      </c>
      <c r="O65" s="18" t="n">
        <v>0</v>
      </c>
      <c r="P65" s="20" t="n">
        <v>0</v>
      </c>
      <c r="Q65" s="18" t="n">
        <v>16.41791691</v>
      </c>
      <c r="R65" s="20" t="n">
        <v>1.33151522</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(1603.0/B69*100)</f>
        <v/>
      </c>
      <c r="D69" s="19" t="n">
        <v>807</v>
      </c>
      <c r="E69" s="18" t="n">
        <v>36.02148934</v>
      </c>
      <c r="F69" s="20" t="n">
        <v>1.70097776</v>
      </c>
      <c r="G69" s="18" t="n">
        <v>61.91181081</v>
      </c>
      <c r="H69" s="20" t="n">
        <v>1.70442877</v>
      </c>
      <c r="I69" s="18" t="s">
        <v>567</v>
      </c>
      <c r="J69" s="20" t="s">
        <v>567</v>
      </c>
      <c r="K69" s="18" t="n">
        <v>0</v>
      </c>
      <c r="L69" s="20" t="n">
        <v>0</v>
      </c>
      <c r="M69" s="18" t="n">
        <v>0</v>
      </c>
      <c r="N69" s="20" t="n">
        <v>0</v>
      </c>
      <c r="O69" s="18" t="n">
        <v>0.12255377</v>
      </c>
      <c r="P69" s="20" t="n">
        <v>0.12221365</v>
      </c>
      <c r="Q69" s="18" t="n">
        <v>1.94414609</v>
      </c>
      <c r="R69" s="20" t="n">
        <v>0.51746413</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(1491.0/B74*100)</f>
        <v/>
      </c>
      <c r="D74" s="19" t="n">
        <v>748</v>
      </c>
      <c r="E74" s="18" t="n">
        <v>36.45420433</v>
      </c>
      <c r="F74" s="20" t="n">
        <v>1.86706138</v>
      </c>
      <c r="G74" s="18" t="n">
        <v>43.61658082</v>
      </c>
      <c r="H74" s="20" t="n">
        <v>1.90897616</v>
      </c>
      <c r="I74" s="18" t="s">
        <v>567</v>
      </c>
      <c r="J74" s="20" t="s">
        <v>567</v>
      </c>
      <c r="K74" s="18" t="n">
        <v>8.223028100000001</v>
      </c>
      <c r="L74" s="20" t="n">
        <v>1.21174142</v>
      </c>
      <c r="M74" s="18" t="n">
        <v>0</v>
      </c>
      <c r="N74" s="20" t="n">
        <v>0</v>
      </c>
      <c r="O74" s="18" t="n">
        <v>0</v>
      </c>
      <c r="P74" s="20" t="n">
        <v>0</v>
      </c>
      <c r="Q74" s="18" t="n">
        <v>11.70618674</v>
      </c>
      <c r="R74" s="20" t="n">
        <v>1.39142259</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14.44344586</v>
      </c>
      <c r="F78" s="20" t="n">
        <v>1.33802331</v>
      </c>
      <c r="G78" s="18" t="n">
        <v>84.91595005000001</v>
      </c>
      <c r="H78" s="20" t="n">
        <v>1.33222762</v>
      </c>
      <c r="I78" s="18" t="s">
        <v>567</v>
      </c>
      <c r="J78" s="20" t="s">
        <v>567</v>
      </c>
      <c r="K78" s="18" t="n">
        <v>0</v>
      </c>
      <c r="L78" s="20" t="n">
        <v>0</v>
      </c>
      <c r="M78" s="18" t="n">
        <v>0</v>
      </c>
      <c r="N78" s="20" t="n">
        <v>0</v>
      </c>
      <c r="O78" s="18" t="n">
        <v>0</v>
      </c>
      <c r="P78" s="20" t="n">
        <v>0</v>
      </c>
      <c r="Q78" s="18" t="n">
        <v>0.6406041</v>
      </c>
      <c r="R78" s="20" t="n">
        <v>0.32409835</v>
      </c>
    </row>
    <row customHeight="1" ht="25" r="79" spans="1:18">
      <c r="A79" s="15" t="s">
        <v>639</v>
      </c>
      <c r="B79" s="17" t="n">
        <v>787</v>
      </c>
      <c r="C79" s="18">
        <f>(529.0/B79*100)</f>
        <v/>
      </c>
      <c r="D79" s="19" t="n">
        <v>258</v>
      </c>
      <c r="E79" s="18" t="n">
        <v>23.4316622</v>
      </c>
      <c r="F79" s="20" t="n">
        <v>2.98315267</v>
      </c>
      <c r="G79" s="18" t="n">
        <v>60.88328995</v>
      </c>
      <c r="H79" s="20" t="n">
        <v>3.48880644</v>
      </c>
      <c r="I79" s="18" t="s">
        <v>567</v>
      </c>
      <c r="J79" s="20" t="s">
        <v>567</v>
      </c>
      <c r="K79" s="18" t="n">
        <v>3.84702247</v>
      </c>
      <c r="L79" s="20" t="n">
        <v>1.03675474</v>
      </c>
      <c r="M79" s="18" t="n">
        <v>1.67915126</v>
      </c>
      <c r="N79" s="20" t="n">
        <v>0.84859308</v>
      </c>
      <c r="O79" s="18" t="n">
        <v>0.83272149</v>
      </c>
      <c r="P79" s="20" t="n">
        <v>0.55891249</v>
      </c>
      <c r="Q79" s="18" t="n">
        <v>9.326152629999999</v>
      </c>
      <c r="R79" s="20" t="n">
        <v>1.97188128</v>
      </c>
    </row>
    <row r="80" spans="1:18">
      <c r="A80" s="15" t="s">
        <v>640</v>
      </c>
      <c r="B80" s="17" t="n">
        <v>3798</v>
      </c>
      <c r="C80" s="18">
        <f>(2538.0/B80*100)</f>
        <v/>
      </c>
      <c r="D80" s="19" t="n">
        <v>1260</v>
      </c>
      <c r="E80" s="18" t="n">
        <v>33.83924014</v>
      </c>
      <c r="F80" s="20" t="n">
        <v>2.02778852</v>
      </c>
      <c r="G80" s="18" t="n">
        <v>65.97960907</v>
      </c>
      <c r="H80" s="20" t="n">
        <v>2.0164126</v>
      </c>
      <c r="I80" s="18" t="s">
        <v>567</v>
      </c>
      <c r="J80" s="20" t="s">
        <v>567</v>
      </c>
      <c r="K80" s="18" t="n">
        <v>0</v>
      </c>
      <c r="L80" s="20" t="n">
        <v>0</v>
      </c>
      <c r="M80" s="18" t="n">
        <v>0</v>
      </c>
      <c r="N80" s="20" t="n">
        <v>0</v>
      </c>
      <c r="O80" s="18" t="n">
        <v>0</v>
      </c>
      <c r="P80" s="20" t="n">
        <v>0</v>
      </c>
      <c r="Q80" s="18" t="n">
        <v>0.18115079</v>
      </c>
      <c r="R80" s="20" t="n">
        <v>0.12774703</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(1673.0/B44*100)</f>
        <v/>
      </c>
      <c r="D44" s="19" t="n">
        <v>851</v>
      </c>
      <c r="E44" s="18" t="n">
        <v>58.53936409</v>
      </c>
      <c r="F44" s="20" t="n">
        <v>2.33271239</v>
      </c>
      <c r="G44" s="18" t="n">
        <v>29.67401747</v>
      </c>
      <c r="H44" s="20" t="n">
        <v>2.1606958</v>
      </c>
      <c r="I44" s="18" t="s">
        <v>567</v>
      </c>
      <c r="J44" s="20" t="s">
        <v>567</v>
      </c>
      <c r="K44" s="18" t="n">
        <v>6.35831196</v>
      </c>
      <c r="L44" s="20" t="n">
        <v>1.04569036</v>
      </c>
      <c r="M44" s="18" t="n">
        <v>0</v>
      </c>
      <c r="N44" s="20" t="n">
        <v>0</v>
      </c>
      <c r="O44" s="18" t="n">
        <v>0</v>
      </c>
      <c r="P44" s="20" t="n">
        <v>0</v>
      </c>
      <c r="Q44" s="18" t="n">
        <v>5.42830648</v>
      </c>
      <c r="R44" s="20" t="n">
        <v>1.08106974</v>
      </c>
    </row>
    <row r="45" spans="1:18">
      <c r="A45" s="15" t="s">
        <v>605</v>
      </c>
      <c r="B45" s="17" t="n">
        <v>2849</v>
      </c>
      <c r="C45" s="18">
        <f>(1903.0/B45*100)</f>
        <v/>
      </c>
      <c r="D45" s="19" t="n">
        <v>946</v>
      </c>
      <c r="E45" s="18" t="n">
        <v>60.26748135</v>
      </c>
      <c r="F45" s="20" t="n">
        <v>1.78300205</v>
      </c>
      <c r="G45" s="18" t="n">
        <v>29.19286551</v>
      </c>
      <c r="H45" s="20" t="n">
        <v>1.9487991</v>
      </c>
      <c r="I45" s="18" t="s">
        <v>567</v>
      </c>
      <c r="J45" s="20" t="s">
        <v>567</v>
      </c>
      <c r="K45" s="18" t="n">
        <v>6.82057138</v>
      </c>
      <c r="L45" s="20" t="n">
        <v>1.03172988</v>
      </c>
      <c r="M45" s="18" t="n">
        <v>0.08524213999999999</v>
      </c>
      <c r="N45" s="20" t="n">
        <v>0.08661068</v>
      </c>
      <c r="O45" s="18" t="n">
        <v>0.1643141</v>
      </c>
      <c r="P45" s="20" t="n">
        <v>0.16584524</v>
      </c>
      <c r="Q45" s="18" t="n">
        <v>3.46952553</v>
      </c>
      <c r="R45" s="20" t="n">
        <v>0.72754167</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(2060.0/B49*100)</f>
        <v/>
      </c>
      <c r="D49" s="19" t="n">
        <v>958</v>
      </c>
      <c r="E49" s="18" t="n">
        <v>52.50064968</v>
      </c>
      <c r="F49" s="20" t="n">
        <v>2.09585564</v>
      </c>
      <c r="G49" s="18" t="n">
        <v>41.2764896</v>
      </c>
      <c r="H49" s="20" t="n">
        <v>1.87661019</v>
      </c>
      <c r="I49" s="18" t="s">
        <v>567</v>
      </c>
      <c r="J49" s="20" t="s">
        <v>567</v>
      </c>
      <c r="K49" s="18" t="n">
        <v>3.82235765</v>
      </c>
      <c r="L49" s="20" t="n">
        <v>0.69872749</v>
      </c>
      <c r="M49" s="18" t="n">
        <v>1.16557423</v>
      </c>
      <c r="N49" s="20" t="n">
        <v>0.40121695</v>
      </c>
      <c r="O49" s="18" t="n">
        <v>0</v>
      </c>
      <c r="P49" s="20" t="n">
        <v>0</v>
      </c>
      <c r="Q49" s="18" t="n">
        <v>1.23492884</v>
      </c>
      <c r="R49" s="20" t="n">
        <v>0.42360977</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(1846.0/B55*100)</f>
        <v/>
      </c>
      <c r="D55" s="19" t="n">
        <v>913</v>
      </c>
      <c r="E55" s="18" t="n">
        <v>61.32053816</v>
      </c>
      <c r="F55" s="20" t="n">
        <v>1.86365317</v>
      </c>
      <c r="G55" s="18" t="n">
        <v>32.97771787</v>
      </c>
      <c r="H55" s="20" t="n">
        <v>1.81156958</v>
      </c>
      <c r="I55" s="18" t="s">
        <v>567</v>
      </c>
      <c r="J55" s="20" t="s">
        <v>567</v>
      </c>
      <c r="K55" s="18" t="n">
        <v>2.27971793</v>
      </c>
      <c r="L55" s="20" t="n">
        <v>0.48068581</v>
      </c>
      <c r="M55" s="18" t="n">
        <v>0</v>
      </c>
      <c r="N55" s="20" t="n">
        <v>0</v>
      </c>
      <c r="O55" s="18" t="n">
        <v>0.26590302</v>
      </c>
      <c r="P55" s="20" t="n">
        <v>0.21390868</v>
      </c>
      <c r="Q55" s="18" t="n">
        <v>3.15612301</v>
      </c>
      <c r="R55" s="20" t="n">
        <v>0.64321271</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(2113.0/B57*100)</f>
        <v/>
      </c>
      <c r="D57" s="19" t="n">
        <v>1057</v>
      </c>
      <c r="E57" s="18" t="n">
        <v>69.61061384</v>
      </c>
      <c r="F57" s="20" t="n">
        <v>1.30852447</v>
      </c>
      <c r="G57" s="18" t="n">
        <v>26.62244179</v>
      </c>
      <c r="H57" s="20" t="n">
        <v>1.26350899</v>
      </c>
      <c r="I57" s="18" t="s">
        <v>567</v>
      </c>
      <c r="J57" s="20" t="s">
        <v>567</v>
      </c>
      <c r="K57" s="18" t="n">
        <v>1.98838812</v>
      </c>
      <c r="L57" s="20" t="n">
        <v>0.5273086</v>
      </c>
      <c r="M57" s="18" t="n">
        <v>0</v>
      </c>
      <c r="N57" s="20" t="n">
        <v>0</v>
      </c>
      <c r="O57" s="18" t="n">
        <v>0</v>
      </c>
      <c r="P57" s="20" t="n">
        <v>0</v>
      </c>
      <c r="Q57" s="18" t="n">
        <v>1.77855625</v>
      </c>
      <c r="R57" s="20" t="n">
        <v>0.40504911</v>
      </c>
    </row>
    <row r="58" spans="1:18">
      <c r="A58" s="15" t="s">
        <v>618</v>
      </c>
      <c r="B58" s="17" t="n">
        <v>3530</v>
      </c>
      <c r="C58" s="18">
        <f>(2348.0/B58*100)</f>
        <v/>
      </c>
      <c r="D58" s="19" t="n">
        <v>1182</v>
      </c>
      <c r="E58" s="18" t="n">
        <v>60.92289804</v>
      </c>
      <c r="F58" s="20" t="n">
        <v>1.51482327</v>
      </c>
      <c r="G58" s="18" t="n">
        <v>33.36673335</v>
      </c>
      <c r="H58" s="20" t="n">
        <v>1.68691301</v>
      </c>
      <c r="I58" s="18" t="s">
        <v>567</v>
      </c>
      <c r="J58" s="20" t="s">
        <v>567</v>
      </c>
      <c r="K58" s="18" t="n">
        <v>3.54415744</v>
      </c>
      <c r="L58" s="20" t="n">
        <v>0.63759612</v>
      </c>
      <c r="M58" s="18" t="n">
        <v>0</v>
      </c>
      <c r="N58" s="20" t="n">
        <v>0</v>
      </c>
      <c r="O58" s="18" t="n">
        <v>0.1451993</v>
      </c>
      <c r="P58" s="20" t="n">
        <v>0.14348807</v>
      </c>
      <c r="Q58" s="18" t="n">
        <v>2.02101186</v>
      </c>
      <c r="R58" s="20" t="n">
        <v>0.531234</v>
      </c>
    </row>
    <row r="59" spans="1:18">
      <c r="A59" s="15" t="s">
        <v>619</v>
      </c>
      <c r="B59" s="17" t="n">
        <v>2548</v>
      </c>
      <c r="C59" s="18">
        <f>(1717.0/B59*100)</f>
        <v/>
      </c>
      <c r="D59" s="19" t="n">
        <v>831</v>
      </c>
      <c r="E59" s="18" t="n">
        <v>68.74425984</v>
      </c>
      <c r="F59" s="20" t="n">
        <v>1.90636485</v>
      </c>
      <c r="G59" s="18" t="n">
        <v>28.74602074</v>
      </c>
      <c r="H59" s="20" t="n">
        <v>1.84182166</v>
      </c>
      <c r="I59" s="18" t="s">
        <v>567</v>
      </c>
      <c r="J59" s="20" t="s">
        <v>567</v>
      </c>
      <c r="K59" s="18" t="n">
        <v>1.0454375</v>
      </c>
      <c r="L59" s="20" t="n">
        <v>0.37273884</v>
      </c>
      <c r="M59" s="18" t="n">
        <v>0</v>
      </c>
      <c r="N59" s="20" t="n">
        <v>0</v>
      </c>
      <c r="O59" s="18" t="n">
        <v>0.11428443</v>
      </c>
      <c r="P59" s="20" t="n">
        <v>0.08127788</v>
      </c>
      <c r="Q59" s="18" t="n">
        <v>1.34999749</v>
      </c>
      <c r="R59" s="20" t="n">
        <v>0.47833112</v>
      </c>
    </row>
    <row r="60" spans="1:18">
      <c r="A60" s="15" t="s">
        <v>620</v>
      </c>
      <c r="B60" s="17" t="n">
        <v>2095</v>
      </c>
      <c r="C60" s="18">
        <f>(1419.0/B60*100)</f>
        <v/>
      </c>
      <c r="D60" s="19" t="n">
        <v>676</v>
      </c>
      <c r="E60" s="18" t="n">
        <v>54.85644222</v>
      </c>
      <c r="F60" s="20" t="n">
        <v>1.89736575</v>
      </c>
      <c r="G60" s="18" t="n">
        <v>36.14762128</v>
      </c>
      <c r="H60" s="20" t="n">
        <v>1.99901321</v>
      </c>
      <c r="I60" s="18" t="s">
        <v>567</v>
      </c>
      <c r="J60" s="20" t="s">
        <v>567</v>
      </c>
      <c r="K60" s="18" t="n">
        <v>6.06858184</v>
      </c>
      <c r="L60" s="20" t="n">
        <v>1.16254223</v>
      </c>
      <c r="M60" s="18" t="n">
        <v>0</v>
      </c>
      <c r="N60" s="20" t="n">
        <v>0</v>
      </c>
      <c r="O60" s="18" t="n">
        <v>0</v>
      </c>
      <c r="P60" s="20" t="n">
        <v>0</v>
      </c>
      <c r="Q60" s="18" t="n">
        <v>2.92735467</v>
      </c>
      <c r="R60" s="20" t="n">
        <v>0.94109133</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(1883.0/B63*100)</f>
        <v/>
      </c>
      <c r="D63" s="19" t="n">
        <v>930</v>
      </c>
      <c r="E63" s="18" t="n">
        <v>60.75213006</v>
      </c>
      <c r="F63" s="20" t="n">
        <v>1.95624952</v>
      </c>
      <c r="G63" s="18" t="n">
        <v>31.93052848</v>
      </c>
      <c r="H63" s="20" t="n">
        <v>1.80320718</v>
      </c>
      <c r="I63" s="18" t="s">
        <v>567</v>
      </c>
      <c r="J63" s="20" t="s">
        <v>567</v>
      </c>
      <c r="K63" s="18" t="n">
        <v>4.68242419</v>
      </c>
      <c r="L63" s="20" t="n">
        <v>0.747625</v>
      </c>
      <c r="M63" s="18" t="n">
        <v>0</v>
      </c>
      <c r="N63" s="20" t="n">
        <v>0</v>
      </c>
      <c r="O63" s="18" t="n">
        <v>0.11513605</v>
      </c>
      <c r="P63" s="20" t="n">
        <v>0.11643033</v>
      </c>
      <c r="Q63" s="18" t="n">
        <v>2.51978122</v>
      </c>
      <c r="R63" s="20" t="n">
        <v>0.52365641</v>
      </c>
    </row>
    <row r="64" spans="1:18">
      <c r="A64" s="15" t="s">
        <v>624</v>
      </c>
      <c r="B64" s="17" t="n">
        <v>1844</v>
      </c>
      <c r="C64" s="18">
        <f>(1232.0/B64*100)</f>
        <v/>
      </c>
      <c r="D64" s="19" t="n">
        <v>612</v>
      </c>
      <c r="E64" s="18" t="n">
        <v>57.34096988</v>
      </c>
      <c r="F64" s="20" t="n">
        <v>2.02653691</v>
      </c>
      <c r="G64" s="18" t="n">
        <v>37.75995465</v>
      </c>
      <c r="H64" s="20" t="n">
        <v>2.02501469</v>
      </c>
      <c r="I64" s="18" t="s">
        <v>567</v>
      </c>
      <c r="J64" s="20" t="s">
        <v>567</v>
      </c>
      <c r="K64" s="18" t="n">
        <v>2.96216232</v>
      </c>
      <c r="L64" s="20" t="n">
        <v>0.6950237</v>
      </c>
      <c r="M64" s="18" t="n">
        <v>0</v>
      </c>
      <c r="N64" s="20" t="n">
        <v>0</v>
      </c>
      <c r="O64" s="18" t="n">
        <v>0</v>
      </c>
      <c r="P64" s="20" t="n">
        <v>0</v>
      </c>
      <c r="Q64" s="18" t="n">
        <v>1.93691316</v>
      </c>
      <c r="R64" s="20" t="n">
        <v>0.51674486</v>
      </c>
    </row>
    <row r="65" spans="1:18">
      <c r="A65" s="15" t="s">
        <v>625</v>
      </c>
      <c r="B65" s="17" t="n">
        <v>2691</v>
      </c>
      <c r="C65" s="18">
        <f>(1789.0/B65*100)</f>
        <v/>
      </c>
      <c r="D65" s="19" t="n">
        <v>902</v>
      </c>
      <c r="E65" s="18" t="n">
        <v>56.41640053</v>
      </c>
      <c r="F65" s="20" t="n">
        <v>1.6704202</v>
      </c>
      <c r="G65" s="18" t="n">
        <v>34.09044031</v>
      </c>
      <c r="H65" s="20" t="n">
        <v>1.57200383</v>
      </c>
      <c r="I65" s="18" t="s">
        <v>567</v>
      </c>
      <c r="J65" s="20" t="s">
        <v>567</v>
      </c>
      <c r="K65" s="18" t="n">
        <v>7.84130333</v>
      </c>
      <c r="L65" s="20" t="n">
        <v>0.90513246</v>
      </c>
      <c r="M65" s="18" t="n">
        <v>0</v>
      </c>
      <c r="N65" s="20" t="n">
        <v>0</v>
      </c>
      <c r="O65" s="18" t="n">
        <v>0</v>
      </c>
      <c r="P65" s="20" t="n">
        <v>0</v>
      </c>
      <c r="Q65" s="18" t="n">
        <v>1.65185583</v>
      </c>
      <c r="R65" s="20" t="n">
        <v>0.42735912</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(1603.0/B69*100)</f>
        <v/>
      </c>
      <c r="D69" s="19" t="n">
        <v>807</v>
      </c>
      <c r="E69" s="18" t="n">
        <v>55.07846688</v>
      </c>
      <c r="F69" s="20" t="n">
        <v>2.38161772</v>
      </c>
      <c r="G69" s="18" t="n">
        <v>44.67067429</v>
      </c>
      <c r="H69" s="20" t="n">
        <v>2.39297906</v>
      </c>
      <c r="I69" s="18" t="s">
        <v>567</v>
      </c>
      <c r="J69" s="20" t="s">
        <v>567</v>
      </c>
      <c r="K69" s="18" t="n">
        <v>0</v>
      </c>
      <c r="L69" s="20" t="n">
        <v>0</v>
      </c>
      <c r="M69" s="18" t="n">
        <v>0</v>
      </c>
      <c r="N69" s="20" t="n">
        <v>0</v>
      </c>
      <c r="O69" s="18" t="n">
        <v>0</v>
      </c>
      <c r="P69" s="20" t="n">
        <v>0</v>
      </c>
      <c r="Q69" s="18" t="n">
        <v>0.25085884</v>
      </c>
      <c r="R69" s="20" t="n">
        <v>0.25159106</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(1491.0/B74*100)</f>
        <v/>
      </c>
      <c r="D74" s="19" t="n">
        <v>748</v>
      </c>
      <c r="E74" s="18" t="n">
        <v>54.11968975</v>
      </c>
      <c r="F74" s="20" t="n">
        <v>1.79489757</v>
      </c>
      <c r="G74" s="18" t="n">
        <v>33.26541965</v>
      </c>
      <c r="H74" s="20" t="n">
        <v>1.87244049</v>
      </c>
      <c r="I74" s="18" t="s">
        <v>567</v>
      </c>
      <c r="J74" s="20" t="s">
        <v>567</v>
      </c>
      <c r="K74" s="18" t="n">
        <v>8.72280525</v>
      </c>
      <c r="L74" s="20" t="n">
        <v>1.23149552</v>
      </c>
      <c r="M74" s="18" t="n">
        <v>0</v>
      </c>
      <c r="N74" s="20" t="n">
        <v>0</v>
      </c>
      <c r="O74" s="18" t="n">
        <v>0</v>
      </c>
      <c r="P74" s="20" t="n">
        <v>0</v>
      </c>
      <c r="Q74" s="18" t="n">
        <v>3.89208535</v>
      </c>
      <c r="R74" s="20" t="n">
        <v>0.70037452</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38.78119612</v>
      </c>
      <c r="F78" s="20" t="n">
        <v>1.79414972</v>
      </c>
      <c r="G78" s="18" t="n">
        <v>61.21880388</v>
      </c>
      <c r="H78" s="20" t="n">
        <v>1.79414972</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(529.0/B79*100)</f>
        <v/>
      </c>
      <c r="D79" s="19" t="n">
        <v>258</v>
      </c>
      <c r="E79" s="18" t="n">
        <v>50.91894092</v>
      </c>
      <c r="F79" s="20" t="n">
        <v>2.94246138</v>
      </c>
      <c r="G79" s="18" t="n">
        <v>40.68662981</v>
      </c>
      <c r="H79" s="20" t="n">
        <v>2.88057217</v>
      </c>
      <c r="I79" s="18" t="s">
        <v>567</v>
      </c>
      <c r="J79" s="20" t="s">
        <v>567</v>
      </c>
      <c r="K79" s="18" t="n">
        <v>3.84702247</v>
      </c>
      <c r="L79" s="20" t="n">
        <v>1.03675474</v>
      </c>
      <c r="M79" s="18" t="n">
        <v>1.67915126</v>
      </c>
      <c r="N79" s="20" t="n">
        <v>0.84859308</v>
      </c>
      <c r="O79" s="18" t="n">
        <v>0</v>
      </c>
      <c r="P79" s="20" t="n">
        <v>0</v>
      </c>
      <c r="Q79" s="18" t="n">
        <v>2.86825555</v>
      </c>
      <c r="R79" s="20" t="n">
        <v>1.35941915</v>
      </c>
    </row>
    <row r="80" spans="1:18">
      <c r="A80" s="15" t="s">
        <v>640</v>
      </c>
      <c r="B80" s="17" t="n">
        <v>3798</v>
      </c>
      <c r="C80" s="18">
        <f>(2538.0/B80*100)</f>
        <v/>
      </c>
      <c r="D80" s="19" t="n">
        <v>1260</v>
      </c>
      <c r="E80" s="18" t="n">
        <v>19.51305664</v>
      </c>
      <c r="F80" s="20" t="n">
        <v>1.6009182</v>
      </c>
      <c r="G80" s="18" t="n">
        <v>15.2876565</v>
      </c>
      <c r="H80" s="20" t="n">
        <v>1.8663499</v>
      </c>
      <c r="I80" s="18" t="s">
        <v>567</v>
      </c>
      <c r="J80" s="20" t="s">
        <v>567</v>
      </c>
      <c r="K80" s="18" t="n">
        <v>0</v>
      </c>
      <c r="L80" s="20" t="n">
        <v>0</v>
      </c>
      <c r="M80" s="18" t="n">
        <v>65.19928686</v>
      </c>
      <c r="N80" s="20" t="n">
        <v>2.3622684</v>
      </c>
      <c r="O80" s="18" t="n">
        <v>0</v>
      </c>
      <c r="P80" s="20" t="n">
        <v>0</v>
      </c>
      <c r="Q80" s="18" t="n">
        <v>0</v>
      </c>
      <c r="R80" s="20" t="n">
        <v>0</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(1673.0/B44*100)</f>
        <v/>
      </c>
      <c r="D44" s="19" t="n">
        <v>851</v>
      </c>
      <c r="E44" s="18" t="n">
        <v>44.19349712</v>
      </c>
      <c r="F44" s="20" t="n">
        <v>1.95321444</v>
      </c>
      <c r="G44" s="18" t="n">
        <v>35.78476077</v>
      </c>
      <c r="H44" s="20" t="n">
        <v>2.01612831</v>
      </c>
      <c r="I44" s="18" t="s">
        <v>567</v>
      </c>
      <c r="J44" s="20" t="s">
        <v>567</v>
      </c>
      <c r="K44" s="18" t="n">
        <v>8.47146394</v>
      </c>
      <c r="L44" s="20" t="n">
        <v>1.06161803</v>
      </c>
      <c r="M44" s="18" t="n">
        <v>0</v>
      </c>
      <c r="N44" s="20" t="n">
        <v>0</v>
      </c>
      <c r="O44" s="18" t="n">
        <v>0.9899909099999999</v>
      </c>
      <c r="P44" s="20" t="n">
        <v>0.32919741</v>
      </c>
      <c r="Q44" s="18" t="n">
        <v>10.56028725</v>
      </c>
      <c r="R44" s="20" t="n">
        <v>1.36277891</v>
      </c>
    </row>
    <row r="45" spans="1:18">
      <c r="A45" s="15" t="s">
        <v>605</v>
      </c>
      <c r="B45" s="17" t="n">
        <v>2849</v>
      </c>
      <c r="C45" s="18">
        <f>(1903.0/B45*100)</f>
        <v/>
      </c>
      <c r="D45" s="19" t="n">
        <v>946</v>
      </c>
      <c r="E45" s="18" t="n">
        <v>52.6755257</v>
      </c>
      <c r="F45" s="20" t="n">
        <v>1.76418553</v>
      </c>
      <c r="G45" s="18" t="n">
        <v>24.67725205</v>
      </c>
      <c r="H45" s="20" t="n">
        <v>1.61713964</v>
      </c>
      <c r="I45" s="18" t="s">
        <v>567</v>
      </c>
      <c r="J45" s="20" t="s">
        <v>567</v>
      </c>
      <c r="K45" s="18" t="n">
        <v>8.037006870000001</v>
      </c>
      <c r="L45" s="20" t="n">
        <v>1.10871723</v>
      </c>
      <c r="M45" s="18" t="n">
        <v>0.69194492</v>
      </c>
      <c r="N45" s="20" t="n">
        <v>0.28400341</v>
      </c>
      <c r="O45" s="18" t="n">
        <v>1.66787246</v>
      </c>
      <c r="P45" s="20" t="n">
        <v>0.3940395</v>
      </c>
      <c r="Q45" s="18" t="n">
        <v>12.250398</v>
      </c>
      <c r="R45" s="20" t="n">
        <v>1.25534566</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(2060.0/B49*100)</f>
        <v/>
      </c>
      <c r="D49" s="19" t="n">
        <v>958</v>
      </c>
      <c r="E49" s="18" t="n">
        <v>47.98419041</v>
      </c>
      <c r="F49" s="20" t="n">
        <v>1.99592995</v>
      </c>
      <c r="G49" s="18" t="n">
        <v>39.08997661</v>
      </c>
      <c r="H49" s="20" t="n">
        <v>1.87540442</v>
      </c>
      <c r="I49" s="18" t="s">
        <v>567</v>
      </c>
      <c r="J49" s="20" t="s">
        <v>567</v>
      </c>
      <c r="K49" s="18" t="n">
        <v>4.14988904</v>
      </c>
      <c r="L49" s="20" t="n">
        <v>0.7198002999999999</v>
      </c>
      <c r="M49" s="18" t="n">
        <v>1.16557423</v>
      </c>
      <c r="N49" s="20" t="n">
        <v>0.40121695</v>
      </c>
      <c r="O49" s="18" t="n">
        <v>0.65013923</v>
      </c>
      <c r="P49" s="20" t="n">
        <v>0.26730552</v>
      </c>
      <c r="Q49" s="18" t="n">
        <v>6.96023048</v>
      </c>
      <c r="R49" s="20" t="n">
        <v>0.98835546</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(1846.0/B55*100)</f>
        <v/>
      </c>
      <c r="D55" s="19" t="n">
        <v>913</v>
      </c>
      <c r="E55" s="18" t="n">
        <v>61.48588803</v>
      </c>
      <c r="F55" s="20" t="n">
        <v>1.71064919</v>
      </c>
      <c r="G55" s="18" t="n">
        <v>27.00653151</v>
      </c>
      <c r="H55" s="20" t="n">
        <v>1.38814916</v>
      </c>
      <c r="I55" s="18" t="s">
        <v>567</v>
      </c>
      <c r="J55" s="20" t="s">
        <v>567</v>
      </c>
      <c r="K55" s="18" t="n">
        <v>2.75979272</v>
      </c>
      <c r="L55" s="20" t="n">
        <v>0.55846275</v>
      </c>
      <c r="M55" s="18" t="n">
        <v>0</v>
      </c>
      <c r="N55" s="20" t="n">
        <v>0</v>
      </c>
      <c r="O55" s="18" t="n">
        <v>0.69664715</v>
      </c>
      <c r="P55" s="20" t="n">
        <v>0.27749182</v>
      </c>
      <c r="Q55" s="18" t="n">
        <v>8.051140589999999</v>
      </c>
      <c r="R55" s="20" t="n">
        <v>1.02023953</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(2113.0/B57*100)</f>
        <v/>
      </c>
      <c r="D57" s="19" t="n">
        <v>1057</v>
      </c>
      <c r="E57" s="18" t="n">
        <v>60.82015865</v>
      </c>
      <c r="F57" s="20" t="n">
        <v>1.46829305</v>
      </c>
      <c r="G57" s="18" t="n">
        <v>32.47966302</v>
      </c>
      <c r="H57" s="20" t="n">
        <v>1.51118263</v>
      </c>
      <c r="I57" s="18" t="s">
        <v>567</v>
      </c>
      <c r="J57" s="20" t="s">
        <v>567</v>
      </c>
      <c r="K57" s="18" t="n">
        <v>2.28917085</v>
      </c>
      <c r="L57" s="20" t="n">
        <v>0.59360389</v>
      </c>
      <c r="M57" s="18" t="n">
        <v>0</v>
      </c>
      <c r="N57" s="20" t="n">
        <v>0</v>
      </c>
      <c r="O57" s="18" t="n">
        <v>0</v>
      </c>
      <c r="P57" s="20" t="n">
        <v>0</v>
      </c>
      <c r="Q57" s="18" t="n">
        <v>4.41100748</v>
      </c>
      <c r="R57" s="20" t="n">
        <v>0.71869102</v>
      </c>
    </row>
    <row r="58" spans="1:18">
      <c r="A58" s="15" t="s">
        <v>618</v>
      </c>
      <c r="B58" s="17" t="n">
        <v>3530</v>
      </c>
      <c r="C58" s="18">
        <f>(2348.0/B58*100)</f>
        <v/>
      </c>
      <c r="D58" s="19" t="n">
        <v>1182</v>
      </c>
      <c r="E58" s="18" t="n">
        <v>59.82431977</v>
      </c>
      <c r="F58" s="20" t="n">
        <v>1.70279932</v>
      </c>
      <c r="G58" s="18" t="n">
        <v>27.46587737</v>
      </c>
      <c r="H58" s="20" t="n">
        <v>1.59692375</v>
      </c>
      <c r="I58" s="18" t="s">
        <v>567</v>
      </c>
      <c r="J58" s="20" t="s">
        <v>567</v>
      </c>
      <c r="K58" s="18" t="n">
        <v>4.33468094</v>
      </c>
      <c r="L58" s="20" t="n">
        <v>0.6804339700000001</v>
      </c>
      <c r="M58" s="18" t="n">
        <v>0</v>
      </c>
      <c r="N58" s="20" t="n">
        <v>0</v>
      </c>
      <c r="O58" s="18" t="n">
        <v>0.87655692</v>
      </c>
      <c r="P58" s="20" t="n">
        <v>0.3012302</v>
      </c>
      <c r="Q58" s="18" t="n">
        <v>7.498565</v>
      </c>
      <c r="R58" s="20" t="n">
        <v>1.01466877</v>
      </c>
    </row>
    <row r="59" spans="1:18">
      <c r="A59" s="15" t="s">
        <v>619</v>
      </c>
      <c r="B59" s="17" t="n">
        <v>2548</v>
      </c>
      <c r="C59" s="18">
        <f>(1717.0/B59*100)</f>
        <v/>
      </c>
      <c r="D59" s="19" t="n">
        <v>831</v>
      </c>
      <c r="E59" s="18" t="n">
        <v>54.79193454</v>
      </c>
      <c r="F59" s="20" t="n">
        <v>2.08579235</v>
      </c>
      <c r="G59" s="18" t="n">
        <v>36.18646853</v>
      </c>
      <c r="H59" s="20" t="n">
        <v>2.1040926</v>
      </c>
      <c r="I59" s="18" t="s">
        <v>567</v>
      </c>
      <c r="J59" s="20" t="s">
        <v>567</v>
      </c>
      <c r="K59" s="18" t="n">
        <v>2.07117239</v>
      </c>
      <c r="L59" s="20" t="n">
        <v>0.59117289</v>
      </c>
      <c r="M59" s="18" t="n">
        <v>0.32851061</v>
      </c>
      <c r="N59" s="20" t="n">
        <v>0.25319282</v>
      </c>
      <c r="O59" s="18" t="n">
        <v>1.67418627</v>
      </c>
      <c r="P59" s="20" t="n">
        <v>0.46198246</v>
      </c>
      <c r="Q59" s="18" t="n">
        <v>4.94772766</v>
      </c>
      <c r="R59" s="20" t="n">
        <v>0.95697383</v>
      </c>
    </row>
    <row r="60" spans="1:18">
      <c r="A60" s="15" t="s">
        <v>620</v>
      </c>
      <c r="B60" s="17" t="n">
        <v>2095</v>
      </c>
      <c r="C60" s="18">
        <f>(1419.0/B60*100)</f>
        <v/>
      </c>
      <c r="D60" s="19" t="n">
        <v>676</v>
      </c>
      <c r="E60" s="18" t="n">
        <v>52.01449479</v>
      </c>
      <c r="F60" s="20" t="n">
        <v>2.1700972</v>
      </c>
      <c r="G60" s="18" t="n">
        <v>29.2347209</v>
      </c>
      <c r="H60" s="20" t="n">
        <v>2.07268599</v>
      </c>
      <c r="I60" s="18" t="s">
        <v>567</v>
      </c>
      <c r="J60" s="20" t="s">
        <v>567</v>
      </c>
      <c r="K60" s="18" t="n">
        <v>7.09967572</v>
      </c>
      <c r="L60" s="20" t="n">
        <v>1.20974269</v>
      </c>
      <c r="M60" s="18" t="n">
        <v>0</v>
      </c>
      <c r="N60" s="20" t="n">
        <v>0</v>
      </c>
      <c r="O60" s="18" t="n">
        <v>3.03902936</v>
      </c>
      <c r="P60" s="20" t="n">
        <v>0.83785767</v>
      </c>
      <c r="Q60" s="18" t="n">
        <v>8.61207922</v>
      </c>
      <c r="R60" s="20" t="n">
        <v>1.51859762</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(1883.0/B63*100)</f>
        <v/>
      </c>
      <c r="D63" s="19" t="n">
        <v>930</v>
      </c>
      <c r="E63" s="18" t="n">
        <v>57.2391152</v>
      </c>
      <c r="F63" s="20" t="n">
        <v>1.79186818</v>
      </c>
      <c r="G63" s="18" t="n">
        <v>24.3442174</v>
      </c>
      <c r="H63" s="20" t="n">
        <v>1.62222905</v>
      </c>
      <c r="I63" s="18" t="s">
        <v>567</v>
      </c>
      <c r="J63" s="20" t="s">
        <v>567</v>
      </c>
      <c r="K63" s="18" t="n">
        <v>7.10835551</v>
      </c>
      <c r="L63" s="20" t="n">
        <v>0.95698383</v>
      </c>
      <c r="M63" s="18" t="n">
        <v>0</v>
      </c>
      <c r="N63" s="20" t="n">
        <v>0</v>
      </c>
      <c r="O63" s="18" t="n">
        <v>1.62153475</v>
      </c>
      <c r="P63" s="20" t="n">
        <v>0.50749296</v>
      </c>
      <c r="Q63" s="18" t="n">
        <v>9.686777149999999</v>
      </c>
      <c r="R63" s="20" t="n">
        <v>1.18883076</v>
      </c>
    </row>
    <row r="64" spans="1:18">
      <c r="A64" s="15" t="s">
        <v>624</v>
      </c>
      <c r="B64" s="17" t="n">
        <v>1844</v>
      </c>
      <c r="C64" s="18">
        <f>(1232.0/B64*100)</f>
        <v/>
      </c>
      <c r="D64" s="19" t="n">
        <v>612</v>
      </c>
      <c r="E64" s="18" t="n">
        <v>51.82645358</v>
      </c>
      <c r="F64" s="20" t="n">
        <v>2.12073893</v>
      </c>
      <c r="G64" s="18" t="n">
        <v>36.92057729</v>
      </c>
      <c r="H64" s="20" t="n">
        <v>1.82585366</v>
      </c>
      <c r="I64" s="18" t="s">
        <v>567</v>
      </c>
      <c r="J64" s="20" t="s">
        <v>567</v>
      </c>
      <c r="K64" s="18" t="n">
        <v>4.1527554</v>
      </c>
      <c r="L64" s="20" t="n">
        <v>0.74444348</v>
      </c>
      <c r="M64" s="18" t="n">
        <v>0</v>
      </c>
      <c r="N64" s="20" t="n">
        <v>0</v>
      </c>
      <c r="O64" s="18" t="n">
        <v>0.47893886</v>
      </c>
      <c r="P64" s="20" t="n">
        <v>0.27776274</v>
      </c>
      <c r="Q64" s="18" t="n">
        <v>6.62127487</v>
      </c>
      <c r="R64" s="20" t="n">
        <v>1.19444903</v>
      </c>
    </row>
    <row r="65" spans="1:18">
      <c r="A65" s="15" t="s">
        <v>625</v>
      </c>
      <c r="B65" s="17" t="n">
        <v>2691</v>
      </c>
      <c r="C65" s="18">
        <f>(1789.0/B65*100)</f>
        <v/>
      </c>
      <c r="D65" s="19" t="n">
        <v>902</v>
      </c>
      <c r="E65" s="18" t="n">
        <v>49.26620754</v>
      </c>
      <c r="F65" s="20" t="n">
        <v>1.86893911</v>
      </c>
      <c r="G65" s="18" t="n">
        <v>30.13266664</v>
      </c>
      <c r="H65" s="20" t="n">
        <v>1.78329218</v>
      </c>
      <c r="I65" s="18" t="s">
        <v>567</v>
      </c>
      <c r="J65" s="20" t="s">
        <v>567</v>
      </c>
      <c r="K65" s="18" t="n">
        <v>8.54077861</v>
      </c>
      <c r="L65" s="20" t="n">
        <v>0.96007688</v>
      </c>
      <c r="M65" s="18" t="n">
        <v>2.06085131</v>
      </c>
      <c r="N65" s="20" t="n">
        <v>0.4703472</v>
      </c>
      <c r="O65" s="18" t="n">
        <v>0.13064372</v>
      </c>
      <c r="P65" s="20" t="n">
        <v>0.09281116</v>
      </c>
      <c r="Q65" s="18" t="n">
        <v>9.86885217</v>
      </c>
      <c r="R65" s="20" t="n">
        <v>1.02531803</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(1603.0/B69*100)</f>
        <v/>
      </c>
      <c r="D69" s="19" t="n">
        <v>807</v>
      </c>
      <c r="E69" s="18" t="n">
        <v>64.62051528000001</v>
      </c>
      <c r="F69" s="20" t="n">
        <v>1.96353821</v>
      </c>
      <c r="G69" s="18" t="n">
        <v>34.11472528</v>
      </c>
      <c r="H69" s="20" t="n">
        <v>1.94573191</v>
      </c>
      <c r="I69" s="18" t="s">
        <v>567</v>
      </c>
      <c r="J69" s="20" t="s">
        <v>567</v>
      </c>
      <c r="K69" s="18" t="n">
        <v>0</v>
      </c>
      <c r="L69" s="20" t="n">
        <v>0</v>
      </c>
      <c r="M69" s="18" t="n">
        <v>0</v>
      </c>
      <c r="N69" s="20" t="n">
        <v>0</v>
      </c>
      <c r="O69" s="18" t="n">
        <v>0</v>
      </c>
      <c r="P69" s="20" t="n">
        <v>0</v>
      </c>
      <c r="Q69" s="18" t="n">
        <v>1.26475944</v>
      </c>
      <c r="R69" s="20" t="n">
        <v>0.43767886</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(1491.0/B74*100)</f>
        <v/>
      </c>
      <c r="D74" s="19" t="n">
        <v>748</v>
      </c>
      <c r="E74" s="18" t="n">
        <v>47.14537316</v>
      </c>
      <c r="F74" s="20" t="n">
        <v>2.07596473</v>
      </c>
      <c r="G74" s="18" t="n">
        <v>32.48900459</v>
      </c>
      <c r="H74" s="20" t="n">
        <v>2.05279009</v>
      </c>
      <c r="I74" s="18" t="s">
        <v>567</v>
      </c>
      <c r="J74" s="20" t="s">
        <v>567</v>
      </c>
      <c r="K74" s="18" t="n">
        <v>10.01920535</v>
      </c>
      <c r="L74" s="20" t="n">
        <v>1.34447067</v>
      </c>
      <c r="M74" s="18" t="n">
        <v>0</v>
      </c>
      <c r="N74" s="20" t="n">
        <v>0</v>
      </c>
      <c r="O74" s="18" t="n">
        <v>0</v>
      </c>
      <c r="P74" s="20" t="n">
        <v>0</v>
      </c>
      <c r="Q74" s="18" t="n">
        <v>10.3464169</v>
      </c>
      <c r="R74" s="20" t="n">
        <v>1.07217767</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39.35636321</v>
      </c>
      <c r="F78" s="20" t="n">
        <v>2.02959934</v>
      </c>
      <c r="G78" s="18" t="n">
        <v>60.61246644</v>
      </c>
      <c r="H78" s="20" t="n">
        <v>2.03175497</v>
      </c>
      <c r="I78" s="18" t="s">
        <v>567</v>
      </c>
      <c r="J78" s="20" t="s">
        <v>567</v>
      </c>
      <c r="K78" s="18" t="n">
        <v>0</v>
      </c>
      <c r="L78" s="20" t="n">
        <v>0</v>
      </c>
      <c r="M78" s="18" t="n">
        <v>0</v>
      </c>
      <c r="N78" s="20" t="n">
        <v>0</v>
      </c>
      <c r="O78" s="18" t="n">
        <v>0</v>
      </c>
      <c r="P78" s="20" t="n">
        <v>0</v>
      </c>
      <c r="Q78" s="18" t="n">
        <v>0.03117035</v>
      </c>
      <c r="R78" s="20" t="n">
        <v>0.03132324</v>
      </c>
    </row>
    <row customHeight="1" ht="25" r="79" spans="1:18">
      <c r="A79" s="15" t="s">
        <v>639</v>
      </c>
      <c r="B79" s="17" t="n">
        <v>787</v>
      </c>
      <c r="C79" s="18">
        <f>(529.0/B79*100)</f>
        <v/>
      </c>
      <c r="D79" s="19" t="n">
        <v>258</v>
      </c>
      <c r="E79" s="18" t="n">
        <v>46.56253001</v>
      </c>
      <c r="F79" s="20" t="n">
        <v>3.18211214</v>
      </c>
      <c r="G79" s="18" t="n">
        <v>39.38068875</v>
      </c>
      <c r="H79" s="20" t="n">
        <v>2.76548898</v>
      </c>
      <c r="I79" s="18" t="s">
        <v>567</v>
      </c>
      <c r="J79" s="20" t="s">
        <v>567</v>
      </c>
      <c r="K79" s="18" t="n">
        <v>4.48745423</v>
      </c>
      <c r="L79" s="20" t="n">
        <v>1.10388257</v>
      </c>
      <c r="M79" s="18" t="n">
        <v>1.67915126</v>
      </c>
      <c r="N79" s="20" t="n">
        <v>0.84859308</v>
      </c>
      <c r="O79" s="18" t="n">
        <v>1.62194248</v>
      </c>
      <c r="P79" s="20" t="n">
        <v>0.8241462899999999</v>
      </c>
      <c r="Q79" s="18" t="n">
        <v>6.26823327</v>
      </c>
      <c r="R79" s="20" t="n">
        <v>1.26586496</v>
      </c>
    </row>
    <row r="80" spans="1:18">
      <c r="A80" s="15" t="s">
        <v>640</v>
      </c>
      <c r="B80" s="17" t="n">
        <v>3798</v>
      </c>
      <c r="C80" s="18">
        <f>(2538.0/B80*100)</f>
        <v/>
      </c>
      <c r="D80" s="19" t="n">
        <v>1260</v>
      </c>
      <c r="E80" s="18" t="n">
        <v>66.20728226</v>
      </c>
      <c r="F80" s="20" t="n">
        <v>2.12916505</v>
      </c>
      <c r="G80" s="18" t="n">
        <v>33.18362187</v>
      </c>
      <c r="H80" s="20" t="n">
        <v>2.17617852</v>
      </c>
      <c r="I80" s="18" t="s">
        <v>567</v>
      </c>
      <c r="J80" s="20" t="s">
        <v>567</v>
      </c>
      <c r="K80" s="18" t="n">
        <v>0</v>
      </c>
      <c r="L80" s="20" t="n">
        <v>0</v>
      </c>
      <c r="M80" s="18" t="n">
        <v>0</v>
      </c>
      <c r="N80" s="20" t="n">
        <v>0</v>
      </c>
      <c r="O80" s="18" t="n">
        <v>0</v>
      </c>
      <c r="P80" s="20" t="n">
        <v>0</v>
      </c>
      <c r="Q80" s="18" t="n">
        <v>0.60909586</v>
      </c>
      <c r="R80" s="20" t="n">
        <v>0.23955793</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885</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row>
    <row r="8" spans="1:20">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row>
    <row r="9" spans="1:20">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row>
    <row r="10" spans="1:20">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row>
    <row r="11" spans="1:20">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row>
    <row r="12" spans="1:20">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row>
    <row r="13" spans="1:20">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row>
    <row r="14" spans="1:20">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row>
    <row r="15" spans="1:20">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row>
    <row r="16" spans="1:20">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row>
    <row r="17" spans="1:20">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row>
    <row r="18" spans="1:20">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row>
    <row r="19" spans="1:20">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row>
    <row r="20" spans="1:20">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row>
    <row r="21" spans="1:20">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row>
    <row r="22" spans="1:20">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row>
    <row r="23" spans="1:20">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row>
    <row r="24" spans="1:20">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row>
    <row r="25" spans="1:20">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row>
    <row r="26" spans="1:20">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row>
    <row r="27" spans="1:20">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row>
    <row r="28" spans="1:20">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row>
    <row r="29" spans="1:20">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row>
    <row r="30" spans="1:20">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row>
    <row r="31" spans="1:20">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row>
    <row r="32" spans="1:20">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row>
    <row r="33" spans="1:20">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row>
    <row r="34" spans="1:20">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row>
    <row r="35" spans="1:20">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row>
    <row r="36" spans="1:20">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row>
    <row r="37" spans="1:20">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row>
    <row r="38" spans="1:20">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row>
    <row r="39" spans="1:20">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row>
    <row r="40" spans="1:20">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row>
    <row r="41" spans="1:20">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2524</v>
      </c>
      <c r="C44" s="18">
        <f>(1673.0/B44*100)</f>
        <v/>
      </c>
      <c r="D44" s="19" t="n">
        <v>851</v>
      </c>
      <c r="E44" s="18" t="n">
        <v>43.34599516</v>
      </c>
      <c r="F44" s="20" t="n">
        <v>2.19070878</v>
      </c>
      <c r="G44" s="18" t="n">
        <v>16.98516611</v>
      </c>
      <c r="H44" s="20" t="n">
        <v>1.41830215</v>
      </c>
      <c r="I44" s="18" t="n">
        <v>20.01460666</v>
      </c>
      <c r="J44" s="20" t="n">
        <v>1.85264852</v>
      </c>
      <c r="K44" s="18" t="s">
        <v>567</v>
      </c>
      <c r="L44" s="20" t="s">
        <v>567</v>
      </c>
      <c r="M44" s="18" t="n">
        <v>9.09532437</v>
      </c>
      <c r="N44" s="20" t="n">
        <v>1.10180095</v>
      </c>
      <c r="O44" s="18" t="n">
        <v>0</v>
      </c>
      <c r="P44" s="20" t="n">
        <v>0</v>
      </c>
      <c r="Q44" s="18" t="n">
        <v>0</v>
      </c>
      <c r="R44" s="20" t="n">
        <v>0</v>
      </c>
      <c r="S44" s="18" t="n">
        <v>10.5589077</v>
      </c>
      <c r="T44" s="20" t="n">
        <v>1.27720476</v>
      </c>
    </row>
    <row r="45" spans="1:20">
      <c r="A45" s="15" t="s">
        <v>605</v>
      </c>
      <c r="B45" s="17" t="n">
        <v>2849</v>
      </c>
      <c r="C45" s="18">
        <f>(1903.0/B45*100)</f>
        <v/>
      </c>
      <c r="D45" s="19" t="n">
        <v>946</v>
      </c>
      <c r="E45" s="18" t="n">
        <v>46.11928561</v>
      </c>
      <c r="F45" s="20" t="n">
        <v>1.75735509</v>
      </c>
      <c r="G45" s="18" t="n">
        <v>25.44210437</v>
      </c>
      <c r="H45" s="20" t="n">
        <v>1.45207299</v>
      </c>
      <c r="I45" s="18" t="n">
        <v>11.7407154</v>
      </c>
      <c r="J45" s="20" t="n">
        <v>1.35745772</v>
      </c>
      <c r="K45" s="18" t="s">
        <v>567</v>
      </c>
      <c r="L45" s="20" t="s">
        <v>567</v>
      </c>
      <c r="M45" s="18" t="n">
        <v>8.65931522</v>
      </c>
      <c r="N45" s="20" t="n">
        <v>1.17367274</v>
      </c>
      <c r="O45" s="18" t="n">
        <v>0.83125214</v>
      </c>
      <c r="P45" s="20" t="n">
        <v>0.30531162</v>
      </c>
      <c r="Q45" s="18" t="n">
        <v>0.17926819</v>
      </c>
      <c r="R45" s="20" t="n">
        <v>0.13117148</v>
      </c>
      <c r="S45" s="18" t="n">
        <v>7.02805908</v>
      </c>
      <c r="T45" s="20" t="n">
        <v>1.08094722</v>
      </c>
    </row>
    <row r="46" spans="1:20">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row>
    <row r="47" spans="1:20">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row>
    <row r="48" spans="1:20">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row>
    <row r="49" spans="1:20">
      <c r="A49" s="15" t="s">
        <v>609</v>
      </c>
      <c r="B49" s="17" t="n">
        <v>3018</v>
      </c>
      <c r="C49" s="18">
        <f>(2060.0/B49*100)</f>
        <v/>
      </c>
      <c r="D49" s="19" t="n">
        <v>958</v>
      </c>
      <c r="E49" s="18" t="n">
        <v>37.13715106</v>
      </c>
      <c r="F49" s="20" t="n">
        <v>1.9849996</v>
      </c>
      <c r="G49" s="18" t="n">
        <v>15.7336568</v>
      </c>
      <c r="H49" s="20" t="n">
        <v>1.32589539</v>
      </c>
      <c r="I49" s="18" t="n">
        <v>34.02327518</v>
      </c>
      <c r="J49" s="20" t="n">
        <v>1.7740788</v>
      </c>
      <c r="K49" s="18" t="s">
        <v>567</v>
      </c>
      <c r="L49" s="20" t="s">
        <v>567</v>
      </c>
      <c r="M49" s="18" t="n">
        <v>4.37876428</v>
      </c>
      <c r="N49" s="20" t="n">
        <v>0.75163322</v>
      </c>
      <c r="O49" s="18" t="n">
        <v>1.16557423</v>
      </c>
      <c r="P49" s="20" t="n">
        <v>0.40121695</v>
      </c>
      <c r="Q49" s="18" t="n">
        <v>0</v>
      </c>
      <c r="R49" s="20" t="n">
        <v>0</v>
      </c>
      <c r="S49" s="18" t="n">
        <v>7.56157846</v>
      </c>
      <c r="T49" s="20" t="n">
        <v>0.93221612</v>
      </c>
    </row>
    <row r="50" spans="1:20">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row>
    <row r="51" spans="1:20">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row>
    <row r="52" spans="1:20">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row>
    <row r="53" spans="1:20">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row>
    <row r="54" spans="1:20">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row>
    <row r="55" spans="1:20">
      <c r="A55" s="15" t="s">
        <v>615</v>
      </c>
      <c r="B55" s="17" t="n">
        <v>2759</v>
      </c>
      <c r="C55" s="18">
        <f>(1846.0/B55*100)</f>
        <v/>
      </c>
      <c r="D55" s="19" t="n">
        <v>913</v>
      </c>
      <c r="E55" s="18" t="n">
        <v>56.22941467</v>
      </c>
      <c r="F55" s="20" t="n">
        <v>1.6771071</v>
      </c>
      <c r="G55" s="18" t="n">
        <v>14.9434607</v>
      </c>
      <c r="H55" s="20" t="n">
        <v>1.32488149</v>
      </c>
      <c r="I55" s="18" t="n">
        <v>18.74840706</v>
      </c>
      <c r="J55" s="20" t="n">
        <v>1.22784065</v>
      </c>
      <c r="K55" s="18" t="s">
        <v>567</v>
      </c>
      <c r="L55" s="20" t="s">
        <v>567</v>
      </c>
      <c r="M55" s="18" t="n">
        <v>3.96950345</v>
      </c>
      <c r="N55" s="20" t="n">
        <v>0.66245155</v>
      </c>
      <c r="O55" s="18" t="n">
        <v>0</v>
      </c>
      <c r="P55" s="20" t="n">
        <v>0</v>
      </c>
      <c r="Q55" s="18" t="n">
        <v>0</v>
      </c>
      <c r="R55" s="20" t="n">
        <v>0</v>
      </c>
      <c r="S55" s="18" t="n">
        <v>6.10921413</v>
      </c>
      <c r="T55" s="20" t="n">
        <v>0.77335054</v>
      </c>
    </row>
    <row r="56" spans="1:20">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row>
    <row r="57" spans="1:20">
      <c r="A57" s="15" t="s">
        <v>617</v>
      </c>
      <c r="B57" s="17" t="n">
        <v>3170</v>
      </c>
      <c r="C57" s="18">
        <f>(2113.0/B57*100)</f>
        <v/>
      </c>
      <c r="D57" s="19" t="n">
        <v>1057</v>
      </c>
      <c r="E57" s="18" t="n">
        <v>41.73435914</v>
      </c>
      <c r="F57" s="20" t="n">
        <v>1.89459683</v>
      </c>
      <c r="G57" s="18" t="n">
        <v>38.0982833</v>
      </c>
      <c r="H57" s="20" t="n">
        <v>1.7197459</v>
      </c>
      <c r="I57" s="18" t="n">
        <v>11.80890475</v>
      </c>
      <c r="J57" s="20" t="n">
        <v>1.30891207</v>
      </c>
      <c r="K57" s="18" t="s">
        <v>567</v>
      </c>
      <c r="L57" s="20" t="s">
        <v>567</v>
      </c>
      <c r="M57" s="18" t="n">
        <v>2.64231115</v>
      </c>
      <c r="N57" s="20" t="n">
        <v>0.61201241</v>
      </c>
      <c r="O57" s="18" t="n">
        <v>0</v>
      </c>
      <c r="P57" s="20" t="n">
        <v>0</v>
      </c>
      <c r="Q57" s="18" t="n">
        <v>0</v>
      </c>
      <c r="R57" s="20" t="n">
        <v>0</v>
      </c>
      <c r="S57" s="18" t="n">
        <v>5.71614167</v>
      </c>
      <c r="T57" s="20" t="n">
        <v>0.93596057</v>
      </c>
    </row>
    <row r="58" spans="1:20">
      <c r="A58" s="15" t="s">
        <v>618</v>
      </c>
      <c r="B58" s="17" t="n">
        <v>3530</v>
      </c>
      <c r="C58" s="18">
        <f>(2348.0/B58*100)</f>
        <v/>
      </c>
      <c r="D58" s="19" t="n">
        <v>1182</v>
      </c>
      <c r="E58" s="18" t="n">
        <v>58.72361157</v>
      </c>
      <c r="F58" s="20" t="n">
        <v>1.77261655</v>
      </c>
      <c r="G58" s="18" t="n">
        <v>13.91797073</v>
      </c>
      <c r="H58" s="20" t="n">
        <v>1.25230924</v>
      </c>
      <c r="I58" s="18" t="n">
        <v>17.54591543</v>
      </c>
      <c r="J58" s="20" t="n">
        <v>1.54162922</v>
      </c>
      <c r="K58" s="18" t="s">
        <v>567</v>
      </c>
      <c r="L58" s="20" t="s">
        <v>567</v>
      </c>
      <c r="M58" s="18" t="n">
        <v>4.64431094</v>
      </c>
      <c r="N58" s="20" t="n">
        <v>0.74746104</v>
      </c>
      <c r="O58" s="18" t="n">
        <v>0</v>
      </c>
      <c r="P58" s="20" t="n">
        <v>0</v>
      </c>
      <c r="Q58" s="18" t="n">
        <v>0</v>
      </c>
      <c r="R58" s="20" t="n">
        <v>0</v>
      </c>
      <c r="S58" s="18" t="n">
        <v>5.16819134</v>
      </c>
      <c r="T58" s="20" t="n">
        <v>0.84387254</v>
      </c>
    </row>
    <row r="59" spans="1:20">
      <c r="A59" s="15" t="s">
        <v>619</v>
      </c>
      <c r="B59" s="17" t="n">
        <v>2548</v>
      </c>
      <c r="C59" s="18">
        <f>(1717.0/B59*100)</f>
        <v/>
      </c>
      <c r="D59" s="19" t="n">
        <v>831</v>
      </c>
      <c r="E59" s="18" t="n">
        <v>54.53700463</v>
      </c>
      <c r="F59" s="20" t="n">
        <v>1.75845753</v>
      </c>
      <c r="G59" s="18" t="n">
        <v>12.96124776</v>
      </c>
      <c r="H59" s="20" t="n">
        <v>1.64143141</v>
      </c>
      <c r="I59" s="18" t="n">
        <v>6.12625099</v>
      </c>
      <c r="J59" s="20" t="n">
        <v>0.92264823</v>
      </c>
      <c r="K59" s="18" t="s">
        <v>567</v>
      </c>
      <c r="L59" s="20" t="s">
        <v>567</v>
      </c>
      <c r="M59" s="18" t="n">
        <v>2.58280643</v>
      </c>
      <c r="N59" s="20" t="n">
        <v>0.6309752</v>
      </c>
      <c r="O59" s="18" t="n">
        <v>0</v>
      </c>
      <c r="P59" s="20" t="n">
        <v>0</v>
      </c>
      <c r="Q59" s="18" t="n">
        <v>0</v>
      </c>
      <c r="R59" s="20" t="n">
        <v>0</v>
      </c>
      <c r="S59" s="18" t="n">
        <v>23.79269019</v>
      </c>
      <c r="T59" s="20" t="n">
        <v>1.64354066</v>
      </c>
    </row>
    <row r="60" spans="1:20">
      <c r="A60" s="15" t="s">
        <v>620</v>
      </c>
      <c r="B60" s="17" t="n">
        <v>2095</v>
      </c>
      <c r="C60" s="18">
        <f>(1419.0/B60*100)</f>
        <v/>
      </c>
      <c r="D60" s="19" t="n">
        <v>676</v>
      </c>
      <c r="E60" s="18" t="n">
        <v>10.95727064</v>
      </c>
      <c r="F60" s="20" t="n">
        <v>1.61746254</v>
      </c>
      <c r="G60" s="18" t="n">
        <v>8.439483210000001</v>
      </c>
      <c r="H60" s="20" t="n">
        <v>1.01123416</v>
      </c>
      <c r="I60" s="18" t="n">
        <v>17.17878006</v>
      </c>
      <c r="J60" s="20" t="n">
        <v>2.102699</v>
      </c>
      <c r="K60" s="18" t="s">
        <v>567</v>
      </c>
      <c r="L60" s="20" t="s">
        <v>567</v>
      </c>
      <c r="M60" s="18" t="n">
        <v>3.18089638</v>
      </c>
      <c r="N60" s="20" t="n">
        <v>0.89484407</v>
      </c>
      <c r="O60" s="18" t="n">
        <v>57.61431655</v>
      </c>
      <c r="P60" s="20" t="n">
        <v>3.01642537</v>
      </c>
      <c r="Q60" s="18" t="n">
        <v>0.14068169</v>
      </c>
      <c r="R60" s="20" t="n">
        <v>0.14245445</v>
      </c>
      <c r="S60" s="18" t="n">
        <v>2.48857147</v>
      </c>
      <c r="T60" s="20" t="n">
        <v>0.73180039</v>
      </c>
    </row>
    <row r="61" spans="1:20">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row>
    <row r="62" spans="1:20">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row>
    <row r="63" spans="1:20">
      <c r="A63" s="15" t="s">
        <v>623</v>
      </c>
      <c r="B63" s="17" t="n">
        <v>2813</v>
      </c>
      <c r="C63" s="18">
        <f>(1883.0/B63*100)</f>
        <v/>
      </c>
      <c r="D63" s="19" t="n">
        <v>930</v>
      </c>
      <c r="E63" s="18" t="n">
        <v>54.90868349</v>
      </c>
      <c r="F63" s="20" t="n">
        <v>1.79001852</v>
      </c>
      <c r="G63" s="18" t="n">
        <v>5.36359373</v>
      </c>
      <c r="H63" s="20" t="n">
        <v>0.81703831</v>
      </c>
      <c r="I63" s="18" t="n">
        <v>16.86083666</v>
      </c>
      <c r="J63" s="20" t="n">
        <v>1.54670312</v>
      </c>
      <c r="K63" s="18" t="s">
        <v>567</v>
      </c>
      <c r="L63" s="20" t="s">
        <v>567</v>
      </c>
      <c r="M63" s="18" t="n">
        <v>8.499845840000001</v>
      </c>
      <c r="N63" s="20" t="n">
        <v>1.05090947</v>
      </c>
      <c r="O63" s="18" t="n">
        <v>0</v>
      </c>
      <c r="P63" s="20" t="n">
        <v>0</v>
      </c>
      <c r="Q63" s="18" t="n">
        <v>0</v>
      </c>
      <c r="R63" s="20" t="n">
        <v>0</v>
      </c>
      <c r="S63" s="18" t="n">
        <v>14.36704028</v>
      </c>
      <c r="T63" s="20" t="n">
        <v>1.13871773</v>
      </c>
    </row>
    <row r="64" spans="1:20">
      <c r="A64" s="15" t="s">
        <v>624</v>
      </c>
      <c r="B64" s="17" t="n">
        <v>1844</v>
      </c>
      <c r="C64" s="18">
        <f>(1232.0/B64*100)</f>
        <v/>
      </c>
      <c r="D64" s="19" t="n">
        <v>612</v>
      </c>
      <c r="E64" s="18" t="n">
        <v>31.32789913</v>
      </c>
      <c r="F64" s="20" t="n">
        <v>2.00496437</v>
      </c>
      <c r="G64" s="18" t="n">
        <v>14.62833173</v>
      </c>
      <c r="H64" s="20" t="n">
        <v>1.35075134</v>
      </c>
      <c r="I64" s="18" t="n">
        <v>45.93994258</v>
      </c>
      <c r="J64" s="20" t="n">
        <v>1.81312302</v>
      </c>
      <c r="K64" s="18" t="s">
        <v>567</v>
      </c>
      <c r="L64" s="20" t="s">
        <v>567</v>
      </c>
      <c r="M64" s="18" t="n">
        <v>4.63514864</v>
      </c>
      <c r="N64" s="20" t="n">
        <v>0.7535290100000001</v>
      </c>
      <c r="O64" s="18" t="n">
        <v>0</v>
      </c>
      <c r="P64" s="20" t="n">
        <v>0</v>
      </c>
      <c r="Q64" s="18" t="n">
        <v>0</v>
      </c>
      <c r="R64" s="20" t="n">
        <v>0</v>
      </c>
      <c r="S64" s="18" t="n">
        <v>3.46867792</v>
      </c>
      <c r="T64" s="20" t="n">
        <v>0.81023563</v>
      </c>
    </row>
    <row r="65" spans="1:20">
      <c r="A65" s="15" t="s">
        <v>625</v>
      </c>
      <c r="B65" s="17" t="n">
        <v>2691</v>
      </c>
      <c r="C65" s="18">
        <f>(1789.0/B65*100)</f>
        <v/>
      </c>
      <c r="D65" s="19" t="n">
        <v>902</v>
      </c>
      <c r="E65" s="18" t="n">
        <v>34.80321015</v>
      </c>
      <c r="F65" s="20" t="n">
        <v>1.46698723</v>
      </c>
      <c r="G65" s="18" t="n">
        <v>11.04794353</v>
      </c>
      <c r="H65" s="20" t="n">
        <v>1.04026124</v>
      </c>
      <c r="I65" s="18" t="n">
        <v>39.70293495</v>
      </c>
      <c r="J65" s="20" t="n">
        <v>1.54370818</v>
      </c>
      <c r="K65" s="18" t="s">
        <v>567</v>
      </c>
      <c r="L65" s="20" t="s">
        <v>567</v>
      </c>
      <c r="M65" s="18" t="n">
        <v>9.65647353</v>
      </c>
      <c r="N65" s="20" t="n">
        <v>1.0641754</v>
      </c>
      <c r="O65" s="18" t="n">
        <v>0</v>
      </c>
      <c r="P65" s="20" t="n">
        <v>0</v>
      </c>
      <c r="Q65" s="18" t="n">
        <v>0</v>
      </c>
      <c r="R65" s="20" t="n">
        <v>0</v>
      </c>
      <c r="S65" s="18" t="n">
        <v>4.78943784</v>
      </c>
      <c r="T65" s="20" t="n">
        <v>0.92916823</v>
      </c>
    </row>
    <row r="66" spans="1:20">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row>
    <row r="67" spans="1:20">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row>
    <row r="68" spans="1:20">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row>
    <row r="69" spans="1:20">
      <c r="A69" s="15" t="s">
        <v>629</v>
      </c>
      <c r="B69" s="17" t="n">
        <v>2410</v>
      </c>
      <c r="C69" s="18">
        <f>(1603.0/B69*100)</f>
        <v/>
      </c>
      <c r="D69" s="19" t="n">
        <v>807</v>
      </c>
      <c r="E69" s="18" t="n">
        <v>40.92709723</v>
      </c>
      <c r="F69" s="20" t="n">
        <v>2.3754417</v>
      </c>
      <c r="G69" s="18" t="n">
        <v>24.97756451</v>
      </c>
      <c r="H69" s="20" t="n">
        <v>1.42885328</v>
      </c>
      <c r="I69" s="18" t="n">
        <v>33.97525203</v>
      </c>
      <c r="J69" s="20" t="n">
        <v>2.17365059</v>
      </c>
      <c r="K69" s="18" t="s">
        <v>567</v>
      </c>
      <c r="L69" s="20" t="s">
        <v>567</v>
      </c>
      <c r="M69" s="18" t="n">
        <v>0</v>
      </c>
      <c r="N69" s="20" t="n">
        <v>0</v>
      </c>
      <c r="O69" s="18" t="n">
        <v>0</v>
      </c>
      <c r="P69" s="20" t="n">
        <v>0</v>
      </c>
      <c r="Q69" s="18" t="n">
        <v>0</v>
      </c>
      <c r="R69" s="20" t="n">
        <v>0</v>
      </c>
      <c r="S69" s="18" t="n">
        <v>0.12008623</v>
      </c>
      <c r="T69" s="20" t="n">
        <v>0.11954953</v>
      </c>
    </row>
    <row r="70" spans="1:20">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row>
    <row r="71" spans="1:20">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row>
    <row r="72" spans="1:20">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row>
    <row r="73" spans="1:20">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row>
    <row r="74" spans="1:20">
      <c r="A74" s="15" t="s">
        <v>634</v>
      </c>
      <c r="B74" s="17" t="n">
        <v>2239</v>
      </c>
      <c r="C74" s="18">
        <f>(1491.0/B74*100)</f>
        <v/>
      </c>
      <c r="D74" s="19" t="n">
        <v>748</v>
      </c>
      <c r="E74" s="18" t="n">
        <v>41.3780764</v>
      </c>
      <c r="F74" s="20" t="n">
        <v>2.1218697</v>
      </c>
      <c r="G74" s="18" t="n">
        <v>20.39920074</v>
      </c>
      <c r="H74" s="20" t="n">
        <v>1.71153218</v>
      </c>
      <c r="I74" s="18" t="n">
        <v>20.71054057</v>
      </c>
      <c r="J74" s="20" t="n">
        <v>1.61487835</v>
      </c>
      <c r="K74" s="18" t="s">
        <v>567</v>
      </c>
      <c r="L74" s="20" t="s">
        <v>567</v>
      </c>
      <c r="M74" s="18" t="n">
        <v>11.559132</v>
      </c>
      <c r="N74" s="20" t="n">
        <v>1.40509397</v>
      </c>
      <c r="O74" s="18" t="n">
        <v>0</v>
      </c>
      <c r="P74" s="20" t="n">
        <v>0</v>
      </c>
      <c r="Q74" s="18" t="n">
        <v>0</v>
      </c>
      <c r="R74" s="20" t="n">
        <v>0</v>
      </c>
      <c r="S74" s="18" t="n">
        <v>5.95305029</v>
      </c>
      <c r="T74" s="20" t="n">
        <v>0.94933287</v>
      </c>
    </row>
    <row r="75" spans="1:20">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row>
    <row r="76" spans="1:20">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row>
    <row r="77" spans="1:20">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row>
    <row r="78" spans="1:20">
      <c r="A78" s="15" t="s">
        <v>638</v>
      </c>
      <c r="B78" s="17" t="n">
        <v>2786</v>
      </c>
      <c r="C78" s="18">
        <f>(1848.0/B78*100)</f>
        <v/>
      </c>
      <c r="D78" s="19" t="n">
        <v>938</v>
      </c>
      <c r="E78" s="18" t="n">
        <v>19.06221894</v>
      </c>
      <c r="F78" s="20" t="n">
        <v>1.38517473</v>
      </c>
      <c r="G78" s="18" t="n">
        <v>26.10683946</v>
      </c>
      <c r="H78" s="20" t="n">
        <v>1.69207206</v>
      </c>
      <c r="I78" s="18" t="n">
        <v>54.10468937</v>
      </c>
      <c r="J78" s="20" t="n">
        <v>2.22477313</v>
      </c>
      <c r="K78" s="18" t="s">
        <v>567</v>
      </c>
      <c r="L78" s="20" t="s">
        <v>567</v>
      </c>
      <c r="M78" s="18" t="n">
        <v>0</v>
      </c>
      <c r="N78" s="20" t="n">
        <v>0</v>
      </c>
      <c r="O78" s="18" t="n">
        <v>0</v>
      </c>
      <c r="P78" s="20" t="n">
        <v>0</v>
      </c>
      <c r="Q78" s="18" t="n">
        <v>0</v>
      </c>
      <c r="R78" s="20" t="n">
        <v>0</v>
      </c>
      <c r="S78" s="18" t="n">
        <v>0.7262522300000001</v>
      </c>
      <c r="T78" s="20" t="n">
        <v>0.49762088</v>
      </c>
    </row>
    <row customHeight="1" ht="25" r="79" spans="1:20">
      <c r="A79" s="15" t="s">
        <v>639</v>
      </c>
      <c r="B79" s="17" t="n">
        <v>787</v>
      </c>
      <c r="C79" s="18">
        <f>(529.0/B79*100)</f>
        <v/>
      </c>
      <c r="D79" s="19" t="n">
        <v>258</v>
      </c>
      <c r="E79" s="18" t="n">
        <v>32.96473368</v>
      </c>
      <c r="F79" s="20" t="n">
        <v>3.37147579</v>
      </c>
      <c r="G79" s="18" t="n">
        <v>15.55709906</v>
      </c>
      <c r="H79" s="20" t="n">
        <v>2.31276025</v>
      </c>
      <c r="I79" s="18" t="n">
        <v>39.74887196</v>
      </c>
      <c r="J79" s="20" t="n">
        <v>3.38261207</v>
      </c>
      <c r="K79" s="18" t="s">
        <v>567</v>
      </c>
      <c r="L79" s="20" t="s">
        <v>567</v>
      </c>
      <c r="M79" s="18" t="n">
        <v>5.65404249</v>
      </c>
      <c r="N79" s="20" t="n">
        <v>1.60104662</v>
      </c>
      <c r="O79" s="18" t="n">
        <v>1.67915126</v>
      </c>
      <c r="P79" s="20" t="n">
        <v>0.84859308</v>
      </c>
      <c r="Q79" s="18" t="n">
        <v>0</v>
      </c>
      <c r="R79" s="20" t="n">
        <v>0</v>
      </c>
      <c r="S79" s="18" t="n">
        <v>4.39610155</v>
      </c>
      <c r="T79" s="20" t="n">
        <v>1.14928578</v>
      </c>
    </row>
    <row r="80" spans="1:20">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(1673.0/B44*100)</f>
        <v/>
      </c>
      <c r="D44" s="19" t="n">
        <v>851</v>
      </c>
      <c r="E44" s="18" t="n">
        <v>36.43932604</v>
      </c>
      <c r="F44" s="20" t="n">
        <v>2.17695138</v>
      </c>
      <c r="G44" s="18" t="n">
        <v>32.96533187</v>
      </c>
      <c r="H44" s="20" t="n">
        <v>1.91313048</v>
      </c>
      <c r="I44" s="18" t="s">
        <v>567</v>
      </c>
      <c r="J44" s="20" t="s">
        <v>567</v>
      </c>
      <c r="K44" s="18" t="n">
        <v>10.65988338</v>
      </c>
      <c r="L44" s="20" t="n">
        <v>1.21412644</v>
      </c>
      <c r="M44" s="18" t="n">
        <v>0</v>
      </c>
      <c r="N44" s="20" t="n">
        <v>0</v>
      </c>
      <c r="O44" s="18" t="n">
        <v>0</v>
      </c>
      <c r="P44" s="20" t="n">
        <v>0</v>
      </c>
      <c r="Q44" s="18" t="n">
        <v>19.93545871</v>
      </c>
      <c r="R44" s="20" t="n">
        <v>1.76006597</v>
      </c>
    </row>
    <row r="45" spans="1:18">
      <c r="A45" s="15" t="s">
        <v>605</v>
      </c>
      <c r="B45" s="17" t="n">
        <v>2849</v>
      </c>
      <c r="C45" s="18">
        <f>(1903.0/B45*100)</f>
        <v/>
      </c>
      <c r="D45" s="19" t="n">
        <v>946</v>
      </c>
      <c r="E45" s="18" t="n">
        <v>49.37403489</v>
      </c>
      <c r="F45" s="20" t="n">
        <v>1.82029892</v>
      </c>
      <c r="G45" s="18" t="n">
        <v>20.25609881</v>
      </c>
      <c r="H45" s="20" t="n">
        <v>1.37394493</v>
      </c>
      <c r="I45" s="18" t="s">
        <v>567</v>
      </c>
      <c r="J45" s="20" t="s">
        <v>567</v>
      </c>
      <c r="K45" s="18" t="n">
        <v>11.26042388</v>
      </c>
      <c r="L45" s="20" t="n">
        <v>1.37273797</v>
      </c>
      <c r="M45" s="18" t="n">
        <v>0.68925401</v>
      </c>
      <c r="N45" s="20" t="n">
        <v>0.29204965</v>
      </c>
      <c r="O45" s="18" t="n">
        <v>0.09648387</v>
      </c>
      <c r="P45" s="20" t="n">
        <v>0.06885571</v>
      </c>
      <c r="Q45" s="18" t="n">
        <v>18.32370455</v>
      </c>
      <c r="R45" s="20" t="n">
        <v>1.59752078</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(2060.0/B49*100)</f>
        <v/>
      </c>
      <c r="D49" s="19" t="n">
        <v>958</v>
      </c>
      <c r="E49" s="18" t="n">
        <v>48.99278996</v>
      </c>
      <c r="F49" s="20" t="n">
        <v>1.91699341</v>
      </c>
      <c r="G49" s="18" t="n">
        <v>29.88881886</v>
      </c>
      <c r="H49" s="20" t="n">
        <v>1.70857254</v>
      </c>
      <c r="I49" s="18" t="s">
        <v>567</v>
      </c>
      <c r="J49" s="20" t="s">
        <v>567</v>
      </c>
      <c r="K49" s="18" t="n">
        <v>6.07478754</v>
      </c>
      <c r="L49" s="20" t="n">
        <v>0.89336795</v>
      </c>
      <c r="M49" s="18" t="n">
        <v>1.16557423</v>
      </c>
      <c r="N49" s="20" t="n">
        <v>0.40121695</v>
      </c>
      <c r="O49" s="18" t="n">
        <v>0</v>
      </c>
      <c r="P49" s="20" t="n">
        <v>0</v>
      </c>
      <c r="Q49" s="18" t="n">
        <v>13.87802941</v>
      </c>
      <c r="R49" s="20" t="n">
        <v>1.40789988</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(1846.0/B55*100)</f>
        <v/>
      </c>
      <c r="D55" s="19" t="n">
        <v>913</v>
      </c>
      <c r="E55" s="18" t="n">
        <v>35.30048409</v>
      </c>
      <c r="F55" s="20" t="n">
        <v>1.6923861</v>
      </c>
      <c r="G55" s="18" t="n">
        <v>28.41145443</v>
      </c>
      <c r="H55" s="20" t="n">
        <v>1.59354782</v>
      </c>
      <c r="I55" s="18" t="s">
        <v>567</v>
      </c>
      <c r="J55" s="20" t="s">
        <v>567</v>
      </c>
      <c r="K55" s="18" t="n">
        <v>6.09058426</v>
      </c>
      <c r="L55" s="20" t="n">
        <v>0.93391336</v>
      </c>
      <c r="M55" s="18" t="n">
        <v>0</v>
      </c>
      <c r="N55" s="20" t="n">
        <v>0</v>
      </c>
      <c r="O55" s="18" t="n">
        <v>0</v>
      </c>
      <c r="P55" s="20" t="n">
        <v>0</v>
      </c>
      <c r="Q55" s="18" t="n">
        <v>30.19747722</v>
      </c>
      <c r="R55" s="20" t="n">
        <v>1.61839348</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(2113.0/B57*100)</f>
        <v/>
      </c>
      <c r="D57" s="19" t="n">
        <v>1057</v>
      </c>
      <c r="E57" s="18" t="n">
        <v>53.61779486</v>
      </c>
      <c r="F57" s="20" t="n">
        <v>1.5894002</v>
      </c>
      <c r="G57" s="18" t="n">
        <v>39.10761844</v>
      </c>
      <c r="H57" s="20" t="n">
        <v>1.55013385</v>
      </c>
      <c r="I57" s="18" t="s">
        <v>567</v>
      </c>
      <c r="J57" s="20" t="s">
        <v>567</v>
      </c>
      <c r="K57" s="18" t="n">
        <v>3.14784754</v>
      </c>
      <c r="L57" s="20" t="n">
        <v>0.66449423</v>
      </c>
      <c r="M57" s="18" t="n">
        <v>0</v>
      </c>
      <c r="N57" s="20" t="n">
        <v>0</v>
      </c>
      <c r="O57" s="18" t="n">
        <v>0</v>
      </c>
      <c r="P57" s="20" t="n">
        <v>0</v>
      </c>
      <c r="Q57" s="18" t="n">
        <v>4.12673916</v>
      </c>
      <c r="R57" s="20" t="n">
        <v>0.75356091</v>
      </c>
    </row>
    <row r="58" spans="1:18">
      <c r="A58" s="15" t="s">
        <v>618</v>
      </c>
      <c r="B58" s="17" t="n">
        <v>3530</v>
      </c>
      <c r="C58" s="18">
        <f>(2348.0/B58*100)</f>
        <v/>
      </c>
      <c r="D58" s="19" t="n">
        <v>1182</v>
      </c>
      <c r="E58" s="18" t="n">
        <v>40.63350862</v>
      </c>
      <c r="F58" s="20" t="n">
        <v>1.52226563</v>
      </c>
      <c r="G58" s="18" t="n">
        <v>37.74728271</v>
      </c>
      <c r="H58" s="20" t="n">
        <v>1.74330628</v>
      </c>
      <c r="I58" s="18" t="s">
        <v>567</v>
      </c>
      <c r="J58" s="20" t="s">
        <v>567</v>
      </c>
      <c r="K58" s="18" t="n">
        <v>6.39869683</v>
      </c>
      <c r="L58" s="20" t="n">
        <v>0.89948578</v>
      </c>
      <c r="M58" s="18" t="n">
        <v>0</v>
      </c>
      <c r="N58" s="20" t="n">
        <v>0</v>
      </c>
      <c r="O58" s="18" t="n">
        <v>0</v>
      </c>
      <c r="P58" s="20" t="n">
        <v>0</v>
      </c>
      <c r="Q58" s="18" t="n">
        <v>15.22051185</v>
      </c>
      <c r="R58" s="20" t="n">
        <v>1.420906</v>
      </c>
    </row>
    <row r="59" spans="1:18">
      <c r="A59" s="15" t="s">
        <v>619</v>
      </c>
      <c r="B59" s="17" t="n">
        <v>2548</v>
      </c>
      <c r="C59" s="18">
        <f>(1717.0/B59*100)</f>
        <v/>
      </c>
      <c r="D59" s="19" t="n">
        <v>831</v>
      </c>
      <c r="E59" s="18" t="n">
        <v>54.6607064</v>
      </c>
      <c r="F59" s="20" t="n">
        <v>1.78391947</v>
      </c>
      <c r="G59" s="18" t="n">
        <v>19.84725606</v>
      </c>
      <c r="H59" s="20" t="n">
        <v>1.70445849</v>
      </c>
      <c r="I59" s="18" t="s">
        <v>567</v>
      </c>
      <c r="J59" s="20" t="s">
        <v>567</v>
      </c>
      <c r="K59" s="18" t="n">
        <v>2.75401723</v>
      </c>
      <c r="L59" s="20" t="n">
        <v>0.63113444</v>
      </c>
      <c r="M59" s="18" t="n">
        <v>0</v>
      </c>
      <c r="N59" s="20" t="n">
        <v>0</v>
      </c>
      <c r="O59" s="18" t="n">
        <v>0</v>
      </c>
      <c r="P59" s="20" t="n">
        <v>0</v>
      </c>
      <c r="Q59" s="18" t="n">
        <v>22.7380203</v>
      </c>
      <c r="R59" s="20" t="n">
        <v>1.58908662</v>
      </c>
    </row>
    <row r="60" spans="1:18">
      <c r="A60" s="15" t="s">
        <v>620</v>
      </c>
      <c r="B60" s="17" t="n">
        <v>2095</v>
      </c>
      <c r="C60" s="18">
        <f>(1419.0/B60*100)</f>
        <v/>
      </c>
      <c r="D60" s="19" t="n">
        <v>676</v>
      </c>
      <c r="E60" s="18" t="n">
        <v>44.91355</v>
      </c>
      <c r="F60" s="20" t="n">
        <v>2.65537218</v>
      </c>
      <c r="G60" s="18" t="n">
        <v>19.76641838</v>
      </c>
      <c r="H60" s="20" t="n">
        <v>1.83885483</v>
      </c>
      <c r="I60" s="18" t="s">
        <v>567</v>
      </c>
      <c r="J60" s="20" t="s">
        <v>567</v>
      </c>
      <c r="K60" s="18" t="n">
        <v>13.20144156</v>
      </c>
      <c r="L60" s="20" t="n">
        <v>1.49560401</v>
      </c>
      <c r="M60" s="18" t="n">
        <v>0</v>
      </c>
      <c r="N60" s="20" t="n">
        <v>0</v>
      </c>
      <c r="O60" s="18" t="n">
        <v>0</v>
      </c>
      <c r="P60" s="20" t="n">
        <v>0</v>
      </c>
      <c r="Q60" s="18" t="n">
        <v>22.11859005</v>
      </c>
      <c r="R60" s="20" t="n">
        <v>2.17520147</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(1883.0/B63*100)</f>
        <v/>
      </c>
      <c r="D63" s="19" t="n">
        <v>930</v>
      </c>
      <c r="E63" s="18" t="n">
        <v>27.80690724</v>
      </c>
      <c r="F63" s="20" t="n">
        <v>1.60557693</v>
      </c>
      <c r="G63" s="18" t="n">
        <v>21.25572051</v>
      </c>
      <c r="H63" s="20" t="n">
        <v>1.54731072</v>
      </c>
      <c r="I63" s="18" t="s">
        <v>567</v>
      </c>
      <c r="J63" s="20" t="s">
        <v>567</v>
      </c>
      <c r="K63" s="18" t="n">
        <v>11.87244452</v>
      </c>
      <c r="L63" s="20" t="n">
        <v>1.12268876</v>
      </c>
      <c r="M63" s="18" t="n">
        <v>0</v>
      </c>
      <c r="N63" s="20" t="n">
        <v>0</v>
      </c>
      <c r="O63" s="18" t="n">
        <v>0</v>
      </c>
      <c r="P63" s="20" t="n">
        <v>0</v>
      </c>
      <c r="Q63" s="18" t="n">
        <v>39.06492773</v>
      </c>
      <c r="R63" s="20" t="n">
        <v>1.72632781</v>
      </c>
    </row>
    <row r="64" spans="1:18">
      <c r="A64" s="15" t="s">
        <v>624</v>
      </c>
      <c r="B64" s="17" t="n">
        <v>1844</v>
      </c>
      <c r="C64" s="18">
        <f>(1232.0/B64*100)</f>
        <v/>
      </c>
      <c r="D64" s="19" t="n">
        <v>612</v>
      </c>
      <c r="E64" s="18" t="n">
        <v>51.61494726</v>
      </c>
      <c r="F64" s="20" t="n">
        <v>2.20273166</v>
      </c>
      <c r="G64" s="18" t="n">
        <v>29.0591314</v>
      </c>
      <c r="H64" s="20" t="n">
        <v>1.74113193</v>
      </c>
      <c r="I64" s="18" t="s">
        <v>567</v>
      </c>
      <c r="J64" s="20" t="s">
        <v>567</v>
      </c>
      <c r="K64" s="18" t="n">
        <v>6.33970436</v>
      </c>
      <c r="L64" s="20" t="n">
        <v>0.93290887</v>
      </c>
      <c r="M64" s="18" t="n">
        <v>0</v>
      </c>
      <c r="N64" s="20" t="n">
        <v>0</v>
      </c>
      <c r="O64" s="18" t="n">
        <v>0</v>
      </c>
      <c r="P64" s="20" t="n">
        <v>0</v>
      </c>
      <c r="Q64" s="18" t="n">
        <v>12.98621698</v>
      </c>
      <c r="R64" s="20" t="n">
        <v>1.22457064</v>
      </c>
    </row>
    <row r="65" spans="1:18">
      <c r="A65" s="15" t="s">
        <v>625</v>
      </c>
      <c r="B65" s="17" t="n">
        <v>2691</v>
      </c>
      <c r="C65" s="18">
        <f>(1789.0/B65*100)</f>
        <v/>
      </c>
      <c r="D65" s="19" t="n">
        <v>902</v>
      </c>
      <c r="E65" s="18" t="n">
        <v>27.83273893</v>
      </c>
      <c r="F65" s="20" t="n">
        <v>1.9856337</v>
      </c>
      <c r="G65" s="18" t="n">
        <v>33.4317655</v>
      </c>
      <c r="H65" s="20" t="n">
        <v>1.83815127</v>
      </c>
      <c r="I65" s="18" t="s">
        <v>567</v>
      </c>
      <c r="J65" s="20" t="s">
        <v>567</v>
      </c>
      <c r="K65" s="18" t="n">
        <v>13.57180123</v>
      </c>
      <c r="L65" s="20" t="n">
        <v>1.11781006</v>
      </c>
      <c r="M65" s="18" t="n">
        <v>0</v>
      </c>
      <c r="N65" s="20" t="n">
        <v>0</v>
      </c>
      <c r="O65" s="18" t="n">
        <v>0</v>
      </c>
      <c r="P65" s="20" t="n">
        <v>0</v>
      </c>
      <c r="Q65" s="18" t="n">
        <v>25.16369433</v>
      </c>
      <c r="R65" s="20" t="n">
        <v>1.33489064</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(1603.0/B69*100)</f>
        <v/>
      </c>
      <c r="D69" s="19" t="n">
        <v>807</v>
      </c>
      <c r="E69" s="18" t="n">
        <v>57.16534323</v>
      </c>
      <c r="F69" s="20" t="n">
        <v>2.14694665</v>
      </c>
      <c r="G69" s="18" t="n">
        <v>42.73202491</v>
      </c>
      <c r="H69" s="20" t="n">
        <v>2.16000738</v>
      </c>
      <c r="I69" s="18" t="s">
        <v>567</v>
      </c>
      <c r="J69" s="20" t="s">
        <v>567</v>
      </c>
      <c r="K69" s="18" t="n">
        <v>0</v>
      </c>
      <c r="L69" s="20" t="n">
        <v>0</v>
      </c>
      <c r="M69" s="18" t="n">
        <v>0</v>
      </c>
      <c r="N69" s="20" t="n">
        <v>0</v>
      </c>
      <c r="O69" s="18" t="n">
        <v>0</v>
      </c>
      <c r="P69" s="20" t="n">
        <v>0</v>
      </c>
      <c r="Q69" s="18" t="n">
        <v>0.10263186</v>
      </c>
      <c r="R69" s="20" t="n">
        <v>0.10262218</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(1491.0/B74*100)</f>
        <v/>
      </c>
      <c r="D74" s="19" t="n">
        <v>748</v>
      </c>
      <c r="E74" s="18" t="n">
        <v>41.30795257</v>
      </c>
      <c r="F74" s="20" t="n">
        <v>1.84596435</v>
      </c>
      <c r="G74" s="18" t="n">
        <v>26.35142693</v>
      </c>
      <c r="H74" s="20" t="n">
        <v>1.57118266</v>
      </c>
      <c r="I74" s="18" t="s">
        <v>567</v>
      </c>
      <c r="J74" s="20" t="s">
        <v>567</v>
      </c>
      <c r="K74" s="18" t="n">
        <v>14.41124308</v>
      </c>
      <c r="L74" s="20" t="n">
        <v>1.54399653</v>
      </c>
      <c r="M74" s="18" t="n">
        <v>0</v>
      </c>
      <c r="N74" s="20" t="n">
        <v>0</v>
      </c>
      <c r="O74" s="18" t="n">
        <v>0</v>
      </c>
      <c r="P74" s="20" t="n">
        <v>0</v>
      </c>
      <c r="Q74" s="18" t="n">
        <v>17.92937742</v>
      </c>
      <c r="R74" s="20" t="n">
        <v>1.43626821</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38.85787088</v>
      </c>
      <c r="F78" s="20" t="n">
        <v>1.60106759</v>
      </c>
      <c r="G78" s="18" t="n">
        <v>58.45203901</v>
      </c>
      <c r="H78" s="20" t="n">
        <v>1.64456326</v>
      </c>
      <c r="I78" s="18" t="s">
        <v>567</v>
      </c>
      <c r="J78" s="20" t="s">
        <v>567</v>
      </c>
      <c r="K78" s="18" t="n">
        <v>0.01533459</v>
      </c>
      <c r="L78" s="20" t="n">
        <v>0.01543489</v>
      </c>
      <c r="M78" s="18" t="n">
        <v>0</v>
      </c>
      <c r="N78" s="20" t="n">
        <v>0</v>
      </c>
      <c r="O78" s="18" t="n">
        <v>0</v>
      </c>
      <c r="P78" s="20" t="n">
        <v>0</v>
      </c>
      <c r="Q78" s="18" t="n">
        <v>2.67475552</v>
      </c>
      <c r="R78" s="20" t="n">
        <v>0.72479351</v>
      </c>
    </row>
    <row customHeight="1" ht="25" r="79" spans="1:18">
      <c r="A79" s="15" t="s">
        <v>639</v>
      </c>
      <c r="B79" s="17" t="n">
        <v>787</v>
      </c>
      <c r="C79" s="18">
        <f>(529.0/B79*100)</f>
        <v/>
      </c>
      <c r="D79" s="19" t="n">
        <v>258</v>
      </c>
      <c r="E79" s="18" t="n">
        <v>44.08947039</v>
      </c>
      <c r="F79" s="20" t="n">
        <v>2.75780197</v>
      </c>
      <c r="G79" s="18" t="n">
        <v>35.94770891</v>
      </c>
      <c r="H79" s="20" t="n">
        <v>2.88629929</v>
      </c>
      <c r="I79" s="18" t="s">
        <v>567</v>
      </c>
      <c r="J79" s="20" t="s">
        <v>567</v>
      </c>
      <c r="K79" s="18" t="n">
        <v>8.72589829</v>
      </c>
      <c r="L79" s="20" t="n">
        <v>2.04849359</v>
      </c>
      <c r="M79" s="18" t="n">
        <v>1.67915126</v>
      </c>
      <c r="N79" s="20" t="n">
        <v>0.84859308</v>
      </c>
      <c r="O79" s="18" t="n">
        <v>0</v>
      </c>
      <c r="P79" s="20" t="n">
        <v>0</v>
      </c>
      <c r="Q79" s="18" t="n">
        <v>9.557771150000001</v>
      </c>
      <c r="R79" s="20" t="n">
        <v>1.42476454</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(1673.0/B44*100)</f>
        <v/>
      </c>
      <c r="D44" s="19" t="n">
        <v>851</v>
      </c>
      <c r="E44" s="18" t="n">
        <v>41.44818729</v>
      </c>
      <c r="F44" s="20" t="n">
        <v>2.05579941</v>
      </c>
      <c r="G44" s="18" t="n">
        <v>42.5443371</v>
      </c>
      <c r="H44" s="20" t="n">
        <v>2.03261551</v>
      </c>
      <c r="I44" s="18" t="s">
        <v>567</v>
      </c>
      <c r="J44" s="20" t="s">
        <v>567</v>
      </c>
      <c r="K44" s="18" t="n">
        <v>12.72678888</v>
      </c>
      <c r="L44" s="20" t="n">
        <v>1.34507685</v>
      </c>
      <c r="M44" s="18" t="n">
        <v>0</v>
      </c>
      <c r="N44" s="20" t="n">
        <v>0</v>
      </c>
      <c r="O44" s="18" t="n">
        <v>0.7081355499999999</v>
      </c>
      <c r="P44" s="20" t="n">
        <v>0.34156686</v>
      </c>
      <c r="Q44" s="18" t="n">
        <v>2.57255119</v>
      </c>
      <c r="R44" s="20" t="n">
        <v>0.70177105</v>
      </c>
    </row>
    <row r="45" spans="1:18">
      <c r="A45" s="15" t="s">
        <v>605</v>
      </c>
      <c r="B45" s="17" t="n">
        <v>2849</v>
      </c>
      <c r="C45" s="18">
        <f>(1903.0/B45*100)</f>
        <v/>
      </c>
      <c r="D45" s="19" t="n">
        <v>946</v>
      </c>
      <c r="E45" s="18" t="n">
        <v>47.54397229</v>
      </c>
      <c r="F45" s="20" t="n">
        <v>1.88516062</v>
      </c>
      <c r="G45" s="18" t="n">
        <v>33.52269806</v>
      </c>
      <c r="H45" s="20" t="n">
        <v>1.8094258</v>
      </c>
      <c r="I45" s="18" t="s">
        <v>567</v>
      </c>
      <c r="J45" s="20" t="s">
        <v>567</v>
      </c>
      <c r="K45" s="18" t="n">
        <v>13.14563633</v>
      </c>
      <c r="L45" s="20" t="n">
        <v>1.40817227</v>
      </c>
      <c r="M45" s="18" t="n">
        <v>0.356018</v>
      </c>
      <c r="N45" s="20" t="n">
        <v>0.20531521</v>
      </c>
      <c r="O45" s="18" t="n">
        <v>2.05825854</v>
      </c>
      <c r="P45" s="20" t="n">
        <v>0.45528129</v>
      </c>
      <c r="Q45" s="18" t="n">
        <v>3.37341679</v>
      </c>
      <c r="R45" s="20" t="n">
        <v>0.58353607</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(2060.0/B49*100)</f>
        <v/>
      </c>
      <c r="D49" s="19" t="n">
        <v>958</v>
      </c>
      <c r="E49" s="18" t="n">
        <v>34.7172819</v>
      </c>
      <c r="F49" s="20" t="n">
        <v>1.9137501</v>
      </c>
      <c r="G49" s="18" t="n">
        <v>56.08438445</v>
      </c>
      <c r="H49" s="20" t="n">
        <v>1.77343428</v>
      </c>
      <c r="I49" s="18" t="s">
        <v>567</v>
      </c>
      <c r="J49" s="20" t="s">
        <v>567</v>
      </c>
      <c r="K49" s="18" t="n">
        <v>6.96672852</v>
      </c>
      <c r="L49" s="20" t="n">
        <v>1.09730304</v>
      </c>
      <c r="M49" s="18" t="n">
        <v>1.19902269</v>
      </c>
      <c r="N49" s="20" t="n">
        <v>0.40264873</v>
      </c>
      <c r="O49" s="18" t="n">
        <v>0.32085648</v>
      </c>
      <c r="P49" s="20" t="n">
        <v>0.20206959</v>
      </c>
      <c r="Q49" s="18" t="n">
        <v>0.71172596</v>
      </c>
      <c r="R49" s="20" t="n">
        <v>0.32183626</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(1846.0/B55*100)</f>
        <v/>
      </c>
      <c r="D55" s="19" t="n">
        <v>913</v>
      </c>
      <c r="E55" s="18" t="n">
        <v>44.76863286</v>
      </c>
      <c r="F55" s="20" t="n">
        <v>1.55682012</v>
      </c>
      <c r="G55" s="18" t="n">
        <v>43.99889547</v>
      </c>
      <c r="H55" s="20" t="n">
        <v>1.64262039</v>
      </c>
      <c r="I55" s="18" t="s">
        <v>567</v>
      </c>
      <c r="J55" s="20" t="s">
        <v>567</v>
      </c>
      <c r="K55" s="18" t="n">
        <v>7.47262818</v>
      </c>
      <c r="L55" s="20" t="n">
        <v>0.9723797199999999</v>
      </c>
      <c r="M55" s="18" t="n">
        <v>0</v>
      </c>
      <c r="N55" s="20" t="n">
        <v>0</v>
      </c>
      <c r="O55" s="18" t="n">
        <v>0.2989414</v>
      </c>
      <c r="P55" s="20" t="n">
        <v>0.17480967</v>
      </c>
      <c r="Q55" s="18" t="n">
        <v>3.46090209</v>
      </c>
      <c r="R55" s="20" t="n">
        <v>0.69416985</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(2113.0/B57*100)</f>
        <v/>
      </c>
      <c r="D57" s="19" t="n">
        <v>1057</v>
      </c>
      <c r="E57" s="18" t="n">
        <v>54.21359578</v>
      </c>
      <c r="F57" s="20" t="n">
        <v>1.95815002</v>
      </c>
      <c r="G57" s="18" t="n">
        <v>41.51949229</v>
      </c>
      <c r="H57" s="20" t="n">
        <v>1.96054344</v>
      </c>
      <c r="I57" s="18" t="s">
        <v>567</v>
      </c>
      <c r="J57" s="20" t="s">
        <v>567</v>
      </c>
      <c r="K57" s="18" t="n">
        <v>3.24068661</v>
      </c>
      <c r="L57" s="20" t="n">
        <v>0.6697898799999999</v>
      </c>
      <c r="M57" s="18" t="n">
        <v>0</v>
      </c>
      <c r="N57" s="20" t="n">
        <v>0</v>
      </c>
      <c r="O57" s="18" t="n">
        <v>0</v>
      </c>
      <c r="P57" s="20" t="n">
        <v>0</v>
      </c>
      <c r="Q57" s="18" t="n">
        <v>1.02622532</v>
      </c>
      <c r="R57" s="20" t="n">
        <v>0.31705167</v>
      </c>
    </row>
    <row r="58" spans="1:18">
      <c r="A58" s="15" t="s">
        <v>618</v>
      </c>
      <c r="B58" s="17" t="n">
        <v>3530</v>
      </c>
      <c r="C58" s="18">
        <f>(2348.0/B58*100)</f>
        <v/>
      </c>
      <c r="D58" s="19" t="n">
        <v>1182</v>
      </c>
      <c r="E58" s="18" t="n">
        <v>45.47889375</v>
      </c>
      <c r="F58" s="20" t="n">
        <v>1.7351807</v>
      </c>
      <c r="G58" s="18" t="n">
        <v>43.73708385</v>
      </c>
      <c r="H58" s="20" t="n">
        <v>2.08213279</v>
      </c>
      <c r="I58" s="18" t="s">
        <v>567</v>
      </c>
      <c r="J58" s="20" t="s">
        <v>567</v>
      </c>
      <c r="K58" s="18" t="n">
        <v>8.22577278</v>
      </c>
      <c r="L58" s="20" t="n">
        <v>0.9171415000000001</v>
      </c>
      <c r="M58" s="18" t="n">
        <v>0.06205181</v>
      </c>
      <c r="N58" s="20" t="n">
        <v>0.0622776</v>
      </c>
      <c r="O58" s="18" t="n">
        <v>0.68435953</v>
      </c>
      <c r="P58" s="20" t="n">
        <v>0.2608246</v>
      </c>
      <c r="Q58" s="18" t="n">
        <v>1.81183829</v>
      </c>
      <c r="R58" s="20" t="n">
        <v>0.44372677</v>
      </c>
    </row>
    <row r="59" spans="1:18">
      <c r="A59" s="15" t="s">
        <v>619</v>
      </c>
      <c r="B59" s="17" t="n">
        <v>2548</v>
      </c>
      <c r="C59" s="18">
        <f>(1717.0/B59*100)</f>
        <v/>
      </c>
      <c r="D59" s="19" t="n">
        <v>831</v>
      </c>
      <c r="E59" s="18" t="n">
        <v>55.76228076</v>
      </c>
      <c r="F59" s="20" t="n">
        <v>2.0646215</v>
      </c>
      <c r="G59" s="18" t="n">
        <v>37.98493429</v>
      </c>
      <c r="H59" s="20" t="n">
        <v>2.09165731</v>
      </c>
      <c r="I59" s="18" t="s">
        <v>567</v>
      </c>
      <c r="J59" s="20" t="s">
        <v>567</v>
      </c>
      <c r="K59" s="18" t="n">
        <v>3.29151435</v>
      </c>
      <c r="L59" s="20" t="n">
        <v>0.69161565</v>
      </c>
      <c r="M59" s="18" t="n">
        <v>0.42539602</v>
      </c>
      <c r="N59" s="20" t="n">
        <v>0.15986283</v>
      </c>
      <c r="O59" s="18" t="n">
        <v>1.09669333</v>
      </c>
      <c r="P59" s="20" t="n">
        <v>0.34972417</v>
      </c>
      <c r="Q59" s="18" t="n">
        <v>1.43918125</v>
      </c>
      <c r="R59" s="20" t="n">
        <v>0.46344436</v>
      </c>
    </row>
    <row r="60" spans="1:18">
      <c r="A60" s="15" t="s">
        <v>620</v>
      </c>
      <c r="B60" s="17" t="n">
        <v>2095</v>
      </c>
      <c r="C60" s="18">
        <f>(1419.0/B60*100)</f>
        <v/>
      </c>
      <c r="D60" s="19" t="n">
        <v>676</v>
      </c>
      <c r="E60" s="18" t="n">
        <v>38.59947251</v>
      </c>
      <c r="F60" s="20" t="n">
        <v>2.25339056</v>
      </c>
      <c r="G60" s="18" t="n">
        <v>40.74970419</v>
      </c>
      <c r="H60" s="20" t="n">
        <v>2.43281405</v>
      </c>
      <c r="I60" s="18" t="s">
        <v>567</v>
      </c>
      <c r="J60" s="20" t="s">
        <v>567</v>
      </c>
      <c r="K60" s="18" t="n">
        <v>15.64054924</v>
      </c>
      <c r="L60" s="20" t="n">
        <v>1.60288305</v>
      </c>
      <c r="M60" s="18" t="n">
        <v>0</v>
      </c>
      <c r="N60" s="20" t="n">
        <v>0</v>
      </c>
      <c r="O60" s="18" t="n">
        <v>1.19791472</v>
      </c>
      <c r="P60" s="20" t="n">
        <v>0.4730971</v>
      </c>
      <c r="Q60" s="18" t="n">
        <v>3.81235934</v>
      </c>
      <c r="R60" s="20" t="n">
        <v>0.79420602</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(1883.0/B63*100)</f>
        <v/>
      </c>
      <c r="D63" s="19" t="n">
        <v>930</v>
      </c>
      <c r="E63" s="18" t="n">
        <v>41.54612525</v>
      </c>
      <c r="F63" s="20" t="n">
        <v>1.80028727</v>
      </c>
      <c r="G63" s="18" t="n">
        <v>41.421169</v>
      </c>
      <c r="H63" s="20" t="n">
        <v>1.86996067</v>
      </c>
      <c r="I63" s="18" t="s">
        <v>567</v>
      </c>
      <c r="J63" s="20" t="s">
        <v>567</v>
      </c>
      <c r="K63" s="18" t="n">
        <v>13.35721883</v>
      </c>
      <c r="L63" s="20" t="n">
        <v>1.20166183</v>
      </c>
      <c r="M63" s="18" t="n">
        <v>0</v>
      </c>
      <c r="N63" s="20" t="n">
        <v>0</v>
      </c>
      <c r="O63" s="18" t="n">
        <v>1.04377585</v>
      </c>
      <c r="P63" s="20" t="n">
        <v>0.38191633</v>
      </c>
      <c r="Q63" s="18" t="n">
        <v>2.63171108</v>
      </c>
      <c r="R63" s="20" t="n">
        <v>0.55396787</v>
      </c>
    </row>
    <row r="64" spans="1:18">
      <c r="A64" s="15" t="s">
        <v>624</v>
      </c>
      <c r="B64" s="17" t="n">
        <v>1844</v>
      </c>
      <c r="C64" s="18">
        <f>(1232.0/B64*100)</f>
        <v/>
      </c>
      <c r="D64" s="19" t="n">
        <v>612</v>
      </c>
      <c r="E64" s="18" t="n">
        <v>33.28859199</v>
      </c>
      <c r="F64" s="20" t="n">
        <v>1.58060218</v>
      </c>
      <c r="G64" s="18" t="n">
        <v>58.61402961</v>
      </c>
      <c r="H64" s="20" t="n">
        <v>1.65892883</v>
      </c>
      <c r="I64" s="18" t="s">
        <v>567</v>
      </c>
      <c r="J64" s="20" t="s">
        <v>567</v>
      </c>
      <c r="K64" s="18" t="n">
        <v>6.4983948</v>
      </c>
      <c r="L64" s="20" t="n">
        <v>0.9556678</v>
      </c>
      <c r="M64" s="18" t="n">
        <v>0</v>
      </c>
      <c r="N64" s="20" t="n">
        <v>0</v>
      </c>
      <c r="O64" s="18" t="n">
        <v>0.47740451</v>
      </c>
      <c r="P64" s="20" t="n">
        <v>0.27610626</v>
      </c>
      <c r="Q64" s="18" t="n">
        <v>1.12157909</v>
      </c>
      <c r="R64" s="20" t="n">
        <v>0.36405223</v>
      </c>
    </row>
    <row r="65" spans="1:18">
      <c r="A65" s="15" t="s">
        <v>625</v>
      </c>
      <c r="B65" s="17" t="n">
        <v>2691</v>
      </c>
      <c r="C65" s="18">
        <f>(1789.0/B65*100)</f>
        <v/>
      </c>
      <c r="D65" s="19" t="n">
        <v>902</v>
      </c>
      <c r="E65" s="18" t="n">
        <v>35.73032135</v>
      </c>
      <c r="F65" s="20" t="n">
        <v>1.38383686</v>
      </c>
      <c r="G65" s="18" t="n">
        <v>45.69066674</v>
      </c>
      <c r="H65" s="20" t="n">
        <v>1.50914411</v>
      </c>
      <c r="I65" s="18" t="s">
        <v>567</v>
      </c>
      <c r="J65" s="20" t="s">
        <v>567</v>
      </c>
      <c r="K65" s="18" t="n">
        <v>14.68577099</v>
      </c>
      <c r="L65" s="20" t="n">
        <v>1.15685785</v>
      </c>
      <c r="M65" s="18" t="n">
        <v>1.4630463</v>
      </c>
      <c r="N65" s="20" t="n">
        <v>0.41270623</v>
      </c>
      <c r="O65" s="18" t="n">
        <v>0.02111444</v>
      </c>
      <c r="P65" s="20" t="n">
        <v>0.02114221</v>
      </c>
      <c r="Q65" s="18" t="n">
        <v>2.40908017</v>
      </c>
      <c r="R65" s="20" t="n">
        <v>0.5145062500000001</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(1603.0/B69*100)</f>
        <v/>
      </c>
      <c r="D69" s="19" t="n">
        <v>807</v>
      </c>
      <c r="E69" s="18" t="n">
        <v>45.54965994</v>
      </c>
      <c r="F69" s="20" t="n">
        <v>1.83585801</v>
      </c>
      <c r="G69" s="18" t="n">
        <v>53.7238526</v>
      </c>
      <c r="H69" s="20" t="n">
        <v>1.89509806</v>
      </c>
      <c r="I69" s="18" t="s">
        <v>567</v>
      </c>
      <c r="J69" s="20" t="s">
        <v>567</v>
      </c>
      <c r="K69" s="18" t="n">
        <v>0</v>
      </c>
      <c r="L69" s="20" t="n">
        <v>0</v>
      </c>
      <c r="M69" s="18" t="n">
        <v>0</v>
      </c>
      <c r="N69" s="20" t="n">
        <v>0</v>
      </c>
      <c r="O69" s="18" t="n">
        <v>0</v>
      </c>
      <c r="P69" s="20" t="n">
        <v>0</v>
      </c>
      <c r="Q69" s="18" t="n">
        <v>0.72648745</v>
      </c>
      <c r="R69" s="20" t="n">
        <v>0.34258146</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(1491.0/B74*100)</f>
        <v/>
      </c>
      <c r="D74" s="19" t="n">
        <v>748</v>
      </c>
      <c r="E74" s="18" t="n">
        <v>35.16539358</v>
      </c>
      <c r="F74" s="20" t="n">
        <v>1.98749234</v>
      </c>
      <c r="G74" s="18" t="n">
        <v>48.44585983</v>
      </c>
      <c r="H74" s="20" t="n">
        <v>2.17814459</v>
      </c>
      <c r="I74" s="18" t="s">
        <v>567</v>
      </c>
      <c r="J74" s="20" t="s">
        <v>567</v>
      </c>
      <c r="K74" s="18" t="n">
        <v>15.78244436</v>
      </c>
      <c r="L74" s="20" t="n">
        <v>1.51498457</v>
      </c>
      <c r="M74" s="18" t="n">
        <v>0</v>
      </c>
      <c r="N74" s="20" t="n">
        <v>0</v>
      </c>
      <c r="O74" s="18" t="n">
        <v>0</v>
      </c>
      <c r="P74" s="20" t="n">
        <v>0</v>
      </c>
      <c r="Q74" s="18" t="n">
        <v>0.60630224</v>
      </c>
      <c r="R74" s="20" t="n">
        <v>0.38036894</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29.80680547</v>
      </c>
      <c r="F78" s="20" t="n">
        <v>1.81918439</v>
      </c>
      <c r="G78" s="18" t="n">
        <v>70.06786052</v>
      </c>
      <c r="H78" s="20" t="n">
        <v>1.83097074</v>
      </c>
      <c r="I78" s="18" t="s">
        <v>567</v>
      </c>
      <c r="J78" s="20" t="s">
        <v>567</v>
      </c>
      <c r="K78" s="18" t="n">
        <v>0.12533401</v>
      </c>
      <c r="L78" s="20" t="n">
        <v>0.11148942</v>
      </c>
      <c r="M78" s="18" t="n">
        <v>0</v>
      </c>
      <c r="N78" s="20" t="n">
        <v>0</v>
      </c>
      <c r="O78" s="18" t="n">
        <v>0</v>
      </c>
      <c r="P78" s="20" t="n">
        <v>0</v>
      </c>
      <c r="Q78" s="18" t="n">
        <v>0</v>
      </c>
      <c r="R78" s="20" t="n">
        <v>0</v>
      </c>
    </row>
    <row customHeight="1" ht="25" r="79" spans="1:18">
      <c r="A79" s="15" t="s">
        <v>639</v>
      </c>
      <c r="B79" s="17" t="n">
        <v>787</v>
      </c>
      <c r="C79" s="18">
        <f>(529.0/B79*100)</f>
        <v/>
      </c>
      <c r="D79" s="19" t="n">
        <v>258</v>
      </c>
      <c r="E79" s="18" t="n">
        <v>29.9612988</v>
      </c>
      <c r="F79" s="20" t="n">
        <v>2.62062951</v>
      </c>
      <c r="G79" s="18" t="n">
        <v>54.57296048</v>
      </c>
      <c r="H79" s="20" t="n">
        <v>3.26755959</v>
      </c>
      <c r="I79" s="18" t="s">
        <v>567</v>
      </c>
      <c r="J79" s="20" t="s">
        <v>567</v>
      </c>
      <c r="K79" s="18" t="n">
        <v>12.17841615</v>
      </c>
      <c r="L79" s="20" t="n">
        <v>2.54657612</v>
      </c>
      <c r="M79" s="18" t="n">
        <v>2.06276966</v>
      </c>
      <c r="N79" s="20" t="n">
        <v>0.93065896</v>
      </c>
      <c r="O79" s="18" t="n">
        <v>0.47162965</v>
      </c>
      <c r="P79" s="20" t="n">
        <v>0.42865042</v>
      </c>
      <c r="Q79" s="18" t="n">
        <v>0.75292525</v>
      </c>
      <c r="R79" s="20" t="n">
        <v>0.75214225</v>
      </c>
    </row>
    <row r="80" spans="1:18">
      <c r="A80" s="15" t="s">
        <v>640</v>
      </c>
      <c r="B80" s="17" t="n">
        <v>3798</v>
      </c>
      <c r="C80" s="18">
        <f>(2538.0/B80*100)</f>
        <v/>
      </c>
      <c r="D80" s="19" t="n">
        <v>1260</v>
      </c>
      <c r="E80" s="18" t="n">
        <v>45.71335564</v>
      </c>
      <c r="F80" s="20" t="n">
        <v>1.87580958</v>
      </c>
      <c r="G80" s="18" t="n">
        <v>53.66839892</v>
      </c>
      <c r="H80" s="20" t="n">
        <v>1.85738211</v>
      </c>
      <c r="I80" s="18" t="s">
        <v>567</v>
      </c>
      <c r="J80" s="20" t="s">
        <v>567</v>
      </c>
      <c r="K80" s="18" t="n">
        <v>0.09023757</v>
      </c>
      <c r="L80" s="20" t="n">
        <v>0.0905502</v>
      </c>
      <c r="M80" s="18" t="n">
        <v>0</v>
      </c>
      <c r="N80" s="20" t="n">
        <v>0</v>
      </c>
      <c r="O80" s="18" t="n">
        <v>0</v>
      </c>
      <c r="P80" s="20" t="n">
        <v>0</v>
      </c>
      <c r="Q80" s="18" t="n">
        <v>0.52800788</v>
      </c>
      <c r="R80" s="20" t="n">
        <v>0.21465839</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(1673.0/B44*100)</f>
        <v/>
      </c>
      <c r="D44" s="19" t="n">
        <v>851</v>
      </c>
      <c r="E44" s="18" t="n">
        <v>52.69577146</v>
      </c>
      <c r="F44" s="20" t="n">
        <v>2.01077232</v>
      </c>
      <c r="G44" s="18" t="n">
        <v>27.79849318</v>
      </c>
      <c r="H44" s="20" t="n">
        <v>1.88092956</v>
      </c>
      <c r="I44" s="18" t="s">
        <v>567</v>
      </c>
      <c r="J44" s="20" t="s">
        <v>567</v>
      </c>
      <c r="K44" s="18" t="n">
        <v>14.3399598</v>
      </c>
      <c r="L44" s="20" t="n">
        <v>1.46184307</v>
      </c>
      <c r="M44" s="18" t="n">
        <v>0</v>
      </c>
      <c r="N44" s="20" t="n">
        <v>0</v>
      </c>
      <c r="O44" s="18" t="n">
        <v>2.13222747</v>
      </c>
      <c r="P44" s="20" t="n">
        <v>0.56897774</v>
      </c>
      <c r="Q44" s="18" t="n">
        <v>3.03354809</v>
      </c>
      <c r="R44" s="20" t="n">
        <v>0.69728302</v>
      </c>
    </row>
    <row r="45" spans="1:18">
      <c r="A45" s="15" t="s">
        <v>605</v>
      </c>
      <c r="B45" s="17" t="n">
        <v>2849</v>
      </c>
      <c r="C45" s="18">
        <f>(1903.0/B45*100)</f>
        <v/>
      </c>
      <c r="D45" s="19" t="n">
        <v>946</v>
      </c>
      <c r="E45" s="18" t="n">
        <v>59.32244807</v>
      </c>
      <c r="F45" s="20" t="n">
        <v>1.99068139</v>
      </c>
      <c r="G45" s="18" t="n">
        <v>21.85436014</v>
      </c>
      <c r="H45" s="20" t="n">
        <v>1.30144558</v>
      </c>
      <c r="I45" s="18" t="s">
        <v>567</v>
      </c>
      <c r="J45" s="20" t="s">
        <v>567</v>
      </c>
      <c r="K45" s="18" t="n">
        <v>13.85925846</v>
      </c>
      <c r="L45" s="20" t="n">
        <v>1.43049891</v>
      </c>
      <c r="M45" s="18" t="n">
        <v>0.15550245</v>
      </c>
      <c r="N45" s="20" t="n">
        <v>0.15288731</v>
      </c>
      <c r="O45" s="18" t="n">
        <v>2.77531964</v>
      </c>
      <c r="P45" s="20" t="n">
        <v>0.47779104</v>
      </c>
      <c r="Q45" s="18" t="n">
        <v>2.03311125</v>
      </c>
      <c r="R45" s="20" t="n">
        <v>0.46614908</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(2060.0/B49*100)</f>
        <v/>
      </c>
      <c r="D49" s="19" t="n">
        <v>958</v>
      </c>
      <c r="E49" s="18" t="n">
        <v>49.70019389</v>
      </c>
      <c r="F49" s="20" t="n">
        <v>1.93108794</v>
      </c>
      <c r="G49" s="18" t="n">
        <v>40.02177671</v>
      </c>
      <c r="H49" s="20" t="n">
        <v>1.89503611</v>
      </c>
      <c r="I49" s="18" t="s">
        <v>567</v>
      </c>
      <c r="J49" s="20" t="s">
        <v>567</v>
      </c>
      <c r="K49" s="18" t="n">
        <v>7.28393784</v>
      </c>
      <c r="L49" s="20" t="n">
        <v>1.11107739</v>
      </c>
      <c r="M49" s="18" t="n">
        <v>1.16557423</v>
      </c>
      <c r="N49" s="20" t="n">
        <v>0.40121695</v>
      </c>
      <c r="O49" s="18" t="n">
        <v>1.327217</v>
      </c>
      <c r="P49" s="20" t="n">
        <v>0.52274051</v>
      </c>
      <c r="Q49" s="18" t="n">
        <v>0.50130033</v>
      </c>
      <c r="R49" s="20" t="n">
        <v>0.20415384</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(1846.0/B55*100)</f>
        <v/>
      </c>
      <c r="D55" s="19" t="n">
        <v>913</v>
      </c>
      <c r="E55" s="18" t="n">
        <v>63.02971467</v>
      </c>
      <c r="F55" s="20" t="n">
        <v>1.78772908</v>
      </c>
      <c r="G55" s="18" t="n">
        <v>26.08227293</v>
      </c>
      <c r="H55" s="20" t="n">
        <v>1.89513297</v>
      </c>
      <c r="I55" s="18" t="s">
        <v>567</v>
      </c>
      <c r="J55" s="20" t="s">
        <v>567</v>
      </c>
      <c r="K55" s="18" t="n">
        <v>8.26639364</v>
      </c>
      <c r="L55" s="20" t="n">
        <v>1.01672393</v>
      </c>
      <c r="M55" s="18" t="n">
        <v>0</v>
      </c>
      <c r="N55" s="20" t="n">
        <v>0</v>
      </c>
      <c r="O55" s="18" t="n">
        <v>1.23239873</v>
      </c>
      <c r="P55" s="20" t="n">
        <v>0.44728539</v>
      </c>
      <c r="Q55" s="18" t="n">
        <v>1.38922003</v>
      </c>
      <c r="R55" s="20" t="n">
        <v>0.37627272</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(2113.0/B57*100)</f>
        <v/>
      </c>
      <c r="D57" s="19" t="n">
        <v>1057</v>
      </c>
      <c r="E57" s="18" t="n">
        <v>58.80918902</v>
      </c>
      <c r="F57" s="20" t="n">
        <v>1.7540041</v>
      </c>
      <c r="G57" s="18" t="n">
        <v>36.47074772</v>
      </c>
      <c r="H57" s="20" t="n">
        <v>1.81115681</v>
      </c>
      <c r="I57" s="18" t="s">
        <v>567</v>
      </c>
      <c r="J57" s="20" t="s">
        <v>567</v>
      </c>
      <c r="K57" s="18" t="n">
        <v>3.52083618</v>
      </c>
      <c r="L57" s="20" t="n">
        <v>0.73192402</v>
      </c>
      <c r="M57" s="18" t="n">
        <v>0</v>
      </c>
      <c r="N57" s="20" t="n">
        <v>0</v>
      </c>
      <c r="O57" s="18" t="n">
        <v>0</v>
      </c>
      <c r="P57" s="20" t="n">
        <v>0</v>
      </c>
      <c r="Q57" s="18" t="n">
        <v>1.19922708</v>
      </c>
      <c r="R57" s="20" t="n">
        <v>0.35958461</v>
      </c>
    </row>
    <row r="58" spans="1:18">
      <c r="A58" s="15" t="s">
        <v>618</v>
      </c>
      <c r="B58" s="17" t="n">
        <v>3530</v>
      </c>
      <c r="C58" s="18">
        <f>(2348.0/B58*100)</f>
        <v/>
      </c>
      <c r="D58" s="19" t="n">
        <v>1182</v>
      </c>
      <c r="E58" s="18" t="n">
        <v>59.22178856</v>
      </c>
      <c r="F58" s="20" t="n">
        <v>1.42002533</v>
      </c>
      <c r="G58" s="18" t="n">
        <v>29.86953405</v>
      </c>
      <c r="H58" s="20" t="n">
        <v>1.64169935</v>
      </c>
      <c r="I58" s="18" t="s">
        <v>567</v>
      </c>
      <c r="J58" s="20" t="s">
        <v>567</v>
      </c>
      <c r="K58" s="18" t="n">
        <v>8.736180920000001</v>
      </c>
      <c r="L58" s="20" t="n">
        <v>0.97731055</v>
      </c>
      <c r="M58" s="18" t="n">
        <v>0.1266398</v>
      </c>
      <c r="N58" s="20" t="n">
        <v>0.12192916</v>
      </c>
      <c r="O58" s="18" t="n">
        <v>0.5437023</v>
      </c>
      <c r="P58" s="20" t="n">
        <v>0.23174546</v>
      </c>
      <c r="Q58" s="18" t="n">
        <v>1.50215436</v>
      </c>
      <c r="R58" s="20" t="n">
        <v>0.35856484</v>
      </c>
    </row>
    <row r="59" spans="1:18">
      <c r="A59" s="15" t="s">
        <v>619</v>
      </c>
      <c r="B59" s="17" t="n">
        <v>2548</v>
      </c>
      <c r="C59" s="18">
        <f>(1717.0/B59*100)</f>
        <v/>
      </c>
      <c r="D59" s="19" t="n">
        <v>831</v>
      </c>
      <c r="E59" s="18" t="n">
        <v>62.60712547</v>
      </c>
      <c r="F59" s="20" t="n">
        <v>2.19972122</v>
      </c>
      <c r="G59" s="18" t="n">
        <v>31.23419381</v>
      </c>
      <c r="H59" s="20" t="n">
        <v>2.06349889</v>
      </c>
      <c r="I59" s="18" t="s">
        <v>567</v>
      </c>
      <c r="J59" s="20" t="s">
        <v>567</v>
      </c>
      <c r="K59" s="18" t="n">
        <v>3.8228918</v>
      </c>
      <c r="L59" s="20" t="n">
        <v>0.68793231</v>
      </c>
      <c r="M59" s="18" t="n">
        <v>0.41265146</v>
      </c>
      <c r="N59" s="20" t="n">
        <v>0.2965212</v>
      </c>
      <c r="O59" s="18" t="n">
        <v>1.64605851</v>
      </c>
      <c r="P59" s="20" t="n">
        <v>0.49435819</v>
      </c>
      <c r="Q59" s="18" t="n">
        <v>0.27707894</v>
      </c>
      <c r="R59" s="20" t="n">
        <v>0.11737292</v>
      </c>
    </row>
    <row r="60" spans="1:18">
      <c r="A60" s="15" t="s">
        <v>620</v>
      </c>
      <c r="B60" s="17" t="n">
        <v>2095</v>
      </c>
      <c r="C60" s="18">
        <f>(1419.0/B60*100)</f>
        <v/>
      </c>
      <c r="D60" s="19" t="n">
        <v>676</v>
      </c>
      <c r="E60" s="18" t="n">
        <v>46.08512494</v>
      </c>
      <c r="F60" s="20" t="n">
        <v>2.13182508</v>
      </c>
      <c r="G60" s="18" t="n">
        <v>32.93037447</v>
      </c>
      <c r="H60" s="20" t="n">
        <v>2.43918505</v>
      </c>
      <c r="I60" s="18" t="s">
        <v>567</v>
      </c>
      <c r="J60" s="20" t="s">
        <v>567</v>
      </c>
      <c r="K60" s="18" t="n">
        <v>15.87683557</v>
      </c>
      <c r="L60" s="20" t="n">
        <v>1.61042588</v>
      </c>
      <c r="M60" s="18" t="n">
        <v>0</v>
      </c>
      <c r="N60" s="20" t="n">
        <v>0</v>
      </c>
      <c r="O60" s="18" t="n">
        <v>2.99992089</v>
      </c>
      <c r="P60" s="20" t="n">
        <v>0.71648717</v>
      </c>
      <c r="Q60" s="18" t="n">
        <v>2.10774413</v>
      </c>
      <c r="R60" s="20" t="n">
        <v>0.58937462</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(1883.0/B63*100)</f>
        <v/>
      </c>
      <c r="D63" s="19" t="n">
        <v>930</v>
      </c>
      <c r="E63" s="18" t="n">
        <v>53.24818161</v>
      </c>
      <c r="F63" s="20" t="n">
        <v>1.7388308</v>
      </c>
      <c r="G63" s="18" t="n">
        <v>28.80284294</v>
      </c>
      <c r="H63" s="20" t="n">
        <v>1.37117349</v>
      </c>
      <c r="I63" s="18" t="s">
        <v>567</v>
      </c>
      <c r="J63" s="20" t="s">
        <v>567</v>
      </c>
      <c r="K63" s="18" t="n">
        <v>14.65323556</v>
      </c>
      <c r="L63" s="20" t="n">
        <v>1.20437405</v>
      </c>
      <c r="M63" s="18" t="n">
        <v>0</v>
      </c>
      <c r="N63" s="20" t="n">
        <v>0</v>
      </c>
      <c r="O63" s="18" t="n">
        <v>1.1135436</v>
      </c>
      <c r="P63" s="20" t="n">
        <v>0.37760741</v>
      </c>
      <c r="Q63" s="18" t="n">
        <v>2.18219629</v>
      </c>
      <c r="R63" s="20" t="n">
        <v>0.52582258</v>
      </c>
    </row>
    <row r="64" spans="1:18">
      <c r="A64" s="15" t="s">
        <v>624</v>
      </c>
      <c r="B64" s="17" t="n">
        <v>1844</v>
      </c>
      <c r="C64" s="18">
        <f>(1232.0/B64*100)</f>
        <v/>
      </c>
      <c r="D64" s="19" t="n">
        <v>612</v>
      </c>
      <c r="E64" s="18" t="n">
        <v>44.50244899</v>
      </c>
      <c r="F64" s="20" t="n">
        <v>1.94281017</v>
      </c>
      <c r="G64" s="18" t="n">
        <v>45.4671217</v>
      </c>
      <c r="H64" s="20" t="n">
        <v>1.99882657</v>
      </c>
      <c r="I64" s="18" t="s">
        <v>567</v>
      </c>
      <c r="J64" s="20" t="s">
        <v>567</v>
      </c>
      <c r="K64" s="18" t="n">
        <v>7.54614596</v>
      </c>
      <c r="L64" s="20" t="n">
        <v>1.02479607</v>
      </c>
      <c r="M64" s="18" t="n">
        <v>0</v>
      </c>
      <c r="N64" s="20" t="n">
        <v>0</v>
      </c>
      <c r="O64" s="18" t="n">
        <v>0.69065328</v>
      </c>
      <c r="P64" s="20" t="n">
        <v>0.34029108</v>
      </c>
      <c r="Q64" s="18" t="n">
        <v>1.79363007</v>
      </c>
      <c r="R64" s="20" t="n">
        <v>0.5280475100000001</v>
      </c>
    </row>
    <row r="65" spans="1:18">
      <c r="A65" s="15" t="s">
        <v>625</v>
      </c>
      <c r="B65" s="17" t="n">
        <v>2691</v>
      </c>
      <c r="C65" s="18">
        <f>(1789.0/B65*100)</f>
        <v/>
      </c>
      <c r="D65" s="19" t="n">
        <v>902</v>
      </c>
      <c r="E65" s="18" t="n">
        <v>50.91044213</v>
      </c>
      <c r="F65" s="20" t="n">
        <v>1.91462206</v>
      </c>
      <c r="G65" s="18" t="n">
        <v>28.96623986</v>
      </c>
      <c r="H65" s="20" t="n">
        <v>1.607981</v>
      </c>
      <c r="I65" s="18" t="s">
        <v>567</v>
      </c>
      <c r="J65" s="20" t="s">
        <v>567</v>
      </c>
      <c r="K65" s="18" t="n">
        <v>15.71048128</v>
      </c>
      <c r="L65" s="20" t="n">
        <v>1.14757572</v>
      </c>
      <c r="M65" s="18" t="n">
        <v>2.0040077</v>
      </c>
      <c r="N65" s="20" t="n">
        <v>0.51458752</v>
      </c>
      <c r="O65" s="18" t="n">
        <v>0.13291677</v>
      </c>
      <c r="P65" s="20" t="n">
        <v>0.11465809</v>
      </c>
      <c r="Q65" s="18" t="n">
        <v>2.27591226</v>
      </c>
      <c r="R65" s="20" t="n">
        <v>0.52776385</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(1603.0/B69*100)</f>
        <v/>
      </c>
      <c r="D69" s="19" t="n">
        <v>807</v>
      </c>
      <c r="E69" s="18" t="n">
        <v>65.88971945</v>
      </c>
      <c r="F69" s="20" t="n">
        <v>1.66502183</v>
      </c>
      <c r="G69" s="18" t="n">
        <v>33.50277764</v>
      </c>
      <c r="H69" s="20" t="n">
        <v>1.69568775</v>
      </c>
      <c r="I69" s="18" t="s">
        <v>567</v>
      </c>
      <c r="J69" s="20" t="s">
        <v>567</v>
      </c>
      <c r="K69" s="18" t="n">
        <v>0</v>
      </c>
      <c r="L69" s="20" t="n">
        <v>0</v>
      </c>
      <c r="M69" s="18" t="n">
        <v>0</v>
      </c>
      <c r="N69" s="20" t="n">
        <v>0</v>
      </c>
      <c r="O69" s="18" t="n">
        <v>0</v>
      </c>
      <c r="P69" s="20" t="n">
        <v>0</v>
      </c>
      <c r="Q69" s="18" t="n">
        <v>0.60750291</v>
      </c>
      <c r="R69" s="20" t="n">
        <v>0.3230423</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(1491.0/B74*100)</f>
        <v/>
      </c>
      <c r="D74" s="19" t="n">
        <v>748</v>
      </c>
      <c r="E74" s="18" t="n">
        <v>49.99904041</v>
      </c>
      <c r="F74" s="20" t="n">
        <v>1.93941225</v>
      </c>
      <c r="G74" s="18" t="n">
        <v>31.4729311</v>
      </c>
      <c r="H74" s="20" t="n">
        <v>1.55484552</v>
      </c>
      <c r="I74" s="18" t="s">
        <v>567</v>
      </c>
      <c r="J74" s="20" t="s">
        <v>567</v>
      </c>
      <c r="K74" s="18" t="n">
        <v>17.12310511</v>
      </c>
      <c r="L74" s="20" t="n">
        <v>1.56997953</v>
      </c>
      <c r="M74" s="18" t="n">
        <v>0</v>
      </c>
      <c r="N74" s="20" t="n">
        <v>0</v>
      </c>
      <c r="O74" s="18" t="n">
        <v>0.21143776</v>
      </c>
      <c r="P74" s="20" t="n">
        <v>0.21312587</v>
      </c>
      <c r="Q74" s="18" t="n">
        <v>1.19348562</v>
      </c>
      <c r="R74" s="20" t="n">
        <v>0.42684538</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24.41424106</v>
      </c>
      <c r="F78" s="20" t="n">
        <v>1.72686466</v>
      </c>
      <c r="G78" s="18" t="n">
        <v>75.31547662</v>
      </c>
      <c r="H78" s="20" t="n">
        <v>1.72681557</v>
      </c>
      <c r="I78" s="18" t="s">
        <v>567</v>
      </c>
      <c r="J78" s="20" t="s">
        <v>567</v>
      </c>
      <c r="K78" s="18" t="n">
        <v>0.12533401</v>
      </c>
      <c r="L78" s="20" t="n">
        <v>0.11148942</v>
      </c>
      <c r="M78" s="18" t="n">
        <v>0</v>
      </c>
      <c r="N78" s="20" t="n">
        <v>0</v>
      </c>
      <c r="O78" s="18" t="n">
        <v>0</v>
      </c>
      <c r="P78" s="20" t="n">
        <v>0</v>
      </c>
      <c r="Q78" s="18" t="n">
        <v>0.14494831</v>
      </c>
      <c r="R78" s="20" t="n">
        <v>0.1102577</v>
      </c>
    </row>
    <row customHeight="1" ht="25" r="79" spans="1:18">
      <c r="A79" s="15" t="s">
        <v>639</v>
      </c>
      <c r="B79" s="17" t="n">
        <v>787</v>
      </c>
      <c r="C79" s="18">
        <f>(529.0/B79*100)</f>
        <v/>
      </c>
      <c r="D79" s="19" t="n">
        <v>258</v>
      </c>
      <c r="E79" s="18" t="n">
        <v>38.80980681</v>
      </c>
      <c r="F79" s="20" t="n">
        <v>3.64369779</v>
      </c>
      <c r="G79" s="18" t="n">
        <v>42.67055804</v>
      </c>
      <c r="H79" s="20" t="n">
        <v>2.83393275</v>
      </c>
      <c r="I79" s="18" t="s">
        <v>567</v>
      </c>
      <c r="J79" s="20" t="s">
        <v>567</v>
      </c>
      <c r="K79" s="18" t="n">
        <v>13.94433927</v>
      </c>
      <c r="L79" s="20" t="n">
        <v>2.6716951</v>
      </c>
      <c r="M79" s="18" t="n">
        <v>1.67915126</v>
      </c>
      <c r="N79" s="20" t="n">
        <v>0.84859308</v>
      </c>
      <c r="O79" s="18" t="n">
        <v>0.7246675</v>
      </c>
      <c r="P79" s="20" t="n">
        <v>0.55897491</v>
      </c>
      <c r="Q79" s="18" t="n">
        <v>2.17147711</v>
      </c>
      <c r="R79" s="20" t="n">
        <v>1.05119229</v>
      </c>
    </row>
    <row r="80" spans="1:18">
      <c r="A80" s="15" t="s">
        <v>640</v>
      </c>
      <c r="B80" s="17" t="n">
        <v>3798</v>
      </c>
      <c r="C80" s="18">
        <f>(2538.0/B80*100)</f>
        <v/>
      </c>
      <c r="D80" s="19" t="n">
        <v>1260</v>
      </c>
      <c r="E80" s="18" t="n">
        <v>61.72732147</v>
      </c>
      <c r="F80" s="20" t="n">
        <v>2.35675523</v>
      </c>
      <c r="G80" s="18" t="n">
        <v>37.33409855</v>
      </c>
      <c r="H80" s="20" t="n">
        <v>2.35754417</v>
      </c>
      <c r="I80" s="18" t="s">
        <v>567</v>
      </c>
      <c r="J80" s="20" t="s">
        <v>567</v>
      </c>
      <c r="K80" s="18" t="n">
        <v>0.09023757</v>
      </c>
      <c r="L80" s="20" t="n">
        <v>0.0905502</v>
      </c>
      <c r="M80" s="18" t="n">
        <v>0</v>
      </c>
      <c r="N80" s="20" t="n">
        <v>0</v>
      </c>
      <c r="O80" s="18" t="n">
        <v>0</v>
      </c>
      <c r="P80" s="20" t="n">
        <v>0</v>
      </c>
      <c r="Q80" s="18" t="n">
        <v>0.84834241</v>
      </c>
      <c r="R80" s="20" t="n">
        <v>0.32571845</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(1673.0/B44*100)</f>
        <v/>
      </c>
      <c r="D44" s="19" t="n">
        <v>851</v>
      </c>
      <c r="E44" s="18" t="n">
        <v>53.43020643</v>
      </c>
      <c r="F44" s="20" t="n">
        <v>2.25667699</v>
      </c>
      <c r="G44" s="18" t="n">
        <v>8.86060062</v>
      </c>
      <c r="H44" s="20" t="n">
        <v>1.68522379</v>
      </c>
      <c r="I44" s="18" t="s">
        <v>567</v>
      </c>
      <c r="J44" s="20" t="s">
        <v>567</v>
      </c>
      <c r="K44" s="18" t="n">
        <v>37.58052648</v>
      </c>
      <c r="L44" s="20" t="n">
        <v>2.41809179</v>
      </c>
      <c r="M44" s="18" t="n">
        <v>0.12866647</v>
      </c>
      <c r="N44" s="20" t="n">
        <v>0.13342313</v>
      </c>
      <c r="O44" s="18" t="n">
        <v>0</v>
      </c>
      <c r="P44" s="20" t="n">
        <v>0</v>
      </c>
      <c r="Q44" s="18" t="n">
        <v>0</v>
      </c>
      <c r="R44" s="20" t="n">
        <v>0</v>
      </c>
    </row>
    <row r="45" spans="1:18">
      <c r="A45" s="15" t="s">
        <v>605</v>
      </c>
      <c r="B45" s="17" t="n">
        <v>2849</v>
      </c>
      <c r="C45" s="18">
        <f>(1903.0/B45*100)</f>
        <v/>
      </c>
      <c r="D45" s="19" t="n">
        <v>946</v>
      </c>
      <c r="E45" s="18" t="n">
        <v>51.66364053</v>
      </c>
      <c r="F45" s="20" t="n">
        <v>1.76118536</v>
      </c>
      <c r="G45" s="18" t="n">
        <v>6.25094571</v>
      </c>
      <c r="H45" s="20" t="n">
        <v>0.79295549</v>
      </c>
      <c r="I45" s="18" t="s">
        <v>567</v>
      </c>
      <c r="J45" s="20" t="s">
        <v>567</v>
      </c>
      <c r="K45" s="18" t="n">
        <v>40.58542091</v>
      </c>
      <c r="L45" s="20" t="n">
        <v>1.8574924</v>
      </c>
      <c r="M45" s="18" t="n">
        <v>1.02574251</v>
      </c>
      <c r="N45" s="20" t="n">
        <v>0.3475194</v>
      </c>
      <c r="O45" s="18" t="n">
        <v>0.47425034</v>
      </c>
      <c r="P45" s="20" t="n">
        <v>0.34101156</v>
      </c>
      <c r="Q45" s="18" t="n">
        <v>0</v>
      </c>
      <c r="R45" s="20" t="n">
        <v>0</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(2060.0/B49*100)</f>
        <v/>
      </c>
      <c r="D49" s="19" t="n">
        <v>958</v>
      </c>
      <c r="E49" s="18" t="n">
        <v>59.58196244</v>
      </c>
      <c r="F49" s="20" t="n">
        <v>1.6663353</v>
      </c>
      <c r="G49" s="18" t="n">
        <v>12.60035137</v>
      </c>
      <c r="H49" s="20" t="n">
        <v>1.22629189</v>
      </c>
      <c r="I49" s="18" t="s">
        <v>567</v>
      </c>
      <c r="J49" s="20" t="s">
        <v>567</v>
      </c>
      <c r="K49" s="18" t="n">
        <v>26.65211196</v>
      </c>
      <c r="L49" s="20" t="n">
        <v>1.66885279</v>
      </c>
      <c r="M49" s="18" t="n">
        <v>1.16557423</v>
      </c>
      <c r="N49" s="20" t="n">
        <v>0.40121695</v>
      </c>
      <c r="O49" s="18" t="n">
        <v>0</v>
      </c>
      <c r="P49" s="20" t="n">
        <v>0</v>
      </c>
      <c r="Q49" s="18" t="n">
        <v>0</v>
      </c>
      <c r="R49" s="20" t="n">
        <v>0</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(1846.0/B55*100)</f>
        <v/>
      </c>
      <c r="D55" s="19" t="n">
        <v>913</v>
      </c>
      <c r="E55" s="18" t="n">
        <v>47.16380166</v>
      </c>
      <c r="F55" s="20" t="n">
        <v>1.76063252</v>
      </c>
      <c r="G55" s="18" t="n">
        <v>9.36155142</v>
      </c>
      <c r="H55" s="20" t="n">
        <v>0.9639318099999999</v>
      </c>
      <c r="I55" s="18" t="s">
        <v>567</v>
      </c>
      <c r="J55" s="20" t="s">
        <v>567</v>
      </c>
      <c r="K55" s="18" t="n">
        <v>43.47464692</v>
      </c>
      <c r="L55" s="20" t="n">
        <v>1.92434129</v>
      </c>
      <c r="M55" s="18" t="n">
        <v>0</v>
      </c>
      <c r="N55" s="20" t="n">
        <v>0</v>
      </c>
      <c r="O55" s="18" t="n">
        <v>0</v>
      </c>
      <c r="P55" s="20" t="n">
        <v>0</v>
      </c>
      <c r="Q55" s="18" t="n">
        <v>0</v>
      </c>
      <c r="R55" s="20" t="n">
        <v>0</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(2113.0/B57*100)</f>
        <v/>
      </c>
      <c r="D57" s="19" t="n">
        <v>1057</v>
      </c>
      <c r="E57" s="18" t="n">
        <v>79.31744078</v>
      </c>
      <c r="F57" s="20" t="n">
        <v>1.42990308</v>
      </c>
      <c r="G57" s="18" t="n">
        <v>10.57323581</v>
      </c>
      <c r="H57" s="20" t="n">
        <v>0.96544063</v>
      </c>
      <c r="I57" s="18" t="s">
        <v>567</v>
      </c>
      <c r="J57" s="20" t="s">
        <v>567</v>
      </c>
      <c r="K57" s="18" t="n">
        <v>10.10932341</v>
      </c>
      <c r="L57" s="20" t="n">
        <v>1.24816032</v>
      </c>
      <c r="M57" s="18" t="n">
        <v>0</v>
      </c>
      <c r="N57" s="20" t="n">
        <v>0</v>
      </c>
      <c r="O57" s="18" t="n">
        <v>0</v>
      </c>
      <c r="P57" s="20" t="n">
        <v>0</v>
      </c>
      <c r="Q57" s="18" t="n">
        <v>0</v>
      </c>
      <c r="R57" s="20" t="n">
        <v>0</v>
      </c>
    </row>
    <row r="58" spans="1:18">
      <c r="A58" s="15" t="s">
        <v>618</v>
      </c>
      <c r="B58" s="17" t="n">
        <v>3530</v>
      </c>
      <c r="C58" s="18">
        <f>(2348.0/B58*100)</f>
        <v/>
      </c>
      <c r="D58" s="19" t="n">
        <v>1182</v>
      </c>
      <c r="E58" s="18" t="n">
        <v>63.62164472</v>
      </c>
      <c r="F58" s="20" t="n">
        <v>1.54155264</v>
      </c>
      <c r="G58" s="18" t="n">
        <v>7.286022</v>
      </c>
      <c r="H58" s="20" t="n">
        <v>0.85161505</v>
      </c>
      <c r="I58" s="18" t="s">
        <v>567</v>
      </c>
      <c r="J58" s="20" t="s">
        <v>567</v>
      </c>
      <c r="K58" s="18" t="n">
        <v>29.09233328</v>
      </c>
      <c r="L58" s="20" t="n">
        <v>1.84488662</v>
      </c>
      <c r="M58" s="18" t="n">
        <v>0</v>
      </c>
      <c r="N58" s="20" t="n">
        <v>0</v>
      </c>
      <c r="O58" s="18" t="n">
        <v>0</v>
      </c>
      <c r="P58" s="20" t="n">
        <v>0</v>
      </c>
      <c r="Q58" s="18" t="n">
        <v>0</v>
      </c>
      <c r="R58" s="20" t="n">
        <v>0</v>
      </c>
    </row>
    <row r="59" spans="1:18">
      <c r="A59" s="15" t="s">
        <v>619</v>
      </c>
      <c r="B59" s="17" t="n">
        <v>2548</v>
      </c>
      <c r="C59" s="18">
        <f>(1717.0/B59*100)</f>
        <v/>
      </c>
      <c r="D59" s="19" t="n">
        <v>831</v>
      </c>
      <c r="E59" s="18" t="n">
        <v>66.69271274</v>
      </c>
      <c r="F59" s="20" t="n">
        <v>1.91964925</v>
      </c>
      <c r="G59" s="18" t="n">
        <v>5.46577505</v>
      </c>
      <c r="H59" s="20" t="n">
        <v>1.05836357</v>
      </c>
      <c r="I59" s="18" t="s">
        <v>567</v>
      </c>
      <c r="J59" s="20" t="s">
        <v>567</v>
      </c>
      <c r="K59" s="18" t="n">
        <v>27.84151221</v>
      </c>
      <c r="L59" s="20" t="n">
        <v>1.72802177</v>
      </c>
      <c r="M59" s="18" t="n">
        <v>0</v>
      </c>
      <c r="N59" s="20" t="n">
        <v>0</v>
      </c>
      <c r="O59" s="18" t="n">
        <v>0</v>
      </c>
      <c r="P59" s="20" t="n">
        <v>0</v>
      </c>
      <c r="Q59" s="18" t="n">
        <v>0</v>
      </c>
      <c r="R59" s="20" t="n">
        <v>0</v>
      </c>
    </row>
    <row r="60" spans="1:18">
      <c r="A60" s="15" t="s">
        <v>620</v>
      </c>
      <c r="B60" s="17" t="n">
        <v>2095</v>
      </c>
      <c r="C60" s="18">
        <f>(1419.0/B60*100)</f>
        <v/>
      </c>
      <c r="D60" s="19" t="n">
        <v>676</v>
      </c>
      <c r="E60" s="18" t="n">
        <v>49.52488666</v>
      </c>
      <c r="F60" s="20" t="n">
        <v>2.8805061</v>
      </c>
      <c r="G60" s="18" t="n">
        <v>7.62482787</v>
      </c>
      <c r="H60" s="20" t="n">
        <v>1.28428688</v>
      </c>
      <c r="I60" s="18" t="s">
        <v>567</v>
      </c>
      <c r="J60" s="20" t="s">
        <v>567</v>
      </c>
      <c r="K60" s="18" t="n">
        <v>42.5334043</v>
      </c>
      <c r="L60" s="20" t="n">
        <v>2.60473168</v>
      </c>
      <c r="M60" s="18" t="n">
        <v>0</v>
      </c>
      <c r="N60" s="20" t="n">
        <v>0</v>
      </c>
      <c r="O60" s="18" t="n">
        <v>0.31688118</v>
      </c>
      <c r="P60" s="20" t="n">
        <v>0.19188266</v>
      </c>
      <c r="Q60" s="18" t="n">
        <v>0</v>
      </c>
      <c r="R60" s="20" t="n">
        <v>0</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(1883.0/B63*100)</f>
        <v/>
      </c>
      <c r="D63" s="19" t="n">
        <v>930</v>
      </c>
      <c r="E63" s="18" t="n">
        <v>38.53476686</v>
      </c>
      <c r="F63" s="20" t="n">
        <v>1.76551171</v>
      </c>
      <c r="G63" s="18" t="n">
        <v>8.753986149999999</v>
      </c>
      <c r="H63" s="20" t="n">
        <v>1.06409429</v>
      </c>
      <c r="I63" s="18" t="s">
        <v>567</v>
      </c>
      <c r="J63" s="20" t="s">
        <v>567</v>
      </c>
      <c r="K63" s="18" t="n">
        <v>52.71124699</v>
      </c>
      <c r="L63" s="20" t="n">
        <v>1.66965007</v>
      </c>
      <c r="M63" s="18" t="n">
        <v>0</v>
      </c>
      <c r="N63" s="20" t="n">
        <v>0</v>
      </c>
      <c r="O63" s="18" t="n">
        <v>0</v>
      </c>
      <c r="P63" s="20" t="n">
        <v>0</v>
      </c>
      <c r="Q63" s="18" t="n">
        <v>0</v>
      </c>
      <c r="R63" s="20" t="n">
        <v>0</v>
      </c>
    </row>
    <row r="64" spans="1:18">
      <c r="A64" s="15" t="s">
        <v>624</v>
      </c>
      <c r="B64" s="17" t="n">
        <v>1844</v>
      </c>
      <c r="C64" s="18">
        <f>(1232.0/B64*100)</f>
        <v/>
      </c>
      <c r="D64" s="19" t="n">
        <v>612</v>
      </c>
      <c r="E64" s="18" t="n">
        <v>59.09536018</v>
      </c>
      <c r="F64" s="20" t="n">
        <v>1.93412799</v>
      </c>
      <c r="G64" s="18" t="n">
        <v>16.42833089</v>
      </c>
      <c r="H64" s="20" t="n">
        <v>1.56058811</v>
      </c>
      <c r="I64" s="18" t="s">
        <v>567</v>
      </c>
      <c r="J64" s="20" t="s">
        <v>567</v>
      </c>
      <c r="K64" s="18" t="n">
        <v>24.47630893</v>
      </c>
      <c r="L64" s="20" t="n">
        <v>1.58577531</v>
      </c>
      <c r="M64" s="18" t="n">
        <v>0</v>
      </c>
      <c r="N64" s="20" t="n">
        <v>0</v>
      </c>
      <c r="O64" s="18" t="n">
        <v>0</v>
      </c>
      <c r="P64" s="20" t="n">
        <v>0</v>
      </c>
      <c r="Q64" s="18" t="n">
        <v>0</v>
      </c>
      <c r="R64" s="20" t="n">
        <v>0</v>
      </c>
    </row>
    <row r="65" spans="1:18">
      <c r="A65" s="15" t="s">
        <v>625</v>
      </c>
      <c r="B65" s="17" t="n">
        <v>2691</v>
      </c>
      <c r="C65" s="18">
        <f>(1789.0/B65*100)</f>
        <v/>
      </c>
      <c r="D65" s="19" t="n">
        <v>902</v>
      </c>
      <c r="E65" s="18" t="n">
        <v>45.28388715</v>
      </c>
      <c r="F65" s="20" t="n">
        <v>1.57140977</v>
      </c>
      <c r="G65" s="18" t="n">
        <v>9.790699529999999</v>
      </c>
      <c r="H65" s="20" t="n">
        <v>0.89456896</v>
      </c>
      <c r="I65" s="18" t="s">
        <v>567</v>
      </c>
      <c r="J65" s="20" t="s">
        <v>567</v>
      </c>
      <c r="K65" s="18" t="n">
        <v>44.90429888</v>
      </c>
      <c r="L65" s="20" t="n">
        <v>1.64530307</v>
      </c>
      <c r="M65" s="18" t="n">
        <v>0</v>
      </c>
      <c r="N65" s="20" t="n">
        <v>0</v>
      </c>
      <c r="O65" s="18" t="n">
        <v>0.02111444</v>
      </c>
      <c r="P65" s="20" t="n">
        <v>0.02114221</v>
      </c>
      <c r="Q65" s="18" t="n">
        <v>0</v>
      </c>
      <c r="R65" s="20" t="n">
        <v>0</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(1603.0/B69*100)</f>
        <v/>
      </c>
      <c r="D69" s="19" t="n">
        <v>807</v>
      </c>
      <c r="E69" s="18" t="n">
        <v>82.90434909</v>
      </c>
      <c r="F69" s="20" t="n">
        <v>1.37522513</v>
      </c>
      <c r="G69" s="18" t="n">
        <v>16.99301905</v>
      </c>
      <c r="H69" s="20" t="n">
        <v>1.39562532</v>
      </c>
      <c r="I69" s="18" t="s">
        <v>567</v>
      </c>
      <c r="J69" s="20" t="s">
        <v>567</v>
      </c>
      <c r="K69" s="18" t="n">
        <v>0.10263186</v>
      </c>
      <c r="L69" s="20" t="n">
        <v>0.10262218</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(1491.0/B74*100)</f>
        <v/>
      </c>
      <c r="D74" s="19" t="n">
        <v>748</v>
      </c>
      <c r="E74" s="18" t="n">
        <v>48.91411154</v>
      </c>
      <c r="F74" s="20" t="n">
        <v>2.00315822</v>
      </c>
      <c r="G74" s="18" t="n">
        <v>5.80373613</v>
      </c>
      <c r="H74" s="20" t="n">
        <v>0.90024899</v>
      </c>
      <c r="I74" s="18" t="s">
        <v>567</v>
      </c>
      <c r="J74" s="20" t="s">
        <v>567</v>
      </c>
      <c r="K74" s="18" t="n">
        <v>45.28215234</v>
      </c>
      <c r="L74" s="20" t="n">
        <v>2.0125716</v>
      </c>
      <c r="M74" s="18" t="n">
        <v>0</v>
      </c>
      <c r="N74" s="20" t="n">
        <v>0</v>
      </c>
      <c r="O74" s="18" t="n">
        <v>0</v>
      </c>
      <c r="P74" s="20" t="n">
        <v>0</v>
      </c>
      <c r="Q74" s="18" t="n">
        <v>0</v>
      </c>
      <c r="R74" s="20" t="n">
        <v>0</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66.98644047000001</v>
      </c>
      <c r="F78" s="20" t="n">
        <v>1.88324482</v>
      </c>
      <c r="G78" s="18" t="n">
        <v>31.02070577</v>
      </c>
      <c r="H78" s="20" t="n">
        <v>1.88149116</v>
      </c>
      <c r="I78" s="18" t="s">
        <v>567</v>
      </c>
      <c r="J78" s="20" t="s">
        <v>567</v>
      </c>
      <c r="K78" s="18" t="n">
        <v>1.99285376</v>
      </c>
      <c r="L78" s="20" t="n">
        <v>0.64186507</v>
      </c>
      <c r="M78" s="18" t="n">
        <v>0</v>
      </c>
      <c r="N78" s="20" t="n">
        <v>0</v>
      </c>
      <c r="O78" s="18" t="n">
        <v>0</v>
      </c>
      <c r="P78" s="20" t="n">
        <v>0</v>
      </c>
      <c r="Q78" s="18" t="n">
        <v>0</v>
      </c>
      <c r="R78" s="20" t="n">
        <v>0</v>
      </c>
    </row>
    <row customHeight="1" ht="25" r="79" spans="1:18">
      <c r="A79" s="15" t="s">
        <v>639</v>
      </c>
      <c r="B79" s="17" t="n">
        <v>787</v>
      </c>
      <c r="C79" s="18">
        <f>(529.0/B79*100)</f>
        <v/>
      </c>
      <c r="D79" s="19" t="n">
        <v>258</v>
      </c>
      <c r="E79" s="18" t="n">
        <v>50.47792832</v>
      </c>
      <c r="F79" s="20" t="n">
        <v>3.94293778</v>
      </c>
      <c r="G79" s="18" t="n">
        <v>19.79282879</v>
      </c>
      <c r="H79" s="20" t="n">
        <v>2.18713442</v>
      </c>
      <c r="I79" s="18" t="s">
        <v>567</v>
      </c>
      <c r="J79" s="20" t="s">
        <v>567</v>
      </c>
      <c r="K79" s="18" t="n">
        <v>28.05009164</v>
      </c>
      <c r="L79" s="20" t="n">
        <v>3.48499041</v>
      </c>
      <c r="M79" s="18" t="n">
        <v>1.67915126</v>
      </c>
      <c r="N79" s="20" t="n">
        <v>0.84859308</v>
      </c>
      <c r="O79" s="18" t="n">
        <v>0</v>
      </c>
      <c r="P79" s="20" t="n">
        <v>0</v>
      </c>
      <c r="Q79" s="18" t="n">
        <v>0</v>
      </c>
      <c r="R79" s="20" t="n">
        <v>0</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890</v>
      </c>
    </row>
    <row customHeight="1" ht="30" r="4" spans="1:20">
      <c r="A4" s="6" t="n"/>
      <c r="B4" s="7" t="s">
        <v>551</v>
      </c>
      <c r="C4" s="7" t="s">
        <v>552</v>
      </c>
      <c r="D4" s="8" t="s">
        <v>551</v>
      </c>
      <c r="E4" s="9" t="s">
        <v>553</v>
      </c>
      <c r="F4" s="10" t="n"/>
      <c r="G4" s="9" t="s">
        <v>671</v>
      </c>
      <c r="H4" s="10" t="n"/>
      <c r="I4" s="9" t="s">
        <v>672</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row>
    <row r="6" spans="1:20">
      <c r="A6" s="13" t="s">
        <v>565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row>
    <row r="8" spans="1:20">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row>
    <row r="9" spans="1:20">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row>
    <row r="10" spans="1:20">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row>
    <row r="11" spans="1:20">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row>
    <row r="12" spans="1:20">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row>
    <row r="13" spans="1:20">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row>
    <row r="14" spans="1:20">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row>
    <row r="15" spans="1:20">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row>
    <row r="16" spans="1:20">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row>
    <row r="17" spans="1:20">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row>
    <row r="18" spans="1:20">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row>
    <row r="19" spans="1:20">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row>
    <row r="20" spans="1:20">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row>
    <row r="21" spans="1:20">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row>
    <row r="22" spans="1:20">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row>
    <row r="23" spans="1:20">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row>
    <row r="24" spans="1:20">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row>
    <row r="25" spans="1:20">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row>
    <row r="26" spans="1:20">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row>
    <row r="27" spans="1:20">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row>
    <row r="28" spans="1:20">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row>
    <row r="29" spans="1:20">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row>
    <row r="30" spans="1:20">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row>
    <row r="31" spans="1:20">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row>
    <row r="32" spans="1:20">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row>
    <row r="33" spans="1:20">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row>
    <row r="34" spans="1:20">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row>
    <row r="35" spans="1:20">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row>
    <row r="36" spans="1:20">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row>
    <row r="37" spans="1:20">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row>
    <row r="38" spans="1:20">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row>
    <row r="39" spans="1:20">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row>
    <row r="40" spans="1:20">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row>
    <row r="41" spans="1:20">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row>
    <row r="42" spans="1:20">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604</v>
      </c>
      <c r="B44" s="17" t="n">
        <v>2524</v>
      </c>
      <c r="C44" s="18">
        <f>(1709.0/B44*100)</f>
        <v/>
      </c>
      <c r="D44" s="19" t="n">
        <v>815</v>
      </c>
      <c r="E44" s="18" t="n">
        <v>32.8382113</v>
      </c>
      <c r="F44" s="20" t="n">
        <v>2.10933535</v>
      </c>
      <c r="G44" s="18" t="n">
        <v>20.04588183</v>
      </c>
      <c r="H44" s="20" t="n">
        <v>1.8772457</v>
      </c>
      <c r="I44" s="18" t="n">
        <v>12.17329619</v>
      </c>
      <c r="J44" s="20" t="n">
        <v>1.27199204</v>
      </c>
      <c r="K44" s="18" t="s">
        <v>567</v>
      </c>
      <c r="L44" s="20" t="s">
        <v>567</v>
      </c>
      <c r="M44" s="18" t="n">
        <v>3.05989347</v>
      </c>
      <c r="N44" s="20" t="n">
        <v>0.64120625</v>
      </c>
      <c r="O44" s="18" t="n">
        <v>0</v>
      </c>
      <c r="P44" s="20" t="n">
        <v>0</v>
      </c>
      <c r="Q44" s="18" t="n">
        <v>0</v>
      </c>
      <c r="R44" s="20" t="n">
        <v>0</v>
      </c>
      <c r="S44" s="18" t="n">
        <v>31.88271721</v>
      </c>
      <c r="T44" s="20" t="n">
        <v>2.30553641</v>
      </c>
    </row>
    <row r="45" spans="1:20">
      <c r="A45" s="15" t="s">
        <v>605</v>
      </c>
      <c r="B45" s="17" t="n">
        <v>2849</v>
      </c>
      <c r="C45" s="18">
        <f>(1905.0/B45*100)</f>
        <v/>
      </c>
      <c r="D45" s="19" t="n">
        <v>944</v>
      </c>
      <c r="E45" s="18" t="n">
        <v>44.29769002</v>
      </c>
      <c r="F45" s="20" t="n">
        <v>1.80353484</v>
      </c>
      <c r="G45" s="18" t="n">
        <v>20.70631906</v>
      </c>
      <c r="H45" s="20" t="n">
        <v>1.40735651</v>
      </c>
      <c r="I45" s="18" t="n">
        <v>4.06465496</v>
      </c>
      <c r="J45" s="20" t="n">
        <v>0.73862194</v>
      </c>
      <c r="K45" s="18" t="s">
        <v>567</v>
      </c>
      <c r="L45" s="20" t="s">
        <v>567</v>
      </c>
      <c r="M45" s="18" t="n">
        <v>4.39588123</v>
      </c>
      <c r="N45" s="20" t="n">
        <v>0.90914476</v>
      </c>
      <c r="O45" s="18" t="n">
        <v>0.2862572</v>
      </c>
      <c r="P45" s="20" t="n">
        <v>0.20457844</v>
      </c>
      <c r="Q45" s="18" t="n">
        <v>0.09815854</v>
      </c>
      <c r="R45" s="20" t="n">
        <v>0.09926124</v>
      </c>
      <c r="S45" s="18" t="n">
        <v>26.15103898</v>
      </c>
      <c r="T45" s="20" t="n">
        <v>1.48780077</v>
      </c>
    </row>
    <row r="46" spans="1:20">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row>
    <row r="47" spans="1:20">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row>
    <row r="48" spans="1:20">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row>
    <row r="49" spans="1:20">
      <c r="A49" s="15" t="s">
        <v>609</v>
      </c>
      <c r="B49" s="17" t="n">
        <v>3018</v>
      </c>
      <c r="C49" s="18">
        <f>(2008.0/B49*100)</f>
        <v/>
      </c>
      <c r="D49" s="19" t="n">
        <v>1010</v>
      </c>
      <c r="E49" s="18" t="n">
        <v>31.51811809</v>
      </c>
      <c r="F49" s="20" t="n">
        <v>1.51494498</v>
      </c>
      <c r="G49" s="18" t="n">
        <v>23.69498724</v>
      </c>
      <c r="H49" s="20" t="n">
        <v>1.36912358</v>
      </c>
      <c r="I49" s="18" t="n">
        <v>15.1570196</v>
      </c>
      <c r="J49" s="20" t="n">
        <v>1.42330296</v>
      </c>
      <c r="K49" s="18" t="s">
        <v>567</v>
      </c>
      <c r="L49" s="20" t="s">
        <v>567</v>
      </c>
      <c r="M49" s="18" t="n">
        <v>1.57326017</v>
      </c>
      <c r="N49" s="20" t="n">
        <v>0.65699692</v>
      </c>
      <c r="O49" s="18" t="n">
        <v>0.14902409</v>
      </c>
      <c r="P49" s="20" t="n">
        <v>0.15624663</v>
      </c>
      <c r="Q49" s="18" t="n">
        <v>0</v>
      </c>
      <c r="R49" s="20" t="n">
        <v>0</v>
      </c>
      <c r="S49" s="18" t="n">
        <v>27.90759081</v>
      </c>
      <c r="T49" s="20" t="n">
        <v>1.7495659</v>
      </c>
    </row>
    <row r="50" spans="1:20">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row>
    <row r="51" spans="1:20">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row>
    <row r="52" spans="1:20">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row>
    <row r="53" spans="1:20">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row>
    <row r="54" spans="1:20">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row>
    <row r="55" spans="1:20">
      <c r="A55" s="15" t="s">
        <v>615</v>
      </c>
      <c r="B55" s="17" t="n">
        <v>2759</v>
      </c>
      <c r="C55" s="18">
        <f>(1802.0/B55*100)</f>
        <v/>
      </c>
      <c r="D55" s="19" t="n">
        <v>957</v>
      </c>
      <c r="E55" s="18" t="n">
        <v>31.64535882</v>
      </c>
      <c r="F55" s="20" t="n">
        <v>1.58172748</v>
      </c>
      <c r="G55" s="18" t="n">
        <v>15.02426537</v>
      </c>
      <c r="H55" s="20" t="n">
        <v>1.29305117</v>
      </c>
      <c r="I55" s="18" t="n">
        <v>7.53911481</v>
      </c>
      <c r="J55" s="20" t="n">
        <v>1.07721799</v>
      </c>
      <c r="K55" s="18" t="s">
        <v>567</v>
      </c>
      <c r="L55" s="20" t="s">
        <v>567</v>
      </c>
      <c r="M55" s="18" t="n">
        <v>1.88685582</v>
      </c>
      <c r="N55" s="20" t="n">
        <v>0.48947341</v>
      </c>
      <c r="O55" s="18" t="n">
        <v>0</v>
      </c>
      <c r="P55" s="20" t="n">
        <v>0</v>
      </c>
      <c r="Q55" s="18" t="n">
        <v>0</v>
      </c>
      <c r="R55" s="20" t="n">
        <v>0</v>
      </c>
      <c r="S55" s="18" t="n">
        <v>43.90440518</v>
      </c>
      <c r="T55" s="20" t="n">
        <v>1.91382747</v>
      </c>
    </row>
    <row r="56" spans="1:20">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row>
    <row r="57" spans="1:20">
      <c r="A57" s="15" t="s">
        <v>617</v>
      </c>
      <c r="B57" s="17" t="n">
        <v>3170</v>
      </c>
      <c r="C57" s="18">
        <f>(2128.0/B57*100)</f>
        <v/>
      </c>
      <c r="D57" s="19" t="n">
        <v>1042</v>
      </c>
      <c r="E57" s="18" t="n">
        <v>67.8068786</v>
      </c>
      <c r="F57" s="20" t="n">
        <v>1.54044922</v>
      </c>
      <c r="G57" s="18" t="n">
        <v>17.92547884</v>
      </c>
      <c r="H57" s="20" t="n">
        <v>1.28561189</v>
      </c>
      <c r="I57" s="18" t="n">
        <v>2.77796094</v>
      </c>
      <c r="J57" s="20" t="n">
        <v>0.54335142</v>
      </c>
      <c r="K57" s="18" t="s">
        <v>567</v>
      </c>
      <c r="L57" s="20" t="s">
        <v>567</v>
      </c>
      <c r="M57" s="18" t="n">
        <v>1.16057634</v>
      </c>
      <c r="N57" s="20" t="n">
        <v>0.35437952</v>
      </c>
      <c r="O57" s="18" t="n">
        <v>0.18287994</v>
      </c>
      <c r="P57" s="20" t="n">
        <v>0.12662534</v>
      </c>
      <c r="Q57" s="18" t="n">
        <v>0</v>
      </c>
      <c r="R57" s="20" t="n">
        <v>0</v>
      </c>
      <c r="S57" s="18" t="n">
        <v>10.14622534</v>
      </c>
      <c r="T57" s="20" t="n">
        <v>1.25881761</v>
      </c>
    </row>
    <row r="58" spans="1:20">
      <c r="A58" s="15" t="s">
        <v>618</v>
      </c>
      <c r="B58" s="17" t="n">
        <v>3530</v>
      </c>
      <c r="C58" s="18">
        <f>(2358.0/B58*100)</f>
        <v/>
      </c>
      <c r="D58" s="19" t="n">
        <v>1172</v>
      </c>
      <c r="E58" s="18" t="n">
        <v>50.72237555</v>
      </c>
      <c r="F58" s="20" t="n">
        <v>1.76190758</v>
      </c>
      <c r="G58" s="18" t="n">
        <v>16.75063557</v>
      </c>
      <c r="H58" s="20" t="n">
        <v>1.04992583</v>
      </c>
      <c r="I58" s="18" t="n">
        <v>8.410102500000001</v>
      </c>
      <c r="J58" s="20" t="n">
        <v>1.11237267</v>
      </c>
      <c r="K58" s="18" t="s">
        <v>567</v>
      </c>
      <c r="L58" s="20" t="s">
        <v>567</v>
      </c>
      <c r="M58" s="18" t="n">
        <v>1.64166769</v>
      </c>
      <c r="N58" s="20" t="n">
        <v>0.57243902</v>
      </c>
      <c r="O58" s="18" t="n">
        <v>0</v>
      </c>
      <c r="P58" s="20" t="n">
        <v>0</v>
      </c>
      <c r="Q58" s="18" t="n">
        <v>0</v>
      </c>
      <c r="R58" s="20" t="n">
        <v>0</v>
      </c>
      <c r="S58" s="18" t="n">
        <v>22.47521868</v>
      </c>
      <c r="T58" s="20" t="n">
        <v>1.79808068</v>
      </c>
    </row>
    <row r="59" spans="1:20">
      <c r="A59" s="15" t="s">
        <v>619</v>
      </c>
      <c r="B59" s="17" t="n">
        <v>2548</v>
      </c>
      <c r="C59" s="18">
        <f>(1724.0/B59*100)</f>
        <v/>
      </c>
      <c r="D59" s="19" t="n">
        <v>824</v>
      </c>
      <c r="E59" s="18" t="n">
        <v>57.50697586</v>
      </c>
      <c r="F59" s="20" t="n">
        <v>2.02789889</v>
      </c>
      <c r="G59" s="18" t="n">
        <v>12.19220582</v>
      </c>
      <c r="H59" s="20" t="n">
        <v>1.47208643</v>
      </c>
      <c r="I59" s="18" t="n">
        <v>4.28083803</v>
      </c>
      <c r="J59" s="20" t="n">
        <v>0.9589308</v>
      </c>
      <c r="K59" s="18" t="s">
        <v>567</v>
      </c>
      <c r="L59" s="20" t="s">
        <v>567</v>
      </c>
      <c r="M59" s="18" t="n">
        <v>0.38561837</v>
      </c>
      <c r="N59" s="20" t="n">
        <v>0.20451362</v>
      </c>
      <c r="O59" s="18" t="n">
        <v>0.05346925</v>
      </c>
      <c r="P59" s="20" t="n">
        <v>0.05374471</v>
      </c>
      <c r="Q59" s="18" t="n">
        <v>0</v>
      </c>
      <c r="R59" s="20" t="n">
        <v>0</v>
      </c>
      <c r="S59" s="18" t="n">
        <v>25.58089266</v>
      </c>
      <c r="T59" s="20" t="n">
        <v>1.74565168</v>
      </c>
    </row>
    <row r="60" spans="1:20">
      <c r="A60" s="15" t="s">
        <v>620</v>
      </c>
      <c r="B60" s="17" t="n">
        <v>2095</v>
      </c>
      <c r="C60" s="18">
        <f>(1425.0/B60*100)</f>
        <v/>
      </c>
      <c r="D60" s="19" t="n">
        <v>670</v>
      </c>
      <c r="E60" s="18" t="n">
        <v>30.14393901</v>
      </c>
      <c r="F60" s="20" t="n">
        <v>1.968411</v>
      </c>
      <c r="G60" s="18" t="n">
        <v>21.82612018</v>
      </c>
      <c r="H60" s="20" t="n">
        <v>1.65587747</v>
      </c>
      <c r="I60" s="18" t="n">
        <v>11.86453672</v>
      </c>
      <c r="J60" s="20" t="n">
        <v>1.25601491</v>
      </c>
      <c r="K60" s="18" t="s">
        <v>567</v>
      </c>
      <c r="L60" s="20" t="s">
        <v>567</v>
      </c>
      <c r="M60" s="18" t="n">
        <v>4.40795626</v>
      </c>
      <c r="N60" s="20" t="n">
        <v>0.98813046</v>
      </c>
      <c r="O60" s="18" t="n">
        <v>0.16259514</v>
      </c>
      <c r="P60" s="20" t="n">
        <v>0.16287235</v>
      </c>
      <c r="Q60" s="18" t="n">
        <v>0.13198498</v>
      </c>
      <c r="R60" s="20" t="n">
        <v>0.12931977</v>
      </c>
      <c r="S60" s="18" t="n">
        <v>31.46286772</v>
      </c>
      <c r="T60" s="20" t="n">
        <v>2.25215533</v>
      </c>
    </row>
    <row r="61" spans="1:20">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row>
    <row r="62" spans="1:20">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row>
    <row r="63" spans="1:20">
      <c r="A63" s="15" t="s">
        <v>623</v>
      </c>
      <c r="B63" s="17" t="n">
        <v>2813</v>
      </c>
      <c r="C63" s="18">
        <f>(1871.0/B63*100)</f>
        <v/>
      </c>
      <c r="D63" s="19" t="n">
        <v>942</v>
      </c>
      <c r="E63" s="18" t="n">
        <v>32.67270202</v>
      </c>
      <c r="F63" s="20" t="n">
        <v>1.60570238</v>
      </c>
      <c r="G63" s="18" t="n">
        <v>8.04766981</v>
      </c>
      <c r="H63" s="20" t="n">
        <v>0.96584615</v>
      </c>
      <c r="I63" s="18" t="n">
        <v>9.81659265</v>
      </c>
      <c r="J63" s="20" t="n">
        <v>1.07219254</v>
      </c>
      <c r="K63" s="18" t="s">
        <v>567</v>
      </c>
      <c r="L63" s="20" t="s">
        <v>567</v>
      </c>
      <c r="M63" s="18" t="n">
        <v>1.88554497</v>
      </c>
      <c r="N63" s="20" t="n">
        <v>0.5252474</v>
      </c>
      <c r="O63" s="18" t="n">
        <v>0</v>
      </c>
      <c r="P63" s="20" t="n">
        <v>0</v>
      </c>
      <c r="Q63" s="18" t="n">
        <v>0</v>
      </c>
      <c r="R63" s="20" t="n">
        <v>0</v>
      </c>
      <c r="S63" s="18" t="n">
        <v>47.57749055</v>
      </c>
      <c r="T63" s="20" t="n">
        <v>1.83254066</v>
      </c>
    </row>
    <row r="64" spans="1:20">
      <c r="A64" s="15" t="s">
        <v>624</v>
      </c>
      <c r="B64" s="17" t="n">
        <v>1844</v>
      </c>
      <c r="C64" s="18">
        <f>(1243.0/B64*100)</f>
        <v/>
      </c>
      <c r="D64" s="19" t="n">
        <v>601</v>
      </c>
      <c r="E64" s="18" t="n">
        <v>25.88079016</v>
      </c>
      <c r="F64" s="20" t="n">
        <v>1.69026333</v>
      </c>
      <c r="G64" s="18" t="n">
        <v>23.3337959</v>
      </c>
      <c r="H64" s="20" t="n">
        <v>1.87793124</v>
      </c>
      <c r="I64" s="18" t="n">
        <v>28.096493</v>
      </c>
      <c r="J64" s="20" t="n">
        <v>1.73637998</v>
      </c>
      <c r="K64" s="18" t="s">
        <v>567</v>
      </c>
      <c r="L64" s="20" t="s">
        <v>567</v>
      </c>
      <c r="M64" s="18" t="n">
        <v>3.70475203</v>
      </c>
      <c r="N64" s="20" t="n">
        <v>0.73619576</v>
      </c>
      <c r="O64" s="18" t="n">
        <v>0</v>
      </c>
      <c r="P64" s="20" t="n">
        <v>0</v>
      </c>
      <c r="Q64" s="18" t="n">
        <v>0.15128569</v>
      </c>
      <c r="R64" s="20" t="n">
        <v>0.1505556</v>
      </c>
      <c r="S64" s="18" t="n">
        <v>18.83288322</v>
      </c>
      <c r="T64" s="20" t="n">
        <v>1.60865448</v>
      </c>
    </row>
    <row r="65" spans="1:20">
      <c r="A65" s="15" t="s">
        <v>625</v>
      </c>
      <c r="B65" s="17" t="n">
        <v>2691</v>
      </c>
      <c r="C65" s="18">
        <f>(1801.0/B65*100)</f>
        <v/>
      </c>
      <c r="D65" s="19" t="n">
        <v>890</v>
      </c>
      <c r="E65" s="18" t="n">
        <v>32.01548806</v>
      </c>
      <c r="F65" s="20" t="n">
        <v>1.66532959</v>
      </c>
      <c r="G65" s="18" t="n">
        <v>13.96173151</v>
      </c>
      <c r="H65" s="20" t="n">
        <v>1.18872122</v>
      </c>
      <c r="I65" s="18" t="n">
        <v>12.8493296</v>
      </c>
      <c r="J65" s="20" t="n">
        <v>1.16882181</v>
      </c>
      <c r="K65" s="18" t="s">
        <v>567</v>
      </c>
      <c r="L65" s="20" t="s">
        <v>567</v>
      </c>
      <c r="M65" s="18" t="n">
        <v>5.03327486</v>
      </c>
      <c r="N65" s="20" t="n">
        <v>0.9263659</v>
      </c>
      <c r="O65" s="18" t="n">
        <v>0</v>
      </c>
      <c r="P65" s="20" t="n">
        <v>0</v>
      </c>
      <c r="Q65" s="18" t="n">
        <v>0</v>
      </c>
      <c r="R65" s="20" t="n">
        <v>0</v>
      </c>
      <c r="S65" s="18" t="n">
        <v>36.14017597</v>
      </c>
      <c r="T65" s="20" t="n">
        <v>1.72249334</v>
      </c>
    </row>
    <row r="66" spans="1:20">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row>
    <row r="67" spans="1:20">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row>
    <row r="68" spans="1:20">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row>
    <row r="69" spans="1:20">
      <c r="A69" s="15" t="s">
        <v>629</v>
      </c>
      <c r="B69" s="17" t="n">
        <v>2410</v>
      </c>
      <c r="C69" s="18">
        <f>(1606.0/B69*100)</f>
        <v/>
      </c>
      <c r="D69" s="19" t="n">
        <v>804</v>
      </c>
      <c r="E69" s="18" t="n">
        <v>55.95319536</v>
      </c>
      <c r="F69" s="20" t="n">
        <v>1.91666075</v>
      </c>
      <c r="G69" s="18" t="n">
        <v>26.62457109</v>
      </c>
      <c r="H69" s="20" t="n">
        <v>1.68638922</v>
      </c>
      <c r="I69" s="18" t="n">
        <v>16.47866368</v>
      </c>
      <c r="J69" s="20" t="n">
        <v>1.31365384</v>
      </c>
      <c r="K69" s="18" t="s">
        <v>567</v>
      </c>
      <c r="L69" s="20" t="s">
        <v>567</v>
      </c>
      <c r="M69" s="18" t="n">
        <v>0</v>
      </c>
      <c r="N69" s="20" t="n">
        <v>0</v>
      </c>
      <c r="O69" s="18" t="n">
        <v>0</v>
      </c>
      <c r="P69" s="20" t="n">
        <v>0</v>
      </c>
      <c r="Q69" s="18" t="n">
        <v>0</v>
      </c>
      <c r="R69" s="20" t="n">
        <v>0</v>
      </c>
      <c r="S69" s="18" t="n">
        <v>0.94356987</v>
      </c>
      <c r="T69" s="20" t="n">
        <v>0.38432711</v>
      </c>
    </row>
    <row r="70" spans="1:20">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row>
    <row r="71" spans="1:20">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row>
    <row r="72" spans="1:20">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row>
    <row r="73" spans="1:20">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row>
    <row r="74" spans="1:20">
      <c r="A74" s="15" t="s">
        <v>634</v>
      </c>
      <c r="B74" s="17" t="n">
        <v>2239</v>
      </c>
      <c r="C74" s="18">
        <f>(1511.0/B74*100)</f>
        <v/>
      </c>
      <c r="D74" s="19" t="n">
        <v>728</v>
      </c>
      <c r="E74" s="18" t="n">
        <v>24.97228812</v>
      </c>
      <c r="F74" s="20" t="n">
        <v>1.85511452</v>
      </c>
      <c r="G74" s="18" t="n">
        <v>17.08439724</v>
      </c>
      <c r="H74" s="20" t="n">
        <v>1.58178457</v>
      </c>
      <c r="I74" s="18" t="n">
        <v>15.44479938</v>
      </c>
      <c r="J74" s="20" t="n">
        <v>1.40517911</v>
      </c>
      <c r="K74" s="18" t="s">
        <v>567</v>
      </c>
      <c r="L74" s="20" t="s">
        <v>567</v>
      </c>
      <c r="M74" s="18" t="n">
        <v>7.84973619</v>
      </c>
      <c r="N74" s="20" t="n">
        <v>1.21753244</v>
      </c>
      <c r="O74" s="18" t="n">
        <v>0</v>
      </c>
      <c r="P74" s="20" t="n">
        <v>0</v>
      </c>
      <c r="Q74" s="18" t="n">
        <v>0</v>
      </c>
      <c r="R74" s="20" t="n">
        <v>0</v>
      </c>
      <c r="S74" s="18" t="n">
        <v>34.64877908</v>
      </c>
      <c r="T74" s="20" t="n">
        <v>1.7360177</v>
      </c>
    </row>
    <row r="75" spans="1:20">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row>
    <row r="76" spans="1:20">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row>
    <row r="77" spans="1:20">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row>
    <row r="78" spans="1:20">
      <c r="A78" s="15" t="s">
        <v>638</v>
      </c>
      <c r="B78" s="17" t="n">
        <v>2786</v>
      </c>
      <c r="C78" s="18">
        <f>(1843.0/B78*100)</f>
        <v/>
      </c>
      <c r="D78" s="19" t="n">
        <v>943</v>
      </c>
      <c r="E78" s="18" t="n">
        <v>50.06885033</v>
      </c>
      <c r="F78" s="20" t="n">
        <v>2.10295899</v>
      </c>
      <c r="G78" s="18" t="n">
        <v>22.9575739</v>
      </c>
      <c r="H78" s="20" t="n">
        <v>1.44392899</v>
      </c>
      <c r="I78" s="18" t="n">
        <v>24.8124781</v>
      </c>
      <c r="J78" s="20" t="n">
        <v>1.71863291</v>
      </c>
      <c r="K78" s="18" t="s">
        <v>567</v>
      </c>
      <c r="L78" s="20" t="s">
        <v>567</v>
      </c>
      <c r="M78" s="18" t="n">
        <v>0</v>
      </c>
      <c r="N78" s="20" t="n">
        <v>0</v>
      </c>
      <c r="O78" s="18" t="n">
        <v>0</v>
      </c>
      <c r="P78" s="20" t="n">
        <v>0</v>
      </c>
      <c r="Q78" s="18" t="n">
        <v>0</v>
      </c>
      <c r="R78" s="20" t="n">
        <v>0</v>
      </c>
      <c r="S78" s="18" t="n">
        <v>2.16109767</v>
      </c>
      <c r="T78" s="20" t="n">
        <v>0.68197483</v>
      </c>
    </row>
    <row customHeight="1" ht="25" r="79" spans="1:20">
      <c r="A79" s="15" t="s">
        <v>639</v>
      </c>
      <c r="B79" s="17" t="n">
        <v>787</v>
      </c>
      <c r="C79" s="18">
        <f>(527.0/B79*100)</f>
        <v/>
      </c>
      <c r="D79" s="19" t="n">
        <v>260</v>
      </c>
      <c r="E79" s="18" t="n">
        <v>23.69419557</v>
      </c>
      <c r="F79" s="20" t="n">
        <v>2.78213024</v>
      </c>
      <c r="G79" s="18" t="n">
        <v>29.68559808</v>
      </c>
      <c r="H79" s="20" t="n">
        <v>2.01447244</v>
      </c>
      <c r="I79" s="18" t="n">
        <v>25.24099166</v>
      </c>
      <c r="J79" s="20" t="n">
        <v>3.29075761</v>
      </c>
      <c r="K79" s="18" t="s">
        <v>567</v>
      </c>
      <c r="L79" s="20" t="s">
        <v>567</v>
      </c>
      <c r="M79" s="18" t="n">
        <v>1.86613859</v>
      </c>
      <c r="N79" s="20" t="n">
        <v>0.67039014</v>
      </c>
      <c r="O79" s="18" t="n">
        <v>0</v>
      </c>
      <c r="P79" s="20" t="n">
        <v>0</v>
      </c>
      <c r="Q79" s="18" t="n">
        <v>0</v>
      </c>
      <c r="R79" s="20" t="n">
        <v>0</v>
      </c>
      <c r="S79" s="18" t="n">
        <v>19.5130761</v>
      </c>
      <c r="T79" s="20" t="n">
        <v>2.05182622</v>
      </c>
    </row>
    <row r="80" spans="1:20">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row>
    <row r="81" spans="1:20">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row>
    <row r="82" spans="1:20">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row>
    <row r="83" spans="1:20">
      <c r="A83" s="3" t="s">
        <v>643</v>
      </c>
    </row>
    <row r="84" spans="1:20">
      <c r="A84" s="23" t="s">
        <v>644</v>
      </c>
    </row>
    <row r="85" spans="1:20">
      <c r="A85" s="23" t="s">
        <v>645</v>
      </c>
    </row>
    <row customHeight="1" ht="30" r="86" spans="1:20">
      <c r="A86" s="23" t="s">
        <v>646</v>
      </c>
    </row>
    <row customHeight="1" ht="30" r="87" spans="1:20">
      <c r="A87" s="23" t="s">
        <v>642</v>
      </c>
    </row>
    <row customHeight="1" ht="30" r="88" spans="1:20">
      <c r="A88" s="23" t="s">
        <v>647</v>
      </c>
    </row>
    <row customHeight="1" ht="30" r="89" spans="1:20">
      <c r="A89" s="23" t="s">
        <v>648</v>
      </c>
    </row>
    <row customHeight="1" ht="30" r="90" spans="1:20">
      <c r="A90" s="23" t="s">
        <v>649</v>
      </c>
    </row>
    <row customHeight="1" ht="30" r="91" spans="1:20">
      <c r="A91" s="23" t="s">
        <v>650</v>
      </c>
    </row>
    <row customHeight="1" ht="30" r="92" spans="1:20">
      <c r="A92" s="23" t="s">
        <v>651</v>
      </c>
    </row>
    <row customHeight="1" ht="30" r="93" spans="1:20">
      <c r="A93" s="23" t="s">
        <v>652</v>
      </c>
    </row>
    <row customHeight="1" ht="30" r="94" spans="1:20">
      <c r="A94" s="23" t="s">
        <v>653</v>
      </c>
    </row>
    <row customHeight="1" ht="30" r="95" spans="1:20">
      <c r="A95" s="23" t="s">
        <v>654</v>
      </c>
    </row>
    <row customHeight="1" ht="30" r="96" spans="1:20">
      <c r="A96" s="23" t="s">
        <v>655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(1709.0/B44*100)</f>
        <v/>
      </c>
      <c r="D44" s="19" t="n">
        <v>815</v>
      </c>
      <c r="E44" s="18" t="n">
        <v>40.82414729</v>
      </c>
      <c r="F44" s="20" t="n">
        <v>2.1187994</v>
      </c>
      <c r="G44" s="18" t="n">
        <v>35.82214884</v>
      </c>
      <c r="H44" s="20" t="n">
        <v>2.04424117</v>
      </c>
      <c r="I44" s="18" t="s">
        <v>567</v>
      </c>
      <c r="J44" s="20" t="s">
        <v>567</v>
      </c>
      <c r="K44" s="18" t="n">
        <v>3.05989347</v>
      </c>
      <c r="L44" s="20" t="n">
        <v>0.64120625</v>
      </c>
      <c r="M44" s="18" t="n">
        <v>0</v>
      </c>
      <c r="N44" s="20" t="n">
        <v>0</v>
      </c>
      <c r="O44" s="18" t="n">
        <v>6.03756478</v>
      </c>
      <c r="P44" s="20" t="n">
        <v>1.15969857</v>
      </c>
      <c r="Q44" s="18" t="n">
        <v>14.25624563</v>
      </c>
      <c r="R44" s="20" t="n">
        <v>1.46948972</v>
      </c>
    </row>
    <row r="45" spans="1:18">
      <c r="A45" s="15" t="s">
        <v>605</v>
      </c>
      <c r="B45" s="17" t="n">
        <v>2849</v>
      </c>
      <c r="C45" s="18">
        <f>(1905.0/B45*100)</f>
        <v/>
      </c>
      <c r="D45" s="19" t="n">
        <v>944</v>
      </c>
      <c r="E45" s="18" t="n">
        <v>46.92914666</v>
      </c>
      <c r="F45" s="20" t="n">
        <v>1.86859032</v>
      </c>
      <c r="G45" s="18" t="n">
        <v>30.35537317</v>
      </c>
      <c r="H45" s="20" t="n">
        <v>1.79990371</v>
      </c>
      <c r="I45" s="18" t="s">
        <v>567</v>
      </c>
      <c r="J45" s="20" t="s">
        <v>567</v>
      </c>
      <c r="K45" s="18" t="n">
        <v>4.60341775</v>
      </c>
      <c r="L45" s="20" t="n">
        <v>0.90850376</v>
      </c>
      <c r="M45" s="18" t="n">
        <v>0.29420632</v>
      </c>
      <c r="N45" s="20" t="n">
        <v>0.18053729</v>
      </c>
      <c r="O45" s="18" t="n">
        <v>6.97245378</v>
      </c>
      <c r="P45" s="20" t="n">
        <v>1.1825042</v>
      </c>
      <c r="Q45" s="18" t="n">
        <v>10.84540232</v>
      </c>
      <c r="R45" s="20" t="n">
        <v>1.07200872</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(2008.0/B49*100)</f>
        <v/>
      </c>
      <c r="D49" s="19" t="n">
        <v>1010</v>
      </c>
      <c r="E49" s="18" t="n">
        <v>32.81606835</v>
      </c>
      <c r="F49" s="20" t="n">
        <v>1.67748917</v>
      </c>
      <c r="G49" s="18" t="n">
        <v>55.13834702</v>
      </c>
      <c r="H49" s="20" t="n">
        <v>2.00048238</v>
      </c>
      <c r="I49" s="18" t="s">
        <v>567</v>
      </c>
      <c r="J49" s="20" t="s">
        <v>567</v>
      </c>
      <c r="K49" s="18" t="n">
        <v>1.57326017</v>
      </c>
      <c r="L49" s="20" t="n">
        <v>0.65699692</v>
      </c>
      <c r="M49" s="18" t="n">
        <v>0.24890439</v>
      </c>
      <c r="N49" s="20" t="n">
        <v>0.18061747</v>
      </c>
      <c r="O49" s="18" t="n">
        <v>2.02801046</v>
      </c>
      <c r="P49" s="20" t="n">
        <v>0.43031215</v>
      </c>
      <c r="Q49" s="18" t="n">
        <v>8.1954096</v>
      </c>
      <c r="R49" s="20" t="n">
        <v>1.18534475</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(1802.0/B55*100)</f>
        <v/>
      </c>
      <c r="D55" s="19" t="n">
        <v>957</v>
      </c>
      <c r="E55" s="18" t="n">
        <v>53.5849859</v>
      </c>
      <c r="F55" s="20" t="n">
        <v>1.54564624</v>
      </c>
      <c r="G55" s="18" t="n">
        <v>36.83739902</v>
      </c>
      <c r="H55" s="20" t="n">
        <v>1.4840843</v>
      </c>
      <c r="I55" s="18" t="s">
        <v>567</v>
      </c>
      <c r="J55" s="20" t="s">
        <v>567</v>
      </c>
      <c r="K55" s="18" t="n">
        <v>1.88685582</v>
      </c>
      <c r="L55" s="20" t="n">
        <v>0.48947341</v>
      </c>
      <c r="M55" s="18" t="n">
        <v>0</v>
      </c>
      <c r="N55" s="20" t="n">
        <v>0</v>
      </c>
      <c r="O55" s="18" t="n">
        <v>1.02428402</v>
      </c>
      <c r="P55" s="20" t="n">
        <v>0.37479939</v>
      </c>
      <c r="Q55" s="18" t="n">
        <v>6.66647524</v>
      </c>
      <c r="R55" s="20" t="n">
        <v>0.86096889</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(2128.0/B57*100)</f>
        <v/>
      </c>
      <c r="D57" s="19" t="n">
        <v>1042</v>
      </c>
      <c r="E57" s="18" t="n">
        <v>47.80626935</v>
      </c>
      <c r="F57" s="20" t="n">
        <v>1.74180477</v>
      </c>
      <c r="G57" s="18" t="n">
        <v>48.61750733</v>
      </c>
      <c r="H57" s="20" t="n">
        <v>1.77214782</v>
      </c>
      <c r="I57" s="18" t="s">
        <v>567</v>
      </c>
      <c r="J57" s="20" t="s">
        <v>567</v>
      </c>
      <c r="K57" s="18" t="n">
        <v>1.16057634</v>
      </c>
      <c r="L57" s="20" t="n">
        <v>0.35437952</v>
      </c>
      <c r="M57" s="18" t="n">
        <v>0.18287994</v>
      </c>
      <c r="N57" s="20" t="n">
        <v>0.12662534</v>
      </c>
      <c r="O57" s="18" t="n">
        <v>0</v>
      </c>
      <c r="P57" s="20" t="n">
        <v>0</v>
      </c>
      <c r="Q57" s="18" t="n">
        <v>2.23276704</v>
      </c>
      <c r="R57" s="20" t="n">
        <v>0.48770589</v>
      </c>
    </row>
    <row r="58" spans="1:18">
      <c r="A58" s="15" t="s">
        <v>618</v>
      </c>
      <c r="B58" s="17" t="n">
        <v>3530</v>
      </c>
      <c r="C58" s="18">
        <f>(2358.0/B58*100)</f>
        <v/>
      </c>
      <c r="D58" s="19" t="n">
        <v>1172</v>
      </c>
      <c r="E58" s="18" t="n">
        <v>53.45965492</v>
      </c>
      <c r="F58" s="20" t="n">
        <v>1.62452634</v>
      </c>
      <c r="G58" s="18" t="n">
        <v>34.82661213</v>
      </c>
      <c r="H58" s="20" t="n">
        <v>1.69710589</v>
      </c>
      <c r="I58" s="18" t="s">
        <v>567</v>
      </c>
      <c r="J58" s="20" t="s">
        <v>567</v>
      </c>
      <c r="K58" s="18" t="n">
        <v>1.75557704</v>
      </c>
      <c r="L58" s="20" t="n">
        <v>0.58295299</v>
      </c>
      <c r="M58" s="18" t="n">
        <v>0</v>
      </c>
      <c r="N58" s="20" t="n">
        <v>0</v>
      </c>
      <c r="O58" s="18" t="n">
        <v>1.31199064</v>
      </c>
      <c r="P58" s="20" t="n">
        <v>0.3394454</v>
      </c>
      <c r="Q58" s="18" t="n">
        <v>8.64616526</v>
      </c>
      <c r="R58" s="20" t="n">
        <v>0.90694642</v>
      </c>
    </row>
    <row r="59" spans="1:18">
      <c r="A59" s="15" t="s">
        <v>619</v>
      </c>
      <c r="B59" s="17" t="n">
        <v>2548</v>
      </c>
      <c r="C59" s="18">
        <f>(1724.0/B59*100)</f>
        <v/>
      </c>
      <c r="D59" s="19" t="n">
        <v>824</v>
      </c>
      <c r="E59" s="18" t="n">
        <v>58.40040606</v>
      </c>
      <c r="F59" s="20" t="n">
        <v>1.99870992</v>
      </c>
      <c r="G59" s="18" t="n">
        <v>32.35576562</v>
      </c>
      <c r="H59" s="20" t="n">
        <v>2.08546318</v>
      </c>
      <c r="I59" s="18" t="s">
        <v>567</v>
      </c>
      <c r="J59" s="20" t="s">
        <v>567</v>
      </c>
      <c r="K59" s="18" t="n">
        <v>0.38561837</v>
      </c>
      <c r="L59" s="20" t="n">
        <v>0.20451362</v>
      </c>
      <c r="M59" s="18" t="n">
        <v>0.62728272</v>
      </c>
      <c r="N59" s="20" t="n">
        <v>0.40627717</v>
      </c>
      <c r="O59" s="18" t="n">
        <v>4.69046255</v>
      </c>
      <c r="P59" s="20" t="n">
        <v>0.88660913</v>
      </c>
      <c r="Q59" s="18" t="n">
        <v>3.54046468</v>
      </c>
      <c r="R59" s="20" t="n">
        <v>0.67036935</v>
      </c>
    </row>
    <row r="60" spans="1:18">
      <c r="A60" s="15" t="s">
        <v>620</v>
      </c>
      <c r="B60" s="17" t="n">
        <v>2095</v>
      </c>
      <c r="C60" s="18">
        <f>(1425.0/B60*100)</f>
        <v/>
      </c>
      <c r="D60" s="19" t="n">
        <v>670</v>
      </c>
      <c r="E60" s="18" t="n">
        <v>37.93176766</v>
      </c>
      <c r="F60" s="20" t="n">
        <v>2.03335759</v>
      </c>
      <c r="G60" s="18" t="n">
        <v>39.32339781</v>
      </c>
      <c r="H60" s="20" t="n">
        <v>2.20512433</v>
      </c>
      <c r="I60" s="18" t="s">
        <v>567</v>
      </c>
      <c r="J60" s="20" t="s">
        <v>567</v>
      </c>
      <c r="K60" s="18" t="n">
        <v>4.40795626</v>
      </c>
      <c r="L60" s="20" t="n">
        <v>0.98813046</v>
      </c>
      <c r="M60" s="18" t="n">
        <v>0</v>
      </c>
      <c r="N60" s="20" t="n">
        <v>0</v>
      </c>
      <c r="O60" s="18" t="n">
        <v>5.90381551</v>
      </c>
      <c r="P60" s="20" t="n">
        <v>0.98594266</v>
      </c>
      <c r="Q60" s="18" t="n">
        <v>12.43306276</v>
      </c>
      <c r="R60" s="20" t="n">
        <v>1.62799524</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(1871.0/B63*100)</f>
        <v/>
      </c>
      <c r="D63" s="19" t="n">
        <v>942</v>
      </c>
      <c r="E63" s="18" t="n">
        <v>58.13637959</v>
      </c>
      <c r="F63" s="20" t="n">
        <v>1.52702213</v>
      </c>
      <c r="G63" s="18" t="n">
        <v>25.17250066</v>
      </c>
      <c r="H63" s="20" t="n">
        <v>1.38758005</v>
      </c>
      <c r="I63" s="18" t="s">
        <v>567</v>
      </c>
      <c r="J63" s="20" t="s">
        <v>567</v>
      </c>
      <c r="K63" s="18" t="n">
        <v>2.12600254</v>
      </c>
      <c r="L63" s="20" t="n">
        <v>0.53105307</v>
      </c>
      <c r="M63" s="18" t="n">
        <v>0</v>
      </c>
      <c r="N63" s="20" t="n">
        <v>0</v>
      </c>
      <c r="O63" s="18" t="n">
        <v>2.19433181</v>
      </c>
      <c r="P63" s="20" t="n">
        <v>0.43644675</v>
      </c>
      <c r="Q63" s="18" t="n">
        <v>12.3707854</v>
      </c>
      <c r="R63" s="20" t="n">
        <v>1.20441839</v>
      </c>
    </row>
    <row r="64" spans="1:18">
      <c r="A64" s="15" t="s">
        <v>624</v>
      </c>
      <c r="B64" s="17" t="n">
        <v>1844</v>
      </c>
      <c r="C64" s="18">
        <f>(1243.0/B64*100)</f>
        <v/>
      </c>
      <c r="D64" s="19" t="n">
        <v>601</v>
      </c>
      <c r="E64" s="18" t="n">
        <v>33.63285621</v>
      </c>
      <c r="F64" s="20" t="n">
        <v>1.88505973</v>
      </c>
      <c r="G64" s="18" t="n">
        <v>46.46125938</v>
      </c>
      <c r="H64" s="20" t="n">
        <v>2.17525108</v>
      </c>
      <c r="I64" s="18" t="s">
        <v>567</v>
      </c>
      <c r="J64" s="20" t="s">
        <v>567</v>
      </c>
      <c r="K64" s="18" t="n">
        <v>3.70475203</v>
      </c>
      <c r="L64" s="20" t="n">
        <v>0.73619576</v>
      </c>
      <c r="M64" s="18" t="n">
        <v>0</v>
      </c>
      <c r="N64" s="20" t="n">
        <v>0</v>
      </c>
      <c r="O64" s="18" t="n">
        <v>9.143040689999999</v>
      </c>
      <c r="P64" s="20" t="n">
        <v>1.00758854</v>
      </c>
      <c r="Q64" s="18" t="n">
        <v>7.05809168</v>
      </c>
      <c r="R64" s="20" t="n">
        <v>1.17259489</v>
      </c>
    </row>
    <row r="65" spans="1:18">
      <c r="A65" s="15" t="s">
        <v>625</v>
      </c>
      <c r="B65" s="17" t="n">
        <v>2691</v>
      </c>
      <c r="C65" s="18">
        <f>(1801.0/B65*100)</f>
        <v/>
      </c>
      <c r="D65" s="19" t="n">
        <v>890</v>
      </c>
      <c r="E65" s="18" t="n">
        <v>46.88500163</v>
      </c>
      <c r="F65" s="20" t="n">
        <v>1.92527619</v>
      </c>
      <c r="G65" s="18" t="n">
        <v>29.67250204</v>
      </c>
      <c r="H65" s="20" t="n">
        <v>1.68285943</v>
      </c>
      <c r="I65" s="18" t="s">
        <v>567</v>
      </c>
      <c r="J65" s="20" t="s">
        <v>567</v>
      </c>
      <c r="K65" s="18" t="n">
        <v>5.03327486</v>
      </c>
      <c r="L65" s="20" t="n">
        <v>0.9263659</v>
      </c>
      <c r="M65" s="18" t="n">
        <v>7.06425814</v>
      </c>
      <c r="N65" s="20" t="n">
        <v>1.0426146</v>
      </c>
      <c r="O65" s="18" t="n">
        <v>0</v>
      </c>
      <c r="P65" s="20" t="n">
        <v>0</v>
      </c>
      <c r="Q65" s="18" t="n">
        <v>11.34496333</v>
      </c>
      <c r="R65" s="20" t="n">
        <v>1.0685257</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(1606.0/B69*100)</f>
        <v/>
      </c>
      <c r="D69" s="19" t="n">
        <v>804</v>
      </c>
      <c r="E69" s="18" t="n">
        <v>61.44737071</v>
      </c>
      <c r="F69" s="20" t="n">
        <v>2.24718896</v>
      </c>
      <c r="G69" s="18" t="n">
        <v>38.45355236</v>
      </c>
      <c r="H69" s="20" t="n">
        <v>2.26017089</v>
      </c>
      <c r="I69" s="18" t="s">
        <v>567</v>
      </c>
      <c r="J69" s="20" t="s">
        <v>567</v>
      </c>
      <c r="K69" s="18" t="n">
        <v>0</v>
      </c>
      <c r="L69" s="20" t="n">
        <v>0</v>
      </c>
      <c r="M69" s="18" t="n">
        <v>0</v>
      </c>
      <c r="N69" s="20" t="n">
        <v>0</v>
      </c>
      <c r="O69" s="18" t="n">
        <v>0</v>
      </c>
      <c r="P69" s="20" t="n">
        <v>0</v>
      </c>
      <c r="Q69" s="18" t="n">
        <v>0.09907692999999999</v>
      </c>
      <c r="R69" s="20" t="n">
        <v>0.09880322</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41.21444086</v>
      </c>
      <c r="F74" s="20" t="n">
        <v>2.25995721</v>
      </c>
      <c r="G74" s="18" t="n">
        <v>37.6396993</v>
      </c>
      <c r="H74" s="20" t="n">
        <v>2.18470237</v>
      </c>
      <c r="I74" s="18" t="s">
        <v>567</v>
      </c>
      <c r="J74" s="20" t="s">
        <v>567</v>
      </c>
      <c r="K74" s="18" t="n">
        <v>8.09674285</v>
      </c>
      <c r="L74" s="20" t="n">
        <v>1.23205739</v>
      </c>
      <c r="M74" s="18" t="n">
        <v>0</v>
      </c>
      <c r="N74" s="20" t="n">
        <v>0</v>
      </c>
      <c r="O74" s="18" t="n">
        <v>0.4539845</v>
      </c>
      <c r="P74" s="20" t="n">
        <v>0.22279163</v>
      </c>
      <c r="Q74" s="18" t="n">
        <v>12.59513249</v>
      </c>
      <c r="R74" s="20" t="n">
        <v>1.25675273</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(1843.0/B78*100)</f>
        <v/>
      </c>
      <c r="D78" s="19" t="n">
        <v>943</v>
      </c>
      <c r="E78" s="18" t="n">
        <v>24.42735992</v>
      </c>
      <c r="F78" s="20" t="n">
        <v>1.83158602</v>
      </c>
      <c r="G78" s="18" t="n">
        <v>75.49587509</v>
      </c>
      <c r="H78" s="20" t="n">
        <v>1.83435827</v>
      </c>
      <c r="I78" s="18" t="s">
        <v>567</v>
      </c>
      <c r="J78" s="20" t="s">
        <v>567</v>
      </c>
      <c r="K78" s="18" t="n">
        <v>0</v>
      </c>
      <c r="L78" s="20" t="n">
        <v>0</v>
      </c>
      <c r="M78" s="18" t="n">
        <v>0</v>
      </c>
      <c r="N78" s="20" t="n">
        <v>0</v>
      </c>
      <c r="O78" s="18" t="n">
        <v>0</v>
      </c>
      <c r="P78" s="20" t="n">
        <v>0</v>
      </c>
      <c r="Q78" s="18" t="n">
        <v>0.07676499000000001</v>
      </c>
      <c r="R78" s="20" t="n">
        <v>0.07671862</v>
      </c>
    </row>
    <row customHeight="1" ht="25" r="79" spans="1:18">
      <c r="A79" s="15" t="s">
        <v>639</v>
      </c>
      <c r="B79" s="17" t="n">
        <v>787</v>
      </c>
      <c r="C79" s="18">
        <f>(527.0/B79*100)</f>
        <v/>
      </c>
      <c r="D79" s="19" t="n">
        <v>260</v>
      </c>
      <c r="E79" s="18" t="n">
        <v>21.90367485</v>
      </c>
      <c r="F79" s="20" t="n">
        <v>2.63458789</v>
      </c>
      <c r="G79" s="18" t="n">
        <v>59.94239126</v>
      </c>
      <c r="H79" s="20" t="n">
        <v>3.32003832</v>
      </c>
      <c r="I79" s="18" t="s">
        <v>567</v>
      </c>
      <c r="J79" s="20" t="s">
        <v>567</v>
      </c>
      <c r="K79" s="18" t="n">
        <v>1.86613859</v>
      </c>
      <c r="L79" s="20" t="n">
        <v>0.67039014</v>
      </c>
      <c r="M79" s="18" t="n">
        <v>0</v>
      </c>
      <c r="N79" s="20" t="n">
        <v>0</v>
      </c>
      <c r="O79" s="18" t="n">
        <v>5.4812804</v>
      </c>
      <c r="P79" s="20" t="n">
        <v>2.00529969</v>
      </c>
      <c r="Q79" s="18" t="n">
        <v>10.8065149</v>
      </c>
      <c r="R79" s="20" t="n">
        <v>2.84132121</v>
      </c>
    </row>
    <row r="80" spans="1:18">
      <c r="A80" s="15" t="s">
        <v>640</v>
      </c>
      <c r="B80" s="17" t="n">
        <v>3798</v>
      </c>
      <c r="C80" s="18">
        <f>(2544.0/B80*100)</f>
        <v/>
      </c>
      <c r="D80" s="19" t="n">
        <v>1254</v>
      </c>
      <c r="E80" s="18" t="n">
        <v>51.03564862</v>
      </c>
      <c r="F80" s="20" t="n">
        <v>2.13678641</v>
      </c>
      <c r="G80" s="18" t="n">
        <v>48.5051112</v>
      </c>
      <c r="H80" s="20" t="n">
        <v>2.14950184</v>
      </c>
      <c r="I80" s="18" t="s">
        <v>567</v>
      </c>
      <c r="J80" s="20" t="s">
        <v>567</v>
      </c>
      <c r="K80" s="18" t="n">
        <v>0</v>
      </c>
      <c r="L80" s="20" t="n">
        <v>0</v>
      </c>
      <c r="M80" s="18" t="n">
        <v>0</v>
      </c>
      <c r="N80" s="20" t="n">
        <v>0</v>
      </c>
      <c r="O80" s="18" t="n">
        <v>0</v>
      </c>
      <c r="P80" s="20" t="n">
        <v>0</v>
      </c>
      <c r="Q80" s="18" t="n">
        <v>0.45924019</v>
      </c>
      <c r="R80" s="20" t="n">
        <v>0.18243219</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(1709.0/B44*100)</f>
        <v/>
      </c>
      <c r="D44" s="19" t="n">
        <v>815</v>
      </c>
      <c r="E44" s="18" t="n">
        <v>51.39593776</v>
      </c>
      <c r="F44" s="20" t="n">
        <v>2.38620581</v>
      </c>
      <c r="G44" s="18" t="n">
        <v>26.19388349</v>
      </c>
      <c r="H44" s="20" t="n">
        <v>1.98706443</v>
      </c>
      <c r="I44" s="18" t="s">
        <v>567</v>
      </c>
      <c r="J44" s="20" t="s">
        <v>567</v>
      </c>
      <c r="K44" s="18" t="n">
        <v>3.15987659</v>
      </c>
      <c r="L44" s="20" t="n">
        <v>0.65741428</v>
      </c>
      <c r="M44" s="18" t="n">
        <v>0</v>
      </c>
      <c r="N44" s="20" t="n">
        <v>0</v>
      </c>
      <c r="O44" s="18" t="n">
        <v>2.42296937</v>
      </c>
      <c r="P44" s="20" t="n">
        <v>0.71966553</v>
      </c>
      <c r="Q44" s="18" t="n">
        <v>16.82733279</v>
      </c>
      <c r="R44" s="20" t="n">
        <v>1.73349277</v>
      </c>
    </row>
    <row r="45" spans="1:18">
      <c r="A45" s="15" t="s">
        <v>605</v>
      </c>
      <c r="B45" s="17" t="n">
        <v>2849</v>
      </c>
      <c r="C45" s="18">
        <f>(1905.0/B45*100)</f>
        <v/>
      </c>
      <c r="D45" s="19" t="n">
        <v>944</v>
      </c>
      <c r="E45" s="18" t="n">
        <v>58.16536263</v>
      </c>
      <c r="F45" s="20" t="n">
        <v>1.92674725</v>
      </c>
      <c r="G45" s="18" t="n">
        <v>19.03157389</v>
      </c>
      <c r="H45" s="20" t="n">
        <v>1.65553452</v>
      </c>
      <c r="I45" s="18" t="s">
        <v>567</v>
      </c>
      <c r="J45" s="20" t="s">
        <v>567</v>
      </c>
      <c r="K45" s="18" t="n">
        <v>4.8091747</v>
      </c>
      <c r="L45" s="20" t="n">
        <v>0.91021222</v>
      </c>
      <c r="M45" s="18" t="n">
        <v>0.10048436</v>
      </c>
      <c r="N45" s="20" t="n">
        <v>0.12073474</v>
      </c>
      <c r="O45" s="18" t="n">
        <v>4.22061632</v>
      </c>
      <c r="P45" s="20" t="n">
        <v>1.00609759</v>
      </c>
      <c r="Q45" s="18" t="n">
        <v>13.6727881</v>
      </c>
      <c r="R45" s="20" t="n">
        <v>1.28621363</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(2008.0/B49*100)</f>
        <v/>
      </c>
      <c r="D49" s="19" t="n">
        <v>1010</v>
      </c>
      <c r="E49" s="18" t="n">
        <v>61.87544409</v>
      </c>
      <c r="F49" s="20" t="n">
        <v>2.26260389</v>
      </c>
      <c r="G49" s="18" t="n">
        <v>27.98805656</v>
      </c>
      <c r="H49" s="20" t="n">
        <v>1.77570109</v>
      </c>
      <c r="I49" s="18" t="s">
        <v>567</v>
      </c>
      <c r="J49" s="20" t="s">
        <v>567</v>
      </c>
      <c r="K49" s="18" t="n">
        <v>1.60426396</v>
      </c>
      <c r="L49" s="20" t="n">
        <v>0.657209</v>
      </c>
      <c r="M49" s="18" t="n">
        <v>0.14902409</v>
      </c>
      <c r="N49" s="20" t="n">
        <v>0.15624663</v>
      </c>
      <c r="O49" s="18" t="n">
        <v>0.76402381</v>
      </c>
      <c r="P49" s="20" t="n">
        <v>0.31176188</v>
      </c>
      <c r="Q49" s="18" t="n">
        <v>7.61918749</v>
      </c>
      <c r="R49" s="20" t="n">
        <v>0.97719869</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(1802.0/B55*100)</f>
        <v/>
      </c>
      <c r="D55" s="19" t="n">
        <v>957</v>
      </c>
      <c r="E55" s="18" t="n">
        <v>62.17122771</v>
      </c>
      <c r="F55" s="20" t="n">
        <v>1.93506883</v>
      </c>
      <c r="G55" s="18" t="n">
        <v>27.20150273</v>
      </c>
      <c r="H55" s="20" t="n">
        <v>1.67425608</v>
      </c>
      <c r="I55" s="18" t="s">
        <v>567</v>
      </c>
      <c r="J55" s="20" t="s">
        <v>567</v>
      </c>
      <c r="K55" s="18" t="n">
        <v>2.15646935</v>
      </c>
      <c r="L55" s="20" t="n">
        <v>0.51367778</v>
      </c>
      <c r="M55" s="18" t="n">
        <v>0</v>
      </c>
      <c r="N55" s="20" t="n">
        <v>0</v>
      </c>
      <c r="O55" s="18" t="n">
        <v>0.49106568</v>
      </c>
      <c r="P55" s="20" t="n">
        <v>0.26082737</v>
      </c>
      <c r="Q55" s="18" t="n">
        <v>7.97973453</v>
      </c>
      <c r="R55" s="20" t="n">
        <v>0.94319409</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(2128.0/B57*100)</f>
        <v/>
      </c>
      <c r="D57" s="19" t="n">
        <v>1042</v>
      </c>
      <c r="E57" s="18" t="n">
        <v>65.17785499999999</v>
      </c>
      <c r="F57" s="20" t="n">
        <v>1.81811315</v>
      </c>
      <c r="G57" s="18" t="n">
        <v>31.72211072</v>
      </c>
      <c r="H57" s="20" t="n">
        <v>1.72795339</v>
      </c>
      <c r="I57" s="18" t="s">
        <v>567</v>
      </c>
      <c r="J57" s="20" t="s">
        <v>567</v>
      </c>
      <c r="K57" s="18" t="n">
        <v>1.16057634</v>
      </c>
      <c r="L57" s="20" t="n">
        <v>0.35437952</v>
      </c>
      <c r="M57" s="18" t="n">
        <v>0.18287994</v>
      </c>
      <c r="N57" s="20" t="n">
        <v>0.12662534</v>
      </c>
      <c r="O57" s="18" t="n">
        <v>0</v>
      </c>
      <c r="P57" s="20" t="n">
        <v>0</v>
      </c>
      <c r="Q57" s="18" t="n">
        <v>1.756578</v>
      </c>
      <c r="R57" s="20" t="n">
        <v>0.45322513</v>
      </c>
    </row>
    <row r="58" spans="1:18">
      <c r="A58" s="15" t="s">
        <v>618</v>
      </c>
      <c r="B58" s="17" t="n">
        <v>3530</v>
      </c>
      <c r="C58" s="18">
        <f>(2358.0/B58*100)</f>
        <v/>
      </c>
      <c r="D58" s="19" t="n">
        <v>1172</v>
      </c>
      <c r="E58" s="18" t="n">
        <v>62.49566268</v>
      </c>
      <c r="F58" s="20" t="n">
        <v>1.53487523</v>
      </c>
      <c r="G58" s="18" t="n">
        <v>24.59099734</v>
      </c>
      <c r="H58" s="20" t="n">
        <v>1.50363445</v>
      </c>
      <c r="I58" s="18" t="s">
        <v>567</v>
      </c>
      <c r="J58" s="20" t="s">
        <v>567</v>
      </c>
      <c r="K58" s="18" t="n">
        <v>2.36855938</v>
      </c>
      <c r="L58" s="20" t="n">
        <v>0.72204202</v>
      </c>
      <c r="M58" s="18" t="n">
        <v>0</v>
      </c>
      <c r="N58" s="20" t="n">
        <v>0</v>
      </c>
      <c r="O58" s="18" t="n">
        <v>1.10450459</v>
      </c>
      <c r="P58" s="20" t="n">
        <v>0.29180316</v>
      </c>
      <c r="Q58" s="18" t="n">
        <v>9.44027601</v>
      </c>
      <c r="R58" s="20" t="n">
        <v>1.00601187</v>
      </c>
    </row>
    <row r="59" spans="1:18">
      <c r="A59" s="15" t="s">
        <v>619</v>
      </c>
      <c r="B59" s="17" t="n">
        <v>2548</v>
      </c>
      <c r="C59" s="18">
        <f>(1724.0/B59*100)</f>
        <v/>
      </c>
      <c r="D59" s="19" t="n">
        <v>824</v>
      </c>
      <c r="E59" s="18" t="n">
        <v>64.95471721</v>
      </c>
      <c r="F59" s="20" t="n">
        <v>1.98332624</v>
      </c>
      <c r="G59" s="18" t="n">
        <v>25.90877796</v>
      </c>
      <c r="H59" s="20" t="n">
        <v>1.74870095</v>
      </c>
      <c r="I59" s="18" t="s">
        <v>567</v>
      </c>
      <c r="J59" s="20" t="s">
        <v>567</v>
      </c>
      <c r="K59" s="18" t="n">
        <v>0.38561837</v>
      </c>
      <c r="L59" s="20" t="n">
        <v>0.20451362</v>
      </c>
      <c r="M59" s="18" t="n">
        <v>0</v>
      </c>
      <c r="N59" s="20" t="n">
        <v>0</v>
      </c>
      <c r="O59" s="18" t="n">
        <v>2.09204138</v>
      </c>
      <c r="P59" s="20" t="n">
        <v>0.59700327</v>
      </c>
      <c r="Q59" s="18" t="n">
        <v>6.65884508</v>
      </c>
      <c r="R59" s="20" t="n">
        <v>0.96922347</v>
      </c>
    </row>
    <row r="60" spans="1:18">
      <c r="A60" s="15" t="s">
        <v>620</v>
      </c>
      <c r="B60" s="17" t="n">
        <v>2095</v>
      </c>
      <c r="C60" s="18">
        <f>(1425.0/B60*100)</f>
        <v/>
      </c>
      <c r="D60" s="19" t="n">
        <v>670</v>
      </c>
      <c r="E60" s="18" t="n">
        <v>52.97614898</v>
      </c>
      <c r="F60" s="20" t="n">
        <v>2.49726561</v>
      </c>
      <c r="G60" s="18" t="n">
        <v>24.82870649</v>
      </c>
      <c r="H60" s="20" t="n">
        <v>2.1015924</v>
      </c>
      <c r="I60" s="18" t="s">
        <v>567</v>
      </c>
      <c r="J60" s="20" t="s">
        <v>567</v>
      </c>
      <c r="K60" s="18" t="n">
        <v>4.94192405</v>
      </c>
      <c r="L60" s="20" t="n">
        <v>1.00451164</v>
      </c>
      <c r="M60" s="18" t="n">
        <v>0</v>
      </c>
      <c r="N60" s="20" t="n">
        <v>0</v>
      </c>
      <c r="O60" s="18" t="n">
        <v>5.19236476</v>
      </c>
      <c r="P60" s="20" t="n">
        <v>0.8424682</v>
      </c>
      <c r="Q60" s="18" t="n">
        <v>12.06085572</v>
      </c>
      <c r="R60" s="20" t="n">
        <v>1.54277056</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(1871.0/B63*100)</f>
        <v/>
      </c>
      <c r="D63" s="19" t="n">
        <v>942</v>
      </c>
      <c r="E63" s="18" t="n">
        <v>54.94555289</v>
      </c>
      <c r="F63" s="20" t="n">
        <v>1.78164849</v>
      </c>
      <c r="G63" s="18" t="n">
        <v>30.11158353</v>
      </c>
      <c r="H63" s="20" t="n">
        <v>1.73051485</v>
      </c>
      <c r="I63" s="18" t="s">
        <v>567</v>
      </c>
      <c r="J63" s="20" t="s">
        <v>567</v>
      </c>
      <c r="K63" s="18" t="n">
        <v>2.12600254</v>
      </c>
      <c r="L63" s="20" t="n">
        <v>0.53105307</v>
      </c>
      <c r="M63" s="18" t="n">
        <v>0</v>
      </c>
      <c r="N63" s="20" t="n">
        <v>0</v>
      </c>
      <c r="O63" s="18" t="n">
        <v>0.5532851</v>
      </c>
      <c r="P63" s="20" t="n">
        <v>0.24230117</v>
      </c>
      <c r="Q63" s="18" t="n">
        <v>12.26357593</v>
      </c>
      <c r="R63" s="20" t="n">
        <v>1.15490576</v>
      </c>
    </row>
    <row r="64" spans="1:18">
      <c r="A64" s="15" t="s">
        <v>624</v>
      </c>
      <c r="B64" s="17" t="n">
        <v>1844</v>
      </c>
      <c r="C64" s="18">
        <f>(1243.0/B64*100)</f>
        <v/>
      </c>
      <c r="D64" s="19" t="n">
        <v>601</v>
      </c>
      <c r="E64" s="18" t="n">
        <v>49.89048686</v>
      </c>
      <c r="F64" s="20" t="n">
        <v>2.08716695</v>
      </c>
      <c r="G64" s="18" t="n">
        <v>35.50076138</v>
      </c>
      <c r="H64" s="20" t="n">
        <v>2.00170642</v>
      </c>
      <c r="I64" s="18" t="s">
        <v>567</v>
      </c>
      <c r="J64" s="20" t="s">
        <v>567</v>
      </c>
      <c r="K64" s="18" t="n">
        <v>4.22490664</v>
      </c>
      <c r="L64" s="20" t="n">
        <v>0.78620664</v>
      </c>
      <c r="M64" s="18" t="n">
        <v>0</v>
      </c>
      <c r="N64" s="20" t="n">
        <v>0</v>
      </c>
      <c r="O64" s="18" t="n">
        <v>2.26389433</v>
      </c>
      <c r="P64" s="20" t="n">
        <v>0.5957397</v>
      </c>
      <c r="Q64" s="18" t="n">
        <v>8.1199508</v>
      </c>
      <c r="R64" s="20" t="n">
        <v>1.15666476</v>
      </c>
    </row>
    <row r="65" spans="1:18">
      <c r="A65" s="15" t="s">
        <v>625</v>
      </c>
      <c r="B65" s="17" t="n">
        <v>2691</v>
      </c>
      <c r="C65" s="18">
        <f>(1801.0/B65*100)</f>
        <v/>
      </c>
      <c r="D65" s="19" t="n">
        <v>890</v>
      </c>
      <c r="E65" s="18" t="n">
        <v>54.91920226</v>
      </c>
      <c r="F65" s="20" t="n">
        <v>1.69726771</v>
      </c>
      <c r="G65" s="18" t="n">
        <v>25.7121726</v>
      </c>
      <c r="H65" s="20" t="n">
        <v>1.56969468</v>
      </c>
      <c r="I65" s="18" t="s">
        <v>567</v>
      </c>
      <c r="J65" s="20" t="s">
        <v>567</v>
      </c>
      <c r="K65" s="18" t="n">
        <v>5.42238519</v>
      </c>
      <c r="L65" s="20" t="n">
        <v>0.91450832</v>
      </c>
      <c r="M65" s="18" t="n">
        <v>2.99436243</v>
      </c>
      <c r="N65" s="20" t="n">
        <v>0.69049419</v>
      </c>
      <c r="O65" s="18" t="n">
        <v>0.11250719</v>
      </c>
      <c r="P65" s="20" t="n">
        <v>0.11220506</v>
      </c>
      <c r="Q65" s="18" t="n">
        <v>10.83937032</v>
      </c>
      <c r="R65" s="20" t="n">
        <v>1.06162236</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(1606.0/B69*100)</f>
        <v/>
      </c>
      <c r="D69" s="19" t="n">
        <v>804</v>
      </c>
      <c r="E69" s="18" t="n">
        <v>67.73986755999999</v>
      </c>
      <c r="F69" s="20" t="n">
        <v>1.97816682</v>
      </c>
      <c r="G69" s="18" t="n">
        <v>32.16105551</v>
      </c>
      <c r="H69" s="20" t="n">
        <v>1.98664056</v>
      </c>
      <c r="I69" s="18" t="s">
        <v>567</v>
      </c>
      <c r="J69" s="20" t="s">
        <v>567</v>
      </c>
      <c r="K69" s="18" t="n">
        <v>0</v>
      </c>
      <c r="L69" s="20" t="n">
        <v>0</v>
      </c>
      <c r="M69" s="18" t="n">
        <v>0</v>
      </c>
      <c r="N69" s="20" t="n">
        <v>0</v>
      </c>
      <c r="O69" s="18" t="n">
        <v>0</v>
      </c>
      <c r="P69" s="20" t="n">
        <v>0</v>
      </c>
      <c r="Q69" s="18" t="n">
        <v>0.09907692999999999</v>
      </c>
      <c r="R69" s="20" t="n">
        <v>0.09880322</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53.84478231</v>
      </c>
      <c r="F74" s="20" t="n">
        <v>2.1386285</v>
      </c>
      <c r="G74" s="18" t="n">
        <v>25.25962609</v>
      </c>
      <c r="H74" s="20" t="n">
        <v>2.0280408</v>
      </c>
      <c r="I74" s="18" t="s">
        <v>567</v>
      </c>
      <c r="J74" s="20" t="s">
        <v>567</v>
      </c>
      <c r="K74" s="18" t="n">
        <v>8.409064170000001</v>
      </c>
      <c r="L74" s="20" t="n">
        <v>1.26507644</v>
      </c>
      <c r="M74" s="18" t="n">
        <v>0</v>
      </c>
      <c r="N74" s="20" t="n">
        <v>0</v>
      </c>
      <c r="O74" s="18" t="n">
        <v>0</v>
      </c>
      <c r="P74" s="20" t="n">
        <v>0</v>
      </c>
      <c r="Q74" s="18" t="n">
        <v>12.48652742</v>
      </c>
      <c r="R74" s="20" t="n">
        <v>1.06586571</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(1843.0/B78*100)</f>
        <v/>
      </c>
      <c r="D78" s="19" t="n">
        <v>943</v>
      </c>
      <c r="E78" s="18" t="n">
        <v>46.64482086</v>
      </c>
      <c r="F78" s="20" t="n">
        <v>2.01855199</v>
      </c>
      <c r="G78" s="18" t="n">
        <v>53.35517914</v>
      </c>
      <c r="H78" s="20" t="n">
        <v>2.01855199</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(527.0/B79*100)</f>
        <v/>
      </c>
      <c r="D79" s="19" t="n">
        <v>260</v>
      </c>
      <c r="E79" s="18" t="n">
        <v>60.75767941</v>
      </c>
      <c r="F79" s="20" t="n">
        <v>4.18041693</v>
      </c>
      <c r="G79" s="18" t="n">
        <v>26.16867106</v>
      </c>
      <c r="H79" s="20" t="n">
        <v>2.73839154</v>
      </c>
      <c r="I79" s="18" t="s">
        <v>567</v>
      </c>
      <c r="J79" s="20" t="s">
        <v>567</v>
      </c>
      <c r="K79" s="18" t="n">
        <v>2.24786912</v>
      </c>
      <c r="L79" s="20" t="n">
        <v>0.75168989</v>
      </c>
      <c r="M79" s="18" t="n">
        <v>0</v>
      </c>
      <c r="N79" s="20" t="n">
        <v>0</v>
      </c>
      <c r="O79" s="18" t="n">
        <v>0.43816387</v>
      </c>
      <c r="P79" s="20" t="n">
        <v>0.40370604</v>
      </c>
      <c r="Q79" s="18" t="n">
        <v>10.38761655</v>
      </c>
      <c r="R79" s="20" t="n">
        <v>2.95842142</v>
      </c>
    </row>
    <row r="80" spans="1:18">
      <c r="A80" s="15" t="s">
        <v>640</v>
      </c>
      <c r="B80" s="17" t="n">
        <v>3798</v>
      </c>
      <c r="C80" s="18">
        <f>(2544.0/B80*100)</f>
        <v/>
      </c>
      <c r="D80" s="19" t="n">
        <v>1254</v>
      </c>
      <c r="E80" s="18" t="n">
        <v>57.52434216</v>
      </c>
      <c r="F80" s="20" t="n">
        <v>2.1804127</v>
      </c>
      <c r="G80" s="18" t="n">
        <v>41.21008108</v>
      </c>
      <c r="H80" s="20" t="n">
        <v>2.18730615</v>
      </c>
      <c r="I80" s="18" t="s">
        <v>567</v>
      </c>
      <c r="J80" s="20" t="s">
        <v>567</v>
      </c>
      <c r="K80" s="18" t="n">
        <v>0</v>
      </c>
      <c r="L80" s="20" t="n">
        <v>0</v>
      </c>
      <c r="M80" s="18" t="n">
        <v>0</v>
      </c>
      <c r="N80" s="20" t="n">
        <v>0</v>
      </c>
      <c r="O80" s="18" t="n">
        <v>0</v>
      </c>
      <c r="P80" s="20" t="n">
        <v>0</v>
      </c>
      <c r="Q80" s="18" t="n">
        <v>1.26557676</v>
      </c>
      <c r="R80" s="20" t="n">
        <v>0.42051025</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5.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549</v>
      </c>
    </row>
    <row r="2" spans="1:26">
      <c r="A2" s="5" t="s">
        <v>893</v>
      </c>
    </row>
    <row customHeight="1" ht="30" r="4" spans="1:26">
      <c r="A4" s="6" t="n"/>
      <c r="B4" s="7" t="s">
        <v>551</v>
      </c>
      <c r="C4" s="7" t="s">
        <v>552</v>
      </c>
      <c r="D4" s="8" t="s">
        <v>551</v>
      </c>
      <c r="E4" s="9" t="s">
        <v>657</v>
      </c>
      <c r="F4" s="10" t="n"/>
      <c r="G4" s="9" t="s">
        <v>658</v>
      </c>
      <c r="H4" s="10" t="n"/>
      <c r="I4" s="9" t="s">
        <v>703</v>
      </c>
      <c r="J4" s="10" t="n"/>
      <c r="K4" s="9" t="s">
        <v>855</v>
      </c>
      <c r="L4" s="10" t="n"/>
      <c r="M4" s="9" t="s">
        <v>659</v>
      </c>
      <c r="N4" s="10" t="n"/>
      <c r="O4" s="9" t="s">
        <v>660</v>
      </c>
      <c r="P4" s="10" t="n"/>
      <c r="Q4" s="9" t="s">
        <v>555</v>
      </c>
      <c r="R4" s="10" t="n"/>
      <c r="S4" s="9" t="s">
        <v>556</v>
      </c>
      <c r="T4" s="10" t="n"/>
      <c r="U4" s="9" t="s">
        <v>557</v>
      </c>
      <c r="V4" s="10" t="n"/>
      <c r="W4" s="9" t="s">
        <v>558</v>
      </c>
      <c r="X4" s="10" t="n"/>
      <c r="Y4" s="9" t="s">
        <v>559</v>
      </c>
      <c r="Z4" s="10" t="n"/>
    </row>
    <row r="5" spans="1:26">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c r="W5" s="12" t="s">
        <v>563</v>
      </c>
      <c r="X5" s="11" t="s">
        <v>564</v>
      </c>
      <c r="Y5" s="12" t="s">
        <v>563</v>
      </c>
      <c r="Z5" s="11" t="s">
        <v>564</v>
      </c>
    </row>
    <row r="6" spans="1:26">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c r="U7" s="18" t="s">
        <v>567</v>
      </c>
      <c r="V7" s="20" t="s">
        <v>567</v>
      </c>
      <c r="W7" s="18" t="s">
        <v>567</v>
      </c>
      <c r="X7" s="20" t="s">
        <v>567</v>
      </c>
      <c r="Y7" s="18" t="s">
        <v>567</v>
      </c>
      <c r="Z7" s="20" t="s">
        <v>567</v>
      </c>
    </row>
    <row r="8" spans="1:26">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c r="U8" s="18" t="s">
        <v>567</v>
      </c>
      <c r="V8" s="20" t="s">
        <v>567</v>
      </c>
      <c r="W8" s="18" t="s">
        <v>567</v>
      </c>
      <c r="X8" s="20" t="s">
        <v>567</v>
      </c>
      <c r="Y8" s="18" t="s">
        <v>567</v>
      </c>
      <c r="Z8" s="20" t="s">
        <v>567</v>
      </c>
    </row>
    <row r="9" spans="1:26">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c r="U9" s="18" t="s">
        <v>567</v>
      </c>
      <c r="V9" s="20" t="s">
        <v>567</v>
      </c>
      <c r="W9" s="18" t="s">
        <v>567</v>
      </c>
      <c r="X9" s="20" t="s">
        <v>567</v>
      </c>
      <c r="Y9" s="18" t="s">
        <v>567</v>
      </c>
      <c r="Z9" s="20" t="s">
        <v>567</v>
      </c>
    </row>
    <row r="10" spans="1:26">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c r="U10" s="18" t="s">
        <v>567</v>
      </c>
      <c r="V10" s="20" t="s">
        <v>567</v>
      </c>
      <c r="W10" s="18" t="s">
        <v>567</v>
      </c>
      <c r="X10" s="20" t="s">
        <v>567</v>
      </c>
      <c r="Y10" s="18" t="s">
        <v>567</v>
      </c>
      <c r="Z10" s="20" t="s">
        <v>567</v>
      </c>
    </row>
    <row r="11" spans="1:26">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c r="U11" s="18" t="s">
        <v>567</v>
      </c>
      <c r="V11" s="20" t="s">
        <v>567</v>
      </c>
      <c r="W11" s="18" t="s">
        <v>567</v>
      </c>
      <c r="X11" s="20" t="s">
        <v>567</v>
      </c>
      <c r="Y11" s="18" t="s">
        <v>567</v>
      </c>
      <c r="Z11" s="20" t="s">
        <v>567</v>
      </c>
    </row>
    <row r="12" spans="1:26">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c r="U12" s="18" t="s">
        <v>567</v>
      </c>
      <c r="V12" s="20" t="s">
        <v>567</v>
      </c>
      <c r="W12" s="18" t="s">
        <v>567</v>
      </c>
      <c r="X12" s="20" t="s">
        <v>567</v>
      </c>
      <c r="Y12" s="18" t="s">
        <v>567</v>
      </c>
      <c r="Z12" s="20" t="s">
        <v>567</v>
      </c>
    </row>
    <row r="13" spans="1:26">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c r="U13" s="18" t="s">
        <v>567</v>
      </c>
      <c r="V13" s="20" t="s">
        <v>567</v>
      </c>
      <c r="W13" s="18" t="s">
        <v>567</v>
      </c>
      <c r="X13" s="20" t="s">
        <v>567</v>
      </c>
      <c r="Y13" s="18" t="s">
        <v>567</v>
      </c>
      <c r="Z13" s="20" t="s">
        <v>567</v>
      </c>
    </row>
    <row r="14" spans="1:26">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c r="U14" s="18" t="s">
        <v>567</v>
      </c>
      <c r="V14" s="20" t="s">
        <v>567</v>
      </c>
      <c r="W14" s="18" t="s">
        <v>567</v>
      </c>
      <c r="X14" s="20" t="s">
        <v>567</v>
      </c>
      <c r="Y14" s="18" t="s">
        <v>567</v>
      </c>
      <c r="Z14" s="20" t="s">
        <v>567</v>
      </c>
    </row>
    <row r="15" spans="1:26">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c r="U15" s="18" t="s">
        <v>567</v>
      </c>
      <c r="V15" s="20" t="s">
        <v>567</v>
      </c>
      <c r="W15" s="18" t="s">
        <v>567</v>
      </c>
      <c r="X15" s="20" t="s">
        <v>567</v>
      </c>
      <c r="Y15" s="18" t="s">
        <v>567</v>
      </c>
      <c r="Z15" s="20" t="s">
        <v>567</v>
      </c>
    </row>
    <row r="16" spans="1:26">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c r="U16" s="18" t="s">
        <v>567</v>
      </c>
      <c r="V16" s="20" t="s">
        <v>567</v>
      </c>
      <c r="W16" s="18" t="s">
        <v>567</v>
      </c>
      <c r="X16" s="20" t="s">
        <v>567</v>
      </c>
      <c r="Y16" s="18" t="s">
        <v>567</v>
      </c>
      <c r="Z16" s="20" t="s">
        <v>567</v>
      </c>
    </row>
    <row r="17" spans="1:26">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c r="U17" s="18" t="s">
        <v>567</v>
      </c>
      <c r="V17" s="20" t="s">
        <v>567</v>
      </c>
      <c r="W17" s="18" t="s">
        <v>567</v>
      </c>
      <c r="X17" s="20" t="s">
        <v>567</v>
      </c>
      <c r="Y17" s="18" t="s">
        <v>567</v>
      </c>
      <c r="Z17" s="20" t="s">
        <v>567</v>
      </c>
    </row>
    <row r="18" spans="1:26">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c r="U18" s="18" t="s">
        <v>567</v>
      </c>
      <c r="V18" s="20" t="s">
        <v>567</v>
      </c>
      <c r="W18" s="18" t="s">
        <v>567</v>
      </c>
      <c r="X18" s="20" t="s">
        <v>567</v>
      </c>
      <c r="Y18" s="18" t="s">
        <v>567</v>
      </c>
      <c r="Z18" s="20" t="s">
        <v>567</v>
      </c>
    </row>
    <row r="19" spans="1:26">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c r="U19" s="18" t="s">
        <v>567</v>
      </c>
      <c r="V19" s="20" t="s">
        <v>567</v>
      </c>
      <c r="W19" s="18" t="s">
        <v>567</v>
      </c>
      <c r="X19" s="20" t="s">
        <v>567</v>
      </c>
      <c r="Y19" s="18" t="s">
        <v>567</v>
      </c>
      <c r="Z19" s="20" t="s">
        <v>567</v>
      </c>
    </row>
    <row r="20" spans="1:26">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c r="U20" s="18" t="s">
        <v>567</v>
      </c>
      <c r="V20" s="20" t="s">
        <v>567</v>
      </c>
      <c r="W20" s="18" t="s">
        <v>567</v>
      </c>
      <c r="X20" s="20" t="s">
        <v>567</v>
      </c>
      <c r="Y20" s="18" t="s">
        <v>567</v>
      </c>
      <c r="Z20" s="20" t="s">
        <v>567</v>
      </c>
    </row>
    <row r="21" spans="1:26">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c r="U21" s="18" t="s">
        <v>567</v>
      </c>
      <c r="V21" s="20" t="s">
        <v>567</v>
      </c>
      <c r="W21" s="18" t="s">
        <v>567</v>
      </c>
      <c r="X21" s="20" t="s">
        <v>567</v>
      </c>
      <c r="Y21" s="18" t="s">
        <v>567</v>
      </c>
      <c r="Z21" s="20" t="s">
        <v>567</v>
      </c>
    </row>
    <row r="22" spans="1:26">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c r="U22" s="18" t="s">
        <v>567</v>
      </c>
      <c r="V22" s="20" t="s">
        <v>567</v>
      </c>
      <c r="W22" s="18" t="s">
        <v>567</v>
      </c>
      <c r="X22" s="20" t="s">
        <v>567</v>
      </c>
      <c r="Y22" s="18" t="s">
        <v>567</v>
      </c>
      <c r="Z22" s="20" t="s">
        <v>567</v>
      </c>
    </row>
    <row r="23" spans="1:26">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c r="U23" s="18" t="s">
        <v>567</v>
      </c>
      <c r="V23" s="20" t="s">
        <v>567</v>
      </c>
      <c r="W23" s="18" t="s">
        <v>567</v>
      </c>
      <c r="X23" s="20" t="s">
        <v>567</v>
      </c>
      <c r="Y23" s="18" t="s">
        <v>567</v>
      </c>
      <c r="Z23" s="20" t="s">
        <v>567</v>
      </c>
    </row>
    <row r="24" spans="1:26">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c r="U24" s="18" t="s">
        <v>567</v>
      </c>
      <c r="V24" s="20" t="s">
        <v>567</v>
      </c>
      <c r="W24" s="18" t="s">
        <v>567</v>
      </c>
      <c r="X24" s="20" t="s">
        <v>567</v>
      </c>
      <c r="Y24" s="18" t="s">
        <v>567</v>
      </c>
      <c r="Z24" s="20" t="s">
        <v>567</v>
      </c>
    </row>
    <row r="25" spans="1:26">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c r="U25" s="18" t="s">
        <v>567</v>
      </c>
      <c r="V25" s="20" t="s">
        <v>567</v>
      </c>
      <c r="W25" s="18" t="s">
        <v>567</v>
      </c>
      <c r="X25" s="20" t="s">
        <v>567</v>
      </c>
      <c r="Y25" s="18" t="s">
        <v>567</v>
      </c>
      <c r="Z25" s="20" t="s">
        <v>567</v>
      </c>
    </row>
    <row r="26" spans="1:26">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c r="U26" s="18" t="s">
        <v>567</v>
      </c>
      <c r="V26" s="20" t="s">
        <v>567</v>
      </c>
      <c r="W26" s="18" t="s">
        <v>567</v>
      </c>
      <c r="X26" s="20" t="s">
        <v>567</v>
      </c>
      <c r="Y26" s="18" t="s">
        <v>567</v>
      </c>
      <c r="Z26" s="20" t="s">
        <v>567</v>
      </c>
    </row>
    <row r="27" spans="1:26">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c r="U27" s="18" t="s">
        <v>567</v>
      </c>
      <c r="V27" s="20" t="s">
        <v>567</v>
      </c>
      <c r="W27" s="18" t="s">
        <v>567</v>
      </c>
      <c r="X27" s="20" t="s">
        <v>567</v>
      </c>
      <c r="Y27" s="18" t="s">
        <v>567</v>
      </c>
      <c r="Z27" s="20" t="s">
        <v>567</v>
      </c>
    </row>
    <row r="28" spans="1:26">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c r="U28" s="18" t="s">
        <v>567</v>
      </c>
      <c r="V28" s="20" t="s">
        <v>567</v>
      </c>
      <c r="W28" s="18" t="s">
        <v>567</v>
      </c>
      <c r="X28" s="20" t="s">
        <v>567</v>
      </c>
      <c r="Y28" s="18" t="s">
        <v>567</v>
      </c>
      <c r="Z28" s="20" t="s">
        <v>567</v>
      </c>
    </row>
    <row r="29" spans="1:26">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c r="U29" s="18" t="s">
        <v>567</v>
      </c>
      <c r="V29" s="20" t="s">
        <v>567</v>
      </c>
      <c r="W29" s="18" t="s">
        <v>567</v>
      </c>
      <c r="X29" s="20" t="s">
        <v>567</v>
      </c>
      <c r="Y29" s="18" t="s">
        <v>567</v>
      </c>
      <c r="Z29" s="20" t="s">
        <v>567</v>
      </c>
    </row>
    <row r="30" spans="1:26">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c r="U30" s="18" t="s">
        <v>567</v>
      </c>
      <c r="V30" s="20" t="s">
        <v>567</v>
      </c>
      <c r="W30" s="18" t="s">
        <v>567</v>
      </c>
      <c r="X30" s="20" t="s">
        <v>567</v>
      </c>
      <c r="Y30" s="18" t="s">
        <v>567</v>
      </c>
      <c r="Z30" s="20" t="s">
        <v>567</v>
      </c>
    </row>
    <row r="31" spans="1:26">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c r="U31" s="18" t="s">
        <v>567</v>
      </c>
      <c r="V31" s="20" t="s">
        <v>567</v>
      </c>
      <c r="W31" s="18" t="s">
        <v>567</v>
      </c>
      <c r="X31" s="20" t="s">
        <v>567</v>
      </c>
      <c r="Y31" s="18" t="s">
        <v>567</v>
      </c>
      <c r="Z31" s="20" t="s">
        <v>567</v>
      </c>
    </row>
    <row r="32" spans="1:26">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c r="U32" s="18" t="s">
        <v>567</v>
      </c>
      <c r="V32" s="20" t="s">
        <v>567</v>
      </c>
      <c r="W32" s="18" t="s">
        <v>567</v>
      </c>
      <c r="X32" s="20" t="s">
        <v>567</v>
      </c>
      <c r="Y32" s="18" t="s">
        <v>567</v>
      </c>
      <c r="Z32" s="20" t="s">
        <v>567</v>
      </c>
    </row>
    <row r="33" spans="1:26">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c r="U33" s="18" t="s">
        <v>567</v>
      </c>
      <c r="V33" s="20" t="s">
        <v>567</v>
      </c>
      <c r="W33" s="18" t="s">
        <v>567</v>
      </c>
      <c r="X33" s="20" t="s">
        <v>567</v>
      </c>
      <c r="Y33" s="18" t="s">
        <v>567</v>
      </c>
      <c r="Z33" s="20" t="s">
        <v>567</v>
      </c>
    </row>
    <row r="34" spans="1:26">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c r="U34" s="18" t="s">
        <v>567</v>
      </c>
      <c r="V34" s="20" t="s">
        <v>567</v>
      </c>
      <c r="W34" s="18" t="s">
        <v>567</v>
      </c>
      <c r="X34" s="20" t="s">
        <v>567</v>
      </c>
      <c r="Y34" s="18" t="s">
        <v>567</v>
      </c>
      <c r="Z34" s="20" t="s">
        <v>567</v>
      </c>
    </row>
    <row r="35" spans="1:26">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c r="U35" s="18" t="s">
        <v>567</v>
      </c>
      <c r="V35" s="20" t="s">
        <v>567</v>
      </c>
      <c r="W35" s="18" t="s">
        <v>567</v>
      </c>
      <c r="X35" s="20" t="s">
        <v>567</v>
      </c>
      <c r="Y35" s="18" t="s">
        <v>567</v>
      </c>
      <c r="Z35" s="20" t="s">
        <v>567</v>
      </c>
    </row>
    <row r="36" spans="1:26">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c r="U36" s="18" t="s">
        <v>567</v>
      </c>
      <c r="V36" s="20" t="s">
        <v>567</v>
      </c>
      <c r="W36" s="18" t="s">
        <v>567</v>
      </c>
      <c r="X36" s="20" t="s">
        <v>567</v>
      </c>
      <c r="Y36" s="18" t="s">
        <v>567</v>
      </c>
      <c r="Z36" s="20" t="s">
        <v>567</v>
      </c>
    </row>
    <row r="37" spans="1:26">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c r="U37" s="18" t="s">
        <v>567</v>
      </c>
      <c r="V37" s="20" t="s">
        <v>567</v>
      </c>
      <c r="W37" s="18" t="s">
        <v>567</v>
      </c>
      <c r="X37" s="20" t="s">
        <v>567</v>
      </c>
      <c r="Y37" s="18" t="s">
        <v>567</v>
      </c>
      <c r="Z37" s="20" t="s">
        <v>567</v>
      </c>
    </row>
    <row r="38" spans="1:26">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c r="U38" s="18" t="s">
        <v>567</v>
      </c>
      <c r="V38" s="20" t="s">
        <v>567</v>
      </c>
      <c r="W38" s="18" t="s">
        <v>567</v>
      </c>
      <c r="X38" s="20" t="s">
        <v>567</v>
      </c>
      <c r="Y38" s="18" t="s">
        <v>567</v>
      </c>
      <c r="Z38" s="20" t="s">
        <v>567</v>
      </c>
    </row>
    <row r="39" spans="1:26">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c r="U39" s="18" t="s">
        <v>567</v>
      </c>
      <c r="V39" s="20" t="s">
        <v>567</v>
      </c>
      <c r="W39" s="18" t="s">
        <v>567</v>
      </c>
      <c r="X39" s="20" t="s">
        <v>567</v>
      </c>
      <c r="Y39" s="18" t="s">
        <v>567</v>
      </c>
      <c r="Z39" s="20" t="s">
        <v>567</v>
      </c>
    </row>
    <row r="40" spans="1:26">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c r="U40" s="18" t="s">
        <v>567</v>
      </c>
      <c r="V40" s="20" t="s">
        <v>567</v>
      </c>
      <c r="W40" s="18" t="s">
        <v>567</v>
      </c>
      <c r="X40" s="20" t="s">
        <v>567</v>
      </c>
      <c r="Y40" s="18" t="s">
        <v>567</v>
      </c>
      <c r="Z40" s="20" t="s">
        <v>567</v>
      </c>
    </row>
    <row r="41" spans="1:26">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c r="U41" s="18" t="s">
        <v>567</v>
      </c>
      <c r="V41" s="20" t="s">
        <v>567</v>
      </c>
      <c r="W41" s="18" t="s">
        <v>567</v>
      </c>
      <c r="X41" s="20" t="s">
        <v>567</v>
      </c>
      <c r="Y41" s="18" t="s">
        <v>567</v>
      </c>
      <c r="Z41" s="20" t="s">
        <v>567</v>
      </c>
    </row>
    <row r="42" spans="1:26">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604</v>
      </c>
      <c r="B44" s="17" t="n">
        <v>2524</v>
      </c>
      <c r="C44" s="18">
        <f>(1709.0/B44*100)</f>
        <v/>
      </c>
      <c r="D44" s="19" t="n">
        <v>815</v>
      </c>
      <c r="E44" s="18" t="n">
        <v>13.58155367</v>
      </c>
      <c r="F44" s="20" t="n">
        <v>1.62512297</v>
      </c>
      <c r="G44" s="18" t="n">
        <v>3.90730712</v>
      </c>
      <c r="H44" s="20" t="n">
        <v>0.82573672</v>
      </c>
      <c r="I44" s="18" t="n">
        <v>12.92246735</v>
      </c>
      <c r="J44" s="20" t="n">
        <v>1.61065189</v>
      </c>
      <c r="K44" s="18" t="n">
        <v>0</v>
      </c>
      <c r="L44" s="20" t="n">
        <v>0</v>
      </c>
      <c r="M44" s="18" t="n">
        <v>10.65241296</v>
      </c>
      <c r="N44" s="20" t="n">
        <v>1.14415072</v>
      </c>
      <c r="O44" s="18" t="n">
        <v>14.06190012</v>
      </c>
      <c r="P44" s="20" t="n">
        <v>1.46766933</v>
      </c>
      <c r="Q44" s="18" t="s">
        <v>567</v>
      </c>
      <c r="R44" s="20" t="s">
        <v>567</v>
      </c>
      <c r="S44" s="18" t="n">
        <v>3.38129999</v>
      </c>
      <c r="T44" s="20" t="n">
        <v>0.66142542</v>
      </c>
      <c r="U44" s="18" t="n">
        <v>0</v>
      </c>
      <c r="V44" s="20" t="n">
        <v>0</v>
      </c>
      <c r="W44" s="18" t="n">
        <v>0</v>
      </c>
      <c r="X44" s="20" t="n">
        <v>0</v>
      </c>
      <c r="Y44" s="18" t="n">
        <v>41.4930588</v>
      </c>
      <c r="Z44" s="20" t="n">
        <v>2.42249445</v>
      </c>
    </row>
    <row r="45" spans="1:26">
      <c r="A45" s="15" t="s">
        <v>605</v>
      </c>
      <c r="B45" s="17" t="n">
        <v>2849</v>
      </c>
      <c r="C45" s="18">
        <f>(1905.0/B45*100)</f>
        <v/>
      </c>
      <c r="D45" s="19" t="n">
        <v>944</v>
      </c>
      <c r="E45" s="18" t="n">
        <v>10.43700747</v>
      </c>
      <c r="F45" s="20" t="n">
        <v>0.87691507</v>
      </c>
      <c r="G45" s="18" t="n">
        <v>7.86993191</v>
      </c>
      <c r="H45" s="20" t="n">
        <v>0.84932984</v>
      </c>
      <c r="I45" s="18" t="n">
        <v>25.10602555</v>
      </c>
      <c r="J45" s="20" t="n">
        <v>1.52612865</v>
      </c>
      <c r="K45" s="18" t="n">
        <v>0</v>
      </c>
      <c r="L45" s="20" t="n">
        <v>0</v>
      </c>
      <c r="M45" s="18" t="n">
        <v>3.51897296</v>
      </c>
      <c r="N45" s="20" t="n">
        <v>0.64023467</v>
      </c>
      <c r="O45" s="18" t="n">
        <v>19.57915299</v>
      </c>
      <c r="P45" s="20" t="n">
        <v>1.49563334</v>
      </c>
      <c r="Q45" s="18" t="s">
        <v>567</v>
      </c>
      <c r="R45" s="20" t="s">
        <v>567</v>
      </c>
      <c r="S45" s="18" t="n">
        <v>4.92342861</v>
      </c>
      <c r="T45" s="20" t="n">
        <v>0.9174278300000001</v>
      </c>
      <c r="U45" s="18" t="n">
        <v>0.18754963</v>
      </c>
      <c r="V45" s="20" t="n">
        <v>0.18154204</v>
      </c>
      <c r="W45" s="18" t="n">
        <v>0</v>
      </c>
      <c r="X45" s="20" t="n">
        <v>0</v>
      </c>
      <c r="Y45" s="18" t="n">
        <v>28.37793086</v>
      </c>
      <c r="Z45" s="20" t="n">
        <v>1.82568898</v>
      </c>
    </row>
    <row r="46" spans="1:26">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c r="U46" s="18" t="s">
        <v>567</v>
      </c>
      <c r="V46" s="20" t="s">
        <v>567</v>
      </c>
      <c r="W46" s="18" t="s">
        <v>567</v>
      </c>
      <c r="X46" s="20" t="s">
        <v>567</v>
      </c>
      <c r="Y46" s="18" t="s">
        <v>567</v>
      </c>
      <c r="Z46" s="20" t="s">
        <v>567</v>
      </c>
    </row>
    <row r="47" spans="1:26">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c r="U47" s="18" t="s">
        <v>567</v>
      </c>
      <c r="V47" s="20" t="s">
        <v>567</v>
      </c>
      <c r="W47" s="18" t="s">
        <v>567</v>
      </c>
      <c r="X47" s="20" t="s">
        <v>567</v>
      </c>
      <c r="Y47" s="18" t="s">
        <v>567</v>
      </c>
      <c r="Z47" s="20" t="s">
        <v>567</v>
      </c>
    </row>
    <row r="48" spans="1:26">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c r="U48" s="18" t="s">
        <v>567</v>
      </c>
      <c r="V48" s="20" t="s">
        <v>567</v>
      </c>
      <c r="W48" s="18" t="s">
        <v>567</v>
      </c>
      <c r="X48" s="20" t="s">
        <v>567</v>
      </c>
      <c r="Y48" s="18" t="s">
        <v>567</v>
      </c>
      <c r="Z48" s="20" t="s">
        <v>567</v>
      </c>
    </row>
    <row r="49" spans="1:26">
      <c r="A49" s="15" t="s">
        <v>609</v>
      </c>
      <c r="B49" s="17" t="n">
        <v>3018</v>
      </c>
      <c r="C49" s="18">
        <f>(2008.0/B49*100)</f>
        <v/>
      </c>
      <c r="D49" s="19" t="n">
        <v>1010</v>
      </c>
      <c r="E49" s="18" t="n">
        <v>17.49898449</v>
      </c>
      <c r="F49" s="20" t="n">
        <v>1.89169535</v>
      </c>
      <c r="G49" s="18" t="n">
        <v>18.46180959</v>
      </c>
      <c r="H49" s="20" t="n">
        <v>1.3668834</v>
      </c>
      <c r="I49" s="18" t="n">
        <v>11.60331343</v>
      </c>
      <c r="J49" s="20" t="n">
        <v>1.09706705</v>
      </c>
      <c r="K49" s="18" t="n">
        <v>0</v>
      </c>
      <c r="L49" s="20" t="n">
        <v>0</v>
      </c>
      <c r="M49" s="18" t="n">
        <v>4.16589167</v>
      </c>
      <c r="N49" s="20" t="n">
        <v>0.7722959</v>
      </c>
      <c r="O49" s="18" t="n">
        <v>11.15188565</v>
      </c>
      <c r="P49" s="20" t="n">
        <v>1.29283948</v>
      </c>
      <c r="Q49" s="18" t="s">
        <v>567</v>
      </c>
      <c r="R49" s="20" t="s">
        <v>567</v>
      </c>
      <c r="S49" s="18" t="n">
        <v>1.6742883</v>
      </c>
      <c r="T49" s="20" t="n">
        <v>0.65909324</v>
      </c>
      <c r="U49" s="18" t="n">
        <v>0.14902409</v>
      </c>
      <c r="V49" s="20" t="n">
        <v>0.15624663</v>
      </c>
      <c r="W49" s="18" t="n">
        <v>0</v>
      </c>
      <c r="X49" s="20" t="n">
        <v>0</v>
      </c>
      <c r="Y49" s="18" t="n">
        <v>35.29480278</v>
      </c>
      <c r="Z49" s="20" t="n">
        <v>1.57552289</v>
      </c>
    </row>
    <row r="50" spans="1:26">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c r="U50" s="18" t="s">
        <v>567</v>
      </c>
      <c r="V50" s="20" t="s">
        <v>567</v>
      </c>
      <c r="W50" s="18" t="s">
        <v>567</v>
      </c>
      <c r="X50" s="20" t="s">
        <v>567</v>
      </c>
      <c r="Y50" s="18" t="s">
        <v>567</v>
      </c>
      <c r="Z50" s="20" t="s">
        <v>567</v>
      </c>
    </row>
    <row r="51" spans="1:26">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c r="U51" s="18" t="s">
        <v>567</v>
      </c>
      <c r="V51" s="20" t="s">
        <v>567</v>
      </c>
      <c r="W51" s="18" t="s">
        <v>567</v>
      </c>
      <c r="X51" s="20" t="s">
        <v>567</v>
      </c>
      <c r="Y51" s="18" t="s">
        <v>567</v>
      </c>
      <c r="Z51" s="20" t="s">
        <v>567</v>
      </c>
    </row>
    <row r="52" spans="1:26">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c r="U52" s="18" t="s">
        <v>567</v>
      </c>
      <c r="V52" s="20" t="s">
        <v>567</v>
      </c>
      <c r="W52" s="18" t="s">
        <v>567</v>
      </c>
      <c r="X52" s="20" t="s">
        <v>567</v>
      </c>
      <c r="Y52" s="18" t="s">
        <v>567</v>
      </c>
      <c r="Z52" s="20" t="s">
        <v>567</v>
      </c>
    </row>
    <row r="53" spans="1:26">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c r="U53" s="18" t="s">
        <v>567</v>
      </c>
      <c r="V53" s="20" t="s">
        <v>567</v>
      </c>
      <c r="W53" s="18" t="s">
        <v>567</v>
      </c>
      <c r="X53" s="20" t="s">
        <v>567</v>
      </c>
      <c r="Y53" s="18" t="s">
        <v>567</v>
      </c>
      <c r="Z53" s="20" t="s">
        <v>567</v>
      </c>
    </row>
    <row r="54" spans="1:26">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c r="U54" s="18" t="s">
        <v>567</v>
      </c>
      <c r="V54" s="20" t="s">
        <v>567</v>
      </c>
      <c r="W54" s="18" t="s">
        <v>567</v>
      </c>
      <c r="X54" s="20" t="s">
        <v>567</v>
      </c>
      <c r="Y54" s="18" t="s">
        <v>567</v>
      </c>
      <c r="Z54" s="20" t="s">
        <v>567</v>
      </c>
    </row>
    <row r="55" spans="1:26">
      <c r="A55" s="15" t="s">
        <v>615</v>
      </c>
      <c r="B55" s="17" t="n">
        <v>2759</v>
      </c>
      <c r="C55" s="18">
        <f>(1802.0/B55*100)</f>
        <v/>
      </c>
      <c r="D55" s="19" t="n">
        <v>957</v>
      </c>
      <c r="E55" s="18" t="n">
        <v>11.69334616</v>
      </c>
      <c r="F55" s="20" t="n">
        <v>1.21404299</v>
      </c>
      <c r="G55" s="18" t="n">
        <v>5.52364563</v>
      </c>
      <c r="H55" s="20" t="n">
        <v>0.7599813</v>
      </c>
      <c r="I55" s="18" t="n">
        <v>12.17286246</v>
      </c>
      <c r="J55" s="20" t="n">
        <v>1.17237208</v>
      </c>
      <c r="K55" s="18" t="n">
        <v>0</v>
      </c>
      <c r="L55" s="20" t="n">
        <v>0</v>
      </c>
      <c r="M55" s="18" t="n">
        <v>8.35868093</v>
      </c>
      <c r="N55" s="20" t="n">
        <v>1.00068747</v>
      </c>
      <c r="O55" s="18" t="n">
        <v>8.940962880000001</v>
      </c>
      <c r="P55" s="20" t="n">
        <v>1.03394466</v>
      </c>
      <c r="Q55" s="18" t="s">
        <v>567</v>
      </c>
      <c r="R55" s="20" t="s">
        <v>567</v>
      </c>
      <c r="S55" s="18" t="n">
        <v>2.79415612</v>
      </c>
      <c r="T55" s="20" t="n">
        <v>0.60613251</v>
      </c>
      <c r="U55" s="18" t="n">
        <v>0</v>
      </c>
      <c r="V55" s="20" t="n">
        <v>0</v>
      </c>
      <c r="W55" s="18" t="n">
        <v>0</v>
      </c>
      <c r="X55" s="20" t="n">
        <v>0</v>
      </c>
      <c r="Y55" s="18" t="n">
        <v>50.51634581</v>
      </c>
      <c r="Z55" s="20" t="n">
        <v>2.04738979</v>
      </c>
    </row>
    <row r="56" spans="1:26">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c r="U56" s="18" t="s">
        <v>567</v>
      </c>
      <c r="V56" s="20" t="s">
        <v>567</v>
      </c>
      <c r="W56" s="18" t="s">
        <v>567</v>
      </c>
      <c r="X56" s="20" t="s">
        <v>567</v>
      </c>
      <c r="Y56" s="18" t="s">
        <v>567</v>
      </c>
      <c r="Z56" s="20" t="s">
        <v>567</v>
      </c>
    </row>
    <row r="57" spans="1:26">
      <c r="A57" s="15" t="s">
        <v>617</v>
      </c>
      <c r="B57" s="17" t="n">
        <v>3170</v>
      </c>
      <c r="C57" s="18">
        <f>(2128.0/B57*100)</f>
        <v/>
      </c>
      <c r="D57" s="19" t="n">
        <v>1042</v>
      </c>
      <c r="E57" s="18" t="n">
        <v>35.68328585</v>
      </c>
      <c r="F57" s="20" t="n">
        <v>1.84841851</v>
      </c>
      <c r="G57" s="18" t="n">
        <v>5.93223042</v>
      </c>
      <c r="H57" s="20" t="n">
        <v>0.7977716500000001</v>
      </c>
      <c r="I57" s="18" t="n">
        <v>21.15458534</v>
      </c>
      <c r="J57" s="20" t="n">
        <v>1.59709261</v>
      </c>
      <c r="K57" s="18" t="n">
        <v>0</v>
      </c>
      <c r="L57" s="20" t="n">
        <v>0</v>
      </c>
      <c r="M57" s="18" t="n">
        <v>14.43224111</v>
      </c>
      <c r="N57" s="20" t="n">
        <v>1.22808203</v>
      </c>
      <c r="O57" s="18" t="n">
        <v>14.38904452</v>
      </c>
      <c r="P57" s="20" t="n">
        <v>1.17194398</v>
      </c>
      <c r="Q57" s="18" t="s">
        <v>567</v>
      </c>
      <c r="R57" s="20" t="s">
        <v>567</v>
      </c>
      <c r="S57" s="18" t="n">
        <v>1.16057634</v>
      </c>
      <c r="T57" s="20" t="n">
        <v>0.35437952</v>
      </c>
      <c r="U57" s="18" t="n">
        <v>0</v>
      </c>
      <c r="V57" s="20" t="n">
        <v>0</v>
      </c>
      <c r="W57" s="18" t="n">
        <v>0</v>
      </c>
      <c r="X57" s="20" t="n">
        <v>0</v>
      </c>
      <c r="Y57" s="18" t="n">
        <v>7.24803641</v>
      </c>
      <c r="Z57" s="20" t="n">
        <v>1.05254306</v>
      </c>
    </row>
    <row r="58" spans="1:26">
      <c r="A58" s="15" t="s">
        <v>618</v>
      </c>
      <c r="B58" s="17" t="n">
        <v>3530</v>
      </c>
      <c r="C58" s="18">
        <f>(2358.0/B58*100)</f>
        <v/>
      </c>
      <c r="D58" s="19" t="n">
        <v>1172</v>
      </c>
      <c r="E58" s="18" t="n">
        <v>12.79898178</v>
      </c>
      <c r="F58" s="20" t="n">
        <v>1.05454791</v>
      </c>
      <c r="G58" s="18" t="n">
        <v>7.02636566</v>
      </c>
      <c r="H58" s="20" t="n">
        <v>0.93591977</v>
      </c>
      <c r="I58" s="18" t="n">
        <v>32.21901234</v>
      </c>
      <c r="J58" s="20" t="n">
        <v>1.62513556</v>
      </c>
      <c r="K58" s="18" t="n">
        <v>0</v>
      </c>
      <c r="L58" s="20" t="n">
        <v>0</v>
      </c>
      <c r="M58" s="18" t="n">
        <v>5.61632558</v>
      </c>
      <c r="N58" s="20" t="n">
        <v>0.68493153</v>
      </c>
      <c r="O58" s="18" t="n">
        <v>18.92115417</v>
      </c>
      <c r="P58" s="20" t="n">
        <v>1.89257344</v>
      </c>
      <c r="Q58" s="18" t="s">
        <v>567</v>
      </c>
      <c r="R58" s="20" t="s">
        <v>567</v>
      </c>
      <c r="S58" s="18" t="n">
        <v>3.14893787</v>
      </c>
      <c r="T58" s="20" t="n">
        <v>0.805764</v>
      </c>
      <c r="U58" s="18" t="n">
        <v>0</v>
      </c>
      <c r="V58" s="20" t="n">
        <v>0</v>
      </c>
      <c r="W58" s="18" t="n">
        <v>0</v>
      </c>
      <c r="X58" s="20" t="n">
        <v>0</v>
      </c>
      <c r="Y58" s="18" t="n">
        <v>20.26922259</v>
      </c>
      <c r="Z58" s="20" t="n">
        <v>1.60124708</v>
      </c>
    </row>
    <row r="59" spans="1:26">
      <c r="A59" s="15" t="s">
        <v>619</v>
      </c>
      <c r="B59" s="17" t="n">
        <v>2548</v>
      </c>
      <c r="C59" s="18">
        <f>(1724.0/B59*100)</f>
        <v/>
      </c>
      <c r="D59" s="19" t="n">
        <v>824</v>
      </c>
      <c r="E59" s="18" t="n">
        <v>26.04237765</v>
      </c>
      <c r="F59" s="20" t="n">
        <v>1.6738664</v>
      </c>
      <c r="G59" s="18" t="n">
        <v>7.99835601</v>
      </c>
      <c r="H59" s="20" t="n">
        <v>1.00681823</v>
      </c>
      <c r="I59" s="18" t="n">
        <v>18.93975149</v>
      </c>
      <c r="J59" s="20" t="n">
        <v>1.53930624</v>
      </c>
      <c r="K59" s="18" t="n">
        <v>0</v>
      </c>
      <c r="L59" s="20" t="n">
        <v>0</v>
      </c>
      <c r="M59" s="18" t="n">
        <v>4.91021432</v>
      </c>
      <c r="N59" s="20" t="n">
        <v>0.87646222</v>
      </c>
      <c r="O59" s="18" t="n">
        <v>18.25418338</v>
      </c>
      <c r="P59" s="20" t="n">
        <v>1.761582</v>
      </c>
      <c r="Q59" s="18" t="s">
        <v>567</v>
      </c>
      <c r="R59" s="20" t="s">
        <v>567</v>
      </c>
      <c r="S59" s="18" t="n">
        <v>0.43645331</v>
      </c>
      <c r="T59" s="20" t="n">
        <v>0.210035</v>
      </c>
      <c r="U59" s="18" t="n">
        <v>0.173645</v>
      </c>
      <c r="V59" s="20" t="n">
        <v>0.17309033</v>
      </c>
      <c r="W59" s="18" t="n">
        <v>0</v>
      </c>
      <c r="X59" s="20" t="n">
        <v>0</v>
      </c>
      <c r="Y59" s="18" t="n">
        <v>23.24501884</v>
      </c>
      <c r="Z59" s="20" t="n">
        <v>1.71244425</v>
      </c>
    </row>
    <row r="60" spans="1:26">
      <c r="A60" s="15" t="s">
        <v>620</v>
      </c>
      <c r="B60" s="17" t="n">
        <v>2095</v>
      </c>
      <c r="C60" s="18">
        <f>(1425.0/B60*100)</f>
        <v/>
      </c>
      <c r="D60" s="19" t="n">
        <v>670</v>
      </c>
      <c r="E60" s="18" t="n">
        <v>6.39239117</v>
      </c>
      <c r="F60" s="20" t="n">
        <v>0.8585976400000001</v>
      </c>
      <c r="G60" s="18" t="n">
        <v>3.68938043</v>
      </c>
      <c r="H60" s="20" t="n">
        <v>0.79091979</v>
      </c>
      <c r="I60" s="18" t="n">
        <v>28.31564231</v>
      </c>
      <c r="J60" s="20" t="n">
        <v>1.94094888</v>
      </c>
      <c r="K60" s="18" t="n">
        <v>0</v>
      </c>
      <c r="L60" s="20" t="n">
        <v>0</v>
      </c>
      <c r="M60" s="18" t="n">
        <v>12.7947958</v>
      </c>
      <c r="N60" s="20" t="n">
        <v>1.35776517</v>
      </c>
      <c r="O60" s="18" t="n">
        <v>14.09006071</v>
      </c>
      <c r="P60" s="20" t="n">
        <v>1.39759057</v>
      </c>
      <c r="Q60" s="18" t="s">
        <v>567</v>
      </c>
      <c r="R60" s="20" t="s">
        <v>567</v>
      </c>
      <c r="S60" s="18" t="n">
        <v>5.22549676</v>
      </c>
      <c r="T60" s="20" t="n">
        <v>0.99556837</v>
      </c>
      <c r="U60" s="18" t="n">
        <v>0</v>
      </c>
      <c r="V60" s="20" t="n">
        <v>0</v>
      </c>
      <c r="W60" s="18" t="n">
        <v>0.07621187</v>
      </c>
      <c r="X60" s="20" t="n">
        <v>0.08322858</v>
      </c>
      <c r="Y60" s="18" t="n">
        <v>29.41602096</v>
      </c>
      <c r="Z60" s="20" t="n">
        <v>1.96022991</v>
      </c>
    </row>
    <row r="61" spans="1:26">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c r="U61" s="18" t="s">
        <v>567</v>
      </c>
      <c r="V61" s="20" t="s">
        <v>567</v>
      </c>
      <c r="W61" s="18" t="s">
        <v>567</v>
      </c>
      <c r="X61" s="20" t="s">
        <v>567</v>
      </c>
      <c r="Y61" s="18" t="s">
        <v>567</v>
      </c>
      <c r="Z61" s="20" t="s">
        <v>567</v>
      </c>
    </row>
    <row r="62" spans="1:26">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c r="U62" s="18" t="s">
        <v>567</v>
      </c>
      <c r="V62" s="20" t="s">
        <v>567</v>
      </c>
      <c r="W62" s="18" t="s">
        <v>567</v>
      </c>
      <c r="X62" s="20" t="s">
        <v>567</v>
      </c>
      <c r="Y62" s="18" t="s">
        <v>567</v>
      </c>
      <c r="Z62" s="20" t="s">
        <v>567</v>
      </c>
    </row>
    <row r="63" spans="1:26">
      <c r="A63" s="15" t="s">
        <v>623</v>
      </c>
      <c r="B63" s="17" t="n">
        <v>2813</v>
      </c>
      <c r="C63" s="18">
        <f>(1871.0/B63*100)</f>
        <v/>
      </c>
      <c r="D63" s="19" t="n">
        <v>942</v>
      </c>
      <c r="E63" s="18" t="n">
        <v>8.38299791</v>
      </c>
      <c r="F63" s="20" t="n">
        <v>0.9548952000000001</v>
      </c>
      <c r="G63" s="18" t="n">
        <v>5.87260338</v>
      </c>
      <c r="H63" s="20" t="n">
        <v>0.69662654</v>
      </c>
      <c r="I63" s="18" t="n">
        <v>11.27710832</v>
      </c>
      <c r="J63" s="20" t="n">
        <v>1.23030805</v>
      </c>
      <c r="K63" s="18" t="n">
        <v>0</v>
      </c>
      <c r="L63" s="20" t="n">
        <v>0</v>
      </c>
      <c r="M63" s="18" t="n">
        <v>10.51518289</v>
      </c>
      <c r="N63" s="20" t="n">
        <v>1.10689373</v>
      </c>
      <c r="O63" s="18" t="n">
        <v>5.83702235</v>
      </c>
      <c r="P63" s="20" t="n">
        <v>0.76799986</v>
      </c>
      <c r="Q63" s="18" t="s">
        <v>567</v>
      </c>
      <c r="R63" s="20" t="s">
        <v>567</v>
      </c>
      <c r="S63" s="18" t="n">
        <v>2.24423355</v>
      </c>
      <c r="T63" s="20" t="n">
        <v>0.54427141</v>
      </c>
      <c r="U63" s="18" t="n">
        <v>0</v>
      </c>
      <c r="V63" s="20" t="n">
        <v>0</v>
      </c>
      <c r="W63" s="18" t="n">
        <v>0</v>
      </c>
      <c r="X63" s="20" t="n">
        <v>0</v>
      </c>
      <c r="Y63" s="18" t="n">
        <v>55.87085159</v>
      </c>
      <c r="Z63" s="20" t="n">
        <v>1.85183166</v>
      </c>
    </row>
    <row r="64" spans="1:26">
      <c r="A64" s="15" t="s">
        <v>624</v>
      </c>
      <c r="B64" s="17" t="n">
        <v>1844</v>
      </c>
      <c r="C64" s="18">
        <f>(1243.0/B64*100)</f>
        <v/>
      </c>
      <c r="D64" s="19" t="n">
        <v>601</v>
      </c>
      <c r="E64" s="18" t="n">
        <v>7.91053881</v>
      </c>
      <c r="F64" s="20" t="n">
        <v>0.94865639</v>
      </c>
      <c r="G64" s="18" t="n">
        <v>13.08763751</v>
      </c>
      <c r="H64" s="20" t="n">
        <v>1.42398546</v>
      </c>
      <c r="I64" s="18" t="n">
        <v>17.80766121</v>
      </c>
      <c r="J64" s="20" t="n">
        <v>1.49720621</v>
      </c>
      <c r="K64" s="18" t="n">
        <v>0</v>
      </c>
      <c r="L64" s="20" t="n">
        <v>0</v>
      </c>
      <c r="M64" s="18" t="n">
        <v>18.2822577</v>
      </c>
      <c r="N64" s="20" t="n">
        <v>1.68066688</v>
      </c>
      <c r="O64" s="18" t="n">
        <v>18.00809854</v>
      </c>
      <c r="P64" s="20" t="n">
        <v>1.52642219</v>
      </c>
      <c r="Q64" s="18" t="s">
        <v>567</v>
      </c>
      <c r="R64" s="20" t="s">
        <v>567</v>
      </c>
      <c r="S64" s="18" t="n">
        <v>4.5783763</v>
      </c>
      <c r="T64" s="20" t="n">
        <v>0.81736367</v>
      </c>
      <c r="U64" s="18" t="n">
        <v>0</v>
      </c>
      <c r="V64" s="20" t="n">
        <v>0</v>
      </c>
      <c r="W64" s="18" t="n">
        <v>0</v>
      </c>
      <c r="X64" s="20" t="n">
        <v>0</v>
      </c>
      <c r="Y64" s="18" t="n">
        <v>20.32542993</v>
      </c>
      <c r="Z64" s="20" t="n">
        <v>1.57955537</v>
      </c>
    </row>
    <row r="65" spans="1:26">
      <c r="A65" s="15" t="s">
        <v>625</v>
      </c>
      <c r="B65" s="17" t="n">
        <v>2691</v>
      </c>
      <c r="C65" s="18">
        <f>(1801.0/B65*100)</f>
        <v/>
      </c>
      <c r="D65" s="19" t="n">
        <v>890</v>
      </c>
      <c r="E65" s="18" t="n">
        <v>11.72156749</v>
      </c>
      <c r="F65" s="20" t="n">
        <v>1.09121496</v>
      </c>
      <c r="G65" s="18" t="n">
        <v>10.64070943</v>
      </c>
      <c r="H65" s="20" t="n">
        <v>1.08736214</v>
      </c>
      <c r="I65" s="18" t="n">
        <v>17.03864625</v>
      </c>
      <c r="J65" s="20" t="n">
        <v>1.48018204</v>
      </c>
      <c r="K65" s="18" t="n">
        <v>0</v>
      </c>
      <c r="L65" s="20" t="n">
        <v>0</v>
      </c>
      <c r="M65" s="18" t="n">
        <v>11.63556717</v>
      </c>
      <c r="N65" s="20" t="n">
        <v>1.17804703</v>
      </c>
      <c r="O65" s="18" t="n">
        <v>10.20343081</v>
      </c>
      <c r="P65" s="20" t="n">
        <v>1.01972739</v>
      </c>
      <c r="Q65" s="18" t="s">
        <v>567</v>
      </c>
      <c r="R65" s="20" t="s">
        <v>567</v>
      </c>
      <c r="S65" s="18" t="n">
        <v>5.61968801</v>
      </c>
      <c r="T65" s="20" t="n">
        <v>0.92248768</v>
      </c>
      <c r="U65" s="18" t="n">
        <v>0</v>
      </c>
      <c r="V65" s="20" t="n">
        <v>0</v>
      </c>
      <c r="W65" s="18" t="n">
        <v>0</v>
      </c>
      <c r="X65" s="20" t="n">
        <v>0</v>
      </c>
      <c r="Y65" s="18" t="n">
        <v>33.14039084</v>
      </c>
      <c r="Z65" s="20" t="n">
        <v>1.65055049</v>
      </c>
    </row>
    <row r="66" spans="1:26">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c r="U66" s="18" t="s">
        <v>567</v>
      </c>
      <c r="V66" s="20" t="s">
        <v>567</v>
      </c>
      <c r="W66" s="18" t="s">
        <v>567</v>
      </c>
      <c r="X66" s="20" t="s">
        <v>567</v>
      </c>
      <c r="Y66" s="18" t="s">
        <v>567</v>
      </c>
      <c r="Z66" s="20" t="s">
        <v>567</v>
      </c>
    </row>
    <row r="67" spans="1:26">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c r="U67" s="18" t="s">
        <v>567</v>
      </c>
      <c r="V67" s="20" t="s">
        <v>567</v>
      </c>
      <c r="W67" s="18" t="s">
        <v>567</v>
      </c>
      <c r="X67" s="20" t="s">
        <v>567</v>
      </c>
      <c r="Y67" s="18" t="s">
        <v>567</v>
      </c>
      <c r="Z67" s="20" t="s">
        <v>567</v>
      </c>
    </row>
    <row r="68" spans="1:26">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c r="U68" s="18" t="s">
        <v>567</v>
      </c>
      <c r="V68" s="20" t="s">
        <v>567</v>
      </c>
      <c r="W68" s="18" t="s">
        <v>567</v>
      </c>
      <c r="X68" s="20" t="s">
        <v>567</v>
      </c>
      <c r="Y68" s="18" t="s">
        <v>567</v>
      </c>
      <c r="Z68" s="20" t="s">
        <v>567</v>
      </c>
    </row>
    <row r="69" spans="1:26">
      <c r="A69" s="15" t="s">
        <v>629</v>
      </c>
      <c r="B69" s="17" t="n">
        <v>2410</v>
      </c>
      <c r="C69" s="18">
        <f>(1606.0/B69*100)</f>
        <v/>
      </c>
      <c r="D69" s="19" t="n">
        <v>804</v>
      </c>
      <c r="E69" s="18" t="n">
        <v>12.81128613</v>
      </c>
      <c r="F69" s="20" t="n">
        <v>1.18924068</v>
      </c>
      <c r="G69" s="18" t="n">
        <v>10.21320545</v>
      </c>
      <c r="H69" s="20" t="n">
        <v>1.28292864</v>
      </c>
      <c r="I69" s="18" t="n">
        <v>43.21721092</v>
      </c>
      <c r="J69" s="20" t="n">
        <v>2.19570396</v>
      </c>
      <c r="K69" s="18" t="n">
        <v>0</v>
      </c>
      <c r="L69" s="20" t="n">
        <v>0</v>
      </c>
      <c r="M69" s="18" t="n">
        <v>20.70150635</v>
      </c>
      <c r="N69" s="20" t="n">
        <v>1.70318104</v>
      </c>
      <c r="O69" s="18" t="n">
        <v>12.34627237</v>
      </c>
      <c r="P69" s="20" t="n">
        <v>1.2835606</v>
      </c>
      <c r="Q69" s="18" t="s">
        <v>567</v>
      </c>
      <c r="R69" s="20" t="s">
        <v>567</v>
      </c>
      <c r="S69" s="18" t="n">
        <v>0</v>
      </c>
      <c r="T69" s="20" t="n">
        <v>0</v>
      </c>
      <c r="U69" s="18" t="n">
        <v>0</v>
      </c>
      <c r="V69" s="20" t="n">
        <v>0</v>
      </c>
      <c r="W69" s="18" t="n">
        <v>0</v>
      </c>
      <c r="X69" s="20" t="n">
        <v>0</v>
      </c>
      <c r="Y69" s="18" t="n">
        <v>0.7105188</v>
      </c>
      <c r="Z69" s="20" t="n">
        <v>0.3470531</v>
      </c>
    </row>
    <row r="70" spans="1:26">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c r="U70" s="18" t="s">
        <v>567</v>
      </c>
      <c r="V70" s="20" t="s">
        <v>567</v>
      </c>
      <c r="W70" s="18" t="s">
        <v>567</v>
      </c>
      <c r="X70" s="20" t="s">
        <v>567</v>
      </c>
      <c r="Y70" s="18" t="s">
        <v>567</v>
      </c>
      <c r="Z70" s="20" t="s">
        <v>567</v>
      </c>
    </row>
    <row r="71" spans="1:26">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c r="U71" s="18" t="s">
        <v>567</v>
      </c>
      <c r="V71" s="20" t="s">
        <v>567</v>
      </c>
      <c r="W71" s="18" t="s">
        <v>567</v>
      </c>
      <c r="X71" s="20" t="s">
        <v>567</v>
      </c>
      <c r="Y71" s="18" t="s">
        <v>567</v>
      </c>
      <c r="Z71" s="20" t="s">
        <v>567</v>
      </c>
    </row>
    <row r="72" spans="1:26">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c r="U72" s="18" t="s">
        <v>567</v>
      </c>
      <c r="V72" s="20" t="s">
        <v>567</v>
      </c>
      <c r="W72" s="18" t="s">
        <v>567</v>
      </c>
      <c r="X72" s="20" t="s">
        <v>567</v>
      </c>
      <c r="Y72" s="18" t="s">
        <v>567</v>
      </c>
      <c r="Z72" s="20" t="s">
        <v>567</v>
      </c>
    </row>
    <row r="73" spans="1:26">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c r="U73" s="18" t="s">
        <v>567</v>
      </c>
      <c r="V73" s="20" t="s">
        <v>567</v>
      </c>
      <c r="W73" s="18" t="s">
        <v>567</v>
      </c>
      <c r="X73" s="20" t="s">
        <v>567</v>
      </c>
      <c r="Y73" s="18" t="s">
        <v>567</v>
      </c>
      <c r="Z73" s="20" t="s">
        <v>567</v>
      </c>
    </row>
    <row r="74" spans="1:26">
      <c r="A74" s="15" t="s">
        <v>634</v>
      </c>
      <c r="B74" s="17" t="n">
        <v>2239</v>
      </c>
      <c r="C74" s="18">
        <f>(1511.0/B74*100)</f>
        <v/>
      </c>
      <c r="D74" s="19" t="n">
        <v>728</v>
      </c>
      <c r="E74" s="18" t="n">
        <v>11.03774215</v>
      </c>
      <c r="F74" s="20" t="n">
        <v>1.57423955</v>
      </c>
      <c r="G74" s="18" t="n">
        <v>12.19172971</v>
      </c>
      <c r="H74" s="20" t="n">
        <v>1.2630458</v>
      </c>
      <c r="I74" s="18" t="n">
        <v>12.45944474</v>
      </c>
      <c r="J74" s="20" t="n">
        <v>1.13448091</v>
      </c>
      <c r="K74" s="18" t="n">
        <v>0</v>
      </c>
      <c r="L74" s="20" t="n">
        <v>0</v>
      </c>
      <c r="M74" s="18" t="n">
        <v>12.04887851</v>
      </c>
      <c r="N74" s="20" t="n">
        <v>1.38193512</v>
      </c>
      <c r="O74" s="18" t="n">
        <v>15.12903707</v>
      </c>
      <c r="P74" s="20" t="n">
        <v>1.35033009</v>
      </c>
      <c r="Q74" s="18" t="s">
        <v>567</v>
      </c>
      <c r="R74" s="20" t="s">
        <v>567</v>
      </c>
      <c r="S74" s="18" t="n">
        <v>10.19817238</v>
      </c>
      <c r="T74" s="20" t="n">
        <v>1.47574309</v>
      </c>
      <c r="U74" s="18" t="n">
        <v>0</v>
      </c>
      <c r="V74" s="20" t="n">
        <v>0</v>
      </c>
      <c r="W74" s="18" t="n">
        <v>0</v>
      </c>
      <c r="X74" s="20" t="n">
        <v>0</v>
      </c>
      <c r="Y74" s="18" t="n">
        <v>26.93499544</v>
      </c>
      <c r="Z74" s="20" t="n">
        <v>1.72380497</v>
      </c>
    </row>
    <row r="75" spans="1:26">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c r="U75" s="18" t="s">
        <v>567</v>
      </c>
      <c r="V75" s="20" t="s">
        <v>567</v>
      </c>
      <c r="W75" s="18" t="s">
        <v>567</v>
      </c>
      <c r="X75" s="20" t="s">
        <v>567</v>
      </c>
      <c r="Y75" s="18" t="s">
        <v>567</v>
      </c>
      <c r="Z75" s="20" t="s">
        <v>567</v>
      </c>
    </row>
    <row r="76" spans="1:26">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c r="U76" s="18" t="s">
        <v>567</v>
      </c>
      <c r="V76" s="20" t="s">
        <v>567</v>
      </c>
      <c r="W76" s="18" t="s">
        <v>567</v>
      </c>
      <c r="X76" s="20" t="s">
        <v>567</v>
      </c>
      <c r="Y76" s="18" t="s">
        <v>567</v>
      </c>
      <c r="Z76" s="20" t="s">
        <v>567</v>
      </c>
    </row>
    <row r="77" spans="1:26">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c r="U77" s="18" t="s">
        <v>567</v>
      </c>
      <c r="V77" s="20" t="s">
        <v>567</v>
      </c>
      <c r="W77" s="18" t="s">
        <v>567</v>
      </c>
      <c r="X77" s="20" t="s">
        <v>567</v>
      </c>
      <c r="Y77" s="18" t="s">
        <v>567</v>
      </c>
      <c r="Z77" s="20" t="s">
        <v>567</v>
      </c>
    </row>
    <row r="78" spans="1:26">
      <c r="A78" s="15" t="s">
        <v>638</v>
      </c>
      <c r="B78" s="17" t="n">
        <v>2786</v>
      </c>
      <c r="C78" s="18">
        <f>(1843.0/B78*100)</f>
        <v/>
      </c>
      <c r="D78" s="19" t="n">
        <v>943</v>
      </c>
      <c r="E78" s="18" t="n">
        <v>10.94720412</v>
      </c>
      <c r="F78" s="20" t="n">
        <v>1.13896388</v>
      </c>
      <c r="G78" s="18" t="n">
        <v>13.8914821</v>
      </c>
      <c r="H78" s="20" t="n">
        <v>1.06257351</v>
      </c>
      <c r="I78" s="18" t="n">
        <v>22.61676013</v>
      </c>
      <c r="J78" s="20" t="n">
        <v>1.80425479</v>
      </c>
      <c r="K78" s="18" t="n">
        <v>0</v>
      </c>
      <c r="L78" s="20" t="n">
        <v>0</v>
      </c>
      <c r="M78" s="18" t="n">
        <v>23.46272013</v>
      </c>
      <c r="N78" s="20" t="n">
        <v>1.69751006</v>
      </c>
      <c r="O78" s="18" t="n">
        <v>26.64048143</v>
      </c>
      <c r="P78" s="20" t="n">
        <v>1.62249891</v>
      </c>
      <c r="Q78" s="18" t="s">
        <v>567</v>
      </c>
      <c r="R78" s="20" t="s">
        <v>567</v>
      </c>
      <c r="S78" s="18" t="n">
        <v>0</v>
      </c>
      <c r="T78" s="20" t="n">
        <v>0</v>
      </c>
      <c r="U78" s="18" t="n">
        <v>0</v>
      </c>
      <c r="V78" s="20" t="n">
        <v>0</v>
      </c>
      <c r="W78" s="18" t="n">
        <v>0</v>
      </c>
      <c r="X78" s="20" t="n">
        <v>0</v>
      </c>
      <c r="Y78" s="18" t="n">
        <v>2.44135209</v>
      </c>
      <c r="Z78" s="20" t="n">
        <v>0.49311607</v>
      </c>
    </row>
    <row customHeight="1" ht="25" r="79" spans="1:26">
      <c r="A79" s="15" t="s">
        <v>639</v>
      </c>
      <c r="B79" s="17" t="n">
        <v>787</v>
      </c>
      <c r="C79" s="18">
        <f>(527.0/B79*100)</f>
        <v/>
      </c>
      <c r="D79" s="19" t="n">
        <v>260</v>
      </c>
      <c r="E79" s="18" t="n">
        <v>8.61167567</v>
      </c>
      <c r="F79" s="20" t="n">
        <v>2.01119819</v>
      </c>
      <c r="G79" s="18" t="n">
        <v>26.15584751</v>
      </c>
      <c r="H79" s="20" t="n">
        <v>2.81572342</v>
      </c>
      <c r="I79" s="18" t="n">
        <v>9.24265027</v>
      </c>
      <c r="J79" s="20" t="n">
        <v>1.64307407</v>
      </c>
      <c r="K79" s="18" t="n">
        <v>0</v>
      </c>
      <c r="L79" s="20" t="n">
        <v>0</v>
      </c>
      <c r="M79" s="18" t="n">
        <v>4.15796185</v>
      </c>
      <c r="N79" s="20" t="n">
        <v>1.18303472</v>
      </c>
      <c r="O79" s="18" t="n">
        <v>15.88281102</v>
      </c>
      <c r="P79" s="20" t="n">
        <v>2.15519543</v>
      </c>
      <c r="Q79" s="18" t="s">
        <v>567</v>
      </c>
      <c r="R79" s="20" t="s">
        <v>567</v>
      </c>
      <c r="S79" s="18" t="n">
        <v>3.11003554</v>
      </c>
      <c r="T79" s="20" t="n">
        <v>1.03964058</v>
      </c>
      <c r="U79" s="18" t="n">
        <v>0</v>
      </c>
      <c r="V79" s="20" t="n">
        <v>0</v>
      </c>
      <c r="W79" s="18" t="n">
        <v>0</v>
      </c>
      <c r="X79" s="20" t="n">
        <v>0</v>
      </c>
      <c r="Y79" s="18" t="n">
        <v>32.83901813</v>
      </c>
      <c r="Z79" s="20" t="n">
        <v>2.43429362</v>
      </c>
    </row>
    <row r="80" spans="1:26">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c r="W80" s="18" t="s">
        <v>567</v>
      </c>
      <c r="X80" s="20" t="s">
        <v>567</v>
      </c>
      <c r="Y80" s="18" t="s">
        <v>567</v>
      </c>
      <c r="Z80" s="20" t="s">
        <v>567</v>
      </c>
    </row>
    <row r="81" spans="1:26">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c r="U81" s="18" t="s">
        <v>567</v>
      </c>
      <c r="V81" s="20" t="s">
        <v>567</v>
      </c>
      <c r="W81" s="18" t="s">
        <v>567</v>
      </c>
      <c r="X81" s="20" t="s">
        <v>567</v>
      </c>
      <c r="Y81" s="18" t="s">
        <v>567</v>
      </c>
      <c r="Z81" s="20" t="s">
        <v>567</v>
      </c>
    </row>
    <row r="82" spans="1:26">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c r="W82" s="22" t="s">
        <v>642</v>
      </c>
      <c r="X82" s="22" t="s">
        <v>642</v>
      </c>
      <c r="Y82" s="22" t="s">
        <v>642</v>
      </c>
      <c r="Z82" s="22" t="s">
        <v>642</v>
      </c>
    </row>
    <row r="83" spans="1:26">
      <c r="A83" s="3" t="s">
        <v>643</v>
      </c>
    </row>
    <row r="84" spans="1:26">
      <c r="A84" s="23" t="s">
        <v>644</v>
      </c>
    </row>
    <row r="85" spans="1:26">
      <c r="A85" s="23" t="s">
        <v>645</v>
      </c>
    </row>
    <row customHeight="1" ht="30" r="86" spans="1:26">
      <c r="A86" s="23" t="s">
        <v>646</v>
      </c>
    </row>
    <row customHeight="1" ht="30" r="87" spans="1:26">
      <c r="A87" s="23" t="s">
        <v>642</v>
      </c>
    </row>
    <row customHeight="1" ht="30" r="88" spans="1:26">
      <c r="A88" s="23" t="s">
        <v>647</v>
      </c>
    </row>
    <row customHeight="1" ht="30" r="89" spans="1:26">
      <c r="A89" s="23" t="s">
        <v>648</v>
      </c>
    </row>
    <row customHeight="1" ht="30" r="90" spans="1:26">
      <c r="A90" s="23" t="s">
        <v>649</v>
      </c>
    </row>
    <row customHeight="1" ht="30" r="91" spans="1:26">
      <c r="A91" s="23" t="s">
        <v>650</v>
      </c>
    </row>
    <row customHeight="1" ht="30" r="92" spans="1:26">
      <c r="A92" s="23" t="s">
        <v>651</v>
      </c>
    </row>
    <row customHeight="1" ht="30" r="93" spans="1:26">
      <c r="A93" s="23" t="s">
        <v>652</v>
      </c>
    </row>
    <row customHeight="1" ht="30" r="94" spans="1:26">
      <c r="A94" s="23" t="s">
        <v>653</v>
      </c>
    </row>
    <row customHeight="1" ht="30" r="95" spans="1:26">
      <c r="A95" s="23" t="s">
        <v>654</v>
      </c>
    </row>
    <row customHeight="1" ht="30" r="96" spans="1:26">
      <c r="A96" s="23" t="s">
        <v>655</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26.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549</v>
      </c>
    </row>
    <row r="2" spans="1:28">
      <c r="A2" s="5" t="s">
        <v>894</v>
      </c>
    </row>
    <row customHeight="1" ht="30" r="4" spans="1:28">
      <c r="A4" s="6" t="n"/>
      <c r="B4" s="7" t="s">
        <v>551</v>
      </c>
      <c r="C4" s="7" t="s">
        <v>552</v>
      </c>
      <c r="D4" s="8" t="s">
        <v>551</v>
      </c>
      <c r="E4" s="9" t="s">
        <v>657</v>
      </c>
      <c r="F4" s="10" t="n"/>
      <c r="G4" s="9" t="s">
        <v>658</v>
      </c>
      <c r="H4" s="10" t="n"/>
      <c r="I4" s="9" t="s">
        <v>703</v>
      </c>
      <c r="J4" s="10" t="n"/>
      <c r="K4" s="9" t="s">
        <v>705</v>
      </c>
      <c r="L4" s="10" t="n"/>
      <c r="M4" s="9" t="s">
        <v>855</v>
      </c>
      <c r="N4" s="10" t="n"/>
      <c r="O4" s="9" t="s">
        <v>659</v>
      </c>
      <c r="P4" s="10" t="n"/>
      <c r="Q4" s="9" t="s">
        <v>660</v>
      </c>
      <c r="R4" s="10" t="n"/>
      <c r="S4" s="9" t="s">
        <v>555</v>
      </c>
      <c r="T4" s="10" t="n"/>
      <c r="U4" s="9" t="s">
        <v>556</v>
      </c>
      <c r="V4" s="10" t="n"/>
      <c r="W4" s="9" t="s">
        <v>557</v>
      </c>
      <c r="X4" s="10" t="n"/>
      <c r="Y4" s="9" t="s">
        <v>558</v>
      </c>
      <c r="Z4" s="10" t="n"/>
      <c r="AA4" s="9" t="s">
        <v>559</v>
      </c>
      <c r="AB4" s="10" t="n"/>
    </row>
    <row r="5" spans="1:2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c r="W5" s="12" t="s">
        <v>563</v>
      </c>
      <c r="X5" s="11" t="s">
        <v>564</v>
      </c>
      <c r="Y5" s="12" t="s">
        <v>563</v>
      </c>
      <c r="Z5" s="11" t="s">
        <v>564</v>
      </c>
      <c r="AA5" s="12" t="s">
        <v>563</v>
      </c>
      <c r="AB5" s="11" t="s">
        <v>564</v>
      </c>
    </row>
    <row r="6" spans="1:28">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c r="U7" s="18" t="s">
        <v>567</v>
      </c>
      <c r="V7" s="20" t="s">
        <v>567</v>
      </c>
      <c r="W7" s="18" t="s">
        <v>567</v>
      </c>
      <c r="X7" s="20" t="s">
        <v>567</v>
      </c>
      <c r="Y7" s="18" t="s">
        <v>567</v>
      </c>
      <c r="Z7" s="20" t="s">
        <v>567</v>
      </c>
      <c r="AA7" s="18" t="s">
        <v>567</v>
      </c>
      <c r="AB7" s="20" t="s">
        <v>567</v>
      </c>
    </row>
    <row r="8" spans="1:2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c r="U8" s="18" t="s">
        <v>567</v>
      </c>
      <c r="V8" s="20" t="s">
        <v>567</v>
      </c>
      <c r="W8" s="18" t="s">
        <v>567</v>
      </c>
      <c r="X8" s="20" t="s">
        <v>567</v>
      </c>
      <c r="Y8" s="18" t="s">
        <v>567</v>
      </c>
      <c r="Z8" s="20" t="s">
        <v>567</v>
      </c>
      <c r="AA8" s="18" t="s">
        <v>567</v>
      </c>
      <c r="AB8" s="20" t="s">
        <v>567</v>
      </c>
    </row>
    <row r="9" spans="1:2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c r="U9" s="18" t="s">
        <v>567</v>
      </c>
      <c r="V9" s="20" t="s">
        <v>567</v>
      </c>
      <c r="W9" s="18" t="s">
        <v>567</v>
      </c>
      <c r="X9" s="20" t="s">
        <v>567</v>
      </c>
      <c r="Y9" s="18" t="s">
        <v>567</v>
      </c>
      <c r="Z9" s="20" t="s">
        <v>567</v>
      </c>
      <c r="AA9" s="18" t="s">
        <v>567</v>
      </c>
      <c r="AB9" s="20" t="s">
        <v>567</v>
      </c>
    </row>
    <row r="10" spans="1:2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c r="U10" s="18" t="s">
        <v>567</v>
      </c>
      <c r="V10" s="20" t="s">
        <v>567</v>
      </c>
      <c r="W10" s="18" t="s">
        <v>567</v>
      </c>
      <c r="X10" s="20" t="s">
        <v>567</v>
      </c>
      <c r="Y10" s="18" t="s">
        <v>567</v>
      </c>
      <c r="Z10" s="20" t="s">
        <v>567</v>
      </c>
      <c r="AA10" s="18" t="s">
        <v>567</v>
      </c>
      <c r="AB10" s="20" t="s">
        <v>567</v>
      </c>
    </row>
    <row r="11" spans="1:2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c r="U11" s="18" t="s">
        <v>567</v>
      </c>
      <c r="V11" s="20" t="s">
        <v>567</v>
      </c>
      <c r="W11" s="18" t="s">
        <v>567</v>
      </c>
      <c r="X11" s="20" t="s">
        <v>567</v>
      </c>
      <c r="Y11" s="18" t="s">
        <v>567</v>
      </c>
      <c r="Z11" s="20" t="s">
        <v>567</v>
      </c>
      <c r="AA11" s="18" t="s">
        <v>567</v>
      </c>
      <c r="AB11" s="20" t="s">
        <v>567</v>
      </c>
    </row>
    <row r="12" spans="1:2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c r="U12" s="18" t="s">
        <v>567</v>
      </c>
      <c r="V12" s="20" t="s">
        <v>567</v>
      </c>
      <c r="W12" s="18" t="s">
        <v>567</v>
      </c>
      <c r="X12" s="20" t="s">
        <v>567</v>
      </c>
      <c r="Y12" s="18" t="s">
        <v>567</v>
      </c>
      <c r="Z12" s="20" t="s">
        <v>567</v>
      </c>
      <c r="AA12" s="18" t="s">
        <v>567</v>
      </c>
      <c r="AB12" s="20" t="s">
        <v>567</v>
      </c>
    </row>
    <row r="13" spans="1:2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c r="U13" s="18" t="s">
        <v>567</v>
      </c>
      <c r="V13" s="20" t="s">
        <v>567</v>
      </c>
      <c r="W13" s="18" t="s">
        <v>567</v>
      </c>
      <c r="X13" s="20" t="s">
        <v>567</v>
      </c>
      <c r="Y13" s="18" t="s">
        <v>567</v>
      </c>
      <c r="Z13" s="20" t="s">
        <v>567</v>
      </c>
      <c r="AA13" s="18" t="s">
        <v>567</v>
      </c>
      <c r="AB13" s="20" t="s">
        <v>567</v>
      </c>
    </row>
    <row r="14" spans="1:2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c r="U14" s="18" t="s">
        <v>567</v>
      </c>
      <c r="V14" s="20" t="s">
        <v>567</v>
      </c>
      <c r="W14" s="18" t="s">
        <v>567</v>
      </c>
      <c r="X14" s="20" t="s">
        <v>567</v>
      </c>
      <c r="Y14" s="18" t="s">
        <v>567</v>
      </c>
      <c r="Z14" s="20" t="s">
        <v>567</v>
      </c>
      <c r="AA14" s="18" t="s">
        <v>567</v>
      </c>
      <c r="AB14" s="20" t="s">
        <v>567</v>
      </c>
    </row>
    <row r="15" spans="1:2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c r="U15" s="18" t="s">
        <v>567</v>
      </c>
      <c r="V15" s="20" t="s">
        <v>567</v>
      </c>
      <c r="W15" s="18" t="s">
        <v>567</v>
      </c>
      <c r="X15" s="20" t="s">
        <v>567</v>
      </c>
      <c r="Y15" s="18" t="s">
        <v>567</v>
      </c>
      <c r="Z15" s="20" t="s">
        <v>567</v>
      </c>
      <c r="AA15" s="18" t="s">
        <v>567</v>
      </c>
      <c r="AB15" s="20" t="s">
        <v>567</v>
      </c>
    </row>
    <row r="16" spans="1:2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c r="U16" s="18" t="s">
        <v>567</v>
      </c>
      <c r="V16" s="20" t="s">
        <v>567</v>
      </c>
      <c r="W16" s="18" t="s">
        <v>567</v>
      </c>
      <c r="X16" s="20" t="s">
        <v>567</v>
      </c>
      <c r="Y16" s="18" t="s">
        <v>567</v>
      </c>
      <c r="Z16" s="20" t="s">
        <v>567</v>
      </c>
      <c r="AA16" s="18" t="s">
        <v>567</v>
      </c>
      <c r="AB16" s="20" t="s">
        <v>567</v>
      </c>
    </row>
    <row r="17" spans="1:2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c r="U17" s="18" t="s">
        <v>567</v>
      </c>
      <c r="V17" s="20" t="s">
        <v>567</v>
      </c>
      <c r="W17" s="18" t="s">
        <v>567</v>
      </c>
      <c r="X17" s="20" t="s">
        <v>567</v>
      </c>
      <c r="Y17" s="18" t="s">
        <v>567</v>
      </c>
      <c r="Z17" s="20" t="s">
        <v>567</v>
      </c>
      <c r="AA17" s="18" t="s">
        <v>567</v>
      </c>
      <c r="AB17" s="20" t="s">
        <v>567</v>
      </c>
    </row>
    <row r="18" spans="1:2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c r="U18" s="18" t="s">
        <v>567</v>
      </c>
      <c r="V18" s="20" t="s">
        <v>567</v>
      </c>
      <c r="W18" s="18" t="s">
        <v>567</v>
      </c>
      <c r="X18" s="20" t="s">
        <v>567</v>
      </c>
      <c r="Y18" s="18" t="s">
        <v>567</v>
      </c>
      <c r="Z18" s="20" t="s">
        <v>567</v>
      </c>
      <c r="AA18" s="18" t="s">
        <v>567</v>
      </c>
      <c r="AB18" s="20" t="s">
        <v>567</v>
      </c>
    </row>
    <row r="19" spans="1:2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c r="U19" s="18" t="s">
        <v>567</v>
      </c>
      <c r="V19" s="20" t="s">
        <v>567</v>
      </c>
      <c r="W19" s="18" t="s">
        <v>567</v>
      </c>
      <c r="X19" s="20" t="s">
        <v>567</v>
      </c>
      <c r="Y19" s="18" t="s">
        <v>567</v>
      </c>
      <c r="Z19" s="20" t="s">
        <v>567</v>
      </c>
      <c r="AA19" s="18" t="s">
        <v>567</v>
      </c>
      <c r="AB19" s="20" t="s">
        <v>567</v>
      </c>
    </row>
    <row r="20" spans="1:2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c r="U20" s="18" t="s">
        <v>567</v>
      </c>
      <c r="V20" s="20" t="s">
        <v>567</v>
      </c>
      <c r="W20" s="18" t="s">
        <v>567</v>
      </c>
      <c r="X20" s="20" t="s">
        <v>567</v>
      </c>
      <c r="Y20" s="18" t="s">
        <v>567</v>
      </c>
      <c r="Z20" s="20" t="s">
        <v>567</v>
      </c>
      <c r="AA20" s="18" t="s">
        <v>567</v>
      </c>
      <c r="AB20" s="20" t="s">
        <v>567</v>
      </c>
    </row>
    <row r="21" spans="1:2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c r="U21" s="18" t="s">
        <v>567</v>
      </c>
      <c r="V21" s="20" t="s">
        <v>567</v>
      </c>
      <c r="W21" s="18" t="s">
        <v>567</v>
      </c>
      <c r="X21" s="20" t="s">
        <v>567</v>
      </c>
      <c r="Y21" s="18" t="s">
        <v>567</v>
      </c>
      <c r="Z21" s="20" t="s">
        <v>567</v>
      </c>
      <c r="AA21" s="18" t="s">
        <v>567</v>
      </c>
      <c r="AB21" s="20" t="s">
        <v>567</v>
      </c>
    </row>
    <row r="22" spans="1:2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c r="U22" s="18" t="s">
        <v>567</v>
      </c>
      <c r="V22" s="20" t="s">
        <v>567</v>
      </c>
      <c r="W22" s="18" t="s">
        <v>567</v>
      </c>
      <c r="X22" s="20" t="s">
        <v>567</v>
      </c>
      <c r="Y22" s="18" t="s">
        <v>567</v>
      </c>
      <c r="Z22" s="20" t="s">
        <v>567</v>
      </c>
      <c r="AA22" s="18" t="s">
        <v>567</v>
      </c>
      <c r="AB22" s="20" t="s">
        <v>567</v>
      </c>
    </row>
    <row r="23" spans="1:2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c r="U23" s="18" t="s">
        <v>567</v>
      </c>
      <c r="V23" s="20" t="s">
        <v>567</v>
      </c>
      <c r="W23" s="18" t="s">
        <v>567</v>
      </c>
      <c r="X23" s="20" t="s">
        <v>567</v>
      </c>
      <c r="Y23" s="18" t="s">
        <v>567</v>
      </c>
      <c r="Z23" s="20" t="s">
        <v>567</v>
      </c>
      <c r="AA23" s="18" t="s">
        <v>567</v>
      </c>
      <c r="AB23" s="20" t="s">
        <v>567</v>
      </c>
    </row>
    <row r="24" spans="1:2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c r="U24" s="18" t="s">
        <v>567</v>
      </c>
      <c r="V24" s="20" t="s">
        <v>567</v>
      </c>
      <c r="W24" s="18" t="s">
        <v>567</v>
      </c>
      <c r="X24" s="20" t="s">
        <v>567</v>
      </c>
      <c r="Y24" s="18" t="s">
        <v>567</v>
      </c>
      <c r="Z24" s="20" t="s">
        <v>567</v>
      </c>
      <c r="AA24" s="18" t="s">
        <v>567</v>
      </c>
      <c r="AB24" s="20" t="s">
        <v>567</v>
      </c>
    </row>
    <row r="25" spans="1:2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c r="U25" s="18" t="s">
        <v>567</v>
      </c>
      <c r="V25" s="20" t="s">
        <v>567</v>
      </c>
      <c r="W25" s="18" t="s">
        <v>567</v>
      </c>
      <c r="X25" s="20" t="s">
        <v>567</v>
      </c>
      <c r="Y25" s="18" t="s">
        <v>567</v>
      </c>
      <c r="Z25" s="20" t="s">
        <v>567</v>
      </c>
      <c r="AA25" s="18" t="s">
        <v>567</v>
      </c>
      <c r="AB25" s="20" t="s">
        <v>567</v>
      </c>
    </row>
    <row r="26" spans="1:2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c r="U26" s="18" t="s">
        <v>567</v>
      </c>
      <c r="V26" s="20" t="s">
        <v>567</v>
      </c>
      <c r="W26" s="18" t="s">
        <v>567</v>
      </c>
      <c r="X26" s="20" t="s">
        <v>567</v>
      </c>
      <c r="Y26" s="18" t="s">
        <v>567</v>
      </c>
      <c r="Z26" s="20" t="s">
        <v>567</v>
      </c>
      <c r="AA26" s="18" t="s">
        <v>567</v>
      </c>
      <c r="AB26" s="20" t="s">
        <v>567</v>
      </c>
    </row>
    <row r="27" spans="1:2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c r="U27" s="18" t="s">
        <v>567</v>
      </c>
      <c r="V27" s="20" t="s">
        <v>567</v>
      </c>
      <c r="W27" s="18" t="s">
        <v>567</v>
      </c>
      <c r="X27" s="20" t="s">
        <v>567</v>
      </c>
      <c r="Y27" s="18" t="s">
        <v>567</v>
      </c>
      <c r="Z27" s="20" t="s">
        <v>567</v>
      </c>
      <c r="AA27" s="18" t="s">
        <v>567</v>
      </c>
      <c r="AB27" s="20" t="s">
        <v>567</v>
      </c>
    </row>
    <row r="28" spans="1:2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c r="U28" s="18" t="s">
        <v>567</v>
      </c>
      <c r="V28" s="20" t="s">
        <v>567</v>
      </c>
      <c r="W28" s="18" t="s">
        <v>567</v>
      </c>
      <c r="X28" s="20" t="s">
        <v>567</v>
      </c>
      <c r="Y28" s="18" t="s">
        <v>567</v>
      </c>
      <c r="Z28" s="20" t="s">
        <v>567</v>
      </c>
      <c r="AA28" s="18" t="s">
        <v>567</v>
      </c>
      <c r="AB28" s="20" t="s">
        <v>567</v>
      </c>
    </row>
    <row r="29" spans="1:2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c r="U29" s="18" t="s">
        <v>567</v>
      </c>
      <c r="V29" s="20" t="s">
        <v>567</v>
      </c>
      <c r="W29" s="18" t="s">
        <v>567</v>
      </c>
      <c r="X29" s="20" t="s">
        <v>567</v>
      </c>
      <c r="Y29" s="18" t="s">
        <v>567</v>
      </c>
      <c r="Z29" s="20" t="s">
        <v>567</v>
      </c>
      <c r="AA29" s="18" t="s">
        <v>567</v>
      </c>
      <c r="AB29" s="20" t="s">
        <v>567</v>
      </c>
    </row>
    <row r="30" spans="1:2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c r="U30" s="18" t="s">
        <v>567</v>
      </c>
      <c r="V30" s="20" t="s">
        <v>567</v>
      </c>
      <c r="W30" s="18" t="s">
        <v>567</v>
      </c>
      <c r="X30" s="20" t="s">
        <v>567</v>
      </c>
      <c r="Y30" s="18" t="s">
        <v>567</v>
      </c>
      <c r="Z30" s="20" t="s">
        <v>567</v>
      </c>
      <c r="AA30" s="18" t="s">
        <v>567</v>
      </c>
      <c r="AB30" s="20" t="s">
        <v>567</v>
      </c>
    </row>
    <row r="31" spans="1:2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c r="U31" s="18" t="s">
        <v>567</v>
      </c>
      <c r="V31" s="20" t="s">
        <v>567</v>
      </c>
      <c r="W31" s="18" t="s">
        <v>567</v>
      </c>
      <c r="X31" s="20" t="s">
        <v>567</v>
      </c>
      <c r="Y31" s="18" t="s">
        <v>567</v>
      </c>
      <c r="Z31" s="20" t="s">
        <v>567</v>
      </c>
      <c r="AA31" s="18" t="s">
        <v>567</v>
      </c>
      <c r="AB31" s="20" t="s">
        <v>567</v>
      </c>
    </row>
    <row r="32" spans="1:2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c r="U32" s="18" t="s">
        <v>567</v>
      </c>
      <c r="V32" s="20" t="s">
        <v>567</v>
      </c>
      <c r="W32" s="18" t="s">
        <v>567</v>
      </c>
      <c r="X32" s="20" t="s">
        <v>567</v>
      </c>
      <c r="Y32" s="18" t="s">
        <v>567</v>
      </c>
      <c r="Z32" s="20" t="s">
        <v>567</v>
      </c>
      <c r="AA32" s="18" t="s">
        <v>567</v>
      </c>
      <c r="AB32" s="20" t="s">
        <v>567</v>
      </c>
    </row>
    <row r="33" spans="1:2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c r="U33" s="18" t="s">
        <v>567</v>
      </c>
      <c r="V33" s="20" t="s">
        <v>567</v>
      </c>
      <c r="W33" s="18" t="s">
        <v>567</v>
      </c>
      <c r="X33" s="20" t="s">
        <v>567</v>
      </c>
      <c r="Y33" s="18" t="s">
        <v>567</v>
      </c>
      <c r="Z33" s="20" t="s">
        <v>567</v>
      </c>
      <c r="AA33" s="18" t="s">
        <v>567</v>
      </c>
      <c r="AB33" s="20" t="s">
        <v>567</v>
      </c>
    </row>
    <row r="34" spans="1:2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c r="U34" s="18" t="s">
        <v>567</v>
      </c>
      <c r="V34" s="20" t="s">
        <v>567</v>
      </c>
      <c r="W34" s="18" t="s">
        <v>567</v>
      </c>
      <c r="X34" s="20" t="s">
        <v>567</v>
      </c>
      <c r="Y34" s="18" t="s">
        <v>567</v>
      </c>
      <c r="Z34" s="20" t="s">
        <v>567</v>
      </c>
      <c r="AA34" s="18" t="s">
        <v>567</v>
      </c>
      <c r="AB34" s="20" t="s">
        <v>567</v>
      </c>
    </row>
    <row r="35" spans="1:2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c r="U35" s="18" t="s">
        <v>567</v>
      </c>
      <c r="V35" s="20" t="s">
        <v>567</v>
      </c>
      <c r="W35" s="18" t="s">
        <v>567</v>
      </c>
      <c r="X35" s="20" t="s">
        <v>567</v>
      </c>
      <c r="Y35" s="18" t="s">
        <v>567</v>
      </c>
      <c r="Z35" s="20" t="s">
        <v>567</v>
      </c>
      <c r="AA35" s="18" t="s">
        <v>567</v>
      </c>
      <c r="AB35" s="20" t="s">
        <v>567</v>
      </c>
    </row>
    <row r="36" spans="1:2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c r="U36" s="18" t="s">
        <v>567</v>
      </c>
      <c r="V36" s="20" t="s">
        <v>567</v>
      </c>
      <c r="W36" s="18" t="s">
        <v>567</v>
      </c>
      <c r="X36" s="20" t="s">
        <v>567</v>
      </c>
      <c r="Y36" s="18" t="s">
        <v>567</v>
      </c>
      <c r="Z36" s="20" t="s">
        <v>567</v>
      </c>
      <c r="AA36" s="18" t="s">
        <v>567</v>
      </c>
      <c r="AB36" s="20" t="s">
        <v>567</v>
      </c>
    </row>
    <row r="37" spans="1:2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c r="U37" s="18" t="s">
        <v>567</v>
      </c>
      <c r="V37" s="20" t="s">
        <v>567</v>
      </c>
      <c r="W37" s="18" t="s">
        <v>567</v>
      </c>
      <c r="X37" s="20" t="s">
        <v>567</v>
      </c>
      <c r="Y37" s="18" t="s">
        <v>567</v>
      </c>
      <c r="Z37" s="20" t="s">
        <v>567</v>
      </c>
      <c r="AA37" s="18" t="s">
        <v>567</v>
      </c>
      <c r="AB37" s="20" t="s">
        <v>567</v>
      </c>
    </row>
    <row r="38" spans="1:2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c r="U38" s="18" t="s">
        <v>567</v>
      </c>
      <c r="V38" s="20" t="s">
        <v>567</v>
      </c>
      <c r="W38" s="18" t="s">
        <v>567</v>
      </c>
      <c r="X38" s="20" t="s">
        <v>567</v>
      </c>
      <c r="Y38" s="18" t="s">
        <v>567</v>
      </c>
      <c r="Z38" s="20" t="s">
        <v>567</v>
      </c>
      <c r="AA38" s="18" t="s">
        <v>567</v>
      </c>
      <c r="AB38" s="20" t="s">
        <v>567</v>
      </c>
    </row>
    <row r="39" spans="1:2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c r="U39" s="18" t="s">
        <v>567</v>
      </c>
      <c r="V39" s="20" t="s">
        <v>567</v>
      </c>
      <c r="W39" s="18" t="s">
        <v>567</v>
      </c>
      <c r="X39" s="20" t="s">
        <v>567</v>
      </c>
      <c r="Y39" s="18" t="s">
        <v>567</v>
      </c>
      <c r="Z39" s="20" t="s">
        <v>567</v>
      </c>
      <c r="AA39" s="18" t="s">
        <v>567</v>
      </c>
      <c r="AB39" s="20" t="s">
        <v>567</v>
      </c>
    </row>
    <row r="40" spans="1:2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c r="U40" s="18" t="s">
        <v>567</v>
      </c>
      <c r="V40" s="20" t="s">
        <v>567</v>
      </c>
      <c r="W40" s="18" t="s">
        <v>567</v>
      </c>
      <c r="X40" s="20" t="s">
        <v>567</v>
      </c>
      <c r="Y40" s="18" t="s">
        <v>567</v>
      </c>
      <c r="Z40" s="20" t="s">
        <v>567</v>
      </c>
      <c r="AA40" s="18" t="s">
        <v>567</v>
      </c>
      <c r="AB40" s="20" t="s">
        <v>567</v>
      </c>
    </row>
    <row r="41" spans="1:2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c r="U41" s="18" t="s">
        <v>567</v>
      </c>
      <c r="V41" s="20" t="s">
        <v>567</v>
      </c>
      <c r="W41" s="18" t="s">
        <v>567</v>
      </c>
      <c r="X41" s="20" t="s">
        <v>567</v>
      </c>
      <c r="Y41" s="18" t="s">
        <v>567</v>
      </c>
      <c r="Z41" s="20" t="s">
        <v>567</v>
      </c>
      <c r="AA41" s="18" t="s">
        <v>567</v>
      </c>
      <c r="AB41" s="20" t="s">
        <v>567</v>
      </c>
    </row>
    <row r="42" spans="1:2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604</v>
      </c>
      <c r="B44" s="17" t="n">
        <v>2524</v>
      </c>
      <c r="C44" s="18">
        <f>(1709.0/B44*100)</f>
        <v/>
      </c>
      <c r="D44" s="19" t="n">
        <v>815</v>
      </c>
      <c r="E44" s="18" t="n">
        <v>16.62865233</v>
      </c>
      <c r="F44" s="20" t="n">
        <v>1.50673579</v>
      </c>
      <c r="G44" s="18" t="n">
        <v>2.86433159</v>
      </c>
      <c r="H44" s="20" t="n">
        <v>0.60063868</v>
      </c>
      <c r="I44" s="18" t="n">
        <v>2.15319602</v>
      </c>
      <c r="J44" s="20" t="n">
        <v>0.57711009</v>
      </c>
      <c r="K44" s="18" t="n">
        <v>12.3987237</v>
      </c>
      <c r="L44" s="20" t="n">
        <v>1.42129475</v>
      </c>
      <c r="M44" s="18" t="n">
        <v>0</v>
      </c>
      <c r="N44" s="20" t="n">
        <v>0</v>
      </c>
      <c r="O44" s="18" t="n">
        <v>11.70701924</v>
      </c>
      <c r="P44" s="20" t="n">
        <v>1.5767179</v>
      </c>
      <c r="Q44" s="18" t="n">
        <v>6.22064576</v>
      </c>
      <c r="R44" s="20" t="n">
        <v>0.90765748</v>
      </c>
      <c r="S44" s="18" t="s">
        <v>567</v>
      </c>
      <c r="T44" s="20" t="s">
        <v>567</v>
      </c>
      <c r="U44" s="18" t="n">
        <v>3.38129999</v>
      </c>
      <c r="V44" s="20" t="n">
        <v>0.66142542</v>
      </c>
      <c r="W44" s="18" t="n">
        <v>0</v>
      </c>
      <c r="X44" s="20" t="n">
        <v>0</v>
      </c>
      <c r="Y44" s="18" t="n">
        <v>0</v>
      </c>
      <c r="Z44" s="20" t="n">
        <v>0</v>
      </c>
      <c r="AA44" s="18" t="n">
        <v>44.64613137</v>
      </c>
      <c r="AB44" s="20" t="n">
        <v>2.56958413</v>
      </c>
    </row>
    <row r="45" spans="1:28">
      <c r="A45" s="15" t="s">
        <v>605</v>
      </c>
      <c r="B45" s="17" t="n">
        <v>2849</v>
      </c>
      <c r="C45" s="18">
        <f>(1905.0/B45*100)</f>
        <v/>
      </c>
      <c r="D45" s="19" t="n">
        <v>944</v>
      </c>
      <c r="E45" s="18" t="n">
        <v>15.96316233</v>
      </c>
      <c r="F45" s="20" t="n">
        <v>1.25298229</v>
      </c>
      <c r="G45" s="18" t="n">
        <v>3.19868585</v>
      </c>
      <c r="H45" s="20" t="n">
        <v>0.50485857</v>
      </c>
      <c r="I45" s="18" t="n">
        <v>4.0391009</v>
      </c>
      <c r="J45" s="20" t="n">
        <v>0.58918794</v>
      </c>
      <c r="K45" s="18" t="n">
        <v>31.48098011</v>
      </c>
      <c r="L45" s="20" t="n">
        <v>1.76099552</v>
      </c>
      <c r="M45" s="18" t="n">
        <v>0</v>
      </c>
      <c r="N45" s="20" t="n">
        <v>0</v>
      </c>
      <c r="O45" s="18" t="n">
        <v>2.89036399</v>
      </c>
      <c r="P45" s="20" t="n">
        <v>0.64745196</v>
      </c>
      <c r="Q45" s="18" t="n">
        <v>3.51051428</v>
      </c>
      <c r="R45" s="20" t="n">
        <v>0.64807876</v>
      </c>
      <c r="S45" s="18" t="s">
        <v>567</v>
      </c>
      <c r="T45" s="20" t="s">
        <v>567</v>
      </c>
      <c r="U45" s="18" t="n">
        <v>5.12843804</v>
      </c>
      <c r="V45" s="20" t="n">
        <v>0.91611609</v>
      </c>
      <c r="W45" s="18" t="n">
        <v>0.34732386</v>
      </c>
      <c r="X45" s="20" t="n">
        <v>0.24744317</v>
      </c>
      <c r="Y45" s="18" t="n">
        <v>0</v>
      </c>
      <c r="Z45" s="20" t="n">
        <v>0</v>
      </c>
      <c r="AA45" s="18" t="n">
        <v>33.44143065</v>
      </c>
      <c r="AB45" s="20" t="n">
        <v>1.69298903</v>
      </c>
    </row>
    <row r="46" spans="1:2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c r="U46" s="18" t="s">
        <v>567</v>
      </c>
      <c r="V46" s="20" t="s">
        <v>567</v>
      </c>
      <c r="W46" s="18" t="s">
        <v>567</v>
      </c>
      <c r="X46" s="20" t="s">
        <v>567</v>
      </c>
      <c r="Y46" s="18" t="s">
        <v>567</v>
      </c>
      <c r="Z46" s="20" t="s">
        <v>567</v>
      </c>
      <c r="AA46" s="18" t="s">
        <v>567</v>
      </c>
      <c r="AB46" s="20" t="s">
        <v>567</v>
      </c>
    </row>
    <row r="47" spans="1:2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c r="U47" s="18" t="s">
        <v>567</v>
      </c>
      <c r="V47" s="20" t="s">
        <v>567</v>
      </c>
      <c r="W47" s="18" t="s">
        <v>567</v>
      </c>
      <c r="X47" s="20" t="s">
        <v>567</v>
      </c>
      <c r="Y47" s="18" t="s">
        <v>567</v>
      </c>
      <c r="Z47" s="20" t="s">
        <v>567</v>
      </c>
      <c r="AA47" s="18" t="s">
        <v>567</v>
      </c>
      <c r="AB47" s="20" t="s">
        <v>567</v>
      </c>
    </row>
    <row r="48" spans="1:2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c r="U48" s="18" t="s">
        <v>567</v>
      </c>
      <c r="V48" s="20" t="s">
        <v>567</v>
      </c>
      <c r="W48" s="18" t="s">
        <v>567</v>
      </c>
      <c r="X48" s="20" t="s">
        <v>567</v>
      </c>
      <c r="Y48" s="18" t="s">
        <v>567</v>
      </c>
      <c r="Z48" s="20" t="s">
        <v>567</v>
      </c>
      <c r="AA48" s="18" t="s">
        <v>567</v>
      </c>
      <c r="AB48" s="20" t="s">
        <v>567</v>
      </c>
    </row>
    <row r="49" spans="1:28">
      <c r="A49" s="15" t="s">
        <v>609</v>
      </c>
      <c r="B49" s="17" t="n">
        <v>3018</v>
      </c>
      <c r="C49" s="18">
        <f>(2008.0/B49*100)</f>
        <v/>
      </c>
      <c r="D49" s="19" t="n">
        <v>1010</v>
      </c>
      <c r="E49" s="18" t="n">
        <v>22.20151634</v>
      </c>
      <c r="F49" s="20" t="n">
        <v>1.67593189</v>
      </c>
      <c r="G49" s="18" t="n">
        <v>13.00742406</v>
      </c>
      <c r="H49" s="20" t="n">
        <v>1.05807049</v>
      </c>
      <c r="I49" s="18" t="n">
        <v>0.6674681</v>
      </c>
      <c r="J49" s="20" t="n">
        <v>0.29114744</v>
      </c>
      <c r="K49" s="18" t="n">
        <v>15.34760506</v>
      </c>
      <c r="L49" s="20" t="n">
        <v>1.21954155</v>
      </c>
      <c r="M49" s="18" t="n">
        <v>0</v>
      </c>
      <c r="N49" s="20" t="n">
        <v>0</v>
      </c>
      <c r="O49" s="18" t="n">
        <v>11.23491969</v>
      </c>
      <c r="P49" s="20" t="n">
        <v>1.12841679</v>
      </c>
      <c r="Q49" s="18" t="n">
        <v>2.71390336</v>
      </c>
      <c r="R49" s="20" t="n">
        <v>0.53405379</v>
      </c>
      <c r="S49" s="18" t="s">
        <v>567</v>
      </c>
      <c r="T49" s="20" t="s">
        <v>567</v>
      </c>
      <c r="U49" s="18" t="n">
        <v>1.6742883</v>
      </c>
      <c r="V49" s="20" t="n">
        <v>0.65909324</v>
      </c>
      <c r="W49" s="18" t="n">
        <v>0.14902409</v>
      </c>
      <c r="X49" s="20" t="n">
        <v>0.15624663</v>
      </c>
      <c r="Y49" s="18" t="n">
        <v>0</v>
      </c>
      <c r="Z49" s="20" t="n">
        <v>0</v>
      </c>
      <c r="AA49" s="18" t="n">
        <v>33.00385097</v>
      </c>
      <c r="AB49" s="20" t="n">
        <v>1.62760557</v>
      </c>
    </row>
    <row r="50" spans="1:2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c r="U50" s="18" t="s">
        <v>567</v>
      </c>
      <c r="V50" s="20" t="s">
        <v>567</v>
      </c>
      <c r="W50" s="18" t="s">
        <v>567</v>
      </c>
      <c r="X50" s="20" t="s">
        <v>567</v>
      </c>
      <c r="Y50" s="18" t="s">
        <v>567</v>
      </c>
      <c r="Z50" s="20" t="s">
        <v>567</v>
      </c>
      <c r="AA50" s="18" t="s">
        <v>567</v>
      </c>
      <c r="AB50" s="20" t="s">
        <v>567</v>
      </c>
    </row>
    <row r="51" spans="1:2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c r="U51" s="18" t="s">
        <v>567</v>
      </c>
      <c r="V51" s="20" t="s">
        <v>567</v>
      </c>
      <c r="W51" s="18" t="s">
        <v>567</v>
      </c>
      <c r="X51" s="20" t="s">
        <v>567</v>
      </c>
      <c r="Y51" s="18" t="s">
        <v>567</v>
      </c>
      <c r="Z51" s="20" t="s">
        <v>567</v>
      </c>
      <c r="AA51" s="18" t="s">
        <v>567</v>
      </c>
      <c r="AB51" s="20" t="s">
        <v>567</v>
      </c>
    </row>
    <row r="52" spans="1:2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c r="U52" s="18" t="s">
        <v>567</v>
      </c>
      <c r="V52" s="20" t="s">
        <v>567</v>
      </c>
      <c r="W52" s="18" t="s">
        <v>567</v>
      </c>
      <c r="X52" s="20" t="s">
        <v>567</v>
      </c>
      <c r="Y52" s="18" t="s">
        <v>567</v>
      </c>
      <c r="Z52" s="20" t="s">
        <v>567</v>
      </c>
      <c r="AA52" s="18" t="s">
        <v>567</v>
      </c>
      <c r="AB52" s="20" t="s">
        <v>567</v>
      </c>
    </row>
    <row r="53" spans="1:2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c r="U53" s="18" t="s">
        <v>567</v>
      </c>
      <c r="V53" s="20" t="s">
        <v>567</v>
      </c>
      <c r="W53" s="18" t="s">
        <v>567</v>
      </c>
      <c r="X53" s="20" t="s">
        <v>567</v>
      </c>
      <c r="Y53" s="18" t="s">
        <v>567</v>
      </c>
      <c r="Z53" s="20" t="s">
        <v>567</v>
      </c>
      <c r="AA53" s="18" t="s">
        <v>567</v>
      </c>
      <c r="AB53" s="20" t="s">
        <v>567</v>
      </c>
    </row>
    <row r="54" spans="1:2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c r="U54" s="18" t="s">
        <v>567</v>
      </c>
      <c r="V54" s="20" t="s">
        <v>567</v>
      </c>
      <c r="W54" s="18" t="s">
        <v>567</v>
      </c>
      <c r="X54" s="20" t="s">
        <v>567</v>
      </c>
      <c r="Y54" s="18" t="s">
        <v>567</v>
      </c>
      <c r="Z54" s="20" t="s">
        <v>567</v>
      </c>
      <c r="AA54" s="18" t="s">
        <v>567</v>
      </c>
      <c r="AB54" s="20" t="s">
        <v>567</v>
      </c>
    </row>
    <row r="55" spans="1:28">
      <c r="A55" s="15" t="s">
        <v>615</v>
      </c>
      <c r="B55" s="17" t="n">
        <v>2759</v>
      </c>
      <c r="C55" s="18">
        <f>(1802.0/B55*100)</f>
        <v/>
      </c>
      <c r="D55" s="19" t="n">
        <v>957</v>
      </c>
      <c r="E55" s="18" t="n">
        <v>11.00177468</v>
      </c>
      <c r="F55" s="20" t="n">
        <v>1.19322049</v>
      </c>
      <c r="G55" s="18" t="n">
        <v>8.614799100000001</v>
      </c>
      <c r="H55" s="20" t="n">
        <v>1.05702612</v>
      </c>
      <c r="I55" s="18" t="n">
        <v>0.76173596</v>
      </c>
      <c r="J55" s="20" t="n">
        <v>0.27072829</v>
      </c>
      <c r="K55" s="18" t="n">
        <v>12.58105755</v>
      </c>
      <c r="L55" s="20" t="n">
        <v>1.23815716</v>
      </c>
      <c r="M55" s="18" t="n">
        <v>0</v>
      </c>
      <c r="N55" s="20" t="n">
        <v>0</v>
      </c>
      <c r="O55" s="18" t="n">
        <v>12.14608391</v>
      </c>
      <c r="P55" s="20" t="n">
        <v>1.09729108</v>
      </c>
      <c r="Q55" s="18" t="n">
        <v>3.15072961</v>
      </c>
      <c r="R55" s="20" t="n">
        <v>0.54074138</v>
      </c>
      <c r="S55" s="18" t="s">
        <v>567</v>
      </c>
      <c r="T55" s="20" t="s">
        <v>567</v>
      </c>
      <c r="U55" s="18" t="n">
        <v>2.88435355</v>
      </c>
      <c r="V55" s="20" t="n">
        <v>0.61192734</v>
      </c>
      <c r="W55" s="18" t="n">
        <v>0</v>
      </c>
      <c r="X55" s="20" t="n">
        <v>0</v>
      </c>
      <c r="Y55" s="18" t="n">
        <v>0.08702190999999999</v>
      </c>
      <c r="Z55" s="20" t="n">
        <v>0.08746284</v>
      </c>
      <c r="AA55" s="18" t="n">
        <v>48.77244373</v>
      </c>
      <c r="AB55" s="20" t="n">
        <v>1.98059623</v>
      </c>
    </row>
    <row r="56" spans="1:2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c r="U56" s="18" t="s">
        <v>567</v>
      </c>
      <c r="V56" s="20" t="s">
        <v>567</v>
      </c>
      <c r="W56" s="18" t="s">
        <v>567</v>
      </c>
      <c r="X56" s="20" t="s">
        <v>567</v>
      </c>
      <c r="Y56" s="18" t="s">
        <v>567</v>
      </c>
      <c r="Z56" s="20" t="s">
        <v>567</v>
      </c>
      <c r="AA56" s="18" t="s">
        <v>567</v>
      </c>
      <c r="AB56" s="20" t="s">
        <v>567</v>
      </c>
    </row>
    <row r="57" spans="1:28">
      <c r="A57" s="15" t="s">
        <v>617</v>
      </c>
      <c r="B57" s="17" t="n">
        <v>3170</v>
      </c>
      <c r="C57" s="18">
        <f>(2128.0/B57*100)</f>
        <v/>
      </c>
      <c r="D57" s="19" t="n">
        <v>1042</v>
      </c>
      <c r="E57" s="18" t="n">
        <v>36.72336167</v>
      </c>
      <c r="F57" s="20" t="n">
        <v>1.73377563</v>
      </c>
      <c r="G57" s="18" t="n">
        <v>10.39891149</v>
      </c>
      <c r="H57" s="20" t="n">
        <v>0.87838688</v>
      </c>
      <c r="I57" s="18" t="n">
        <v>2.91424059</v>
      </c>
      <c r="J57" s="20" t="n">
        <v>0.53495413</v>
      </c>
      <c r="K57" s="18" t="n">
        <v>28.78209066</v>
      </c>
      <c r="L57" s="20" t="n">
        <v>1.54660861</v>
      </c>
      <c r="M57" s="18" t="n">
        <v>0</v>
      </c>
      <c r="N57" s="20" t="n">
        <v>0</v>
      </c>
      <c r="O57" s="18" t="n">
        <v>9.45269113</v>
      </c>
      <c r="P57" s="20" t="n">
        <v>1.05152408</v>
      </c>
      <c r="Q57" s="18" t="n">
        <v>3.29663341</v>
      </c>
      <c r="R57" s="20" t="n">
        <v>0.5536096700000001</v>
      </c>
      <c r="S57" s="18" t="s">
        <v>567</v>
      </c>
      <c r="T57" s="20" t="s">
        <v>567</v>
      </c>
      <c r="U57" s="18" t="n">
        <v>1.36036546</v>
      </c>
      <c r="V57" s="20" t="n">
        <v>0.35397101</v>
      </c>
      <c r="W57" s="18" t="n">
        <v>0</v>
      </c>
      <c r="X57" s="20" t="n">
        <v>0</v>
      </c>
      <c r="Y57" s="18" t="n">
        <v>0</v>
      </c>
      <c r="Z57" s="20" t="n">
        <v>0</v>
      </c>
      <c r="AA57" s="18" t="n">
        <v>7.07170557</v>
      </c>
      <c r="AB57" s="20" t="n">
        <v>1.04105649</v>
      </c>
    </row>
    <row r="58" spans="1:28">
      <c r="A58" s="15" t="s">
        <v>618</v>
      </c>
      <c r="B58" s="17" t="n">
        <v>3530</v>
      </c>
      <c r="C58" s="18">
        <f>(2358.0/B58*100)</f>
        <v/>
      </c>
      <c r="D58" s="19" t="n">
        <v>1172</v>
      </c>
      <c r="E58" s="18" t="n">
        <v>13.70714026</v>
      </c>
      <c r="F58" s="20" t="n">
        <v>1.12961184</v>
      </c>
      <c r="G58" s="18" t="n">
        <v>11.50444512</v>
      </c>
      <c r="H58" s="20" t="n">
        <v>1.14526106</v>
      </c>
      <c r="I58" s="18" t="n">
        <v>3.98225358</v>
      </c>
      <c r="J58" s="20" t="n">
        <v>0.5407691100000001</v>
      </c>
      <c r="K58" s="18" t="n">
        <v>33.9391439</v>
      </c>
      <c r="L58" s="20" t="n">
        <v>1.77459875</v>
      </c>
      <c r="M58" s="18" t="n">
        <v>0</v>
      </c>
      <c r="N58" s="20" t="n">
        <v>0</v>
      </c>
      <c r="O58" s="18" t="n">
        <v>7.06511524</v>
      </c>
      <c r="P58" s="20" t="n">
        <v>0.79347643</v>
      </c>
      <c r="Q58" s="18" t="n">
        <v>2.98377726</v>
      </c>
      <c r="R58" s="20" t="n">
        <v>0.62185219</v>
      </c>
      <c r="S58" s="18" t="s">
        <v>567</v>
      </c>
      <c r="T58" s="20" t="s">
        <v>567</v>
      </c>
      <c r="U58" s="18" t="n">
        <v>3.36096815</v>
      </c>
      <c r="V58" s="20" t="n">
        <v>0.8564872100000001</v>
      </c>
      <c r="W58" s="18" t="n">
        <v>0</v>
      </c>
      <c r="X58" s="20" t="n">
        <v>0</v>
      </c>
      <c r="Y58" s="18" t="n">
        <v>0</v>
      </c>
      <c r="Z58" s="20" t="n">
        <v>0</v>
      </c>
      <c r="AA58" s="18" t="n">
        <v>23.45715649</v>
      </c>
      <c r="AB58" s="20" t="n">
        <v>1.68754557</v>
      </c>
    </row>
    <row r="59" spans="1:28">
      <c r="A59" s="15" t="s">
        <v>619</v>
      </c>
      <c r="B59" s="17" t="n">
        <v>2548</v>
      </c>
      <c r="C59" s="18">
        <f>(1724.0/B59*100)</f>
        <v/>
      </c>
      <c r="D59" s="19" t="n">
        <v>824</v>
      </c>
      <c r="E59" s="18" t="n">
        <v>16.89544369</v>
      </c>
      <c r="F59" s="20" t="n">
        <v>1.46466066</v>
      </c>
      <c r="G59" s="18" t="n">
        <v>4.99943359</v>
      </c>
      <c r="H59" s="20" t="n">
        <v>0.95236067</v>
      </c>
      <c r="I59" s="18" t="n">
        <v>4.13862192</v>
      </c>
      <c r="J59" s="20" t="n">
        <v>0.74419206</v>
      </c>
      <c r="K59" s="18" t="n">
        <v>32.24655867</v>
      </c>
      <c r="L59" s="20" t="n">
        <v>2.03650298</v>
      </c>
      <c r="M59" s="18" t="n">
        <v>0</v>
      </c>
      <c r="N59" s="20" t="n">
        <v>0</v>
      </c>
      <c r="O59" s="18" t="n">
        <v>9.725790079999999</v>
      </c>
      <c r="P59" s="20" t="n">
        <v>1.31427052</v>
      </c>
      <c r="Q59" s="18" t="n">
        <v>4.72273323</v>
      </c>
      <c r="R59" s="20" t="n">
        <v>0.9395413500000001</v>
      </c>
      <c r="S59" s="18" t="s">
        <v>567</v>
      </c>
      <c r="T59" s="20" t="s">
        <v>567</v>
      </c>
      <c r="U59" s="18" t="n">
        <v>0.43645331</v>
      </c>
      <c r="V59" s="20" t="n">
        <v>0.210035</v>
      </c>
      <c r="W59" s="18" t="n">
        <v>0</v>
      </c>
      <c r="X59" s="20" t="n">
        <v>0</v>
      </c>
      <c r="Y59" s="18" t="n">
        <v>0</v>
      </c>
      <c r="Z59" s="20" t="n">
        <v>0</v>
      </c>
      <c r="AA59" s="18" t="n">
        <v>26.83496551</v>
      </c>
      <c r="AB59" s="20" t="n">
        <v>1.73854591</v>
      </c>
    </row>
    <row r="60" spans="1:28">
      <c r="A60" s="15" t="s">
        <v>620</v>
      </c>
      <c r="B60" s="17" t="n">
        <v>2095</v>
      </c>
      <c r="C60" s="18">
        <f>(1425.0/B60*100)</f>
        <v/>
      </c>
      <c r="D60" s="19" t="n">
        <v>670</v>
      </c>
      <c r="E60" s="18" t="n">
        <v>13.81880528</v>
      </c>
      <c r="F60" s="20" t="n">
        <v>1.37972033</v>
      </c>
      <c r="G60" s="18" t="n">
        <v>5.62211596</v>
      </c>
      <c r="H60" s="20" t="n">
        <v>1.07375232</v>
      </c>
      <c r="I60" s="18" t="n">
        <v>4.06086639</v>
      </c>
      <c r="J60" s="20" t="n">
        <v>0.9311896200000001</v>
      </c>
      <c r="K60" s="18" t="n">
        <v>25.87787729</v>
      </c>
      <c r="L60" s="20" t="n">
        <v>1.96926645</v>
      </c>
      <c r="M60" s="18" t="n">
        <v>0</v>
      </c>
      <c r="N60" s="20" t="n">
        <v>0</v>
      </c>
      <c r="O60" s="18" t="n">
        <v>6.051698</v>
      </c>
      <c r="P60" s="20" t="n">
        <v>1.03631636</v>
      </c>
      <c r="Q60" s="18" t="n">
        <v>5.36976784</v>
      </c>
      <c r="R60" s="20" t="n">
        <v>1.08639844</v>
      </c>
      <c r="S60" s="18" t="s">
        <v>567</v>
      </c>
      <c r="T60" s="20" t="s">
        <v>567</v>
      </c>
      <c r="U60" s="18" t="n">
        <v>5.44462278</v>
      </c>
      <c r="V60" s="20" t="n">
        <v>0.99528459</v>
      </c>
      <c r="W60" s="18" t="n">
        <v>0</v>
      </c>
      <c r="X60" s="20" t="n">
        <v>0</v>
      </c>
      <c r="Y60" s="18" t="n">
        <v>0.28325291</v>
      </c>
      <c r="Z60" s="20" t="n">
        <v>0.16885954</v>
      </c>
      <c r="AA60" s="18" t="n">
        <v>33.47099355</v>
      </c>
      <c r="AB60" s="20" t="n">
        <v>1.83314703</v>
      </c>
    </row>
    <row r="61" spans="1:2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c r="U61" s="18" t="s">
        <v>567</v>
      </c>
      <c r="V61" s="20" t="s">
        <v>567</v>
      </c>
      <c r="W61" s="18" t="s">
        <v>567</v>
      </c>
      <c r="X61" s="20" t="s">
        <v>567</v>
      </c>
      <c r="Y61" s="18" t="s">
        <v>567</v>
      </c>
      <c r="Z61" s="20" t="s">
        <v>567</v>
      </c>
      <c r="AA61" s="18" t="s">
        <v>567</v>
      </c>
      <c r="AB61" s="20" t="s">
        <v>567</v>
      </c>
    </row>
    <row r="62" spans="1:2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c r="U62" s="18" t="s">
        <v>567</v>
      </c>
      <c r="V62" s="20" t="s">
        <v>567</v>
      </c>
      <c r="W62" s="18" t="s">
        <v>567</v>
      </c>
      <c r="X62" s="20" t="s">
        <v>567</v>
      </c>
      <c r="Y62" s="18" t="s">
        <v>567</v>
      </c>
      <c r="Z62" s="20" t="s">
        <v>567</v>
      </c>
      <c r="AA62" s="18" t="s">
        <v>567</v>
      </c>
      <c r="AB62" s="20" t="s">
        <v>567</v>
      </c>
    </row>
    <row r="63" spans="1:28">
      <c r="A63" s="15" t="s">
        <v>623</v>
      </c>
      <c r="B63" s="17" t="n">
        <v>2813</v>
      </c>
      <c r="C63" s="18">
        <f>(1871.0/B63*100)</f>
        <v/>
      </c>
      <c r="D63" s="19" t="n">
        <v>942</v>
      </c>
      <c r="E63" s="18" t="n">
        <v>7.04130655</v>
      </c>
      <c r="F63" s="20" t="n">
        <v>0.93222301</v>
      </c>
      <c r="G63" s="18" t="n">
        <v>3.00667228</v>
      </c>
      <c r="H63" s="20" t="n">
        <v>0.63513381</v>
      </c>
      <c r="I63" s="18" t="n">
        <v>1.57162862</v>
      </c>
      <c r="J63" s="20" t="n">
        <v>0.5284294</v>
      </c>
      <c r="K63" s="18" t="n">
        <v>12.8766866</v>
      </c>
      <c r="L63" s="20" t="n">
        <v>1.24859246</v>
      </c>
      <c r="M63" s="18" t="n">
        <v>0</v>
      </c>
      <c r="N63" s="20" t="n">
        <v>0</v>
      </c>
      <c r="O63" s="18" t="n">
        <v>9.261617620000001</v>
      </c>
      <c r="P63" s="20" t="n">
        <v>1.00893076</v>
      </c>
      <c r="Q63" s="18" t="n">
        <v>3.59002995</v>
      </c>
      <c r="R63" s="20" t="n">
        <v>0.68040601</v>
      </c>
      <c r="S63" s="18" t="s">
        <v>567</v>
      </c>
      <c r="T63" s="20" t="s">
        <v>567</v>
      </c>
      <c r="U63" s="18" t="n">
        <v>2.24423355</v>
      </c>
      <c r="V63" s="20" t="n">
        <v>0.54427141</v>
      </c>
      <c r="W63" s="18" t="n">
        <v>0</v>
      </c>
      <c r="X63" s="20" t="n">
        <v>0</v>
      </c>
      <c r="Y63" s="18" t="n">
        <v>0</v>
      </c>
      <c r="Z63" s="20" t="n">
        <v>0</v>
      </c>
      <c r="AA63" s="18" t="n">
        <v>60.40782483</v>
      </c>
      <c r="AB63" s="20" t="n">
        <v>1.91071665</v>
      </c>
    </row>
    <row r="64" spans="1:28">
      <c r="A64" s="15" t="s">
        <v>624</v>
      </c>
      <c r="B64" s="17" t="n">
        <v>1844</v>
      </c>
      <c r="C64" s="18">
        <f>(1243.0/B64*100)</f>
        <v/>
      </c>
      <c r="D64" s="19" t="n">
        <v>601</v>
      </c>
      <c r="E64" s="18" t="n">
        <v>25.55938838</v>
      </c>
      <c r="F64" s="20" t="n">
        <v>1.84444781</v>
      </c>
      <c r="G64" s="18" t="n">
        <v>8.14967053</v>
      </c>
      <c r="H64" s="20" t="n">
        <v>1.15900198</v>
      </c>
      <c r="I64" s="18" t="n">
        <v>2.26271955</v>
      </c>
      <c r="J64" s="20" t="n">
        <v>0.62181663</v>
      </c>
      <c r="K64" s="18" t="n">
        <v>16.10987919</v>
      </c>
      <c r="L64" s="20" t="n">
        <v>1.59325041</v>
      </c>
      <c r="M64" s="18" t="n">
        <v>0</v>
      </c>
      <c r="N64" s="20" t="n">
        <v>0</v>
      </c>
      <c r="O64" s="18" t="n">
        <v>13.12265506</v>
      </c>
      <c r="P64" s="20" t="n">
        <v>1.25517495</v>
      </c>
      <c r="Q64" s="18" t="n">
        <v>4.07362801</v>
      </c>
      <c r="R64" s="20" t="n">
        <v>0.8944070200000001</v>
      </c>
      <c r="S64" s="18" t="s">
        <v>567</v>
      </c>
      <c r="T64" s="20" t="s">
        <v>567</v>
      </c>
      <c r="U64" s="18" t="n">
        <v>4.5783763</v>
      </c>
      <c r="V64" s="20" t="n">
        <v>0.81736367</v>
      </c>
      <c r="W64" s="18" t="n">
        <v>0</v>
      </c>
      <c r="X64" s="20" t="n">
        <v>0</v>
      </c>
      <c r="Y64" s="18" t="n">
        <v>0</v>
      </c>
      <c r="Z64" s="20" t="n">
        <v>0</v>
      </c>
      <c r="AA64" s="18" t="n">
        <v>26.14368298</v>
      </c>
      <c r="AB64" s="20" t="n">
        <v>1.58724384</v>
      </c>
    </row>
    <row r="65" spans="1:28">
      <c r="A65" s="15" t="s">
        <v>625</v>
      </c>
      <c r="B65" s="17" t="n">
        <v>2691</v>
      </c>
      <c r="C65" s="18">
        <f>(1801.0/B65*100)</f>
        <v/>
      </c>
      <c r="D65" s="19" t="n">
        <v>890</v>
      </c>
      <c r="E65" s="18" t="n">
        <v>14.06945118</v>
      </c>
      <c r="F65" s="20" t="n">
        <v>1.0084208</v>
      </c>
      <c r="G65" s="18" t="n">
        <v>4.62101857</v>
      </c>
      <c r="H65" s="20" t="n">
        <v>0.6057357</v>
      </c>
      <c r="I65" s="18" t="n">
        <v>0.7417848500000001</v>
      </c>
      <c r="J65" s="20" t="n">
        <v>0.268586</v>
      </c>
      <c r="K65" s="18" t="n">
        <v>25.86833899</v>
      </c>
      <c r="L65" s="20" t="n">
        <v>1.71479555</v>
      </c>
      <c r="M65" s="18" t="n">
        <v>0</v>
      </c>
      <c r="N65" s="20" t="n">
        <v>0</v>
      </c>
      <c r="O65" s="18" t="n">
        <v>8.058733630000001</v>
      </c>
      <c r="P65" s="20" t="n">
        <v>1.13976874</v>
      </c>
      <c r="Q65" s="18" t="n">
        <v>3.29226086</v>
      </c>
      <c r="R65" s="20" t="n">
        <v>0.55152346</v>
      </c>
      <c r="S65" s="18" t="s">
        <v>567</v>
      </c>
      <c r="T65" s="20" t="s">
        <v>567</v>
      </c>
      <c r="U65" s="18" t="n">
        <v>5.72793761</v>
      </c>
      <c r="V65" s="20" t="n">
        <v>0.93916987</v>
      </c>
      <c r="W65" s="18" t="n">
        <v>0</v>
      </c>
      <c r="X65" s="20" t="n">
        <v>0</v>
      </c>
      <c r="Y65" s="18" t="n">
        <v>0</v>
      </c>
      <c r="Z65" s="20" t="n">
        <v>0</v>
      </c>
      <c r="AA65" s="18" t="n">
        <v>37.62047431</v>
      </c>
      <c r="AB65" s="20" t="n">
        <v>1.87386784</v>
      </c>
    </row>
    <row r="66" spans="1:2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c r="U66" s="18" t="s">
        <v>567</v>
      </c>
      <c r="V66" s="20" t="s">
        <v>567</v>
      </c>
      <c r="W66" s="18" t="s">
        <v>567</v>
      </c>
      <c r="X66" s="20" t="s">
        <v>567</v>
      </c>
      <c r="Y66" s="18" t="s">
        <v>567</v>
      </c>
      <c r="Z66" s="20" t="s">
        <v>567</v>
      </c>
      <c r="AA66" s="18" t="s">
        <v>567</v>
      </c>
      <c r="AB66" s="20" t="s">
        <v>567</v>
      </c>
    </row>
    <row r="67" spans="1:2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c r="U67" s="18" t="s">
        <v>567</v>
      </c>
      <c r="V67" s="20" t="s">
        <v>567</v>
      </c>
      <c r="W67" s="18" t="s">
        <v>567</v>
      </c>
      <c r="X67" s="20" t="s">
        <v>567</v>
      </c>
      <c r="Y67" s="18" t="s">
        <v>567</v>
      </c>
      <c r="Z67" s="20" t="s">
        <v>567</v>
      </c>
      <c r="AA67" s="18" t="s">
        <v>567</v>
      </c>
      <c r="AB67" s="20" t="s">
        <v>567</v>
      </c>
    </row>
    <row r="68" spans="1:2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c r="U68" s="18" t="s">
        <v>567</v>
      </c>
      <c r="V68" s="20" t="s">
        <v>567</v>
      </c>
      <c r="W68" s="18" t="s">
        <v>567</v>
      </c>
      <c r="X68" s="20" t="s">
        <v>567</v>
      </c>
      <c r="Y68" s="18" t="s">
        <v>567</v>
      </c>
      <c r="Z68" s="20" t="s">
        <v>567</v>
      </c>
      <c r="AA68" s="18" t="s">
        <v>567</v>
      </c>
      <c r="AB68" s="20" t="s">
        <v>567</v>
      </c>
    </row>
    <row r="69" spans="1:28">
      <c r="A69" s="15" t="s">
        <v>629</v>
      </c>
      <c r="B69" s="17" t="n">
        <v>2410</v>
      </c>
      <c r="C69" s="18">
        <f>(1606.0/B69*100)</f>
        <v/>
      </c>
      <c r="D69" s="19" t="n">
        <v>804</v>
      </c>
      <c r="E69" s="18" t="n">
        <v>14.86885255</v>
      </c>
      <c r="F69" s="20" t="n">
        <v>1.41106101</v>
      </c>
      <c r="G69" s="18" t="n">
        <v>4.3760009</v>
      </c>
      <c r="H69" s="20" t="n">
        <v>0.76997497</v>
      </c>
      <c r="I69" s="18" t="n">
        <v>2.28706518</v>
      </c>
      <c r="J69" s="20" t="n">
        <v>0.55174022</v>
      </c>
      <c r="K69" s="18" t="n">
        <v>54.24256178</v>
      </c>
      <c r="L69" s="20" t="n">
        <v>2.27475407</v>
      </c>
      <c r="M69" s="18" t="n">
        <v>0</v>
      </c>
      <c r="N69" s="20" t="n">
        <v>0</v>
      </c>
      <c r="O69" s="18" t="n">
        <v>18.04269783</v>
      </c>
      <c r="P69" s="20" t="n">
        <v>1.38659151</v>
      </c>
      <c r="Q69" s="18" t="n">
        <v>5.45756444</v>
      </c>
      <c r="R69" s="20" t="n">
        <v>0.7885022</v>
      </c>
      <c r="S69" s="18" t="s">
        <v>567</v>
      </c>
      <c r="T69" s="20" t="s">
        <v>567</v>
      </c>
      <c r="U69" s="18" t="n">
        <v>0</v>
      </c>
      <c r="V69" s="20" t="n">
        <v>0</v>
      </c>
      <c r="W69" s="18" t="n">
        <v>0</v>
      </c>
      <c r="X69" s="20" t="n">
        <v>0</v>
      </c>
      <c r="Y69" s="18" t="n">
        <v>0</v>
      </c>
      <c r="Z69" s="20" t="n">
        <v>0</v>
      </c>
      <c r="AA69" s="18" t="n">
        <v>0.72525731</v>
      </c>
      <c r="AB69" s="20" t="n">
        <v>0.35576256</v>
      </c>
    </row>
    <row r="70" spans="1:2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c r="U70" s="18" t="s">
        <v>567</v>
      </c>
      <c r="V70" s="20" t="s">
        <v>567</v>
      </c>
      <c r="W70" s="18" t="s">
        <v>567</v>
      </c>
      <c r="X70" s="20" t="s">
        <v>567</v>
      </c>
      <c r="Y70" s="18" t="s">
        <v>567</v>
      </c>
      <c r="Z70" s="20" t="s">
        <v>567</v>
      </c>
      <c r="AA70" s="18" t="s">
        <v>567</v>
      </c>
      <c r="AB70" s="20" t="s">
        <v>567</v>
      </c>
    </row>
    <row r="71" spans="1:2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c r="U71" s="18" t="s">
        <v>567</v>
      </c>
      <c r="V71" s="20" t="s">
        <v>567</v>
      </c>
      <c r="W71" s="18" t="s">
        <v>567</v>
      </c>
      <c r="X71" s="20" t="s">
        <v>567</v>
      </c>
      <c r="Y71" s="18" t="s">
        <v>567</v>
      </c>
      <c r="Z71" s="20" t="s">
        <v>567</v>
      </c>
      <c r="AA71" s="18" t="s">
        <v>567</v>
      </c>
      <c r="AB71" s="20" t="s">
        <v>567</v>
      </c>
    </row>
    <row r="72" spans="1:2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c r="U72" s="18" t="s">
        <v>567</v>
      </c>
      <c r="V72" s="20" t="s">
        <v>567</v>
      </c>
      <c r="W72" s="18" t="s">
        <v>567</v>
      </c>
      <c r="X72" s="20" t="s">
        <v>567</v>
      </c>
      <c r="Y72" s="18" t="s">
        <v>567</v>
      </c>
      <c r="Z72" s="20" t="s">
        <v>567</v>
      </c>
      <c r="AA72" s="18" t="s">
        <v>567</v>
      </c>
      <c r="AB72" s="20" t="s">
        <v>567</v>
      </c>
    </row>
    <row r="73" spans="1:2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c r="U73" s="18" t="s">
        <v>567</v>
      </c>
      <c r="V73" s="20" t="s">
        <v>567</v>
      </c>
      <c r="W73" s="18" t="s">
        <v>567</v>
      </c>
      <c r="X73" s="20" t="s">
        <v>567</v>
      </c>
      <c r="Y73" s="18" t="s">
        <v>567</v>
      </c>
      <c r="Z73" s="20" t="s">
        <v>567</v>
      </c>
      <c r="AA73" s="18" t="s">
        <v>567</v>
      </c>
      <c r="AB73" s="20" t="s">
        <v>567</v>
      </c>
    </row>
    <row r="74" spans="1:28">
      <c r="A74" s="15" t="s">
        <v>634</v>
      </c>
      <c r="B74" s="17" t="n">
        <v>2239</v>
      </c>
      <c r="C74" s="18">
        <f>(1511.0/B74*100)</f>
        <v/>
      </c>
      <c r="D74" s="19" t="n">
        <v>728</v>
      </c>
      <c r="E74" s="18" t="n">
        <v>24.45259103</v>
      </c>
      <c r="F74" s="20" t="n">
        <v>1.51245948</v>
      </c>
      <c r="G74" s="18" t="n">
        <v>7.41065257</v>
      </c>
      <c r="H74" s="20" t="n">
        <v>0.99055328</v>
      </c>
      <c r="I74" s="18" t="n">
        <v>3.04249244</v>
      </c>
      <c r="J74" s="20" t="n">
        <v>0.8248478</v>
      </c>
      <c r="K74" s="18" t="n">
        <v>15.10784012</v>
      </c>
      <c r="L74" s="20" t="n">
        <v>1.32513015</v>
      </c>
      <c r="M74" s="18" t="n">
        <v>0</v>
      </c>
      <c r="N74" s="20" t="n">
        <v>0</v>
      </c>
      <c r="O74" s="18" t="n">
        <v>7.59668634</v>
      </c>
      <c r="P74" s="20" t="n">
        <v>1.03810637</v>
      </c>
      <c r="Q74" s="18" t="n">
        <v>3.1201974</v>
      </c>
      <c r="R74" s="20" t="n">
        <v>0.7374450299999999</v>
      </c>
      <c r="S74" s="18" t="s">
        <v>567</v>
      </c>
      <c r="T74" s="20" t="s">
        <v>567</v>
      </c>
      <c r="U74" s="18" t="n">
        <v>10.71677782</v>
      </c>
      <c r="V74" s="20" t="n">
        <v>1.47863413</v>
      </c>
      <c r="W74" s="18" t="n">
        <v>0</v>
      </c>
      <c r="X74" s="20" t="n">
        <v>0</v>
      </c>
      <c r="Y74" s="18" t="n">
        <v>0</v>
      </c>
      <c r="Z74" s="20" t="n">
        <v>0</v>
      </c>
      <c r="AA74" s="18" t="n">
        <v>28.55276226</v>
      </c>
      <c r="AB74" s="20" t="n">
        <v>1.90789287</v>
      </c>
    </row>
    <row r="75" spans="1:2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c r="U75" s="18" t="s">
        <v>567</v>
      </c>
      <c r="V75" s="20" t="s">
        <v>567</v>
      </c>
      <c r="W75" s="18" t="s">
        <v>567</v>
      </c>
      <c r="X75" s="20" t="s">
        <v>567</v>
      </c>
      <c r="Y75" s="18" t="s">
        <v>567</v>
      </c>
      <c r="Z75" s="20" t="s">
        <v>567</v>
      </c>
      <c r="AA75" s="18" t="s">
        <v>567</v>
      </c>
      <c r="AB75" s="20" t="s">
        <v>567</v>
      </c>
    </row>
    <row r="76" spans="1:2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c r="U76" s="18" t="s">
        <v>567</v>
      </c>
      <c r="V76" s="20" t="s">
        <v>567</v>
      </c>
      <c r="W76" s="18" t="s">
        <v>567</v>
      </c>
      <c r="X76" s="20" t="s">
        <v>567</v>
      </c>
      <c r="Y76" s="18" t="s">
        <v>567</v>
      </c>
      <c r="Z76" s="20" t="s">
        <v>567</v>
      </c>
      <c r="AA76" s="18" t="s">
        <v>567</v>
      </c>
      <c r="AB76" s="20" t="s">
        <v>567</v>
      </c>
    </row>
    <row r="77" spans="1:2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c r="U77" s="18" t="s">
        <v>567</v>
      </c>
      <c r="V77" s="20" t="s">
        <v>567</v>
      </c>
      <c r="W77" s="18" t="s">
        <v>567</v>
      </c>
      <c r="X77" s="20" t="s">
        <v>567</v>
      </c>
      <c r="Y77" s="18" t="s">
        <v>567</v>
      </c>
      <c r="Z77" s="20" t="s">
        <v>567</v>
      </c>
      <c r="AA77" s="18" t="s">
        <v>567</v>
      </c>
      <c r="AB77" s="20" t="s">
        <v>567</v>
      </c>
    </row>
    <row r="78" spans="1:28">
      <c r="A78" s="15" t="s">
        <v>638</v>
      </c>
      <c r="B78" s="17" t="n">
        <v>2786</v>
      </c>
      <c r="C78" s="18">
        <f>(1843.0/B78*100)</f>
        <v/>
      </c>
      <c r="D78" s="19" t="n">
        <v>943</v>
      </c>
      <c r="E78" s="18" t="n">
        <v>20.0406092</v>
      </c>
      <c r="F78" s="20" t="n">
        <v>1.22856674</v>
      </c>
      <c r="G78" s="18" t="n">
        <v>11.09630804</v>
      </c>
      <c r="H78" s="20" t="n">
        <v>1.02905708</v>
      </c>
      <c r="I78" s="18" t="n">
        <v>1.89540246</v>
      </c>
      <c r="J78" s="20" t="n">
        <v>0.43760601</v>
      </c>
      <c r="K78" s="18" t="n">
        <v>37.96913251</v>
      </c>
      <c r="L78" s="20" t="n">
        <v>1.80744144</v>
      </c>
      <c r="M78" s="18" t="n">
        <v>0</v>
      </c>
      <c r="N78" s="20" t="n">
        <v>0</v>
      </c>
      <c r="O78" s="18" t="n">
        <v>16.97770207</v>
      </c>
      <c r="P78" s="20" t="n">
        <v>1.28725299</v>
      </c>
      <c r="Q78" s="18" t="n">
        <v>8.92623291</v>
      </c>
      <c r="R78" s="20" t="n">
        <v>0.95349236</v>
      </c>
      <c r="S78" s="18" t="s">
        <v>567</v>
      </c>
      <c r="T78" s="20" t="s">
        <v>567</v>
      </c>
      <c r="U78" s="18" t="n">
        <v>0</v>
      </c>
      <c r="V78" s="20" t="n">
        <v>0</v>
      </c>
      <c r="W78" s="18" t="n">
        <v>0</v>
      </c>
      <c r="X78" s="20" t="n">
        <v>0</v>
      </c>
      <c r="Y78" s="18" t="n">
        <v>0</v>
      </c>
      <c r="Z78" s="20" t="n">
        <v>0</v>
      </c>
      <c r="AA78" s="18" t="n">
        <v>3.09461281</v>
      </c>
      <c r="AB78" s="20" t="n">
        <v>0.81392961</v>
      </c>
    </row>
    <row customHeight="1" ht="25" r="79" spans="1:28">
      <c r="A79" s="15" t="s">
        <v>639</v>
      </c>
      <c r="B79" s="17" t="n">
        <v>787</v>
      </c>
      <c r="C79" s="18">
        <f>(527.0/B79*100)</f>
        <v/>
      </c>
      <c r="D79" s="19" t="n">
        <v>260</v>
      </c>
      <c r="E79" s="18" t="n">
        <v>24.97397599</v>
      </c>
      <c r="F79" s="20" t="n">
        <v>2.65021424</v>
      </c>
      <c r="G79" s="18" t="n">
        <v>13.17940167</v>
      </c>
      <c r="H79" s="20" t="n">
        <v>2.00198527</v>
      </c>
      <c r="I79" s="18" t="n">
        <v>0.26373943</v>
      </c>
      <c r="J79" s="20" t="n">
        <v>0.18542402</v>
      </c>
      <c r="K79" s="18" t="n">
        <v>12.60571478</v>
      </c>
      <c r="L79" s="20" t="n">
        <v>2.68859837</v>
      </c>
      <c r="M79" s="18" t="n">
        <v>0</v>
      </c>
      <c r="N79" s="20" t="n">
        <v>0</v>
      </c>
      <c r="O79" s="18" t="n">
        <v>16.00034804</v>
      </c>
      <c r="P79" s="20" t="n">
        <v>2.37701383</v>
      </c>
      <c r="Q79" s="18" t="n">
        <v>2.69275793</v>
      </c>
      <c r="R79" s="20" t="n">
        <v>1.50035932</v>
      </c>
      <c r="S79" s="18" t="s">
        <v>567</v>
      </c>
      <c r="T79" s="20" t="s">
        <v>567</v>
      </c>
      <c r="U79" s="18" t="n">
        <v>3.11003554</v>
      </c>
      <c r="V79" s="20" t="n">
        <v>1.03964058</v>
      </c>
      <c r="W79" s="18" t="n">
        <v>0</v>
      </c>
      <c r="X79" s="20" t="n">
        <v>0</v>
      </c>
      <c r="Y79" s="18" t="n">
        <v>0</v>
      </c>
      <c r="Z79" s="20" t="n">
        <v>0</v>
      </c>
      <c r="AA79" s="18" t="n">
        <v>27.17402663</v>
      </c>
      <c r="AB79" s="20" t="n">
        <v>2.35143286</v>
      </c>
    </row>
    <row r="80" spans="1:2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c r="W80" s="18" t="s">
        <v>567</v>
      </c>
      <c r="X80" s="20" t="s">
        <v>567</v>
      </c>
      <c r="Y80" s="18" t="s">
        <v>567</v>
      </c>
      <c r="Z80" s="20" t="s">
        <v>567</v>
      </c>
      <c r="AA80" s="18" t="s">
        <v>567</v>
      </c>
      <c r="AB80" s="20" t="s">
        <v>567</v>
      </c>
    </row>
    <row r="81" spans="1:2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c r="U81" s="18" t="s">
        <v>567</v>
      </c>
      <c r="V81" s="20" t="s">
        <v>567</v>
      </c>
      <c r="W81" s="18" t="s">
        <v>567</v>
      </c>
      <c r="X81" s="20" t="s">
        <v>567</v>
      </c>
      <c r="Y81" s="18" t="s">
        <v>567</v>
      </c>
      <c r="Z81" s="20" t="s">
        <v>567</v>
      </c>
      <c r="AA81" s="18" t="s">
        <v>567</v>
      </c>
      <c r="AB81" s="20" t="s">
        <v>567</v>
      </c>
    </row>
    <row r="82" spans="1:2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c r="W82" s="22" t="s">
        <v>642</v>
      </c>
      <c r="X82" s="22" t="s">
        <v>642</v>
      </c>
      <c r="Y82" s="22" t="s">
        <v>642</v>
      </c>
      <c r="Z82" s="22" t="s">
        <v>642</v>
      </c>
      <c r="AA82" s="22" t="s">
        <v>642</v>
      </c>
      <c r="AB82" s="22" t="s">
        <v>642</v>
      </c>
    </row>
    <row r="83" spans="1:28">
      <c r="A83" s="3" t="s">
        <v>643</v>
      </c>
    </row>
    <row r="84" spans="1:28">
      <c r="A84" s="23" t="s">
        <v>644</v>
      </c>
    </row>
    <row r="85" spans="1:28">
      <c r="A85" s="23" t="s">
        <v>645</v>
      </c>
    </row>
    <row customHeight="1" ht="30" r="86" spans="1:28">
      <c r="A86" s="23" t="s">
        <v>646</v>
      </c>
    </row>
    <row customHeight="1" ht="30" r="87" spans="1:28">
      <c r="A87" s="23" t="s">
        <v>642</v>
      </c>
    </row>
    <row customHeight="1" ht="30" r="88" spans="1:28">
      <c r="A88" s="23" t="s">
        <v>647</v>
      </c>
    </row>
    <row customHeight="1" ht="30" r="89" spans="1:28">
      <c r="A89" s="23" t="s">
        <v>648</v>
      </c>
    </row>
    <row customHeight="1" ht="30" r="90" spans="1:28">
      <c r="A90" s="23" t="s">
        <v>649</v>
      </c>
    </row>
    <row customHeight="1" ht="30" r="91" spans="1:28">
      <c r="A91" s="23" t="s">
        <v>650</v>
      </c>
    </row>
    <row customHeight="1" ht="30" r="92" spans="1:28">
      <c r="A92" s="23" t="s">
        <v>651</v>
      </c>
    </row>
    <row customHeight="1" ht="30" r="93" spans="1:28">
      <c r="A93" s="23" t="s">
        <v>652</v>
      </c>
    </row>
    <row customHeight="1" ht="30" r="94" spans="1:28">
      <c r="A94" s="23" t="s">
        <v>653</v>
      </c>
    </row>
    <row customHeight="1" ht="30" r="95" spans="1:28">
      <c r="A95" s="23" t="s">
        <v>654</v>
      </c>
    </row>
    <row customHeight="1" ht="30" r="96" spans="1:28">
      <c r="A96" s="23" t="s">
        <v>655</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(1709.0/B44*100)</f>
        <v/>
      </c>
      <c r="D44" s="19" t="n">
        <v>815</v>
      </c>
      <c r="E44" s="18" t="n">
        <v>39.98436935</v>
      </c>
      <c r="F44" s="20" t="n">
        <v>2.26327849</v>
      </c>
      <c r="G44" s="18" t="n">
        <v>47.45244431</v>
      </c>
      <c r="H44" s="20" t="n">
        <v>2.07371249</v>
      </c>
      <c r="I44" s="18" t="s">
        <v>567</v>
      </c>
      <c r="J44" s="20" t="s">
        <v>567</v>
      </c>
      <c r="K44" s="18" t="n">
        <v>3.38129999</v>
      </c>
      <c r="L44" s="20" t="n">
        <v>0.66142542</v>
      </c>
      <c r="M44" s="18" t="n">
        <v>0</v>
      </c>
      <c r="N44" s="20" t="n">
        <v>0</v>
      </c>
      <c r="O44" s="18" t="n">
        <v>0.36424791</v>
      </c>
      <c r="P44" s="20" t="n">
        <v>0.1341812</v>
      </c>
      <c r="Q44" s="18" t="n">
        <v>8.81763844</v>
      </c>
      <c r="R44" s="20" t="n">
        <v>1.1800345</v>
      </c>
    </row>
    <row r="45" spans="1:18">
      <c r="A45" s="15" t="s">
        <v>605</v>
      </c>
      <c r="B45" s="17" t="n">
        <v>2849</v>
      </c>
      <c r="C45" s="18">
        <f>(1905.0/B45*100)</f>
        <v/>
      </c>
      <c r="D45" s="19" t="n">
        <v>944</v>
      </c>
      <c r="E45" s="18" t="n">
        <v>62.30645506</v>
      </c>
      <c r="F45" s="20" t="n">
        <v>2.22072212</v>
      </c>
      <c r="G45" s="18" t="n">
        <v>20.80194872</v>
      </c>
      <c r="H45" s="20" t="n">
        <v>1.69447946</v>
      </c>
      <c r="I45" s="18" t="s">
        <v>567</v>
      </c>
      <c r="J45" s="20" t="s">
        <v>567</v>
      </c>
      <c r="K45" s="18" t="n">
        <v>5.2109001</v>
      </c>
      <c r="L45" s="20" t="n">
        <v>0.91972995</v>
      </c>
      <c r="M45" s="18" t="n">
        <v>0.19372196</v>
      </c>
      <c r="N45" s="20" t="n">
        <v>0.13331809</v>
      </c>
      <c r="O45" s="18" t="n">
        <v>2.45426663</v>
      </c>
      <c r="P45" s="20" t="n">
        <v>0.89943759</v>
      </c>
      <c r="Q45" s="18" t="n">
        <v>9.032707520000001</v>
      </c>
      <c r="R45" s="20" t="n">
        <v>1.15951705</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(2008.0/B49*100)</f>
        <v/>
      </c>
      <c r="D49" s="19" t="n">
        <v>1010</v>
      </c>
      <c r="E49" s="18" t="n">
        <v>42.53816963</v>
      </c>
      <c r="F49" s="20" t="n">
        <v>1.73732154</v>
      </c>
      <c r="G49" s="18" t="n">
        <v>51.85992236</v>
      </c>
      <c r="H49" s="20" t="n">
        <v>1.93876731</v>
      </c>
      <c r="I49" s="18" t="s">
        <v>567</v>
      </c>
      <c r="J49" s="20" t="s">
        <v>567</v>
      </c>
      <c r="K49" s="18" t="n">
        <v>1.73888976</v>
      </c>
      <c r="L49" s="20" t="n">
        <v>0.65950624</v>
      </c>
      <c r="M49" s="18" t="n">
        <v>0</v>
      </c>
      <c r="N49" s="20" t="n">
        <v>0</v>
      </c>
      <c r="O49" s="18" t="n">
        <v>0</v>
      </c>
      <c r="P49" s="20" t="n">
        <v>0</v>
      </c>
      <c r="Q49" s="18" t="n">
        <v>3.86301826</v>
      </c>
      <c r="R49" s="20" t="n">
        <v>0.72789753</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(1802.0/B55*100)</f>
        <v/>
      </c>
      <c r="D55" s="19" t="n">
        <v>957</v>
      </c>
      <c r="E55" s="18" t="n">
        <v>49.85408482</v>
      </c>
      <c r="F55" s="20" t="n">
        <v>1.96342406</v>
      </c>
      <c r="G55" s="18" t="n">
        <v>41.11322761</v>
      </c>
      <c r="H55" s="20" t="n">
        <v>1.95764811</v>
      </c>
      <c r="I55" s="18" t="s">
        <v>567</v>
      </c>
      <c r="J55" s="20" t="s">
        <v>567</v>
      </c>
      <c r="K55" s="18" t="n">
        <v>2.88435355</v>
      </c>
      <c r="L55" s="20" t="n">
        <v>0.61192734</v>
      </c>
      <c r="M55" s="18" t="n">
        <v>0</v>
      </c>
      <c r="N55" s="20" t="n">
        <v>0</v>
      </c>
      <c r="O55" s="18" t="n">
        <v>0.18920948</v>
      </c>
      <c r="P55" s="20" t="n">
        <v>0.13318502</v>
      </c>
      <c r="Q55" s="18" t="n">
        <v>5.95912454</v>
      </c>
      <c r="R55" s="20" t="n">
        <v>0.76549223</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(2128.0/B57*100)</f>
        <v/>
      </c>
      <c r="D57" s="19" t="n">
        <v>1042</v>
      </c>
      <c r="E57" s="18" t="n">
        <v>67.62483834</v>
      </c>
      <c r="F57" s="20" t="n">
        <v>1.6848642</v>
      </c>
      <c r="G57" s="18" t="n">
        <v>30.36045735</v>
      </c>
      <c r="H57" s="20" t="n">
        <v>1.68167323</v>
      </c>
      <c r="I57" s="18" t="s">
        <v>567</v>
      </c>
      <c r="J57" s="20" t="s">
        <v>567</v>
      </c>
      <c r="K57" s="18" t="n">
        <v>1.36036546</v>
      </c>
      <c r="L57" s="20" t="n">
        <v>0.35397101</v>
      </c>
      <c r="M57" s="18" t="n">
        <v>0</v>
      </c>
      <c r="N57" s="20" t="n">
        <v>0</v>
      </c>
      <c r="O57" s="18" t="n">
        <v>0.10425135</v>
      </c>
      <c r="P57" s="20" t="n">
        <v>0.1470797</v>
      </c>
      <c r="Q57" s="18" t="n">
        <v>0.5500875</v>
      </c>
      <c r="R57" s="20" t="n">
        <v>0.25282304</v>
      </c>
    </row>
    <row r="58" spans="1:18">
      <c r="A58" s="15" t="s">
        <v>618</v>
      </c>
      <c r="B58" s="17" t="n">
        <v>3530</v>
      </c>
      <c r="C58" s="18">
        <f>(2358.0/B58*100)</f>
        <v/>
      </c>
      <c r="D58" s="19" t="n">
        <v>1172</v>
      </c>
      <c r="E58" s="18" t="n">
        <v>63.37039487</v>
      </c>
      <c r="F58" s="20" t="n">
        <v>1.64421797</v>
      </c>
      <c r="G58" s="18" t="n">
        <v>28.15913523</v>
      </c>
      <c r="H58" s="20" t="n">
        <v>1.49027818</v>
      </c>
      <c r="I58" s="18" t="s">
        <v>567</v>
      </c>
      <c r="J58" s="20" t="s">
        <v>567</v>
      </c>
      <c r="K58" s="18" t="n">
        <v>3.36096815</v>
      </c>
      <c r="L58" s="20" t="n">
        <v>0.8564872100000001</v>
      </c>
      <c r="M58" s="18" t="n">
        <v>0</v>
      </c>
      <c r="N58" s="20" t="n">
        <v>0</v>
      </c>
      <c r="O58" s="18" t="n">
        <v>0.40264109</v>
      </c>
      <c r="P58" s="20" t="n">
        <v>0.19964046</v>
      </c>
      <c r="Q58" s="18" t="n">
        <v>4.70686065</v>
      </c>
      <c r="R58" s="20" t="n">
        <v>0.69514592</v>
      </c>
    </row>
    <row r="59" spans="1:18">
      <c r="A59" s="15" t="s">
        <v>619</v>
      </c>
      <c r="B59" s="17" t="n">
        <v>2548</v>
      </c>
      <c r="C59" s="18">
        <f>(1724.0/B59*100)</f>
        <v/>
      </c>
      <c r="D59" s="19" t="n">
        <v>824</v>
      </c>
      <c r="E59" s="18" t="n">
        <v>56.43792976</v>
      </c>
      <c r="F59" s="20" t="n">
        <v>2.06976577</v>
      </c>
      <c r="G59" s="18" t="n">
        <v>39.84284365</v>
      </c>
      <c r="H59" s="20" t="n">
        <v>2.001325</v>
      </c>
      <c r="I59" s="18" t="s">
        <v>567</v>
      </c>
      <c r="J59" s="20" t="s">
        <v>567</v>
      </c>
      <c r="K59" s="18" t="n">
        <v>0.43645331</v>
      </c>
      <c r="L59" s="20" t="n">
        <v>0.210035</v>
      </c>
      <c r="M59" s="18" t="n">
        <v>0</v>
      </c>
      <c r="N59" s="20" t="n">
        <v>0</v>
      </c>
      <c r="O59" s="18" t="n">
        <v>0.73995851</v>
      </c>
      <c r="P59" s="20" t="n">
        <v>0.37434278</v>
      </c>
      <c r="Q59" s="18" t="n">
        <v>2.54281476</v>
      </c>
      <c r="R59" s="20" t="n">
        <v>0.5400550200000001</v>
      </c>
    </row>
    <row r="60" spans="1:18">
      <c r="A60" s="15" t="s">
        <v>620</v>
      </c>
      <c r="B60" s="17" t="n">
        <v>2095</v>
      </c>
      <c r="C60" s="18">
        <f>(1425.0/B60*100)</f>
        <v/>
      </c>
      <c r="D60" s="19" t="n">
        <v>670</v>
      </c>
      <c r="E60" s="18" t="n">
        <v>47.56730648</v>
      </c>
      <c r="F60" s="20" t="n">
        <v>2.16005968</v>
      </c>
      <c r="G60" s="18" t="n">
        <v>38.5354357</v>
      </c>
      <c r="H60" s="20" t="n">
        <v>2.40324063</v>
      </c>
      <c r="I60" s="18" t="s">
        <v>567</v>
      </c>
      <c r="J60" s="20" t="s">
        <v>567</v>
      </c>
      <c r="K60" s="18" t="n">
        <v>5.5405132</v>
      </c>
      <c r="L60" s="20" t="n">
        <v>1.00236205</v>
      </c>
      <c r="M60" s="18" t="n">
        <v>0</v>
      </c>
      <c r="N60" s="20" t="n">
        <v>0</v>
      </c>
      <c r="O60" s="18" t="n">
        <v>1.75938117</v>
      </c>
      <c r="P60" s="20" t="n">
        <v>0.72527267</v>
      </c>
      <c r="Q60" s="18" t="n">
        <v>6.59736345</v>
      </c>
      <c r="R60" s="20" t="n">
        <v>1.03352409</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(1871.0/B63*100)</f>
        <v/>
      </c>
      <c r="D63" s="19" t="n">
        <v>942</v>
      </c>
      <c r="E63" s="18" t="n">
        <v>57.894723</v>
      </c>
      <c r="F63" s="20" t="n">
        <v>1.827539</v>
      </c>
      <c r="G63" s="18" t="n">
        <v>32.97132153</v>
      </c>
      <c r="H63" s="20" t="n">
        <v>1.81119014</v>
      </c>
      <c r="I63" s="18" t="s">
        <v>567</v>
      </c>
      <c r="J63" s="20" t="s">
        <v>567</v>
      </c>
      <c r="K63" s="18" t="n">
        <v>2.24423355</v>
      </c>
      <c r="L63" s="20" t="n">
        <v>0.54427141</v>
      </c>
      <c r="M63" s="18" t="n">
        <v>0</v>
      </c>
      <c r="N63" s="20" t="n">
        <v>0</v>
      </c>
      <c r="O63" s="18" t="n">
        <v>0.05813279</v>
      </c>
      <c r="P63" s="20" t="n">
        <v>0.0585494</v>
      </c>
      <c r="Q63" s="18" t="n">
        <v>6.83158913</v>
      </c>
      <c r="R63" s="20" t="n">
        <v>0.82416684</v>
      </c>
    </row>
    <row r="64" spans="1:18">
      <c r="A64" s="15" t="s">
        <v>624</v>
      </c>
      <c r="B64" s="17" t="n">
        <v>1844</v>
      </c>
      <c r="C64" s="18">
        <f>(1243.0/B64*100)</f>
        <v/>
      </c>
      <c r="D64" s="19" t="n">
        <v>601</v>
      </c>
      <c r="E64" s="18" t="n">
        <v>40.54594559</v>
      </c>
      <c r="F64" s="20" t="n">
        <v>1.84607574</v>
      </c>
      <c r="G64" s="18" t="n">
        <v>49.45179888</v>
      </c>
      <c r="H64" s="20" t="n">
        <v>1.9061062</v>
      </c>
      <c r="I64" s="18" t="s">
        <v>567</v>
      </c>
      <c r="J64" s="20" t="s">
        <v>567</v>
      </c>
      <c r="K64" s="18" t="n">
        <v>4.5783763</v>
      </c>
      <c r="L64" s="20" t="n">
        <v>0.81736367</v>
      </c>
      <c r="M64" s="18" t="n">
        <v>0</v>
      </c>
      <c r="N64" s="20" t="n">
        <v>0</v>
      </c>
      <c r="O64" s="18" t="n">
        <v>0.67304291</v>
      </c>
      <c r="P64" s="20" t="n">
        <v>0.34139449</v>
      </c>
      <c r="Q64" s="18" t="n">
        <v>4.75083631</v>
      </c>
      <c r="R64" s="20" t="n">
        <v>0.9480534900000001</v>
      </c>
    </row>
    <row r="65" spans="1:18">
      <c r="A65" s="15" t="s">
        <v>625</v>
      </c>
      <c r="B65" s="17" t="n">
        <v>2691</v>
      </c>
      <c r="C65" s="18">
        <f>(1801.0/B65*100)</f>
        <v/>
      </c>
      <c r="D65" s="19" t="n">
        <v>890</v>
      </c>
      <c r="E65" s="18" t="n">
        <v>42.95447307</v>
      </c>
      <c r="F65" s="20" t="n">
        <v>2.00501926</v>
      </c>
      <c r="G65" s="18" t="n">
        <v>44.87951331</v>
      </c>
      <c r="H65" s="20" t="n">
        <v>1.87779092</v>
      </c>
      <c r="I65" s="18" t="s">
        <v>567</v>
      </c>
      <c r="J65" s="20" t="s">
        <v>567</v>
      </c>
      <c r="K65" s="18" t="n">
        <v>5.9614894</v>
      </c>
      <c r="L65" s="20" t="n">
        <v>0.96490122</v>
      </c>
      <c r="M65" s="18" t="n">
        <v>0.67610298</v>
      </c>
      <c r="N65" s="20" t="n">
        <v>0.31616069</v>
      </c>
      <c r="O65" s="18" t="n">
        <v>0</v>
      </c>
      <c r="P65" s="20" t="n">
        <v>0</v>
      </c>
      <c r="Q65" s="18" t="n">
        <v>5.52842124</v>
      </c>
      <c r="R65" s="20" t="n">
        <v>0.72280107</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(1606.0/B69*100)</f>
        <v/>
      </c>
      <c r="D69" s="19" t="n">
        <v>804</v>
      </c>
      <c r="E69" s="18" t="n">
        <v>45.04860242</v>
      </c>
      <c r="F69" s="20" t="n">
        <v>2.23243432</v>
      </c>
      <c r="G69" s="18" t="n">
        <v>54.74684919</v>
      </c>
      <c r="H69" s="20" t="n">
        <v>2.24347849</v>
      </c>
      <c r="I69" s="18" t="s">
        <v>567</v>
      </c>
      <c r="J69" s="20" t="s">
        <v>567</v>
      </c>
      <c r="K69" s="18" t="n">
        <v>0</v>
      </c>
      <c r="L69" s="20" t="n">
        <v>0</v>
      </c>
      <c r="M69" s="18" t="n">
        <v>0</v>
      </c>
      <c r="N69" s="20" t="n">
        <v>0</v>
      </c>
      <c r="O69" s="18" t="n">
        <v>0</v>
      </c>
      <c r="P69" s="20" t="n">
        <v>0</v>
      </c>
      <c r="Q69" s="18" t="n">
        <v>0.20454839</v>
      </c>
      <c r="R69" s="20" t="n">
        <v>0.14857493</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48.23344065</v>
      </c>
      <c r="F74" s="20" t="n">
        <v>2.21098517</v>
      </c>
      <c r="G74" s="18" t="n">
        <v>35.27022504</v>
      </c>
      <c r="H74" s="20" t="n">
        <v>1.77891635</v>
      </c>
      <c r="I74" s="18" t="s">
        <v>567</v>
      </c>
      <c r="J74" s="20" t="s">
        <v>567</v>
      </c>
      <c r="K74" s="18" t="n">
        <v>10.71677782</v>
      </c>
      <c r="L74" s="20" t="n">
        <v>1.47863413</v>
      </c>
      <c r="M74" s="18" t="n">
        <v>0</v>
      </c>
      <c r="N74" s="20" t="n">
        <v>0</v>
      </c>
      <c r="O74" s="18" t="n">
        <v>0</v>
      </c>
      <c r="P74" s="20" t="n">
        <v>0</v>
      </c>
      <c r="Q74" s="18" t="n">
        <v>5.77955649</v>
      </c>
      <c r="R74" s="20" t="n">
        <v>0.91401596</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(1843.0/B78*100)</f>
        <v/>
      </c>
      <c r="D78" s="19" t="n">
        <v>943</v>
      </c>
      <c r="E78" s="18" t="n">
        <v>13.06329849</v>
      </c>
      <c r="F78" s="20" t="n">
        <v>1.35381303</v>
      </c>
      <c r="G78" s="18" t="n">
        <v>86.93670151000001</v>
      </c>
      <c r="H78" s="20" t="n">
        <v>1.35381303</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(527.0/B79*100)</f>
        <v/>
      </c>
      <c r="D79" s="19" t="n">
        <v>260</v>
      </c>
      <c r="E79" s="18" t="n">
        <v>23.34227614</v>
      </c>
      <c r="F79" s="20" t="n">
        <v>3.37699835</v>
      </c>
      <c r="G79" s="18" t="n">
        <v>64.37532545000001</v>
      </c>
      <c r="H79" s="20" t="n">
        <v>3.72729133</v>
      </c>
      <c r="I79" s="18" t="s">
        <v>567</v>
      </c>
      <c r="J79" s="20" t="s">
        <v>567</v>
      </c>
      <c r="K79" s="18" t="n">
        <v>3.90543338</v>
      </c>
      <c r="L79" s="20" t="n">
        <v>1.38424706</v>
      </c>
      <c r="M79" s="18" t="n">
        <v>0</v>
      </c>
      <c r="N79" s="20" t="n">
        <v>0</v>
      </c>
      <c r="O79" s="18" t="n">
        <v>0</v>
      </c>
      <c r="P79" s="20" t="n">
        <v>0</v>
      </c>
      <c r="Q79" s="18" t="n">
        <v>8.376965029999999</v>
      </c>
      <c r="R79" s="20" t="n">
        <v>2.8462085</v>
      </c>
    </row>
    <row r="80" spans="1:18">
      <c r="A80" s="15" t="s">
        <v>640</v>
      </c>
      <c r="B80" s="17" t="n">
        <v>3798</v>
      </c>
      <c r="C80" s="18">
        <f>(2544.0/B80*100)</f>
        <v/>
      </c>
      <c r="D80" s="19" t="n">
        <v>1254</v>
      </c>
      <c r="E80" s="18" t="n">
        <v>49.92925822</v>
      </c>
      <c r="F80" s="20" t="n">
        <v>2.57981316</v>
      </c>
      <c r="G80" s="18" t="n">
        <v>49.30315355</v>
      </c>
      <c r="H80" s="20" t="n">
        <v>2.60539756</v>
      </c>
      <c r="I80" s="18" t="s">
        <v>567</v>
      </c>
      <c r="J80" s="20" t="s">
        <v>567</v>
      </c>
      <c r="K80" s="18" t="n">
        <v>0</v>
      </c>
      <c r="L80" s="20" t="n">
        <v>0</v>
      </c>
      <c r="M80" s="18" t="n">
        <v>0</v>
      </c>
      <c r="N80" s="20" t="n">
        <v>0</v>
      </c>
      <c r="O80" s="18" t="n">
        <v>0</v>
      </c>
      <c r="P80" s="20" t="n">
        <v>0</v>
      </c>
      <c r="Q80" s="18" t="n">
        <v>0.76758823</v>
      </c>
      <c r="R80" s="20" t="n">
        <v>0.34821867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(1709.0/B44*100)</f>
        <v/>
      </c>
      <c r="D44" s="19" t="n">
        <v>815</v>
      </c>
      <c r="E44" s="18" t="n">
        <v>41.31073196</v>
      </c>
      <c r="F44" s="20" t="n">
        <v>2.07101145</v>
      </c>
      <c r="G44" s="18" t="n">
        <v>43.68020874</v>
      </c>
      <c r="H44" s="20" t="n">
        <v>2.23735698</v>
      </c>
      <c r="I44" s="18" t="s">
        <v>567</v>
      </c>
      <c r="J44" s="20" t="s">
        <v>567</v>
      </c>
      <c r="K44" s="18" t="n">
        <v>4.20278888</v>
      </c>
      <c r="L44" s="20" t="n">
        <v>0.78630082</v>
      </c>
      <c r="M44" s="18" t="n">
        <v>0</v>
      </c>
      <c r="N44" s="20" t="n">
        <v>0</v>
      </c>
      <c r="O44" s="18" t="n">
        <v>1.14073101</v>
      </c>
      <c r="P44" s="20" t="n">
        <v>0.34743926</v>
      </c>
      <c r="Q44" s="18" t="n">
        <v>9.665539409999999</v>
      </c>
      <c r="R44" s="20" t="n">
        <v>1.07507237</v>
      </c>
    </row>
    <row r="45" spans="1:18">
      <c r="A45" s="15" t="s">
        <v>605</v>
      </c>
      <c r="B45" s="17" t="n">
        <v>2849</v>
      </c>
      <c r="C45" s="18">
        <f>(1905.0/B45*100)</f>
        <v/>
      </c>
      <c r="D45" s="19" t="n">
        <v>944</v>
      </c>
      <c r="E45" s="18" t="n">
        <v>53.8104253</v>
      </c>
      <c r="F45" s="20" t="n">
        <v>1.75283239</v>
      </c>
      <c r="G45" s="18" t="n">
        <v>25.04371537</v>
      </c>
      <c r="H45" s="20" t="n">
        <v>1.65172046</v>
      </c>
      <c r="I45" s="18" t="s">
        <v>567</v>
      </c>
      <c r="J45" s="20" t="s">
        <v>567</v>
      </c>
      <c r="K45" s="18" t="n">
        <v>5.64981987</v>
      </c>
      <c r="L45" s="20" t="n">
        <v>0.95831464</v>
      </c>
      <c r="M45" s="18" t="n">
        <v>0.09501439</v>
      </c>
      <c r="N45" s="20" t="n">
        <v>0.09432042</v>
      </c>
      <c r="O45" s="18" t="n">
        <v>4.47034185</v>
      </c>
      <c r="P45" s="20" t="n">
        <v>0.7634868299999999</v>
      </c>
      <c r="Q45" s="18" t="n">
        <v>10.93068322</v>
      </c>
      <c r="R45" s="20" t="n">
        <v>1.04272235</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(2008.0/B49*100)</f>
        <v/>
      </c>
      <c r="D49" s="19" t="n">
        <v>1010</v>
      </c>
      <c r="E49" s="18" t="n">
        <v>38.11491251</v>
      </c>
      <c r="F49" s="20" t="n">
        <v>1.59922604</v>
      </c>
      <c r="G49" s="18" t="n">
        <v>53.42876064</v>
      </c>
      <c r="H49" s="20" t="n">
        <v>1.77106788</v>
      </c>
      <c r="I49" s="18" t="s">
        <v>567</v>
      </c>
      <c r="J49" s="20" t="s">
        <v>567</v>
      </c>
      <c r="K49" s="18" t="n">
        <v>2.44247453</v>
      </c>
      <c r="L49" s="20" t="n">
        <v>0.66486831</v>
      </c>
      <c r="M49" s="18" t="n">
        <v>0</v>
      </c>
      <c r="N49" s="20" t="n">
        <v>0</v>
      </c>
      <c r="O49" s="18" t="n">
        <v>0.62347381</v>
      </c>
      <c r="P49" s="20" t="n">
        <v>0.30033844</v>
      </c>
      <c r="Q49" s="18" t="n">
        <v>5.39037851</v>
      </c>
      <c r="R49" s="20" t="n">
        <v>0.7815632300000001</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(1802.0/B55*100)</f>
        <v/>
      </c>
      <c r="D55" s="19" t="n">
        <v>957</v>
      </c>
      <c r="E55" s="18" t="n">
        <v>53.43321886</v>
      </c>
      <c r="F55" s="20" t="n">
        <v>2.02235014</v>
      </c>
      <c r="G55" s="18" t="n">
        <v>38.70574155</v>
      </c>
      <c r="H55" s="20" t="n">
        <v>1.93385768</v>
      </c>
      <c r="I55" s="18" t="s">
        <v>567</v>
      </c>
      <c r="J55" s="20" t="s">
        <v>567</v>
      </c>
      <c r="K55" s="18" t="n">
        <v>3.0704649</v>
      </c>
      <c r="L55" s="20" t="n">
        <v>0.61360459</v>
      </c>
      <c r="M55" s="18" t="n">
        <v>0.08702190999999999</v>
      </c>
      <c r="N55" s="20" t="n">
        <v>0.08746284</v>
      </c>
      <c r="O55" s="18" t="n">
        <v>0.37098039</v>
      </c>
      <c r="P55" s="20" t="n">
        <v>0.18561876</v>
      </c>
      <c r="Q55" s="18" t="n">
        <v>4.33257239</v>
      </c>
      <c r="R55" s="20" t="n">
        <v>0.68927285</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(2128.0/B57*100)</f>
        <v/>
      </c>
      <c r="D57" s="19" t="n">
        <v>1042</v>
      </c>
      <c r="E57" s="18" t="n">
        <v>62.57901453</v>
      </c>
      <c r="F57" s="20" t="n">
        <v>1.92051607</v>
      </c>
      <c r="G57" s="18" t="n">
        <v>32.99542212</v>
      </c>
      <c r="H57" s="20" t="n">
        <v>1.87032574</v>
      </c>
      <c r="I57" s="18" t="s">
        <v>567</v>
      </c>
      <c r="J57" s="20" t="s">
        <v>567</v>
      </c>
      <c r="K57" s="18" t="n">
        <v>1.53411769</v>
      </c>
      <c r="L57" s="20" t="n">
        <v>0.41450269</v>
      </c>
      <c r="M57" s="18" t="n">
        <v>0</v>
      </c>
      <c r="N57" s="20" t="n">
        <v>0</v>
      </c>
      <c r="O57" s="18" t="n">
        <v>0</v>
      </c>
      <c r="P57" s="20" t="n">
        <v>0</v>
      </c>
      <c r="Q57" s="18" t="n">
        <v>2.89144566</v>
      </c>
      <c r="R57" s="20" t="n">
        <v>0.50462926</v>
      </c>
    </row>
    <row r="58" spans="1:18">
      <c r="A58" s="15" t="s">
        <v>618</v>
      </c>
      <c r="B58" s="17" t="n">
        <v>3530</v>
      </c>
      <c r="C58" s="18">
        <f>(2358.0/B58*100)</f>
        <v/>
      </c>
      <c r="D58" s="19" t="n">
        <v>1172</v>
      </c>
      <c r="E58" s="18" t="n">
        <v>55.97546571</v>
      </c>
      <c r="F58" s="20" t="n">
        <v>1.95082571</v>
      </c>
      <c r="G58" s="18" t="n">
        <v>32.94310941</v>
      </c>
      <c r="H58" s="20" t="n">
        <v>1.89071994</v>
      </c>
      <c r="I58" s="18" t="s">
        <v>567</v>
      </c>
      <c r="J58" s="20" t="s">
        <v>567</v>
      </c>
      <c r="K58" s="18" t="n">
        <v>3.58578848</v>
      </c>
      <c r="L58" s="20" t="n">
        <v>0.87219238</v>
      </c>
      <c r="M58" s="18" t="n">
        <v>0</v>
      </c>
      <c r="N58" s="20" t="n">
        <v>0</v>
      </c>
      <c r="O58" s="18" t="n">
        <v>0.8085198</v>
      </c>
      <c r="P58" s="20" t="n">
        <v>0.34209888</v>
      </c>
      <c r="Q58" s="18" t="n">
        <v>6.6871166</v>
      </c>
      <c r="R58" s="20" t="n">
        <v>0.86751953</v>
      </c>
    </row>
    <row r="59" spans="1:18">
      <c r="A59" s="15" t="s">
        <v>619</v>
      </c>
      <c r="B59" s="17" t="n">
        <v>2548</v>
      </c>
      <c r="C59" s="18">
        <f>(1724.0/B59*100)</f>
        <v/>
      </c>
      <c r="D59" s="19" t="n">
        <v>824</v>
      </c>
      <c r="E59" s="18" t="n">
        <v>51.7683817</v>
      </c>
      <c r="F59" s="20" t="n">
        <v>2.02929604</v>
      </c>
      <c r="G59" s="18" t="n">
        <v>40.74307568</v>
      </c>
      <c r="H59" s="20" t="n">
        <v>1.95865337</v>
      </c>
      <c r="I59" s="18" t="s">
        <v>567</v>
      </c>
      <c r="J59" s="20" t="s">
        <v>567</v>
      </c>
      <c r="K59" s="18" t="n">
        <v>0.4956394</v>
      </c>
      <c r="L59" s="20" t="n">
        <v>0.22662929</v>
      </c>
      <c r="M59" s="18" t="n">
        <v>0.55814422</v>
      </c>
      <c r="N59" s="20" t="n">
        <v>0.41748851</v>
      </c>
      <c r="O59" s="18" t="n">
        <v>3.03598126</v>
      </c>
      <c r="P59" s="20" t="n">
        <v>0.74764465</v>
      </c>
      <c r="Q59" s="18" t="n">
        <v>3.39877774</v>
      </c>
      <c r="R59" s="20" t="n">
        <v>0.68066022</v>
      </c>
    </row>
    <row r="60" spans="1:18">
      <c r="A60" s="15" t="s">
        <v>620</v>
      </c>
      <c r="B60" s="17" t="n">
        <v>2095</v>
      </c>
      <c r="C60" s="18">
        <f>(1425.0/B60*100)</f>
        <v/>
      </c>
      <c r="D60" s="19" t="n">
        <v>670</v>
      </c>
      <c r="E60" s="18" t="n">
        <v>38.64649622</v>
      </c>
      <c r="F60" s="20" t="n">
        <v>1.91105473</v>
      </c>
      <c r="G60" s="18" t="n">
        <v>46.76716215</v>
      </c>
      <c r="H60" s="20" t="n">
        <v>2.30093325</v>
      </c>
      <c r="I60" s="18" t="s">
        <v>567</v>
      </c>
      <c r="J60" s="20" t="s">
        <v>567</v>
      </c>
      <c r="K60" s="18" t="n">
        <v>5.72088323</v>
      </c>
      <c r="L60" s="20" t="n">
        <v>1.02246378</v>
      </c>
      <c r="M60" s="18" t="n">
        <v>0</v>
      </c>
      <c r="N60" s="20" t="n">
        <v>0</v>
      </c>
      <c r="O60" s="18" t="n">
        <v>2.81147395</v>
      </c>
      <c r="P60" s="20" t="n">
        <v>0.65947389</v>
      </c>
      <c r="Q60" s="18" t="n">
        <v>6.05398445</v>
      </c>
      <c r="R60" s="20" t="n">
        <v>0.98681939</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(1871.0/B63*100)</f>
        <v/>
      </c>
      <c r="D63" s="19" t="n">
        <v>942</v>
      </c>
      <c r="E63" s="18" t="n">
        <v>49.99020379</v>
      </c>
      <c r="F63" s="20" t="n">
        <v>1.74439497</v>
      </c>
      <c r="G63" s="18" t="n">
        <v>39.5584643</v>
      </c>
      <c r="H63" s="20" t="n">
        <v>1.69738201</v>
      </c>
      <c r="I63" s="18" t="s">
        <v>567</v>
      </c>
      <c r="J63" s="20" t="s">
        <v>567</v>
      </c>
      <c r="K63" s="18" t="n">
        <v>2.43638227</v>
      </c>
      <c r="L63" s="20" t="n">
        <v>0.55878954</v>
      </c>
      <c r="M63" s="18" t="n">
        <v>0</v>
      </c>
      <c r="N63" s="20" t="n">
        <v>0</v>
      </c>
      <c r="O63" s="18" t="n">
        <v>0.772482</v>
      </c>
      <c r="P63" s="20" t="n">
        <v>0.30514354</v>
      </c>
      <c r="Q63" s="18" t="n">
        <v>7.24246765</v>
      </c>
      <c r="R63" s="20" t="n">
        <v>0.85268123</v>
      </c>
    </row>
    <row r="64" spans="1:18">
      <c r="A64" s="15" t="s">
        <v>624</v>
      </c>
      <c r="B64" s="17" t="n">
        <v>1844</v>
      </c>
      <c r="C64" s="18">
        <f>(1243.0/B64*100)</f>
        <v/>
      </c>
      <c r="D64" s="19" t="n">
        <v>601</v>
      </c>
      <c r="E64" s="18" t="n">
        <v>33.39098521</v>
      </c>
      <c r="F64" s="20" t="n">
        <v>2.07687881</v>
      </c>
      <c r="G64" s="18" t="n">
        <v>55.86499018</v>
      </c>
      <c r="H64" s="20" t="n">
        <v>2.21698992</v>
      </c>
      <c r="I64" s="18" t="s">
        <v>567</v>
      </c>
      <c r="J64" s="20" t="s">
        <v>567</v>
      </c>
      <c r="K64" s="18" t="n">
        <v>4.5783763</v>
      </c>
      <c r="L64" s="20" t="n">
        <v>0.81736367</v>
      </c>
      <c r="M64" s="18" t="n">
        <v>0</v>
      </c>
      <c r="N64" s="20" t="n">
        <v>0</v>
      </c>
      <c r="O64" s="18" t="n">
        <v>0.5381251</v>
      </c>
      <c r="P64" s="20" t="n">
        <v>0.31113849</v>
      </c>
      <c r="Q64" s="18" t="n">
        <v>5.6275232</v>
      </c>
      <c r="R64" s="20" t="n">
        <v>1.03089688</v>
      </c>
    </row>
    <row r="65" spans="1:18">
      <c r="A65" s="15" t="s">
        <v>625</v>
      </c>
      <c r="B65" s="17" t="n">
        <v>2691</v>
      </c>
      <c r="C65" s="18">
        <f>(1801.0/B65*100)</f>
        <v/>
      </c>
      <c r="D65" s="19" t="n">
        <v>890</v>
      </c>
      <c r="E65" s="18" t="n">
        <v>36.62087311</v>
      </c>
      <c r="F65" s="20" t="n">
        <v>1.60691258</v>
      </c>
      <c r="G65" s="18" t="n">
        <v>48.43345362</v>
      </c>
      <c r="H65" s="20" t="n">
        <v>1.66740698</v>
      </c>
      <c r="I65" s="18" t="s">
        <v>567</v>
      </c>
      <c r="J65" s="20" t="s">
        <v>567</v>
      </c>
      <c r="K65" s="18" t="n">
        <v>6.54550461</v>
      </c>
      <c r="L65" s="20" t="n">
        <v>1.03664903</v>
      </c>
      <c r="M65" s="18" t="n">
        <v>1.64987145</v>
      </c>
      <c r="N65" s="20" t="n">
        <v>0.48162899</v>
      </c>
      <c r="O65" s="18" t="n">
        <v>0</v>
      </c>
      <c r="P65" s="20" t="n">
        <v>0</v>
      </c>
      <c r="Q65" s="18" t="n">
        <v>6.75029722</v>
      </c>
      <c r="R65" s="20" t="n">
        <v>0.74820905</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(1606.0/B69*100)</f>
        <v/>
      </c>
      <c r="D69" s="19" t="n">
        <v>804</v>
      </c>
      <c r="E69" s="18" t="n">
        <v>49.61431768</v>
      </c>
      <c r="F69" s="20" t="n">
        <v>2.26806755</v>
      </c>
      <c r="G69" s="18" t="n">
        <v>50.28660539</v>
      </c>
      <c r="H69" s="20" t="n">
        <v>2.2804636</v>
      </c>
      <c r="I69" s="18" t="s">
        <v>567</v>
      </c>
      <c r="J69" s="20" t="s">
        <v>567</v>
      </c>
      <c r="K69" s="18" t="n">
        <v>0</v>
      </c>
      <c r="L69" s="20" t="n">
        <v>0</v>
      </c>
      <c r="M69" s="18" t="n">
        <v>0</v>
      </c>
      <c r="N69" s="20" t="n">
        <v>0</v>
      </c>
      <c r="O69" s="18" t="n">
        <v>0</v>
      </c>
      <c r="P69" s="20" t="n">
        <v>0</v>
      </c>
      <c r="Q69" s="18" t="n">
        <v>0.09907692999999999</v>
      </c>
      <c r="R69" s="20" t="n">
        <v>0.09880322</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36.01645563</v>
      </c>
      <c r="F74" s="20" t="n">
        <v>2.33038674</v>
      </c>
      <c r="G74" s="18" t="n">
        <v>46.55948167</v>
      </c>
      <c r="H74" s="20" t="n">
        <v>2.08820014</v>
      </c>
      <c r="I74" s="18" t="s">
        <v>567</v>
      </c>
      <c r="J74" s="20" t="s">
        <v>567</v>
      </c>
      <c r="K74" s="18" t="n">
        <v>11.00990563</v>
      </c>
      <c r="L74" s="20" t="n">
        <v>1.46033655</v>
      </c>
      <c r="M74" s="18" t="n">
        <v>0</v>
      </c>
      <c r="N74" s="20" t="n">
        <v>0</v>
      </c>
      <c r="O74" s="18" t="n">
        <v>0</v>
      </c>
      <c r="P74" s="20" t="n">
        <v>0</v>
      </c>
      <c r="Q74" s="18" t="n">
        <v>6.41415708</v>
      </c>
      <c r="R74" s="20" t="n">
        <v>0.92875743</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(1843.0/B78*100)</f>
        <v/>
      </c>
      <c r="D78" s="19" t="n">
        <v>943</v>
      </c>
      <c r="E78" s="18" t="n">
        <v>11.1686317</v>
      </c>
      <c r="F78" s="20" t="n">
        <v>1.39936914</v>
      </c>
      <c r="G78" s="18" t="n">
        <v>88.83136829999999</v>
      </c>
      <c r="H78" s="20" t="n">
        <v>1.39936914</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(527.0/B79*100)</f>
        <v/>
      </c>
      <c r="D79" s="19" t="n">
        <v>260</v>
      </c>
      <c r="E79" s="18" t="n">
        <v>23.04100433</v>
      </c>
      <c r="F79" s="20" t="n">
        <v>3.30726184</v>
      </c>
      <c r="G79" s="18" t="n">
        <v>62.82904248</v>
      </c>
      <c r="H79" s="20" t="n">
        <v>2.88653684</v>
      </c>
      <c r="I79" s="18" t="s">
        <v>567</v>
      </c>
      <c r="J79" s="20" t="s">
        <v>567</v>
      </c>
      <c r="K79" s="18" t="n">
        <v>4.13566364</v>
      </c>
      <c r="L79" s="20" t="n">
        <v>1.40933611</v>
      </c>
      <c r="M79" s="18" t="n">
        <v>0</v>
      </c>
      <c r="N79" s="20" t="n">
        <v>0</v>
      </c>
      <c r="O79" s="18" t="n">
        <v>0.8654372299999999</v>
      </c>
      <c r="P79" s="20" t="n">
        <v>0.57632513</v>
      </c>
      <c r="Q79" s="18" t="n">
        <v>9.12885232</v>
      </c>
      <c r="R79" s="20" t="n">
        <v>2.80232605</v>
      </c>
    </row>
    <row r="80" spans="1:18">
      <c r="A80" s="15" t="s">
        <v>640</v>
      </c>
      <c r="B80" s="17" t="n">
        <v>3798</v>
      </c>
      <c r="C80" s="18">
        <f>(2544.0/B80*100)</f>
        <v/>
      </c>
      <c r="D80" s="19" t="n">
        <v>1254</v>
      </c>
      <c r="E80" s="18" t="n">
        <v>40.56007301</v>
      </c>
      <c r="F80" s="20" t="n">
        <v>2.09190026</v>
      </c>
      <c r="G80" s="18" t="n">
        <v>58.31300615</v>
      </c>
      <c r="H80" s="20" t="n">
        <v>2.16082976</v>
      </c>
      <c r="I80" s="18" t="s">
        <v>567</v>
      </c>
      <c r="J80" s="20" t="s">
        <v>567</v>
      </c>
      <c r="K80" s="18" t="n">
        <v>0</v>
      </c>
      <c r="L80" s="20" t="n">
        <v>0</v>
      </c>
      <c r="M80" s="18" t="n">
        <v>0</v>
      </c>
      <c r="N80" s="20" t="n">
        <v>0</v>
      </c>
      <c r="O80" s="18" t="n">
        <v>0</v>
      </c>
      <c r="P80" s="20" t="n">
        <v>0</v>
      </c>
      <c r="Q80" s="18" t="n">
        <v>1.12692084</v>
      </c>
      <c r="R80" s="20" t="n">
        <v>0.35640904</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(1709.0/B44*100)</f>
        <v/>
      </c>
      <c r="D44" s="19" t="n">
        <v>815</v>
      </c>
      <c r="E44" s="18" t="n">
        <v>33.46233382</v>
      </c>
      <c r="F44" s="20" t="n">
        <v>1.97645016</v>
      </c>
      <c r="G44" s="18" t="n">
        <v>26.68822574</v>
      </c>
      <c r="H44" s="20" t="n">
        <v>1.85997787</v>
      </c>
      <c r="I44" s="18" t="s">
        <v>567</v>
      </c>
      <c r="J44" s="20" t="s">
        <v>567</v>
      </c>
      <c r="K44" s="18" t="n">
        <v>5.29464769</v>
      </c>
      <c r="L44" s="20" t="n">
        <v>0.809687</v>
      </c>
      <c r="M44" s="18" t="n">
        <v>0</v>
      </c>
      <c r="N44" s="20" t="n">
        <v>0</v>
      </c>
      <c r="O44" s="18" t="n">
        <v>0</v>
      </c>
      <c r="P44" s="20" t="n">
        <v>0</v>
      </c>
      <c r="Q44" s="18" t="n">
        <v>34.55479275</v>
      </c>
      <c r="R44" s="20" t="n">
        <v>2.41758464</v>
      </c>
    </row>
    <row r="45" spans="1:18">
      <c r="A45" s="15" t="s">
        <v>605</v>
      </c>
      <c r="B45" s="17" t="n">
        <v>2849</v>
      </c>
      <c r="C45" s="18">
        <f>(1905.0/B45*100)</f>
        <v/>
      </c>
      <c r="D45" s="19" t="n">
        <v>944</v>
      </c>
      <c r="E45" s="18" t="n">
        <v>52.16912086</v>
      </c>
      <c r="F45" s="20" t="n">
        <v>1.84759309</v>
      </c>
      <c r="G45" s="18" t="n">
        <v>9.775125389999999</v>
      </c>
      <c r="H45" s="20" t="n">
        <v>1.02931413</v>
      </c>
      <c r="I45" s="18" t="s">
        <v>567</v>
      </c>
      <c r="J45" s="20" t="s">
        <v>567</v>
      </c>
      <c r="K45" s="18" t="n">
        <v>7.14673803</v>
      </c>
      <c r="L45" s="20" t="n">
        <v>1.08811193</v>
      </c>
      <c r="M45" s="18" t="n">
        <v>0.27666185</v>
      </c>
      <c r="N45" s="20" t="n">
        <v>0.16169945</v>
      </c>
      <c r="O45" s="18" t="n">
        <v>0.43284761</v>
      </c>
      <c r="P45" s="20" t="n">
        <v>0.19665375</v>
      </c>
      <c r="Q45" s="18" t="n">
        <v>30.19950626</v>
      </c>
      <c r="R45" s="20" t="n">
        <v>1.6291709</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(2008.0/B49*100)</f>
        <v/>
      </c>
      <c r="D49" s="19" t="n">
        <v>1010</v>
      </c>
      <c r="E49" s="18" t="n">
        <v>53.24269334</v>
      </c>
      <c r="F49" s="20" t="n">
        <v>1.81776373</v>
      </c>
      <c r="G49" s="18" t="n">
        <v>14.48633555</v>
      </c>
      <c r="H49" s="20" t="n">
        <v>1.26074924</v>
      </c>
      <c r="I49" s="18" t="s">
        <v>567</v>
      </c>
      <c r="J49" s="20" t="s">
        <v>567</v>
      </c>
      <c r="K49" s="18" t="n">
        <v>2.96107226</v>
      </c>
      <c r="L49" s="20" t="n">
        <v>0.70570531</v>
      </c>
      <c r="M49" s="18" t="n">
        <v>0</v>
      </c>
      <c r="N49" s="20" t="n">
        <v>0</v>
      </c>
      <c r="O49" s="18" t="n">
        <v>0</v>
      </c>
      <c r="P49" s="20" t="n">
        <v>0</v>
      </c>
      <c r="Q49" s="18" t="n">
        <v>29.30989885</v>
      </c>
      <c r="R49" s="20" t="n">
        <v>1.57629786</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(1802.0/B55*100)</f>
        <v/>
      </c>
      <c r="D55" s="19" t="n">
        <v>957</v>
      </c>
      <c r="E55" s="18" t="n">
        <v>28.76103874</v>
      </c>
      <c r="F55" s="20" t="n">
        <v>1.81051066</v>
      </c>
      <c r="G55" s="18" t="n">
        <v>24.62718725</v>
      </c>
      <c r="H55" s="20" t="n">
        <v>1.62894746</v>
      </c>
      <c r="I55" s="18" t="s">
        <v>567</v>
      </c>
      <c r="J55" s="20" t="s">
        <v>567</v>
      </c>
      <c r="K55" s="18" t="n">
        <v>3.91815901</v>
      </c>
      <c r="L55" s="20" t="n">
        <v>0.6717827</v>
      </c>
      <c r="M55" s="18" t="n">
        <v>0.08702190999999999</v>
      </c>
      <c r="N55" s="20" t="n">
        <v>0.08746284</v>
      </c>
      <c r="O55" s="18" t="n">
        <v>0.18312979</v>
      </c>
      <c r="P55" s="20" t="n">
        <v>0.13170747</v>
      </c>
      <c r="Q55" s="18" t="n">
        <v>42.42346329</v>
      </c>
      <c r="R55" s="20" t="n">
        <v>2.02873884</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(2128.0/B57*100)</f>
        <v/>
      </c>
      <c r="D57" s="19" t="n">
        <v>1042</v>
      </c>
      <c r="E57" s="18" t="n">
        <v>69.41928771000001</v>
      </c>
      <c r="F57" s="20" t="n">
        <v>1.71799722</v>
      </c>
      <c r="G57" s="18" t="n">
        <v>20.85649889</v>
      </c>
      <c r="H57" s="20" t="n">
        <v>1.59091435</v>
      </c>
      <c r="I57" s="18" t="s">
        <v>567</v>
      </c>
      <c r="J57" s="20" t="s">
        <v>567</v>
      </c>
      <c r="K57" s="18" t="n">
        <v>2.02558524</v>
      </c>
      <c r="L57" s="20" t="n">
        <v>0.48847201</v>
      </c>
      <c r="M57" s="18" t="n">
        <v>0</v>
      </c>
      <c r="N57" s="20" t="n">
        <v>0</v>
      </c>
      <c r="O57" s="18" t="n">
        <v>0</v>
      </c>
      <c r="P57" s="20" t="n">
        <v>0</v>
      </c>
      <c r="Q57" s="18" t="n">
        <v>7.69862816</v>
      </c>
      <c r="R57" s="20" t="n">
        <v>1.10138387</v>
      </c>
    </row>
    <row r="58" spans="1:18">
      <c r="A58" s="15" t="s">
        <v>618</v>
      </c>
      <c r="B58" s="17" t="n">
        <v>3530</v>
      </c>
      <c r="C58" s="18">
        <f>(2358.0/B58*100)</f>
        <v/>
      </c>
      <c r="D58" s="19" t="n">
        <v>1172</v>
      </c>
      <c r="E58" s="18" t="n">
        <v>54.18807593</v>
      </c>
      <c r="F58" s="20" t="n">
        <v>1.85344933</v>
      </c>
      <c r="G58" s="18" t="n">
        <v>19.89096619</v>
      </c>
      <c r="H58" s="20" t="n">
        <v>1.52013207</v>
      </c>
      <c r="I58" s="18" t="s">
        <v>567</v>
      </c>
      <c r="J58" s="20" t="s">
        <v>567</v>
      </c>
      <c r="K58" s="18" t="n">
        <v>3.89967954</v>
      </c>
      <c r="L58" s="20" t="n">
        <v>0.97559939</v>
      </c>
      <c r="M58" s="18" t="n">
        <v>0</v>
      </c>
      <c r="N58" s="20" t="n">
        <v>0</v>
      </c>
      <c r="O58" s="18" t="n">
        <v>0</v>
      </c>
      <c r="P58" s="20" t="n">
        <v>0</v>
      </c>
      <c r="Q58" s="18" t="n">
        <v>22.02127833</v>
      </c>
      <c r="R58" s="20" t="n">
        <v>1.77588735</v>
      </c>
    </row>
    <row r="59" spans="1:18">
      <c r="A59" s="15" t="s">
        <v>619</v>
      </c>
      <c r="B59" s="17" t="n">
        <v>2548</v>
      </c>
      <c r="C59" s="18">
        <f>(1724.0/B59*100)</f>
        <v/>
      </c>
      <c r="D59" s="19" t="n">
        <v>824</v>
      </c>
      <c r="E59" s="18" t="n">
        <v>56.69051879</v>
      </c>
      <c r="F59" s="20" t="n">
        <v>2.10994862</v>
      </c>
      <c r="G59" s="18" t="n">
        <v>21.70333656</v>
      </c>
      <c r="H59" s="20" t="n">
        <v>1.78984848</v>
      </c>
      <c r="I59" s="18" t="s">
        <v>567</v>
      </c>
      <c r="J59" s="20" t="s">
        <v>567</v>
      </c>
      <c r="K59" s="18" t="n">
        <v>0.54230763</v>
      </c>
      <c r="L59" s="20" t="n">
        <v>0.23073882</v>
      </c>
      <c r="M59" s="18" t="n">
        <v>0.04069044</v>
      </c>
      <c r="N59" s="20" t="n">
        <v>0.04059357</v>
      </c>
      <c r="O59" s="18" t="n">
        <v>0</v>
      </c>
      <c r="P59" s="20" t="n">
        <v>0</v>
      </c>
      <c r="Q59" s="18" t="n">
        <v>21.02314658</v>
      </c>
      <c r="R59" s="20" t="n">
        <v>1.60414235</v>
      </c>
    </row>
    <row r="60" spans="1:18">
      <c r="A60" s="15" t="s">
        <v>620</v>
      </c>
      <c r="B60" s="17" t="n">
        <v>2095</v>
      </c>
      <c r="C60" s="18">
        <f>(1425.0/B60*100)</f>
        <v/>
      </c>
      <c r="D60" s="19" t="n">
        <v>670</v>
      </c>
      <c r="E60" s="18" t="n">
        <v>43.97834051</v>
      </c>
      <c r="F60" s="20" t="n">
        <v>2.19739966</v>
      </c>
      <c r="G60" s="18" t="n">
        <v>14.48457008</v>
      </c>
      <c r="H60" s="20" t="n">
        <v>1.44517085</v>
      </c>
      <c r="I60" s="18" t="s">
        <v>567</v>
      </c>
      <c r="J60" s="20" t="s">
        <v>567</v>
      </c>
      <c r="K60" s="18" t="n">
        <v>6.69292856</v>
      </c>
      <c r="L60" s="20" t="n">
        <v>1.00621423</v>
      </c>
      <c r="M60" s="18" t="n">
        <v>0</v>
      </c>
      <c r="N60" s="20" t="n">
        <v>0</v>
      </c>
      <c r="O60" s="18" t="n">
        <v>0.20633879</v>
      </c>
      <c r="P60" s="20" t="n">
        <v>0.15814916</v>
      </c>
      <c r="Q60" s="18" t="n">
        <v>34.63782206</v>
      </c>
      <c r="R60" s="20" t="n">
        <v>2.18050155</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(1871.0/B63*100)</f>
        <v/>
      </c>
      <c r="D63" s="19" t="n">
        <v>942</v>
      </c>
      <c r="E63" s="18" t="n">
        <v>26.00257584</v>
      </c>
      <c r="F63" s="20" t="n">
        <v>1.68412843</v>
      </c>
      <c r="G63" s="18" t="n">
        <v>17.40116699</v>
      </c>
      <c r="H63" s="20" t="n">
        <v>1.38571941</v>
      </c>
      <c r="I63" s="18" t="s">
        <v>567</v>
      </c>
      <c r="J63" s="20" t="s">
        <v>567</v>
      </c>
      <c r="K63" s="18" t="n">
        <v>2.73853698</v>
      </c>
      <c r="L63" s="20" t="n">
        <v>0.56421595</v>
      </c>
      <c r="M63" s="18" t="n">
        <v>0</v>
      </c>
      <c r="N63" s="20" t="n">
        <v>0</v>
      </c>
      <c r="O63" s="18" t="n">
        <v>0</v>
      </c>
      <c r="P63" s="20" t="n">
        <v>0</v>
      </c>
      <c r="Q63" s="18" t="n">
        <v>53.85772019</v>
      </c>
      <c r="R63" s="20" t="n">
        <v>1.83726617</v>
      </c>
    </row>
    <row r="64" spans="1:18">
      <c r="A64" s="15" t="s">
        <v>624</v>
      </c>
      <c r="B64" s="17" t="n">
        <v>1844</v>
      </c>
      <c r="C64" s="18">
        <f>(1243.0/B64*100)</f>
        <v/>
      </c>
      <c r="D64" s="19" t="n">
        <v>601</v>
      </c>
      <c r="E64" s="18" t="n">
        <v>37.08023774</v>
      </c>
      <c r="F64" s="20" t="n">
        <v>1.7748553</v>
      </c>
      <c r="G64" s="18" t="n">
        <v>29.82090953</v>
      </c>
      <c r="H64" s="20" t="n">
        <v>1.63457303</v>
      </c>
      <c r="I64" s="18" t="s">
        <v>567</v>
      </c>
      <c r="J64" s="20" t="s">
        <v>567</v>
      </c>
      <c r="K64" s="18" t="n">
        <v>5.66859399</v>
      </c>
      <c r="L64" s="20" t="n">
        <v>0.88830938</v>
      </c>
      <c r="M64" s="18" t="n">
        <v>0</v>
      </c>
      <c r="N64" s="20" t="n">
        <v>0</v>
      </c>
      <c r="O64" s="18" t="n">
        <v>0</v>
      </c>
      <c r="P64" s="20" t="n">
        <v>0</v>
      </c>
      <c r="Q64" s="18" t="n">
        <v>27.43025874</v>
      </c>
      <c r="R64" s="20" t="n">
        <v>1.73406909</v>
      </c>
    </row>
    <row r="65" spans="1:18">
      <c r="A65" s="15" t="s">
        <v>625</v>
      </c>
      <c r="B65" s="17" t="n">
        <v>2691</v>
      </c>
      <c r="C65" s="18">
        <f>(1801.0/B65*100)</f>
        <v/>
      </c>
      <c r="D65" s="19" t="n">
        <v>890</v>
      </c>
      <c r="E65" s="18" t="n">
        <v>35.13976254</v>
      </c>
      <c r="F65" s="20" t="n">
        <v>1.91345971</v>
      </c>
      <c r="G65" s="18" t="n">
        <v>22.82676266</v>
      </c>
      <c r="H65" s="20" t="n">
        <v>1.56324807</v>
      </c>
      <c r="I65" s="18" t="s">
        <v>567</v>
      </c>
      <c r="J65" s="20" t="s">
        <v>567</v>
      </c>
      <c r="K65" s="18" t="n">
        <v>6.93641665</v>
      </c>
      <c r="L65" s="20" t="n">
        <v>1.09768651</v>
      </c>
      <c r="M65" s="18" t="n">
        <v>0</v>
      </c>
      <c r="N65" s="20" t="n">
        <v>0</v>
      </c>
      <c r="O65" s="18" t="n">
        <v>0</v>
      </c>
      <c r="P65" s="20" t="n">
        <v>0</v>
      </c>
      <c r="Q65" s="18" t="n">
        <v>35.09705814</v>
      </c>
      <c r="R65" s="20" t="n">
        <v>1.8893472</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(1606.0/B69*100)</f>
        <v/>
      </c>
      <c r="D69" s="19" t="n">
        <v>804</v>
      </c>
      <c r="E69" s="18" t="n">
        <v>72.62577708000001</v>
      </c>
      <c r="F69" s="20" t="n">
        <v>1.88190941</v>
      </c>
      <c r="G69" s="18" t="n">
        <v>26.54704889</v>
      </c>
      <c r="H69" s="20" t="n">
        <v>1.88823705</v>
      </c>
      <c r="I69" s="18" t="s">
        <v>567</v>
      </c>
      <c r="J69" s="20" t="s">
        <v>567</v>
      </c>
      <c r="K69" s="18" t="n">
        <v>0</v>
      </c>
      <c r="L69" s="20" t="n">
        <v>0</v>
      </c>
      <c r="M69" s="18" t="n">
        <v>0</v>
      </c>
      <c r="N69" s="20" t="n">
        <v>0</v>
      </c>
      <c r="O69" s="18" t="n">
        <v>0</v>
      </c>
      <c r="P69" s="20" t="n">
        <v>0</v>
      </c>
      <c r="Q69" s="18" t="n">
        <v>0.82717403</v>
      </c>
      <c r="R69" s="20" t="n">
        <v>0.36540587</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33.88634125</v>
      </c>
      <c r="F74" s="20" t="n">
        <v>1.84307697</v>
      </c>
      <c r="G74" s="18" t="n">
        <v>19.29560889</v>
      </c>
      <c r="H74" s="20" t="n">
        <v>1.46986353</v>
      </c>
      <c r="I74" s="18" t="s">
        <v>567</v>
      </c>
      <c r="J74" s="20" t="s">
        <v>567</v>
      </c>
      <c r="K74" s="18" t="n">
        <v>12.73750848</v>
      </c>
      <c r="L74" s="20" t="n">
        <v>1.47969162</v>
      </c>
      <c r="M74" s="18" t="n">
        <v>0</v>
      </c>
      <c r="N74" s="20" t="n">
        <v>0</v>
      </c>
      <c r="O74" s="18" t="n">
        <v>0</v>
      </c>
      <c r="P74" s="20" t="n">
        <v>0</v>
      </c>
      <c r="Q74" s="18" t="n">
        <v>34.08054138</v>
      </c>
      <c r="R74" s="20" t="n">
        <v>1.95917604</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(1843.0/B78*100)</f>
        <v/>
      </c>
      <c r="D78" s="19" t="n">
        <v>943</v>
      </c>
      <c r="E78" s="18" t="n">
        <v>45.62432663</v>
      </c>
      <c r="F78" s="20" t="n">
        <v>2.1558312</v>
      </c>
      <c r="G78" s="18" t="n">
        <v>51.45991069</v>
      </c>
      <c r="H78" s="20" t="n">
        <v>2.18526189</v>
      </c>
      <c r="I78" s="18" t="s">
        <v>567</v>
      </c>
      <c r="J78" s="20" t="s">
        <v>567</v>
      </c>
      <c r="K78" s="18" t="n">
        <v>0</v>
      </c>
      <c r="L78" s="20" t="n">
        <v>0</v>
      </c>
      <c r="M78" s="18" t="n">
        <v>0</v>
      </c>
      <c r="N78" s="20" t="n">
        <v>0</v>
      </c>
      <c r="O78" s="18" t="n">
        <v>0</v>
      </c>
      <c r="P78" s="20" t="n">
        <v>0</v>
      </c>
      <c r="Q78" s="18" t="n">
        <v>2.91576268</v>
      </c>
      <c r="R78" s="20" t="n">
        <v>0.7465538900000001</v>
      </c>
    </row>
    <row customHeight="1" ht="25" r="79" spans="1:18">
      <c r="A79" s="15" t="s">
        <v>639</v>
      </c>
      <c r="B79" s="17" t="n">
        <v>787</v>
      </c>
      <c r="C79" s="18">
        <f>(527.0/B79*100)</f>
        <v/>
      </c>
      <c r="D79" s="19" t="n">
        <v>260</v>
      </c>
      <c r="E79" s="18" t="n">
        <v>47.40068486</v>
      </c>
      <c r="F79" s="20" t="n">
        <v>2.5951402</v>
      </c>
      <c r="G79" s="18" t="n">
        <v>20.18888173</v>
      </c>
      <c r="H79" s="20" t="n">
        <v>2.58209143</v>
      </c>
      <c r="I79" s="18" t="s">
        <v>567</v>
      </c>
      <c r="J79" s="20" t="s">
        <v>567</v>
      </c>
      <c r="K79" s="18" t="n">
        <v>5.13238531</v>
      </c>
      <c r="L79" s="20" t="n">
        <v>1.55287249</v>
      </c>
      <c r="M79" s="18" t="n">
        <v>0</v>
      </c>
      <c r="N79" s="20" t="n">
        <v>0</v>
      </c>
      <c r="O79" s="18" t="n">
        <v>0</v>
      </c>
      <c r="P79" s="20" t="n">
        <v>0</v>
      </c>
      <c r="Q79" s="18" t="n">
        <v>27.2780481</v>
      </c>
      <c r="R79" s="20" t="n">
        <v>2.55943854</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(1709.0/B44*100)</f>
        <v/>
      </c>
      <c r="D44" s="19" t="n">
        <v>815</v>
      </c>
      <c r="E44" s="18" t="n">
        <v>21.31075962</v>
      </c>
      <c r="F44" s="20" t="n">
        <v>1.78556265</v>
      </c>
      <c r="G44" s="18" t="n">
        <v>40.65164163</v>
      </c>
      <c r="H44" s="20" t="n">
        <v>1.9035928</v>
      </c>
      <c r="I44" s="18" t="s">
        <v>567</v>
      </c>
      <c r="J44" s="20" t="s">
        <v>567</v>
      </c>
      <c r="K44" s="18" t="n">
        <v>6.12943687</v>
      </c>
      <c r="L44" s="20" t="n">
        <v>0.89524834</v>
      </c>
      <c r="M44" s="18" t="n">
        <v>0</v>
      </c>
      <c r="N44" s="20" t="n">
        <v>0</v>
      </c>
      <c r="O44" s="18" t="n">
        <v>0</v>
      </c>
      <c r="P44" s="20" t="n">
        <v>0</v>
      </c>
      <c r="Q44" s="18" t="n">
        <v>31.90816187</v>
      </c>
      <c r="R44" s="20" t="n">
        <v>2.24815862</v>
      </c>
    </row>
    <row r="45" spans="1:18">
      <c r="A45" s="15" t="s">
        <v>605</v>
      </c>
      <c r="B45" s="17" t="n">
        <v>2849</v>
      </c>
      <c r="C45" s="18">
        <f>(1905.0/B45*100)</f>
        <v/>
      </c>
      <c r="D45" s="19" t="n">
        <v>944</v>
      </c>
      <c r="E45" s="18" t="n">
        <v>35.86339537</v>
      </c>
      <c r="F45" s="20" t="n">
        <v>1.59292448</v>
      </c>
      <c r="G45" s="18" t="n">
        <v>21.59860779</v>
      </c>
      <c r="H45" s="20" t="n">
        <v>1.41012976</v>
      </c>
      <c r="I45" s="18" t="s">
        <v>567</v>
      </c>
      <c r="J45" s="20" t="s">
        <v>567</v>
      </c>
      <c r="K45" s="18" t="n">
        <v>8.22455188</v>
      </c>
      <c r="L45" s="20" t="n">
        <v>1.01299852</v>
      </c>
      <c r="M45" s="18" t="n">
        <v>0.29069492</v>
      </c>
      <c r="N45" s="20" t="n">
        <v>0.17905984</v>
      </c>
      <c r="O45" s="18" t="n">
        <v>0</v>
      </c>
      <c r="P45" s="20" t="n">
        <v>0</v>
      </c>
      <c r="Q45" s="18" t="n">
        <v>34.02275003</v>
      </c>
      <c r="R45" s="20" t="n">
        <v>1.68125913</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(2008.0/B49*100)</f>
        <v/>
      </c>
      <c r="D49" s="19" t="n">
        <v>1010</v>
      </c>
      <c r="E49" s="18" t="n">
        <v>8.82129057</v>
      </c>
      <c r="F49" s="20" t="n">
        <v>0.99296594</v>
      </c>
      <c r="G49" s="18" t="n">
        <v>74.46630737</v>
      </c>
      <c r="H49" s="20" t="n">
        <v>1.64034127</v>
      </c>
      <c r="I49" s="18" t="s">
        <v>567</v>
      </c>
      <c r="J49" s="20" t="s">
        <v>567</v>
      </c>
      <c r="K49" s="18" t="n">
        <v>3.12781031</v>
      </c>
      <c r="L49" s="20" t="n">
        <v>0.70353252</v>
      </c>
      <c r="M49" s="18" t="n">
        <v>0</v>
      </c>
      <c r="N49" s="20" t="n">
        <v>0</v>
      </c>
      <c r="O49" s="18" t="n">
        <v>0</v>
      </c>
      <c r="P49" s="20" t="n">
        <v>0</v>
      </c>
      <c r="Q49" s="18" t="n">
        <v>13.58459174</v>
      </c>
      <c r="R49" s="20" t="n">
        <v>1.12853511</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(1802.0/B55*100)</f>
        <v/>
      </c>
      <c r="D55" s="19" t="n">
        <v>957</v>
      </c>
      <c r="E55" s="18" t="n">
        <v>8.86070846</v>
      </c>
      <c r="F55" s="20" t="n">
        <v>0.97392882</v>
      </c>
      <c r="G55" s="18" t="n">
        <v>56.67965394</v>
      </c>
      <c r="H55" s="20" t="n">
        <v>1.83211083</v>
      </c>
      <c r="I55" s="18" t="s">
        <v>567</v>
      </c>
      <c r="J55" s="20" t="s">
        <v>567</v>
      </c>
      <c r="K55" s="18" t="n">
        <v>3.91815901</v>
      </c>
      <c r="L55" s="20" t="n">
        <v>0.6717827</v>
      </c>
      <c r="M55" s="18" t="n">
        <v>0.08702190999999999</v>
      </c>
      <c r="N55" s="20" t="n">
        <v>0.08746284</v>
      </c>
      <c r="O55" s="18" t="n">
        <v>0</v>
      </c>
      <c r="P55" s="20" t="n">
        <v>0</v>
      </c>
      <c r="Q55" s="18" t="n">
        <v>30.45445668</v>
      </c>
      <c r="R55" s="20" t="n">
        <v>1.59324411</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(2128.0/B57*100)</f>
        <v/>
      </c>
      <c r="D57" s="19" t="n">
        <v>1042</v>
      </c>
      <c r="E57" s="18" t="n">
        <v>56.67585757</v>
      </c>
      <c r="F57" s="20" t="n">
        <v>1.88821549</v>
      </c>
      <c r="G57" s="18" t="n">
        <v>35.92887541</v>
      </c>
      <c r="H57" s="20" t="n">
        <v>1.76154236</v>
      </c>
      <c r="I57" s="18" t="s">
        <v>567</v>
      </c>
      <c r="J57" s="20" t="s">
        <v>567</v>
      </c>
      <c r="K57" s="18" t="n">
        <v>2.10615585</v>
      </c>
      <c r="L57" s="20" t="n">
        <v>0.49596134</v>
      </c>
      <c r="M57" s="18" t="n">
        <v>0</v>
      </c>
      <c r="N57" s="20" t="n">
        <v>0</v>
      </c>
      <c r="O57" s="18" t="n">
        <v>0</v>
      </c>
      <c r="P57" s="20" t="n">
        <v>0</v>
      </c>
      <c r="Q57" s="18" t="n">
        <v>5.28911118</v>
      </c>
      <c r="R57" s="20" t="n">
        <v>0.86824197</v>
      </c>
    </row>
    <row r="58" spans="1:18">
      <c r="A58" s="15" t="s">
        <v>618</v>
      </c>
      <c r="B58" s="17" t="n">
        <v>3530</v>
      </c>
      <c r="C58" s="18">
        <f>(2358.0/B58*100)</f>
        <v/>
      </c>
      <c r="D58" s="19" t="n">
        <v>1172</v>
      </c>
      <c r="E58" s="18" t="n">
        <v>31.7682619</v>
      </c>
      <c r="F58" s="20" t="n">
        <v>1.93056577</v>
      </c>
      <c r="G58" s="18" t="n">
        <v>44.30052313</v>
      </c>
      <c r="H58" s="20" t="n">
        <v>1.84498698</v>
      </c>
      <c r="I58" s="18" t="s">
        <v>567</v>
      </c>
      <c r="J58" s="20" t="s">
        <v>567</v>
      </c>
      <c r="K58" s="18" t="n">
        <v>4.41781737</v>
      </c>
      <c r="L58" s="20" t="n">
        <v>0.99578674</v>
      </c>
      <c r="M58" s="18" t="n">
        <v>0</v>
      </c>
      <c r="N58" s="20" t="n">
        <v>0</v>
      </c>
      <c r="O58" s="18" t="n">
        <v>0</v>
      </c>
      <c r="P58" s="20" t="n">
        <v>0</v>
      </c>
      <c r="Q58" s="18" t="n">
        <v>19.51339761</v>
      </c>
      <c r="R58" s="20" t="n">
        <v>1.49150105</v>
      </c>
    </row>
    <row r="59" spans="1:18">
      <c r="A59" s="15" t="s">
        <v>619</v>
      </c>
      <c r="B59" s="17" t="n">
        <v>2548</v>
      </c>
      <c r="C59" s="18">
        <f>(1724.0/B59*100)</f>
        <v/>
      </c>
      <c r="D59" s="19" t="n">
        <v>824</v>
      </c>
      <c r="E59" s="18" t="n">
        <v>39.4403863</v>
      </c>
      <c r="F59" s="20" t="n">
        <v>2.10466356</v>
      </c>
      <c r="G59" s="18" t="n">
        <v>39.63443328</v>
      </c>
      <c r="H59" s="20" t="n">
        <v>2.06231816</v>
      </c>
      <c r="I59" s="18" t="s">
        <v>567</v>
      </c>
      <c r="J59" s="20" t="s">
        <v>567</v>
      </c>
      <c r="K59" s="18" t="n">
        <v>0.89244798</v>
      </c>
      <c r="L59" s="20" t="n">
        <v>0.30992887</v>
      </c>
      <c r="M59" s="18" t="n">
        <v>0</v>
      </c>
      <c r="N59" s="20" t="n">
        <v>0</v>
      </c>
      <c r="O59" s="18" t="n">
        <v>0</v>
      </c>
      <c r="P59" s="20" t="n">
        <v>0</v>
      </c>
      <c r="Q59" s="18" t="n">
        <v>20.03273244</v>
      </c>
      <c r="R59" s="20" t="n">
        <v>1.493555</v>
      </c>
    </row>
    <row r="60" spans="1:18">
      <c r="A60" s="15" t="s">
        <v>620</v>
      </c>
      <c r="B60" s="17" t="n">
        <v>2095</v>
      </c>
      <c r="C60" s="18">
        <f>(1425.0/B60*100)</f>
        <v/>
      </c>
      <c r="D60" s="19" t="n">
        <v>670</v>
      </c>
      <c r="E60" s="18" t="n">
        <v>26.85829994</v>
      </c>
      <c r="F60" s="20" t="n">
        <v>1.77919639</v>
      </c>
      <c r="G60" s="18" t="n">
        <v>32.05643334</v>
      </c>
      <c r="H60" s="20" t="n">
        <v>2.0482968</v>
      </c>
      <c r="I60" s="18" t="s">
        <v>567</v>
      </c>
      <c r="J60" s="20" t="s">
        <v>567</v>
      </c>
      <c r="K60" s="18" t="n">
        <v>7.02482966</v>
      </c>
      <c r="L60" s="20" t="n">
        <v>1.00436665</v>
      </c>
      <c r="M60" s="18" t="n">
        <v>0</v>
      </c>
      <c r="N60" s="20" t="n">
        <v>0</v>
      </c>
      <c r="O60" s="18" t="n">
        <v>0.20587891</v>
      </c>
      <c r="P60" s="20" t="n">
        <v>0.14931022</v>
      </c>
      <c r="Q60" s="18" t="n">
        <v>33.85455816</v>
      </c>
      <c r="R60" s="20" t="n">
        <v>2.0398596</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(1871.0/B63*100)</f>
        <v/>
      </c>
      <c r="D63" s="19" t="n">
        <v>942</v>
      </c>
      <c r="E63" s="18" t="n">
        <v>12.44577594</v>
      </c>
      <c r="F63" s="20" t="n">
        <v>1.20231712</v>
      </c>
      <c r="G63" s="18" t="n">
        <v>38.94674709</v>
      </c>
      <c r="H63" s="20" t="n">
        <v>1.93838104</v>
      </c>
      <c r="I63" s="18" t="s">
        <v>567</v>
      </c>
      <c r="J63" s="20" t="s">
        <v>567</v>
      </c>
      <c r="K63" s="18" t="n">
        <v>2.9385531</v>
      </c>
      <c r="L63" s="20" t="n">
        <v>0.56665751</v>
      </c>
      <c r="M63" s="18" t="n">
        <v>0</v>
      </c>
      <c r="N63" s="20" t="n">
        <v>0</v>
      </c>
      <c r="O63" s="18" t="n">
        <v>0</v>
      </c>
      <c r="P63" s="20" t="n">
        <v>0</v>
      </c>
      <c r="Q63" s="18" t="n">
        <v>45.66892387</v>
      </c>
      <c r="R63" s="20" t="n">
        <v>1.99049888</v>
      </c>
    </row>
    <row r="64" spans="1:18">
      <c r="A64" s="15" t="s">
        <v>624</v>
      </c>
      <c r="B64" s="17" t="n">
        <v>1844</v>
      </c>
      <c r="C64" s="18">
        <f>(1243.0/B64*100)</f>
        <v/>
      </c>
      <c r="D64" s="19" t="n">
        <v>601</v>
      </c>
      <c r="E64" s="18" t="n">
        <v>13.50129782</v>
      </c>
      <c r="F64" s="20" t="n">
        <v>1.46863386</v>
      </c>
      <c r="G64" s="18" t="n">
        <v>62.70132054</v>
      </c>
      <c r="H64" s="20" t="n">
        <v>2.06537957</v>
      </c>
      <c r="I64" s="18" t="s">
        <v>567</v>
      </c>
      <c r="J64" s="20" t="s">
        <v>567</v>
      </c>
      <c r="K64" s="18" t="n">
        <v>6.17092071</v>
      </c>
      <c r="L64" s="20" t="n">
        <v>0.90567723</v>
      </c>
      <c r="M64" s="18" t="n">
        <v>0</v>
      </c>
      <c r="N64" s="20" t="n">
        <v>0</v>
      </c>
      <c r="O64" s="18" t="n">
        <v>0</v>
      </c>
      <c r="P64" s="20" t="n">
        <v>0</v>
      </c>
      <c r="Q64" s="18" t="n">
        <v>17.62646093</v>
      </c>
      <c r="R64" s="20" t="n">
        <v>1.72999309</v>
      </c>
    </row>
    <row r="65" spans="1:18">
      <c r="A65" s="15" t="s">
        <v>625</v>
      </c>
      <c r="B65" s="17" t="n">
        <v>2691</v>
      </c>
      <c r="C65" s="18">
        <f>(1801.0/B65*100)</f>
        <v/>
      </c>
      <c r="D65" s="19" t="n">
        <v>890</v>
      </c>
      <c r="E65" s="18" t="n">
        <v>17.80675766</v>
      </c>
      <c r="F65" s="20" t="n">
        <v>1.54542359</v>
      </c>
      <c r="G65" s="18" t="n">
        <v>42.01342927</v>
      </c>
      <c r="H65" s="20" t="n">
        <v>2.14245766</v>
      </c>
      <c r="I65" s="18" t="s">
        <v>567</v>
      </c>
      <c r="J65" s="20" t="s">
        <v>567</v>
      </c>
      <c r="K65" s="18" t="n">
        <v>7.29985437</v>
      </c>
      <c r="L65" s="20" t="n">
        <v>1.11059797</v>
      </c>
      <c r="M65" s="18" t="n">
        <v>0</v>
      </c>
      <c r="N65" s="20" t="n">
        <v>0</v>
      </c>
      <c r="O65" s="18" t="n">
        <v>0</v>
      </c>
      <c r="P65" s="20" t="n">
        <v>0</v>
      </c>
      <c r="Q65" s="18" t="n">
        <v>32.8799587</v>
      </c>
      <c r="R65" s="20" t="n">
        <v>1.96455663</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(1606.0/B69*100)</f>
        <v/>
      </c>
      <c r="D69" s="19" t="n">
        <v>804</v>
      </c>
      <c r="E69" s="18" t="n">
        <v>37.56887202</v>
      </c>
      <c r="F69" s="20" t="n">
        <v>2.38831312</v>
      </c>
      <c r="G69" s="18" t="n">
        <v>61.72533618</v>
      </c>
      <c r="H69" s="20" t="n">
        <v>2.43666531</v>
      </c>
      <c r="I69" s="18" t="s">
        <v>567</v>
      </c>
      <c r="J69" s="20" t="s">
        <v>567</v>
      </c>
      <c r="K69" s="18" t="n">
        <v>0</v>
      </c>
      <c r="L69" s="20" t="n">
        <v>0</v>
      </c>
      <c r="M69" s="18" t="n">
        <v>0</v>
      </c>
      <c r="N69" s="20" t="n">
        <v>0</v>
      </c>
      <c r="O69" s="18" t="n">
        <v>0</v>
      </c>
      <c r="P69" s="20" t="n">
        <v>0</v>
      </c>
      <c r="Q69" s="18" t="n">
        <v>0.7057918</v>
      </c>
      <c r="R69" s="20" t="n">
        <v>0.34444634</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14.32113318</v>
      </c>
      <c r="F74" s="20" t="n">
        <v>1.42798622</v>
      </c>
      <c r="G74" s="18" t="n">
        <v>52.44531202</v>
      </c>
      <c r="H74" s="20" t="n">
        <v>1.75820297</v>
      </c>
      <c r="I74" s="18" t="s">
        <v>567</v>
      </c>
      <c r="J74" s="20" t="s">
        <v>567</v>
      </c>
      <c r="K74" s="18" t="n">
        <v>12.73750848</v>
      </c>
      <c r="L74" s="20" t="n">
        <v>1.47969162</v>
      </c>
      <c r="M74" s="18" t="n">
        <v>0</v>
      </c>
      <c r="N74" s="20" t="n">
        <v>0</v>
      </c>
      <c r="O74" s="18" t="n">
        <v>0</v>
      </c>
      <c r="P74" s="20" t="n">
        <v>0</v>
      </c>
      <c r="Q74" s="18" t="n">
        <v>20.49604632</v>
      </c>
      <c r="R74" s="20" t="n">
        <v>1.56218634</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(1843.0/B78*100)</f>
        <v/>
      </c>
      <c r="D78" s="19" t="n">
        <v>943</v>
      </c>
      <c r="E78" s="18" t="n">
        <v>30.01030962</v>
      </c>
      <c r="F78" s="20" t="n">
        <v>1.82972296</v>
      </c>
      <c r="G78" s="18" t="n">
        <v>68.57311321</v>
      </c>
      <c r="H78" s="20" t="n">
        <v>1.8916479</v>
      </c>
      <c r="I78" s="18" t="s">
        <v>567</v>
      </c>
      <c r="J78" s="20" t="s">
        <v>567</v>
      </c>
      <c r="K78" s="18" t="n">
        <v>0</v>
      </c>
      <c r="L78" s="20" t="n">
        <v>0</v>
      </c>
      <c r="M78" s="18" t="n">
        <v>0</v>
      </c>
      <c r="N78" s="20" t="n">
        <v>0</v>
      </c>
      <c r="O78" s="18" t="n">
        <v>0</v>
      </c>
      <c r="P78" s="20" t="n">
        <v>0</v>
      </c>
      <c r="Q78" s="18" t="n">
        <v>1.41657717</v>
      </c>
      <c r="R78" s="20" t="n">
        <v>0.43250198</v>
      </c>
    </row>
    <row customHeight="1" ht="25" r="79" spans="1:18">
      <c r="A79" s="15" t="s">
        <v>639</v>
      </c>
      <c r="B79" s="17" t="n">
        <v>787</v>
      </c>
      <c r="C79" s="18">
        <f>(527.0/B79*100)</f>
        <v/>
      </c>
      <c r="D79" s="19" t="n">
        <v>260</v>
      </c>
      <c r="E79" s="18" t="n">
        <v>7.02732022</v>
      </c>
      <c r="F79" s="20" t="n">
        <v>1.78715803</v>
      </c>
      <c r="G79" s="18" t="n">
        <v>75.82162345</v>
      </c>
      <c r="H79" s="20" t="n">
        <v>3.47573856</v>
      </c>
      <c r="I79" s="18" t="s">
        <v>567</v>
      </c>
      <c r="J79" s="20" t="s">
        <v>567</v>
      </c>
      <c r="K79" s="18" t="n">
        <v>6.44026616</v>
      </c>
      <c r="L79" s="20" t="n">
        <v>1.74152119</v>
      </c>
      <c r="M79" s="18" t="n">
        <v>0</v>
      </c>
      <c r="N79" s="20" t="n">
        <v>0</v>
      </c>
      <c r="O79" s="18" t="n">
        <v>0</v>
      </c>
      <c r="P79" s="20" t="n">
        <v>0</v>
      </c>
      <c r="Q79" s="18" t="n">
        <v>10.71079017</v>
      </c>
      <c r="R79" s="20" t="n">
        <v>2.89845799</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(1709.0/B44*100)</f>
        <v/>
      </c>
      <c r="D44" s="19" t="n">
        <v>815</v>
      </c>
      <c r="E44" s="18" t="n">
        <v>37.24813311</v>
      </c>
      <c r="F44" s="20" t="n">
        <v>1.96773685</v>
      </c>
      <c r="G44" s="18" t="n">
        <v>31.30723084</v>
      </c>
      <c r="H44" s="20" t="n">
        <v>1.84738202</v>
      </c>
      <c r="I44" s="18" t="s">
        <v>567</v>
      </c>
      <c r="J44" s="20" t="s">
        <v>567</v>
      </c>
      <c r="K44" s="18" t="n">
        <v>6.29298534</v>
      </c>
      <c r="L44" s="20" t="n">
        <v>0.91605171</v>
      </c>
      <c r="M44" s="18" t="n">
        <v>0</v>
      </c>
      <c r="N44" s="20" t="n">
        <v>0</v>
      </c>
      <c r="O44" s="18" t="n">
        <v>0</v>
      </c>
      <c r="P44" s="20" t="n">
        <v>0</v>
      </c>
      <c r="Q44" s="18" t="n">
        <v>25.15165071</v>
      </c>
      <c r="R44" s="20" t="n">
        <v>1.94762209</v>
      </c>
    </row>
    <row r="45" spans="1:18">
      <c r="A45" s="15" t="s">
        <v>605</v>
      </c>
      <c r="B45" s="17" t="n">
        <v>2849</v>
      </c>
      <c r="C45" s="18">
        <f>(1905.0/B45*100)</f>
        <v/>
      </c>
      <c r="D45" s="19" t="n">
        <v>944</v>
      </c>
      <c r="E45" s="18" t="n">
        <v>56.67630791</v>
      </c>
      <c r="F45" s="20" t="n">
        <v>1.67134551</v>
      </c>
      <c r="G45" s="18" t="n">
        <v>15.69615036</v>
      </c>
      <c r="H45" s="20" t="n">
        <v>1.34718247</v>
      </c>
      <c r="I45" s="18" t="s">
        <v>567</v>
      </c>
      <c r="J45" s="20" t="s">
        <v>567</v>
      </c>
      <c r="K45" s="18" t="n">
        <v>8.777309819999999</v>
      </c>
      <c r="L45" s="20" t="n">
        <v>1.06580016</v>
      </c>
      <c r="M45" s="18" t="n">
        <v>0.1598473</v>
      </c>
      <c r="N45" s="20" t="n">
        <v>0.11078285</v>
      </c>
      <c r="O45" s="18" t="n">
        <v>0.10838339</v>
      </c>
      <c r="P45" s="20" t="n">
        <v>0.10960508</v>
      </c>
      <c r="Q45" s="18" t="n">
        <v>18.58200122</v>
      </c>
      <c r="R45" s="20" t="n">
        <v>1.33506138</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(2008.0/B49*100)</f>
        <v/>
      </c>
      <c r="D49" s="19" t="n">
        <v>1010</v>
      </c>
      <c r="E49" s="18" t="n">
        <v>47.06654617</v>
      </c>
      <c r="F49" s="20" t="n">
        <v>1.95979185</v>
      </c>
      <c r="G49" s="18" t="n">
        <v>35.23074462</v>
      </c>
      <c r="H49" s="20" t="n">
        <v>2.01925567</v>
      </c>
      <c r="I49" s="18" t="s">
        <v>567</v>
      </c>
      <c r="J49" s="20" t="s">
        <v>567</v>
      </c>
      <c r="K49" s="18" t="n">
        <v>3.20402676</v>
      </c>
      <c r="L49" s="20" t="n">
        <v>0.70045844</v>
      </c>
      <c r="M49" s="18" t="n">
        <v>0</v>
      </c>
      <c r="N49" s="20" t="n">
        <v>0</v>
      </c>
      <c r="O49" s="18" t="n">
        <v>0</v>
      </c>
      <c r="P49" s="20" t="n">
        <v>0</v>
      </c>
      <c r="Q49" s="18" t="n">
        <v>14.49868245</v>
      </c>
      <c r="R49" s="20" t="n">
        <v>1.58460344</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(1802.0/B55*100)</f>
        <v/>
      </c>
      <c r="D55" s="19" t="n">
        <v>957</v>
      </c>
      <c r="E55" s="18" t="n">
        <v>45.73243518</v>
      </c>
      <c r="F55" s="20" t="n">
        <v>1.65924941</v>
      </c>
      <c r="G55" s="18" t="n">
        <v>30.60132281</v>
      </c>
      <c r="H55" s="20" t="n">
        <v>1.62622806</v>
      </c>
      <c r="I55" s="18" t="s">
        <v>567</v>
      </c>
      <c r="J55" s="20" t="s">
        <v>567</v>
      </c>
      <c r="K55" s="18" t="n">
        <v>4.02459616</v>
      </c>
      <c r="L55" s="20" t="n">
        <v>0.67801248</v>
      </c>
      <c r="M55" s="18" t="n">
        <v>0.08702190999999999</v>
      </c>
      <c r="N55" s="20" t="n">
        <v>0.08746284</v>
      </c>
      <c r="O55" s="18" t="n">
        <v>0</v>
      </c>
      <c r="P55" s="20" t="n">
        <v>0</v>
      </c>
      <c r="Q55" s="18" t="n">
        <v>19.55462394</v>
      </c>
      <c r="R55" s="20" t="n">
        <v>1.36502164</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(2128.0/B57*100)</f>
        <v/>
      </c>
      <c r="D57" s="19" t="n">
        <v>1042</v>
      </c>
      <c r="E57" s="18" t="n">
        <v>57.48518933</v>
      </c>
      <c r="F57" s="20" t="n">
        <v>1.55431667</v>
      </c>
      <c r="G57" s="18" t="n">
        <v>36.38191015</v>
      </c>
      <c r="H57" s="20" t="n">
        <v>1.66645774</v>
      </c>
      <c r="I57" s="18" t="s">
        <v>567</v>
      </c>
      <c r="J57" s="20" t="s">
        <v>567</v>
      </c>
      <c r="K57" s="18" t="n">
        <v>2.25265795</v>
      </c>
      <c r="L57" s="20" t="n">
        <v>0.50815553</v>
      </c>
      <c r="M57" s="18" t="n">
        <v>0</v>
      </c>
      <c r="N57" s="20" t="n">
        <v>0</v>
      </c>
      <c r="O57" s="18" t="n">
        <v>0</v>
      </c>
      <c r="P57" s="20" t="n">
        <v>0</v>
      </c>
      <c r="Q57" s="18" t="n">
        <v>3.88024257</v>
      </c>
      <c r="R57" s="20" t="n">
        <v>0.65020028</v>
      </c>
    </row>
    <row r="58" spans="1:18">
      <c r="A58" s="15" t="s">
        <v>618</v>
      </c>
      <c r="B58" s="17" t="n">
        <v>3530</v>
      </c>
      <c r="C58" s="18">
        <f>(2358.0/B58*100)</f>
        <v/>
      </c>
      <c r="D58" s="19" t="n">
        <v>1172</v>
      </c>
      <c r="E58" s="18" t="n">
        <v>53.2107372</v>
      </c>
      <c r="F58" s="20" t="n">
        <v>2.22845438</v>
      </c>
      <c r="G58" s="18" t="n">
        <v>29.37378692</v>
      </c>
      <c r="H58" s="20" t="n">
        <v>1.94252169</v>
      </c>
      <c r="I58" s="18" t="s">
        <v>567</v>
      </c>
      <c r="J58" s="20" t="s">
        <v>567</v>
      </c>
      <c r="K58" s="18" t="n">
        <v>4.74065248</v>
      </c>
      <c r="L58" s="20" t="n">
        <v>0.97546521</v>
      </c>
      <c r="M58" s="18" t="n">
        <v>0</v>
      </c>
      <c r="N58" s="20" t="n">
        <v>0</v>
      </c>
      <c r="O58" s="18" t="n">
        <v>0</v>
      </c>
      <c r="P58" s="20" t="n">
        <v>0</v>
      </c>
      <c r="Q58" s="18" t="n">
        <v>12.6748234</v>
      </c>
      <c r="R58" s="20" t="n">
        <v>1.28402859</v>
      </c>
    </row>
    <row r="59" spans="1:18">
      <c r="A59" s="15" t="s">
        <v>619</v>
      </c>
      <c r="B59" s="17" t="n">
        <v>2548</v>
      </c>
      <c r="C59" s="18">
        <f>(1724.0/B59*100)</f>
        <v/>
      </c>
      <c r="D59" s="19" t="n">
        <v>824</v>
      </c>
      <c r="E59" s="18" t="n">
        <v>61.45241196</v>
      </c>
      <c r="F59" s="20" t="n">
        <v>1.8990305</v>
      </c>
      <c r="G59" s="18" t="n">
        <v>25.6036898</v>
      </c>
      <c r="H59" s="20" t="n">
        <v>1.73348492</v>
      </c>
      <c r="I59" s="18" t="s">
        <v>567</v>
      </c>
      <c r="J59" s="20" t="s">
        <v>567</v>
      </c>
      <c r="K59" s="18" t="n">
        <v>1.0551492</v>
      </c>
      <c r="L59" s="20" t="n">
        <v>0.35203389</v>
      </c>
      <c r="M59" s="18" t="n">
        <v>0</v>
      </c>
      <c r="N59" s="20" t="n">
        <v>0</v>
      </c>
      <c r="O59" s="18" t="n">
        <v>0</v>
      </c>
      <c r="P59" s="20" t="n">
        <v>0</v>
      </c>
      <c r="Q59" s="18" t="n">
        <v>11.88874904</v>
      </c>
      <c r="R59" s="20" t="n">
        <v>1.03739746</v>
      </c>
    </row>
    <row r="60" spans="1:18">
      <c r="A60" s="15" t="s">
        <v>620</v>
      </c>
      <c r="B60" s="17" t="n">
        <v>2095</v>
      </c>
      <c r="C60" s="18">
        <f>(1425.0/B60*100)</f>
        <v/>
      </c>
      <c r="D60" s="19" t="n">
        <v>670</v>
      </c>
      <c r="E60" s="18" t="n">
        <v>54.56246117</v>
      </c>
      <c r="F60" s="20" t="n">
        <v>1.8014951</v>
      </c>
      <c r="G60" s="18" t="n">
        <v>15.4066257</v>
      </c>
      <c r="H60" s="20" t="n">
        <v>1.74780551</v>
      </c>
      <c r="I60" s="18" t="s">
        <v>567</v>
      </c>
      <c r="J60" s="20" t="s">
        <v>567</v>
      </c>
      <c r="K60" s="18" t="n">
        <v>7.63895075</v>
      </c>
      <c r="L60" s="20" t="n">
        <v>1.13722827</v>
      </c>
      <c r="M60" s="18" t="n">
        <v>0</v>
      </c>
      <c r="N60" s="20" t="n">
        <v>0</v>
      </c>
      <c r="O60" s="18" t="n">
        <v>0.21883869</v>
      </c>
      <c r="P60" s="20" t="n">
        <v>0.1589843</v>
      </c>
      <c r="Q60" s="18" t="n">
        <v>22.17312369</v>
      </c>
      <c r="R60" s="20" t="n">
        <v>1.95505148</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(1871.0/B63*100)</f>
        <v/>
      </c>
      <c r="D63" s="19" t="n">
        <v>942</v>
      </c>
      <c r="E63" s="18" t="n">
        <v>44.413337</v>
      </c>
      <c r="F63" s="20" t="n">
        <v>1.68468456</v>
      </c>
      <c r="G63" s="18" t="n">
        <v>21.40808442</v>
      </c>
      <c r="H63" s="20" t="n">
        <v>1.25480319</v>
      </c>
      <c r="I63" s="18" t="s">
        <v>567</v>
      </c>
      <c r="J63" s="20" t="s">
        <v>567</v>
      </c>
      <c r="K63" s="18" t="n">
        <v>3.05799308</v>
      </c>
      <c r="L63" s="20" t="n">
        <v>0.58217238</v>
      </c>
      <c r="M63" s="18" t="n">
        <v>0</v>
      </c>
      <c r="N63" s="20" t="n">
        <v>0</v>
      </c>
      <c r="O63" s="18" t="n">
        <v>0</v>
      </c>
      <c r="P63" s="20" t="n">
        <v>0</v>
      </c>
      <c r="Q63" s="18" t="n">
        <v>31.12058549</v>
      </c>
      <c r="R63" s="20" t="n">
        <v>1.71253778</v>
      </c>
    </row>
    <row r="64" spans="1:18">
      <c r="A64" s="15" t="s">
        <v>624</v>
      </c>
      <c r="B64" s="17" t="n">
        <v>1844</v>
      </c>
      <c r="C64" s="18">
        <f>(1243.0/B64*100)</f>
        <v/>
      </c>
      <c r="D64" s="19" t="n">
        <v>601</v>
      </c>
      <c r="E64" s="18" t="n">
        <v>55.56811763</v>
      </c>
      <c r="F64" s="20" t="n">
        <v>2.1486437</v>
      </c>
      <c r="G64" s="18" t="n">
        <v>24.69818263</v>
      </c>
      <c r="H64" s="20" t="n">
        <v>1.88266453</v>
      </c>
      <c r="I64" s="18" t="s">
        <v>567</v>
      </c>
      <c r="J64" s="20" t="s">
        <v>567</v>
      </c>
      <c r="K64" s="18" t="n">
        <v>6.34646593</v>
      </c>
      <c r="L64" s="20" t="n">
        <v>0.93496009</v>
      </c>
      <c r="M64" s="18" t="n">
        <v>0</v>
      </c>
      <c r="N64" s="20" t="n">
        <v>0</v>
      </c>
      <c r="O64" s="18" t="n">
        <v>0</v>
      </c>
      <c r="P64" s="20" t="n">
        <v>0</v>
      </c>
      <c r="Q64" s="18" t="n">
        <v>13.38723381</v>
      </c>
      <c r="R64" s="20" t="n">
        <v>1.32392817</v>
      </c>
    </row>
    <row r="65" spans="1:18">
      <c r="A65" s="15" t="s">
        <v>625</v>
      </c>
      <c r="B65" s="17" t="n">
        <v>2691</v>
      </c>
      <c r="C65" s="18">
        <f>(1801.0/B65*100)</f>
        <v/>
      </c>
      <c r="D65" s="19" t="n">
        <v>890</v>
      </c>
      <c r="E65" s="18" t="n">
        <v>42.25388176</v>
      </c>
      <c r="F65" s="20" t="n">
        <v>1.95484487</v>
      </c>
      <c r="G65" s="18" t="n">
        <v>31.66301221</v>
      </c>
      <c r="H65" s="20" t="n">
        <v>1.64740358</v>
      </c>
      <c r="I65" s="18" t="s">
        <v>567</v>
      </c>
      <c r="J65" s="20" t="s">
        <v>567</v>
      </c>
      <c r="K65" s="18" t="n">
        <v>7.32061749</v>
      </c>
      <c r="L65" s="20" t="n">
        <v>1.11058164</v>
      </c>
      <c r="M65" s="18" t="n">
        <v>0</v>
      </c>
      <c r="N65" s="20" t="n">
        <v>0</v>
      </c>
      <c r="O65" s="18" t="n">
        <v>0</v>
      </c>
      <c r="P65" s="20" t="n">
        <v>0</v>
      </c>
      <c r="Q65" s="18" t="n">
        <v>18.76248854</v>
      </c>
      <c r="R65" s="20" t="n">
        <v>1.47018476</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(1606.0/B69*100)</f>
        <v/>
      </c>
      <c r="D69" s="19" t="n">
        <v>804</v>
      </c>
      <c r="E69" s="18" t="n">
        <v>56.97067869</v>
      </c>
      <c r="F69" s="20" t="n">
        <v>1.89205117</v>
      </c>
      <c r="G69" s="18" t="n">
        <v>42.54849759</v>
      </c>
      <c r="H69" s="20" t="n">
        <v>1.90409387</v>
      </c>
      <c r="I69" s="18" t="s">
        <v>567</v>
      </c>
      <c r="J69" s="20" t="s">
        <v>567</v>
      </c>
      <c r="K69" s="18" t="n">
        <v>0</v>
      </c>
      <c r="L69" s="20" t="n">
        <v>0</v>
      </c>
      <c r="M69" s="18" t="n">
        <v>0</v>
      </c>
      <c r="N69" s="20" t="n">
        <v>0</v>
      </c>
      <c r="O69" s="18" t="n">
        <v>0</v>
      </c>
      <c r="P69" s="20" t="n">
        <v>0</v>
      </c>
      <c r="Q69" s="18" t="n">
        <v>0.48082372</v>
      </c>
      <c r="R69" s="20" t="n">
        <v>0.30656132</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40.98944273</v>
      </c>
      <c r="F74" s="20" t="n">
        <v>2.31124175</v>
      </c>
      <c r="G74" s="18" t="n">
        <v>25.83216978</v>
      </c>
      <c r="H74" s="20" t="n">
        <v>1.80280622</v>
      </c>
      <c r="I74" s="18" t="s">
        <v>567</v>
      </c>
      <c r="J74" s="20" t="s">
        <v>567</v>
      </c>
      <c r="K74" s="18" t="n">
        <v>13.1215746</v>
      </c>
      <c r="L74" s="20" t="n">
        <v>1.54139105</v>
      </c>
      <c r="M74" s="18" t="n">
        <v>0</v>
      </c>
      <c r="N74" s="20" t="n">
        <v>0</v>
      </c>
      <c r="O74" s="18" t="n">
        <v>0</v>
      </c>
      <c r="P74" s="20" t="n">
        <v>0</v>
      </c>
      <c r="Q74" s="18" t="n">
        <v>20.05681289</v>
      </c>
      <c r="R74" s="20" t="n">
        <v>1.71122471</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(1843.0/B78*100)</f>
        <v/>
      </c>
      <c r="D78" s="19" t="n">
        <v>943</v>
      </c>
      <c r="E78" s="18" t="n">
        <v>41.94056971</v>
      </c>
      <c r="F78" s="20" t="n">
        <v>2.04258348</v>
      </c>
      <c r="G78" s="18" t="n">
        <v>57.25116259</v>
      </c>
      <c r="H78" s="20" t="n">
        <v>1.98368702</v>
      </c>
      <c r="I78" s="18" t="s">
        <v>567</v>
      </c>
      <c r="J78" s="20" t="s">
        <v>567</v>
      </c>
      <c r="K78" s="18" t="n">
        <v>0</v>
      </c>
      <c r="L78" s="20" t="n">
        <v>0</v>
      </c>
      <c r="M78" s="18" t="n">
        <v>0</v>
      </c>
      <c r="N78" s="20" t="n">
        <v>0</v>
      </c>
      <c r="O78" s="18" t="n">
        <v>0</v>
      </c>
      <c r="P78" s="20" t="n">
        <v>0</v>
      </c>
      <c r="Q78" s="18" t="n">
        <v>0.80826771</v>
      </c>
      <c r="R78" s="20" t="n">
        <v>0.26653215</v>
      </c>
    </row>
    <row customHeight="1" ht="25" r="79" spans="1:18">
      <c r="A79" s="15" t="s">
        <v>639</v>
      </c>
      <c r="B79" s="17" t="n">
        <v>787</v>
      </c>
      <c r="C79" s="18">
        <f>(527.0/B79*100)</f>
        <v/>
      </c>
      <c r="D79" s="19" t="n">
        <v>260</v>
      </c>
      <c r="E79" s="18" t="n">
        <v>47.74110705</v>
      </c>
      <c r="F79" s="20" t="n">
        <v>3.76865556</v>
      </c>
      <c r="G79" s="18" t="n">
        <v>32.48398463</v>
      </c>
      <c r="H79" s="20" t="n">
        <v>3.69368202</v>
      </c>
      <c r="I79" s="18" t="s">
        <v>567</v>
      </c>
      <c r="J79" s="20" t="s">
        <v>567</v>
      </c>
      <c r="K79" s="18" t="n">
        <v>6.44026616</v>
      </c>
      <c r="L79" s="20" t="n">
        <v>1.74152119</v>
      </c>
      <c r="M79" s="18" t="n">
        <v>0</v>
      </c>
      <c r="N79" s="20" t="n">
        <v>0</v>
      </c>
      <c r="O79" s="18" t="n">
        <v>0</v>
      </c>
      <c r="P79" s="20" t="n">
        <v>0</v>
      </c>
      <c r="Q79" s="18" t="n">
        <v>13.33464216</v>
      </c>
      <c r="R79" s="20" t="n">
        <v>2.99584531</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(1709.0/B44*100)</f>
        <v/>
      </c>
      <c r="D44" s="19" t="n">
        <v>815</v>
      </c>
      <c r="E44" s="18" t="n">
        <v>37.31886086</v>
      </c>
      <c r="F44" s="20" t="n">
        <v>2.02757537</v>
      </c>
      <c r="G44" s="18" t="n">
        <v>21.32915069</v>
      </c>
      <c r="H44" s="20" t="n">
        <v>1.83400176</v>
      </c>
      <c r="I44" s="18" t="s">
        <v>567</v>
      </c>
      <c r="J44" s="20" t="s">
        <v>567</v>
      </c>
      <c r="K44" s="18" t="n">
        <v>6.7172378</v>
      </c>
      <c r="L44" s="20" t="n">
        <v>0.93396254</v>
      </c>
      <c r="M44" s="18" t="n">
        <v>0</v>
      </c>
      <c r="N44" s="20" t="n">
        <v>0</v>
      </c>
      <c r="O44" s="18" t="n">
        <v>0.78628351</v>
      </c>
      <c r="P44" s="20" t="n">
        <v>0.34013161</v>
      </c>
      <c r="Q44" s="18" t="n">
        <v>33.84846714</v>
      </c>
      <c r="R44" s="20" t="n">
        <v>2.34683682</v>
      </c>
    </row>
    <row r="45" spans="1:18">
      <c r="A45" s="15" t="s">
        <v>605</v>
      </c>
      <c r="B45" s="17" t="n">
        <v>2849</v>
      </c>
      <c r="C45" s="18">
        <f>(1905.0/B45*100)</f>
        <v/>
      </c>
      <c r="D45" s="19" t="n">
        <v>944</v>
      </c>
      <c r="E45" s="18" t="n">
        <v>51.77201164</v>
      </c>
      <c r="F45" s="20" t="n">
        <v>1.8968682</v>
      </c>
      <c r="G45" s="18" t="n">
        <v>16.14567312</v>
      </c>
      <c r="H45" s="20" t="n">
        <v>1.30001522</v>
      </c>
      <c r="I45" s="18" t="s">
        <v>567</v>
      </c>
      <c r="J45" s="20" t="s">
        <v>567</v>
      </c>
      <c r="K45" s="18" t="n">
        <v>9.31710835</v>
      </c>
      <c r="L45" s="20" t="n">
        <v>1.12283341</v>
      </c>
      <c r="M45" s="18" t="n">
        <v>2.79320754</v>
      </c>
      <c r="N45" s="20" t="n">
        <v>0.60336105</v>
      </c>
      <c r="O45" s="18" t="n">
        <v>0.68415145</v>
      </c>
      <c r="P45" s="20" t="n">
        <v>0.26190425</v>
      </c>
      <c r="Q45" s="18" t="n">
        <v>19.2878479</v>
      </c>
      <c r="R45" s="20" t="n">
        <v>1.23839412</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(2008.0/B49*100)</f>
        <v/>
      </c>
      <c r="D49" s="19" t="n">
        <v>1010</v>
      </c>
      <c r="E49" s="18" t="n">
        <v>48.53579678</v>
      </c>
      <c r="F49" s="20" t="n">
        <v>1.77890103</v>
      </c>
      <c r="G49" s="18" t="n">
        <v>32.33779713</v>
      </c>
      <c r="H49" s="20" t="n">
        <v>1.95835683</v>
      </c>
      <c r="I49" s="18" t="s">
        <v>567</v>
      </c>
      <c r="J49" s="20" t="s">
        <v>567</v>
      </c>
      <c r="K49" s="18" t="n">
        <v>3.21982073</v>
      </c>
      <c r="L49" s="20" t="n">
        <v>0.7008556</v>
      </c>
      <c r="M49" s="18" t="n">
        <v>0</v>
      </c>
      <c r="N49" s="20" t="n">
        <v>0</v>
      </c>
      <c r="O49" s="18" t="n">
        <v>0</v>
      </c>
      <c r="P49" s="20" t="n">
        <v>0</v>
      </c>
      <c r="Q49" s="18" t="n">
        <v>15.90658537</v>
      </c>
      <c r="R49" s="20" t="n">
        <v>1.44863503</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(1802.0/B55*100)</f>
        <v/>
      </c>
      <c r="D55" s="19" t="n">
        <v>957</v>
      </c>
      <c r="E55" s="18" t="n">
        <v>41.76822643</v>
      </c>
      <c r="F55" s="20" t="n">
        <v>1.79692502</v>
      </c>
      <c r="G55" s="18" t="n">
        <v>18.32974858</v>
      </c>
      <c r="H55" s="20" t="n">
        <v>1.5057386</v>
      </c>
      <c r="I55" s="18" t="s">
        <v>567</v>
      </c>
      <c r="J55" s="20" t="s">
        <v>567</v>
      </c>
      <c r="K55" s="18" t="n">
        <v>4.31153104</v>
      </c>
      <c r="L55" s="20" t="n">
        <v>0.71801439</v>
      </c>
      <c r="M55" s="18" t="n">
        <v>0.08702190999999999</v>
      </c>
      <c r="N55" s="20" t="n">
        <v>0.08746284</v>
      </c>
      <c r="O55" s="18" t="n">
        <v>0.62184074</v>
      </c>
      <c r="P55" s="20" t="n">
        <v>0.2634065</v>
      </c>
      <c r="Q55" s="18" t="n">
        <v>34.8816313</v>
      </c>
      <c r="R55" s="20" t="n">
        <v>1.70305085</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(2128.0/B57*100)</f>
        <v/>
      </c>
      <c r="D57" s="19" t="n">
        <v>1042</v>
      </c>
      <c r="E57" s="18" t="n">
        <v>56.76476814</v>
      </c>
      <c r="F57" s="20" t="n">
        <v>1.73800304</v>
      </c>
      <c r="G57" s="18" t="n">
        <v>30.6678841</v>
      </c>
      <c r="H57" s="20" t="n">
        <v>1.76457082</v>
      </c>
      <c r="I57" s="18" t="s">
        <v>567</v>
      </c>
      <c r="J57" s="20" t="s">
        <v>567</v>
      </c>
      <c r="K57" s="18" t="n">
        <v>2.62765427</v>
      </c>
      <c r="L57" s="20" t="n">
        <v>0.56155924</v>
      </c>
      <c r="M57" s="18" t="n">
        <v>0</v>
      </c>
      <c r="N57" s="20" t="n">
        <v>0</v>
      </c>
      <c r="O57" s="18" t="n">
        <v>0</v>
      </c>
      <c r="P57" s="20" t="n">
        <v>0</v>
      </c>
      <c r="Q57" s="18" t="n">
        <v>9.93969349</v>
      </c>
      <c r="R57" s="20" t="n">
        <v>1.19106252</v>
      </c>
    </row>
    <row r="58" spans="1:18">
      <c r="A58" s="15" t="s">
        <v>618</v>
      </c>
      <c r="B58" s="17" t="n">
        <v>3530</v>
      </c>
      <c r="C58" s="18">
        <f>(2358.0/B58*100)</f>
        <v/>
      </c>
      <c r="D58" s="19" t="n">
        <v>1172</v>
      </c>
      <c r="E58" s="18" t="n">
        <v>58.65223075</v>
      </c>
      <c r="F58" s="20" t="n">
        <v>2.0752681</v>
      </c>
      <c r="G58" s="18" t="n">
        <v>23.40714175</v>
      </c>
      <c r="H58" s="20" t="n">
        <v>1.96499345</v>
      </c>
      <c r="I58" s="18" t="s">
        <v>567</v>
      </c>
      <c r="J58" s="20" t="s">
        <v>567</v>
      </c>
      <c r="K58" s="18" t="n">
        <v>5.2724793</v>
      </c>
      <c r="L58" s="20" t="n">
        <v>1.08551984</v>
      </c>
      <c r="M58" s="18" t="n">
        <v>0</v>
      </c>
      <c r="N58" s="20" t="n">
        <v>0</v>
      </c>
      <c r="O58" s="18" t="n">
        <v>0.14334382</v>
      </c>
      <c r="P58" s="20" t="n">
        <v>0.14404994</v>
      </c>
      <c r="Q58" s="18" t="n">
        <v>12.52480438</v>
      </c>
      <c r="R58" s="20" t="n">
        <v>1.21963309</v>
      </c>
    </row>
    <row r="59" spans="1:18">
      <c r="A59" s="15" t="s">
        <v>619</v>
      </c>
      <c r="B59" s="17" t="n">
        <v>2548</v>
      </c>
      <c r="C59" s="18">
        <f>(1724.0/B59*100)</f>
        <v/>
      </c>
      <c r="D59" s="19" t="n">
        <v>824</v>
      </c>
      <c r="E59" s="18" t="n">
        <v>60.5037345</v>
      </c>
      <c r="F59" s="20" t="n">
        <v>2.12452192</v>
      </c>
      <c r="G59" s="18" t="n">
        <v>13.84165145</v>
      </c>
      <c r="H59" s="20" t="n">
        <v>1.50808714</v>
      </c>
      <c r="I59" s="18" t="s">
        <v>567</v>
      </c>
      <c r="J59" s="20" t="s">
        <v>567</v>
      </c>
      <c r="K59" s="18" t="n">
        <v>1.30155651</v>
      </c>
      <c r="L59" s="20" t="n">
        <v>0.42786726</v>
      </c>
      <c r="M59" s="18" t="n">
        <v>0.05346925</v>
      </c>
      <c r="N59" s="20" t="n">
        <v>0.05374471</v>
      </c>
      <c r="O59" s="18" t="n">
        <v>0.27446044</v>
      </c>
      <c r="P59" s="20" t="n">
        <v>0.23344907</v>
      </c>
      <c r="Q59" s="18" t="n">
        <v>24.02512785</v>
      </c>
      <c r="R59" s="20" t="n">
        <v>1.68565655</v>
      </c>
    </row>
    <row r="60" spans="1:18">
      <c r="A60" s="15" t="s">
        <v>620</v>
      </c>
      <c r="B60" s="17" t="n">
        <v>2095</v>
      </c>
      <c r="C60" s="18">
        <f>(1425.0/B60*100)</f>
        <v/>
      </c>
      <c r="D60" s="19" t="n">
        <v>670</v>
      </c>
      <c r="E60" s="18" t="n">
        <v>53.02543172</v>
      </c>
      <c r="F60" s="20" t="n">
        <v>2.06703573</v>
      </c>
      <c r="G60" s="18" t="n">
        <v>19.50203832</v>
      </c>
      <c r="H60" s="20" t="n">
        <v>1.88101797</v>
      </c>
      <c r="I60" s="18" t="s">
        <v>567</v>
      </c>
      <c r="J60" s="20" t="s">
        <v>567</v>
      </c>
      <c r="K60" s="18" t="n">
        <v>7.87901047</v>
      </c>
      <c r="L60" s="20" t="n">
        <v>1.13690145</v>
      </c>
      <c r="M60" s="18" t="n">
        <v>0.19463919</v>
      </c>
      <c r="N60" s="20" t="n">
        <v>0.19315454</v>
      </c>
      <c r="O60" s="18" t="n">
        <v>0.41058886</v>
      </c>
      <c r="P60" s="20" t="n">
        <v>0.2514129</v>
      </c>
      <c r="Q60" s="18" t="n">
        <v>18.98829143</v>
      </c>
      <c r="R60" s="20" t="n">
        <v>1.72970088</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(1871.0/B63*100)</f>
        <v/>
      </c>
      <c r="D63" s="19" t="n">
        <v>942</v>
      </c>
      <c r="E63" s="18" t="n">
        <v>44.68878764</v>
      </c>
      <c r="F63" s="20" t="n">
        <v>1.76351865</v>
      </c>
      <c r="G63" s="18" t="n">
        <v>16.49973211</v>
      </c>
      <c r="H63" s="20" t="n">
        <v>1.33845912</v>
      </c>
      <c r="I63" s="18" t="s">
        <v>567</v>
      </c>
      <c r="J63" s="20" t="s">
        <v>567</v>
      </c>
      <c r="K63" s="18" t="n">
        <v>3.86231223</v>
      </c>
      <c r="L63" s="20" t="n">
        <v>0.66430989</v>
      </c>
      <c r="M63" s="18" t="n">
        <v>0</v>
      </c>
      <c r="N63" s="20" t="n">
        <v>0</v>
      </c>
      <c r="O63" s="18" t="n">
        <v>0.12678128</v>
      </c>
      <c r="P63" s="20" t="n">
        <v>0.09100084</v>
      </c>
      <c r="Q63" s="18" t="n">
        <v>34.82238674</v>
      </c>
      <c r="R63" s="20" t="n">
        <v>1.85723092</v>
      </c>
    </row>
    <row r="64" spans="1:18">
      <c r="A64" s="15" t="s">
        <v>624</v>
      </c>
      <c r="B64" s="17" t="n">
        <v>1844</v>
      </c>
      <c r="C64" s="18">
        <f>(1243.0/B64*100)</f>
        <v/>
      </c>
      <c r="D64" s="19" t="n">
        <v>601</v>
      </c>
      <c r="E64" s="18" t="n">
        <v>54.41333211</v>
      </c>
      <c r="F64" s="20" t="n">
        <v>2.24508828</v>
      </c>
      <c r="G64" s="18" t="n">
        <v>29.84734496</v>
      </c>
      <c r="H64" s="20" t="n">
        <v>1.66576272</v>
      </c>
      <c r="I64" s="18" t="s">
        <v>567</v>
      </c>
      <c r="J64" s="20" t="s">
        <v>567</v>
      </c>
      <c r="K64" s="18" t="n">
        <v>6.34646593</v>
      </c>
      <c r="L64" s="20" t="n">
        <v>0.93496009</v>
      </c>
      <c r="M64" s="18" t="n">
        <v>0</v>
      </c>
      <c r="N64" s="20" t="n">
        <v>0</v>
      </c>
      <c r="O64" s="18" t="n">
        <v>0.15977886</v>
      </c>
      <c r="P64" s="20" t="n">
        <v>0.15954563</v>
      </c>
      <c r="Q64" s="18" t="n">
        <v>9.233078150000001</v>
      </c>
      <c r="R64" s="20" t="n">
        <v>1.30385988</v>
      </c>
    </row>
    <row r="65" spans="1:18">
      <c r="A65" s="15" t="s">
        <v>625</v>
      </c>
      <c r="B65" s="17" t="n">
        <v>2691</v>
      </c>
      <c r="C65" s="18">
        <f>(1801.0/B65*100)</f>
        <v/>
      </c>
      <c r="D65" s="19" t="n">
        <v>890</v>
      </c>
      <c r="E65" s="18" t="n">
        <v>50.5271809</v>
      </c>
      <c r="F65" s="20" t="n">
        <v>1.93791618</v>
      </c>
      <c r="G65" s="18" t="n">
        <v>26.34946856</v>
      </c>
      <c r="H65" s="20" t="n">
        <v>1.24060737</v>
      </c>
      <c r="I65" s="18" t="s">
        <v>567</v>
      </c>
      <c r="J65" s="20" t="s">
        <v>567</v>
      </c>
      <c r="K65" s="18" t="n">
        <v>7.56207864</v>
      </c>
      <c r="L65" s="20" t="n">
        <v>1.12201527</v>
      </c>
      <c r="M65" s="18" t="n">
        <v>0.42514145</v>
      </c>
      <c r="N65" s="20" t="n">
        <v>0.21410003</v>
      </c>
      <c r="O65" s="18" t="n">
        <v>0</v>
      </c>
      <c r="P65" s="20" t="n">
        <v>0</v>
      </c>
      <c r="Q65" s="18" t="n">
        <v>15.13613046</v>
      </c>
      <c r="R65" s="20" t="n">
        <v>1.34470897</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(1606.0/B69*100)</f>
        <v/>
      </c>
      <c r="D69" s="19" t="n">
        <v>804</v>
      </c>
      <c r="E69" s="18" t="n">
        <v>66.97757129</v>
      </c>
      <c r="F69" s="20" t="n">
        <v>1.90455711</v>
      </c>
      <c r="G69" s="18" t="n">
        <v>33.02242871</v>
      </c>
      <c r="H69" s="20" t="n">
        <v>1.90455711</v>
      </c>
      <c r="I69" s="18" t="s">
        <v>567</v>
      </c>
      <c r="J69" s="20" t="s">
        <v>567</v>
      </c>
      <c r="K69" s="18" t="n">
        <v>0</v>
      </c>
      <c r="L69" s="20" t="n">
        <v>0</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39.58078646</v>
      </c>
      <c r="F74" s="20" t="n">
        <v>1.72378103</v>
      </c>
      <c r="G74" s="18" t="n">
        <v>24.44970876</v>
      </c>
      <c r="H74" s="20" t="n">
        <v>1.40447201</v>
      </c>
      <c r="I74" s="18" t="s">
        <v>567</v>
      </c>
      <c r="J74" s="20" t="s">
        <v>567</v>
      </c>
      <c r="K74" s="18" t="n">
        <v>13.63305666</v>
      </c>
      <c r="L74" s="20" t="n">
        <v>1.54545321</v>
      </c>
      <c r="M74" s="18" t="n">
        <v>0</v>
      </c>
      <c r="N74" s="20" t="n">
        <v>0</v>
      </c>
      <c r="O74" s="18" t="n">
        <v>0</v>
      </c>
      <c r="P74" s="20" t="n">
        <v>0</v>
      </c>
      <c r="Q74" s="18" t="n">
        <v>22.33644811</v>
      </c>
      <c r="R74" s="20" t="n">
        <v>1.59081356</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(1843.0/B78*100)</f>
        <v/>
      </c>
      <c r="D78" s="19" t="n">
        <v>943</v>
      </c>
      <c r="E78" s="18" t="n">
        <v>40.92036213</v>
      </c>
      <c r="F78" s="20" t="n">
        <v>1.9701193</v>
      </c>
      <c r="G78" s="18" t="n">
        <v>57.69703758</v>
      </c>
      <c r="H78" s="20" t="n">
        <v>1.95743703</v>
      </c>
      <c r="I78" s="18" t="s">
        <v>567</v>
      </c>
      <c r="J78" s="20" t="s">
        <v>567</v>
      </c>
      <c r="K78" s="18" t="n">
        <v>0</v>
      </c>
      <c r="L78" s="20" t="n">
        <v>0</v>
      </c>
      <c r="M78" s="18" t="n">
        <v>0</v>
      </c>
      <c r="N78" s="20" t="n">
        <v>0</v>
      </c>
      <c r="O78" s="18" t="n">
        <v>0</v>
      </c>
      <c r="P78" s="20" t="n">
        <v>0</v>
      </c>
      <c r="Q78" s="18" t="n">
        <v>1.38260028</v>
      </c>
      <c r="R78" s="20" t="n">
        <v>0.30932793</v>
      </c>
    </row>
    <row customHeight="1" ht="25" r="79" spans="1:18">
      <c r="A79" s="15" t="s">
        <v>639</v>
      </c>
      <c r="B79" s="17" t="n">
        <v>787</v>
      </c>
      <c r="C79" s="18">
        <f>(527.0/B79*100)</f>
        <v/>
      </c>
      <c r="D79" s="19" t="n">
        <v>260</v>
      </c>
      <c r="E79" s="18" t="n">
        <v>31.57292338</v>
      </c>
      <c r="F79" s="20" t="n">
        <v>2.91082848</v>
      </c>
      <c r="G79" s="18" t="n">
        <v>49.2574354</v>
      </c>
      <c r="H79" s="20" t="n">
        <v>2.87717025</v>
      </c>
      <c r="I79" s="18" t="s">
        <v>567</v>
      </c>
      <c r="J79" s="20" t="s">
        <v>567</v>
      </c>
      <c r="K79" s="18" t="n">
        <v>6.63472754</v>
      </c>
      <c r="L79" s="20" t="n">
        <v>1.72711613</v>
      </c>
      <c r="M79" s="18" t="n">
        <v>0</v>
      </c>
      <c r="N79" s="20" t="n">
        <v>0</v>
      </c>
      <c r="O79" s="18" t="n">
        <v>0</v>
      </c>
      <c r="P79" s="20" t="n">
        <v>0</v>
      </c>
      <c r="Q79" s="18" t="n">
        <v>12.53491367</v>
      </c>
      <c r="R79" s="20" t="n">
        <v>1.69494014</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(1709.0/B44*100)</f>
        <v/>
      </c>
      <c r="D44" s="19" t="n">
        <v>815</v>
      </c>
      <c r="E44" s="18" t="n">
        <v>40.66273736</v>
      </c>
      <c r="F44" s="20" t="n">
        <v>2.27439041</v>
      </c>
      <c r="G44" s="18" t="n">
        <v>49.99270412</v>
      </c>
      <c r="H44" s="20" t="n">
        <v>2.24416498</v>
      </c>
      <c r="I44" s="18" t="s">
        <v>567</v>
      </c>
      <c r="J44" s="20" t="s">
        <v>567</v>
      </c>
      <c r="K44" s="18" t="n">
        <v>6.85458577</v>
      </c>
      <c r="L44" s="20" t="n">
        <v>0.93802425</v>
      </c>
      <c r="M44" s="18" t="n">
        <v>0</v>
      </c>
      <c r="N44" s="20" t="n">
        <v>0</v>
      </c>
      <c r="O44" s="18" t="n">
        <v>0</v>
      </c>
      <c r="P44" s="20" t="n">
        <v>0</v>
      </c>
      <c r="Q44" s="18" t="n">
        <v>2.48997274</v>
      </c>
      <c r="R44" s="20" t="n">
        <v>0.72319678</v>
      </c>
    </row>
    <row r="45" spans="1:18">
      <c r="A45" s="15" t="s">
        <v>605</v>
      </c>
      <c r="B45" s="17" t="n">
        <v>2849</v>
      </c>
      <c r="C45" s="18">
        <f>(1905.0/B45*100)</f>
        <v/>
      </c>
      <c r="D45" s="19" t="n">
        <v>944</v>
      </c>
      <c r="E45" s="18" t="n">
        <v>55.39744828</v>
      </c>
      <c r="F45" s="20" t="n">
        <v>1.83275226</v>
      </c>
      <c r="G45" s="18" t="n">
        <v>31.75316375</v>
      </c>
      <c r="H45" s="20" t="n">
        <v>1.63893396</v>
      </c>
      <c r="I45" s="18" t="s">
        <v>567</v>
      </c>
      <c r="J45" s="20" t="s">
        <v>567</v>
      </c>
      <c r="K45" s="18" t="n">
        <v>10.92363399</v>
      </c>
      <c r="L45" s="20" t="n">
        <v>1.29482801</v>
      </c>
      <c r="M45" s="18" t="n">
        <v>0.2962525</v>
      </c>
      <c r="N45" s="20" t="n">
        <v>0.15710584</v>
      </c>
      <c r="O45" s="18" t="n">
        <v>0.17861961</v>
      </c>
      <c r="P45" s="20" t="n">
        <v>0.13713903</v>
      </c>
      <c r="Q45" s="18" t="n">
        <v>1.45088187</v>
      </c>
      <c r="R45" s="20" t="n">
        <v>0.38109075</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(2008.0/B49*100)</f>
        <v/>
      </c>
      <c r="D49" s="19" t="n">
        <v>1010</v>
      </c>
      <c r="E49" s="18" t="n">
        <v>21.94466181</v>
      </c>
      <c r="F49" s="20" t="n">
        <v>1.83011689</v>
      </c>
      <c r="G49" s="18" t="n">
        <v>73.55533126</v>
      </c>
      <c r="H49" s="20" t="n">
        <v>1.86007993</v>
      </c>
      <c r="I49" s="18" t="s">
        <v>567</v>
      </c>
      <c r="J49" s="20" t="s">
        <v>567</v>
      </c>
      <c r="K49" s="18" t="n">
        <v>3.29783199</v>
      </c>
      <c r="L49" s="20" t="n">
        <v>0.71251254</v>
      </c>
      <c r="M49" s="18" t="n">
        <v>0</v>
      </c>
      <c r="N49" s="20" t="n">
        <v>0</v>
      </c>
      <c r="O49" s="18" t="n">
        <v>0</v>
      </c>
      <c r="P49" s="20" t="n">
        <v>0</v>
      </c>
      <c r="Q49" s="18" t="n">
        <v>1.20217494</v>
      </c>
      <c r="R49" s="20" t="n">
        <v>0.42837645</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(1802.0/B55*100)</f>
        <v/>
      </c>
      <c r="D55" s="19" t="n">
        <v>957</v>
      </c>
      <c r="E55" s="18" t="n">
        <v>46.21244774</v>
      </c>
      <c r="F55" s="20" t="n">
        <v>1.95941975</v>
      </c>
      <c r="G55" s="18" t="n">
        <v>47.19043295</v>
      </c>
      <c r="H55" s="20" t="n">
        <v>1.90395608</v>
      </c>
      <c r="I55" s="18" t="s">
        <v>567</v>
      </c>
      <c r="J55" s="20" t="s">
        <v>567</v>
      </c>
      <c r="K55" s="18" t="n">
        <v>4.39824581</v>
      </c>
      <c r="L55" s="20" t="n">
        <v>0.71315621</v>
      </c>
      <c r="M55" s="18" t="n">
        <v>0</v>
      </c>
      <c r="N55" s="20" t="n">
        <v>0</v>
      </c>
      <c r="O55" s="18" t="n">
        <v>0.12071773</v>
      </c>
      <c r="P55" s="20" t="n">
        <v>0.12835524</v>
      </c>
      <c r="Q55" s="18" t="n">
        <v>2.07815576</v>
      </c>
      <c r="R55" s="20" t="n">
        <v>0.49605194</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(2128.0/B57*100)</f>
        <v/>
      </c>
      <c r="D57" s="19" t="n">
        <v>1042</v>
      </c>
      <c r="E57" s="18" t="n">
        <v>53.65581848</v>
      </c>
      <c r="F57" s="20" t="n">
        <v>1.91777043</v>
      </c>
      <c r="G57" s="18" t="n">
        <v>43.17109203</v>
      </c>
      <c r="H57" s="20" t="n">
        <v>1.91564468</v>
      </c>
      <c r="I57" s="18" t="s">
        <v>567</v>
      </c>
      <c r="J57" s="20" t="s">
        <v>567</v>
      </c>
      <c r="K57" s="18" t="n">
        <v>2.74653424</v>
      </c>
      <c r="L57" s="20" t="n">
        <v>0.57343258</v>
      </c>
      <c r="M57" s="18" t="n">
        <v>0</v>
      </c>
      <c r="N57" s="20" t="n">
        <v>0</v>
      </c>
      <c r="O57" s="18" t="n">
        <v>0</v>
      </c>
      <c r="P57" s="20" t="n">
        <v>0</v>
      </c>
      <c r="Q57" s="18" t="n">
        <v>0.42655525</v>
      </c>
      <c r="R57" s="20" t="n">
        <v>0.25278051</v>
      </c>
    </row>
    <row r="58" spans="1:18">
      <c r="A58" s="15" t="s">
        <v>618</v>
      </c>
      <c r="B58" s="17" t="n">
        <v>3530</v>
      </c>
      <c r="C58" s="18">
        <f>(2358.0/B58*100)</f>
        <v/>
      </c>
      <c r="D58" s="19" t="n">
        <v>1172</v>
      </c>
      <c r="E58" s="18" t="n">
        <v>49.85967656</v>
      </c>
      <c r="F58" s="20" t="n">
        <v>2.0868748</v>
      </c>
      <c r="G58" s="18" t="n">
        <v>41.98698519</v>
      </c>
      <c r="H58" s="20" t="n">
        <v>1.96185511</v>
      </c>
      <c r="I58" s="18" t="s">
        <v>567</v>
      </c>
      <c r="J58" s="20" t="s">
        <v>567</v>
      </c>
      <c r="K58" s="18" t="n">
        <v>5.71605652</v>
      </c>
      <c r="L58" s="20" t="n">
        <v>1.08182207</v>
      </c>
      <c r="M58" s="18" t="n">
        <v>0</v>
      </c>
      <c r="N58" s="20" t="n">
        <v>0</v>
      </c>
      <c r="O58" s="18" t="n">
        <v>0.16792388</v>
      </c>
      <c r="P58" s="20" t="n">
        <v>0.14605491</v>
      </c>
      <c r="Q58" s="18" t="n">
        <v>2.26935785</v>
      </c>
      <c r="R58" s="20" t="n">
        <v>0.67079415</v>
      </c>
    </row>
    <row r="59" spans="1:18">
      <c r="A59" s="15" t="s">
        <v>619</v>
      </c>
      <c r="B59" s="17" t="n">
        <v>2548</v>
      </c>
      <c r="C59" s="18">
        <f>(1724.0/B59*100)</f>
        <v/>
      </c>
      <c r="D59" s="19" t="n">
        <v>824</v>
      </c>
      <c r="E59" s="18" t="n">
        <v>68.01936444</v>
      </c>
      <c r="F59" s="20" t="n">
        <v>2.39043009</v>
      </c>
      <c r="G59" s="18" t="n">
        <v>28.57415528</v>
      </c>
      <c r="H59" s="20" t="n">
        <v>2.34698821</v>
      </c>
      <c r="I59" s="18" t="s">
        <v>567</v>
      </c>
      <c r="J59" s="20" t="s">
        <v>567</v>
      </c>
      <c r="K59" s="18" t="n">
        <v>1.70087942</v>
      </c>
      <c r="L59" s="20" t="n">
        <v>0.52008862</v>
      </c>
      <c r="M59" s="18" t="n">
        <v>0</v>
      </c>
      <c r="N59" s="20" t="n">
        <v>0</v>
      </c>
      <c r="O59" s="18" t="n">
        <v>0.03782099</v>
      </c>
      <c r="P59" s="20" t="n">
        <v>0.03780456</v>
      </c>
      <c r="Q59" s="18" t="n">
        <v>1.66777987</v>
      </c>
      <c r="R59" s="20" t="n">
        <v>0.42274206</v>
      </c>
    </row>
    <row r="60" spans="1:18">
      <c r="A60" s="15" t="s">
        <v>620</v>
      </c>
      <c r="B60" s="17" t="n">
        <v>2095</v>
      </c>
      <c r="C60" s="18">
        <f>(1425.0/B60*100)</f>
        <v/>
      </c>
      <c r="D60" s="19" t="n">
        <v>670</v>
      </c>
      <c r="E60" s="18" t="n">
        <v>45.05067384</v>
      </c>
      <c r="F60" s="20" t="n">
        <v>2.30990847</v>
      </c>
      <c r="G60" s="18" t="n">
        <v>44.31446387</v>
      </c>
      <c r="H60" s="20" t="n">
        <v>2.33131835</v>
      </c>
      <c r="I60" s="18" t="s">
        <v>567</v>
      </c>
      <c r="J60" s="20" t="s">
        <v>567</v>
      </c>
      <c r="K60" s="18" t="n">
        <v>7.977325</v>
      </c>
      <c r="L60" s="20" t="n">
        <v>1.15266616</v>
      </c>
      <c r="M60" s="18" t="n">
        <v>0</v>
      </c>
      <c r="N60" s="20" t="n">
        <v>0</v>
      </c>
      <c r="O60" s="18" t="n">
        <v>0.08678618</v>
      </c>
      <c r="P60" s="20" t="n">
        <v>0.08405364999999999</v>
      </c>
      <c r="Q60" s="18" t="n">
        <v>2.5707511</v>
      </c>
      <c r="R60" s="20" t="n">
        <v>0.74961287</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(1871.0/B63*100)</f>
        <v/>
      </c>
      <c r="D63" s="19" t="n">
        <v>942</v>
      </c>
      <c r="E63" s="18" t="n">
        <v>55.95262675</v>
      </c>
      <c r="F63" s="20" t="n">
        <v>1.83366277</v>
      </c>
      <c r="G63" s="18" t="n">
        <v>38.39166826</v>
      </c>
      <c r="H63" s="20" t="n">
        <v>1.77700473</v>
      </c>
      <c r="I63" s="18" t="s">
        <v>567</v>
      </c>
      <c r="J63" s="20" t="s">
        <v>567</v>
      </c>
      <c r="K63" s="18" t="n">
        <v>3.86231223</v>
      </c>
      <c r="L63" s="20" t="n">
        <v>0.66430989</v>
      </c>
      <c r="M63" s="18" t="n">
        <v>0</v>
      </c>
      <c r="N63" s="20" t="n">
        <v>0</v>
      </c>
      <c r="O63" s="18" t="n">
        <v>0.11325434</v>
      </c>
      <c r="P63" s="20" t="n">
        <v>0.11402251</v>
      </c>
      <c r="Q63" s="18" t="n">
        <v>1.68013842</v>
      </c>
      <c r="R63" s="20" t="n">
        <v>0.43818761</v>
      </c>
    </row>
    <row r="64" spans="1:18">
      <c r="A64" s="15" t="s">
        <v>624</v>
      </c>
      <c r="B64" s="17" t="n">
        <v>1844</v>
      </c>
      <c r="C64" s="18">
        <f>(1243.0/B64*100)</f>
        <v/>
      </c>
      <c r="D64" s="19" t="n">
        <v>601</v>
      </c>
      <c r="E64" s="18" t="n">
        <v>23.52182884</v>
      </c>
      <c r="F64" s="20" t="n">
        <v>1.83820475</v>
      </c>
      <c r="G64" s="18" t="n">
        <v>68.13607497</v>
      </c>
      <c r="H64" s="20" t="n">
        <v>1.94349716</v>
      </c>
      <c r="I64" s="18" t="s">
        <v>567</v>
      </c>
      <c r="J64" s="20" t="s">
        <v>567</v>
      </c>
      <c r="K64" s="18" t="n">
        <v>6.53040125</v>
      </c>
      <c r="L64" s="20" t="n">
        <v>0.92122985</v>
      </c>
      <c r="M64" s="18" t="n">
        <v>0</v>
      </c>
      <c r="N64" s="20" t="n">
        <v>0</v>
      </c>
      <c r="O64" s="18" t="n">
        <v>0.3234633</v>
      </c>
      <c r="P64" s="20" t="n">
        <v>0.23012886</v>
      </c>
      <c r="Q64" s="18" t="n">
        <v>1.48823165</v>
      </c>
      <c r="R64" s="20" t="n">
        <v>0.47927781</v>
      </c>
    </row>
    <row r="65" spans="1:18">
      <c r="A65" s="15" t="s">
        <v>625</v>
      </c>
      <c r="B65" s="17" t="n">
        <v>2691</v>
      </c>
      <c r="C65" s="18">
        <f>(1801.0/B65*100)</f>
        <v/>
      </c>
      <c r="D65" s="19" t="n">
        <v>890</v>
      </c>
      <c r="E65" s="18" t="n">
        <v>36.14532575</v>
      </c>
      <c r="F65" s="20" t="n">
        <v>1.63769938</v>
      </c>
      <c r="G65" s="18" t="n">
        <v>54.198831</v>
      </c>
      <c r="H65" s="20" t="n">
        <v>1.58413781</v>
      </c>
      <c r="I65" s="18" t="s">
        <v>567</v>
      </c>
      <c r="J65" s="20" t="s">
        <v>567</v>
      </c>
      <c r="K65" s="18" t="n">
        <v>7.56207864</v>
      </c>
      <c r="L65" s="20" t="n">
        <v>1.12201527</v>
      </c>
      <c r="M65" s="18" t="n">
        <v>0.10874914</v>
      </c>
      <c r="N65" s="20" t="n">
        <v>0.11398684</v>
      </c>
      <c r="O65" s="18" t="n">
        <v>0</v>
      </c>
      <c r="P65" s="20" t="n">
        <v>0</v>
      </c>
      <c r="Q65" s="18" t="n">
        <v>1.98501547</v>
      </c>
      <c r="R65" s="20" t="n">
        <v>0.54498318</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(1606.0/B69*100)</f>
        <v/>
      </c>
      <c r="D69" s="19" t="n">
        <v>804</v>
      </c>
      <c r="E69" s="18" t="n">
        <v>45.03049418</v>
      </c>
      <c r="F69" s="20" t="n">
        <v>1.98554959</v>
      </c>
      <c r="G69" s="18" t="n">
        <v>54.85098872</v>
      </c>
      <c r="H69" s="20" t="n">
        <v>1.98762542</v>
      </c>
      <c r="I69" s="18" t="s">
        <v>567</v>
      </c>
      <c r="J69" s="20" t="s">
        <v>567</v>
      </c>
      <c r="K69" s="18" t="n">
        <v>0</v>
      </c>
      <c r="L69" s="20" t="n">
        <v>0</v>
      </c>
      <c r="M69" s="18" t="n">
        <v>0</v>
      </c>
      <c r="N69" s="20" t="n">
        <v>0</v>
      </c>
      <c r="O69" s="18" t="n">
        <v>0</v>
      </c>
      <c r="P69" s="20" t="n">
        <v>0</v>
      </c>
      <c r="Q69" s="18" t="n">
        <v>0.1185171</v>
      </c>
      <c r="R69" s="20" t="n">
        <v>0.12521066</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21.14389507</v>
      </c>
      <c r="F74" s="20" t="n">
        <v>1.87774346</v>
      </c>
      <c r="G74" s="18" t="n">
        <v>61.90671125</v>
      </c>
      <c r="H74" s="20" t="n">
        <v>2.07505303</v>
      </c>
      <c r="I74" s="18" t="s">
        <v>567</v>
      </c>
      <c r="J74" s="20" t="s">
        <v>567</v>
      </c>
      <c r="K74" s="18" t="n">
        <v>13.94602687</v>
      </c>
      <c r="L74" s="20" t="n">
        <v>1.60369423</v>
      </c>
      <c r="M74" s="18" t="n">
        <v>0</v>
      </c>
      <c r="N74" s="20" t="n">
        <v>0</v>
      </c>
      <c r="O74" s="18" t="n">
        <v>0</v>
      </c>
      <c r="P74" s="20" t="n">
        <v>0</v>
      </c>
      <c r="Q74" s="18" t="n">
        <v>3.00336681</v>
      </c>
      <c r="R74" s="20" t="n">
        <v>0.5823340299999999</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(1843.0/B78*100)</f>
        <v/>
      </c>
      <c r="D78" s="19" t="n">
        <v>943</v>
      </c>
      <c r="E78" s="18" t="n">
        <v>25.88384234</v>
      </c>
      <c r="F78" s="20" t="n">
        <v>1.86882029</v>
      </c>
      <c r="G78" s="18" t="n">
        <v>74.11615766</v>
      </c>
      <c r="H78" s="20" t="n">
        <v>1.86882029</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(527.0/B79*100)</f>
        <v/>
      </c>
      <c r="D79" s="19" t="n">
        <v>260</v>
      </c>
      <c r="E79" s="18" t="n">
        <v>18.03133268</v>
      </c>
      <c r="F79" s="20" t="n">
        <v>2.53379707</v>
      </c>
      <c r="G79" s="18" t="n">
        <v>73.20800085</v>
      </c>
      <c r="H79" s="20" t="n">
        <v>3.25370085</v>
      </c>
      <c r="I79" s="18" t="s">
        <v>567</v>
      </c>
      <c r="J79" s="20" t="s">
        <v>567</v>
      </c>
      <c r="K79" s="18" t="n">
        <v>6.63472754</v>
      </c>
      <c r="L79" s="20" t="n">
        <v>1.72711613</v>
      </c>
      <c r="M79" s="18" t="n">
        <v>0</v>
      </c>
      <c r="N79" s="20" t="n">
        <v>0</v>
      </c>
      <c r="O79" s="18" t="n">
        <v>0</v>
      </c>
      <c r="P79" s="20" t="n">
        <v>0</v>
      </c>
      <c r="Q79" s="18" t="n">
        <v>2.12593892</v>
      </c>
      <c r="R79" s="20" t="n">
        <v>1.21750152</v>
      </c>
    </row>
    <row r="80" spans="1:18">
      <c r="A80" s="15" t="s">
        <v>640</v>
      </c>
      <c r="B80" s="17" t="n">
        <v>3798</v>
      </c>
      <c r="C80" s="18">
        <f>(2544.0/B80*100)</f>
        <v/>
      </c>
      <c r="D80" s="19" t="n">
        <v>1254</v>
      </c>
      <c r="E80" s="18" t="n">
        <v>36.75104163</v>
      </c>
      <c r="F80" s="20" t="n">
        <v>1.72881464</v>
      </c>
      <c r="G80" s="18" t="n">
        <v>62.35986427</v>
      </c>
      <c r="H80" s="20" t="n">
        <v>1.74488247</v>
      </c>
      <c r="I80" s="18" t="s">
        <v>567</v>
      </c>
      <c r="J80" s="20" t="s">
        <v>567</v>
      </c>
      <c r="K80" s="18" t="n">
        <v>0</v>
      </c>
      <c r="L80" s="20" t="n">
        <v>0</v>
      </c>
      <c r="M80" s="18" t="n">
        <v>0</v>
      </c>
      <c r="N80" s="20" t="n">
        <v>0</v>
      </c>
      <c r="O80" s="18" t="n">
        <v>0</v>
      </c>
      <c r="P80" s="20" t="n">
        <v>0</v>
      </c>
      <c r="Q80" s="18" t="n">
        <v>0.8890941</v>
      </c>
      <c r="R80" s="20" t="n">
        <v>0.23554149</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(1709.0/B44*100)</f>
        <v/>
      </c>
      <c r="D44" s="19" t="n">
        <v>815</v>
      </c>
      <c r="E44" s="18" t="n">
        <v>35.30711833</v>
      </c>
      <c r="F44" s="20" t="n">
        <v>1.90888603</v>
      </c>
      <c r="G44" s="18" t="n">
        <v>34.88003612</v>
      </c>
      <c r="H44" s="20" t="n">
        <v>1.92451672</v>
      </c>
      <c r="I44" s="18" t="s">
        <v>567</v>
      </c>
      <c r="J44" s="20" t="s">
        <v>567</v>
      </c>
      <c r="K44" s="18" t="n">
        <v>8.88530209</v>
      </c>
      <c r="L44" s="20" t="n">
        <v>1.07601657</v>
      </c>
      <c r="M44" s="18" t="n">
        <v>0</v>
      </c>
      <c r="N44" s="20" t="n">
        <v>0</v>
      </c>
      <c r="O44" s="18" t="n">
        <v>1.82757504</v>
      </c>
      <c r="P44" s="20" t="n">
        <v>0.66573206</v>
      </c>
      <c r="Q44" s="18" t="n">
        <v>19.09996842</v>
      </c>
      <c r="R44" s="20" t="n">
        <v>2.06172757</v>
      </c>
    </row>
    <row r="45" spans="1:18">
      <c r="A45" s="15" t="s">
        <v>605</v>
      </c>
      <c r="B45" s="17" t="n">
        <v>2849</v>
      </c>
      <c r="C45" s="18">
        <f>(1905.0/B45*100)</f>
        <v/>
      </c>
      <c r="D45" s="19" t="n">
        <v>944</v>
      </c>
      <c r="E45" s="18" t="n">
        <v>44.66920121</v>
      </c>
      <c r="F45" s="20" t="n">
        <v>1.8449417</v>
      </c>
      <c r="G45" s="18" t="n">
        <v>24.36850757</v>
      </c>
      <c r="H45" s="20" t="n">
        <v>1.41026753</v>
      </c>
      <c r="I45" s="18" t="s">
        <v>567</v>
      </c>
      <c r="J45" s="20" t="s">
        <v>567</v>
      </c>
      <c r="K45" s="18" t="n">
        <v>12.34133239</v>
      </c>
      <c r="L45" s="20" t="n">
        <v>1.37382428</v>
      </c>
      <c r="M45" s="18" t="n">
        <v>0.5478159500000001</v>
      </c>
      <c r="N45" s="20" t="n">
        <v>0.2725272</v>
      </c>
      <c r="O45" s="18" t="n">
        <v>3.94457341</v>
      </c>
      <c r="P45" s="20" t="n">
        <v>0.7470008</v>
      </c>
      <c r="Q45" s="18" t="n">
        <v>14.12856946</v>
      </c>
      <c r="R45" s="20" t="n">
        <v>1.42395717</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(2008.0/B49*100)</f>
        <v/>
      </c>
      <c r="D49" s="19" t="n">
        <v>1010</v>
      </c>
      <c r="E49" s="18" t="n">
        <v>35.24316884</v>
      </c>
      <c r="F49" s="20" t="n">
        <v>1.73101639</v>
      </c>
      <c r="G49" s="18" t="n">
        <v>52.74339752</v>
      </c>
      <c r="H49" s="20" t="n">
        <v>2.03600613</v>
      </c>
      <c r="I49" s="18" t="s">
        <v>567</v>
      </c>
      <c r="J49" s="20" t="s">
        <v>567</v>
      </c>
      <c r="K49" s="18" t="n">
        <v>5.25114843</v>
      </c>
      <c r="L49" s="20" t="n">
        <v>1.00468053</v>
      </c>
      <c r="M49" s="18" t="n">
        <v>0</v>
      </c>
      <c r="N49" s="20" t="n">
        <v>0</v>
      </c>
      <c r="O49" s="18" t="n">
        <v>0.8809108</v>
      </c>
      <c r="P49" s="20" t="n">
        <v>0.37263285</v>
      </c>
      <c r="Q49" s="18" t="n">
        <v>5.88137442</v>
      </c>
      <c r="R49" s="20" t="n">
        <v>0.97244411</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(1802.0/B55*100)</f>
        <v/>
      </c>
      <c r="D55" s="19" t="n">
        <v>957</v>
      </c>
      <c r="E55" s="18" t="n">
        <v>41.76148741</v>
      </c>
      <c r="F55" s="20" t="n">
        <v>1.77011676</v>
      </c>
      <c r="G55" s="18" t="n">
        <v>39.96757825</v>
      </c>
      <c r="H55" s="20" t="n">
        <v>1.86163488</v>
      </c>
      <c r="I55" s="18" t="s">
        <v>567</v>
      </c>
      <c r="J55" s="20" t="s">
        <v>567</v>
      </c>
      <c r="K55" s="18" t="n">
        <v>5.55913894</v>
      </c>
      <c r="L55" s="20" t="n">
        <v>0.83487864</v>
      </c>
      <c r="M55" s="18" t="n">
        <v>0</v>
      </c>
      <c r="N55" s="20" t="n">
        <v>0</v>
      </c>
      <c r="O55" s="18" t="n">
        <v>1.41239221</v>
      </c>
      <c r="P55" s="20" t="n">
        <v>0.43586559</v>
      </c>
      <c r="Q55" s="18" t="n">
        <v>11.29940319</v>
      </c>
      <c r="R55" s="20" t="n">
        <v>1.09541936</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(2128.0/B57*100)</f>
        <v/>
      </c>
      <c r="D57" s="19" t="n">
        <v>1042</v>
      </c>
      <c r="E57" s="18" t="n">
        <v>47.90698861</v>
      </c>
      <c r="F57" s="20" t="n">
        <v>1.63289909</v>
      </c>
      <c r="G57" s="18" t="n">
        <v>46.01909696</v>
      </c>
      <c r="H57" s="20" t="n">
        <v>1.6949149</v>
      </c>
      <c r="I57" s="18" t="s">
        <v>567</v>
      </c>
      <c r="J57" s="20" t="s">
        <v>567</v>
      </c>
      <c r="K57" s="18" t="n">
        <v>3.52284963</v>
      </c>
      <c r="L57" s="20" t="n">
        <v>0.68820478</v>
      </c>
      <c r="M57" s="18" t="n">
        <v>0</v>
      </c>
      <c r="N57" s="20" t="n">
        <v>0</v>
      </c>
      <c r="O57" s="18" t="n">
        <v>0</v>
      </c>
      <c r="P57" s="20" t="n">
        <v>0</v>
      </c>
      <c r="Q57" s="18" t="n">
        <v>2.5510648</v>
      </c>
      <c r="R57" s="20" t="n">
        <v>0.51532931</v>
      </c>
    </row>
    <row r="58" spans="1:18">
      <c r="A58" s="15" t="s">
        <v>618</v>
      </c>
      <c r="B58" s="17" t="n">
        <v>3530</v>
      </c>
      <c r="C58" s="18">
        <f>(2358.0/B58*100)</f>
        <v/>
      </c>
      <c r="D58" s="19" t="n">
        <v>1172</v>
      </c>
      <c r="E58" s="18" t="n">
        <v>40.12845007</v>
      </c>
      <c r="F58" s="20" t="n">
        <v>1.94458562</v>
      </c>
      <c r="G58" s="18" t="n">
        <v>37.03667333</v>
      </c>
      <c r="H58" s="20" t="n">
        <v>1.7532563</v>
      </c>
      <c r="I58" s="18" t="s">
        <v>567</v>
      </c>
      <c r="J58" s="20" t="s">
        <v>567</v>
      </c>
      <c r="K58" s="18" t="n">
        <v>6.68421275</v>
      </c>
      <c r="L58" s="20" t="n">
        <v>1.11986591</v>
      </c>
      <c r="M58" s="18" t="n">
        <v>0</v>
      </c>
      <c r="N58" s="20" t="n">
        <v>0</v>
      </c>
      <c r="O58" s="18" t="n">
        <v>3.47431051</v>
      </c>
      <c r="P58" s="20" t="n">
        <v>0.6244298</v>
      </c>
      <c r="Q58" s="18" t="n">
        <v>12.67635335</v>
      </c>
      <c r="R58" s="20" t="n">
        <v>1.08077592</v>
      </c>
    </row>
    <row r="59" spans="1:18">
      <c r="A59" s="15" t="s">
        <v>619</v>
      </c>
      <c r="B59" s="17" t="n">
        <v>2548</v>
      </c>
      <c r="C59" s="18">
        <f>(1724.0/B59*100)</f>
        <v/>
      </c>
      <c r="D59" s="19" t="n">
        <v>824</v>
      </c>
      <c r="E59" s="18" t="n">
        <v>50.30324748</v>
      </c>
      <c r="F59" s="20" t="n">
        <v>1.99328298</v>
      </c>
      <c r="G59" s="18" t="n">
        <v>35.02890062</v>
      </c>
      <c r="H59" s="20" t="n">
        <v>1.96741615</v>
      </c>
      <c r="I59" s="18" t="s">
        <v>567</v>
      </c>
      <c r="J59" s="20" t="s">
        <v>567</v>
      </c>
      <c r="K59" s="18" t="n">
        <v>2.73347603</v>
      </c>
      <c r="L59" s="20" t="n">
        <v>0.6552563</v>
      </c>
      <c r="M59" s="18" t="n">
        <v>0.47109466</v>
      </c>
      <c r="N59" s="20" t="n">
        <v>0.35709967</v>
      </c>
      <c r="O59" s="18" t="n">
        <v>2.45619296</v>
      </c>
      <c r="P59" s="20" t="n">
        <v>0.59763648</v>
      </c>
      <c r="Q59" s="18" t="n">
        <v>9.00708826</v>
      </c>
      <c r="R59" s="20" t="n">
        <v>1.32931634</v>
      </c>
    </row>
    <row r="60" spans="1:18">
      <c r="A60" s="15" t="s">
        <v>620</v>
      </c>
      <c r="B60" s="17" t="n">
        <v>2095</v>
      </c>
      <c r="C60" s="18">
        <f>(1425.0/B60*100)</f>
        <v/>
      </c>
      <c r="D60" s="19" t="n">
        <v>670</v>
      </c>
      <c r="E60" s="18" t="n">
        <v>39.91310073</v>
      </c>
      <c r="F60" s="20" t="n">
        <v>2.07610657</v>
      </c>
      <c r="G60" s="18" t="n">
        <v>35.93757334</v>
      </c>
      <c r="H60" s="20" t="n">
        <v>2.08878791</v>
      </c>
      <c r="I60" s="18" t="s">
        <v>567</v>
      </c>
      <c r="J60" s="20" t="s">
        <v>567</v>
      </c>
      <c r="K60" s="18" t="n">
        <v>10.14106229</v>
      </c>
      <c r="L60" s="20" t="n">
        <v>1.30642725</v>
      </c>
      <c r="M60" s="18" t="n">
        <v>0</v>
      </c>
      <c r="N60" s="20" t="n">
        <v>0</v>
      </c>
      <c r="O60" s="18" t="n">
        <v>1.85853317</v>
      </c>
      <c r="P60" s="20" t="n">
        <v>0.63453744</v>
      </c>
      <c r="Q60" s="18" t="n">
        <v>12.14973047</v>
      </c>
      <c r="R60" s="20" t="n">
        <v>1.54258814</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(1871.0/B63*100)</f>
        <v/>
      </c>
      <c r="D63" s="19" t="n">
        <v>942</v>
      </c>
      <c r="E63" s="18" t="n">
        <v>45.54419903</v>
      </c>
      <c r="F63" s="20" t="n">
        <v>1.86015966</v>
      </c>
      <c r="G63" s="18" t="n">
        <v>29.4790333</v>
      </c>
      <c r="H63" s="20" t="n">
        <v>1.55712165</v>
      </c>
      <c r="I63" s="18" t="s">
        <v>567</v>
      </c>
      <c r="J63" s="20" t="s">
        <v>567</v>
      </c>
      <c r="K63" s="18" t="n">
        <v>6.02210562</v>
      </c>
      <c r="L63" s="20" t="n">
        <v>0.90755409</v>
      </c>
      <c r="M63" s="18" t="n">
        <v>0</v>
      </c>
      <c r="N63" s="20" t="n">
        <v>0</v>
      </c>
      <c r="O63" s="18" t="n">
        <v>1.85369644</v>
      </c>
      <c r="P63" s="20" t="n">
        <v>0.4072997</v>
      </c>
      <c r="Q63" s="18" t="n">
        <v>17.10096561</v>
      </c>
      <c r="R63" s="20" t="n">
        <v>1.37418335</v>
      </c>
    </row>
    <row r="64" spans="1:18">
      <c r="A64" s="15" t="s">
        <v>624</v>
      </c>
      <c r="B64" s="17" t="n">
        <v>1844</v>
      </c>
      <c r="C64" s="18">
        <f>(1243.0/B64*100)</f>
        <v/>
      </c>
      <c r="D64" s="19" t="n">
        <v>601</v>
      </c>
      <c r="E64" s="18" t="n">
        <v>32.01952296</v>
      </c>
      <c r="F64" s="20" t="n">
        <v>1.92893925</v>
      </c>
      <c r="G64" s="18" t="n">
        <v>52.1323399</v>
      </c>
      <c r="H64" s="20" t="n">
        <v>1.94245963</v>
      </c>
      <c r="I64" s="18" t="s">
        <v>567</v>
      </c>
      <c r="J64" s="20" t="s">
        <v>567</v>
      </c>
      <c r="K64" s="18" t="n">
        <v>7.54760028</v>
      </c>
      <c r="L64" s="20" t="n">
        <v>1.00567267</v>
      </c>
      <c r="M64" s="18" t="n">
        <v>0</v>
      </c>
      <c r="N64" s="20" t="n">
        <v>0</v>
      </c>
      <c r="O64" s="18" t="n">
        <v>0.36043505</v>
      </c>
      <c r="P64" s="20" t="n">
        <v>0.25851297</v>
      </c>
      <c r="Q64" s="18" t="n">
        <v>7.94010181</v>
      </c>
      <c r="R64" s="20" t="n">
        <v>1.1374623</v>
      </c>
    </row>
    <row r="65" spans="1:18">
      <c r="A65" s="15" t="s">
        <v>625</v>
      </c>
      <c r="B65" s="17" t="n">
        <v>2691</v>
      </c>
      <c r="C65" s="18">
        <f>(1801.0/B65*100)</f>
        <v/>
      </c>
      <c r="D65" s="19" t="n">
        <v>890</v>
      </c>
      <c r="E65" s="18" t="n">
        <v>34.17193038</v>
      </c>
      <c r="F65" s="20" t="n">
        <v>1.67941518</v>
      </c>
      <c r="G65" s="18" t="n">
        <v>40.64166528</v>
      </c>
      <c r="H65" s="20" t="n">
        <v>1.83341604</v>
      </c>
      <c r="I65" s="18" t="s">
        <v>567</v>
      </c>
      <c r="J65" s="20" t="s">
        <v>567</v>
      </c>
      <c r="K65" s="18" t="n">
        <v>8.6852927</v>
      </c>
      <c r="L65" s="20" t="n">
        <v>1.1869904</v>
      </c>
      <c r="M65" s="18" t="n">
        <v>3.00814305</v>
      </c>
      <c r="N65" s="20" t="n">
        <v>0.6655034399999999</v>
      </c>
      <c r="O65" s="18" t="n">
        <v>0</v>
      </c>
      <c r="P65" s="20" t="n">
        <v>0</v>
      </c>
      <c r="Q65" s="18" t="n">
        <v>13.49296859</v>
      </c>
      <c r="R65" s="20" t="n">
        <v>1.23164088</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(1606.0/B69*100)</f>
        <v/>
      </c>
      <c r="D69" s="19" t="n">
        <v>804</v>
      </c>
      <c r="E69" s="18" t="n">
        <v>55.19793279</v>
      </c>
      <c r="F69" s="20" t="n">
        <v>1.66808845</v>
      </c>
      <c r="G69" s="18" t="n">
        <v>44.56216788</v>
      </c>
      <c r="H69" s="20" t="n">
        <v>1.65302204</v>
      </c>
      <c r="I69" s="18" t="s">
        <v>567</v>
      </c>
      <c r="J69" s="20" t="s">
        <v>567</v>
      </c>
      <c r="K69" s="18" t="n">
        <v>0</v>
      </c>
      <c r="L69" s="20" t="n">
        <v>0</v>
      </c>
      <c r="M69" s="18" t="n">
        <v>0</v>
      </c>
      <c r="N69" s="20" t="n">
        <v>0</v>
      </c>
      <c r="O69" s="18" t="n">
        <v>0</v>
      </c>
      <c r="P69" s="20" t="n">
        <v>0</v>
      </c>
      <c r="Q69" s="18" t="n">
        <v>0.23989933</v>
      </c>
      <c r="R69" s="20" t="n">
        <v>0.17491275</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29.39287881</v>
      </c>
      <c r="F74" s="20" t="n">
        <v>1.95529034</v>
      </c>
      <c r="G74" s="18" t="n">
        <v>45.0677896</v>
      </c>
      <c r="H74" s="20" t="n">
        <v>1.91830237</v>
      </c>
      <c r="I74" s="18" t="s">
        <v>567</v>
      </c>
      <c r="J74" s="20" t="s">
        <v>567</v>
      </c>
      <c r="K74" s="18" t="n">
        <v>16.86748483</v>
      </c>
      <c r="L74" s="20" t="n">
        <v>1.62312759</v>
      </c>
      <c r="M74" s="18" t="n">
        <v>0</v>
      </c>
      <c r="N74" s="20" t="n">
        <v>0</v>
      </c>
      <c r="O74" s="18" t="n">
        <v>0</v>
      </c>
      <c r="P74" s="20" t="n">
        <v>0</v>
      </c>
      <c r="Q74" s="18" t="n">
        <v>8.671846759999999</v>
      </c>
      <c r="R74" s="20" t="n">
        <v>0.9716780699999999</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(1843.0/B78*100)</f>
        <v/>
      </c>
      <c r="D78" s="19" t="n">
        <v>943</v>
      </c>
      <c r="E78" s="18" t="n">
        <v>26.81983408</v>
      </c>
      <c r="F78" s="20" t="n">
        <v>2.04405103</v>
      </c>
      <c r="G78" s="18" t="n">
        <v>73.18016591999999</v>
      </c>
      <c r="H78" s="20" t="n">
        <v>2.04405103</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(527.0/B79*100)</f>
        <v/>
      </c>
      <c r="D79" s="19" t="n">
        <v>260</v>
      </c>
      <c r="E79" s="18" t="n">
        <v>28.81325004</v>
      </c>
      <c r="F79" s="20" t="n">
        <v>2.88691734</v>
      </c>
      <c r="G79" s="18" t="n">
        <v>57.65076882</v>
      </c>
      <c r="H79" s="20" t="n">
        <v>2.62036295</v>
      </c>
      <c r="I79" s="18" t="s">
        <v>567</v>
      </c>
      <c r="J79" s="20" t="s">
        <v>567</v>
      </c>
      <c r="K79" s="18" t="n">
        <v>7.7157643</v>
      </c>
      <c r="L79" s="20" t="n">
        <v>1.76917143</v>
      </c>
      <c r="M79" s="18" t="n">
        <v>0</v>
      </c>
      <c r="N79" s="20" t="n">
        <v>0</v>
      </c>
      <c r="O79" s="18" t="n">
        <v>0</v>
      </c>
      <c r="P79" s="20" t="n">
        <v>0</v>
      </c>
      <c r="Q79" s="18" t="n">
        <v>5.82021684</v>
      </c>
      <c r="R79" s="20" t="n">
        <v>1.56935046</v>
      </c>
    </row>
    <row r="80" spans="1:18">
      <c r="A80" s="15" t="s">
        <v>640</v>
      </c>
      <c r="B80" s="17" t="n">
        <v>3798</v>
      </c>
      <c r="C80" s="18">
        <f>(2544.0/B80*100)</f>
        <v/>
      </c>
      <c r="D80" s="19" t="n">
        <v>1254</v>
      </c>
      <c r="E80" s="18" t="n">
        <v>52.46877571</v>
      </c>
      <c r="F80" s="20" t="n">
        <v>2.2780468</v>
      </c>
      <c r="G80" s="18" t="n">
        <v>45.83500327</v>
      </c>
      <c r="H80" s="20" t="n">
        <v>2.27365194</v>
      </c>
      <c r="I80" s="18" t="s">
        <v>567</v>
      </c>
      <c r="J80" s="20" t="s">
        <v>567</v>
      </c>
      <c r="K80" s="18" t="n">
        <v>0</v>
      </c>
      <c r="L80" s="20" t="n">
        <v>0</v>
      </c>
      <c r="M80" s="18" t="n">
        <v>0</v>
      </c>
      <c r="N80" s="20" t="n">
        <v>0</v>
      </c>
      <c r="O80" s="18" t="n">
        <v>0</v>
      </c>
      <c r="P80" s="20" t="n">
        <v>0</v>
      </c>
      <c r="Q80" s="18" t="n">
        <v>1.69622103</v>
      </c>
      <c r="R80" s="20" t="n">
        <v>0.4102317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903</v>
      </c>
    </row>
    <row customHeight="1" ht="30" r="4" spans="1:22">
      <c r="A4" s="6" t="n"/>
      <c r="B4" s="7" t="s">
        <v>551</v>
      </c>
      <c r="C4" s="7" t="s">
        <v>552</v>
      </c>
      <c r="D4" s="8" t="s">
        <v>551</v>
      </c>
      <c r="E4" s="9" t="s">
        <v>657</v>
      </c>
      <c r="F4" s="10" t="n"/>
      <c r="G4" s="9" t="s">
        <v>855</v>
      </c>
      <c r="H4" s="10" t="n"/>
      <c r="I4" s="9" t="s">
        <v>659</v>
      </c>
      <c r="J4" s="10" t="n"/>
      <c r="K4" s="9" t="s">
        <v>660</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row>
    <row r="6" spans="1:22">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c r="U7" s="18" t="s">
        <v>567</v>
      </c>
      <c r="V7" s="20" t="s">
        <v>567</v>
      </c>
    </row>
    <row r="8" spans="1:22">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c r="U8" s="18" t="s">
        <v>567</v>
      </c>
      <c r="V8" s="20" t="s">
        <v>567</v>
      </c>
    </row>
    <row r="9" spans="1:22">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c r="U9" s="18" t="s">
        <v>567</v>
      </c>
      <c r="V9" s="20" t="s">
        <v>567</v>
      </c>
    </row>
    <row r="10" spans="1:22">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c r="U10" s="18" t="s">
        <v>567</v>
      </c>
      <c r="V10" s="20" t="s">
        <v>567</v>
      </c>
    </row>
    <row r="11" spans="1:22">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c r="U11" s="18" t="s">
        <v>567</v>
      </c>
      <c r="V11" s="20" t="s">
        <v>567</v>
      </c>
    </row>
    <row r="12" spans="1:22">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c r="U12" s="18" t="s">
        <v>567</v>
      </c>
      <c r="V12" s="20" t="s">
        <v>567</v>
      </c>
    </row>
    <row r="13" spans="1:22">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c r="U13" s="18" t="s">
        <v>567</v>
      </c>
      <c r="V13" s="20" t="s">
        <v>567</v>
      </c>
    </row>
    <row r="14" spans="1:22">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c r="U14" s="18" t="s">
        <v>567</v>
      </c>
      <c r="V14" s="20" t="s">
        <v>567</v>
      </c>
    </row>
    <row r="15" spans="1:22">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c r="U15" s="18" t="s">
        <v>567</v>
      </c>
      <c r="V15" s="20" t="s">
        <v>567</v>
      </c>
    </row>
    <row r="16" spans="1:22">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c r="U16" s="18" t="s">
        <v>567</v>
      </c>
      <c r="V16" s="20" t="s">
        <v>567</v>
      </c>
    </row>
    <row r="17" spans="1:22">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c r="U17" s="18" t="s">
        <v>567</v>
      </c>
      <c r="V17" s="20" t="s">
        <v>567</v>
      </c>
    </row>
    <row r="18" spans="1:22">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c r="U18" s="18" t="s">
        <v>567</v>
      </c>
      <c r="V18" s="20" t="s">
        <v>567</v>
      </c>
    </row>
    <row r="19" spans="1:22">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c r="U19" s="18" t="s">
        <v>567</v>
      </c>
      <c r="V19" s="20" t="s">
        <v>567</v>
      </c>
    </row>
    <row r="20" spans="1:22">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c r="U20" s="18" t="s">
        <v>567</v>
      </c>
      <c r="V20" s="20" t="s">
        <v>567</v>
      </c>
    </row>
    <row r="21" spans="1:22">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c r="U21" s="18" t="s">
        <v>567</v>
      </c>
      <c r="V21" s="20" t="s">
        <v>567</v>
      </c>
    </row>
    <row r="22" spans="1:22">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c r="U22" s="18" t="s">
        <v>567</v>
      </c>
      <c r="V22" s="20" t="s">
        <v>567</v>
      </c>
    </row>
    <row r="23" spans="1:22">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c r="U23" s="18" t="s">
        <v>567</v>
      </c>
      <c r="V23" s="20" t="s">
        <v>567</v>
      </c>
    </row>
    <row r="24" spans="1:22">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c r="U24" s="18" t="s">
        <v>567</v>
      </c>
      <c r="V24" s="20" t="s">
        <v>567</v>
      </c>
    </row>
    <row r="25" spans="1:22">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c r="U25" s="18" t="s">
        <v>567</v>
      </c>
      <c r="V25" s="20" t="s">
        <v>567</v>
      </c>
    </row>
    <row r="26" spans="1:22">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c r="U26" s="18" t="s">
        <v>567</v>
      </c>
      <c r="V26" s="20" t="s">
        <v>567</v>
      </c>
    </row>
    <row r="27" spans="1:22">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c r="U27" s="18" t="s">
        <v>567</v>
      </c>
      <c r="V27" s="20" t="s">
        <v>567</v>
      </c>
    </row>
    <row r="28" spans="1:22">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c r="U28" s="18" t="s">
        <v>567</v>
      </c>
      <c r="V28" s="20" t="s">
        <v>567</v>
      </c>
    </row>
    <row r="29" spans="1:22">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c r="U29" s="18" t="s">
        <v>567</v>
      </c>
      <c r="V29" s="20" t="s">
        <v>567</v>
      </c>
    </row>
    <row r="30" spans="1:22">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c r="U30" s="18" t="s">
        <v>567</v>
      </c>
      <c r="V30" s="20" t="s">
        <v>567</v>
      </c>
    </row>
    <row r="31" spans="1:22">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c r="U31" s="18" t="s">
        <v>567</v>
      </c>
      <c r="V31" s="20" t="s">
        <v>567</v>
      </c>
    </row>
    <row r="32" spans="1:22">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c r="U32" s="18" t="s">
        <v>567</v>
      </c>
      <c r="V32" s="20" t="s">
        <v>567</v>
      </c>
    </row>
    <row r="33" spans="1:22">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c r="U33" s="18" t="s">
        <v>567</v>
      </c>
      <c r="V33" s="20" t="s">
        <v>567</v>
      </c>
    </row>
    <row r="34" spans="1:22">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c r="U34" s="18" t="s">
        <v>567</v>
      </c>
      <c r="V34" s="20" t="s">
        <v>567</v>
      </c>
    </row>
    <row r="35" spans="1:22">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c r="U35" s="18" t="s">
        <v>567</v>
      </c>
      <c r="V35" s="20" t="s">
        <v>567</v>
      </c>
    </row>
    <row r="36" spans="1:22">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c r="U36" s="18" t="s">
        <v>567</v>
      </c>
      <c r="V36" s="20" t="s">
        <v>567</v>
      </c>
    </row>
    <row r="37" spans="1:22">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c r="U37" s="18" t="s">
        <v>567</v>
      </c>
      <c r="V37" s="20" t="s">
        <v>567</v>
      </c>
    </row>
    <row r="38" spans="1:22">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c r="U38" s="18" t="s">
        <v>567</v>
      </c>
      <c r="V38" s="20" t="s">
        <v>567</v>
      </c>
    </row>
    <row r="39" spans="1:22">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c r="U39" s="18" t="s">
        <v>567</v>
      </c>
      <c r="V39" s="20" t="s">
        <v>567</v>
      </c>
    </row>
    <row r="40" spans="1:22">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c r="U40" s="18" t="s">
        <v>567</v>
      </c>
      <c r="V40" s="20" t="s">
        <v>567</v>
      </c>
    </row>
    <row r="41" spans="1:22">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c r="U41" s="18" t="s">
        <v>567</v>
      </c>
      <c r="V41" s="20" t="s">
        <v>567</v>
      </c>
    </row>
    <row r="42" spans="1:22">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604</v>
      </c>
      <c r="B44" s="17" t="n">
        <v>2524</v>
      </c>
      <c r="C44" s="18">
        <f>(1709.0/B44*100)</f>
        <v/>
      </c>
      <c r="D44" s="19" t="n">
        <v>815</v>
      </c>
      <c r="E44" s="18" t="n">
        <v>28.45495239</v>
      </c>
      <c r="F44" s="20" t="n">
        <v>2.09805353</v>
      </c>
      <c r="G44" s="18" t="n">
        <v>0</v>
      </c>
      <c r="H44" s="20" t="n">
        <v>0</v>
      </c>
      <c r="I44" s="18" t="n">
        <v>10.36051817</v>
      </c>
      <c r="J44" s="20" t="n">
        <v>1.25730443</v>
      </c>
      <c r="K44" s="18" t="n">
        <v>6.67380999</v>
      </c>
      <c r="L44" s="20" t="n">
        <v>0.97999417</v>
      </c>
      <c r="M44" s="18" t="s">
        <v>567</v>
      </c>
      <c r="N44" s="20" t="s">
        <v>567</v>
      </c>
      <c r="O44" s="18" t="n">
        <v>9.7405004</v>
      </c>
      <c r="P44" s="20" t="n">
        <v>1.1257665</v>
      </c>
      <c r="Q44" s="18" t="n">
        <v>0</v>
      </c>
      <c r="R44" s="20" t="n">
        <v>0</v>
      </c>
      <c r="S44" s="18" t="n">
        <v>0</v>
      </c>
      <c r="T44" s="20" t="n">
        <v>0</v>
      </c>
      <c r="U44" s="18" t="n">
        <v>44.77021906</v>
      </c>
      <c r="V44" s="20" t="n">
        <v>2.64210014</v>
      </c>
    </row>
    <row r="45" spans="1:22">
      <c r="A45" s="15" t="s">
        <v>605</v>
      </c>
      <c r="B45" s="17" t="n">
        <v>2849</v>
      </c>
      <c r="C45" s="18">
        <f>(1905.0/B45*100)</f>
        <v/>
      </c>
      <c r="D45" s="19" t="n">
        <v>944</v>
      </c>
      <c r="E45" s="18" t="n">
        <v>39.22650792</v>
      </c>
      <c r="F45" s="20" t="n">
        <v>1.84565135</v>
      </c>
      <c r="G45" s="18" t="n">
        <v>0</v>
      </c>
      <c r="H45" s="20" t="n">
        <v>0</v>
      </c>
      <c r="I45" s="18" t="n">
        <v>2.94620185</v>
      </c>
      <c r="J45" s="20" t="n">
        <v>0.61069143</v>
      </c>
      <c r="K45" s="18" t="n">
        <v>6.41033471</v>
      </c>
      <c r="L45" s="20" t="n">
        <v>0.8643102499999999</v>
      </c>
      <c r="M45" s="18" t="s">
        <v>567</v>
      </c>
      <c r="N45" s="20" t="s">
        <v>567</v>
      </c>
      <c r="O45" s="18" t="n">
        <v>12.56045991</v>
      </c>
      <c r="P45" s="20" t="n">
        <v>1.32609459</v>
      </c>
      <c r="Q45" s="18" t="n">
        <v>0.37047037</v>
      </c>
      <c r="R45" s="20" t="n">
        <v>0.22338159</v>
      </c>
      <c r="S45" s="18" t="n">
        <v>0</v>
      </c>
      <c r="T45" s="20" t="n">
        <v>0</v>
      </c>
      <c r="U45" s="18" t="n">
        <v>38.48602523</v>
      </c>
      <c r="V45" s="20" t="n">
        <v>1.91179957</v>
      </c>
    </row>
    <row r="46" spans="1:22">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c r="U46" s="18" t="s">
        <v>567</v>
      </c>
      <c r="V46" s="20" t="s">
        <v>567</v>
      </c>
    </row>
    <row r="47" spans="1:22">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c r="U47" s="18" t="s">
        <v>567</v>
      </c>
      <c r="V47" s="20" t="s">
        <v>567</v>
      </c>
    </row>
    <row r="48" spans="1:22">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c r="U48" s="18" t="s">
        <v>567</v>
      </c>
      <c r="V48" s="20" t="s">
        <v>567</v>
      </c>
    </row>
    <row r="49" spans="1:22">
      <c r="A49" s="15" t="s">
        <v>609</v>
      </c>
      <c r="B49" s="17" t="n">
        <v>3018</v>
      </c>
      <c r="C49" s="18">
        <f>(2008.0/B49*100)</f>
        <v/>
      </c>
      <c r="D49" s="19" t="n">
        <v>1010</v>
      </c>
      <c r="E49" s="18" t="n">
        <v>49.14742285</v>
      </c>
      <c r="F49" s="20" t="n">
        <v>1.82831178</v>
      </c>
      <c r="G49" s="18" t="n">
        <v>0</v>
      </c>
      <c r="H49" s="20" t="n">
        <v>0</v>
      </c>
      <c r="I49" s="18" t="n">
        <v>7.59498274</v>
      </c>
      <c r="J49" s="20" t="n">
        <v>0.92510202</v>
      </c>
      <c r="K49" s="18" t="n">
        <v>9.76101798</v>
      </c>
      <c r="L49" s="20" t="n">
        <v>1.27094422</v>
      </c>
      <c r="M49" s="18" t="s">
        <v>567</v>
      </c>
      <c r="N49" s="20" t="s">
        <v>567</v>
      </c>
      <c r="O49" s="18" t="n">
        <v>5.93392475</v>
      </c>
      <c r="P49" s="20" t="n">
        <v>1.02470973</v>
      </c>
      <c r="Q49" s="18" t="n">
        <v>0</v>
      </c>
      <c r="R49" s="20" t="n">
        <v>0</v>
      </c>
      <c r="S49" s="18" t="n">
        <v>0</v>
      </c>
      <c r="T49" s="20" t="n">
        <v>0</v>
      </c>
      <c r="U49" s="18" t="n">
        <v>27.56265167</v>
      </c>
      <c r="V49" s="20" t="n">
        <v>1.7945838</v>
      </c>
    </row>
    <row r="50" spans="1:22">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c r="U50" s="18" t="s">
        <v>567</v>
      </c>
      <c r="V50" s="20" t="s">
        <v>567</v>
      </c>
    </row>
    <row r="51" spans="1:22">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c r="U51" s="18" t="s">
        <v>567</v>
      </c>
      <c r="V51" s="20" t="s">
        <v>567</v>
      </c>
    </row>
    <row r="52" spans="1:22">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c r="U52" s="18" t="s">
        <v>567</v>
      </c>
      <c r="V52" s="20" t="s">
        <v>567</v>
      </c>
    </row>
    <row r="53" spans="1:22">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c r="U53" s="18" t="s">
        <v>567</v>
      </c>
      <c r="V53" s="20" t="s">
        <v>567</v>
      </c>
    </row>
    <row r="54" spans="1:22">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c r="U54" s="18" t="s">
        <v>567</v>
      </c>
      <c r="V54" s="20" t="s">
        <v>567</v>
      </c>
    </row>
    <row r="55" spans="1:22">
      <c r="A55" s="15" t="s">
        <v>615</v>
      </c>
      <c r="B55" s="17" t="n">
        <v>2759</v>
      </c>
      <c r="C55" s="18">
        <f>(1802.0/B55*100)</f>
        <v/>
      </c>
      <c r="D55" s="19" t="n">
        <v>957</v>
      </c>
      <c r="E55" s="18" t="n">
        <v>26.96334579</v>
      </c>
      <c r="F55" s="20" t="n">
        <v>1.88325478</v>
      </c>
      <c r="G55" s="18" t="n">
        <v>0</v>
      </c>
      <c r="H55" s="20" t="n">
        <v>0</v>
      </c>
      <c r="I55" s="18" t="n">
        <v>5.92415496</v>
      </c>
      <c r="J55" s="20" t="n">
        <v>0.8032888</v>
      </c>
      <c r="K55" s="18" t="n">
        <v>2.9316144</v>
      </c>
      <c r="L55" s="20" t="n">
        <v>0.63595768</v>
      </c>
      <c r="M55" s="18" t="s">
        <v>567</v>
      </c>
      <c r="N55" s="20" t="s">
        <v>567</v>
      </c>
      <c r="O55" s="18" t="n">
        <v>6.58008764</v>
      </c>
      <c r="P55" s="20" t="n">
        <v>0.85211794</v>
      </c>
      <c r="Q55" s="18" t="n">
        <v>0</v>
      </c>
      <c r="R55" s="20" t="n">
        <v>0</v>
      </c>
      <c r="S55" s="18" t="n">
        <v>0.32968879</v>
      </c>
      <c r="T55" s="20" t="n">
        <v>0.23149059</v>
      </c>
      <c r="U55" s="18" t="n">
        <v>57.27110843</v>
      </c>
      <c r="V55" s="20" t="n">
        <v>1.98009693</v>
      </c>
    </row>
    <row r="56" spans="1:22">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c r="U56" s="18" t="s">
        <v>567</v>
      </c>
      <c r="V56" s="20" t="s">
        <v>567</v>
      </c>
    </row>
    <row r="57" spans="1:22">
      <c r="A57" s="15" t="s">
        <v>617</v>
      </c>
      <c r="B57" s="17" t="n">
        <v>3170</v>
      </c>
      <c r="C57" s="18">
        <f>(2128.0/B57*100)</f>
        <v/>
      </c>
      <c r="D57" s="19" t="n">
        <v>1042</v>
      </c>
      <c r="E57" s="18" t="n">
        <v>71.80377541999999</v>
      </c>
      <c r="F57" s="20" t="n">
        <v>1.57571503</v>
      </c>
      <c r="G57" s="18" t="n">
        <v>0</v>
      </c>
      <c r="H57" s="20" t="n">
        <v>0</v>
      </c>
      <c r="I57" s="18" t="n">
        <v>5.24249143</v>
      </c>
      <c r="J57" s="20" t="n">
        <v>0.83384862</v>
      </c>
      <c r="K57" s="18" t="n">
        <v>9.578922759999999</v>
      </c>
      <c r="L57" s="20" t="n">
        <v>1.17699999</v>
      </c>
      <c r="M57" s="18" t="s">
        <v>567</v>
      </c>
      <c r="N57" s="20" t="s">
        <v>567</v>
      </c>
      <c r="O57" s="18" t="n">
        <v>3.73151198</v>
      </c>
      <c r="P57" s="20" t="n">
        <v>0.71184223</v>
      </c>
      <c r="Q57" s="18" t="n">
        <v>0</v>
      </c>
      <c r="R57" s="20" t="n">
        <v>0</v>
      </c>
      <c r="S57" s="18" t="n">
        <v>0</v>
      </c>
      <c r="T57" s="20" t="n">
        <v>0</v>
      </c>
      <c r="U57" s="18" t="n">
        <v>9.64329841</v>
      </c>
      <c r="V57" s="20" t="n">
        <v>1.20941725</v>
      </c>
    </row>
    <row r="58" spans="1:22">
      <c r="A58" s="15" t="s">
        <v>618</v>
      </c>
      <c r="B58" s="17" t="n">
        <v>3530</v>
      </c>
      <c r="C58" s="18">
        <f>(2358.0/B58*100)</f>
        <v/>
      </c>
      <c r="D58" s="19" t="n">
        <v>1172</v>
      </c>
      <c r="E58" s="18" t="n">
        <v>52.42414057</v>
      </c>
      <c r="F58" s="20" t="n">
        <v>1.91013445</v>
      </c>
      <c r="G58" s="18" t="n">
        <v>0</v>
      </c>
      <c r="H58" s="20" t="n">
        <v>0</v>
      </c>
      <c r="I58" s="18" t="n">
        <v>7.84797776</v>
      </c>
      <c r="J58" s="20" t="n">
        <v>0.69568467</v>
      </c>
      <c r="K58" s="18" t="n">
        <v>5.09210183</v>
      </c>
      <c r="L58" s="20" t="n">
        <v>0.8590252900000001</v>
      </c>
      <c r="M58" s="18" t="s">
        <v>567</v>
      </c>
      <c r="N58" s="20" t="s">
        <v>567</v>
      </c>
      <c r="O58" s="18" t="n">
        <v>7.0945185</v>
      </c>
      <c r="P58" s="20" t="n">
        <v>1.13931208</v>
      </c>
      <c r="Q58" s="18" t="n">
        <v>0</v>
      </c>
      <c r="R58" s="20" t="n">
        <v>0</v>
      </c>
      <c r="S58" s="18" t="n">
        <v>0</v>
      </c>
      <c r="T58" s="20" t="n">
        <v>0</v>
      </c>
      <c r="U58" s="18" t="n">
        <v>27.54126135</v>
      </c>
      <c r="V58" s="20" t="n">
        <v>1.94129166</v>
      </c>
    </row>
    <row r="59" spans="1:22">
      <c r="A59" s="15" t="s">
        <v>619</v>
      </c>
      <c r="B59" s="17" t="n">
        <v>2548</v>
      </c>
      <c r="C59" s="18">
        <f>(1724.0/B59*100)</f>
        <v/>
      </c>
      <c r="D59" s="19" t="n">
        <v>824</v>
      </c>
      <c r="E59" s="18" t="n">
        <v>44.48523822</v>
      </c>
      <c r="F59" s="20" t="n">
        <v>1.931364</v>
      </c>
      <c r="G59" s="18" t="n">
        <v>0</v>
      </c>
      <c r="H59" s="20" t="n">
        <v>0</v>
      </c>
      <c r="I59" s="18" t="n">
        <v>10.30815002</v>
      </c>
      <c r="J59" s="20" t="n">
        <v>1.39875138</v>
      </c>
      <c r="K59" s="18" t="n">
        <v>11.0583601</v>
      </c>
      <c r="L59" s="20" t="n">
        <v>1.34361221</v>
      </c>
      <c r="M59" s="18" t="s">
        <v>567</v>
      </c>
      <c r="N59" s="20" t="s">
        <v>567</v>
      </c>
      <c r="O59" s="18" t="n">
        <v>3.49745226</v>
      </c>
      <c r="P59" s="20" t="n">
        <v>0.75472684</v>
      </c>
      <c r="Q59" s="18" t="n">
        <v>0</v>
      </c>
      <c r="R59" s="20" t="n">
        <v>0</v>
      </c>
      <c r="S59" s="18" t="n">
        <v>0</v>
      </c>
      <c r="T59" s="20" t="n">
        <v>0</v>
      </c>
      <c r="U59" s="18" t="n">
        <v>30.6507994</v>
      </c>
      <c r="V59" s="20" t="n">
        <v>1.87110182</v>
      </c>
    </row>
    <row r="60" spans="1:22">
      <c r="A60" s="15" t="s">
        <v>620</v>
      </c>
      <c r="B60" s="17" t="n">
        <v>2095</v>
      </c>
      <c r="C60" s="18">
        <f>(1425.0/B60*100)</f>
        <v/>
      </c>
      <c r="D60" s="19" t="n">
        <v>670</v>
      </c>
      <c r="E60" s="18" t="n">
        <v>36.4359714</v>
      </c>
      <c r="F60" s="20" t="n">
        <v>2.0674179</v>
      </c>
      <c r="G60" s="18" t="n">
        <v>0</v>
      </c>
      <c r="H60" s="20" t="n">
        <v>0</v>
      </c>
      <c r="I60" s="18" t="n">
        <v>4.44622282</v>
      </c>
      <c r="J60" s="20" t="n">
        <v>0.98677617</v>
      </c>
      <c r="K60" s="18" t="n">
        <v>5.41728474</v>
      </c>
      <c r="L60" s="20" t="n">
        <v>1.01853235</v>
      </c>
      <c r="M60" s="18" t="s">
        <v>567</v>
      </c>
      <c r="N60" s="20" t="s">
        <v>567</v>
      </c>
      <c r="O60" s="18" t="n">
        <v>10.75150168</v>
      </c>
      <c r="P60" s="20" t="n">
        <v>1.38000356</v>
      </c>
      <c r="Q60" s="18" t="n">
        <v>0.13309793</v>
      </c>
      <c r="R60" s="20" t="n">
        <v>0.12918908</v>
      </c>
      <c r="S60" s="18" t="n">
        <v>0.28209077</v>
      </c>
      <c r="T60" s="20" t="n">
        <v>0.17112627</v>
      </c>
      <c r="U60" s="18" t="n">
        <v>42.53383066</v>
      </c>
      <c r="V60" s="20" t="n">
        <v>2.38276475</v>
      </c>
    </row>
    <row r="61" spans="1:22">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c r="U61" s="18" t="s">
        <v>567</v>
      </c>
      <c r="V61" s="20" t="s">
        <v>567</v>
      </c>
    </row>
    <row r="62" spans="1:22">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c r="U62" s="18" t="s">
        <v>567</v>
      </c>
      <c r="V62" s="20" t="s">
        <v>567</v>
      </c>
    </row>
    <row r="63" spans="1:22">
      <c r="A63" s="15" t="s">
        <v>623</v>
      </c>
      <c r="B63" s="17" t="n">
        <v>2813</v>
      </c>
      <c r="C63" s="18">
        <f>(1871.0/B63*100)</f>
        <v/>
      </c>
      <c r="D63" s="19" t="n">
        <v>942</v>
      </c>
      <c r="E63" s="18" t="n">
        <v>19.48181255</v>
      </c>
      <c r="F63" s="20" t="n">
        <v>1.39442238</v>
      </c>
      <c r="G63" s="18" t="n">
        <v>0</v>
      </c>
      <c r="H63" s="20" t="n">
        <v>0</v>
      </c>
      <c r="I63" s="18" t="n">
        <v>7.56101977</v>
      </c>
      <c r="J63" s="20" t="n">
        <v>1.04469114</v>
      </c>
      <c r="K63" s="18" t="n">
        <v>4.30430309</v>
      </c>
      <c r="L63" s="20" t="n">
        <v>0.84448769</v>
      </c>
      <c r="M63" s="18" t="s">
        <v>567</v>
      </c>
      <c r="N63" s="20" t="s">
        <v>567</v>
      </c>
      <c r="O63" s="18" t="n">
        <v>6.62281444</v>
      </c>
      <c r="P63" s="20" t="n">
        <v>0.99263355</v>
      </c>
      <c r="Q63" s="18" t="n">
        <v>0</v>
      </c>
      <c r="R63" s="20" t="n">
        <v>0</v>
      </c>
      <c r="S63" s="18" t="n">
        <v>0</v>
      </c>
      <c r="T63" s="20" t="n">
        <v>0</v>
      </c>
      <c r="U63" s="18" t="n">
        <v>62.03005015</v>
      </c>
      <c r="V63" s="20" t="n">
        <v>1.95698424</v>
      </c>
    </row>
    <row r="64" spans="1:22">
      <c r="A64" s="15" t="s">
        <v>624</v>
      </c>
      <c r="B64" s="17" t="n">
        <v>1844</v>
      </c>
      <c r="C64" s="18">
        <f>(1243.0/B64*100)</f>
        <v/>
      </c>
      <c r="D64" s="19" t="n">
        <v>601</v>
      </c>
      <c r="E64" s="18" t="n">
        <v>35.8522373</v>
      </c>
      <c r="F64" s="20" t="n">
        <v>1.82118672</v>
      </c>
      <c r="G64" s="18" t="n">
        <v>0</v>
      </c>
      <c r="H64" s="20" t="n">
        <v>0</v>
      </c>
      <c r="I64" s="18" t="n">
        <v>17.96952841</v>
      </c>
      <c r="J64" s="20" t="n">
        <v>1.43872311</v>
      </c>
      <c r="K64" s="18" t="n">
        <v>12.89146865</v>
      </c>
      <c r="L64" s="20" t="n">
        <v>1.48416358</v>
      </c>
      <c r="M64" s="18" t="s">
        <v>567</v>
      </c>
      <c r="N64" s="20" t="s">
        <v>567</v>
      </c>
      <c r="O64" s="18" t="n">
        <v>7.54760028</v>
      </c>
      <c r="P64" s="20" t="n">
        <v>1.00567267</v>
      </c>
      <c r="Q64" s="18" t="n">
        <v>0</v>
      </c>
      <c r="R64" s="20" t="n">
        <v>0</v>
      </c>
      <c r="S64" s="18" t="n">
        <v>0</v>
      </c>
      <c r="T64" s="20" t="n">
        <v>0</v>
      </c>
      <c r="U64" s="18" t="n">
        <v>25.73916536</v>
      </c>
      <c r="V64" s="20" t="n">
        <v>1.82319361</v>
      </c>
    </row>
    <row r="65" spans="1:22">
      <c r="A65" s="15" t="s">
        <v>625</v>
      </c>
      <c r="B65" s="17" t="n">
        <v>2691</v>
      </c>
      <c r="C65" s="18">
        <f>(1801.0/B65*100)</f>
        <v/>
      </c>
      <c r="D65" s="19" t="n">
        <v>890</v>
      </c>
      <c r="E65" s="18" t="n">
        <v>34.40170086</v>
      </c>
      <c r="F65" s="20" t="n">
        <v>2.15288621</v>
      </c>
      <c r="G65" s="18" t="n">
        <v>0</v>
      </c>
      <c r="H65" s="20" t="n">
        <v>0</v>
      </c>
      <c r="I65" s="18" t="n">
        <v>10.12397118</v>
      </c>
      <c r="J65" s="20" t="n">
        <v>1.18382846</v>
      </c>
      <c r="K65" s="18" t="n">
        <v>3.68747089</v>
      </c>
      <c r="L65" s="20" t="n">
        <v>0.53150177</v>
      </c>
      <c r="M65" s="18" t="s">
        <v>567</v>
      </c>
      <c r="N65" s="20" t="s">
        <v>567</v>
      </c>
      <c r="O65" s="18" t="n">
        <v>9.85733349</v>
      </c>
      <c r="P65" s="20" t="n">
        <v>1.25348331</v>
      </c>
      <c r="Q65" s="18" t="n">
        <v>0</v>
      </c>
      <c r="R65" s="20" t="n">
        <v>0</v>
      </c>
      <c r="S65" s="18" t="n">
        <v>0</v>
      </c>
      <c r="T65" s="20" t="n">
        <v>0</v>
      </c>
      <c r="U65" s="18" t="n">
        <v>41.92952358</v>
      </c>
      <c r="V65" s="20" t="n">
        <v>2.00009638</v>
      </c>
    </row>
    <row r="66" spans="1:22">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c r="U66" s="18" t="s">
        <v>567</v>
      </c>
      <c r="V66" s="20" t="s">
        <v>567</v>
      </c>
    </row>
    <row r="67" spans="1:22">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c r="U67" s="18" t="s">
        <v>567</v>
      </c>
      <c r="V67" s="20" t="s">
        <v>567</v>
      </c>
    </row>
    <row r="68" spans="1:22">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c r="U68" s="18" t="s">
        <v>567</v>
      </c>
      <c r="V68" s="20" t="s">
        <v>567</v>
      </c>
    </row>
    <row r="69" spans="1:22">
      <c r="A69" s="15" t="s">
        <v>629</v>
      </c>
      <c r="B69" s="17" t="n">
        <v>2410</v>
      </c>
      <c r="C69" s="18">
        <f>(1606.0/B69*100)</f>
        <v/>
      </c>
      <c r="D69" s="19" t="n">
        <v>804</v>
      </c>
      <c r="E69" s="18" t="n">
        <v>63.55663512</v>
      </c>
      <c r="F69" s="20" t="n">
        <v>1.72573127</v>
      </c>
      <c r="G69" s="18" t="n">
        <v>0</v>
      </c>
      <c r="H69" s="20" t="n">
        <v>0</v>
      </c>
      <c r="I69" s="18" t="n">
        <v>22.7156334</v>
      </c>
      <c r="J69" s="20" t="n">
        <v>1.76241195</v>
      </c>
      <c r="K69" s="18" t="n">
        <v>12.90196099</v>
      </c>
      <c r="L69" s="20" t="n">
        <v>1.58575832</v>
      </c>
      <c r="M69" s="18" t="s">
        <v>567</v>
      </c>
      <c r="N69" s="20" t="s">
        <v>567</v>
      </c>
      <c r="O69" s="18" t="n">
        <v>0</v>
      </c>
      <c r="P69" s="20" t="n">
        <v>0</v>
      </c>
      <c r="Q69" s="18" t="n">
        <v>0</v>
      </c>
      <c r="R69" s="20" t="n">
        <v>0</v>
      </c>
      <c r="S69" s="18" t="n">
        <v>0</v>
      </c>
      <c r="T69" s="20" t="n">
        <v>0</v>
      </c>
      <c r="U69" s="18" t="n">
        <v>0.82577049</v>
      </c>
      <c r="V69" s="20" t="n">
        <v>0.36737269</v>
      </c>
    </row>
    <row r="70" spans="1:22">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c r="U70" s="18" t="s">
        <v>567</v>
      </c>
      <c r="V70" s="20" t="s">
        <v>567</v>
      </c>
    </row>
    <row r="71" spans="1:22">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c r="U71" s="18" t="s">
        <v>567</v>
      </c>
      <c r="V71" s="20" t="s">
        <v>567</v>
      </c>
    </row>
    <row r="72" spans="1:22">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c r="U72" s="18" t="s">
        <v>567</v>
      </c>
      <c r="V72" s="20" t="s">
        <v>567</v>
      </c>
    </row>
    <row r="73" spans="1:22">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c r="U73" s="18" t="s">
        <v>567</v>
      </c>
      <c r="V73" s="20" t="s">
        <v>567</v>
      </c>
    </row>
    <row r="74" spans="1:22">
      <c r="A74" s="15" t="s">
        <v>634</v>
      </c>
      <c r="B74" s="17" t="n">
        <v>2239</v>
      </c>
      <c r="C74" s="18">
        <f>(1511.0/B74*100)</f>
        <v/>
      </c>
      <c r="D74" s="19" t="n">
        <v>728</v>
      </c>
      <c r="E74" s="18" t="n">
        <v>35.92508456</v>
      </c>
      <c r="F74" s="20" t="n">
        <v>1.81595859</v>
      </c>
      <c r="G74" s="18" t="n">
        <v>0</v>
      </c>
      <c r="H74" s="20" t="n">
        <v>0</v>
      </c>
      <c r="I74" s="18" t="n">
        <v>7.61957706</v>
      </c>
      <c r="J74" s="20" t="n">
        <v>1.19674015</v>
      </c>
      <c r="K74" s="18" t="n">
        <v>7.59454933</v>
      </c>
      <c r="L74" s="20" t="n">
        <v>1.02830734</v>
      </c>
      <c r="M74" s="18" t="s">
        <v>567</v>
      </c>
      <c r="N74" s="20" t="s">
        <v>567</v>
      </c>
      <c r="O74" s="18" t="n">
        <v>17.33598185</v>
      </c>
      <c r="P74" s="20" t="n">
        <v>1.62159411</v>
      </c>
      <c r="Q74" s="18" t="n">
        <v>0</v>
      </c>
      <c r="R74" s="20" t="n">
        <v>0</v>
      </c>
      <c r="S74" s="18" t="n">
        <v>0</v>
      </c>
      <c r="T74" s="20" t="n">
        <v>0</v>
      </c>
      <c r="U74" s="18" t="n">
        <v>31.52480719</v>
      </c>
      <c r="V74" s="20" t="n">
        <v>1.79890223</v>
      </c>
    </row>
    <row r="75" spans="1:22">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c r="U75" s="18" t="s">
        <v>567</v>
      </c>
      <c r="V75" s="20" t="s">
        <v>567</v>
      </c>
    </row>
    <row r="76" spans="1:22">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c r="U76" s="18" t="s">
        <v>567</v>
      </c>
      <c r="V76" s="20" t="s">
        <v>567</v>
      </c>
    </row>
    <row r="77" spans="1:22">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c r="U77" s="18" t="s">
        <v>567</v>
      </c>
      <c r="V77" s="20" t="s">
        <v>567</v>
      </c>
    </row>
    <row r="78" spans="1:22">
      <c r="A78" s="15" t="s">
        <v>638</v>
      </c>
      <c r="B78" s="17" t="n">
        <v>2786</v>
      </c>
      <c r="C78" s="18">
        <f>(1843.0/B78*100)</f>
        <v/>
      </c>
      <c r="D78" s="19" t="n">
        <v>943</v>
      </c>
      <c r="E78" s="18" t="n">
        <v>76.34507786</v>
      </c>
      <c r="F78" s="20" t="n">
        <v>1.53849605</v>
      </c>
      <c r="G78" s="18" t="n">
        <v>0</v>
      </c>
      <c r="H78" s="20" t="n">
        <v>0</v>
      </c>
      <c r="I78" s="18" t="n">
        <v>16.6575206</v>
      </c>
      <c r="J78" s="20" t="n">
        <v>1.236701</v>
      </c>
      <c r="K78" s="18" t="n">
        <v>4.8190277</v>
      </c>
      <c r="L78" s="20" t="n">
        <v>0.68890362</v>
      </c>
      <c r="M78" s="18" t="s">
        <v>567</v>
      </c>
      <c r="N78" s="20" t="s">
        <v>567</v>
      </c>
      <c r="O78" s="18" t="n">
        <v>0</v>
      </c>
      <c r="P78" s="20" t="n">
        <v>0</v>
      </c>
      <c r="Q78" s="18" t="n">
        <v>0</v>
      </c>
      <c r="R78" s="20" t="n">
        <v>0</v>
      </c>
      <c r="S78" s="18" t="n">
        <v>0</v>
      </c>
      <c r="T78" s="20" t="n">
        <v>0</v>
      </c>
      <c r="U78" s="18" t="n">
        <v>2.17837384</v>
      </c>
      <c r="V78" s="20" t="n">
        <v>0.6380614</v>
      </c>
    </row>
    <row customHeight="1" ht="25" r="79" spans="1:22">
      <c r="A79" s="15" t="s">
        <v>639</v>
      </c>
      <c r="B79" s="17" t="n">
        <v>787</v>
      </c>
      <c r="C79" s="18">
        <f>(527.0/B79*100)</f>
        <v/>
      </c>
      <c r="D79" s="19" t="n">
        <v>260</v>
      </c>
      <c r="E79" s="18" t="n">
        <v>36.73464473</v>
      </c>
      <c r="F79" s="20" t="n">
        <v>3.12728498</v>
      </c>
      <c r="G79" s="18" t="n">
        <v>0</v>
      </c>
      <c r="H79" s="20" t="n">
        <v>0</v>
      </c>
      <c r="I79" s="18" t="n">
        <v>11.87262883</v>
      </c>
      <c r="J79" s="20" t="n">
        <v>2.03617576</v>
      </c>
      <c r="K79" s="18" t="n">
        <v>17.96531378</v>
      </c>
      <c r="L79" s="20" t="n">
        <v>2.07563914</v>
      </c>
      <c r="M79" s="18" t="s">
        <v>567</v>
      </c>
      <c r="N79" s="20" t="s">
        <v>567</v>
      </c>
      <c r="O79" s="18" t="n">
        <v>8.85124562</v>
      </c>
      <c r="P79" s="20" t="n">
        <v>1.92455496</v>
      </c>
      <c r="Q79" s="18" t="n">
        <v>0</v>
      </c>
      <c r="R79" s="20" t="n">
        <v>0</v>
      </c>
      <c r="S79" s="18" t="n">
        <v>0</v>
      </c>
      <c r="T79" s="20" t="n">
        <v>0</v>
      </c>
      <c r="U79" s="18" t="n">
        <v>24.57616704</v>
      </c>
      <c r="V79" s="20" t="n">
        <v>2.66705202</v>
      </c>
    </row>
    <row r="80" spans="1:22">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row>
    <row r="81" spans="1:22">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c r="U81" s="18" t="s">
        <v>567</v>
      </c>
      <c r="V81" s="20" t="s">
        <v>567</v>
      </c>
    </row>
    <row r="82" spans="1:22">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row>
    <row r="83" spans="1:22">
      <c r="A83" s="3" t="s">
        <v>643</v>
      </c>
    </row>
    <row r="84" spans="1:22">
      <c r="A84" s="23" t="s">
        <v>644</v>
      </c>
    </row>
    <row r="85" spans="1:22">
      <c r="A85" s="23" t="s">
        <v>645</v>
      </c>
    </row>
    <row customHeight="1" ht="30" r="86" spans="1:22">
      <c r="A86" s="23" t="s">
        <v>646</v>
      </c>
    </row>
    <row customHeight="1" ht="30" r="87" spans="1:22">
      <c r="A87" s="23" t="s">
        <v>642</v>
      </c>
    </row>
    <row customHeight="1" ht="30" r="88" spans="1:22">
      <c r="A88" s="23" t="s">
        <v>647</v>
      </c>
    </row>
    <row customHeight="1" ht="30" r="89" spans="1:22">
      <c r="A89" s="23" t="s">
        <v>648</v>
      </c>
    </row>
    <row customHeight="1" ht="30" r="90" spans="1:22">
      <c r="A90" s="23" t="s">
        <v>649</v>
      </c>
    </row>
    <row customHeight="1" ht="30" r="91" spans="1:22">
      <c r="A91" s="23" t="s">
        <v>650</v>
      </c>
    </row>
    <row customHeight="1" ht="30" r="92" spans="1:22">
      <c r="A92" s="23" t="s">
        <v>651</v>
      </c>
    </row>
    <row customHeight="1" ht="30" r="93" spans="1:22">
      <c r="A93" s="23" t="s">
        <v>652</v>
      </c>
    </row>
    <row customHeight="1" ht="30" r="94" spans="1:22">
      <c r="A94" s="23" t="s">
        <v>653</v>
      </c>
    </row>
    <row customHeight="1" ht="30" r="95" spans="1:22">
      <c r="A95" s="23" t="s">
        <v>654</v>
      </c>
    </row>
    <row customHeight="1" ht="30" r="96" spans="1:22">
      <c r="A96" s="23" t="s">
        <v>655</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(1709.0/B44*100)</f>
        <v/>
      </c>
      <c r="D44" s="19" t="n">
        <v>815</v>
      </c>
      <c r="E44" s="18" t="n">
        <v>38.53444176</v>
      </c>
      <c r="F44" s="20" t="n">
        <v>2.44166677</v>
      </c>
      <c r="G44" s="18" t="n">
        <v>49.27142593</v>
      </c>
      <c r="H44" s="20" t="n">
        <v>2.27056177</v>
      </c>
      <c r="I44" s="18" t="s">
        <v>567</v>
      </c>
      <c r="J44" s="20" t="s">
        <v>567</v>
      </c>
      <c r="K44" s="18" t="n">
        <v>10.06519659</v>
      </c>
      <c r="L44" s="20" t="n">
        <v>1.14777093</v>
      </c>
      <c r="M44" s="18" t="n">
        <v>0</v>
      </c>
      <c r="N44" s="20" t="n">
        <v>0</v>
      </c>
      <c r="O44" s="18" t="n">
        <v>0</v>
      </c>
      <c r="P44" s="20" t="n">
        <v>0</v>
      </c>
      <c r="Q44" s="18" t="n">
        <v>2.12893572</v>
      </c>
      <c r="R44" s="20" t="n">
        <v>0.56226663</v>
      </c>
    </row>
    <row r="45" spans="1:18">
      <c r="A45" s="15" t="s">
        <v>605</v>
      </c>
      <c r="B45" s="17" t="n">
        <v>2849</v>
      </c>
      <c r="C45" s="18">
        <f>(1905.0/B45*100)</f>
        <v/>
      </c>
      <c r="D45" s="19" t="n">
        <v>944</v>
      </c>
      <c r="E45" s="18" t="n">
        <v>44.45874297</v>
      </c>
      <c r="F45" s="20" t="n">
        <v>1.54983247</v>
      </c>
      <c r="G45" s="18" t="n">
        <v>39.89817379</v>
      </c>
      <c r="H45" s="20" t="n">
        <v>1.63807545</v>
      </c>
      <c r="I45" s="18" t="s">
        <v>567</v>
      </c>
      <c r="J45" s="20" t="s">
        <v>567</v>
      </c>
      <c r="K45" s="18" t="n">
        <v>12.86540731</v>
      </c>
      <c r="L45" s="20" t="n">
        <v>1.33661384</v>
      </c>
      <c r="M45" s="18" t="n">
        <v>0.32444166</v>
      </c>
      <c r="N45" s="20" t="n">
        <v>0.17852164</v>
      </c>
      <c r="O45" s="18" t="n">
        <v>0.18798043</v>
      </c>
      <c r="P45" s="20" t="n">
        <v>0.14128349</v>
      </c>
      <c r="Q45" s="18" t="n">
        <v>2.26525383</v>
      </c>
      <c r="R45" s="20" t="n">
        <v>0.48151186</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(2008.0/B49*100)</f>
        <v/>
      </c>
      <c r="D49" s="19" t="n">
        <v>1010</v>
      </c>
      <c r="E49" s="18" t="n">
        <v>28.16980548</v>
      </c>
      <c r="F49" s="20" t="n">
        <v>1.90440412</v>
      </c>
      <c r="G49" s="18" t="n">
        <v>64.32896105</v>
      </c>
      <c r="H49" s="20" t="n">
        <v>1.94090766</v>
      </c>
      <c r="I49" s="18" t="s">
        <v>567</v>
      </c>
      <c r="J49" s="20" t="s">
        <v>567</v>
      </c>
      <c r="K49" s="18" t="n">
        <v>6.09262953</v>
      </c>
      <c r="L49" s="20" t="n">
        <v>1.04445774</v>
      </c>
      <c r="M49" s="18" t="n">
        <v>0</v>
      </c>
      <c r="N49" s="20" t="n">
        <v>0</v>
      </c>
      <c r="O49" s="18" t="n">
        <v>0</v>
      </c>
      <c r="P49" s="20" t="n">
        <v>0</v>
      </c>
      <c r="Q49" s="18" t="n">
        <v>1.40860394</v>
      </c>
      <c r="R49" s="20" t="n">
        <v>0.45212141</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(1802.0/B55*100)</f>
        <v/>
      </c>
      <c r="D55" s="19" t="n">
        <v>957</v>
      </c>
      <c r="E55" s="18" t="n">
        <v>46.7276984</v>
      </c>
      <c r="F55" s="20" t="n">
        <v>1.54514549</v>
      </c>
      <c r="G55" s="18" t="n">
        <v>43.67613046</v>
      </c>
      <c r="H55" s="20" t="n">
        <v>1.71141204</v>
      </c>
      <c r="I55" s="18" t="s">
        <v>567</v>
      </c>
      <c r="J55" s="20" t="s">
        <v>567</v>
      </c>
      <c r="K55" s="18" t="n">
        <v>6.88175358</v>
      </c>
      <c r="L55" s="20" t="n">
        <v>0.9199712</v>
      </c>
      <c r="M55" s="18" t="n">
        <v>0</v>
      </c>
      <c r="N55" s="20" t="n">
        <v>0</v>
      </c>
      <c r="O55" s="18" t="n">
        <v>0.12071773</v>
      </c>
      <c r="P55" s="20" t="n">
        <v>0.12835524</v>
      </c>
      <c r="Q55" s="18" t="n">
        <v>2.59369982</v>
      </c>
      <c r="R55" s="20" t="n">
        <v>0.50984996</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(2128.0/B57*100)</f>
        <v/>
      </c>
      <c r="D57" s="19" t="n">
        <v>1042</v>
      </c>
      <c r="E57" s="18" t="n">
        <v>49.28092521</v>
      </c>
      <c r="F57" s="20" t="n">
        <v>1.92297552</v>
      </c>
      <c r="G57" s="18" t="n">
        <v>45.05761622</v>
      </c>
      <c r="H57" s="20" t="n">
        <v>1.91516557</v>
      </c>
      <c r="I57" s="18" t="s">
        <v>567</v>
      </c>
      <c r="J57" s="20" t="s">
        <v>567</v>
      </c>
      <c r="K57" s="18" t="n">
        <v>3.9579274</v>
      </c>
      <c r="L57" s="20" t="n">
        <v>0.79450977</v>
      </c>
      <c r="M57" s="18" t="n">
        <v>0</v>
      </c>
      <c r="N57" s="20" t="n">
        <v>0</v>
      </c>
      <c r="O57" s="18" t="n">
        <v>0</v>
      </c>
      <c r="P57" s="20" t="n">
        <v>0</v>
      </c>
      <c r="Q57" s="18" t="n">
        <v>1.70353116</v>
      </c>
      <c r="R57" s="20" t="n">
        <v>0.44159645</v>
      </c>
    </row>
    <row r="58" spans="1:18">
      <c r="A58" s="15" t="s">
        <v>618</v>
      </c>
      <c r="B58" s="17" t="n">
        <v>3530</v>
      </c>
      <c r="C58" s="18">
        <f>(2358.0/B58*100)</f>
        <v/>
      </c>
      <c r="D58" s="19" t="n">
        <v>1172</v>
      </c>
      <c r="E58" s="18" t="n">
        <v>50.13091889</v>
      </c>
      <c r="F58" s="20" t="n">
        <v>1.80700283</v>
      </c>
      <c r="G58" s="18" t="n">
        <v>40.77709261</v>
      </c>
      <c r="H58" s="20" t="n">
        <v>1.89015613</v>
      </c>
      <c r="I58" s="18" t="s">
        <v>567</v>
      </c>
      <c r="J58" s="20" t="s">
        <v>567</v>
      </c>
      <c r="K58" s="18" t="n">
        <v>7.37101583</v>
      </c>
      <c r="L58" s="20" t="n">
        <v>1.17188739</v>
      </c>
      <c r="M58" s="18" t="n">
        <v>0</v>
      </c>
      <c r="N58" s="20" t="n">
        <v>0</v>
      </c>
      <c r="O58" s="18" t="n">
        <v>0.37218352</v>
      </c>
      <c r="P58" s="20" t="n">
        <v>0.21288368</v>
      </c>
      <c r="Q58" s="18" t="n">
        <v>1.34878915</v>
      </c>
      <c r="R58" s="20" t="n">
        <v>0.36945001</v>
      </c>
    </row>
    <row r="59" spans="1:18">
      <c r="A59" s="15" t="s">
        <v>619</v>
      </c>
      <c r="B59" s="17" t="n">
        <v>2548</v>
      </c>
      <c r="C59" s="18">
        <f>(1724.0/B59*100)</f>
        <v/>
      </c>
      <c r="D59" s="19" t="n">
        <v>824</v>
      </c>
      <c r="E59" s="18" t="n">
        <v>55.92745564</v>
      </c>
      <c r="F59" s="20" t="n">
        <v>1.96064653</v>
      </c>
      <c r="G59" s="18" t="n">
        <v>38.90306698</v>
      </c>
      <c r="H59" s="20" t="n">
        <v>1.87100631</v>
      </c>
      <c r="I59" s="18" t="s">
        <v>567</v>
      </c>
      <c r="J59" s="20" t="s">
        <v>567</v>
      </c>
      <c r="K59" s="18" t="n">
        <v>3.83248778</v>
      </c>
      <c r="L59" s="20" t="n">
        <v>0.79480647</v>
      </c>
      <c r="M59" s="18" t="n">
        <v>0</v>
      </c>
      <c r="N59" s="20" t="n">
        <v>0</v>
      </c>
      <c r="O59" s="18" t="n">
        <v>0.03782099</v>
      </c>
      <c r="P59" s="20" t="n">
        <v>0.03780456</v>
      </c>
      <c r="Q59" s="18" t="n">
        <v>1.29916862</v>
      </c>
      <c r="R59" s="20" t="n">
        <v>0.46655743</v>
      </c>
    </row>
    <row r="60" spans="1:18">
      <c r="A60" s="15" t="s">
        <v>620</v>
      </c>
      <c r="B60" s="17" t="n">
        <v>2095</v>
      </c>
      <c r="C60" s="18">
        <f>(1425.0/B60*100)</f>
        <v/>
      </c>
      <c r="D60" s="19" t="n">
        <v>670</v>
      </c>
      <c r="E60" s="18" t="n">
        <v>47.8467415</v>
      </c>
      <c r="F60" s="20" t="n">
        <v>2.11235206</v>
      </c>
      <c r="G60" s="18" t="n">
        <v>38.6412576</v>
      </c>
      <c r="H60" s="20" t="n">
        <v>1.90867468</v>
      </c>
      <c r="I60" s="18" t="s">
        <v>567</v>
      </c>
      <c r="J60" s="20" t="s">
        <v>567</v>
      </c>
      <c r="K60" s="18" t="n">
        <v>11.39523735</v>
      </c>
      <c r="L60" s="20" t="n">
        <v>1.40726908</v>
      </c>
      <c r="M60" s="18" t="n">
        <v>0</v>
      </c>
      <c r="N60" s="20" t="n">
        <v>0</v>
      </c>
      <c r="O60" s="18" t="n">
        <v>0</v>
      </c>
      <c r="P60" s="20" t="n">
        <v>0</v>
      </c>
      <c r="Q60" s="18" t="n">
        <v>2.11676355</v>
      </c>
      <c r="R60" s="20" t="n">
        <v>0.61911124</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(1871.0/B63*100)</f>
        <v/>
      </c>
      <c r="D63" s="19" t="n">
        <v>942</v>
      </c>
      <c r="E63" s="18" t="n">
        <v>39.91446583</v>
      </c>
      <c r="F63" s="20" t="n">
        <v>1.68439779</v>
      </c>
      <c r="G63" s="18" t="n">
        <v>51.13157617</v>
      </c>
      <c r="H63" s="20" t="n">
        <v>1.77509961</v>
      </c>
      <c r="I63" s="18" t="s">
        <v>567</v>
      </c>
      <c r="J63" s="20" t="s">
        <v>567</v>
      </c>
      <c r="K63" s="18" t="n">
        <v>6.62281444</v>
      </c>
      <c r="L63" s="20" t="n">
        <v>0.99263355</v>
      </c>
      <c r="M63" s="18" t="n">
        <v>0</v>
      </c>
      <c r="N63" s="20" t="n">
        <v>0</v>
      </c>
      <c r="O63" s="18" t="n">
        <v>0.11325434</v>
      </c>
      <c r="P63" s="20" t="n">
        <v>0.11402251</v>
      </c>
      <c r="Q63" s="18" t="n">
        <v>2.21788921</v>
      </c>
      <c r="R63" s="20" t="n">
        <v>0.49419411</v>
      </c>
    </row>
    <row r="64" spans="1:18">
      <c r="A64" s="15" t="s">
        <v>624</v>
      </c>
      <c r="B64" s="17" t="n">
        <v>1844</v>
      </c>
      <c r="C64" s="18">
        <f>(1243.0/B64*100)</f>
        <v/>
      </c>
      <c r="D64" s="19" t="n">
        <v>601</v>
      </c>
      <c r="E64" s="18" t="n">
        <v>29.09526123</v>
      </c>
      <c r="F64" s="20" t="n">
        <v>1.62260005</v>
      </c>
      <c r="G64" s="18" t="n">
        <v>62.83931509</v>
      </c>
      <c r="H64" s="20" t="n">
        <v>1.64372027</v>
      </c>
      <c r="I64" s="18" t="s">
        <v>567</v>
      </c>
      <c r="J64" s="20" t="s">
        <v>567</v>
      </c>
      <c r="K64" s="18" t="n">
        <v>7.71123389</v>
      </c>
      <c r="L64" s="20" t="n">
        <v>1.01920145</v>
      </c>
      <c r="M64" s="18" t="n">
        <v>0</v>
      </c>
      <c r="N64" s="20" t="n">
        <v>0</v>
      </c>
      <c r="O64" s="18" t="n">
        <v>0.17649974</v>
      </c>
      <c r="P64" s="20" t="n">
        <v>0.17742239</v>
      </c>
      <c r="Q64" s="18" t="n">
        <v>0.17769005</v>
      </c>
      <c r="R64" s="20" t="n">
        <v>0.17489066</v>
      </c>
    </row>
    <row r="65" spans="1:18">
      <c r="A65" s="15" t="s">
        <v>625</v>
      </c>
      <c r="B65" s="17" t="n">
        <v>2691</v>
      </c>
      <c r="C65" s="18">
        <f>(1801.0/B65*100)</f>
        <v/>
      </c>
      <c r="D65" s="19" t="n">
        <v>890</v>
      </c>
      <c r="E65" s="18" t="n">
        <v>33.30701915</v>
      </c>
      <c r="F65" s="20" t="n">
        <v>1.54175549</v>
      </c>
      <c r="G65" s="18" t="n">
        <v>54.49191581</v>
      </c>
      <c r="H65" s="20" t="n">
        <v>1.7575366</v>
      </c>
      <c r="I65" s="18" t="s">
        <v>567</v>
      </c>
      <c r="J65" s="20" t="s">
        <v>567</v>
      </c>
      <c r="K65" s="18" t="n">
        <v>10.42143637</v>
      </c>
      <c r="L65" s="20" t="n">
        <v>1.27022073</v>
      </c>
      <c r="M65" s="18" t="n">
        <v>0</v>
      </c>
      <c r="N65" s="20" t="n">
        <v>0</v>
      </c>
      <c r="O65" s="18" t="n">
        <v>0</v>
      </c>
      <c r="P65" s="20" t="n">
        <v>0</v>
      </c>
      <c r="Q65" s="18" t="n">
        <v>1.77962868</v>
      </c>
      <c r="R65" s="20" t="n">
        <v>0.46188871</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(1606.0/B69*100)</f>
        <v/>
      </c>
      <c r="D69" s="19" t="n">
        <v>804</v>
      </c>
      <c r="E69" s="18" t="n">
        <v>31.21530659</v>
      </c>
      <c r="F69" s="20" t="n">
        <v>1.96089935</v>
      </c>
      <c r="G69" s="18" t="n">
        <v>68.78469341</v>
      </c>
      <c r="H69" s="20" t="n">
        <v>1.96089935</v>
      </c>
      <c r="I69" s="18" t="s">
        <v>567</v>
      </c>
      <c r="J69" s="20" t="s">
        <v>567</v>
      </c>
      <c r="K69" s="18" t="n">
        <v>0</v>
      </c>
      <c r="L69" s="20" t="n">
        <v>0</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32.58854253</v>
      </c>
      <c r="F74" s="20" t="n">
        <v>1.91684058</v>
      </c>
      <c r="G74" s="18" t="n">
        <v>47.57283567</v>
      </c>
      <c r="H74" s="20" t="n">
        <v>1.83767891</v>
      </c>
      <c r="I74" s="18" t="s">
        <v>567</v>
      </c>
      <c r="J74" s="20" t="s">
        <v>567</v>
      </c>
      <c r="K74" s="18" t="n">
        <v>17.74155361</v>
      </c>
      <c r="L74" s="20" t="n">
        <v>1.50721158</v>
      </c>
      <c r="M74" s="18" t="n">
        <v>0</v>
      </c>
      <c r="N74" s="20" t="n">
        <v>0</v>
      </c>
      <c r="O74" s="18" t="n">
        <v>0</v>
      </c>
      <c r="P74" s="20" t="n">
        <v>0</v>
      </c>
      <c r="Q74" s="18" t="n">
        <v>2.09706819</v>
      </c>
      <c r="R74" s="20" t="n">
        <v>0.65137415</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(1843.0/B78*100)</f>
        <v/>
      </c>
      <c r="D78" s="19" t="n">
        <v>943</v>
      </c>
      <c r="E78" s="18" t="n">
        <v>38.22172303</v>
      </c>
      <c r="F78" s="20" t="n">
        <v>1.98296615</v>
      </c>
      <c r="G78" s="18" t="n">
        <v>61.77827697</v>
      </c>
      <c r="H78" s="20" t="n">
        <v>1.98296615</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(527.0/B79*100)</f>
        <v/>
      </c>
      <c r="D79" s="19" t="n">
        <v>260</v>
      </c>
      <c r="E79" s="18" t="n">
        <v>26.75291635</v>
      </c>
      <c r="F79" s="20" t="n">
        <v>2.71154795</v>
      </c>
      <c r="G79" s="18" t="n">
        <v>63.48914647</v>
      </c>
      <c r="H79" s="20" t="n">
        <v>2.91021996</v>
      </c>
      <c r="I79" s="18" t="s">
        <v>567</v>
      </c>
      <c r="J79" s="20" t="s">
        <v>567</v>
      </c>
      <c r="K79" s="18" t="n">
        <v>9.329714109999999</v>
      </c>
      <c r="L79" s="20" t="n">
        <v>2.02655978</v>
      </c>
      <c r="M79" s="18" t="n">
        <v>0</v>
      </c>
      <c r="N79" s="20" t="n">
        <v>0</v>
      </c>
      <c r="O79" s="18" t="n">
        <v>0</v>
      </c>
      <c r="P79" s="20" t="n">
        <v>0</v>
      </c>
      <c r="Q79" s="18" t="n">
        <v>0.42822308</v>
      </c>
      <c r="R79" s="20" t="n">
        <v>0.40118752</v>
      </c>
    </row>
    <row r="80" spans="1:18">
      <c r="A80" s="15" t="s">
        <v>640</v>
      </c>
      <c r="B80" s="17" t="n">
        <v>3798</v>
      </c>
      <c r="C80" s="18">
        <f>(2544.0/B80*100)</f>
        <v/>
      </c>
      <c r="D80" s="19" t="n">
        <v>1254</v>
      </c>
      <c r="E80" s="18" t="n">
        <v>49.25162389</v>
      </c>
      <c r="F80" s="20" t="n">
        <v>2.19668725</v>
      </c>
      <c r="G80" s="18" t="n">
        <v>49.88041858</v>
      </c>
      <c r="H80" s="20" t="n">
        <v>2.17811789</v>
      </c>
      <c r="I80" s="18" t="s">
        <v>567</v>
      </c>
      <c r="J80" s="20" t="s">
        <v>567</v>
      </c>
      <c r="K80" s="18" t="n">
        <v>0.75340264</v>
      </c>
      <c r="L80" s="20" t="n">
        <v>0.266821</v>
      </c>
      <c r="M80" s="18" t="n">
        <v>0</v>
      </c>
      <c r="N80" s="20" t="n">
        <v>0</v>
      </c>
      <c r="O80" s="18" t="n">
        <v>0</v>
      </c>
      <c r="P80" s="20" t="n">
        <v>0</v>
      </c>
      <c r="Q80" s="18" t="n">
        <v>0.11455489</v>
      </c>
      <c r="R80" s="20" t="n">
        <v>0.07885409</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(1709.0/B44*100)</f>
        <v/>
      </c>
      <c r="D44" s="19" t="n">
        <v>815</v>
      </c>
      <c r="E44" s="18" t="n">
        <v>17.9558097</v>
      </c>
      <c r="F44" s="20" t="n">
        <v>1.60177579</v>
      </c>
      <c r="G44" s="18" t="n">
        <v>57.5990523</v>
      </c>
      <c r="H44" s="20" t="n">
        <v>1.89541544</v>
      </c>
      <c r="I44" s="18" t="s">
        <v>567</v>
      </c>
      <c r="J44" s="20" t="s">
        <v>567</v>
      </c>
      <c r="K44" s="18" t="n">
        <v>12.88800641</v>
      </c>
      <c r="L44" s="20" t="n">
        <v>1.30007642</v>
      </c>
      <c r="M44" s="18" t="n">
        <v>0</v>
      </c>
      <c r="N44" s="20" t="n">
        <v>0</v>
      </c>
      <c r="O44" s="18" t="n">
        <v>1.0717305</v>
      </c>
      <c r="P44" s="20" t="n">
        <v>0.41801328</v>
      </c>
      <c r="Q44" s="18" t="n">
        <v>10.48540108</v>
      </c>
      <c r="R44" s="20" t="n">
        <v>1.32148262</v>
      </c>
    </row>
    <row r="45" spans="1:18">
      <c r="A45" s="15" t="s">
        <v>605</v>
      </c>
      <c r="B45" s="17" t="n">
        <v>2849</v>
      </c>
      <c r="C45" s="18">
        <f>(1905.0/B45*100)</f>
        <v/>
      </c>
      <c r="D45" s="19" t="n">
        <v>944</v>
      </c>
      <c r="E45" s="18" t="n">
        <v>39.71775337</v>
      </c>
      <c r="F45" s="20" t="n">
        <v>2.03022994</v>
      </c>
      <c r="G45" s="18" t="n">
        <v>30.28109908</v>
      </c>
      <c r="H45" s="20" t="n">
        <v>1.82762225</v>
      </c>
      <c r="I45" s="18" t="s">
        <v>567</v>
      </c>
      <c r="J45" s="20" t="s">
        <v>567</v>
      </c>
      <c r="K45" s="18" t="n">
        <v>14.68235688</v>
      </c>
      <c r="L45" s="20" t="n">
        <v>1.52823379</v>
      </c>
      <c r="M45" s="18" t="n">
        <v>0.6187596</v>
      </c>
      <c r="N45" s="20" t="n">
        <v>0.29106477</v>
      </c>
      <c r="O45" s="18" t="n">
        <v>3.94258998</v>
      </c>
      <c r="P45" s="20" t="n">
        <v>0.72084518</v>
      </c>
      <c r="Q45" s="18" t="n">
        <v>10.75744109</v>
      </c>
      <c r="R45" s="20" t="n">
        <v>1.21424758</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(2008.0/B49*100)</f>
        <v/>
      </c>
      <c r="D49" s="19" t="n">
        <v>1010</v>
      </c>
      <c r="E49" s="18" t="n">
        <v>23.51429929</v>
      </c>
      <c r="F49" s="20" t="n">
        <v>1.56506561</v>
      </c>
      <c r="G49" s="18" t="n">
        <v>63.34032371</v>
      </c>
      <c r="H49" s="20" t="n">
        <v>1.67045523</v>
      </c>
      <c r="I49" s="18" t="s">
        <v>567</v>
      </c>
      <c r="J49" s="20" t="s">
        <v>567</v>
      </c>
      <c r="K49" s="18" t="n">
        <v>6.39026131</v>
      </c>
      <c r="L49" s="20" t="n">
        <v>1.05128234</v>
      </c>
      <c r="M49" s="18" t="n">
        <v>0</v>
      </c>
      <c r="N49" s="20" t="n">
        <v>0</v>
      </c>
      <c r="O49" s="18" t="n">
        <v>0.5146369200000001</v>
      </c>
      <c r="P49" s="20" t="n">
        <v>0.22953192</v>
      </c>
      <c r="Q49" s="18" t="n">
        <v>6.24047877</v>
      </c>
      <c r="R49" s="20" t="n">
        <v>0.85642827</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(1802.0/B55*100)</f>
        <v/>
      </c>
      <c r="D55" s="19" t="n">
        <v>957</v>
      </c>
      <c r="E55" s="18" t="n">
        <v>35.7286027</v>
      </c>
      <c r="F55" s="20" t="n">
        <v>1.395724</v>
      </c>
      <c r="G55" s="18" t="n">
        <v>46.61939038</v>
      </c>
      <c r="H55" s="20" t="n">
        <v>1.72398703</v>
      </c>
      <c r="I55" s="18" t="s">
        <v>567</v>
      </c>
      <c r="J55" s="20" t="s">
        <v>567</v>
      </c>
      <c r="K55" s="18" t="n">
        <v>7.42726561</v>
      </c>
      <c r="L55" s="20" t="n">
        <v>0.98912864</v>
      </c>
      <c r="M55" s="18" t="n">
        <v>0</v>
      </c>
      <c r="N55" s="20" t="n">
        <v>0</v>
      </c>
      <c r="O55" s="18" t="n">
        <v>0.56393562</v>
      </c>
      <c r="P55" s="20" t="n">
        <v>0.22623584</v>
      </c>
      <c r="Q55" s="18" t="n">
        <v>9.66080569</v>
      </c>
      <c r="R55" s="20" t="n">
        <v>1.04862569</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(2128.0/B57*100)</f>
        <v/>
      </c>
      <c r="D57" s="19" t="n">
        <v>1042</v>
      </c>
      <c r="E57" s="18" t="n">
        <v>39.84194114</v>
      </c>
      <c r="F57" s="20" t="n">
        <v>1.8516781</v>
      </c>
      <c r="G57" s="18" t="n">
        <v>51.68029308</v>
      </c>
      <c r="H57" s="20" t="n">
        <v>1.90962881</v>
      </c>
      <c r="I57" s="18" t="s">
        <v>567</v>
      </c>
      <c r="J57" s="20" t="s">
        <v>567</v>
      </c>
      <c r="K57" s="18" t="n">
        <v>4.64543337</v>
      </c>
      <c r="L57" s="20" t="n">
        <v>0.85818431</v>
      </c>
      <c r="M57" s="18" t="n">
        <v>0</v>
      </c>
      <c r="N57" s="20" t="n">
        <v>0</v>
      </c>
      <c r="O57" s="18" t="n">
        <v>0</v>
      </c>
      <c r="P57" s="20" t="n">
        <v>0</v>
      </c>
      <c r="Q57" s="18" t="n">
        <v>3.8323324</v>
      </c>
      <c r="R57" s="20" t="n">
        <v>0.5182795100000001</v>
      </c>
    </row>
    <row r="58" spans="1:18">
      <c r="A58" s="15" t="s">
        <v>618</v>
      </c>
      <c r="B58" s="17" t="n">
        <v>3530</v>
      </c>
      <c r="C58" s="18">
        <f>(2358.0/B58*100)</f>
        <v/>
      </c>
      <c r="D58" s="19" t="n">
        <v>1172</v>
      </c>
      <c r="E58" s="18" t="n">
        <v>31.31407516</v>
      </c>
      <c r="F58" s="20" t="n">
        <v>1.52008375</v>
      </c>
      <c r="G58" s="18" t="n">
        <v>48.25842453</v>
      </c>
      <c r="H58" s="20" t="n">
        <v>2.00986904</v>
      </c>
      <c r="I58" s="18" t="s">
        <v>567</v>
      </c>
      <c r="J58" s="20" t="s">
        <v>567</v>
      </c>
      <c r="K58" s="18" t="n">
        <v>7.85220832</v>
      </c>
      <c r="L58" s="20" t="n">
        <v>1.21458845</v>
      </c>
      <c r="M58" s="18" t="n">
        <v>0</v>
      </c>
      <c r="N58" s="20" t="n">
        <v>0</v>
      </c>
      <c r="O58" s="18" t="n">
        <v>0.93666779</v>
      </c>
      <c r="P58" s="20" t="n">
        <v>0.33204979</v>
      </c>
      <c r="Q58" s="18" t="n">
        <v>11.6386242</v>
      </c>
      <c r="R58" s="20" t="n">
        <v>0.98409034</v>
      </c>
    </row>
    <row r="59" spans="1:18">
      <c r="A59" s="15" t="s">
        <v>619</v>
      </c>
      <c r="B59" s="17" t="n">
        <v>2548</v>
      </c>
      <c r="C59" s="18">
        <f>(1724.0/B59*100)</f>
        <v/>
      </c>
      <c r="D59" s="19" t="n">
        <v>824</v>
      </c>
      <c r="E59" s="18" t="n">
        <v>41.7316521</v>
      </c>
      <c r="F59" s="20" t="n">
        <v>2.09719861</v>
      </c>
      <c r="G59" s="18" t="n">
        <v>44.77143714</v>
      </c>
      <c r="H59" s="20" t="n">
        <v>2.09742318</v>
      </c>
      <c r="I59" s="18" t="s">
        <v>567</v>
      </c>
      <c r="J59" s="20" t="s">
        <v>567</v>
      </c>
      <c r="K59" s="18" t="n">
        <v>4.5457079</v>
      </c>
      <c r="L59" s="20" t="n">
        <v>0.85171238</v>
      </c>
      <c r="M59" s="18" t="n">
        <v>0.39658367</v>
      </c>
      <c r="N59" s="20" t="n">
        <v>0.31048983</v>
      </c>
      <c r="O59" s="18" t="n">
        <v>2.34618592</v>
      </c>
      <c r="P59" s="20" t="n">
        <v>0.79844727</v>
      </c>
      <c r="Q59" s="18" t="n">
        <v>6.20843327</v>
      </c>
      <c r="R59" s="20" t="n">
        <v>1.01119309</v>
      </c>
    </row>
    <row r="60" spans="1:18">
      <c r="A60" s="15" t="s">
        <v>620</v>
      </c>
      <c r="B60" s="17" t="n">
        <v>2095</v>
      </c>
      <c r="C60" s="18">
        <f>(1425.0/B60*100)</f>
        <v/>
      </c>
      <c r="D60" s="19" t="n">
        <v>670</v>
      </c>
      <c r="E60" s="18" t="n">
        <v>31.80687409</v>
      </c>
      <c r="F60" s="20" t="n">
        <v>2.398288</v>
      </c>
      <c r="G60" s="18" t="n">
        <v>39.81177413</v>
      </c>
      <c r="H60" s="20" t="n">
        <v>2.44614841</v>
      </c>
      <c r="I60" s="18" t="s">
        <v>567</v>
      </c>
      <c r="J60" s="20" t="s">
        <v>567</v>
      </c>
      <c r="K60" s="18" t="n">
        <v>12.24769923</v>
      </c>
      <c r="L60" s="20" t="n">
        <v>1.437175</v>
      </c>
      <c r="M60" s="18" t="n">
        <v>0.08384115</v>
      </c>
      <c r="N60" s="20" t="n">
        <v>0.08536850999999999</v>
      </c>
      <c r="O60" s="18" t="n">
        <v>5.43445867</v>
      </c>
      <c r="P60" s="20" t="n">
        <v>1.1260694</v>
      </c>
      <c r="Q60" s="18" t="n">
        <v>10.61535272</v>
      </c>
      <c r="R60" s="20" t="n">
        <v>1.46713601</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(1871.0/B63*100)</f>
        <v/>
      </c>
      <c r="D63" s="19" t="n">
        <v>942</v>
      </c>
      <c r="E63" s="18" t="n">
        <v>32.50296394</v>
      </c>
      <c r="F63" s="20" t="n">
        <v>1.81815306</v>
      </c>
      <c r="G63" s="18" t="n">
        <v>39.16142482</v>
      </c>
      <c r="H63" s="20" t="n">
        <v>1.65333173</v>
      </c>
      <c r="I63" s="18" t="s">
        <v>567</v>
      </c>
      <c r="J63" s="20" t="s">
        <v>567</v>
      </c>
      <c r="K63" s="18" t="n">
        <v>7.74412909</v>
      </c>
      <c r="L63" s="20" t="n">
        <v>1.04792861</v>
      </c>
      <c r="M63" s="18" t="n">
        <v>0</v>
      </c>
      <c r="N63" s="20" t="n">
        <v>0</v>
      </c>
      <c r="O63" s="18" t="n">
        <v>1.07659823</v>
      </c>
      <c r="P63" s="20" t="n">
        <v>0.3827808</v>
      </c>
      <c r="Q63" s="18" t="n">
        <v>19.51488392</v>
      </c>
      <c r="R63" s="20" t="n">
        <v>1.49326644</v>
      </c>
    </row>
    <row r="64" spans="1:18">
      <c r="A64" s="15" t="s">
        <v>624</v>
      </c>
      <c r="B64" s="17" t="n">
        <v>1844</v>
      </c>
      <c r="C64" s="18">
        <f>(1243.0/B64*100)</f>
        <v/>
      </c>
      <c r="D64" s="19" t="n">
        <v>601</v>
      </c>
      <c r="E64" s="18" t="n">
        <v>24.73930142</v>
      </c>
      <c r="F64" s="20" t="n">
        <v>1.73404085</v>
      </c>
      <c r="G64" s="18" t="n">
        <v>56.78790589</v>
      </c>
      <c r="H64" s="20" t="n">
        <v>2.01724275</v>
      </c>
      <c r="I64" s="18" t="s">
        <v>567</v>
      </c>
      <c r="J64" s="20" t="s">
        <v>567</v>
      </c>
      <c r="K64" s="18" t="n">
        <v>8.374467660000001</v>
      </c>
      <c r="L64" s="20" t="n">
        <v>1.02600661</v>
      </c>
      <c r="M64" s="18" t="n">
        <v>0</v>
      </c>
      <c r="N64" s="20" t="n">
        <v>0</v>
      </c>
      <c r="O64" s="18" t="n">
        <v>0.14292243</v>
      </c>
      <c r="P64" s="20" t="n">
        <v>0.14322467</v>
      </c>
      <c r="Q64" s="18" t="n">
        <v>9.95540261</v>
      </c>
      <c r="R64" s="20" t="n">
        <v>1.47644846</v>
      </c>
    </row>
    <row r="65" spans="1:18">
      <c r="A65" s="15" t="s">
        <v>625</v>
      </c>
      <c r="B65" s="17" t="n">
        <v>2691</v>
      </c>
      <c r="C65" s="18">
        <f>(1801.0/B65*100)</f>
        <v/>
      </c>
      <c r="D65" s="19" t="n">
        <v>890</v>
      </c>
      <c r="E65" s="18" t="n">
        <v>27.23525386</v>
      </c>
      <c r="F65" s="20" t="n">
        <v>1.57980904</v>
      </c>
      <c r="G65" s="18" t="n">
        <v>49.81820536</v>
      </c>
      <c r="H65" s="20" t="n">
        <v>2.10823092</v>
      </c>
      <c r="I65" s="18" t="s">
        <v>567</v>
      </c>
      <c r="J65" s="20" t="s">
        <v>567</v>
      </c>
      <c r="K65" s="18" t="n">
        <v>12.6967542</v>
      </c>
      <c r="L65" s="20" t="n">
        <v>1.33622085</v>
      </c>
      <c r="M65" s="18" t="n">
        <v>3.08268991</v>
      </c>
      <c r="N65" s="20" t="n">
        <v>0.66895913</v>
      </c>
      <c r="O65" s="18" t="n">
        <v>0</v>
      </c>
      <c r="P65" s="20" t="n">
        <v>0</v>
      </c>
      <c r="Q65" s="18" t="n">
        <v>7.16709666</v>
      </c>
      <c r="R65" s="20" t="n">
        <v>0.81108887</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(1606.0/B69*100)</f>
        <v/>
      </c>
      <c r="D69" s="19" t="n">
        <v>804</v>
      </c>
      <c r="E69" s="18" t="n">
        <v>40.23564215</v>
      </c>
      <c r="F69" s="20" t="n">
        <v>1.92563327</v>
      </c>
      <c r="G69" s="18" t="n">
        <v>59.53175517</v>
      </c>
      <c r="H69" s="20" t="n">
        <v>1.90009339</v>
      </c>
      <c r="I69" s="18" t="s">
        <v>567</v>
      </c>
      <c r="J69" s="20" t="s">
        <v>567</v>
      </c>
      <c r="K69" s="18" t="n">
        <v>0.11813447</v>
      </c>
      <c r="L69" s="20" t="n">
        <v>0.11833406</v>
      </c>
      <c r="M69" s="18" t="n">
        <v>0</v>
      </c>
      <c r="N69" s="20" t="n">
        <v>0</v>
      </c>
      <c r="O69" s="18" t="n">
        <v>0</v>
      </c>
      <c r="P69" s="20" t="n">
        <v>0</v>
      </c>
      <c r="Q69" s="18" t="n">
        <v>0.1144682</v>
      </c>
      <c r="R69" s="20" t="n">
        <v>0.11422813</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27.599738</v>
      </c>
      <c r="F74" s="20" t="n">
        <v>1.99862146</v>
      </c>
      <c r="G74" s="18" t="n">
        <v>47.79406981</v>
      </c>
      <c r="H74" s="20" t="n">
        <v>2.17079969</v>
      </c>
      <c r="I74" s="18" t="s">
        <v>567</v>
      </c>
      <c r="J74" s="20" t="s">
        <v>567</v>
      </c>
      <c r="K74" s="18" t="n">
        <v>18.69963247</v>
      </c>
      <c r="L74" s="20" t="n">
        <v>1.60124376</v>
      </c>
      <c r="M74" s="18" t="n">
        <v>0</v>
      </c>
      <c r="N74" s="20" t="n">
        <v>0</v>
      </c>
      <c r="O74" s="18" t="n">
        <v>0.17127125</v>
      </c>
      <c r="P74" s="20" t="n">
        <v>0.12334223</v>
      </c>
      <c r="Q74" s="18" t="n">
        <v>5.73528847</v>
      </c>
      <c r="R74" s="20" t="n">
        <v>0.86579147</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(1843.0/B78*100)</f>
        <v/>
      </c>
      <c r="D78" s="19" t="n">
        <v>943</v>
      </c>
      <c r="E78" s="18" t="n">
        <v>8.544748309999999</v>
      </c>
      <c r="F78" s="20" t="n">
        <v>1.1776963</v>
      </c>
      <c r="G78" s="18" t="n">
        <v>91.39073802</v>
      </c>
      <c r="H78" s="20" t="n">
        <v>1.18232969</v>
      </c>
      <c r="I78" s="18" t="s">
        <v>567</v>
      </c>
      <c r="J78" s="20" t="s">
        <v>567</v>
      </c>
      <c r="K78" s="18" t="n">
        <v>0</v>
      </c>
      <c r="L78" s="20" t="n">
        <v>0</v>
      </c>
      <c r="M78" s="18" t="n">
        <v>0</v>
      </c>
      <c r="N78" s="20" t="n">
        <v>0</v>
      </c>
      <c r="O78" s="18" t="n">
        <v>0</v>
      </c>
      <c r="P78" s="20" t="n">
        <v>0</v>
      </c>
      <c r="Q78" s="18" t="n">
        <v>0.06451367</v>
      </c>
      <c r="R78" s="20" t="n">
        <v>0.06449485000000001</v>
      </c>
    </row>
    <row customHeight="1" ht="25" r="79" spans="1:18">
      <c r="A79" s="15" t="s">
        <v>639</v>
      </c>
      <c r="B79" s="17" t="n">
        <v>787</v>
      </c>
      <c r="C79" s="18">
        <f>(527.0/B79*100)</f>
        <v/>
      </c>
      <c r="D79" s="19" t="n">
        <v>260</v>
      </c>
      <c r="E79" s="18" t="n">
        <v>11.13097462</v>
      </c>
      <c r="F79" s="20" t="n">
        <v>1.76106446</v>
      </c>
      <c r="G79" s="18" t="n">
        <v>74.14477444000001</v>
      </c>
      <c r="H79" s="20" t="n">
        <v>3.18512725</v>
      </c>
      <c r="I79" s="18" t="s">
        <v>567</v>
      </c>
      <c r="J79" s="20" t="s">
        <v>567</v>
      </c>
      <c r="K79" s="18" t="n">
        <v>9.47715951</v>
      </c>
      <c r="L79" s="20" t="n">
        <v>1.96521187</v>
      </c>
      <c r="M79" s="18" t="n">
        <v>0</v>
      </c>
      <c r="N79" s="20" t="n">
        <v>0</v>
      </c>
      <c r="O79" s="18" t="n">
        <v>1.33681836</v>
      </c>
      <c r="P79" s="20" t="n">
        <v>0.72919837</v>
      </c>
      <c r="Q79" s="18" t="n">
        <v>3.91027307</v>
      </c>
      <c r="R79" s="20" t="n">
        <v>1.3118085</v>
      </c>
    </row>
    <row r="80" spans="1:18">
      <c r="A80" s="15" t="s">
        <v>640</v>
      </c>
      <c r="B80" s="17" t="n">
        <v>3798</v>
      </c>
      <c r="C80" s="18">
        <f>(2544.0/B80*100)</f>
        <v/>
      </c>
      <c r="D80" s="19" t="n">
        <v>1254</v>
      </c>
      <c r="E80" s="18" t="n">
        <v>30.86959253</v>
      </c>
      <c r="F80" s="20" t="n">
        <v>2.03207321</v>
      </c>
      <c r="G80" s="18" t="n">
        <v>67.76574801</v>
      </c>
      <c r="H80" s="20" t="n">
        <v>1.94692919</v>
      </c>
      <c r="I80" s="18" t="s">
        <v>567</v>
      </c>
      <c r="J80" s="20" t="s">
        <v>567</v>
      </c>
      <c r="K80" s="18" t="n">
        <v>0.83349469</v>
      </c>
      <c r="L80" s="20" t="n">
        <v>0.27269211</v>
      </c>
      <c r="M80" s="18" t="n">
        <v>0</v>
      </c>
      <c r="N80" s="20" t="n">
        <v>0</v>
      </c>
      <c r="O80" s="18" t="n">
        <v>0</v>
      </c>
      <c r="P80" s="20" t="n">
        <v>0</v>
      </c>
      <c r="Q80" s="18" t="n">
        <v>0.53116477</v>
      </c>
      <c r="R80" s="20" t="n">
        <v>0.27449228</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(1709.0/B44*100)</f>
        <v/>
      </c>
      <c r="D44" s="19" t="n">
        <v>815</v>
      </c>
      <c r="E44" s="18" t="n">
        <v>50.05195992</v>
      </c>
      <c r="F44" s="20" t="n">
        <v>2.1010087</v>
      </c>
      <c r="G44" s="18" t="n">
        <v>34.83750955</v>
      </c>
      <c r="H44" s="20" t="n">
        <v>2.31544099</v>
      </c>
      <c r="I44" s="18" t="s">
        <v>567</v>
      </c>
      <c r="J44" s="20" t="s">
        <v>567</v>
      </c>
      <c r="K44" s="18" t="n">
        <v>15.11053054</v>
      </c>
      <c r="L44" s="20" t="n">
        <v>1.62150595</v>
      </c>
      <c r="M44" s="18" t="n">
        <v>0</v>
      </c>
      <c r="N44" s="20" t="n">
        <v>0</v>
      </c>
      <c r="O44" s="18" t="n">
        <v>0</v>
      </c>
      <c r="P44" s="20" t="n">
        <v>0</v>
      </c>
      <c r="Q44" s="18" t="n">
        <v>0</v>
      </c>
      <c r="R44" s="20" t="n">
        <v>0</v>
      </c>
    </row>
    <row r="45" spans="1:18">
      <c r="A45" s="15" t="s">
        <v>605</v>
      </c>
      <c r="B45" s="17" t="n">
        <v>2849</v>
      </c>
      <c r="C45" s="18">
        <f>(1905.0/B45*100)</f>
        <v/>
      </c>
      <c r="D45" s="19" t="n">
        <v>944</v>
      </c>
      <c r="E45" s="18" t="n">
        <v>60.12099018</v>
      </c>
      <c r="F45" s="20" t="n">
        <v>1.77198492</v>
      </c>
      <c r="G45" s="18" t="n">
        <v>24.11615174</v>
      </c>
      <c r="H45" s="20" t="n">
        <v>1.36972936</v>
      </c>
      <c r="I45" s="18" t="s">
        <v>567</v>
      </c>
      <c r="J45" s="20" t="s">
        <v>567</v>
      </c>
      <c r="K45" s="18" t="n">
        <v>15.36514082</v>
      </c>
      <c r="L45" s="20" t="n">
        <v>1.57515121</v>
      </c>
      <c r="M45" s="18" t="n">
        <v>0.29245209</v>
      </c>
      <c r="N45" s="20" t="n">
        <v>0.17045282</v>
      </c>
      <c r="O45" s="18" t="n">
        <v>0.10526516</v>
      </c>
      <c r="P45" s="20" t="n">
        <v>0.11328777</v>
      </c>
      <c r="Q45" s="18" t="n">
        <v>0</v>
      </c>
      <c r="R45" s="20" t="n">
        <v>0</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(2008.0/B49*100)</f>
        <v/>
      </c>
      <c r="D49" s="19" t="n">
        <v>1010</v>
      </c>
      <c r="E49" s="18" t="n">
        <v>47.8984268</v>
      </c>
      <c r="F49" s="20" t="n">
        <v>1.77791663</v>
      </c>
      <c r="G49" s="18" t="n">
        <v>44.8420958</v>
      </c>
      <c r="H49" s="20" t="n">
        <v>1.8841501</v>
      </c>
      <c r="I49" s="18" t="s">
        <v>567</v>
      </c>
      <c r="J49" s="20" t="s">
        <v>567</v>
      </c>
      <c r="K49" s="18" t="n">
        <v>7.25947741</v>
      </c>
      <c r="L49" s="20" t="n">
        <v>1.10482349</v>
      </c>
      <c r="M49" s="18" t="n">
        <v>0</v>
      </c>
      <c r="N49" s="20" t="n">
        <v>0</v>
      </c>
      <c r="O49" s="18" t="n">
        <v>0</v>
      </c>
      <c r="P49" s="20" t="n">
        <v>0</v>
      </c>
      <c r="Q49" s="18" t="n">
        <v>0</v>
      </c>
      <c r="R49" s="20" t="n">
        <v>0</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(1802.0/B55*100)</f>
        <v/>
      </c>
      <c r="D55" s="19" t="n">
        <v>957</v>
      </c>
      <c r="E55" s="18" t="n">
        <v>58.28019459</v>
      </c>
      <c r="F55" s="20" t="n">
        <v>1.71490045</v>
      </c>
      <c r="G55" s="18" t="n">
        <v>32.70972549</v>
      </c>
      <c r="H55" s="20" t="n">
        <v>1.69887361</v>
      </c>
      <c r="I55" s="18" t="s">
        <v>567</v>
      </c>
      <c r="J55" s="20" t="s">
        <v>567</v>
      </c>
      <c r="K55" s="18" t="n">
        <v>8.92305801</v>
      </c>
      <c r="L55" s="20" t="n">
        <v>0.99818052</v>
      </c>
      <c r="M55" s="18" t="n">
        <v>0</v>
      </c>
      <c r="N55" s="20" t="n">
        <v>0</v>
      </c>
      <c r="O55" s="18" t="n">
        <v>0.08702190999999999</v>
      </c>
      <c r="P55" s="20" t="n">
        <v>0.08746284</v>
      </c>
      <c r="Q55" s="18" t="n">
        <v>0</v>
      </c>
      <c r="R55" s="20" t="n">
        <v>0</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(2128.0/B57*100)</f>
        <v/>
      </c>
      <c r="D57" s="19" t="n">
        <v>1042</v>
      </c>
      <c r="E57" s="18" t="n">
        <v>45.84152926</v>
      </c>
      <c r="F57" s="20" t="n">
        <v>2.02443353</v>
      </c>
      <c r="G57" s="18" t="n">
        <v>48.69183599</v>
      </c>
      <c r="H57" s="20" t="n">
        <v>2.08163439</v>
      </c>
      <c r="I57" s="18" t="s">
        <v>567</v>
      </c>
      <c r="J57" s="20" t="s">
        <v>567</v>
      </c>
      <c r="K57" s="18" t="n">
        <v>5.46663474</v>
      </c>
      <c r="L57" s="20" t="n">
        <v>0.9578333</v>
      </c>
      <c r="M57" s="18" t="n">
        <v>0</v>
      </c>
      <c r="N57" s="20" t="n">
        <v>0</v>
      </c>
      <c r="O57" s="18" t="n">
        <v>0</v>
      </c>
      <c r="P57" s="20" t="n">
        <v>0</v>
      </c>
      <c r="Q57" s="18" t="n">
        <v>0</v>
      </c>
      <c r="R57" s="20" t="n">
        <v>0</v>
      </c>
    </row>
    <row r="58" spans="1:18">
      <c r="A58" s="15" t="s">
        <v>618</v>
      </c>
      <c r="B58" s="17" t="n">
        <v>3530</v>
      </c>
      <c r="C58" s="18">
        <f>(2358.0/B58*100)</f>
        <v/>
      </c>
      <c r="D58" s="19" t="n">
        <v>1172</v>
      </c>
      <c r="E58" s="18" t="n">
        <v>65.93513672</v>
      </c>
      <c r="F58" s="20" t="n">
        <v>1.76209323</v>
      </c>
      <c r="G58" s="18" t="n">
        <v>25.25869222</v>
      </c>
      <c r="H58" s="20" t="n">
        <v>1.63032018</v>
      </c>
      <c r="I58" s="18" t="s">
        <v>567</v>
      </c>
      <c r="J58" s="20" t="s">
        <v>567</v>
      </c>
      <c r="K58" s="18" t="n">
        <v>8.54339777</v>
      </c>
      <c r="L58" s="20" t="n">
        <v>1.27520131</v>
      </c>
      <c r="M58" s="18" t="n">
        <v>0</v>
      </c>
      <c r="N58" s="20" t="n">
        <v>0</v>
      </c>
      <c r="O58" s="18" t="n">
        <v>0.26277329</v>
      </c>
      <c r="P58" s="20" t="n">
        <v>0.18406606</v>
      </c>
      <c r="Q58" s="18" t="n">
        <v>0</v>
      </c>
      <c r="R58" s="20" t="n">
        <v>0</v>
      </c>
    </row>
    <row r="59" spans="1:18">
      <c r="A59" s="15" t="s">
        <v>619</v>
      </c>
      <c r="B59" s="17" t="n">
        <v>2548</v>
      </c>
      <c r="C59" s="18">
        <f>(1724.0/B59*100)</f>
        <v/>
      </c>
      <c r="D59" s="19" t="n">
        <v>824</v>
      </c>
      <c r="E59" s="18" t="n">
        <v>66.64835789999999</v>
      </c>
      <c r="F59" s="20" t="n">
        <v>1.99458574</v>
      </c>
      <c r="G59" s="18" t="n">
        <v>28.37830151</v>
      </c>
      <c r="H59" s="20" t="n">
        <v>1.98938886</v>
      </c>
      <c r="I59" s="18" t="s">
        <v>567</v>
      </c>
      <c r="J59" s="20" t="s">
        <v>567</v>
      </c>
      <c r="K59" s="18" t="n">
        <v>4.9355196</v>
      </c>
      <c r="L59" s="20" t="n">
        <v>0.85561605</v>
      </c>
      <c r="M59" s="18" t="n">
        <v>0</v>
      </c>
      <c r="N59" s="20" t="n">
        <v>0</v>
      </c>
      <c r="O59" s="18" t="n">
        <v>0.03782099</v>
      </c>
      <c r="P59" s="20" t="n">
        <v>0.03780456</v>
      </c>
      <c r="Q59" s="18" t="n">
        <v>0</v>
      </c>
      <c r="R59" s="20" t="n">
        <v>0</v>
      </c>
    </row>
    <row r="60" spans="1:18">
      <c r="A60" s="15" t="s">
        <v>620</v>
      </c>
      <c r="B60" s="17" t="n">
        <v>2095</v>
      </c>
      <c r="C60" s="18">
        <f>(1425.0/B60*100)</f>
        <v/>
      </c>
      <c r="D60" s="19" t="n">
        <v>670</v>
      </c>
      <c r="E60" s="18" t="n">
        <v>58.34257473</v>
      </c>
      <c r="F60" s="20" t="n">
        <v>2.27197905</v>
      </c>
      <c r="G60" s="18" t="n">
        <v>28.84702334</v>
      </c>
      <c r="H60" s="20" t="n">
        <v>1.88430685</v>
      </c>
      <c r="I60" s="18" t="s">
        <v>567</v>
      </c>
      <c r="J60" s="20" t="s">
        <v>567</v>
      </c>
      <c r="K60" s="18" t="n">
        <v>12.81040193</v>
      </c>
      <c r="L60" s="20" t="n">
        <v>1.41490178</v>
      </c>
      <c r="M60" s="18" t="n">
        <v>0</v>
      </c>
      <c r="N60" s="20" t="n">
        <v>0</v>
      </c>
      <c r="O60" s="18" t="n">
        <v>0</v>
      </c>
      <c r="P60" s="20" t="n">
        <v>0</v>
      </c>
      <c r="Q60" s="18" t="n">
        <v>0</v>
      </c>
      <c r="R60" s="20" t="n">
        <v>0</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(1871.0/B63*100)</f>
        <v/>
      </c>
      <c r="D63" s="19" t="n">
        <v>942</v>
      </c>
      <c r="E63" s="18" t="n">
        <v>62.77099288</v>
      </c>
      <c r="F63" s="20" t="n">
        <v>1.50787997</v>
      </c>
      <c r="G63" s="18" t="n">
        <v>27.58898942</v>
      </c>
      <c r="H63" s="20" t="n">
        <v>1.5336752</v>
      </c>
      <c r="I63" s="18" t="s">
        <v>567</v>
      </c>
      <c r="J63" s="20" t="s">
        <v>567</v>
      </c>
      <c r="K63" s="18" t="n">
        <v>9.52676336</v>
      </c>
      <c r="L63" s="20" t="n">
        <v>1.16526034</v>
      </c>
      <c r="M63" s="18" t="n">
        <v>0</v>
      </c>
      <c r="N63" s="20" t="n">
        <v>0</v>
      </c>
      <c r="O63" s="18" t="n">
        <v>0.11325434</v>
      </c>
      <c r="P63" s="20" t="n">
        <v>0.11402251</v>
      </c>
      <c r="Q63" s="18" t="n">
        <v>0</v>
      </c>
      <c r="R63" s="20" t="n">
        <v>0</v>
      </c>
    </row>
    <row r="64" spans="1:18">
      <c r="A64" s="15" t="s">
        <v>624</v>
      </c>
      <c r="B64" s="17" t="n">
        <v>1844</v>
      </c>
      <c r="C64" s="18">
        <f>(1243.0/B64*100)</f>
        <v/>
      </c>
      <c r="D64" s="19" t="n">
        <v>601</v>
      </c>
      <c r="E64" s="18" t="n">
        <v>47.44427819</v>
      </c>
      <c r="F64" s="20" t="n">
        <v>1.92685946</v>
      </c>
      <c r="G64" s="18" t="n">
        <v>43.68983512</v>
      </c>
      <c r="H64" s="20" t="n">
        <v>2.02468403</v>
      </c>
      <c r="I64" s="18" t="s">
        <v>567</v>
      </c>
      <c r="J64" s="20" t="s">
        <v>567</v>
      </c>
      <c r="K64" s="18" t="n">
        <v>8.68938696</v>
      </c>
      <c r="L64" s="20" t="n">
        <v>1.01583457</v>
      </c>
      <c r="M64" s="18" t="n">
        <v>0</v>
      </c>
      <c r="N64" s="20" t="n">
        <v>0</v>
      </c>
      <c r="O64" s="18" t="n">
        <v>0.17649974</v>
      </c>
      <c r="P64" s="20" t="n">
        <v>0.17742239</v>
      </c>
      <c r="Q64" s="18" t="n">
        <v>0</v>
      </c>
      <c r="R64" s="20" t="n">
        <v>0</v>
      </c>
    </row>
    <row r="65" spans="1:18">
      <c r="A65" s="15" t="s">
        <v>625</v>
      </c>
      <c r="B65" s="17" t="n">
        <v>2691</v>
      </c>
      <c r="C65" s="18">
        <f>(1801.0/B65*100)</f>
        <v/>
      </c>
      <c r="D65" s="19" t="n">
        <v>890</v>
      </c>
      <c r="E65" s="18" t="n">
        <v>55.48269362</v>
      </c>
      <c r="F65" s="20" t="n">
        <v>1.80358588</v>
      </c>
      <c r="G65" s="18" t="n">
        <v>30.46327965</v>
      </c>
      <c r="H65" s="20" t="n">
        <v>1.70170119</v>
      </c>
      <c r="I65" s="18" t="s">
        <v>567</v>
      </c>
      <c r="J65" s="20" t="s">
        <v>567</v>
      </c>
      <c r="K65" s="18" t="n">
        <v>14.05402672</v>
      </c>
      <c r="L65" s="20" t="n">
        <v>1.36653818</v>
      </c>
      <c r="M65" s="18" t="n">
        <v>0</v>
      </c>
      <c r="N65" s="20" t="n">
        <v>0</v>
      </c>
      <c r="O65" s="18" t="n">
        <v>0</v>
      </c>
      <c r="P65" s="20" t="n">
        <v>0</v>
      </c>
      <c r="Q65" s="18" t="n">
        <v>0</v>
      </c>
      <c r="R65" s="20" t="n">
        <v>0</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(1606.0/B69*100)</f>
        <v/>
      </c>
      <c r="D69" s="19" t="n">
        <v>804</v>
      </c>
      <c r="E69" s="18" t="n">
        <v>64.29657697</v>
      </c>
      <c r="F69" s="20" t="n">
        <v>1.93785504</v>
      </c>
      <c r="G69" s="18" t="n">
        <v>35.58528856</v>
      </c>
      <c r="H69" s="20" t="n">
        <v>1.9166506</v>
      </c>
      <c r="I69" s="18" t="s">
        <v>567</v>
      </c>
      <c r="J69" s="20" t="s">
        <v>567</v>
      </c>
      <c r="K69" s="18" t="n">
        <v>0.11813447</v>
      </c>
      <c r="L69" s="20" t="n">
        <v>0.11833406</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52.01244001</v>
      </c>
      <c r="F74" s="20" t="n">
        <v>1.8409776</v>
      </c>
      <c r="G74" s="18" t="n">
        <v>28.37935925</v>
      </c>
      <c r="H74" s="20" t="n">
        <v>1.75852709</v>
      </c>
      <c r="I74" s="18" t="s">
        <v>567</v>
      </c>
      <c r="J74" s="20" t="s">
        <v>567</v>
      </c>
      <c r="K74" s="18" t="n">
        <v>19.60820074</v>
      </c>
      <c r="L74" s="20" t="n">
        <v>1.59232282</v>
      </c>
      <c r="M74" s="18" t="n">
        <v>0</v>
      </c>
      <c r="N74" s="20" t="n">
        <v>0</v>
      </c>
      <c r="O74" s="18" t="n">
        <v>0</v>
      </c>
      <c r="P74" s="20" t="n">
        <v>0</v>
      </c>
      <c r="Q74" s="18" t="n">
        <v>0</v>
      </c>
      <c r="R74" s="20" t="n">
        <v>0</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(1843.0/B78*100)</f>
        <v/>
      </c>
      <c r="D78" s="19" t="n">
        <v>943</v>
      </c>
      <c r="E78" s="18" t="n">
        <v>18.8310142</v>
      </c>
      <c r="F78" s="20" t="n">
        <v>1.49703212</v>
      </c>
      <c r="G78" s="18" t="n">
        <v>81.1689858</v>
      </c>
      <c r="H78" s="20" t="n">
        <v>1.49703212</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(527.0/B79*100)</f>
        <v/>
      </c>
      <c r="D79" s="19" t="n">
        <v>260</v>
      </c>
      <c r="E79" s="18" t="n">
        <v>40.67331014</v>
      </c>
      <c r="F79" s="20" t="n">
        <v>2.86293835</v>
      </c>
      <c r="G79" s="18" t="n">
        <v>49.43702794</v>
      </c>
      <c r="H79" s="20" t="n">
        <v>2.92822213</v>
      </c>
      <c r="I79" s="18" t="s">
        <v>567</v>
      </c>
      <c r="J79" s="20" t="s">
        <v>567</v>
      </c>
      <c r="K79" s="18" t="n">
        <v>9.88966192</v>
      </c>
      <c r="L79" s="20" t="n">
        <v>2.11015561</v>
      </c>
      <c r="M79" s="18" t="n">
        <v>0</v>
      </c>
      <c r="N79" s="20" t="n">
        <v>0</v>
      </c>
      <c r="O79" s="18" t="n">
        <v>0</v>
      </c>
      <c r="P79" s="20" t="n">
        <v>0</v>
      </c>
      <c r="Q79" s="18" t="n">
        <v>0</v>
      </c>
      <c r="R79" s="20" t="n">
        <v>0</v>
      </c>
    </row>
    <row r="80" spans="1:18">
      <c r="A80" s="15" t="s">
        <v>640</v>
      </c>
      <c r="B80" s="17" t="n">
        <v>3798</v>
      </c>
      <c r="C80" s="18">
        <f>(2544.0/B80*100)</f>
        <v/>
      </c>
      <c r="D80" s="19" t="n">
        <v>1254</v>
      </c>
      <c r="E80" s="18" t="n">
        <v>0</v>
      </c>
      <c r="F80" s="20" t="n">
        <v>0</v>
      </c>
      <c r="G80" s="18" t="n">
        <v>0</v>
      </c>
      <c r="H80" s="20" t="n">
        <v>0</v>
      </c>
      <c r="I80" s="18" t="s">
        <v>567</v>
      </c>
      <c r="J80" s="20" t="s">
        <v>567</v>
      </c>
      <c r="K80" s="18" t="n">
        <v>0</v>
      </c>
      <c r="L80" s="20" t="n">
        <v>0</v>
      </c>
      <c r="M80" s="18" t="n">
        <v>100</v>
      </c>
      <c r="N80" s="20" t="n">
        <v>0</v>
      </c>
      <c r="O80" s="18" t="n">
        <v>0</v>
      </c>
      <c r="P80" s="20" t="n">
        <v>0</v>
      </c>
      <c r="Q80" s="18" t="n">
        <v>0</v>
      </c>
      <c r="R80" s="20" t="n">
        <v>0</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(1689.0/B44*100)</f>
        <v/>
      </c>
      <c r="D44" s="19" t="n">
        <v>835</v>
      </c>
      <c r="E44" s="18" t="n">
        <v>30.00403793</v>
      </c>
      <c r="F44" s="20" t="n">
        <v>1.78760186</v>
      </c>
      <c r="G44" s="18" t="n">
        <v>56.80833998</v>
      </c>
      <c r="H44" s="20" t="n">
        <v>2.05367872</v>
      </c>
      <c r="I44" s="18" t="s">
        <v>567</v>
      </c>
      <c r="J44" s="20" t="s">
        <v>567</v>
      </c>
      <c r="K44" s="18" t="n">
        <v>4.96275584</v>
      </c>
      <c r="L44" s="20" t="n">
        <v>0.91878268</v>
      </c>
      <c r="M44" s="18" t="n">
        <v>0</v>
      </c>
      <c r="N44" s="20" t="n">
        <v>0</v>
      </c>
      <c r="O44" s="18" t="n">
        <v>0.44033237</v>
      </c>
      <c r="P44" s="20" t="n">
        <v>0.24139557</v>
      </c>
      <c r="Q44" s="18" t="n">
        <v>7.78453387</v>
      </c>
      <c r="R44" s="20" t="n">
        <v>0.87035529</v>
      </c>
    </row>
    <row r="45" spans="1:18">
      <c r="A45" s="15" t="s">
        <v>605</v>
      </c>
      <c r="B45" s="17" t="n">
        <v>2849</v>
      </c>
      <c r="C45" s="18">
        <f>(1880.0/B45*100)</f>
        <v/>
      </c>
      <c r="D45" s="19" t="n">
        <v>969</v>
      </c>
      <c r="E45" s="18" t="n">
        <v>36.93120508</v>
      </c>
      <c r="F45" s="20" t="n">
        <v>1.96450214</v>
      </c>
      <c r="G45" s="18" t="n">
        <v>46.16634261</v>
      </c>
      <c r="H45" s="20" t="n">
        <v>1.74123643</v>
      </c>
      <c r="I45" s="18" t="s">
        <v>567</v>
      </c>
      <c r="J45" s="20" t="s">
        <v>567</v>
      </c>
      <c r="K45" s="18" t="n">
        <v>4.37643873</v>
      </c>
      <c r="L45" s="20" t="n">
        <v>0.75448302</v>
      </c>
      <c r="M45" s="18" t="n">
        <v>0.36455426</v>
      </c>
      <c r="N45" s="20" t="n">
        <v>0.1855818</v>
      </c>
      <c r="O45" s="18" t="n">
        <v>2.07322294</v>
      </c>
      <c r="P45" s="20" t="n">
        <v>0.44750004</v>
      </c>
      <c r="Q45" s="18" t="n">
        <v>10.08823638</v>
      </c>
      <c r="R45" s="20" t="n">
        <v>1.10459</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(1984.0/B49*100)</f>
        <v/>
      </c>
      <c r="D49" s="19" t="n">
        <v>1034</v>
      </c>
      <c r="E49" s="18" t="n">
        <v>32.08336221</v>
      </c>
      <c r="F49" s="20" t="n">
        <v>1.79589943</v>
      </c>
      <c r="G49" s="18" t="n">
        <v>63.70222453</v>
      </c>
      <c r="H49" s="20" t="n">
        <v>1.70985216</v>
      </c>
      <c r="I49" s="18" t="s">
        <v>567</v>
      </c>
      <c r="J49" s="20" t="s">
        <v>567</v>
      </c>
      <c r="K49" s="18" t="n">
        <v>2.18824403</v>
      </c>
      <c r="L49" s="20" t="n">
        <v>0.59691628</v>
      </c>
      <c r="M49" s="18" t="n">
        <v>0.10520768</v>
      </c>
      <c r="N49" s="20" t="n">
        <v>0.10607702</v>
      </c>
      <c r="O49" s="18" t="n">
        <v>0.15457437</v>
      </c>
      <c r="P49" s="20" t="n">
        <v>0.15996956</v>
      </c>
      <c r="Q49" s="18" t="n">
        <v>1.76638718</v>
      </c>
      <c r="R49" s="20" t="n">
        <v>0.40384201</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(1847.0/B55*100)</f>
        <v/>
      </c>
      <c r="D55" s="19" t="n">
        <v>912</v>
      </c>
      <c r="E55" s="18" t="n">
        <v>45.2024272</v>
      </c>
      <c r="F55" s="20" t="n">
        <v>1.99169033</v>
      </c>
      <c r="G55" s="18" t="n">
        <v>49.70795815</v>
      </c>
      <c r="H55" s="20" t="n">
        <v>1.97180276</v>
      </c>
      <c r="I55" s="18" t="s">
        <v>567</v>
      </c>
      <c r="J55" s="20" t="s">
        <v>567</v>
      </c>
      <c r="K55" s="18" t="n">
        <v>1.80753865</v>
      </c>
      <c r="L55" s="20" t="n">
        <v>0.36758596</v>
      </c>
      <c r="M55" s="18" t="n">
        <v>0</v>
      </c>
      <c r="N55" s="20" t="n">
        <v>0</v>
      </c>
      <c r="O55" s="18" t="n">
        <v>0.20702483</v>
      </c>
      <c r="P55" s="20" t="n">
        <v>0.12850443</v>
      </c>
      <c r="Q55" s="18" t="n">
        <v>3.07505117</v>
      </c>
      <c r="R55" s="20" t="n">
        <v>0.62980373</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48.03828837</v>
      </c>
      <c r="F57" s="20" t="n">
        <v>1.92281351</v>
      </c>
      <c r="G57" s="18" t="n">
        <v>49.26625293</v>
      </c>
      <c r="H57" s="20" t="n">
        <v>1.97548266</v>
      </c>
      <c r="I57" s="18" t="s">
        <v>567</v>
      </c>
      <c r="J57" s="20" t="s">
        <v>567</v>
      </c>
      <c r="K57" s="18" t="n">
        <v>1.36188984</v>
      </c>
      <c r="L57" s="20" t="n">
        <v>0.4190153</v>
      </c>
      <c r="M57" s="18" t="n">
        <v>0</v>
      </c>
      <c r="N57" s="20" t="n">
        <v>0</v>
      </c>
      <c r="O57" s="18" t="n">
        <v>0</v>
      </c>
      <c r="P57" s="20" t="n">
        <v>0</v>
      </c>
      <c r="Q57" s="18" t="n">
        <v>1.33356886</v>
      </c>
      <c r="R57" s="20" t="n">
        <v>0.39466864</v>
      </c>
    </row>
    <row r="58" spans="1:18">
      <c r="A58" s="15" t="s">
        <v>618</v>
      </c>
      <c r="B58" s="17" t="n">
        <v>3530</v>
      </c>
      <c r="C58" s="18">
        <f>(2350.0/B58*100)</f>
        <v/>
      </c>
      <c r="D58" s="19" t="n">
        <v>1180</v>
      </c>
      <c r="E58" s="18" t="n">
        <v>32.09672539</v>
      </c>
      <c r="F58" s="20" t="n">
        <v>1.77661229</v>
      </c>
      <c r="G58" s="18" t="n">
        <v>61.58095486</v>
      </c>
      <c r="H58" s="20" t="n">
        <v>1.75743958</v>
      </c>
      <c r="I58" s="18" t="s">
        <v>567</v>
      </c>
      <c r="J58" s="20" t="s">
        <v>567</v>
      </c>
      <c r="K58" s="18" t="n">
        <v>2.54029844</v>
      </c>
      <c r="L58" s="20" t="n">
        <v>0.79257254</v>
      </c>
      <c r="M58" s="18" t="n">
        <v>0</v>
      </c>
      <c r="N58" s="20" t="n">
        <v>0</v>
      </c>
      <c r="O58" s="18" t="n">
        <v>0.65044062</v>
      </c>
      <c r="P58" s="20" t="n">
        <v>0.25903291</v>
      </c>
      <c r="Q58" s="18" t="n">
        <v>3.13158069</v>
      </c>
      <c r="R58" s="20" t="n">
        <v>0.68000029</v>
      </c>
    </row>
    <row r="59" spans="1:18">
      <c r="A59" s="15" t="s">
        <v>619</v>
      </c>
      <c r="B59" s="17" t="n">
        <v>2548</v>
      </c>
      <c r="C59" s="18">
        <f>(1720.0/B59*100)</f>
        <v/>
      </c>
      <c r="D59" s="19" t="n">
        <v>828</v>
      </c>
      <c r="E59" s="18" t="n">
        <v>44.90644122</v>
      </c>
      <c r="F59" s="20" t="n">
        <v>2.19158527</v>
      </c>
      <c r="G59" s="18" t="n">
        <v>51.64185125</v>
      </c>
      <c r="H59" s="20" t="n">
        <v>2.24772867</v>
      </c>
      <c r="I59" s="18" t="s">
        <v>567</v>
      </c>
      <c r="J59" s="20" t="s">
        <v>567</v>
      </c>
      <c r="K59" s="18" t="n">
        <v>0.55829589</v>
      </c>
      <c r="L59" s="20" t="n">
        <v>0.26578395</v>
      </c>
      <c r="M59" s="18" t="n">
        <v>0</v>
      </c>
      <c r="N59" s="20" t="n">
        <v>0</v>
      </c>
      <c r="O59" s="18" t="n">
        <v>0.12755604</v>
      </c>
      <c r="P59" s="20" t="n">
        <v>0.09200427999999999</v>
      </c>
      <c r="Q59" s="18" t="n">
        <v>2.76585561</v>
      </c>
      <c r="R59" s="20" t="n">
        <v>0.63603803</v>
      </c>
    </row>
    <row r="60" spans="1:18">
      <c r="A60" s="15" t="s">
        <v>620</v>
      </c>
      <c r="B60" s="17" t="n">
        <v>2095</v>
      </c>
      <c r="C60" s="18">
        <f>(1387.0/B60*100)</f>
        <v/>
      </c>
      <c r="D60" s="19" t="n">
        <v>708</v>
      </c>
      <c r="E60" s="18" t="n">
        <v>35.12400152</v>
      </c>
      <c r="F60" s="20" t="n">
        <v>2.16255768</v>
      </c>
      <c r="G60" s="18" t="n">
        <v>56.28205784</v>
      </c>
      <c r="H60" s="20" t="n">
        <v>2.3989681</v>
      </c>
      <c r="I60" s="18" t="s">
        <v>567</v>
      </c>
      <c r="J60" s="20" t="s">
        <v>567</v>
      </c>
      <c r="K60" s="18" t="n">
        <v>4.04732728</v>
      </c>
      <c r="L60" s="20" t="n">
        <v>0.8735841</v>
      </c>
      <c r="M60" s="18" t="n">
        <v>0</v>
      </c>
      <c r="N60" s="20" t="n">
        <v>0</v>
      </c>
      <c r="O60" s="18" t="n">
        <v>1.25744971</v>
      </c>
      <c r="P60" s="20" t="n">
        <v>0.5198536499999999</v>
      </c>
      <c r="Q60" s="18" t="n">
        <v>3.28916366</v>
      </c>
      <c r="R60" s="20" t="n">
        <v>0.76636226</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(1864.0/B63*100)</f>
        <v/>
      </c>
      <c r="D63" s="19" t="n">
        <v>949</v>
      </c>
      <c r="E63" s="18" t="n">
        <v>36.89427617</v>
      </c>
      <c r="F63" s="20" t="n">
        <v>1.72522476</v>
      </c>
      <c r="G63" s="18" t="n">
        <v>55.24546908</v>
      </c>
      <c r="H63" s="20" t="n">
        <v>1.78490867</v>
      </c>
      <c r="I63" s="18" t="s">
        <v>567</v>
      </c>
      <c r="J63" s="20" t="s">
        <v>567</v>
      </c>
      <c r="K63" s="18" t="n">
        <v>2.82316361</v>
      </c>
      <c r="L63" s="20" t="n">
        <v>0.60338624</v>
      </c>
      <c r="M63" s="18" t="n">
        <v>0</v>
      </c>
      <c r="N63" s="20" t="n">
        <v>0</v>
      </c>
      <c r="O63" s="18" t="n">
        <v>0.24547602</v>
      </c>
      <c r="P63" s="20" t="n">
        <v>0.17149711</v>
      </c>
      <c r="Q63" s="18" t="n">
        <v>4.79161513</v>
      </c>
      <c r="R63" s="20" t="n">
        <v>0.74368413</v>
      </c>
    </row>
    <row r="64" spans="1:18">
      <c r="A64" s="15" t="s">
        <v>624</v>
      </c>
      <c r="B64" s="17" t="n">
        <v>1844</v>
      </c>
      <c r="C64" s="18">
        <f>(1240.0/B64*100)</f>
        <v/>
      </c>
      <c r="D64" s="19" t="n">
        <v>604</v>
      </c>
      <c r="E64" s="18" t="n">
        <v>34.72165969</v>
      </c>
      <c r="F64" s="20" t="n">
        <v>1.98070239</v>
      </c>
      <c r="G64" s="18" t="n">
        <v>59.1778186</v>
      </c>
      <c r="H64" s="20" t="n">
        <v>2.22149599</v>
      </c>
      <c r="I64" s="18" t="s">
        <v>567</v>
      </c>
      <c r="J64" s="20" t="s">
        <v>567</v>
      </c>
      <c r="K64" s="18" t="n">
        <v>2.50329952</v>
      </c>
      <c r="L64" s="20" t="n">
        <v>0.59909304</v>
      </c>
      <c r="M64" s="18" t="n">
        <v>0</v>
      </c>
      <c r="N64" s="20" t="n">
        <v>0</v>
      </c>
      <c r="O64" s="18" t="n">
        <v>0</v>
      </c>
      <c r="P64" s="20" t="n">
        <v>0</v>
      </c>
      <c r="Q64" s="18" t="n">
        <v>3.59722219</v>
      </c>
      <c r="R64" s="20" t="n">
        <v>0.82875654</v>
      </c>
    </row>
    <row r="65" spans="1:18">
      <c r="A65" s="15" t="s">
        <v>625</v>
      </c>
      <c r="B65" s="17" t="n">
        <v>2691</v>
      </c>
      <c r="C65" s="18">
        <f>(1809.0/B65*100)</f>
        <v/>
      </c>
      <c r="D65" s="19" t="n">
        <v>882</v>
      </c>
      <c r="E65" s="18" t="n">
        <v>32.76327037</v>
      </c>
      <c r="F65" s="20" t="n">
        <v>1.80764387</v>
      </c>
      <c r="G65" s="18" t="n">
        <v>55.05534063</v>
      </c>
      <c r="H65" s="20" t="n">
        <v>1.95333936</v>
      </c>
      <c r="I65" s="18" t="s">
        <v>567</v>
      </c>
      <c r="J65" s="20" t="s">
        <v>567</v>
      </c>
      <c r="K65" s="18" t="n">
        <v>5.67996647</v>
      </c>
      <c r="L65" s="20" t="n">
        <v>0.82385351</v>
      </c>
      <c r="M65" s="18" t="n">
        <v>1.39438957</v>
      </c>
      <c r="N65" s="20" t="n">
        <v>0.40348385</v>
      </c>
      <c r="O65" s="18" t="n">
        <v>0</v>
      </c>
      <c r="P65" s="20" t="n">
        <v>0</v>
      </c>
      <c r="Q65" s="18" t="n">
        <v>5.10703295</v>
      </c>
      <c r="R65" s="20" t="n">
        <v>0.79279614</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(1609.0/B69*100)</f>
        <v/>
      </c>
      <c r="D69" s="19" t="n">
        <v>801</v>
      </c>
      <c r="E69" s="18" t="n">
        <v>45.13769574</v>
      </c>
      <c r="F69" s="20" t="n">
        <v>1.64744351</v>
      </c>
      <c r="G69" s="18" t="n">
        <v>54.63911724</v>
      </c>
      <c r="H69" s="20" t="n">
        <v>1.67721957</v>
      </c>
      <c r="I69" s="18" t="s">
        <v>567</v>
      </c>
      <c r="J69" s="20" t="s">
        <v>567</v>
      </c>
      <c r="K69" s="18" t="n">
        <v>0</v>
      </c>
      <c r="L69" s="20" t="n">
        <v>0</v>
      </c>
      <c r="M69" s="18" t="n">
        <v>0</v>
      </c>
      <c r="N69" s="20" t="n">
        <v>0</v>
      </c>
      <c r="O69" s="18" t="n">
        <v>0</v>
      </c>
      <c r="P69" s="20" t="n">
        <v>0</v>
      </c>
      <c r="Q69" s="18" t="n">
        <v>0.22318702</v>
      </c>
      <c r="R69" s="20" t="n">
        <v>0.160649</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(1473.0/B74*100)</f>
        <v/>
      </c>
      <c r="D74" s="19" t="n">
        <v>766</v>
      </c>
      <c r="E74" s="18" t="n">
        <v>35.66670084</v>
      </c>
      <c r="F74" s="20" t="n">
        <v>2.04533463</v>
      </c>
      <c r="G74" s="18" t="n">
        <v>54.82320627</v>
      </c>
      <c r="H74" s="20" t="n">
        <v>2.24077246</v>
      </c>
      <c r="I74" s="18" t="s">
        <v>567</v>
      </c>
      <c r="J74" s="20" t="s">
        <v>567</v>
      </c>
      <c r="K74" s="18" t="n">
        <v>5.48306009</v>
      </c>
      <c r="L74" s="20" t="n">
        <v>0.9378828299999999</v>
      </c>
      <c r="M74" s="18" t="n">
        <v>0</v>
      </c>
      <c r="N74" s="20" t="n">
        <v>0</v>
      </c>
      <c r="O74" s="18" t="n">
        <v>0</v>
      </c>
      <c r="P74" s="20" t="n">
        <v>0</v>
      </c>
      <c r="Q74" s="18" t="n">
        <v>4.02703279</v>
      </c>
      <c r="R74" s="20" t="n">
        <v>0.9146649100000001</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32.22835723</v>
      </c>
      <c r="F78" s="20" t="n">
        <v>1.46056563</v>
      </c>
      <c r="G78" s="18" t="n">
        <v>67.77164277</v>
      </c>
      <c r="H78" s="20" t="n">
        <v>1.46056563</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(528.0/B79*100)</f>
        <v/>
      </c>
      <c r="D79" s="19" t="n">
        <v>259</v>
      </c>
      <c r="E79" s="18" t="n">
        <v>22.91826557</v>
      </c>
      <c r="F79" s="20" t="n">
        <v>2.67374182</v>
      </c>
      <c r="G79" s="18" t="n">
        <v>70.70490776</v>
      </c>
      <c r="H79" s="20" t="n">
        <v>2.63346191</v>
      </c>
      <c r="I79" s="18" t="s">
        <v>567</v>
      </c>
      <c r="J79" s="20" t="s">
        <v>567</v>
      </c>
      <c r="K79" s="18" t="n">
        <v>3.66005648</v>
      </c>
      <c r="L79" s="20" t="n">
        <v>1.48212131</v>
      </c>
      <c r="M79" s="18" t="n">
        <v>0</v>
      </c>
      <c r="N79" s="20" t="n">
        <v>0</v>
      </c>
      <c r="O79" s="18" t="n">
        <v>0</v>
      </c>
      <c r="P79" s="20" t="n">
        <v>0</v>
      </c>
      <c r="Q79" s="18" t="n">
        <v>2.71677019</v>
      </c>
      <c r="R79" s="20" t="n">
        <v>0.75460155</v>
      </c>
    </row>
    <row r="80" spans="1:18">
      <c r="A80" s="15" t="s">
        <v>640</v>
      </c>
      <c r="B80" s="17" t="n">
        <v>3798</v>
      </c>
      <c r="C80" s="18">
        <f>(2536.0/B80*100)</f>
        <v/>
      </c>
      <c r="D80" s="19" t="n">
        <v>1262</v>
      </c>
      <c r="E80" s="18" t="n">
        <v>36.29461888</v>
      </c>
      <c r="F80" s="20" t="n">
        <v>1.98780823</v>
      </c>
      <c r="G80" s="18" t="n">
        <v>63.41200719</v>
      </c>
      <c r="H80" s="20" t="n">
        <v>1.99310008</v>
      </c>
      <c r="I80" s="18" t="s">
        <v>567</v>
      </c>
      <c r="J80" s="20" t="s">
        <v>567</v>
      </c>
      <c r="K80" s="18" t="n">
        <v>0</v>
      </c>
      <c r="L80" s="20" t="n">
        <v>0</v>
      </c>
      <c r="M80" s="18" t="n">
        <v>0</v>
      </c>
      <c r="N80" s="20" t="n">
        <v>0</v>
      </c>
      <c r="O80" s="18" t="n">
        <v>0</v>
      </c>
      <c r="P80" s="20" t="n">
        <v>0</v>
      </c>
      <c r="Q80" s="18" t="n">
        <v>0.29337393</v>
      </c>
      <c r="R80" s="20" t="n">
        <v>0.22148924</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(1689.0/B44*100)</f>
        <v/>
      </c>
      <c r="D44" s="19" t="n">
        <v>835</v>
      </c>
      <c r="E44" s="18" t="n">
        <v>33.23016914</v>
      </c>
      <c r="F44" s="20" t="n">
        <v>2.17392681</v>
      </c>
      <c r="G44" s="18" t="n">
        <v>56.75573419</v>
      </c>
      <c r="H44" s="20" t="n">
        <v>2.28821634</v>
      </c>
      <c r="I44" s="18" t="s">
        <v>567</v>
      </c>
      <c r="J44" s="20" t="s">
        <v>567</v>
      </c>
      <c r="K44" s="18" t="n">
        <v>4.96275584</v>
      </c>
      <c r="L44" s="20" t="n">
        <v>0.91878268</v>
      </c>
      <c r="M44" s="18" t="n">
        <v>0</v>
      </c>
      <c r="N44" s="20" t="n">
        <v>0</v>
      </c>
      <c r="O44" s="18" t="n">
        <v>0.76334356</v>
      </c>
      <c r="P44" s="20" t="n">
        <v>0.30688985</v>
      </c>
      <c r="Q44" s="18" t="n">
        <v>4.28799728</v>
      </c>
      <c r="R44" s="20" t="n">
        <v>0.75779023</v>
      </c>
    </row>
    <row r="45" spans="1:18">
      <c r="A45" s="15" t="s">
        <v>605</v>
      </c>
      <c r="B45" s="17" t="n">
        <v>2849</v>
      </c>
      <c r="C45" s="18">
        <f>(1880.0/B45*100)</f>
        <v/>
      </c>
      <c r="D45" s="19" t="n">
        <v>969</v>
      </c>
      <c r="E45" s="18" t="n">
        <v>39.33394852</v>
      </c>
      <c r="F45" s="20" t="n">
        <v>1.86262639</v>
      </c>
      <c r="G45" s="18" t="n">
        <v>47.88931331</v>
      </c>
      <c r="H45" s="20" t="n">
        <v>1.78829177</v>
      </c>
      <c r="I45" s="18" t="s">
        <v>567</v>
      </c>
      <c r="J45" s="20" t="s">
        <v>567</v>
      </c>
      <c r="K45" s="18" t="n">
        <v>4.46458709</v>
      </c>
      <c r="L45" s="20" t="n">
        <v>0.761414</v>
      </c>
      <c r="M45" s="18" t="n">
        <v>0.2855323</v>
      </c>
      <c r="N45" s="20" t="n">
        <v>0.16674289</v>
      </c>
      <c r="O45" s="18" t="n">
        <v>2.40617118</v>
      </c>
      <c r="P45" s="20" t="n">
        <v>0.54079764</v>
      </c>
      <c r="Q45" s="18" t="n">
        <v>5.6204476</v>
      </c>
      <c r="R45" s="20" t="n">
        <v>0.7295636</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(1984.0/B49*100)</f>
        <v/>
      </c>
      <c r="D49" s="19" t="n">
        <v>1034</v>
      </c>
      <c r="E49" s="18" t="n">
        <v>33.61714857</v>
      </c>
      <c r="F49" s="20" t="n">
        <v>1.75295816</v>
      </c>
      <c r="G49" s="18" t="n">
        <v>62.86467186</v>
      </c>
      <c r="H49" s="20" t="n">
        <v>1.87471559</v>
      </c>
      <c r="I49" s="18" t="s">
        <v>567</v>
      </c>
      <c r="J49" s="20" t="s">
        <v>567</v>
      </c>
      <c r="K49" s="18" t="n">
        <v>2.18824403</v>
      </c>
      <c r="L49" s="20" t="n">
        <v>0.59691628</v>
      </c>
      <c r="M49" s="18" t="n">
        <v>0.10520768</v>
      </c>
      <c r="N49" s="20" t="n">
        <v>0.10607702</v>
      </c>
      <c r="O49" s="18" t="n">
        <v>0.20467215</v>
      </c>
      <c r="P49" s="20" t="n">
        <v>0.14409981</v>
      </c>
      <c r="Q49" s="18" t="n">
        <v>1.0200557</v>
      </c>
      <c r="R49" s="20" t="n">
        <v>0.36547749</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(1847.0/B55*100)</f>
        <v/>
      </c>
      <c r="D55" s="19" t="n">
        <v>912</v>
      </c>
      <c r="E55" s="18" t="n">
        <v>57.15900586</v>
      </c>
      <c r="F55" s="20" t="n">
        <v>1.8349144</v>
      </c>
      <c r="G55" s="18" t="n">
        <v>39.21704983</v>
      </c>
      <c r="H55" s="20" t="n">
        <v>1.84258162</v>
      </c>
      <c r="I55" s="18" t="s">
        <v>567</v>
      </c>
      <c r="J55" s="20" t="s">
        <v>567</v>
      </c>
      <c r="K55" s="18" t="n">
        <v>1.80753865</v>
      </c>
      <c r="L55" s="20" t="n">
        <v>0.36758596</v>
      </c>
      <c r="M55" s="18" t="n">
        <v>0</v>
      </c>
      <c r="N55" s="20" t="n">
        <v>0</v>
      </c>
      <c r="O55" s="18" t="n">
        <v>0</v>
      </c>
      <c r="P55" s="20" t="n">
        <v>0</v>
      </c>
      <c r="Q55" s="18" t="n">
        <v>1.81640566</v>
      </c>
      <c r="R55" s="20" t="n">
        <v>0.47074309</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46.03165992</v>
      </c>
      <c r="F57" s="20" t="n">
        <v>1.71630663</v>
      </c>
      <c r="G57" s="18" t="n">
        <v>52.05515922</v>
      </c>
      <c r="H57" s="20" t="n">
        <v>1.81358676</v>
      </c>
      <c r="I57" s="18" t="s">
        <v>567</v>
      </c>
      <c r="J57" s="20" t="s">
        <v>567</v>
      </c>
      <c r="K57" s="18" t="n">
        <v>1.62641415</v>
      </c>
      <c r="L57" s="20" t="n">
        <v>0.4792313</v>
      </c>
      <c r="M57" s="18" t="n">
        <v>0</v>
      </c>
      <c r="N57" s="20" t="n">
        <v>0</v>
      </c>
      <c r="O57" s="18" t="n">
        <v>0</v>
      </c>
      <c r="P57" s="20" t="n">
        <v>0</v>
      </c>
      <c r="Q57" s="18" t="n">
        <v>0.28676671</v>
      </c>
      <c r="R57" s="20" t="n">
        <v>0.14243204</v>
      </c>
    </row>
    <row r="58" spans="1:18">
      <c r="A58" s="15" t="s">
        <v>618</v>
      </c>
      <c r="B58" s="17" t="n">
        <v>3530</v>
      </c>
      <c r="C58" s="18">
        <f>(2350.0/B58*100)</f>
        <v/>
      </c>
      <c r="D58" s="19" t="n">
        <v>1180</v>
      </c>
      <c r="E58" s="18" t="n">
        <v>44.82500126</v>
      </c>
      <c r="F58" s="20" t="n">
        <v>1.89457772</v>
      </c>
      <c r="G58" s="18" t="n">
        <v>49.9189959</v>
      </c>
      <c r="H58" s="20" t="n">
        <v>1.82327538</v>
      </c>
      <c r="I58" s="18" t="s">
        <v>567</v>
      </c>
      <c r="J58" s="20" t="s">
        <v>567</v>
      </c>
      <c r="K58" s="18" t="n">
        <v>2.54029844</v>
      </c>
      <c r="L58" s="20" t="n">
        <v>0.79257254</v>
      </c>
      <c r="M58" s="18" t="n">
        <v>0</v>
      </c>
      <c r="N58" s="20" t="n">
        <v>0</v>
      </c>
      <c r="O58" s="18" t="n">
        <v>0.40666285</v>
      </c>
      <c r="P58" s="20" t="n">
        <v>0.28284158</v>
      </c>
      <c r="Q58" s="18" t="n">
        <v>2.30904155</v>
      </c>
      <c r="R58" s="20" t="n">
        <v>0.58644595</v>
      </c>
    </row>
    <row r="59" spans="1:18">
      <c r="A59" s="15" t="s">
        <v>619</v>
      </c>
      <c r="B59" s="17" t="n">
        <v>2548</v>
      </c>
      <c r="C59" s="18">
        <f>(1720.0/B59*100)</f>
        <v/>
      </c>
      <c r="D59" s="19" t="n">
        <v>828</v>
      </c>
      <c r="E59" s="18" t="n">
        <v>44.18121703</v>
      </c>
      <c r="F59" s="20" t="n">
        <v>2.25202689</v>
      </c>
      <c r="G59" s="18" t="n">
        <v>52.68293148</v>
      </c>
      <c r="H59" s="20" t="n">
        <v>2.2859202</v>
      </c>
      <c r="I59" s="18" t="s">
        <v>567</v>
      </c>
      <c r="J59" s="20" t="s">
        <v>567</v>
      </c>
      <c r="K59" s="18" t="n">
        <v>0.55829589</v>
      </c>
      <c r="L59" s="20" t="n">
        <v>0.26578395</v>
      </c>
      <c r="M59" s="18" t="n">
        <v>0.43268359</v>
      </c>
      <c r="N59" s="20" t="n">
        <v>0.35118319</v>
      </c>
      <c r="O59" s="18" t="n">
        <v>1.50182329</v>
      </c>
      <c r="P59" s="20" t="n">
        <v>0.54350727</v>
      </c>
      <c r="Q59" s="18" t="n">
        <v>0.64304873</v>
      </c>
      <c r="R59" s="20" t="n">
        <v>0.25679837</v>
      </c>
    </row>
    <row r="60" spans="1:18">
      <c r="A60" s="15" t="s">
        <v>620</v>
      </c>
      <c r="B60" s="17" t="n">
        <v>2095</v>
      </c>
      <c r="C60" s="18">
        <f>(1387.0/B60*100)</f>
        <v/>
      </c>
      <c r="D60" s="19" t="n">
        <v>708</v>
      </c>
      <c r="E60" s="18" t="n">
        <v>37.12411023</v>
      </c>
      <c r="F60" s="20" t="n">
        <v>2.23195141</v>
      </c>
      <c r="G60" s="18" t="n">
        <v>54.93287825</v>
      </c>
      <c r="H60" s="20" t="n">
        <v>2.23274554</v>
      </c>
      <c r="I60" s="18" t="s">
        <v>567</v>
      </c>
      <c r="J60" s="20" t="s">
        <v>567</v>
      </c>
      <c r="K60" s="18" t="n">
        <v>4.23619323</v>
      </c>
      <c r="L60" s="20" t="n">
        <v>0.88994154</v>
      </c>
      <c r="M60" s="18" t="n">
        <v>0</v>
      </c>
      <c r="N60" s="20" t="n">
        <v>0</v>
      </c>
      <c r="O60" s="18" t="n">
        <v>1.91667668</v>
      </c>
      <c r="P60" s="20" t="n">
        <v>0.82027086</v>
      </c>
      <c r="Q60" s="18" t="n">
        <v>1.79014161</v>
      </c>
      <c r="R60" s="20" t="n">
        <v>0.60260488</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(1864.0/B63*100)</f>
        <v/>
      </c>
      <c r="D63" s="19" t="n">
        <v>949</v>
      </c>
      <c r="E63" s="18" t="n">
        <v>38.74777092</v>
      </c>
      <c r="F63" s="20" t="n">
        <v>1.62369274</v>
      </c>
      <c r="G63" s="18" t="n">
        <v>54.34950895</v>
      </c>
      <c r="H63" s="20" t="n">
        <v>1.64427132</v>
      </c>
      <c r="I63" s="18" t="s">
        <v>567</v>
      </c>
      <c r="J63" s="20" t="s">
        <v>567</v>
      </c>
      <c r="K63" s="18" t="n">
        <v>2.82316361</v>
      </c>
      <c r="L63" s="20" t="n">
        <v>0.60338624</v>
      </c>
      <c r="M63" s="18" t="n">
        <v>0</v>
      </c>
      <c r="N63" s="20" t="n">
        <v>0</v>
      </c>
      <c r="O63" s="18" t="n">
        <v>0.45933718</v>
      </c>
      <c r="P63" s="20" t="n">
        <v>0.24957298</v>
      </c>
      <c r="Q63" s="18" t="n">
        <v>3.62021934</v>
      </c>
      <c r="R63" s="20" t="n">
        <v>0.66889756</v>
      </c>
    </row>
    <row r="64" spans="1:18">
      <c r="A64" s="15" t="s">
        <v>624</v>
      </c>
      <c r="B64" s="17" t="n">
        <v>1844</v>
      </c>
      <c r="C64" s="18">
        <f>(1240.0/B64*100)</f>
        <v/>
      </c>
      <c r="D64" s="19" t="n">
        <v>604</v>
      </c>
      <c r="E64" s="18" t="n">
        <v>24.70535752</v>
      </c>
      <c r="F64" s="20" t="n">
        <v>1.98181361</v>
      </c>
      <c r="G64" s="18" t="n">
        <v>70.33453208</v>
      </c>
      <c r="H64" s="20" t="n">
        <v>1.95114133</v>
      </c>
      <c r="I64" s="18" t="s">
        <v>567</v>
      </c>
      <c r="J64" s="20" t="s">
        <v>567</v>
      </c>
      <c r="K64" s="18" t="n">
        <v>2.50329952</v>
      </c>
      <c r="L64" s="20" t="n">
        <v>0.59909304</v>
      </c>
      <c r="M64" s="18" t="n">
        <v>0</v>
      </c>
      <c r="N64" s="20" t="n">
        <v>0</v>
      </c>
      <c r="O64" s="18" t="n">
        <v>0</v>
      </c>
      <c r="P64" s="20" t="n">
        <v>0</v>
      </c>
      <c r="Q64" s="18" t="n">
        <v>2.45681088</v>
      </c>
      <c r="R64" s="20" t="n">
        <v>0.64979773</v>
      </c>
    </row>
    <row r="65" spans="1:18">
      <c r="A65" s="15" t="s">
        <v>625</v>
      </c>
      <c r="B65" s="17" t="n">
        <v>2691</v>
      </c>
      <c r="C65" s="18">
        <f>(1809.0/B65*100)</f>
        <v/>
      </c>
      <c r="D65" s="19" t="n">
        <v>882</v>
      </c>
      <c r="E65" s="18" t="n">
        <v>32.22453766</v>
      </c>
      <c r="F65" s="20" t="n">
        <v>1.49456925</v>
      </c>
      <c r="G65" s="18" t="n">
        <v>56.9987272</v>
      </c>
      <c r="H65" s="20" t="n">
        <v>1.571483</v>
      </c>
      <c r="I65" s="18" t="s">
        <v>567</v>
      </c>
      <c r="J65" s="20" t="s">
        <v>567</v>
      </c>
      <c r="K65" s="18" t="n">
        <v>5.77651448</v>
      </c>
      <c r="L65" s="20" t="n">
        <v>0.84080411</v>
      </c>
      <c r="M65" s="18" t="n">
        <v>1.61700191</v>
      </c>
      <c r="N65" s="20" t="n">
        <v>0.46303662</v>
      </c>
      <c r="O65" s="18" t="n">
        <v>0</v>
      </c>
      <c r="P65" s="20" t="n">
        <v>0</v>
      </c>
      <c r="Q65" s="18" t="n">
        <v>3.38321874</v>
      </c>
      <c r="R65" s="20" t="n">
        <v>0.82067269</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(1609.0/B69*100)</f>
        <v/>
      </c>
      <c r="D69" s="19" t="n">
        <v>801</v>
      </c>
      <c r="E69" s="18" t="n">
        <v>40.95604851</v>
      </c>
      <c r="F69" s="20" t="n">
        <v>1.87885919</v>
      </c>
      <c r="G69" s="18" t="n">
        <v>58.93989479</v>
      </c>
      <c r="H69" s="20" t="n">
        <v>1.88159302</v>
      </c>
      <c r="I69" s="18" t="s">
        <v>567</v>
      </c>
      <c r="J69" s="20" t="s">
        <v>567</v>
      </c>
      <c r="K69" s="18" t="n">
        <v>0</v>
      </c>
      <c r="L69" s="20" t="n">
        <v>0</v>
      </c>
      <c r="M69" s="18" t="n">
        <v>0</v>
      </c>
      <c r="N69" s="20" t="n">
        <v>0</v>
      </c>
      <c r="O69" s="18" t="n">
        <v>0</v>
      </c>
      <c r="P69" s="20" t="n">
        <v>0</v>
      </c>
      <c r="Q69" s="18" t="n">
        <v>0.10405671</v>
      </c>
      <c r="R69" s="20" t="n">
        <v>0.10838421</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(1473.0/B74*100)</f>
        <v/>
      </c>
      <c r="D74" s="19" t="n">
        <v>766</v>
      </c>
      <c r="E74" s="18" t="n">
        <v>30.33160457</v>
      </c>
      <c r="F74" s="20" t="n">
        <v>1.92759051</v>
      </c>
      <c r="G74" s="18" t="n">
        <v>60.83089655</v>
      </c>
      <c r="H74" s="20" t="n">
        <v>2.0929285</v>
      </c>
      <c r="I74" s="18" t="s">
        <v>567</v>
      </c>
      <c r="J74" s="20" t="s">
        <v>567</v>
      </c>
      <c r="K74" s="18" t="n">
        <v>5.48306009</v>
      </c>
      <c r="L74" s="20" t="n">
        <v>0.9378828299999999</v>
      </c>
      <c r="M74" s="18" t="n">
        <v>0</v>
      </c>
      <c r="N74" s="20" t="n">
        <v>0</v>
      </c>
      <c r="O74" s="18" t="n">
        <v>0</v>
      </c>
      <c r="P74" s="20" t="n">
        <v>0</v>
      </c>
      <c r="Q74" s="18" t="n">
        <v>3.35443879</v>
      </c>
      <c r="R74" s="20" t="n">
        <v>0.80918895</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13.94347337</v>
      </c>
      <c r="F78" s="20" t="n">
        <v>1.30315311</v>
      </c>
      <c r="G78" s="18" t="n">
        <v>86.05652662999999</v>
      </c>
      <c r="H78" s="20" t="n">
        <v>1.30315311</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(528.0/B79*100)</f>
        <v/>
      </c>
      <c r="D79" s="19" t="n">
        <v>259</v>
      </c>
      <c r="E79" s="18" t="n">
        <v>18.82844064</v>
      </c>
      <c r="F79" s="20" t="n">
        <v>2.83450996</v>
      </c>
      <c r="G79" s="18" t="n">
        <v>75.77033684</v>
      </c>
      <c r="H79" s="20" t="n">
        <v>3.17486557</v>
      </c>
      <c r="I79" s="18" t="s">
        <v>567</v>
      </c>
      <c r="J79" s="20" t="s">
        <v>567</v>
      </c>
      <c r="K79" s="18" t="n">
        <v>3.66005648</v>
      </c>
      <c r="L79" s="20" t="n">
        <v>1.48212131</v>
      </c>
      <c r="M79" s="18" t="n">
        <v>0</v>
      </c>
      <c r="N79" s="20" t="n">
        <v>0</v>
      </c>
      <c r="O79" s="18" t="n">
        <v>0.80048989</v>
      </c>
      <c r="P79" s="20" t="n">
        <v>0.55851819</v>
      </c>
      <c r="Q79" s="18" t="n">
        <v>0.94067615</v>
      </c>
      <c r="R79" s="20" t="n">
        <v>0.57168487</v>
      </c>
    </row>
    <row r="80" spans="1:18">
      <c r="A80" s="15" t="s">
        <v>640</v>
      </c>
      <c r="B80" s="17" t="n">
        <v>3798</v>
      </c>
      <c r="C80" s="18">
        <f>(2536.0/B80*100)</f>
        <v/>
      </c>
      <c r="D80" s="19" t="n">
        <v>1262</v>
      </c>
      <c r="E80" s="18" t="n">
        <v>65.51883202</v>
      </c>
      <c r="F80" s="20" t="n">
        <v>1.79810339</v>
      </c>
      <c r="G80" s="18" t="n">
        <v>34.09103526</v>
      </c>
      <c r="H80" s="20" t="n">
        <v>1.80725745</v>
      </c>
      <c r="I80" s="18" t="s">
        <v>567</v>
      </c>
      <c r="J80" s="20" t="s">
        <v>567</v>
      </c>
      <c r="K80" s="18" t="n">
        <v>0</v>
      </c>
      <c r="L80" s="20" t="n">
        <v>0</v>
      </c>
      <c r="M80" s="18" t="n">
        <v>0</v>
      </c>
      <c r="N80" s="20" t="n">
        <v>0</v>
      </c>
      <c r="O80" s="18" t="n">
        <v>0</v>
      </c>
      <c r="P80" s="20" t="n">
        <v>0</v>
      </c>
      <c r="Q80" s="18" t="n">
        <v>0.39013272</v>
      </c>
      <c r="R80" s="20" t="n">
        <v>0.24210607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(1689.0/B44*100)</f>
        <v/>
      </c>
      <c r="D44" s="19" t="n">
        <v>835</v>
      </c>
      <c r="E44" s="18" t="n">
        <v>44.78437579</v>
      </c>
      <c r="F44" s="20" t="n">
        <v>2.2368907</v>
      </c>
      <c r="G44" s="18" t="n">
        <v>39.44665368</v>
      </c>
      <c r="H44" s="20" t="n">
        <v>2.20016563</v>
      </c>
      <c r="I44" s="18" t="s">
        <v>567</v>
      </c>
      <c r="J44" s="20" t="s">
        <v>567</v>
      </c>
      <c r="K44" s="18" t="n">
        <v>5.97529532</v>
      </c>
      <c r="L44" s="20" t="n">
        <v>0.9765477299999999</v>
      </c>
      <c r="M44" s="18" t="n">
        <v>0</v>
      </c>
      <c r="N44" s="20" t="n">
        <v>0</v>
      </c>
      <c r="O44" s="18" t="n">
        <v>0.7746645599999999</v>
      </c>
      <c r="P44" s="20" t="n">
        <v>0.30666581</v>
      </c>
      <c r="Q44" s="18" t="n">
        <v>9.019010639999999</v>
      </c>
      <c r="R44" s="20" t="n">
        <v>1.17368406</v>
      </c>
    </row>
    <row r="45" spans="1:18">
      <c r="A45" s="15" t="s">
        <v>605</v>
      </c>
      <c r="B45" s="17" t="n">
        <v>2849</v>
      </c>
      <c r="C45" s="18">
        <f>(1880.0/B45*100)</f>
        <v/>
      </c>
      <c r="D45" s="19" t="n">
        <v>969</v>
      </c>
      <c r="E45" s="18" t="n">
        <v>63.34239644</v>
      </c>
      <c r="F45" s="20" t="n">
        <v>1.69000815</v>
      </c>
      <c r="G45" s="18" t="n">
        <v>20.97531331</v>
      </c>
      <c r="H45" s="20" t="n">
        <v>1.5886719</v>
      </c>
      <c r="I45" s="18" t="s">
        <v>567</v>
      </c>
      <c r="J45" s="20" t="s">
        <v>567</v>
      </c>
      <c r="K45" s="18" t="n">
        <v>4.88462792</v>
      </c>
      <c r="L45" s="20" t="n">
        <v>0.79740056</v>
      </c>
      <c r="M45" s="18" t="n">
        <v>0.36455426</v>
      </c>
      <c r="N45" s="20" t="n">
        <v>0.1855818</v>
      </c>
      <c r="O45" s="18" t="n">
        <v>3.63437753</v>
      </c>
      <c r="P45" s="20" t="n">
        <v>0.68950968</v>
      </c>
      <c r="Q45" s="18" t="n">
        <v>6.79873054</v>
      </c>
      <c r="R45" s="20" t="n">
        <v>0.72324362</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(1984.0/B49*100)</f>
        <v/>
      </c>
      <c r="D49" s="19" t="n">
        <v>1034</v>
      </c>
      <c r="E49" s="18" t="n">
        <v>41.76253856</v>
      </c>
      <c r="F49" s="20" t="n">
        <v>2.17627548</v>
      </c>
      <c r="G49" s="18" t="n">
        <v>53.40955887</v>
      </c>
      <c r="H49" s="20" t="n">
        <v>2.19675252</v>
      </c>
      <c r="I49" s="18" t="s">
        <v>567</v>
      </c>
      <c r="J49" s="20" t="s">
        <v>567</v>
      </c>
      <c r="K49" s="18" t="n">
        <v>2.21892643</v>
      </c>
      <c r="L49" s="20" t="n">
        <v>0.59688359</v>
      </c>
      <c r="M49" s="18" t="n">
        <v>0.10520768</v>
      </c>
      <c r="N49" s="20" t="n">
        <v>0.10607702</v>
      </c>
      <c r="O49" s="18" t="n">
        <v>0.23681676</v>
      </c>
      <c r="P49" s="20" t="n">
        <v>0.16544768</v>
      </c>
      <c r="Q49" s="18" t="n">
        <v>2.2669517</v>
      </c>
      <c r="R49" s="20" t="n">
        <v>0.5392534</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(1847.0/B55*100)</f>
        <v/>
      </c>
      <c r="D55" s="19" t="n">
        <v>912</v>
      </c>
      <c r="E55" s="18" t="n">
        <v>48.97950738</v>
      </c>
      <c r="F55" s="20" t="n">
        <v>1.89788346</v>
      </c>
      <c r="G55" s="18" t="n">
        <v>45.3296494</v>
      </c>
      <c r="H55" s="20" t="n">
        <v>1.92175177</v>
      </c>
      <c r="I55" s="18" t="s">
        <v>567</v>
      </c>
      <c r="J55" s="20" t="s">
        <v>567</v>
      </c>
      <c r="K55" s="18" t="n">
        <v>2.04527287</v>
      </c>
      <c r="L55" s="20" t="n">
        <v>0.41924873</v>
      </c>
      <c r="M55" s="18" t="n">
        <v>0</v>
      </c>
      <c r="N55" s="20" t="n">
        <v>0</v>
      </c>
      <c r="O55" s="18" t="n">
        <v>0.25640694</v>
      </c>
      <c r="P55" s="20" t="n">
        <v>0.18503995</v>
      </c>
      <c r="Q55" s="18" t="n">
        <v>3.3891634</v>
      </c>
      <c r="R55" s="20" t="n">
        <v>0.59144751</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62.70180721</v>
      </c>
      <c r="F57" s="20" t="n">
        <v>1.77108267</v>
      </c>
      <c r="G57" s="18" t="n">
        <v>34.11023367</v>
      </c>
      <c r="H57" s="20" t="n">
        <v>1.76712079</v>
      </c>
      <c r="I57" s="18" t="s">
        <v>567</v>
      </c>
      <c r="J57" s="20" t="s">
        <v>567</v>
      </c>
      <c r="K57" s="18" t="n">
        <v>2.02072093</v>
      </c>
      <c r="L57" s="20" t="n">
        <v>0.52875593</v>
      </c>
      <c r="M57" s="18" t="n">
        <v>0</v>
      </c>
      <c r="N57" s="20" t="n">
        <v>0</v>
      </c>
      <c r="O57" s="18" t="n">
        <v>0</v>
      </c>
      <c r="P57" s="20" t="n">
        <v>0</v>
      </c>
      <c r="Q57" s="18" t="n">
        <v>1.16723819</v>
      </c>
      <c r="R57" s="20" t="n">
        <v>0.30892537</v>
      </c>
    </row>
    <row r="58" spans="1:18">
      <c r="A58" s="15" t="s">
        <v>618</v>
      </c>
      <c r="B58" s="17" t="n">
        <v>3530</v>
      </c>
      <c r="C58" s="18">
        <f>(2350.0/B58*100)</f>
        <v/>
      </c>
      <c r="D58" s="19" t="n">
        <v>1180</v>
      </c>
      <c r="E58" s="18" t="n">
        <v>53.885407</v>
      </c>
      <c r="F58" s="20" t="n">
        <v>2.13056361</v>
      </c>
      <c r="G58" s="18" t="n">
        <v>39.39408813</v>
      </c>
      <c r="H58" s="20" t="n">
        <v>1.84902754</v>
      </c>
      <c r="I58" s="18" t="s">
        <v>567</v>
      </c>
      <c r="J58" s="20" t="s">
        <v>567</v>
      </c>
      <c r="K58" s="18" t="n">
        <v>2.93704071</v>
      </c>
      <c r="L58" s="20" t="n">
        <v>0.84924276</v>
      </c>
      <c r="M58" s="18" t="n">
        <v>0</v>
      </c>
      <c r="N58" s="20" t="n">
        <v>0</v>
      </c>
      <c r="O58" s="18" t="n">
        <v>0.5952423999999999</v>
      </c>
      <c r="P58" s="20" t="n">
        <v>0.26774075</v>
      </c>
      <c r="Q58" s="18" t="n">
        <v>3.18822177</v>
      </c>
      <c r="R58" s="20" t="n">
        <v>0.68267018</v>
      </c>
    </row>
    <row r="59" spans="1:18">
      <c r="A59" s="15" t="s">
        <v>619</v>
      </c>
      <c r="B59" s="17" t="n">
        <v>2548</v>
      </c>
      <c r="C59" s="18">
        <f>(1720.0/B59*100)</f>
        <v/>
      </c>
      <c r="D59" s="19" t="n">
        <v>828</v>
      </c>
      <c r="E59" s="18" t="n">
        <v>58.62279152</v>
      </c>
      <c r="F59" s="20" t="n">
        <v>2.02439383</v>
      </c>
      <c r="G59" s="18" t="n">
        <v>37.79736116</v>
      </c>
      <c r="H59" s="20" t="n">
        <v>2.10311234</v>
      </c>
      <c r="I59" s="18" t="s">
        <v>567</v>
      </c>
      <c r="J59" s="20" t="s">
        <v>567</v>
      </c>
      <c r="K59" s="18" t="n">
        <v>0.55829589</v>
      </c>
      <c r="L59" s="20" t="n">
        <v>0.26578395</v>
      </c>
      <c r="M59" s="18" t="n">
        <v>0.333728</v>
      </c>
      <c r="N59" s="20" t="n">
        <v>0.33600554</v>
      </c>
      <c r="O59" s="18" t="n">
        <v>0.98224544</v>
      </c>
      <c r="P59" s="20" t="n">
        <v>0.33914909</v>
      </c>
      <c r="Q59" s="18" t="n">
        <v>1.70557799</v>
      </c>
      <c r="R59" s="20" t="n">
        <v>0.40045164</v>
      </c>
    </row>
    <row r="60" spans="1:18">
      <c r="A60" s="15" t="s">
        <v>620</v>
      </c>
      <c r="B60" s="17" t="n">
        <v>2095</v>
      </c>
      <c r="C60" s="18">
        <f>(1387.0/B60*100)</f>
        <v/>
      </c>
      <c r="D60" s="19" t="n">
        <v>708</v>
      </c>
      <c r="E60" s="18" t="n">
        <v>54.04271847</v>
      </c>
      <c r="F60" s="20" t="n">
        <v>2.48475049</v>
      </c>
      <c r="G60" s="18" t="n">
        <v>35.66842986</v>
      </c>
      <c r="H60" s="20" t="n">
        <v>2.47403794</v>
      </c>
      <c r="I60" s="18" t="s">
        <v>567</v>
      </c>
      <c r="J60" s="20" t="s">
        <v>567</v>
      </c>
      <c r="K60" s="18" t="n">
        <v>4.43036814</v>
      </c>
      <c r="L60" s="20" t="n">
        <v>0.90430584</v>
      </c>
      <c r="M60" s="18" t="n">
        <v>0</v>
      </c>
      <c r="N60" s="20" t="n">
        <v>0</v>
      </c>
      <c r="O60" s="18" t="n">
        <v>1.4384356</v>
      </c>
      <c r="P60" s="20" t="n">
        <v>0.5581324600000001</v>
      </c>
      <c r="Q60" s="18" t="n">
        <v>4.42004793</v>
      </c>
      <c r="R60" s="20" t="n">
        <v>0.8225179500000001</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(1864.0/B63*100)</f>
        <v/>
      </c>
      <c r="D63" s="19" t="n">
        <v>949</v>
      </c>
      <c r="E63" s="18" t="n">
        <v>49.9999467</v>
      </c>
      <c r="F63" s="20" t="n">
        <v>1.74445366</v>
      </c>
      <c r="G63" s="18" t="n">
        <v>39.75778411</v>
      </c>
      <c r="H63" s="20" t="n">
        <v>1.72748653</v>
      </c>
      <c r="I63" s="18" t="s">
        <v>567</v>
      </c>
      <c r="J63" s="20" t="s">
        <v>567</v>
      </c>
      <c r="K63" s="18" t="n">
        <v>3.04893351</v>
      </c>
      <c r="L63" s="20" t="n">
        <v>0.618565</v>
      </c>
      <c r="M63" s="18" t="n">
        <v>0</v>
      </c>
      <c r="N63" s="20" t="n">
        <v>0</v>
      </c>
      <c r="O63" s="18" t="n">
        <v>0.31905044</v>
      </c>
      <c r="P63" s="20" t="n">
        <v>0.17887561</v>
      </c>
      <c r="Q63" s="18" t="n">
        <v>6.87428524</v>
      </c>
      <c r="R63" s="20" t="n">
        <v>0.90301526</v>
      </c>
    </row>
    <row r="64" spans="1:18">
      <c r="A64" s="15" t="s">
        <v>624</v>
      </c>
      <c r="B64" s="17" t="n">
        <v>1844</v>
      </c>
      <c r="C64" s="18">
        <f>(1240.0/B64*100)</f>
        <v/>
      </c>
      <c r="D64" s="19" t="n">
        <v>604</v>
      </c>
      <c r="E64" s="18" t="n">
        <v>46.16420221</v>
      </c>
      <c r="F64" s="20" t="n">
        <v>2.03713959</v>
      </c>
      <c r="G64" s="18" t="n">
        <v>47.38670115</v>
      </c>
      <c r="H64" s="20" t="n">
        <v>1.93927973</v>
      </c>
      <c r="I64" s="18" t="s">
        <v>567</v>
      </c>
      <c r="J64" s="20" t="s">
        <v>567</v>
      </c>
      <c r="K64" s="18" t="n">
        <v>2.50329952</v>
      </c>
      <c r="L64" s="20" t="n">
        <v>0.59909304</v>
      </c>
      <c r="M64" s="18" t="n">
        <v>0</v>
      </c>
      <c r="N64" s="20" t="n">
        <v>0</v>
      </c>
      <c r="O64" s="18" t="n">
        <v>0.48194208</v>
      </c>
      <c r="P64" s="20" t="n">
        <v>0.27642851</v>
      </c>
      <c r="Q64" s="18" t="n">
        <v>3.46385505</v>
      </c>
      <c r="R64" s="20" t="n">
        <v>0.8344947</v>
      </c>
    </row>
    <row r="65" spans="1:18">
      <c r="A65" s="15" t="s">
        <v>625</v>
      </c>
      <c r="B65" s="17" t="n">
        <v>2691</v>
      </c>
      <c r="C65" s="18">
        <f>(1809.0/B65*100)</f>
        <v/>
      </c>
      <c r="D65" s="19" t="n">
        <v>882</v>
      </c>
      <c r="E65" s="18" t="n">
        <v>45.7844325</v>
      </c>
      <c r="F65" s="20" t="n">
        <v>1.5027786</v>
      </c>
      <c r="G65" s="18" t="n">
        <v>40.97206573</v>
      </c>
      <c r="H65" s="20" t="n">
        <v>1.58332902</v>
      </c>
      <c r="I65" s="18" t="s">
        <v>567</v>
      </c>
      <c r="J65" s="20" t="s">
        <v>567</v>
      </c>
      <c r="K65" s="18" t="n">
        <v>6.03231154</v>
      </c>
      <c r="L65" s="20" t="n">
        <v>0.83967562</v>
      </c>
      <c r="M65" s="18" t="n">
        <v>1.52273576</v>
      </c>
      <c r="N65" s="20" t="n">
        <v>0.46248095</v>
      </c>
      <c r="O65" s="18" t="n">
        <v>0</v>
      </c>
      <c r="P65" s="20" t="n">
        <v>0</v>
      </c>
      <c r="Q65" s="18" t="n">
        <v>5.68845447</v>
      </c>
      <c r="R65" s="20" t="n">
        <v>0.83748636</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(1609.0/B69*100)</f>
        <v/>
      </c>
      <c r="D69" s="19" t="n">
        <v>801</v>
      </c>
      <c r="E69" s="18" t="n">
        <v>53.1325352</v>
      </c>
      <c r="F69" s="20" t="n">
        <v>1.92278781</v>
      </c>
      <c r="G69" s="18" t="n">
        <v>46.62542802</v>
      </c>
      <c r="H69" s="20" t="n">
        <v>1.93912583</v>
      </c>
      <c r="I69" s="18" t="s">
        <v>567</v>
      </c>
      <c r="J69" s="20" t="s">
        <v>567</v>
      </c>
      <c r="K69" s="18" t="n">
        <v>0</v>
      </c>
      <c r="L69" s="20" t="n">
        <v>0</v>
      </c>
      <c r="M69" s="18" t="n">
        <v>0</v>
      </c>
      <c r="N69" s="20" t="n">
        <v>0</v>
      </c>
      <c r="O69" s="18" t="n">
        <v>0</v>
      </c>
      <c r="P69" s="20" t="n">
        <v>0</v>
      </c>
      <c r="Q69" s="18" t="n">
        <v>0.24203678</v>
      </c>
      <c r="R69" s="20" t="n">
        <v>0.17633677</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(1473.0/B74*100)</f>
        <v/>
      </c>
      <c r="D74" s="19" t="n">
        <v>766</v>
      </c>
      <c r="E74" s="18" t="n">
        <v>51.13826256</v>
      </c>
      <c r="F74" s="20" t="n">
        <v>1.98836966</v>
      </c>
      <c r="G74" s="18" t="n">
        <v>38.61526004</v>
      </c>
      <c r="H74" s="20" t="n">
        <v>1.77110938</v>
      </c>
      <c r="I74" s="18" t="s">
        <v>567</v>
      </c>
      <c r="J74" s="20" t="s">
        <v>567</v>
      </c>
      <c r="K74" s="18" t="n">
        <v>6.19189838</v>
      </c>
      <c r="L74" s="20" t="n">
        <v>0.92068432</v>
      </c>
      <c r="M74" s="18" t="n">
        <v>0</v>
      </c>
      <c r="N74" s="20" t="n">
        <v>0</v>
      </c>
      <c r="O74" s="18" t="n">
        <v>0</v>
      </c>
      <c r="P74" s="20" t="n">
        <v>0</v>
      </c>
      <c r="Q74" s="18" t="n">
        <v>4.05457903</v>
      </c>
      <c r="R74" s="20" t="n">
        <v>0.77527894</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27.9785888</v>
      </c>
      <c r="F78" s="20" t="n">
        <v>2.02565673</v>
      </c>
      <c r="G78" s="18" t="n">
        <v>72.0214112</v>
      </c>
      <c r="H78" s="20" t="n">
        <v>2.02565673</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(528.0/B79*100)</f>
        <v/>
      </c>
      <c r="D79" s="19" t="n">
        <v>259</v>
      </c>
      <c r="E79" s="18" t="n">
        <v>30.84191325</v>
      </c>
      <c r="F79" s="20" t="n">
        <v>3.20798079</v>
      </c>
      <c r="G79" s="18" t="n">
        <v>61.82390502</v>
      </c>
      <c r="H79" s="20" t="n">
        <v>4.00825893</v>
      </c>
      <c r="I79" s="18" t="s">
        <v>567</v>
      </c>
      <c r="J79" s="20" t="s">
        <v>567</v>
      </c>
      <c r="K79" s="18" t="n">
        <v>4.05104422</v>
      </c>
      <c r="L79" s="20" t="n">
        <v>1.53686456</v>
      </c>
      <c r="M79" s="18" t="n">
        <v>0</v>
      </c>
      <c r="N79" s="20" t="n">
        <v>0</v>
      </c>
      <c r="O79" s="18" t="n">
        <v>0</v>
      </c>
      <c r="P79" s="20" t="n">
        <v>0</v>
      </c>
      <c r="Q79" s="18" t="n">
        <v>3.28313751</v>
      </c>
      <c r="R79" s="20" t="n">
        <v>0.82293876</v>
      </c>
    </row>
    <row r="80" spans="1:18">
      <c r="A80" s="15" t="s">
        <v>640</v>
      </c>
      <c r="B80" s="17" t="n">
        <v>3798</v>
      </c>
      <c r="C80" s="18">
        <f>(2536.0/B80*100)</f>
        <v/>
      </c>
      <c r="D80" s="19" t="n">
        <v>1262</v>
      </c>
      <c r="E80" s="18" t="n">
        <v>48.82985402</v>
      </c>
      <c r="F80" s="20" t="n">
        <v>2.168306</v>
      </c>
      <c r="G80" s="18" t="n">
        <v>50.87677205</v>
      </c>
      <c r="H80" s="20" t="n">
        <v>2.1944075</v>
      </c>
      <c r="I80" s="18" t="s">
        <v>567</v>
      </c>
      <c r="J80" s="20" t="s">
        <v>567</v>
      </c>
      <c r="K80" s="18" t="n">
        <v>0</v>
      </c>
      <c r="L80" s="20" t="n">
        <v>0</v>
      </c>
      <c r="M80" s="18" t="n">
        <v>0</v>
      </c>
      <c r="N80" s="20" t="n">
        <v>0</v>
      </c>
      <c r="O80" s="18" t="n">
        <v>0</v>
      </c>
      <c r="P80" s="20" t="n">
        <v>0</v>
      </c>
      <c r="Q80" s="18" t="n">
        <v>0.29337393</v>
      </c>
      <c r="R80" s="20" t="n">
        <v>0.22148924</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(1689.0/B44*100)</f>
        <v/>
      </c>
      <c r="D44" s="19" t="n">
        <v>835</v>
      </c>
      <c r="E44" s="18" t="n">
        <v>69.76159575</v>
      </c>
      <c r="F44" s="20" t="n">
        <v>1.97871228</v>
      </c>
      <c r="G44" s="18" t="n">
        <v>17.66757457</v>
      </c>
      <c r="H44" s="20" t="n">
        <v>1.68877672</v>
      </c>
      <c r="I44" s="18" t="s">
        <v>567</v>
      </c>
      <c r="J44" s="20" t="s">
        <v>567</v>
      </c>
      <c r="K44" s="18" t="n">
        <v>6.72780804</v>
      </c>
      <c r="L44" s="20" t="n">
        <v>0.9929732100000001</v>
      </c>
      <c r="M44" s="18" t="n">
        <v>0</v>
      </c>
      <c r="N44" s="20" t="n">
        <v>0</v>
      </c>
      <c r="O44" s="18" t="n">
        <v>0.09257986999999999</v>
      </c>
      <c r="P44" s="20" t="n">
        <v>0.09290747000000001</v>
      </c>
      <c r="Q44" s="18" t="n">
        <v>5.75044177</v>
      </c>
      <c r="R44" s="20" t="n">
        <v>0.92171423</v>
      </c>
    </row>
    <row r="45" spans="1:18">
      <c r="A45" s="15" t="s">
        <v>605</v>
      </c>
      <c r="B45" s="17" t="n">
        <v>2849</v>
      </c>
      <c r="C45" s="18">
        <f>(1880.0/B45*100)</f>
        <v/>
      </c>
      <c r="D45" s="19" t="n">
        <v>969</v>
      </c>
      <c r="E45" s="18" t="n">
        <v>75.13446836</v>
      </c>
      <c r="F45" s="20" t="n">
        <v>1.40094056</v>
      </c>
      <c r="G45" s="18" t="n">
        <v>12.72457125</v>
      </c>
      <c r="H45" s="20" t="n">
        <v>1.25068885</v>
      </c>
      <c r="I45" s="18" t="s">
        <v>567</v>
      </c>
      <c r="J45" s="20" t="s">
        <v>567</v>
      </c>
      <c r="K45" s="18" t="n">
        <v>5.4077673</v>
      </c>
      <c r="L45" s="20" t="n">
        <v>0.81236434</v>
      </c>
      <c r="M45" s="18" t="n">
        <v>0.3532207</v>
      </c>
      <c r="N45" s="20" t="n">
        <v>0.18195634</v>
      </c>
      <c r="O45" s="18" t="n">
        <v>0</v>
      </c>
      <c r="P45" s="20" t="n">
        <v>0</v>
      </c>
      <c r="Q45" s="18" t="n">
        <v>6.37997239</v>
      </c>
      <c r="R45" s="20" t="n">
        <v>0.98219312</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(1984.0/B49*100)</f>
        <v/>
      </c>
      <c r="D49" s="19" t="n">
        <v>1034</v>
      </c>
      <c r="E49" s="18" t="n">
        <v>68.81625548</v>
      </c>
      <c r="F49" s="20" t="n">
        <v>1.76058666</v>
      </c>
      <c r="G49" s="18" t="n">
        <v>27.12182327</v>
      </c>
      <c r="H49" s="20" t="n">
        <v>1.58493678</v>
      </c>
      <c r="I49" s="18" t="s">
        <v>567</v>
      </c>
      <c r="J49" s="20" t="s">
        <v>567</v>
      </c>
      <c r="K49" s="18" t="n">
        <v>2.38470706</v>
      </c>
      <c r="L49" s="20" t="n">
        <v>0.60726812</v>
      </c>
      <c r="M49" s="18" t="n">
        <v>0.14363629</v>
      </c>
      <c r="N49" s="20" t="n">
        <v>0.13718</v>
      </c>
      <c r="O49" s="18" t="n">
        <v>0</v>
      </c>
      <c r="P49" s="20" t="n">
        <v>0</v>
      </c>
      <c r="Q49" s="18" t="n">
        <v>1.5335779</v>
      </c>
      <c r="R49" s="20" t="n">
        <v>0.46888322</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(1847.0/B55*100)</f>
        <v/>
      </c>
      <c r="D55" s="19" t="n">
        <v>912</v>
      </c>
      <c r="E55" s="18" t="n">
        <v>55.0879552</v>
      </c>
      <c r="F55" s="20" t="n">
        <v>1.83364202</v>
      </c>
      <c r="G55" s="18" t="n">
        <v>36.80283888</v>
      </c>
      <c r="H55" s="20" t="n">
        <v>1.6474649</v>
      </c>
      <c r="I55" s="18" t="s">
        <v>567</v>
      </c>
      <c r="J55" s="20" t="s">
        <v>567</v>
      </c>
      <c r="K55" s="18" t="n">
        <v>2.14323862</v>
      </c>
      <c r="L55" s="20" t="n">
        <v>0.43045892</v>
      </c>
      <c r="M55" s="18" t="n">
        <v>0</v>
      </c>
      <c r="N55" s="20" t="n">
        <v>0</v>
      </c>
      <c r="O55" s="18" t="n">
        <v>0.19105635</v>
      </c>
      <c r="P55" s="20" t="n">
        <v>0.19307339</v>
      </c>
      <c r="Q55" s="18" t="n">
        <v>5.77491096</v>
      </c>
      <c r="R55" s="20" t="n">
        <v>0.81136398</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72.94032568999999</v>
      </c>
      <c r="F57" s="20" t="n">
        <v>1.46260197</v>
      </c>
      <c r="G57" s="18" t="n">
        <v>24.387486</v>
      </c>
      <c r="H57" s="20" t="n">
        <v>1.53486248</v>
      </c>
      <c r="I57" s="18" t="s">
        <v>567</v>
      </c>
      <c r="J57" s="20" t="s">
        <v>567</v>
      </c>
      <c r="K57" s="18" t="n">
        <v>2.33499908</v>
      </c>
      <c r="L57" s="20" t="n">
        <v>0.55795766</v>
      </c>
      <c r="M57" s="18" t="n">
        <v>0</v>
      </c>
      <c r="N57" s="20" t="n">
        <v>0</v>
      </c>
      <c r="O57" s="18" t="n">
        <v>0</v>
      </c>
      <c r="P57" s="20" t="n">
        <v>0</v>
      </c>
      <c r="Q57" s="18" t="n">
        <v>0.33718923</v>
      </c>
      <c r="R57" s="20" t="n">
        <v>0.17009747</v>
      </c>
    </row>
    <row r="58" spans="1:18">
      <c r="A58" s="15" t="s">
        <v>618</v>
      </c>
      <c r="B58" s="17" t="n">
        <v>3530</v>
      </c>
      <c r="C58" s="18">
        <f>(2350.0/B58*100)</f>
        <v/>
      </c>
      <c r="D58" s="19" t="n">
        <v>1180</v>
      </c>
      <c r="E58" s="18" t="n">
        <v>82.17190970999999</v>
      </c>
      <c r="F58" s="20" t="n">
        <v>1.4507854</v>
      </c>
      <c r="G58" s="18" t="n">
        <v>12.48781721</v>
      </c>
      <c r="H58" s="20" t="n">
        <v>1.21873126</v>
      </c>
      <c r="I58" s="18" t="s">
        <v>567</v>
      </c>
      <c r="J58" s="20" t="s">
        <v>567</v>
      </c>
      <c r="K58" s="18" t="n">
        <v>3.11419122</v>
      </c>
      <c r="L58" s="20" t="n">
        <v>0.86153574</v>
      </c>
      <c r="M58" s="18" t="n">
        <v>0</v>
      </c>
      <c r="N58" s="20" t="n">
        <v>0</v>
      </c>
      <c r="O58" s="18" t="n">
        <v>0.05323941</v>
      </c>
      <c r="P58" s="20" t="n">
        <v>0.07243818</v>
      </c>
      <c r="Q58" s="18" t="n">
        <v>2.17284245</v>
      </c>
      <c r="R58" s="20" t="n">
        <v>0.43709125</v>
      </c>
    </row>
    <row r="59" spans="1:18">
      <c r="A59" s="15" t="s">
        <v>619</v>
      </c>
      <c r="B59" s="17" t="n">
        <v>2548</v>
      </c>
      <c r="C59" s="18">
        <f>(1720.0/B59*100)</f>
        <v/>
      </c>
      <c r="D59" s="19" t="n">
        <v>828</v>
      </c>
      <c r="E59" s="18" t="n">
        <v>80.22775288</v>
      </c>
      <c r="F59" s="20" t="n">
        <v>1.63483545</v>
      </c>
      <c r="G59" s="18" t="n">
        <v>16.79321428</v>
      </c>
      <c r="H59" s="20" t="n">
        <v>1.6342931</v>
      </c>
      <c r="I59" s="18" t="s">
        <v>567</v>
      </c>
      <c r="J59" s="20" t="s">
        <v>567</v>
      </c>
      <c r="K59" s="18" t="n">
        <v>0.72411893</v>
      </c>
      <c r="L59" s="20" t="n">
        <v>0.31182459</v>
      </c>
      <c r="M59" s="18" t="n">
        <v>0</v>
      </c>
      <c r="N59" s="20" t="n">
        <v>0</v>
      </c>
      <c r="O59" s="18" t="n">
        <v>0.17921583</v>
      </c>
      <c r="P59" s="20" t="n">
        <v>0.10901401</v>
      </c>
      <c r="Q59" s="18" t="n">
        <v>2.07569808</v>
      </c>
      <c r="R59" s="20" t="n">
        <v>0.51453186</v>
      </c>
    </row>
    <row r="60" spans="1:18">
      <c r="A60" s="15" t="s">
        <v>620</v>
      </c>
      <c r="B60" s="17" t="n">
        <v>2095</v>
      </c>
      <c r="C60" s="18">
        <f>(1387.0/B60*100)</f>
        <v/>
      </c>
      <c r="D60" s="19" t="n">
        <v>708</v>
      </c>
      <c r="E60" s="18" t="n">
        <v>71.40358501999999</v>
      </c>
      <c r="F60" s="20" t="n">
        <v>1.64033404</v>
      </c>
      <c r="G60" s="18" t="n">
        <v>21.48106287</v>
      </c>
      <c r="H60" s="20" t="n">
        <v>1.51038592</v>
      </c>
      <c r="I60" s="18" t="s">
        <v>567</v>
      </c>
      <c r="J60" s="20" t="s">
        <v>567</v>
      </c>
      <c r="K60" s="18" t="n">
        <v>4.90550437</v>
      </c>
      <c r="L60" s="20" t="n">
        <v>0.99339033</v>
      </c>
      <c r="M60" s="18" t="n">
        <v>0</v>
      </c>
      <c r="N60" s="20" t="n">
        <v>0</v>
      </c>
      <c r="O60" s="18" t="n">
        <v>0.12469936</v>
      </c>
      <c r="P60" s="20" t="n">
        <v>0.12262732</v>
      </c>
      <c r="Q60" s="18" t="n">
        <v>2.08514838</v>
      </c>
      <c r="R60" s="20" t="n">
        <v>0.5023985399999999</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(1864.0/B63*100)</f>
        <v/>
      </c>
      <c r="D63" s="19" t="n">
        <v>949</v>
      </c>
      <c r="E63" s="18" t="n">
        <v>74.98054252</v>
      </c>
      <c r="F63" s="20" t="n">
        <v>1.66270867</v>
      </c>
      <c r="G63" s="18" t="n">
        <v>17.62305878</v>
      </c>
      <c r="H63" s="20" t="n">
        <v>1.43208127</v>
      </c>
      <c r="I63" s="18" t="s">
        <v>567</v>
      </c>
      <c r="J63" s="20" t="s">
        <v>567</v>
      </c>
      <c r="K63" s="18" t="n">
        <v>3.73811165</v>
      </c>
      <c r="L63" s="20" t="n">
        <v>0.70317897</v>
      </c>
      <c r="M63" s="18" t="n">
        <v>0</v>
      </c>
      <c r="N63" s="20" t="n">
        <v>0</v>
      </c>
      <c r="O63" s="18" t="n">
        <v>0</v>
      </c>
      <c r="P63" s="20" t="n">
        <v>0</v>
      </c>
      <c r="Q63" s="18" t="n">
        <v>3.65828706</v>
      </c>
      <c r="R63" s="20" t="n">
        <v>0.60791783</v>
      </c>
    </row>
    <row r="64" spans="1:18">
      <c r="A64" s="15" t="s">
        <v>624</v>
      </c>
      <c r="B64" s="17" t="n">
        <v>1844</v>
      </c>
      <c r="C64" s="18">
        <f>(1240.0/B64*100)</f>
        <v/>
      </c>
      <c r="D64" s="19" t="n">
        <v>604</v>
      </c>
      <c r="E64" s="18" t="n">
        <v>69.93727515</v>
      </c>
      <c r="F64" s="20" t="n">
        <v>2.04845748</v>
      </c>
      <c r="G64" s="18" t="n">
        <v>26.29927998</v>
      </c>
      <c r="H64" s="20" t="n">
        <v>1.87023544</v>
      </c>
      <c r="I64" s="18" t="s">
        <v>567</v>
      </c>
      <c r="J64" s="20" t="s">
        <v>567</v>
      </c>
      <c r="K64" s="18" t="n">
        <v>2.67989542</v>
      </c>
      <c r="L64" s="20" t="n">
        <v>0.57249071</v>
      </c>
      <c r="M64" s="18" t="n">
        <v>0</v>
      </c>
      <c r="N64" s="20" t="n">
        <v>0</v>
      </c>
      <c r="O64" s="18" t="n">
        <v>0</v>
      </c>
      <c r="P64" s="20" t="n">
        <v>0</v>
      </c>
      <c r="Q64" s="18" t="n">
        <v>1.08354945</v>
      </c>
      <c r="R64" s="20" t="n">
        <v>0.44521309</v>
      </c>
    </row>
    <row r="65" spans="1:18">
      <c r="A65" s="15" t="s">
        <v>625</v>
      </c>
      <c r="B65" s="17" t="n">
        <v>2691</v>
      </c>
      <c r="C65" s="18">
        <f>(1809.0/B65*100)</f>
        <v/>
      </c>
      <c r="D65" s="19" t="n">
        <v>882</v>
      </c>
      <c r="E65" s="18" t="n">
        <v>70.78046007</v>
      </c>
      <c r="F65" s="20" t="n">
        <v>1.73187441</v>
      </c>
      <c r="G65" s="18" t="n">
        <v>17.93178244</v>
      </c>
      <c r="H65" s="20" t="n">
        <v>1.48852172</v>
      </c>
      <c r="I65" s="18" t="s">
        <v>567</v>
      </c>
      <c r="J65" s="20" t="s">
        <v>567</v>
      </c>
      <c r="K65" s="18" t="n">
        <v>7.30187307</v>
      </c>
      <c r="L65" s="20" t="n">
        <v>1.02575082</v>
      </c>
      <c r="M65" s="18" t="n">
        <v>0.18873404</v>
      </c>
      <c r="N65" s="20" t="n">
        <v>0.18814206</v>
      </c>
      <c r="O65" s="18" t="n">
        <v>0</v>
      </c>
      <c r="P65" s="20" t="n">
        <v>0</v>
      </c>
      <c r="Q65" s="18" t="n">
        <v>3.79715039</v>
      </c>
      <c r="R65" s="20" t="n">
        <v>0.69868138</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(1609.0/B69*100)</f>
        <v/>
      </c>
      <c r="D69" s="19" t="n">
        <v>801</v>
      </c>
      <c r="E69" s="18" t="n">
        <v>73.67483516999999</v>
      </c>
      <c r="F69" s="20" t="n">
        <v>1.87424634</v>
      </c>
      <c r="G69" s="18" t="n">
        <v>26.32516483</v>
      </c>
      <c r="H69" s="20" t="n">
        <v>1.87424634</v>
      </c>
      <c r="I69" s="18" t="s">
        <v>567</v>
      </c>
      <c r="J69" s="20" t="s">
        <v>567</v>
      </c>
      <c r="K69" s="18" t="n">
        <v>0</v>
      </c>
      <c r="L69" s="20" t="n">
        <v>0</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(1473.0/B74*100)</f>
        <v/>
      </c>
      <c r="D74" s="19" t="n">
        <v>766</v>
      </c>
      <c r="E74" s="18" t="n">
        <v>69.88163451</v>
      </c>
      <c r="F74" s="20" t="n">
        <v>1.64811197</v>
      </c>
      <c r="G74" s="18" t="n">
        <v>20.4314971</v>
      </c>
      <c r="H74" s="20" t="n">
        <v>1.66229291</v>
      </c>
      <c r="I74" s="18" t="s">
        <v>567</v>
      </c>
      <c r="J74" s="20" t="s">
        <v>567</v>
      </c>
      <c r="K74" s="18" t="n">
        <v>6.25554284</v>
      </c>
      <c r="L74" s="20" t="n">
        <v>0.9261954999999999</v>
      </c>
      <c r="M74" s="18" t="n">
        <v>0</v>
      </c>
      <c r="N74" s="20" t="n">
        <v>0</v>
      </c>
      <c r="O74" s="18" t="n">
        <v>0</v>
      </c>
      <c r="P74" s="20" t="n">
        <v>0</v>
      </c>
      <c r="Q74" s="18" t="n">
        <v>3.43132556</v>
      </c>
      <c r="R74" s="20" t="n">
        <v>0.84989735</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34.40663135</v>
      </c>
      <c r="F78" s="20" t="n">
        <v>1.72586703</v>
      </c>
      <c r="G78" s="18" t="n">
        <v>65.59336865</v>
      </c>
      <c r="H78" s="20" t="n">
        <v>1.72586703</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(528.0/B79*100)</f>
        <v/>
      </c>
      <c r="D79" s="19" t="n">
        <v>259</v>
      </c>
      <c r="E79" s="18" t="n">
        <v>62.52250206</v>
      </c>
      <c r="F79" s="20" t="n">
        <v>3.86465642</v>
      </c>
      <c r="G79" s="18" t="n">
        <v>30.68581486</v>
      </c>
      <c r="H79" s="20" t="n">
        <v>3.41466991</v>
      </c>
      <c r="I79" s="18" t="s">
        <v>567</v>
      </c>
      <c r="J79" s="20" t="s">
        <v>567</v>
      </c>
      <c r="K79" s="18" t="n">
        <v>4.70718152</v>
      </c>
      <c r="L79" s="20" t="n">
        <v>1.63130089</v>
      </c>
      <c r="M79" s="18" t="n">
        <v>0</v>
      </c>
      <c r="N79" s="20" t="n">
        <v>0</v>
      </c>
      <c r="O79" s="18" t="n">
        <v>0</v>
      </c>
      <c r="P79" s="20" t="n">
        <v>0</v>
      </c>
      <c r="Q79" s="18" t="n">
        <v>2.08450156</v>
      </c>
      <c r="R79" s="20" t="n">
        <v>0.89485587</v>
      </c>
    </row>
    <row r="80" spans="1:18">
      <c r="A80" s="15" t="s">
        <v>640</v>
      </c>
      <c r="B80" s="17" t="n">
        <v>3798</v>
      </c>
      <c r="C80" s="18">
        <f>(2536.0/B80*100)</f>
        <v/>
      </c>
      <c r="D80" s="19" t="n">
        <v>1262</v>
      </c>
      <c r="E80" s="18" t="n">
        <v>50.83327508</v>
      </c>
      <c r="F80" s="20" t="n">
        <v>1.80653327</v>
      </c>
      <c r="G80" s="18" t="n">
        <v>13.12151615</v>
      </c>
      <c r="H80" s="20" t="n">
        <v>1.265333</v>
      </c>
      <c r="I80" s="18" t="s">
        <v>567</v>
      </c>
      <c r="J80" s="20" t="s">
        <v>567</v>
      </c>
      <c r="K80" s="18" t="n">
        <v>0</v>
      </c>
      <c r="L80" s="20" t="n">
        <v>0</v>
      </c>
      <c r="M80" s="18" t="n">
        <v>35.84170804</v>
      </c>
      <c r="N80" s="20" t="n">
        <v>1.67064314</v>
      </c>
      <c r="O80" s="18" t="n">
        <v>0</v>
      </c>
      <c r="P80" s="20" t="n">
        <v>0</v>
      </c>
      <c r="Q80" s="18" t="n">
        <v>0.20350073</v>
      </c>
      <c r="R80" s="20" t="n">
        <v>0.12069774</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(1689.0/B44*100)</f>
        <v/>
      </c>
      <c r="D44" s="19" t="n">
        <v>835</v>
      </c>
      <c r="E44" s="18" t="n">
        <v>67.14081172</v>
      </c>
      <c r="F44" s="20" t="n">
        <v>2.03719263</v>
      </c>
      <c r="G44" s="18" t="n">
        <v>21.79350317</v>
      </c>
      <c r="H44" s="20" t="n">
        <v>1.87993255</v>
      </c>
      <c r="I44" s="18" t="s">
        <v>567</v>
      </c>
      <c r="J44" s="20" t="s">
        <v>567</v>
      </c>
      <c r="K44" s="18" t="n">
        <v>7.26546909</v>
      </c>
      <c r="L44" s="20" t="n">
        <v>1.04421392</v>
      </c>
      <c r="M44" s="18" t="n">
        <v>0</v>
      </c>
      <c r="N44" s="20" t="n">
        <v>0</v>
      </c>
      <c r="O44" s="18" t="n">
        <v>0</v>
      </c>
      <c r="P44" s="20" t="n">
        <v>0</v>
      </c>
      <c r="Q44" s="18" t="n">
        <v>3.80021602</v>
      </c>
      <c r="R44" s="20" t="n">
        <v>0.73969388</v>
      </c>
    </row>
    <row r="45" spans="1:18">
      <c r="A45" s="15" t="s">
        <v>605</v>
      </c>
      <c r="B45" s="17" t="n">
        <v>2849</v>
      </c>
      <c r="C45" s="18">
        <f>(1880.0/B45*100)</f>
        <v/>
      </c>
      <c r="D45" s="19" t="n">
        <v>969</v>
      </c>
      <c r="E45" s="18" t="n">
        <v>78.56812879</v>
      </c>
      <c r="F45" s="20" t="n">
        <v>1.32984481</v>
      </c>
      <c r="G45" s="18" t="n">
        <v>9.96688661</v>
      </c>
      <c r="H45" s="20" t="n">
        <v>0.97298368</v>
      </c>
      <c r="I45" s="18" t="s">
        <v>567</v>
      </c>
      <c r="J45" s="20" t="s">
        <v>567</v>
      </c>
      <c r="K45" s="18" t="n">
        <v>5.94726804</v>
      </c>
      <c r="L45" s="20" t="n">
        <v>0.84323638</v>
      </c>
      <c r="M45" s="18" t="n">
        <v>0.5000846799999999</v>
      </c>
      <c r="N45" s="20" t="n">
        <v>0.22929171</v>
      </c>
      <c r="O45" s="18" t="n">
        <v>0.06296031000000001</v>
      </c>
      <c r="P45" s="20" t="n">
        <v>0.0612303</v>
      </c>
      <c r="Q45" s="18" t="n">
        <v>4.95467158</v>
      </c>
      <c r="R45" s="20" t="n">
        <v>0.7686096100000001</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(1984.0/B49*100)</f>
        <v/>
      </c>
      <c r="D49" s="19" t="n">
        <v>1034</v>
      </c>
      <c r="E49" s="18" t="n">
        <v>77.17967838</v>
      </c>
      <c r="F49" s="20" t="n">
        <v>1.44282715</v>
      </c>
      <c r="G49" s="18" t="n">
        <v>18.03370129</v>
      </c>
      <c r="H49" s="20" t="n">
        <v>1.46935738</v>
      </c>
      <c r="I49" s="18" t="s">
        <v>567</v>
      </c>
      <c r="J49" s="20" t="s">
        <v>567</v>
      </c>
      <c r="K49" s="18" t="n">
        <v>2.96858984</v>
      </c>
      <c r="L49" s="20" t="n">
        <v>0.67566856</v>
      </c>
      <c r="M49" s="18" t="n">
        <v>0.14363629</v>
      </c>
      <c r="N49" s="20" t="n">
        <v>0.13718</v>
      </c>
      <c r="O49" s="18" t="n">
        <v>0</v>
      </c>
      <c r="P49" s="20" t="n">
        <v>0</v>
      </c>
      <c r="Q49" s="18" t="n">
        <v>1.6743942</v>
      </c>
      <c r="R49" s="20" t="n">
        <v>0.4473985</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(1847.0/B55*100)</f>
        <v/>
      </c>
      <c r="D55" s="19" t="n">
        <v>912</v>
      </c>
      <c r="E55" s="18" t="n">
        <v>73.46825076</v>
      </c>
      <c r="F55" s="20" t="n">
        <v>1.65665072</v>
      </c>
      <c r="G55" s="18" t="n">
        <v>21.75396989</v>
      </c>
      <c r="H55" s="20" t="n">
        <v>1.64578265</v>
      </c>
      <c r="I55" s="18" t="s">
        <v>567</v>
      </c>
      <c r="J55" s="20" t="s">
        <v>567</v>
      </c>
      <c r="K55" s="18" t="n">
        <v>2.32972206</v>
      </c>
      <c r="L55" s="20" t="n">
        <v>0.47318798</v>
      </c>
      <c r="M55" s="18" t="n">
        <v>0</v>
      </c>
      <c r="N55" s="20" t="n">
        <v>0</v>
      </c>
      <c r="O55" s="18" t="n">
        <v>0</v>
      </c>
      <c r="P55" s="20" t="n">
        <v>0</v>
      </c>
      <c r="Q55" s="18" t="n">
        <v>2.44805729</v>
      </c>
      <c r="R55" s="20" t="n">
        <v>0.48795874</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83.50538634</v>
      </c>
      <c r="F57" s="20" t="n">
        <v>1.62200154</v>
      </c>
      <c r="G57" s="18" t="n">
        <v>13.59201966</v>
      </c>
      <c r="H57" s="20" t="n">
        <v>1.43640149</v>
      </c>
      <c r="I57" s="18" t="s">
        <v>567</v>
      </c>
      <c r="J57" s="20" t="s">
        <v>567</v>
      </c>
      <c r="K57" s="18" t="n">
        <v>2.51484617</v>
      </c>
      <c r="L57" s="20" t="n">
        <v>0.57434164</v>
      </c>
      <c r="M57" s="18" t="n">
        <v>0</v>
      </c>
      <c r="N57" s="20" t="n">
        <v>0</v>
      </c>
      <c r="O57" s="18" t="n">
        <v>0</v>
      </c>
      <c r="P57" s="20" t="n">
        <v>0</v>
      </c>
      <c r="Q57" s="18" t="n">
        <v>0.38774784</v>
      </c>
      <c r="R57" s="20" t="n">
        <v>0.22626523</v>
      </c>
    </row>
    <row r="58" spans="1:18">
      <c r="A58" s="15" t="s">
        <v>618</v>
      </c>
      <c r="B58" s="17" t="n">
        <v>3530</v>
      </c>
      <c r="C58" s="18">
        <f>(2350.0/B58*100)</f>
        <v/>
      </c>
      <c r="D58" s="19" t="n">
        <v>1180</v>
      </c>
      <c r="E58" s="18" t="n">
        <v>86.87520078999999</v>
      </c>
      <c r="F58" s="20" t="n">
        <v>1.17204311</v>
      </c>
      <c r="G58" s="18" t="n">
        <v>7.98306179</v>
      </c>
      <c r="H58" s="20" t="n">
        <v>0.81183408</v>
      </c>
      <c r="I58" s="18" t="s">
        <v>567</v>
      </c>
      <c r="J58" s="20" t="s">
        <v>567</v>
      </c>
      <c r="K58" s="18" t="n">
        <v>3.21837806</v>
      </c>
      <c r="L58" s="20" t="n">
        <v>0.86868137</v>
      </c>
      <c r="M58" s="18" t="n">
        <v>0</v>
      </c>
      <c r="N58" s="20" t="n">
        <v>0</v>
      </c>
      <c r="O58" s="18" t="n">
        <v>0</v>
      </c>
      <c r="P58" s="20" t="n">
        <v>0</v>
      </c>
      <c r="Q58" s="18" t="n">
        <v>1.92335936</v>
      </c>
      <c r="R58" s="20" t="n">
        <v>0.45376596</v>
      </c>
    </row>
    <row r="59" spans="1:18">
      <c r="A59" s="15" t="s">
        <v>619</v>
      </c>
      <c r="B59" s="17" t="n">
        <v>2548</v>
      </c>
      <c r="C59" s="18">
        <f>(1720.0/B59*100)</f>
        <v/>
      </c>
      <c r="D59" s="19" t="n">
        <v>828</v>
      </c>
      <c r="E59" s="18" t="n">
        <v>82.93789261000001</v>
      </c>
      <c r="F59" s="20" t="n">
        <v>1.39613736</v>
      </c>
      <c r="G59" s="18" t="n">
        <v>14.73455571</v>
      </c>
      <c r="H59" s="20" t="n">
        <v>1.29658359</v>
      </c>
      <c r="I59" s="18" t="s">
        <v>567</v>
      </c>
      <c r="J59" s="20" t="s">
        <v>567</v>
      </c>
      <c r="K59" s="18" t="n">
        <v>0.72411893</v>
      </c>
      <c r="L59" s="20" t="n">
        <v>0.31182459</v>
      </c>
      <c r="M59" s="18" t="n">
        <v>0</v>
      </c>
      <c r="N59" s="20" t="n">
        <v>0</v>
      </c>
      <c r="O59" s="18" t="n">
        <v>0.2108946</v>
      </c>
      <c r="P59" s="20" t="n">
        <v>0.12755669</v>
      </c>
      <c r="Q59" s="18" t="n">
        <v>1.39253815</v>
      </c>
      <c r="R59" s="20" t="n">
        <v>0.45374274</v>
      </c>
    </row>
    <row r="60" spans="1:18">
      <c r="A60" s="15" t="s">
        <v>620</v>
      </c>
      <c r="B60" s="17" t="n">
        <v>2095</v>
      </c>
      <c r="C60" s="18">
        <f>(1387.0/B60*100)</f>
        <v/>
      </c>
      <c r="D60" s="19" t="n">
        <v>708</v>
      </c>
      <c r="E60" s="18" t="n">
        <v>74.61223239</v>
      </c>
      <c r="F60" s="20" t="n">
        <v>1.9291517</v>
      </c>
      <c r="G60" s="18" t="n">
        <v>19.06303971</v>
      </c>
      <c r="H60" s="20" t="n">
        <v>1.79184871</v>
      </c>
      <c r="I60" s="18" t="s">
        <v>567</v>
      </c>
      <c r="J60" s="20" t="s">
        <v>567</v>
      </c>
      <c r="K60" s="18" t="n">
        <v>5.25261645</v>
      </c>
      <c r="L60" s="20" t="n">
        <v>0.98677652</v>
      </c>
      <c r="M60" s="18" t="n">
        <v>0</v>
      </c>
      <c r="N60" s="20" t="n">
        <v>0</v>
      </c>
      <c r="O60" s="18" t="n">
        <v>0</v>
      </c>
      <c r="P60" s="20" t="n">
        <v>0</v>
      </c>
      <c r="Q60" s="18" t="n">
        <v>1.07211145</v>
      </c>
      <c r="R60" s="20" t="n">
        <v>0.49259745</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(1864.0/B63*100)</f>
        <v/>
      </c>
      <c r="D63" s="19" t="n">
        <v>949</v>
      </c>
      <c r="E63" s="18" t="n">
        <v>76.76809119000001</v>
      </c>
      <c r="F63" s="20" t="n">
        <v>1.66293509</v>
      </c>
      <c r="G63" s="18" t="n">
        <v>17.07838887</v>
      </c>
      <c r="H63" s="20" t="n">
        <v>1.40019677</v>
      </c>
      <c r="I63" s="18" t="s">
        <v>567</v>
      </c>
      <c r="J63" s="20" t="s">
        <v>567</v>
      </c>
      <c r="K63" s="18" t="n">
        <v>3.73811165</v>
      </c>
      <c r="L63" s="20" t="n">
        <v>0.70317897</v>
      </c>
      <c r="M63" s="18" t="n">
        <v>0</v>
      </c>
      <c r="N63" s="20" t="n">
        <v>0</v>
      </c>
      <c r="O63" s="18" t="n">
        <v>0</v>
      </c>
      <c r="P63" s="20" t="n">
        <v>0</v>
      </c>
      <c r="Q63" s="18" t="n">
        <v>2.4154083</v>
      </c>
      <c r="R63" s="20" t="n">
        <v>0.52394003</v>
      </c>
    </row>
    <row r="64" spans="1:18">
      <c r="A64" s="15" t="s">
        <v>624</v>
      </c>
      <c r="B64" s="17" t="n">
        <v>1844</v>
      </c>
      <c r="C64" s="18">
        <f>(1240.0/B64*100)</f>
        <v/>
      </c>
      <c r="D64" s="19" t="n">
        <v>604</v>
      </c>
      <c r="E64" s="18" t="n">
        <v>67.32797571</v>
      </c>
      <c r="F64" s="20" t="n">
        <v>1.92473222</v>
      </c>
      <c r="G64" s="18" t="n">
        <v>29.2895847</v>
      </c>
      <c r="H64" s="20" t="n">
        <v>1.79479151</v>
      </c>
      <c r="I64" s="18" t="s">
        <v>567</v>
      </c>
      <c r="J64" s="20" t="s">
        <v>567</v>
      </c>
      <c r="K64" s="18" t="n">
        <v>3.02225372</v>
      </c>
      <c r="L64" s="20" t="n">
        <v>0.6272749</v>
      </c>
      <c r="M64" s="18" t="n">
        <v>0</v>
      </c>
      <c r="N64" s="20" t="n">
        <v>0</v>
      </c>
      <c r="O64" s="18" t="n">
        <v>0</v>
      </c>
      <c r="P64" s="20" t="n">
        <v>0</v>
      </c>
      <c r="Q64" s="18" t="n">
        <v>0.36018587</v>
      </c>
      <c r="R64" s="20" t="n">
        <v>0.25435865</v>
      </c>
    </row>
    <row r="65" spans="1:18">
      <c r="A65" s="15" t="s">
        <v>625</v>
      </c>
      <c r="B65" s="17" t="n">
        <v>2691</v>
      </c>
      <c r="C65" s="18">
        <f>(1809.0/B65*100)</f>
        <v/>
      </c>
      <c r="D65" s="19" t="n">
        <v>882</v>
      </c>
      <c r="E65" s="18" t="n">
        <v>73.64150619</v>
      </c>
      <c r="F65" s="20" t="n">
        <v>1.61388017</v>
      </c>
      <c r="G65" s="18" t="n">
        <v>16.8391744</v>
      </c>
      <c r="H65" s="20" t="n">
        <v>1.31768784</v>
      </c>
      <c r="I65" s="18" t="s">
        <v>567</v>
      </c>
      <c r="J65" s="20" t="s">
        <v>567</v>
      </c>
      <c r="K65" s="18" t="n">
        <v>7.82715541</v>
      </c>
      <c r="L65" s="20" t="n">
        <v>1.04243171</v>
      </c>
      <c r="M65" s="18" t="n">
        <v>0.10833706</v>
      </c>
      <c r="N65" s="20" t="n">
        <v>0.10819907</v>
      </c>
      <c r="O65" s="18" t="n">
        <v>0</v>
      </c>
      <c r="P65" s="20" t="n">
        <v>0</v>
      </c>
      <c r="Q65" s="18" t="n">
        <v>1.58382695</v>
      </c>
      <c r="R65" s="20" t="n">
        <v>0.45490222</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(1609.0/B69*100)</f>
        <v/>
      </c>
      <c r="D69" s="19" t="n">
        <v>801</v>
      </c>
      <c r="E69" s="18" t="n">
        <v>80.9329851</v>
      </c>
      <c r="F69" s="20" t="n">
        <v>1.54097468</v>
      </c>
      <c r="G69" s="18" t="n">
        <v>19.0670149</v>
      </c>
      <c r="H69" s="20" t="n">
        <v>1.54097468</v>
      </c>
      <c r="I69" s="18" t="s">
        <v>567</v>
      </c>
      <c r="J69" s="20" t="s">
        <v>567</v>
      </c>
      <c r="K69" s="18" t="n">
        <v>0</v>
      </c>
      <c r="L69" s="20" t="n">
        <v>0</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(1473.0/B74*100)</f>
        <v/>
      </c>
      <c r="D74" s="19" t="n">
        <v>766</v>
      </c>
      <c r="E74" s="18" t="n">
        <v>66.77554818999999</v>
      </c>
      <c r="F74" s="20" t="n">
        <v>1.74857342</v>
      </c>
      <c r="G74" s="18" t="n">
        <v>21.73056206</v>
      </c>
      <c r="H74" s="20" t="n">
        <v>1.5477093</v>
      </c>
      <c r="I74" s="18" t="s">
        <v>567</v>
      </c>
      <c r="J74" s="20" t="s">
        <v>567</v>
      </c>
      <c r="K74" s="18" t="n">
        <v>7.40600816</v>
      </c>
      <c r="L74" s="20" t="n">
        <v>1.06053644</v>
      </c>
      <c r="M74" s="18" t="n">
        <v>0</v>
      </c>
      <c r="N74" s="20" t="n">
        <v>0</v>
      </c>
      <c r="O74" s="18" t="n">
        <v>0</v>
      </c>
      <c r="P74" s="20" t="n">
        <v>0</v>
      </c>
      <c r="Q74" s="18" t="n">
        <v>4.0878816</v>
      </c>
      <c r="R74" s="20" t="n">
        <v>0.87804635</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30.34803067</v>
      </c>
      <c r="F78" s="20" t="n">
        <v>1.86213158</v>
      </c>
      <c r="G78" s="18" t="n">
        <v>69.65196933</v>
      </c>
      <c r="H78" s="20" t="n">
        <v>1.86213158</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(528.0/B79*100)</f>
        <v/>
      </c>
      <c r="D79" s="19" t="n">
        <v>259</v>
      </c>
      <c r="E79" s="18" t="n">
        <v>67.46475543</v>
      </c>
      <c r="F79" s="20" t="n">
        <v>2.56643584</v>
      </c>
      <c r="G79" s="18" t="n">
        <v>25.68497837</v>
      </c>
      <c r="H79" s="20" t="n">
        <v>2.26817386</v>
      </c>
      <c r="I79" s="18" t="s">
        <v>567</v>
      </c>
      <c r="J79" s="20" t="s">
        <v>567</v>
      </c>
      <c r="K79" s="18" t="n">
        <v>5.3892346</v>
      </c>
      <c r="L79" s="20" t="n">
        <v>1.57692481</v>
      </c>
      <c r="M79" s="18" t="n">
        <v>0</v>
      </c>
      <c r="N79" s="20" t="n">
        <v>0</v>
      </c>
      <c r="O79" s="18" t="n">
        <v>0</v>
      </c>
      <c r="P79" s="20" t="n">
        <v>0</v>
      </c>
      <c r="Q79" s="18" t="n">
        <v>1.46103159</v>
      </c>
      <c r="R79" s="20" t="n">
        <v>0.82376569</v>
      </c>
    </row>
    <row r="80" spans="1:18">
      <c r="A80" s="15" t="s">
        <v>640</v>
      </c>
      <c r="B80" s="17" t="n">
        <v>3798</v>
      </c>
      <c r="C80" s="18">
        <f>(2536.0/B80*100)</f>
        <v/>
      </c>
      <c r="D80" s="19" t="n">
        <v>1262</v>
      </c>
      <c r="E80" s="18" t="n">
        <v>82.60876362</v>
      </c>
      <c r="F80" s="20" t="n">
        <v>1.61316039</v>
      </c>
      <c r="G80" s="18" t="n">
        <v>16.98614526</v>
      </c>
      <c r="H80" s="20" t="n">
        <v>1.57813742</v>
      </c>
      <c r="I80" s="18" t="s">
        <v>567</v>
      </c>
      <c r="J80" s="20" t="s">
        <v>567</v>
      </c>
      <c r="K80" s="18" t="n">
        <v>0</v>
      </c>
      <c r="L80" s="20" t="n">
        <v>0</v>
      </c>
      <c r="M80" s="18" t="n">
        <v>0</v>
      </c>
      <c r="N80" s="20" t="n">
        <v>0</v>
      </c>
      <c r="O80" s="18" t="n">
        <v>0</v>
      </c>
      <c r="P80" s="20" t="n">
        <v>0</v>
      </c>
      <c r="Q80" s="18" t="n">
        <v>0.40509112</v>
      </c>
      <c r="R80" s="20" t="n">
        <v>0.23476051</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(1689.0/B44*100)</f>
        <v/>
      </c>
      <c r="D44" s="19" t="n">
        <v>835</v>
      </c>
      <c r="E44" s="18" t="n">
        <v>46.37422227</v>
      </c>
      <c r="F44" s="20" t="n">
        <v>2.17535779</v>
      </c>
      <c r="G44" s="18" t="n">
        <v>42.77191985</v>
      </c>
      <c r="H44" s="20" t="n">
        <v>2.09861751</v>
      </c>
      <c r="I44" s="18" t="s">
        <v>567</v>
      </c>
      <c r="J44" s="20" t="s">
        <v>567</v>
      </c>
      <c r="K44" s="18" t="n">
        <v>7.63393098</v>
      </c>
      <c r="L44" s="20" t="n">
        <v>1.06590113</v>
      </c>
      <c r="M44" s="18" t="n">
        <v>0</v>
      </c>
      <c r="N44" s="20" t="n">
        <v>0</v>
      </c>
      <c r="O44" s="18" t="n">
        <v>0</v>
      </c>
      <c r="P44" s="20" t="n">
        <v>0</v>
      </c>
      <c r="Q44" s="18" t="n">
        <v>3.21992689</v>
      </c>
      <c r="R44" s="20" t="n">
        <v>0.78248579</v>
      </c>
    </row>
    <row r="45" spans="1:18">
      <c r="A45" s="15" t="s">
        <v>605</v>
      </c>
      <c r="B45" s="17" t="n">
        <v>2849</v>
      </c>
      <c r="C45" s="18">
        <f>(1880.0/B45*100)</f>
        <v/>
      </c>
      <c r="D45" s="19" t="n">
        <v>969</v>
      </c>
      <c r="E45" s="18" t="n">
        <v>59.14869396</v>
      </c>
      <c r="F45" s="20" t="n">
        <v>1.78786387</v>
      </c>
      <c r="G45" s="18" t="n">
        <v>28.99755217</v>
      </c>
      <c r="H45" s="20" t="n">
        <v>1.51993966</v>
      </c>
      <c r="I45" s="18" t="s">
        <v>567</v>
      </c>
      <c r="J45" s="20" t="s">
        <v>567</v>
      </c>
      <c r="K45" s="18" t="n">
        <v>6.62555497</v>
      </c>
      <c r="L45" s="20" t="n">
        <v>0.91986881</v>
      </c>
      <c r="M45" s="18" t="n">
        <v>0.5000846799999999</v>
      </c>
      <c r="N45" s="20" t="n">
        <v>0.22929171</v>
      </c>
      <c r="O45" s="18" t="n">
        <v>0.06296031000000001</v>
      </c>
      <c r="P45" s="20" t="n">
        <v>0.0612303</v>
      </c>
      <c r="Q45" s="18" t="n">
        <v>4.66515391</v>
      </c>
      <c r="R45" s="20" t="n">
        <v>0.83269168</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(1984.0/B49*100)</f>
        <v/>
      </c>
      <c r="D49" s="19" t="n">
        <v>1034</v>
      </c>
      <c r="E49" s="18" t="n">
        <v>33.43262342</v>
      </c>
      <c r="F49" s="20" t="n">
        <v>1.95795985</v>
      </c>
      <c r="G49" s="18" t="n">
        <v>61.76266014</v>
      </c>
      <c r="H49" s="20" t="n">
        <v>1.99717013</v>
      </c>
      <c r="I49" s="18" t="s">
        <v>567</v>
      </c>
      <c r="J49" s="20" t="s">
        <v>567</v>
      </c>
      <c r="K49" s="18" t="n">
        <v>3.45370535</v>
      </c>
      <c r="L49" s="20" t="n">
        <v>0.75622932</v>
      </c>
      <c r="M49" s="18" t="n">
        <v>0.10520768</v>
      </c>
      <c r="N49" s="20" t="n">
        <v>0.10607702</v>
      </c>
      <c r="O49" s="18" t="n">
        <v>0</v>
      </c>
      <c r="P49" s="20" t="n">
        <v>0</v>
      </c>
      <c r="Q49" s="18" t="n">
        <v>1.24580341</v>
      </c>
      <c r="R49" s="20" t="n">
        <v>0.3337472</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(1847.0/B55*100)</f>
        <v/>
      </c>
      <c r="D55" s="19" t="n">
        <v>912</v>
      </c>
      <c r="E55" s="18" t="n">
        <v>50.19075629</v>
      </c>
      <c r="F55" s="20" t="n">
        <v>1.73431158</v>
      </c>
      <c r="G55" s="18" t="n">
        <v>44.48011999</v>
      </c>
      <c r="H55" s="20" t="n">
        <v>1.78191609</v>
      </c>
      <c r="I55" s="18" t="s">
        <v>567</v>
      </c>
      <c r="J55" s="20" t="s">
        <v>567</v>
      </c>
      <c r="K55" s="18" t="n">
        <v>2.60907718</v>
      </c>
      <c r="L55" s="20" t="n">
        <v>0.47226774</v>
      </c>
      <c r="M55" s="18" t="n">
        <v>0</v>
      </c>
      <c r="N55" s="20" t="n">
        <v>0</v>
      </c>
      <c r="O55" s="18" t="n">
        <v>0.08329706000000001</v>
      </c>
      <c r="P55" s="20" t="n">
        <v>0.0766539</v>
      </c>
      <c r="Q55" s="18" t="n">
        <v>2.63674948</v>
      </c>
      <c r="R55" s="20" t="n">
        <v>0.5598108000000001</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0</v>
      </c>
      <c r="F57" s="20" t="n">
        <v>0</v>
      </c>
      <c r="G57" s="18" t="n">
        <v>0</v>
      </c>
      <c r="H57" s="20" t="n">
        <v>0</v>
      </c>
      <c r="I57" s="18" t="s">
        <v>567</v>
      </c>
      <c r="J57" s="20" t="s">
        <v>567</v>
      </c>
      <c r="K57" s="18" t="n">
        <v>0</v>
      </c>
      <c r="L57" s="20" t="n">
        <v>0</v>
      </c>
      <c r="M57" s="18" t="n">
        <v>100</v>
      </c>
      <c r="N57" s="20" t="n">
        <v>0</v>
      </c>
      <c r="O57" s="18" t="n">
        <v>0</v>
      </c>
      <c r="P57" s="20" t="n">
        <v>0</v>
      </c>
      <c r="Q57" s="18" t="n">
        <v>0</v>
      </c>
      <c r="R57" s="20" t="n">
        <v>0</v>
      </c>
    </row>
    <row r="58" spans="1:18">
      <c r="A58" s="15" t="s">
        <v>618</v>
      </c>
      <c r="B58" s="17" t="n">
        <v>3530</v>
      </c>
      <c r="C58" s="18">
        <f>(2350.0/B58*100)</f>
        <v/>
      </c>
      <c r="D58" s="19" t="n">
        <v>1180</v>
      </c>
      <c r="E58" s="18" t="n">
        <v>60.97602848</v>
      </c>
      <c r="F58" s="20" t="n">
        <v>1.85779533</v>
      </c>
      <c r="G58" s="18" t="n">
        <v>33.42800803</v>
      </c>
      <c r="H58" s="20" t="n">
        <v>1.84854728</v>
      </c>
      <c r="I58" s="18" t="s">
        <v>567</v>
      </c>
      <c r="J58" s="20" t="s">
        <v>567</v>
      </c>
      <c r="K58" s="18" t="n">
        <v>3.63743848</v>
      </c>
      <c r="L58" s="20" t="n">
        <v>0.96264466</v>
      </c>
      <c r="M58" s="18" t="n">
        <v>0</v>
      </c>
      <c r="N58" s="20" t="n">
        <v>0</v>
      </c>
      <c r="O58" s="18" t="n">
        <v>0.2901214</v>
      </c>
      <c r="P58" s="20" t="n">
        <v>0.15226838</v>
      </c>
      <c r="Q58" s="18" t="n">
        <v>1.66840361</v>
      </c>
      <c r="R58" s="20" t="n">
        <v>0.42468124</v>
      </c>
    </row>
    <row r="59" spans="1:18">
      <c r="A59" s="15" t="s">
        <v>619</v>
      </c>
      <c r="B59" s="17" t="n">
        <v>2548</v>
      </c>
      <c r="C59" s="18">
        <f>(1720.0/B59*100)</f>
        <v/>
      </c>
      <c r="D59" s="19" t="n">
        <v>828</v>
      </c>
      <c r="E59" s="18" t="n">
        <v>49.03122755</v>
      </c>
      <c r="F59" s="20" t="n">
        <v>2.00045554</v>
      </c>
      <c r="G59" s="18" t="n">
        <v>48.98702407</v>
      </c>
      <c r="H59" s="20" t="n">
        <v>1.96572276</v>
      </c>
      <c r="I59" s="18" t="s">
        <v>567</v>
      </c>
      <c r="J59" s="20" t="s">
        <v>567</v>
      </c>
      <c r="K59" s="18" t="n">
        <v>0.80121255</v>
      </c>
      <c r="L59" s="20" t="n">
        <v>0.32153941</v>
      </c>
      <c r="M59" s="18" t="n">
        <v>0</v>
      </c>
      <c r="N59" s="20" t="n">
        <v>0</v>
      </c>
      <c r="O59" s="18" t="n">
        <v>0.03854668</v>
      </c>
      <c r="P59" s="20" t="n">
        <v>0.03847822</v>
      </c>
      <c r="Q59" s="18" t="n">
        <v>1.14198914</v>
      </c>
      <c r="R59" s="20" t="n">
        <v>0.4476418</v>
      </c>
    </row>
    <row r="60" spans="1:18">
      <c r="A60" s="15" t="s">
        <v>620</v>
      </c>
      <c r="B60" s="17" t="n">
        <v>2095</v>
      </c>
      <c r="C60" s="18">
        <f>(1387.0/B60*100)</f>
        <v/>
      </c>
      <c r="D60" s="19" t="n">
        <v>708</v>
      </c>
      <c r="E60" s="18" t="n">
        <v>61.73729873</v>
      </c>
      <c r="F60" s="20" t="n">
        <v>2.16326525</v>
      </c>
      <c r="G60" s="18" t="n">
        <v>31.81264073</v>
      </c>
      <c r="H60" s="20" t="n">
        <v>1.89879941</v>
      </c>
      <c r="I60" s="18" t="s">
        <v>567</v>
      </c>
      <c r="J60" s="20" t="s">
        <v>567</v>
      </c>
      <c r="K60" s="18" t="n">
        <v>5.48976955</v>
      </c>
      <c r="L60" s="20" t="n">
        <v>1.04535451</v>
      </c>
      <c r="M60" s="18" t="n">
        <v>0</v>
      </c>
      <c r="N60" s="20" t="n">
        <v>0</v>
      </c>
      <c r="O60" s="18" t="n">
        <v>0</v>
      </c>
      <c r="P60" s="20" t="n">
        <v>0</v>
      </c>
      <c r="Q60" s="18" t="n">
        <v>0.96029099</v>
      </c>
      <c r="R60" s="20" t="n">
        <v>0.44258672</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(1864.0/B63*100)</f>
        <v/>
      </c>
      <c r="D63" s="19" t="n">
        <v>949</v>
      </c>
      <c r="E63" s="18" t="n">
        <v>49.4761163</v>
      </c>
      <c r="F63" s="20" t="n">
        <v>2.07397819</v>
      </c>
      <c r="G63" s="18" t="n">
        <v>43.20784368</v>
      </c>
      <c r="H63" s="20" t="n">
        <v>2.20315041</v>
      </c>
      <c r="I63" s="18" t="s">
        <v>567</v>
      </c>
      <c r="J63" s="20" t="s">
        <v>567</v>
      </c>
      <c r="K63" s="18" t="n">
        <v>4.68686139</v>
      </c>
      <c r="L63" s="20" t="n">
        <v>0.75760826</v>
      </c>
      <c r="M63" s="18" t="n">
        <v>0</v>
      </c>
      <c r="N63" s="20" t="n">
        <v>0</v>
      </c>
      <c r="O63" s="18" t="n">
        <v>0</v>
      </c>
      <c r="P63" s="20" t="n">
        <v>0</v>
      </c>
      <c r="Q63" s="18" t="n">
        <v>2.62917863</v>
      </c>
      <c r="R63" s="20" t="n">
        <v>0.5074339</v>
      </c>
    </row>
    <row r="64" spans="1:18">
      <c r="A64" s="15" t="s">
        <v>624</v>
      </c>
      <c r="B64" s="17" t="n">
        <v>1844</v>
      </c>
      <c r="C64" s="18">
        <f>(1240.0/B64*100)</f>
        <v/>
      </c>
      <c r="D64" s="19" t="n">
        <v>604</v>
      </c>
      <c r="E64" s="18" t="n">
        <v>37.3248267</v>
      </c>
      <c r="F64" s="20" t="n">
        <v>1.9146949</v>
      </c>
      <c r="G64" s="18" t="n">
        <v>58.63256228</v>
      </c>
      <c r="H64" s="20" t="n">
        <v>1.91734075</v>
      </c>
      <c r="I64" s="18" t="s">
        <v>567</v>
      </c>
      <c r="J64" s="20" t="s">
        <v>567</v>
      </c>
      <c r="K64" s="18" t="n">
        <v>3.34017631</v>
      </c>
      <c r="L64" s="20" t="n">
        <v>0.6630908599999999</v>
      </c>
      <c r="M64" s="18" t="n">
        <v>0</v>
      </c>
      <c r="N64" s="20" t="n">
        <v>0</v>
      </c>
      <c r="O64" s="18" t="n">
        <v>0</v>
      </c>
      <c r="P64" s="20" t="n">
        <v>0</v>
      </c>
      <c r="Q64" s="18" t="n">
        <v>0.70243472</v>
      </c>
      <c r="R64" s="20" t="n">
        <v>0.34761653</v>
      </c>
    </row>
    <row r="65" spans="1:18">
      <c r="A65" s="15" t="s">
        <v>625</v>
      </c>
      <c r="B65" s="17" t="n">
        <v>2691</v>
      </c>
      <c r="C65" s="18">
        <f>(1809.0/B65*100)</f>
        <v/>
      </c>
      <c r="D65" s="19" t="n">
        <v>882</v>
      </c>
      <c r="E65" s="18" t="n">
        <v>48.98577459</v>
      </c>
      <c r="F65" s="20" t="n">
        <v>1.50280635</v>
      </c>
      <c r="G65" s="18" t="n">
        <v>40.64154821</v>
      </c>
      <c r="H65" s="20" t="n">
        <v>1.56429991</v>
      </c>
      <c r="I65" s="18" t="s">
        <v>567</v>
      </c>
      <c r="J65" s="20" t="s">
        <v>567</v>
      </c>
      <c r="K65" s="18" t="n">
        <v>8.77426507</v>
      </c>
      <c r="L65" s="20" t="n">
        <v>1.06958019</v>
      </c>
      <c r="M65" s="18" t="n">
        <v>0.09270175</v>
      </c>
      <c r="N65" s="20" t="n">
        <v>0.09124941</v>
      </c>
      <c r="O65" s="18" t="n">
        <v>0</v>
      </c>
      <c r="P65" s="20" t="n">
        <v>0</v>
      </c>
      <c r="Q65" s="18" t="n">
        <v>1.50571037</v>
      </c>
      <c r="R65" s="20" t="n">
        <v>0.43765154</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(1609.0/B69*100)</f>
        <v/>
      </c>
      <c r="D69" s="19" t="n">
        <v>801</v>
      </c>
      <c r="E69" s="18" t="n">
        <v>58.92328678</v>
      </c>
      <c r="F69" s="20" t="n">
        <v>1.83307352</v>
      </c>
      <c r="G69" s="18" t="n">
        <v>41.07671322</v>
      </c>
      <c r="H69" s="20" t="n">
        <v>1.83307352</v>
      </c>
      <c r="I69" s="18" t="s">
        <v>567</v>
      </c>
      <c r="J69" s="20" t="s">
        <v>567</v>
      </c>
      <c r="K69" s="18" t="n">
        <v>0</v>
      </c>
      <c r="L69" s="20" t="n">
        <v>0</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(1473.0/B74*100)</f>
        <v/>
      </c>
      <c r="D74" s="19" t="n">
        <v>766</v>
      </c>
      <c r="E74" s="18" t="n">
        <v>49.4470598</v>
      </c>
      <c r="F74" s="20" t="n">
        <v>2.00478299</v>
      </c>
      <c r="G74" s="18" t="n">
        <v>38.57336974</v>
      </c>
      <c r="H74" s="20" t="n">
        <v>1.95828106</v>
      </c>
      <c r="I74" s="18" t="s">
        <v>567</v>
      </c>
      <c r="J74" s="20" t="s">
        <v>567</v>
      </c>
      <c r="K74" s="18" t="n">
        <v>8.23830457</v>
      </c>
      <c r="L74" s="20" t="n">
        <v>1.11742561</v>
      </c>
      <c r="M74" s="18" t="n">
        <v>0</v>
      </c>
      <c r="N74" s="20" t="n">
        <v>0</v>
      </c>
      <c r="O74" s="18" t="n">
        <v>0</v>
      </c>
      <c r="P74" s="20" t="n">
        <v>0</v>
      </c>
      <c r="Q74" s="18" t="n">
        <v>3.7412659</v>
      </c>
      <c r="R74" s="20" t="n">
        <v>1.03533866</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12.95293781</v>
      </c>
      <c r="F78" s="20" t="n">
        <v>1.11584274</v>
      </c>
      <c r="G78" s="18" t="n">
        <v>87.04706219000001</v>
      </c>
      <c r="H78" s="20" t="n">
        <v>1.11584274</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(528.0/B79*100)</f>
        <v/>
      </c>
      <c r="D79" s="19" t="n">
        <v>259</v>
      </c>
      <c r="E79" s="18" t="n">
        <v>22.19937385</v>
      </c>
      <c r="F79" s="20" t="n">
        <v>3.34875838</v>
      </c>
      <c r="G79" s="18" t="n">
        <v>68.82601452999999</v>
      </c>
      <c r="H79" s="20" t="n">
        <v>3.94721407</v>
      </c>
      <c r="I79" s="18" t="s">
        <v>567</v>
      </c>
      <c r="J79" s="20" t="s">
        <v>567</v>
      </c>
      <c r="K79" s="18" t="n">
        <v>6.47373599</v>
      </c>
      <c r="L79" s="20" t="n">
        <v>1.57100776</v>
      </c>
      <c r="M79" s="18" t="n">
        <v>0</v>
      </c>
      <c r="N79" s="20" t="n">
        <v>0</v>
      </c>
      <c r="O79" s="18" t="n">
        <v>0</v>
      </c>
      <c r="P79" s="20" t="n">
        <v>0</v>
      </c>
      <c r="Q79" s="18" t="n">
        <v>2.50087563</v>
      </c>
      <c r="R79" s="20" t="n">
        <v>0.90730767</v>
      </c>
    </row>
    <row r="80" spans="1:18">
      <c r="A80" s="15" t="s">
        <v>640</v>
      </c>
      <c r="B80" s="17" t="n">
        <v>3798</v>
      </c>
      <c r="C80" s="18">
        <f>(2536.0/B80*100)</f>
        <v/>
      </c>
      <c r="D80" s="19" t="n">
        <v>1262</v>
      </c>
      <c r="E80" s="18" t="n">
        <v>44.70199594</v>
      </c>
      <c r="F80" s="20" t="n">
        <v>2.00034712</v>
      </c>
      <c r="G80" s="18" t="n">
        <v>54.89291294</v>
      </c>
      <c r="H80" s="20" t="n">
        <v>1.96648835</v>
      </c>
      <c r="I80" s="18" t="s">
        <v>567</v>
      </c>
      <c r="J80" s="20" t="s">
        <v>567</v>
      </c>
      <c r="K80" s="18" t="n">
        <v>0</v>
      </c>
      <c r="L80" s="20" t="n">
        <v>0</v>
      </c>
      <c r="M80" s="18" t="n">
        <v>0</v>
      </c>
      <c r="N80" s="20" t="n">
        <v>0</v>
      </c>
      <c r="O80" s="18" t="n">
        <v>0</v>
      </c>
      <c r="P80" s="20" t="n">
        <v>0</v>
      </c>
      <c r="Q80" s="18" t="n">
        <v>0.40509112</v>
      </c>
      <c r="R80" s="20" t="n">
        <v>0.23476051</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(1689.0/B44*100)</f>
        <v/>
      </c>
      <c r="D44" s="19" t="n">
        <v>835</v>
      </c>
      <c r="E44" s="18" t="n">
        <v>29.94496481</v>
      </c>
      <c r="F44" s="20" t="n">
        <v>2.34446986</v>
      </c>
      <c r="G44" s="18" t="n">
        <v>17.85276537</v>
      </c>
      <c r="H44" s="20" t="n">
        <v>1.73203508</v>
      </c>
      <c r="I44" s="18" t="s">
        <v>567</v>
      </c>
      <c r="J44" s="20" t="s">
        <v>567</v>
      </c>
      <c r="K44" s="18" t="n">
        <v>10.82674628</v>
      </c>
      <c r="L44" s="20" t="n">
        <v>1.19254733</v>
      </c>
      <c r="M44" s="18" t="n">
        <v>0</v>
      </c>
      <c r="N44" s="20" t="n">
        <v>0</v>
      </c>
      <c r="O44" s="18" t="n">
        <v>0</v>
      </c>
      <c r="P44" s="20" t="n">
        <v>0</v>
      </c>
      <c r="Q44" s="18" t="n">
        <v>41.37552354</v>
      </c>
      <c r="R44" s="20" t="n">
        <v>2.44835804</v>
      </c>
    </row>
    <row r="45" spans="1:18">
      <c r="A45" s="15" t="s">
        <v>605</v>
      </c>
      <c r="B45" s="17" t="n">
        <v>2849</v>
      </c>
      <c r="C45" s="18">
        <f>(1880.0/B45*100)</f>
        <v/>
      </c>
      <c r="D45" s="19" t="n">
        <v>969</v>
      </c>
      <c r="E45" s="18" t="n">
        <v>42.1078315</v>
      </c>
      <c r="F45" s="20" t="n">
        <v>1.63721722</v>
      </c>
      <c r="G45" s="18" t="n">
        <v>11.49234757</v>
      </c>
      <c r="H45" s="20" t="n">
        <v>1.32601271</v>
      </c>
      <c r="I45" s="18" t="s">
        <v>567</v>
      </c>
      <c r="J45" s="20" t="s">
        <v>567</v>
      </c>
      <c r="K45" s="18" t="n">
        <v>10.18443239</v>
      </c>
      <c r="L45" s="20" t="n">
        <v>1.15486416</v>
      </c>
      <c r="M45" s="18" t="n">
        <v>0.21441387</v>
      </c>
      <c r="N45" s="20" t="n">
        <v>0.17935299</v>
      </c>
      <c r="O45" s="18" t="n">
        <v>0.06296031000000001</v>
      </c>
      <c r="P45" s="20" t="n">
        <v>0.0612303</v>
      </c>
      <c r="Q45" s="18" t="n">
        <v>35.93801437</v>
      </c>
      <c r="R45" s="20" t="n">
        <v>1.65609258</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(1984.0/B49*100)</f>
        <v/>
      </c>
      <c r="D49" s="19" t="n">
        <v>1034</v>
      </c>
      <c r="E49" s="18" t="n">
        <v>44.28896269</v>
      </c>
      <c r="F49" s="20" t="n">
        <v>1.72225373</v>
      </c>
      <c r="G49" s="18" t="n">
        <v>26.48111234</v>
      </c>
      <c r="H49" s="20" t="n">
        <v>1.96216368</v>
      </c>
      <c r="I49" s="18" t="s">
        <v>567</v>
      </c>
      <c r="J49" s="20" t="s">
        <v>567</v>
      </c>
      <c r="K49" s="18" t="n">
        <v>5.81870184</v>
      </c>
      <c r="L49" s="20" t="n">
        <v>1.00991542</v>
      </c>
      <c r="M49" s="18" t="n">
        <v>0</v>
      </c>
      <c r="N49" s="20" t="n">
        <v>0</v>
      </c>
      <c r="O49" s="18" t="n">
        <v>0</v>
      </c>
      <c r="P49" s="20" t="n">
        <v>0</v>
      </c>
      <c r="Q49" s="18" t="n">
        <v>23.41122313</v>
      </c>
      <c r="R49" s="20" t="n">
        <v>1.7561215</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(1847.0/B55*100)</f>
        <v/>
      </c>
      <c r="D55" s="19" t="n">
        <v>912</v>
      </c>
      <c r="E55" s="18" t="n">
        <v>27.45458428</v>
      </c>
      <c r="F55" s="20" t="n">
        <v>1.7551943</v>
      </c>
      <c r="G55" s="18" t="n">
        <v>15.51802226</v>
      </c>
      <c r="H55" s="20" t="n">
        <v>1.36118867</v>
      </c>
      <c r="I55" s="18" t="s">
        <v>567</v>
      </c>
      <c r="J55" s="20" t="s">
        <v>567</v>
      </c>
      <c r="K55" s="18" t="n">
        <v>6.0304403</v>
      </c>
      <c r="L55" s="20" t="n">
        <v>0.76128807</v>
      </c>
      <c r="M55" s="18" t="n">
        <v>0.48334781</v>
      </c>
      <c r="N55" s="20" t="n">
        <v>0.23632941</v>
      </c>
      <c r="O55" s="18" t="n">
        <v>0</v>
      </c>
      <c r="P55" s="20" t="n">
        <v>0</v>
      </c>
      <c r="Q55" s="18" t="n">
        <v>50.51360535</v>
      </c>
      <c r="R55" s="20" t="n">
        <v>1.9561294</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76.71896768000001</v>
      </c>
      <c r="F57" s="20" t="n">
        <v>1.31481869</v>
      </c>
      <c r="G57" s="18" t="n">
        <v>13.49883298</v>
      </c>
      <c r="H57" s="20" t="n">
        <v>1.06449437</v>
      </c>
      <c r="I57" s="18" t="s">
        <v>567</v>
      </c>
      <c r="J57" s="20" t="s">
        <v>567</v>
      </c>
      <c r="K57" s="18" t="n">
        <v>2.62856345</v>
      </c>
      <c r="L57" s="20" t="n">
        <v>0.60579012</v>
      </c>
      <c r="M57" s="18" t="n">
        <v>0</v>
      </c>
      <c r="N57" s="20" t="n">
        <v>0</v>
      </c>
      <c r="O57" s="18" t="n">
        <v>0</v>
      </c>
      <c r="P57" s="20" t="n">
        <v>0</v>
      </c>
      <c r="Q57" s="18" t="n">
        <v>7.15363589</v>
      </c>
      <c r="R57" s="20" t="n">
        <v>0.89312744</v>
      </c>
    </row>
    <row r="58" spans="1:18">
      <c r="A58" s="15" t="s">
        <v>618</v>
      </c>
      <c r="B58" s="17" t="n">
        <v>3530</v>
      </c>
      <c r="C58" s="18">
        <f>(2350.0/B58*100)</f>
        <v/>
      </c>
      <c r="D58" s="19" t="n">
        <v>1180</v>
      </c>
      <c r="E58" s="18" t="n">
        <v>50.79031813</v>
      </c>
      <c r="F58" s="20" t="n">
        <v>1.71236202</v>
      </c>
      <c r="G58" s="18" t="n">
        <v>22.88516393</v>
      </c>
      <c r="H58" s="20" t="n">
        <v>1.72376734</v>
      </c>
      <c r="I58" s="18" t="s">
        <v>567</v>
      </c>
      <c r="J58" s="20" t="s">
        <v>567</v>
      </c>
      <c r="K58" s="18" t="n">
        <v>5.0977835</v>
      </c>
      <c r="L58" s="20" t="n">
        <v>1.1133952</v>
      </c>
      <c r="M58" s="18" t="n">
        <v>0</v>
      </c>
      <c r="N58" s="20" t="n">
        <v>0</v>
      </c>
      <c r="O58" s="18" t="n">
        <v>0</v>
      </c>
      <c r="P58" s="20" t="n">
        <v>0</v>
      </c>
      <c r="Q58" s="18" t="n">
        <v>21.22673444</v>
      </c>
      <c r="R58" s="20" t="n">
        <v>1.50717889</v>
      </c>
    </row>
    <row r="59" spans="1:18">
      <c r="A59" s="15" t="s">
        <v>619</v>
      </c>
      <c r="B59" s="17" t="n">
        <v>2548</v>
      </c>
      <c r="C59" s="18">
        <f>(1720.0/B59*100)</f>
        <v/>
      </c>
      <c r="D59" s="19" t="n">
        <v>828</v>
      </c>
      <c r="E59" s="18" t="n">
        <v>51.88753065</v>
      </c>
      <c r="F59" s="20" t="n">
        <v>2.24748144</v>
      </c>
      <c r="G59" s="18" t="n">
        <v>9.52052911</v>
      </c>
      <c r="H59" s="20" t="n">
        <v>1.42717087</v>
      </c>
      <c r="I59" s="18" t="s">
        <v>567</v>
      </c>
      <c r="J59" s="20" t="s">
        <v>567</v>
      </c>
      <c r="K59" s="18" t="n">
        <v>1.75751965</v>
      </c>
      <c r="L59" s="20" t="n">
        <v>0.40379742</v>
      </c>
      <c r="M59" s="18" t="n">
        <v>0</v>
      </c>
      <c r="N59" s="20" t="n">
        <v>0</v>
      </c>
      <c r="O59" s="18" t="n">
        <v>0.08617395999999999</v>
      </c>
      <c r="P59" s="20" t="n">
        <v>0.08620793</v>
      </c>
      <c r="Q59" s="18" t="n">
        <v>36.74824663</v>
      </c>
      <c r="R59" s="20" t="n">
        <v>1.98089812</v>
      </c>
    </row>
    <row r="60" spans="1:18">
      <c r="A60" s="15" t="s">
        <v>620</v>
      </c>
      <c r="B60" s="17" t="n">
        <v>2095</v>
      </c>
      <c r="C60" s="18">
        <f>(1387.0/B60*100)</f>
        <v/>
      </c>
      <c r="D60" s="19" t="n">
        <v>708</v>
      </c>
      <c r="E60" s="18" t="n">
        <v>48.61310225</v>
      </c>
      <c r="F60" s="20" t="n">
        <v>2.18696965</v>
      </c>
      <c r="G60" s="18" t="n">
        <v>12.72860034</v>
      </c>
      <c r="H60" s="20" t="n">
        <v>1.46955272</v>
      </c>
      <c r="I60" s="18" t="s">
        <v>567</v>
      </c>
      <c r="J60" s="20" t="s">
        <v>567</v>
      </c>
      <c r="K60" s="18" t="n">
        <v>9.593099309999999</v>
      </c>
      <c r="L60" s="20" t="n">
        <v>1.38116192</v>
      </c>
      <c r="M60" s="18" t="n">
        <v>0</v>
      </c>
      <c r="N60" s="20" t="n">
        <v>0</v>
      </c>
      <c r="O60" s="18" t="n">
        <v>0</v>
      </c>
      <c r="P60" s="20" t="n">
        <v>0</v>
      </c>
      <c r="Q60" s="18" t="n">
        <v>29.06519811</v>
      </c>
      <c r="R60" s="20" t="n">
        <v>2.23640943</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(1864.0/B63*100)</f>
        <v/>
      </c>
      <c r="D63" s="19" t="n">
        <v>949</v>
      </c>
      <c r="E63" s="18" t="n">
        <v>26.66461007</v>
      </c>
      <c r="F63" s="20" t="n">
        <v>1.41535816</v>
      </c>
      <c r="G63" s="18" t="n">
        <v>11.13805853</v>
      </c>
      <c r="H63" s="20" t="n">
        <v>0.97623669</v>
      </c>
      <c r="I63" s="18" t="s">
        <v>567</v>
      </c>
      <c r="J63" s="20" t="s">
        <v>567</v>
      </c>
      <c r="K63" s="18" t="n">
        <v>8.34034939</v>
      </c>
      <c r="L63" s="20" t="n">
        <v>0.87448203</v>
      </c>
      <c r="M63" s="18" t="n">
        <v>0</v>
      </c>
      <c r="N63" s="20" t="n">
        <v>0</v>
      </c>
      <c r="O63" s="18" t="n">
        <v>0</v>
      </c>
      <c r="P63" s="20" t="n">
        <v>0</v>
      </c>
      <c r="Q63" s="18" t="n">
        <v>53.85698201</v>
      </c>
      <c r="R63" s="20" t="n">
        <v>1.6392328</v>
      </c>
    </row>
    <row r="64" spans="1:18">
      <c r="A64" s="15" t="s">
        <v>624</v>
      </c>
      <c r="B64" s="17" t="n">
        <v>1844</v>
      </c>
      <c r="C64" s="18">
        <f>(1240.0/B64*100)</f>
        <v/>
      </c>
      <c r="D64" s="19" t="n">
        <v>604</v>
      </c>
      <c r="E64" s="18" t="n">
        <v>34.57160166</v>
      </c>
      <c r="F64" s="20" t="n">
        <v>1.88984229</v>
      </c>
      <c r="G64" s="18" t="n">
        <v>35.14488476</v>
      </c>
      <c r="H64" s="20" t="n">
        <v>1.89974591</v>
      </c>
      <c r="I64" s="18" t="s">
        <v>567</v>
      </c>
      <c r="J64" s="20" t="s">
        <v>567</v>
      </c>
      <c r="K64" s="18" t="n">
        <v>6.36108146</v>
      </c>
      <c r="L64" s="20" t="n">
        <v>0.9494292</v>
      </c>
      <c r="M64" s="18" t="n">
        <v>0</v>
      </c>
      <c r="N64" s="20" t="n">
        <v>0</v>
      </c>
      <c r="O64" s="18" t="n">
        <v>0</v>
      </c>
      <c r="P64" s="20" t="n">
        <v>0</v>
      </c>
      <c r="Q64" s="18" t="n">
        <v>23.92243213</v>
      </c>
      <c r="R64" s="20" t="n">
        <v>1.81724336</v>
      </c>
    </row>
    <row r="65" spans="1:18">
      <c r="A65" s="15" t="s">
        <v>625</v>
      </c>
      <c r="B65" s="17" t="n">
        <v>2691</v>
      </c>
      <c r="C65" s="18">
        <f>(1809.0/B65*100)</f>
        <v/>
      </c>
      <c r="D65" s="19" t="n">
        <v>882</v>
      </c>
      <c r="E65" s="18" t="n">
        <v>29.62466294</v>
      </c>
      <c r="F65" s="20" t="n">
        <v>1.83001892</v>
      </c>
      <c r="G65" s="18" t="n">
        <v>15.94155427</v>
      </c>
      <c r="H65" s="20" t="n">
        <v>1.26626978</v>
      </c>
      <c r="I65" s="18" t="s">
        <v>567</v>
      </c>
      <c r="J65" s="20" t="s">
        <v>567</v>
      </c>
      <c r="K65" s="18" t="n">
        <v>13.02057916</v>
      </c>
      <c r="L65" s="20" t="n">
        <v>1.21397083</v>
      </c>
      <c r="M65" s="18" t="n">
        <v>0</v>
      </c>
      <c r="N65" s="20" t="n">
        <v>0</v>
      </c>
      <c r="O65" s="18" t="n">
        <v>0</v>
      </c>
      <c r="P65" s="20" t="n">
        <v>0</v>
      </c>
      <c r="Q65" s="18" t="n">
        <v>41.41320362</v>
      </c>
      <c r="R65" s="20" t="n">
        <v>1.84129195</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(1609.0/B69*100)</f>
        <v/>
      </c>
      <c r="D69" s="19" t="n">
        <v>801</v>
      </c>
      <c r="E69" s="18" t="n">
        <v>68.91102323</v>
      </c>
      <c r="F69" s="20" t="n">
        <v>1.89826001</v>
      </c>
      <c r="G69" s="18" t="n">
        <v>29.97726829</v>
      </c>
      <c r="H69" s="20" t="n">
        <v>2.00573836</v>
      </c>
      <c r="I69" s="18" t="s">
        <v>567</v>
      </c>
      <c r="J69" s="20" t="s">
        <v>567</v>
      </c>
      <c r="K69" s="18" t="n">
        <v>0</v>
      </c>
      <c r="L69" s="20" t="n">
        <v>0</v>
      </c>
      <c r="M69" s="18" t="n">
        <v>0</v>
      </c>
      <c r="N69" s="20" t="n">
        <v>0</v>
      </c>
      <c r="O69" s="18" t="n">
        <v>0</v>
      </c>
      <c r="P69" s="20" t="n">
        <v>0</v>
      </c>
      <c r="Q69" s="18" t="n">
        <v>1.11170848</v>
      </c>
      <c r="R69" s="20" t="n">
        <v>0.47029083</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(1473.0/B74*100)</f>
        <v/>
      </c>
      <c r="D74" s="19" t="n">
        <v>766</v>
      </c>
      <c r="E74" s="18" t="n">
        <v>30.7078103</v>
      </c>
      <c r="F74" s="20" t="n">
        <v>1.76561953</v>
      </c>
      <c r="G74" s="18" t="n">
        <v>19.33081443</v>
      </c>
      <c r="H74" s="20" t="n">
        <v>1.28804001</v>
      </c>
      <c r="I74" s="18" t="s">
        <v>567</v>
      </c>
      <c r="J74" s="20" t="s">
        <v>567</v>
      </c>
      <c r="K74" s="18" t="n">
        <v>14.02799795</v>
      </c>
      <c r="L74" s="20" t="n">
        <v>1.36395797</v>
      </c>
      <c r="M74" s="18" t="n">
        <v>0</v>
      </c>
      <c r="N74" s="20" t="n">
        <v>0</v>
      </c>
      <c r="O74" s="18" t="n">
        <v>0</v>
      </c>
      <c r="P74" s="20" t="n">
        <v>0</v>
      </c>
      <c r="Q74" s="18" t="n">
        <v>35.93337732</v>
      </c>
      <c r="R74" s="20" t="n">
        <v>1.72526092</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60.6455417</v>
      </c>
      <c r="F78" s="20" t="n">
        <v>1.94809103</v>
      </c>
      <c r="G78" s="18" t="n">
        <v>36.62272563</v>
      </c>
      <c r="H78" s="20" t="n">
        <v>2.02726215</v>
      </c>
      <c r="I78" s="18" t="s">
        <v>567</v>
      </c>
      <c r="J78" s="20" t="s">
        <v>567</v>
      </c>
      <c r="K78" s="18" t="n">
        <v>0</v>
      </c>
      <c r="L78" s="20" t="n">
        <v>0</v>
      </c>
      <c r="M78" s="18" t="n">
        <v>0</v>
      </c>
      <c r="N78" s="20" t="n">
        <v>0</v>
      </c>
      <c r="O78" s="18" t="n">
        <v>0</v>
      </c>
      <c r="P78" s="20" t="n">
        <v>0</v>
      </c>
      <c r="Q78" s="18" t="n">
        <v>2.73173267</v>
      </c>
      <c r="R78" s="20" t="n">
        <v>0.70063682</v>
      </c>
    </row>
    <row customHeight="1" ht="25" r="79" spans="1:18">
      <c r="A79" s="15" t="s">
        <v>639</v>
      </c>
      <c r="B79" s="17" t="n">
        <v>787</v>
      </c>
      <c r="C79" s="18">
        <f>(528.0/B79*100)</f>
        <v/>
      </c>
      <c r="D79" s="19" t="n">
        <v>259</v>
      </c>
      <c r="E79" s="18" t="n">
        <v>30.92252781</v>
      </c>
      <c r="F79" s="20" t="n">
        <v>2.58662515</v>
      </c>
      <c r="G79" s="18" t="n">
        <v>42.33093597</v>
      </c>
      <c r="H79" s="20" t="n">
        <v>3.65065258</v>
      </c>
      <c r="I79" s="18" t="s">
        <v>567</v>
      </c>
      <c r="J79" s="20" t="s">
        <v>567</v>
      </c>
      <c r="K79" s="18" t="n">
        <v>8.32959922</v>
      </c>
      <c r="L79" s="20" t="n">
        <v>1.65038403</v>
      </c>
      <c r="M79" s="18" t="n">
        <v>0</v>
      </c>
      <c r="N79" s="20" t="n">
        <v>0</v>
      </c>
      <c r="O79" s="18" t="n">
        <v>0</v>
      </c>
      <c r="P79" s="20" t="n">
        <v>0</v>
      </c>
      <c r="Q79" s="18" t="n">
        <v>18.416937</v>
      </c>
      <c r="R79" s="20" t="n">
        <v>2.91466678</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(1689.0/B44*100)</f>
        <v/>
      </c>
      <c r="D44" s="19" t="n">
        <v>835</v>
      </c>
      <c r="E44" s="18" t="n">
        <v>0</v>
      </c>
      <c r="F44" s="20" t="n">
        <v>0</v>
      </c>
      <c r="G44" s="18" t="n">
        <v>0</v>
      </c>
      <c r="H44" s="20" t="n">
        <v>0</v>
      </c>
      <c r="I44" s="18" t="s">
        <v>567</v>
      </c>
      <c r="J44" s="20" t="s">
        <v>567</v>
      </c>
      <c r="K44" s="18" t="n">
        <v>0</v>
      </c>
      <c r="L44" s="20" t="n">
        <v>0</v>
      </c>
      <c r="M44" s="18" t="n">
        <v>100</v>
      </c>
      <c r="N44" s="20" t="n">
        <v>0</v>
      </c>
      <c r="O44" s="18" t="n">
        <v>0</v>
      </c>
      <c r="P44" s="20" t="n">
        <v>0</v>
      </c>
      <c r="Q44" s="18" t="n">
        <v>0</v>
      </c>
      <c r="R44" s="20" t="n">
        <v>0</v>
      </c>
    </row>
    <row r="45" spans="1:18">
      <c r="A45" s="15" t="s">
        <v>605</v>
      </c>
      <c r="B45" s="17" t="n">
        <v>2849</v>
      </c>
      <c r="C45" s="18">
        <f>(1880.0/B45*100)</f>
        <v/>
      </c>
      <c r="D45" s="19" t="n">
        <v>969</v>
      </c>
      <c r="E45" s="18" t="n">
        <v>0</v>
      </c>
      <c r="F45" s="20" t="n">
        <v>0</v>
      </c>
      <c r="G45" s="18" t="n">
        <v>0</v>
      </c>
      <c r="H45" s="20" t="n">
        <v>0</v>
      </c>
      <c r="I45" s="18" t="s">
        <v>567</v>
      </c>
      <c r="J45" s="20" t="s">
        <v>567</v>
      </c>
      <c r="K45" s="18" t="n">
        <v>0</v>
      </c>
      <c r="L45" s="20" t="n">
        <v>0</v>
      </c>
      <c r="M45" s="18" t="n">
        <v>100</v>
      </c>
      <c r="N45" s="20" t="n">
        <v>0</v>
      </c>
      <c r="O45" s="18" t="n">
        <v>0</v>
      </c>
      <c r="P45" s="20" t="n">
        <v>0</v>
      </c>
      <c r="Q45" s="18" t="n">
        <v>0</v>
      </c>
      <c r="R45" s="20" t="n">
        <v>0</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(1984.0/B49*100)</f>
        <v/>
      </c>
      <c r="D49" s="19" t="n">
        <v>1034</v>
      </c>
      <c r="E49" s="18" t="n">
        <v>0</v>
      </c>
      <c r="F49" s="20" t="n">
        <v>0</v>
      </c>
      <c r="G49" s="18" t="n">
        <v>0</v>
      </c>
      <c r="H49" s="20" t="n">
        <v>0</v>
      </c>
      <c r="I49" s="18" t="s">
        <v>567</v>
      </c>
      <c r="J49" s="20" t="s">
        <v>567</v>
      </c>
      <c r="K49" s="18" t="n">
        <v>0</v>
      </c>
      <c r="L49" s="20" t="n">
        <v>0</v>
      </c>
      <c r="M49" s="18" t="n">
        <v>100</v>
      </c>
      <c r="N49" s="20" t="n">
        <v>0</v>
      </c>
      <c r="O49" s="18" t="n">
        <v>0</v>
      </c>
      <c r="P49" s="20" t="n">
        <v>0</v>
      </c>
      <c r="Q49" s="18" t="n">
        <v>0</v>
      </c>
      <c r="R49" s="20" t="n">
        <v>0</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(1847.0/B55*100)</f>
        <v/>
      </c>
      <c r="D55" s="19" t="n">
        <v>912</v>
      </c>
      <c r="E55" s="18" t="n">
        <v>0</v>
      </c>
      <c r="F55" s="20" t="n">
        <v>0</v>
      </c>
      <c r="G55" s="18" t="n">
        <v>0</v>
      </c>
      <c r="H55" s="20" t="n">
        <v>0</v>
      </c>
      <c r="I55" s="18" t="s">
        <v>567</v>
      </c>
      <c r="J55" s="20" t="s">
        <v>567</v>
      </c>
      <c r="K55" s="18" t="n">
        <v>0</v>
      </c>
      <c r="L55" s="20" t="n">
        <v>0</v>
      </c>
      <c r="M55" s="18" t="n">
        <v>100</v>
      </c>
      <c r="N55" s="20" t="n">
        <v>0</v>
      </c>
      <c r="O55" s="18" t="n">
        <v>0</v>
      </c>
      <c r="P55" s="20" t="n">
        <v>0</v>
      </c>
      <c r="Q55" s="18" t="n">
        <v>0</v>
      </c>
      <c r="R55" s="20" t="n">
        <v>0</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0</v>
      </c>
      <c r="F57" s="20" t="n">
        <v>0</v>
      </c>
      <c r="G57" s="18" t="n">
        <v>0</v>
      </c>
      <c r="H57" s="20" t="n">
        <v>0</v>
      </c>
      <c r="I57" s="18" t="s">
        <v>567</v>
      </c>
      <c r="J57" s="20" t="s">
        <v>567</v>
      </c>
      <c r="K57" s="18" t="n">
        <v>0</v>
      </c>
      <c r="L57" s="20" t="n">
        <v>0</v>
      </c>
      <c r="M57" s="18" t="n">
        <v>100</v>
      </c>
      <c r="N57" s="20" t="n">
        <v>0</v>
      </c>
      <c r="O57" s="18" t="n">
        <v>0</v>
      </c>
      <c r="P57" s="20" t="n">
        <v>0</v>
      </c>
      <c r="Q57" s="18" t="n">
        <v>0</v>
      </c>
      <c r="R57" s="20" t="n">
        <v>0</v>
      </c>
    </row>
    <row r="58" spans="1:18">
      <c r="A58" s="15" t="s">
        <v>618</v>
      </c>
      <c r="B58" s="17" t="n">
        <v>3530</v>
      </c>
      <c r="C58" s="18">
        <f>(2350.0/B58*100)</f>
        <v/>
      </c>
      <c r="D58" s="19" t="n">
        <v>1180</v>
      </c>
      <c r="E58" s="18" t="n">
        <v>0</v>
      </c>
      <c r="F58" s="20" t="n">
        <v>0</v>
      </c>
      <c r="G58" s="18" t="n">
        <v>0</v>
      </c>
      <c r="H58" s="20" t="n">
        <v>0</v>
      </c>
      <c r="I58" s="18" t="s">
        <v>567</v>
      </c>
      <c r="J58" s="20" t="s">
        <v>567</v>
      </c>
      <c r="K58" s="18" t="n">
        <v>0</v>
      </c>
      <c r="L58" s="20" t="n">
        <v>0</v>
      </c>
      <c r="M58" s="18" t="n">
        <v>100</v>
      </c>
      <c r="N58" s="20" t="n">
        <v>0</v>
      </c>
      <c r="O58" s="18" t="n">
        <v>0</v>
      </c>
      <c r="P58" s="20" t="n">
        <v>0</v>
      </c>
      <c r="Q58" s="18" t="n">
        <v>0</v>
      </c>
      <c r="R58" s="20" t="n">
        <v>0</v>
      </c>
    </row>
    <row r="59" spans="1:18">
      <c r="A59" s="15" t="s">
        <v>619</v>
      </c>
      <c r="B59" s="17" t="n">
        <v>2548</v>
      </c>
      <c r="C59" s="18">
        <f>(1720.0/B59*100)</f>
        <v/>
      </c>
      <c r="D59" s="19" t="n">
        <v>828</v>
      </c>
      <c r="E59" s="18" t="n">
        <v>0</v>
      </c>
      <c r="F59" s="20" t="n">
        <v>0</v>
      </c>
      <c r="G59" s="18" t="n">
        <v>0</v>
      </c>
      <c r="H59" s="20" t="n">
        <v>0</v>
      </c>
      <c r="I59" s="18" t="s">
        <v>567</v>
      </c>
      <c r="J59" s="20" t="s">
        <v>567</v>
      </c>
      <c r="K59" s="18" t="n">
        <v>0</v>
      </c>
      <c r="L59" s="20" t="n">
        <v>0</v>
      </c>
      <c r="M59" s="18" t="n">
        <v>100</v>
      </c>
      <c r="N59" s="20" t="n">
        <v>0</v>
      </c>
      <c r="O59" s="18" t="n">
        <v>0</v>
      </c>
      <c r="P59" s="20" t="n">
        <v>0</v>
      </c>
      <c r="Q59" s="18" t="n">
        <v>0</v>
      </c>
      <c r="R59" s="20" t="n">
        <v>0</v>
      </c>
    </row>
    <row r="60" spans="1:18">
      <c r="A60" s="15" t="s">
        <v>620</v>
      </c>
      <c r="B60" s="17" t="n">
        <v>2095</v>
      </c>
      <c r="C60" s="18">
        <f>(1387.0/B60*100)</f>
        <v/>
      </c>
      <c r="D60" s="19" t="n">
        <v>708</v>
      </c>
      <c r="E60" s="18" t="n">
        <v>0</v>
      </c>
      <c r="F60" s="20" t="n">
        <v>0</v>
      </c>
      <c r="G60" s="18" t="n">
        <v>0</v>
      </c>
      <c r="H60" s="20" t="n">
        <v>0</v>
      </c>
      <c r="I60" s="18" t="s">
        <v>567</v>
      </c>
      <c r="J60" s="20" t="s">
        <v>567</v>
      </c>
      <c r="K60" s="18" t="n">
        <v>0</v>
      </c>
      <c r="L60" s="20" t="n">
        <v>0</v>
      </c>
      <c r="M60" s="18" t="n">
        <v>100</v>
      </c>
      <c r="N60" s="20" t="n">
        <v>0</v>
      </c>
      <c r="O60" s="18" t="n">
        <v>0</v>
      </c>
      <c r="P60" s="20" t="n">
        <v>0</v>
      </c>
      <c r="Q60" s="18" t="n">
        <v>0</v>
      </c>
      <c r="R60" s="20" t="n">
        <v>0</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(1864.0/B63*100)</f>
        <v/>
      </c>
      <c r="D63" s="19" t="n">
        <v>949</v>
      </c>
      <c r="E63" s="18" t="n">
        <v>0</v>
      </c>
      <c r="F63" s="20" t="n">
        <v>0</v>
      </c>
      <c r="G63" s="18" t="n">
        <v>0</v>
      </c>
      <c r="H63" s="20" t="n">
        <v>0</v>
      </c>
      <c r="I63" s="18" t="s">
        <v>567</v>
      </c>
      <c r="J63" s="20" t="s">
        <v>567</v>
      </c>
      <c r="K63" s="18" t="n">
        <v>0</v>
      </c>
      <c r="L63" s="20" t="n">
        <v>0</v>
      </c>
      <c r="M63" s="18" t="n">
        <v>100</v>
      </c>
      <c r="N63" s="20" t="n">
        <v>0</v>
      </c>
      <c r="O63" s="18" t="n">
        <v>0</v>
      </c>
      <c r="P63" s="20" t="n">
        <v>0</v>
      </c>
      <c r="Q63" s="18" t="n">
        <v>0</v>
      </c>
      <c r="R63" s="20" t="n">
        <v>0</v>
      </c>
    </row>
    <row r="64" spans="1:18">
      <c r="A64" s="15" t="s">
        <v>624</v>
      </c>
      <c r="B64" s="17" t="n">
        <v>1844</v>
      </c>
      <c r="C64" s="18">
        <f>(1240.0/B64*100)</f>
        <v/>
      </c>
      <c r="D64" s="19" t="n">
        <v>604</v>
      </c>
      <c r="E64" s="18" t="n">
        <v>0</v>
      </c>
      <c r="F64" s="20" t="n">
        <v>0</v>
      </c>
      <c r="G64" s="18" t="n">
        <v>0</v>
      </c>
      <c r="H64" s="20" t="n">
        <v>0</v>
      </c>
      <c r="I64" s="18" t="s">
        <v>567</v>
      </c>
      <c r="J64" s="20" t="s">
        <v>567</v>
      </c>
      <c r="K64" s="18" t="n">
        <v>0</v>
      </c>
      <c r="L64" s="20" t="n">
        <v>0</v>
      </c>
      <c r="M64" s="18" t="n">
        <v>100</v>
      </c>
      <c r="N64" s="20" t="n">
        <v>0</v>
      </c>
      <c r="O64" s="18" t="n">
        <v>0</v>
      </c>
      <c r="P64" s="20" t="n">
        <v>0</v>
      </c>
      <c r="Q64" s="18" t="n">
        <v>0</v>
      </c>
      <c r="R64" s="20" t="n">
        <v>0</v>
      </c>
    </row>
    <row r="65" spans="1:18">
      <c r="A65" s="15" t="s">
        <v>625</v>
      </c>
      <c r="B65" s="17" t="n">
        <v>2691</v>
      </c>
      <c r="C65" s="18">
        <f>(1809.0/B65*100)</f>
        <v/>
      </c>
      <c r="D65" s="19" t="n">
        <v>882</v>
      </c>
      <c r="E65" s="18" t="n">
        <v>0</v>
      </c>
      <c r="F65" s="20" t="n">
        <v>0</v>
      </c>
      <c r="G65" s="18" t="n">
        <v>0</v>
      </c>
      <c r="H65" s="20" t="n">
        <v>0</v>
      </c>
      <c r="I65" s="18" t="s">
        <v>567</v>
      </c>
      <c r="J65" s="20" t="s">
        <v>567</v>
      </c>
      <c r="K65" s="18" t="n">
        <v>0</v>
      </c>
      <c r="L65" s="20" t="n">
        <v>0</v>
      </c>
      <c r="M65" s="18" t="n">
        <v>100</v>
      </c>
      <c r="N65" s="20" t="n">
        <v>0</v>
      </c>
      <c r="O65" s="18" t="n">
        <v>0</v>
      </c>
      <c r="P65" s="20" t="n">
        <v>0</v>
      </c>
      <c r="Q65" s="18" t="n">
        <v>0</v>
      </c>
      <c r="R65" s="20" t="n">
        <v>0</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(1702.0/B69*100)</f>
        <v/>
      </c>
      <c r="D69" s="19" t="n">
        <v>708</v>
      </c>
      <c r="E69" s="18" t="n">
        <v>0</v>
      </c>
      <c r="F69" s="20" t="n">
        <v>0</v>
      </c>
      <c r="G69" s="18" t="n">
        <v>0</v>
      </c>
      <c r="H69" s="20" t="n">
        <v>0</v>
      </c>
      <c r="I69" s="18" t="s">
        <v>567</v>
      </c>
      <c r="J69" s="20" t="s">
        <v>567</v>
      </c>
      <c r="K69" s="18" t="n">
        <v>0</v>
      </c>
      <c r="L69" s="20" t="n">
        <v>0</v>
      </c>
      <c r="M69" s="18" t="n">
        <v>100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(1473.0/B74*100)</f>
        <v/>
      </c>
      <c r="D74" s="19" t="n">
        <v>766</v>
      </c>
      <c r="E74" s="18" t="n">
        <v>0</v>
      </c>
      <c r="F74" s="20" t="n">
        <v>0</v>
      </c>
      <c r="G74" s="18" t="n">
        <v>0</v>
      </c>
      <c r="H74" s="20" t="n">
        <v>0</v>
      </c>
      <c r="I74" s="18" t="s">
        <v>567</v>
      </c>
      <c r="J74" s="20" t="s">
        <v>567</v>
      </c>
      <c r="K74" s="18" t="n">
        <v>0</v>
      </c>
      <c r="L74" s="20" t="n">
        <v>0</v>
      </c>
      <c r="M74" s="18" t="n">
        <v>100</v>
      </c>
      <c r="N74" s="20" t="n">
        <v>0</v>
      </c>
      <c r="O74" s="18" t="n">
        <v>0</v>
      </c>
      <c r="P74" s="20" t="n">
        <v>0</v>
      </c>
      <c r="Q74" s="18" t="n">
        <v>0</v>
      </c>
      <c r="R74" s="20" t="n">
        <v>0</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0</v>
      </c>
      <c r="F78" s="20" t="n">
        <v>0</v>
      </c>
      <c r="G78" s="18" t="n">
        <v>0</v>
      </c>
      <c r="H78" s="20" t="n">
        <v>0</v>
      </c>
      <c r="I78" s="18" t="s">
        <v>567</v>
      </c>
      <c r="J78" s="20" t="s">
        <v>567</v>
      </c>
      <c r="K78" s="18" t="n">
        <v>0</v>
      </c>
      <c r="L78" s="20" t="n">
        <v>0</v>
      </c>
      <c r="M78" s="18" t="n">
        <v>100</v>
      </c>
      <c r="N78" s="20" t="n">
        <v>0</v>
      </c>
      <c r="O78" s="18" t="n">
        <v>0</v>
      </c>
      <c r="P78" s="20" t="n">
        <v>0</v>
      </c>
      <c r="Q78" s="18" t="n">
        <v>0</v>
      </c>
      <c r="R78" s="20" t="n">
        <v>0</v>
      </c>
    </row>
    <row customHeight="1" ht="25" r="79" spans="1:18">
      <c r="A79" s="15" t="s">
        <v>639</v>
      </c>
      <c r="B79" s="17" t="n">
        <v>787</v>
      </c>
      <c r="C79" s="18">
        <f>(528.0/B79*100)</f>
        <v/>
      </c>
      <c r="D79" s="19" t="n">
        <v>259</v>
      </c>
      <c r="E79" s="18" t="n">
        <v>0</v>
      </c>
      <c r="F79" s="20" t="n">
        <v>0</v>
      </c>
      <c r="G79" s="18" t="n">
        <v>0</v>
      </c>
      <c r="H79" s="20" t="n">
        <v>0</v>
      </c>
      <c r="I79" s="18" t="s">
        <v>567</v>
      </c>
      <c r="J79" s="20" t="s">
        <v>567</v>
      </c>
      <c r="K79" s="18" t="n">
        <v>0</v>
      </c>
      <c r="L79" s="20" t="n">
        <v>0</v>
      </c>
      <c r="M79" s="18" t="n">
        <v>100</v>
      </c>
      <c r="N79" s="20" t="n">
        <v>0</v>
      </c>
      <c r="O79" s="18" t="n">
        <v>0</v>
      </c>
      <c r="P79" s="20" t="n">
        <v>0</v>
      </c>
      <c r="Q79" s="18" t="n">
        <v>0</v>
      </c>
      <c r="R79" s="20" t="n">
        <v>0</v>
      </c>
    </row>
    <row r="80" spans="1:18">
      <c r="A80" s="15" t="s">
        <v>640</v>
      </c>
      <c r="B80" s="17" t="n">
        <v>3798</v>
      </c>
      <c r="C80" s="18">
        <f>(2536.0/B80*100)</f>
        <v/>
      </c>
      <c r="D80" s="19" t="n">
        <v>1262</v>
      </c>
      <c r="E80" s="18" t="n">
        <v>0</v>
      </c>
      <c r="F80" s="20" t="n">
        <v>0</v>
      </c>
      <c r="G80" s="18" t="n">
        <v>0</v>
      </c>
      <c r="H80" s="20" t="n">
        <v>0</v>
      </c>
      <c r="I80" s="18" t="s">
        <v>567</v>
      </c>
      <c r="J80" s="20" t="s">
        <v>567</v>
      </c>
      <c r="K80" s="18" t="n">
        <v>0</v>
      </c>
      <c r="L80" s="20" t="n">
        <v>0</v>
      </c>
      <c r="M80" s="18" t="n">
        <v>100</v>
      </c>
      <c r="N80" s="20" t="n">
        <v>0</v>
      </c>
      <c r="O80" s="18" t="n">
        <v>0</v>
      </c>
      <c r="P80" s="20" t="n">
        <v>0</v>
      </c>
      <c r="Q80" s="18" t="n">
        <v>0</v>
      </c>
      <c r="R80" s="20" t="n">
        <v>0</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(1689.0/B44*100)</f>
        <v/>
      </c>
      <c r="D44" s="19" t="n">
        <v>835</v>
      </c>
      <c r="E44" s="18" t="n">
        <v>0</v>
      </c>
      <c r="F44" s="20" t="n">
        <v>0</v>
      </c>
      <c r="G44" s="18" t="n">
        <v>0</v>
      </c>
      <c r="H44" s="20" t="n">
        <v>0</v>
      </c>
      <c r="I44" s="18" t="s">
        <v>567</v>
      </c>
      <c r="J44" s="20" t="s">
        <v>567</v>
      </c>
      <c r="K44" s="18" t="n">
        <v>0</v>
      </c>
      <c r="L44" s="20" t="n">
        <v>0</v>
      </c>
      <c r="M44" s="18" t="n">
        <v>100</v>
      </c>
      <c r="N44" s="20" t="n">
        <v>0</v>
      </c>
      <c r="O44" s="18" t="n">
        <v>0</v>
      </c>
      <c r="P44" s="20" t="n">
        <v>0</v>
      </c>
      <c r="Q44" s="18" t="n">
        <v>0</v>
      </c>
      <c r="R44" s="20" t="n">
        <v>0</v>
      </c>
    </row>
    <row r="45" spans="1:18">
      <c r="A45" s="15" t="s">
        <v>605</v>
      </c>
      <c r="B45" s="17" t="n">
        <v>2849</v>
      </c>
      <c r="C45" s="18">
        <f>(1880.0/B45*100)</f>
        <v/>
      </c>
      <c r="D45" s="19" t="n">
        <v>969</v>
      </c>
      <c r="E45" s="18" t="n">
        <v>0</v>
      </c>
      <c r="F45" s="20" t="n">
        <v>0</v>
      </c>
      <c r="G45" s="18" t="n">
        <v>0</v>
      </c>
      <c r="H45" s="20" t="n">
        <v>0</v>
      </c>
      <c r="I45" s="18" t="s">
        <v>567</v>
      </c>
      <c r="J45" s="20" t="s">
        <v>567</v>
      </c>
      <c r="K45" s="18" t="n">
        <v>0</v>
      </c>
      <c r="L45" s="20" t="n">
        <v>0</v>
      </c>
      <c r="M45" s="18" t="n">
        <v>100</v>
      </c>
      <c r="N45" s="20" t="n">
        <v>0</v>
      </c>
      <c r="O45" s="18" t="n">
        <v>0</v>
      </c>
      <c r="P45" s="20" t="n">
        <v>0</v>
      </c>
      <c r="Q45" s="18" t="n">
        <v>0</v>
      </c>
      <c r="R45" s="20" t="n">
        <v>0</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(1984.0/B49*100)</f>
        <v/>
      </c>
      <c r="D49" s="19" t="n">
        <v>1034</v>
      </c>
      <c r="E49" s="18" t="n">
        <v>0</v>
      </c>
      <c r="F49" s="20" t="n">
        <v>0</v>
      </c>
      <c r="G49" s="18" t="n">
        <v>0</v>
      </c>
      <c r="H49" s="20" t="n">
        <v>0</v>
      </c>
      <c r="I49" s="18" t="s">
        <v>567</v>
      </c>
      <c r="J49" s="20" t="s">
        <v>567</v>
      </c>
      <c r="K49" s="18" t="n">
        <v>0</v>
      </c>
      <c r="L49" s="20" t="n">
        <v>0</v>
      </c>
      <c r="M49" s="18" t="n">
        <v>100</v>
      </c>
      <c r="N49" s="20" t="n">
        <v>0</v>
      </c>
      <c r="O49" s="18" t="n">
        <v>0</v>
      </c>
      <c r="P49" s="20" t="n">
        <v>0</v>
      </c>
      <c r="Q49" s="18" t="n">
        <v>0</v>
      </c>
      <c r="R49" s="20" t="n">
        <v>0</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(1847.0/B55*100)</f>
        <v/>
      </c>
      <c r="D55" s="19" t="n">
        <v>912</v>
      </c>
      <c r="E55" s="18" t="n">
        <v>0</v>
      </c>
      <c r="F55" s="20" t="n">
        <v>0</v>
      </c>
      <c r="G55" s="18" t="n">
        <v>0</v>
      </c>
      <c r="H55" s="20" t="n">
        <v>0</v>
      </c>
      <c r="I55" s="18" t="s">
        <v>567</v>
      </c>
      <c r="J55" s="20" t="s">
        <v>567</v>
      </c>
      <c r="K55" s="18" t="n">
        <v>0</v>
      </c>
      <c r="L55" s="20" t="n">
        <v>0</v>
      </c>
      <c r="M55" s="18" t="n">
        <v>100</v>
      </c>
      <c r="N55" s="20" t="n">
        <v>0</v>
      </c>
      <c r="O55" s="18" t="n">
        <v>0</v>
      </c>
      <c r="P55" s="20" t="n">
        <v>0</v>
      </c>
      <c r="Q55" s="18" t="n">
        <v>0</v>
      </c>
      <c r="R55" s="20" t="n">
        <v>0</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0</v>
      </c>
      <c r="F57" s="20" t="n">
        <v>0</v>
      </c>
      <c r="G57" s="18" t="n">
        <v>0</v>
      </c>
      <c r="H57" s="20" t="n">
        <v>0</v>
      </c>
      <c r="I57" s="18" t="s">
        <v>567</v>
      </c>
      <c r="J57" s="20" t="s">
        <v>567</v>
      </c>
      <c r="K57" s="18" t="n">
        <v>0</v>
      </c>
      <c r="L57" s="20" t="n">
        <v>0</v>
      </c>
      <c r="M57" s="18" t="n">
        <v>100</v>
      </c>
      <c r="N57" s="20" t="n">
        <v>0</v>
      </c>
      <c r="O57" s="18" t="n">
        <v>0</v>
      </c>
      <c r="P57" s="20" t="n">
        <v>0</v>
      </c>
      <c r="Q57" s="18" t="n">
        <v>0</v>
      </c>
      <c r="R57" s="20" t="n">
        <v>0</v>
      </c>
    </row>
    <row r="58" spans="1:18">
      <c r="A58" s="15" t="s">
        <v>618</v>
      </c>
      <c r="B58" s="17" t="n">
        <v>3530</v>
      </c>
      <c r="C58" s="18">
        <f>(2350.0/B58*100)</f>
        <v/>
      </c>
      <c r="D58" s="19" t="n">
        <v>1180</v>
      </c>
      <c r="E58" s="18" t="n">
        <v>0</v>
      </c>
      <c r="F58" s="20" t="n">
        <v>0</v>
      </c>
      <c r="G58" s="18" t="n">
        <v>0</v>
      </c>
      <c r="H58" s="20" t="n">
        <v>0</v>
      </c>
      <c r="I58" s="18" t="s">
        <v>567</v>
      </c>
      <c r="J58" s="20" t="s">
        <v>567</v>
      </c>
      <c r="K58" s="18" t="n">
        <v>0</v>
      </c>
      <c r="L58" s="20" t="n">
        <v>0</v>
      </c>
      <c r="M58" s="18" t="n">
        <v>100</v>
      </c>
      <c r="N58" s="20" t="n">
        <v>0</v>
      </c>
      <c r="O58" s="18" t="n">
        <v>0</v>
      </c>
      <c r="P58" s="20" t="n">
        <v>0</v>
      </c>
      <c r="Q58" s="18" t="n">
        <v>0</v>
      </c>
      <c r="R58" s="20" t="n">
        <v>0</v>
      </c>
    </row>
    <row r="59" spans="1:18">
      <c r="A59" s="15" t="s">
        <v>619</v>
      </c>
      <c r="B59" s="17" t="n">
        <v>2548</v>
      </c>
      <c r="C59" s="18">
        <f>(1720.0/B59*100)</f>
        <v/>
      </c>
      <c r="D59" s="19" t="n">
        <v>828</v>
      </c>
      <c r="E59" s="18" t="n">
        <v>0</v>
      </c>
      <c r="F59" s="20" t="n">
        <v>0</v>
      </c>
      <c r="G59" s="18" t="n">
        <v>0</v>
      </c>
      <c r="H59" s="20" t="n">
        <v>0</v>
      </c>
      <c r="I59" s="18" t="s">
        <v>567</v>
      </c>
      <c r="J59" s="20" t="s">
        <v>567</v>
      </c>
      <c r="K59" s="18" t="n">
        <v>0</v>
      </c>
      <c r="L59" s="20" t="n">
        <v>0</v>
      </c>
      <c r="M59" s="18" t="n">
        <v>100</v>
      </c>
      <c r="N59" s="20" t="n">
        <v>0</v>
      </c>
      <c r="O59" s="18" t="n">
        <v>0</v>
      </c>
      <c r="P59" s="20" t="n">
        <v>0</v>
      </c>
      <c r="Q59" s="18" t="n">
        <v>0</v>
      </c>
      <c r="R59" s="20" t="n">
        <v>0</v>
      </c>
    </row>
    <row r="60" spans="1:18">
      <c r="A60" s="15" t="s">
        <v>620</v>
      </c>
      <c r="B60" s="17" t="n">
        <v>2095</v>
      </c>
      <c r="C60" s="18">
        <f>(1387.0/B60*100)</f>
        <v/>
      </c>
      <c r="D60" s="19" t="n">
        <v>708</v>
      </c>
      <c r="E60" s="18" t="n">
        <v>0</v>
      </c>
      <c r="F60" s="20" t="n">
        <v>0</v>
      </c>
      <c r="G60" s="18" t="n">
        <v>0</v>
      </c>
      <c r="H60" s="20" t="n">
        <v>0</v>
      </c>
      <c r="I60" s="18" t="s">
        <v>567</v>
      </c>
      <c r="J60" s="20" t="s">
        <v>567</v>
      </c>
      <c r="K60" s="18" t="n">
        <v>0</v>
      </c>
      <c r="L60" s="20" t="n">
        <v>0</v>
      </c>
      <c r="M60" s="18" t="n">
        <v>100</v>
      </c>
      <c r="N60" s="20" t="n">
        <v>0</v>
      </c>
      <c r="O60" s="18" t="n">
        <v>0</v>
      </c>
      <c r="P60" s="20" t="n">
        <v>0</v>
      </c>
      <c r="Q60" s="18" t="n">
        <v>0</v>
      </c>
      <c r="R60" s="20" t="n">
        <v>0</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(1864.0/B63*100)</f>
        <v/>
      </c>
      <c r="D63" s="19" t="n">
        <v>949</v>
      </c>
      <c r="E63" s="18" t="n">
        <v>0</v>
      </c>
      <c r="F63" s="20" t="n">
        <v>0</v>
      </c>
      <c r="G63" s="18" t="n">
        <v>0</v>
      </c>
      <c r="H63" s="20" t="n">
        <v>0</v>
      </c>
      <c r="I63" s="18" t="s">
        <v>567</v>
      </c>
      <c r="J63" s="20" t="s">
        <v>567</v>
      </c>
      <c r="K63" s="18" t="n">
        <v>0</v>
      </c>
      <c r="L63" s="20" t="n">
        <v>0</v>
      </c>
      <c r="M63" s="18" t="n">
        <v>100</v>
      </c>
      <c r="N63" s="20" t="n">
        <v>0</v>
      </c>
      <c r="O63" s="18" t="n">
        <v>0</v>
      </c>
      <c r="P63" s="20" t="n">
        <v>0</v>
      </c>
      <c r="Q63" s="18" t="n">
        <v>0</v>
      </c>
      <c r="R63" s="20" t="n">
        <v>0</v>
      </c>
    </row>
    <row r="64" spans="1:18">
      <c r="A64" s="15" t="s">
        <v>624</v>
      </c>
      <c r="B64" s="17" t="n">
        <v>1844</v>
      </c>
      <c r="C64" s="18">
        <f>(1240.0/B64*100)</f>
        <v/>
      </c>
      <c r="D64" s="19" t="n">
        <v>604</v>
      </c>
      <c r="E64" s="18" t="n">
        <v>0</v>
      </c>
      <c r="F64" s="20" t="n">
        <v>0</v>
      </c>
      <c r="G64" s="18" t="n">
        <v>0</v>
      </c>
      <c r="H64" s="20" t="n">
        <v>0</v>
      </c>
      <c r="I64" s="18" t="s">
        <v>567</v>
      </c>
      <c r="J64" s="20" t="s">
        <v>567</v>
      </c>
      <c r="K64" s="18" t="n">
        <v>0</v>
      </c>
      <c r="L64" s="20" t="n">
        <v>0</v>
      </c>
      <c r="M64" s="18" t="n">
        <v>100</v>
      </c>
      <c r="N64" s="20" t="n">
        <v>0</v>
      </c>
      <c r="O64" s="18" t="n">
        <v>0</v>
      </c>
      <c r="P64" s="20" t="n">
        <v>0</v>
      </c>
      <c r="Q64" s="18" t="n">
        <v>0</v>
      </c>
      <c r="R64" s="20" t="n">
        <v>0</v>
      </c>
    </row>
    <row r="65" spans="1:18">
      <c r="A65" s="15" t="s">
        <v>625</v>
      </c>
      <c r="B65" s="17" t="n">
        <v>2691</v>
      </c>
      <c r="C65" s="18">
        <f>(1809.0/B65*100)</f>
        <v/>
      </c>
      <c r="D65" s="19" t="n">
        <v>882</v>
      </c>
      <c r="E65" s="18" t="n">
        <v>0</v>
      </c>
      <c r="F65" s="20" t="n">
        <v>0</v>
      </c>
      <c r="G65" s="18" t="n">
        <v>0</v>
      </c>
      <c r="H65" s="20" t="n">
        <v>0</v>
      </c>
      <c r="I65" s="18" t="s">
        <v>567</v>
      </c>
      <c r="J65" s="20" t="s">
        <v>567</v>
      </c>
      <c r="K65" s="18" t="n">
        <v>0</v>
      </c>
      <c r="L65" s="20" t="n">
        <v>0</v>
      </c>
      <c r="M65" s="18" t="n">
        <v>100</v>
      </c>
      <c r="N65" s="20" t="n">
        <v>0</v>
      </c>
      <c r="O65" s="18" t="n">
        <v>0</v>
      </c>
      <c r="P65" s="20" t="n">
        <v>0</v>
      </c>
      <c r="Q65" s="18" t="n">
        <v>0</v>
      </c>
      <c r="R65" s="20" t="n">
        <v>0</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(1701.0/B69*100)</f>
        <v/>
      </c>
      <c r="D69" s="19" t="n">
        <v>709</v>
      </c>
      <c r="E69" s="18" t="n">
        <v>0</v>
      </c>
      <c r="F69" s="20" t="n">
        <v>0</v>
      </c>
      <c r="G69" s="18" t="n">
        <v>0</v>
      </c>
      <c r="H69" s="20" t="n">
        <v>0</v>
      </c>
      <c r="I69" s="18" t="s">
        <v>567</v>
      </c>
      <c r="J69" s="20" t="s">
        <v>567</v>
      </c>
      <c r="K69" s="18" t="n">
        <v>0</v>
      </c>
      <c r="L69" s="20" t="n">
        <v>0</v>
      </c>
      <c r="M69" s="18" t="n">
        <v>100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(1473.0/B74*100)</f>
        <v/>
      </c>
      <c r="D74" s="19" t="n">
        <v>766</v>
      </c>
      <c r="E74" s="18" t="n">
        <v>0</v>
      </c>
      <c r="F74" s="20" t="n">
        <v>0</v>
      </c>
      <c r="G74" s="18" t="n">
        <v>0</v>
      </c>
      <c r="H74" s="20" t="n">
        <v>0</v>
      </c>
      <c r="I74" s="18" t="s">
        <v>567</v>
      </c>
      <c r="J74" s="20" t="s">
        <v>567</v>
      </c>
      <c r="K74" s="18" t="n">
        <v>0</v>
      </c>
      <c r="L74" s="20" t="n">
        <v>0</v>
      </c>
      <c r="M74" s="18" t="n">
        <v>100</v>
      </c>
      <c r="N74" s="20" t="n">
        <v>0</v>
      </c>
      <c r="O74" s="18" t="n">
        <v>0</v>
      </c>
      <c r="P74" s="20" t="n">
        <v>0</v>
      </c>
      <c r="Q74" s="18" t="n">
        <v>0</v>
      </c>
      <c r="R74" s="20" t="n">
        <v>0</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0</v>
      </c>
      <c r="F78" s="20" t="n">
        <v>0</v>
      </c>
      <c r="G78" s="18" t="n">
        <v>0</v>
      </c>
      <c r="H78" s="20" t="n">
        <v>0</v>
      </c>
      <c r="I78" s="18" t="s">
        <v>567</v>
      </c>
      <c r="J78" s="20" t="s">
        <v>567</v>
      </c>
      <c r="K78" s="18" t="n">
        <v>0</v>
      </c>
      <c r="L78" s="20" t="n">
        <v>0</v>
      </c>
      <c r="M78" s="18" t="n">
        <v>100</v>
      </c>
      <c r="N78" s="20" t="n">
        <v>0</v>
      </c>
      <c r="O78" s="18" t="n">
        <v>0</v>
      </c>
      <c r="P78" s="20" t="n">
        <v>0</v>
      </c>
      <c r="Q78" s="18" t="n">
        <v>0</v>
      </c>
      <c r="R78" s="20" t="n">
        <v>0</v>
      </c>
    </row>
    <row customHeight="1" ht="25" r="79" spans="1:18">
      <c r="A79" s="15" t="s">
        <v>639</v>
      </c>
      <c r="B79" s="17" t="n">
        <v>787</v>
      </c>
      <c r="C79" s="18">
        <f>(528.0/B79*100)</f>
        <v/>
      </c>
      <c r="D79" s="19" t="n">
        <v>259</v>
      </c>
      <c r="E79" s="18" t="n">
        <v>0</v>
      </c>
      <c r="F79" s="20" t="n">
        <v>0</v>
      </c>
      <c r="G79" s="18" t="n">
        <v>0</v>
      </c>
      <c r="H79" s="20" t="n">
        <v>0</v>
      </c>
      <c r="I79" s="18" t="s">
        <v>567</v>
      </c>
      <c r="J79" s="20" t="s">
        <v>567</v>
      </c>
      <c r="K79" s="18" t="n">
        <v>0</v>
      </c>
      <c r="L79" s="20" t="n">
        <v>0</v>
      </c>
      <c r="M79" s="18" t="n">
        <v>100</v>
      </c>
      <c r="N79" s="20" t="n">
        <v>0</v>
      </c>
      <c r="O79" s="18" t="n">
        <v>0</v>
      </c>
      <c r="P79" s="20" t="n">
        <v>0</v>
      </c>
      <c r="Q79" s="18" t="n">
        <v>0</v>
      </c>
      <c r="R79" s="20" t="n">
        <v>0</v>
      </c>
    </row>
    <row r="80" spans="1:18">
      <c r="A80" s="15" t="s">
        <v>640</v>
      </c>
      <c r="B80" s="17" t="n">
        <v>3798</v>
      </c>
      <c r="C80" s="18">
        <f>(2536.0/B80*100)</f>
        <v/>
      </c>
      <c r="D80" s="19" t="n">
        <v>1262</v>
      </c>
      <c r="E80" s="18" t="n">
        <v>0</v>
      </c>
      <c r="F80" s="20" t="n">
        <v>0</v>
      </c>
      <c r="G80" s="18" t="n">
        <v>0</v>
      </c>
      <c r="H80" s="20" t="n">
        <v>0</v>
      </c>
      <c r="I80" s="18" t="s">
        <v>567</v>
      </c>
      <c r="J80" s="20" t="s">
        <v>567</v>
      </c>
      <c r="K80" s="18" t="n">
        <v>0</v>
      </c>
      <c r="L80" s="20" t="n">
        <v>0</v>
      </c>
      <c r="M80" s="18" t="n">
        <v>100</v>
      </c>
      <c r="N80" s="20" t="n">
        <v>0</v>
      </c>
      <c r="O80" s="18" t="n">
        <v>0</v>
      </c>
      <c r="P80" s="20" t="n">
        <v>0</v>
      </c>
      <c r="Q80" s="18" t="n">
        <v>0</v>
      </c>
      <c r="R80" s="20" t="n">
        <v>0</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916</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(1689.0/B44*100)</f>
        <v/>
      </c>
      <c r="D44" s="19" t="n">
        <v>835</v>
      </c>
      <c r="E44" s="18" t="n">
        <v>36.730727</v>
      </c>
      <c r="F44" s="20" t="n">
        <v>2.03738252</v>
      </c>
      <c r="G44" s="18" t="n">
        <v>41.38579129</v>
      </c>
      <c r="H44" s="20" t="n">
        <v>2.25923145</v>
      </c>
      <c r="I44" s="18" t="s">
        <v>567</v>
      </c>
      <c r="J44" s="20" t="s">
        <v>567</v>
      </c>
      <c r="K44" s="18" t="n">
        <v>12.48921523</v>
      </c>
      <c r="L44" s="20" t="n">
        <v>1.30186945</v>
      </c>
      <c r="M44" s="18" t="n">
        <v>0</v>
      </c>
      <c r="N44" s="20" t="n">
        <v>0</v>
      </c>
      <c r="O44" s="18" t="n">
        <v>0.19002918</v>
      </c>
      <c r="P44" s="20" t="n">
        <v>0.13333115</v>
      </c>
      <c r="Q44" s="18" t="n">
        <v>9.20423731</v>
      </c>
      <c r="R44" s="20" t="n">
        <v>1.2999946</v>
      </c>
    </row>
    <row r="45" spans="1:18">
      <c r="A45" s="15" t="s">
        <v>605</v>
      </c>
      <c r="B45" s="17" t="n">
        <v>2849</v>
      </c>
      <c r="C45" s="18">
        <f>(1880.0/B45*100)</f>
        <v/>
      </c>
      <c r="D45" s="19" t="n">
        <v>969</v>
      </c>
      <c r="E45" s="18" t="n">
        <v>45.3801319</v>
      </c>
      <c r="F45" s="20" t="n">
        <v>1.92588153</v>
      </c>
      <c r="G45" s="18" t="n">
        <v>35.21012601</v>
      </c>
      <c r="H45" s="20" t="n">
        <v>1.939224</v>
      </c>
      <c r="I45" s="18" t="s">
        <v>567</v>
      </c>
      <c r="J45" s="20" t="s">
        <v>567</v>
      </c>
      <c r="K45" s="18" t="n">
        <v>11.50669118</v>
      </c>
      <c r="L45" s="20" t="n">
        <v>1.26452748</v>
      </c>
      <c r="M45" s="18" t="n">
        <v>0.68301933</v>
      </c>
      <c r="N45" s="20" t="n">
        <v>0.27188641</v>
      </c>
      <c r="O45" s="18" t="n">
        <v>2.56462373</v>
      </c>
      <c r="P45" s="20" t="n">
        <v>0.4966643</v>
      </c>
      <c r="Q45" s="18" t="n">
        <v>4.65540785</v>
      </c>
      <c r="R45" s="20" t="n">
        <v>0.78484623</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(1984.0/B49*100)</f>
        <v/>
      </c>
      <c r="D49" s="19" t="n">
        <v>1034</v>
      </c>
      <c r="E49" s="18" t="n">
        <v>32.41707926</v>
      </c>
      <c r="F49" s="20" t="n">
        <v>1.74473818</v>
      </c>
      <c r="G49" s="18" t="n">
        <v>58.71982194</v>
      </c>
      <c r="H49" s="20" t="n">
        <v>1.78384039</v>
      </c>
      <c r="I49" s="18" t="s">
        <v>567</v>
      </c>
      <c r="J49" s="20" t="s">
        <v>567</v>
      </c>
      <c r="K49" s="18" t="n">
        <v>7.19828833</v>
      </c>
      <c r="L49" s="20" t="n">
        <v>1.14944111</v>
      </c>
      <c r="M49" s="18" t="n">
        <v>0</v>
      </c>
      <c r="N49" s="20" t="n">
        <v>0</v>
      </c>
      <c r="O49" s="18" t="n">
        <v>0.5854035399999999</v>
      </c>
      <c r="P49" s="20" t="n">
        <v>0.25591319</v>
      </c>
      <c r="Q49" s="18" t="n">
        <v>1.07940693</v>
      </c>
      <c r="R49" s="20" t="n">
        <v>0.39551767</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(1847.0/B55*100)</f>
        <v/>
      </c>
      <c r="D55" s="19" t="n">
        <v>912</v>
      </c>
      <c r="E55" s="18" t="n">
        <v>44.62163193</v>
      </c>
      <c r="F55" s="20" t="n">
        <v>1.78930501</v>
      </c>
      <c r="G55" s="18" t="n">
        <v>45.7853075</v>
      </c>
      <c r="H55" s="20" t="n">
        <v>1.92701795</v>
      </c>
      <c r="I55" s="18" t="s">
        <v>567</v>
      </c>
      <c r="J55" s="20" t="s">
        <v>567</v>
      </c>
      <c r="K55" s="18" t="n">
        <v>6.37927586</v>
      </c>
      <c r="L55" s="20" t="n">
        <v>0.77699537</v>
      </c>
      <c r="M55" s="18" t="n">
        <v>0</v>
      </c>
      <c r="N55" s="20" t="n">
        <v>0</v>
      </c>
      <c r="O55" s="18" t="n">
        <v>0.36223914</v>
      </c>
      <c r="P55" s="20" t="n">
        <v>0.22536428</v>
      </c>
      <c r="Q55" s="18" t="n">
        <v>2.85154557</v>
      </c>
      <c r="R55" s="20" t="n">
        <v>0.5043032200000001</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46.4974893</v>
      </c>
      <c r="F57" s="20" t="n">
        <v>1.75869471</v>
      </c>
      <c r="G57" s="18" t="n">
        <v>49.76538242</v>
      </c>
      <c r="H57" s="20" t="n">
        <v>1.73877118</v>
      </c>
      <c r="I57" s="18" t="s">
        <v>567</v>
      </c>
      <c r="J57" s="20" t="s">
        <v>567</v>
      </c>
      <c r="K57" s="18" t="n">
        <v>2.8016184</v>
      </c>
      <c r="L57" s="20" t="n">
        <v>0.58087609</v>
      </c>
      <c r="M57" s="18" t="n">
        <v>0</v>
      </c>
      <c r="N57" s="20" t="n">
        <v>0</v>
      </c>
      <c r="O57" s="18" t="n">
        <v>0</v>
      </c>
      <c r="P57" s="20" t="n">
        <v>0</v>
      </c>
      <c r="Q57" s="18" t="n">
        <v>0.93550988</v>
      </c>
      <c r="R57" s="20" t="n">
        <v>0.2748023</v>
      </c>
    </row>
    <row r="58" spans="1:18">
      <c r="A58" s="15" t="s">
        <v>618</v>
      </c>
      <c r="B58" s="17" t="n">
        <v>3530</v>
      </c>
      <c r="C58" s="18">
        <f>(2350.0/B58*100)</f>
        <v/>
      </c>
      <c r="D58" s="19" t="n">
        <v>1180</v>
      </c>
      <c r="E58" s="18" t="n">
        <v>47.38721248</v>
      </c>
      <c r="F58" s="20" t="n">
        <v>1.82873827</v>
      </c>
      <c r="G58" s="18" t="n">
        <v>42.8746778</v>
      </c>
      <c r="H58" s="20" t="n">
        <v>1.81979049</v>
      </c>
      <c r="I58" s="18" t="s">
        <v>567</v>
      </c>
      <c r="J58" s="20" t="s">
        <v>567</v>
      </c>
      <c r="K58" s="18" t="n">
        <v>5.82399444</v>
      </c>
      <c r="L58" s="20" t="n">
        <v>1.1329424</v>
      </c>
      <c r="M58" s="18" t="n">
        <v>0</v>
      </c>
      <c r="N58" s="20" t="n">
        <v>0</v>
      </c>
      <c r="O58" s="18" t="n">
        <v>0.27389526</v>
      </c>
      <c r="P58" s="20" t="n">
        <v>0.20375276</v>
      </c>
      <c r="Q58" s="18" t="n">
        <v>3.64022001</v>
      </c>
      <c r="R58" s="20" t="n">
        <v>0.74621617</v>
      </c>
    </row>
    <row r="59" spans="1:18">
      <c r="A59" s="15" t="s">
        <v>619</v>
      </c>
      <c r="B59" s="17" t="n">
        <v>2548</v>
      </c>
      <c r="C59" s="18">
        <f>(1720.0/B59*100)</f>
        <v/>
      </c>
      <c r="D59" s="19" t="n">
        <v>828</v>
      </c>
      <c r="E59" s="18" t="n">
        <v>50.11722279</v>
      </c>
      <c r="F59" s="20" t="n">
        <v>1.92430523</v>
      </c>
      <c r="G59" s="18" t="n">
        <v>42.31523344</v>
      </c>
      <c r="H59" s="20" t="n">
        <v>1.8013882</v>
      </c>
      <c r="I59" s="18" t="s">
        <v>567</v>
      </c>
      <c r="J59" s="20" t="s">
        <v>567</v>
      </c>
      <c r="K59" s="18" t="n">
        <v>1.86114031</v>
      </c>
      <c r="L59" s="20" t="n">
        <v>0.41581342</v>
      </c>
      <c r="M59" s="18" t="n">
        <v>0.3439613</v>
      </c>
      <c r="N59" s="20" t="n">
        <v>0.29225792</v>
      </c>
      <c r="O59" s="18" t="n">
        <v>1.33000125</v>
      </c>
      <c r="P59" s="20" t="n">
        <v>0.43749573</v>
      </c>
      <c r="Q59" s="18" t="n">
        <v>4.03244091</v>
      </c>
      <c r="R59" s="20" t="n">
        <v>0.79627066</v>
      </c>
    </row>
    <row r="60" spans="1:18">
      <c r="A60" s="15" t="s">
        <v>620</v>
      </c>
      <c r="B60" s="17" t="n">
        <v>2095</v>
      </c>
      <c r="C60" s="18">
        <f>(1387.0/B60*100)</f>
        <v/>
      </c>
      <c r="D60" s="19" t="n">
        <v>708</v>
      </c>
      <c r="E60" s="18" t="n">
        <v>43.26425384</v>
      </c>
      <c r="F60" s="20" t="n">
        <v>2.19850427</v>
      </c>
      <c r="G60" s="18" t="n">
        <v>38.87296657</v>
      </c>
      <c r="H60" s="20" t="n">
        <v>2.06325599</v>
      </c>
      <c r="I60" s="18" t="s">
        <v>567</v>
      </c>
      <c r="J60" s="20" t="s">
        <v>567</v>
      </c>
      <c r="K60" s="18" t="n">
        <v>12.53352008</v>
      </c>
      <c r="L60" s="20" t="n">
        <v>1.56229193</v>
      </c>
      <c r="M60" s="18" t="n">
        <v>0</v>
      </c>
      <c r="N60" s="20" t="n">
        <v>0</v>
      </c>
      <c r="O60" s="18" t="n">
        <v>3.35131372</v>
      </c>
      <c r="P60" s="20" t="n">
        <v>0.93321287</v>
      </c>
      <c r="Q60" s="18" t="n">
        <v>1.97794578</v>
      </c>
      <c r="R60" s="20" t="n">
        <v>0.66026998</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(1864.0/B63*100)</f>
        <v/>
      </c>
      <c r="D63" s="19" t="n">
        <v>949</v>
      </c>
      <c r="E63" s="18" t="n">
        <v>49.48510388</v>
      </c>
      <c r="F63" s="20" t="n">
        <v>1.98112386</v>
      </c>
      <c r="G63" s="18" t="n">
        <v>34.14393899</v>
      </c>
      <c r="H63" s="20" t="n">
        <v>1.78934701</v>
      </c>
      <c r="I63" s="18" t="s">
        <v>567</v>
      </c>
      <c r="J63" s="20" t="s">
        <v>567</v>
      </c>
      <c r="K63" s="18" t="n">
        <v>9.34741827</v>
      </c>
      <c r="L63" s="20" t="n">
        <v>0.8971691000000001</v>
      </c>
      <c r="M63" s="18" t="n">
        <v>0</v>
      </c>
      <c r="N63" s="20" t="n">
        <v>0</v>
      </c>
      <c r="O63" s="18" t="n">
        <v>1.00958817</v>
      </c>
      <c r="P63" s="20" t="n">
        <v>0.36362211</v>
      </c>
      <c r="Q63" s="18" t="n">
        <v>6.0139507</v>
      </c>
      <c r="R63" s="20" t="n">
        <v>0.73376508</v>
      </c>
    </row>
    <row r="64" spans="1:18">
      <c r="A64" s="15" t="s">
        <v>624</v>
      </c>
      <c r="B64" s="17" t="n">
        <v>1844</v>
      </c>
      <c r="C64" s="18">
        <f>(1240.0/B64*100)</f>
        <v/>
      </c>
      <c r="D64" s="19" t="n">
        <v>604</v>
      </c>
      <c r="E64" s="18" t="n">
        <v>36.44532597</v>
      </c>
      <c r="F64" s="20" t="n">
        <v>1.7819162</v>
      </c>
      <c r="G64" s="18" t="n">
        <v>54.6718747</v>
      </c>
      <c r="H64" s="20" t="n">
        <v>1.75124915</v>
      </c>
      <c r="I64" s="18" t="s">
        <v>567</v>
      </c>
      <c r="J64" s="20" t="s">
        <v>567</v>
      </c>
      <c r="K64" s="18" t="n">
        <v>6.84425704</v>
      </c>
      <c r="L64" s="20" t="n">
        <v>0.95383604</v>
      </c>
      <c r="M64" s="18" t="n">
        <v>0</v>
      </c>
      <c r="N64" s="20" t="n">
        <v>0</v>
      </c>
      <c r="O64" s="18" t="n">
        <v>0.16262602</v>
      </c>
      <c r="P64" s="20" t="n">
        <v>0.16117815</v>
      </c>
      <c r="Q64" s="18" t="n">
        <v>1.87591627</v>
      </c>
      <c r="R64" s="20" t="n">
        <v>0.47918113</v>
      </c>
    </row>
    <row r="65" spans="1:18">
      <c r="A65" s="15" t="s">
        <v>625</v>
      </c>
      <c r="B65" s="17" t="n">
        <v>2691</v>
      </c>
      <c r="C65" s="18">
        <f>(1809.0/B65*100)</f>
        <v/>
      </c>
      <c r="D65" s="19" t="n">
        <v>882</v>
      </c>
      <c r="E65" s="18" t="n">
        <v>36.99295921</v>
      </c>
      <c r="F65" s="20" t="n">
        <v>1.67539449</v>
      </c>
      <c r="G65" s="18" t="n">
        <v>43.71080412</v>
      </c>
      <c r="H65" s="20" t="n">
        <v>1.90259868</v>
      </c>
      <c r="I65" s="18" t="s">
        <v>567</v>
      </c>
      <c r="J65" s="20" t="s">
        <v>567</v>
      </c>
      <c r="K65" s="18" t="n">
        <v>13.61394663</v>
      </c>
      <c r="L65" s="20" t="n">
        <v>1.2177195</v>
      </c>
      <c r="M65" s="18" t="n">
        <v>2.33828244</v>
      </c>
      <c r="N65" s="20" t="n">
        <v>0.57733889</v>
      </c>
      <c r="O65" s="18" t="n">
        <v>0</v>
      </c>
      <c r="P65" s="20" t="n">
        <v>0</v>
      </c>
      <c r="Q65" s="18" t="n">
        <v>3.3440076</v>
      </c>
      <c r="R65" s="20" t="n">
        <v>0.57166443</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(1609.0/B69*100)</f>
        <v/>
      </c>
      <c r="D69" s="19" t="n">
        <v>801</v>
      </c>
      <c r="E69" s="18" t="n">
        <v>56.1556172</v>
      </c>
      <c r="F69" s="20" t="n">
        <v>1.97827501</v>
      </c>
      <c r="G69" s="18" t="n">
        <v>43.51103226</v>
      </c>
      <c r="H69" s="20" t="n">
        <v>1.97867364</v>
      </c>
      <c r="I69" s="18" t="s">
        <v>567</v>
      </c>
      <c r="J69" s="20" t="s">
        <v>567</v>
      </c>
      <c r="K69" s="18" t="n">
        <v>0.11464692</v>
      </c>
      <c r="L69" s="20" t="n">
        <v>0.11434377</v>
      </c>
      <c r="M69" s="18" t="n">
        <v>0</v>
      </c>
      <c r="N69" s="20" t="n">
        <v>0</v>
      </c>
      <c r="O69" s="18" t="n">
        <v>0</v>
      </c>
      <c r="P69" s="20" t="n">
        <v>0</v>
      </c>
      <c r="Q69" s="18" t="n">
        <v>0.21870362</v>
      </c>
      <c r="R69" s="20" t="n">
        <v>0.16027718</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(1473.0/B74*100)</f>
        <v/>
      </c>
      <c r="D74" s="19" t="n">
        <v>766</v>
      </c>
      <c r="E74" s="18" t="n">
        <v>33.91711799</v>
      </c>
      <c r="F74" s="20" t="n">
        <v>2.12172988</v>
      </c>
      <c r="G74" s="18" t="n">
        <v>48.50996681</v>
      </c>
      <c r="H74" s="20" t="n">
        <v>2.00532608</v>
      </c>
      <c r="I74" s="18" t="s">
        <v>567</v>
      </c>
      <c r="J74" s="20" t="s">
        <v>567</v>
      </c>
      <c r="K74" s="18" t="n">
        <v>15.0601967</v>
      </c>
      <c r="L74" s="20" t="n">
        <v>1.29510858</v>
      </c>
      <c r="M74" s="18" t="n">
        <v>0</v>
      </c>
      <c r="N74" s="20" t="n">
        <v>0</v>
      </c>
      <c r="O74" s="18" t="n">
        <v>0</v>
      </c>
      <c r="P74" s="20" t="n">
        <v>0</v>
      </c>
      <c r="Q74" s="18" t="n">
        <v>2.5127185</v>
      </c>
      <c r="R74" s="20" t="n">
        <v>0.54944818</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23.46601371</v>
      </c>
      <c r="F78" s="20" t="n">
        <v>1.67037466</v>
      </c>
      <c r="G78" s="18" t="n">
        <v>76.47371689000001</v>
      </c>
      <c r="H78" s="20" t="n">
        <v>1.67109419</v>
      </c>
      <c r="I78" s="18" t="s">
        <v>567</v>
      </c>
      <c r="J78" s="20" t="s">
        <v>567</v>
      </c>
      <c r="K78" s="18" t="n">
        <v>0</v>
      </c>
      <c r="L78" s="20" t="n">
        <v>0</v>
      </c>
      <c r="M78" s="18" t="n">
        <v>0</v>
      </c>
      <c r="N78" s="20" t="n">
        <v>0</v>
      </c>
      <c r="O78" s="18" t="n">
        <v>0</v>
      </c>
      <c r="P78" s="20" t="n">
        <v>0</v>
      </c>
      <c r="Q78" s="18" t="n">
        <v>0.0602694</v>
      </c>
      <c r="R78" s="20" t="n">
        <v>0.06048223</v>
      </c>
    </row>
    <row customHeight="1" ht="25" r="79" spans="1:18">
      <c r="A79" s="15" t="s">
        <v>639</v>
      </c>
      <c r="B79" s="17" t="n">
        <v>787</v>
      </c>
      <c r="C79" s="18">
        <f>(528.0/B79*100)</f>
        <v/>
      </c>
      <c r="D79" s="19" t="n">
        <v>259</v>
      </c>
      <c r="E79" s="18" t="n">
        <v>18.51568986</v>
      </c>
      <c r="F79" s="20" t="n">
        <v>2.6747431</v>
      </c>
      <c r="G79" s="18" t="n">
        <v>70.73215315</v>
      </c>
      <c r="H79" s="20" t="n">
        <v>3.3946258</v>
      </c>
      <c r="I79" s="18" t="s">
        <v>567</v>
      </c>
      <c r="J79" s="20" t="s">
        <v>567</v>
      </c>
      <c r="K79" s="18" t="n">
        <v>9.875040390000001</v>
      </c>
      <c r="L79" s="20" t="n">
        <v>1.80591519</v>
      </c>
      <c r="M79" s="18" t="n">
        <v>0</v>
      </c>
      <c r="N79" s="20" t="n">
        <v>0</v>
      </c>
      <c r="O79" s="18" t="n">
        <v>0.8771166</v>
      </c>
      <c r="P79" s="20" t="n">
        <v>0.6432495</v>
      </c>
      <c r="Q79" s="18" t="n">
        <v>0</v>
      </c>
      <c r="R79" s="20" t="n">
        <v>0</v>
      </c>
    </row>
    <row r="80" spans="1:18">
      <c r="A80" s="15" t="s">
        <v>640</v>
      </c>
      <c r="B80" s="17" t="n">
        <v>3798</v>
      </c>
      <c r="C80" s="18">
        <f>(2536.0/B80*100)</f>
        <v/>
      </c>
      <c r="D80" s="19" t="n">
        <v>1262</v>
      </c>
      <c r="E80" s="18" t="n">
        <v>38.80235362</v>
      </c>
      <c r="F80" s="20" t="n">
        <v>1.750379</v>
      </c>
      <c r="G80" s="18" t="n">
        <v>60.68045802</v>
      </c>
      <c r="H80" s="20" t="n">
        <v>1.75342181</v>
      </c>
      <c r="I80" s="18" t="s">
        <v>567</v>
      </c>
      <c r="J80" s="20" t="s">
        <v>567</v>
      </c>
      <c r="K80" s="18" t="n">
        <v>0</v>
      </c>
      <c r="L80" s="20" t="n">
        <v>0</v>
      </c>
      <c r="M80" s="18" t="n">
        <v>0</v>
      </c>
      <c r="N80" s="20" t="n">
        <v>0</v>
      </c>
      <c r="O80" s="18" t="n">
        <v>0</v>
      </c>
      <c r="P80" s="20" t="n">
        <v>0</v>
      </c>
      <c r="Q80" s="18" t="n">
        <v>0.51718836</v>
      </c>
      <c r="R80" s="20" t="n">
        <v>0.2538328</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(1689.0/B44*100)</f>
        <v/>
      </c>
      <c r="D44" s="19" t="n">
        <v>835</v>
      </c>
      <c r="E44" s="18" t="n">
        <v>21.44881322</v>
      </c>
      <c r="F44" s="20" t="n">
        <v>1.85670459</v>
      </c>
      <c r="G44" s="18" t="n">
        <v>36.15946467</v>
      </c>
      <c r="H44" s="20" t="n">
        <v>2.26858838</v>
      </c>
      <c r="I44" s="18" t="s">
        <v>567</v>
      </c>
      <c r="J44" s="20" t="s">
        <v>567</v>
      </c>
      <c r="K44" s="18" t="n">
        <v>13.62792775</v>
      </c>
      <c r="L44" s="20" t="n">
        <v>1.36110168</v>
      </c>
      <c r="M44" s="18" t="n">
        <v>0</v>
      </c>
      <c r="N44" s="20" t="n">
        <v>0</v>
      </c>
      <c r="O44" s="18" t="n">
        <v>0</v>
      </c>
      <c r="P44" s="20" t="n">
        <v>0</v>
      </c>
      <c r="Q44" s="18" t="n">
        <v>28.76379436</v>
      </c>
      <c r="R44" s="20" t="n">
        <v>1.90460752</v>
      </c>
    </row>
    <row r="45" spans="1:18">
      <c r="A45" s="15" t="s">
        <v>605</v>
      </c>
      <c r="B45" s="17" t="n">
        <v>2849</v>
      </c>
      <c r="C45" s="18">
        <f>(1880.0/B45*100)</f>
        <v/>
      </c>
      <c r="D45" s="19" t="n">
        <v>969</v>
      </c>
      <c r="E45" s="18" t="n">
        <v>62.15911051</v>
      </c>
      <c r="F45" s="20" t="n">
        <v>1.96743632</v>
      </c>
      <c r="G45" s="18" t="n">
        <v>4.37483801</v>
      </c>
      <c r="H45" s="20" t="n">
        <v>0.7433187999999999</v>
      </c>
      <c r="I45" s="18" t="s">
        <v>567</v>
      </c>
      <c r="J45" s="20" t="s">
        <v>567</v>
      </c>
      <c r="K45" s="18" t="n">
        <v>12.33400331</v>
      </c>
      <c r="L45" s="20" t="n">
        <v>1.28499331</v>
      </c>
      <c r="M45" s="18" t="n">
        <v>0.50844875</v>
      </c>
      <c r="N45" s="20" t="n">
        <v>0.25931931</v>
      </c>
      <c r="O45" s="18" t="n">
        <v>0.15263508</v>
      </c>
      <c r="P45" s="20" t="n">
        <v>0.11054593</v>
      </c>
      <c r="Q45" s="18" t="n">
        <v>20.47096434</v>
      </c>
      <c r="R45" s="20" t="n">
        <v>1.49597137</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(1984.0/B49*100)</f>
        <v/>
      </c>
      <c r="D49" s="19" t="n">
        <v>1034</v>
      </c>
      <c r="E49" s="18" t="n">
        <v>52.87469057</v>
      </c>
      <c r="F49" s="20" t="n">
        <v>2.05609046</v>
      </c>
      <c r="G49" s="18" t="n">
        <v>12.56561638</v>
      </c>
      <c r="H49" s="20" t="n">
        <v>1.55991405</v>
      </c>
      <c r="I49" s="18" t="s">
        <v>567</v>
      </c>
      <c r="J49" s="20" t="s">
        <v>567</v>
      </c>
      <c r="K49" s="18" t="n">
        <v>7.95309084</v>
      </c>
      <c r="L49" s="20" t="n">
        <v>1.23641755</v>
      </c>
      <c r="M49" s="18" t="n">
        <v>0</v>
      </c>
      <c r="N49" s="20" t="n">
        <v>0</v>
      </c>
      <c r="O49" s="18" t="n">
        <v>0</v>
      </c>
      <c r="P49" s="20" t="n">
        <v>0</v>
      </c>
      <c r="Q49" s="18" t="n">
        <v>26.60660221</v>
      </c>
      <c r="R49" s="20" t="n">
        <v>1.86351916</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(1847.0/B55*100)</f>
        <v/>
      </c>
      <c r="D55" s="19" t="n">
        <v>912</v>
      </c>
      <c r="E55" s="18" t="n">
        <v>16.70096151</v>
      </c>
      <c r="F55" s="20" t="n">
        <v>1.25162873</v>
      </c>
      <c r="G55" s="18" t="n">
        <v>20.15764041</v>
      </c>
      <c r="H55" s="20" t="n">
        <v>1.62297352</v>
      </c>
      <c r="I55" s="18" t="s">
        <v>567</v>
      </c>
      <c r="J55" s="20" t="s">
        <v>567</v>
      </c>
      <c r="K55" s="18" t="n">
        <v>7.26889846</v>
      </c>
      <c r="L55" s="20" t="n">
        <v>0.8220420899999999</v>
      </c>
      <c r="M55" s="18" t="n">
        <v>0</v>
      </c>
      <c r="N55" s="20" t="n">
        <v>0</v>
      </c>
      <c r="O55" s="18" t="n">
        <v>0.19987005</v>
      </c>
      <c r="P55" s="20" t="n">
        <v>0.14052769</v>
      </c>
      <c r="Q55" s="18" t="n">
        <v>55.67262957</v>
      </c>
      <c r="R55" s="20" t="n">
        <v>1.98450074</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61.55139836</v>
      </c>
      <c r="F57" s="20" t="n">
        <v>1.55784854</v>
      </c>
      <c r="G57" s="18" t="n">
        <v>28.76473811</v>
      </c>
      <c r="H57" s="20" t="n">
        <v>1.52334812</v>
      </c>
      <c r="I57" s="18" t="s">
        <v>567</v>
      </c>
      <c r="J57" s="20" t="s">
        <v>567</v>
      </c>
      <c r="K57" s="18" t="n">
        <v>3.40151866</v>
      </c>
      <c r="L57" s="20" t="n">
        <v>0.59668379</v>
      </c>
      <c r="M57" s="18" t="n">
        <v>0.03563256</v>
      </c>
      <c r="N57" s="20" t="n">
        <v>0.03569462</v>
      </c>
      <c r="O57" s="18" t="n">
        <v>0</v>
      </c>
      <c r="P57" s="20" t="n">
        <v>0</v>
      </c>
      <c r="Q57" s="18" t="n">
        <v>6.24671232</v>
      </c>
      <c r="R57" s="20" t="n">
        <v>0.79760426</v>
      </c>
    </row>
    <row r="58" spans="1:18">
      <c r="A58" s="15" t="s">
        <v>618</v>
      </c>
      <c r="B58" s="17" t="n">
        <v>3530</v>
      </c>
      <c r="C58" s="18">
        <f>(2350.0/B58*100)</f>
        <v/>
      </c>
      <c r="D58" s="19" t="n">
        <v>1180</v>
      </c>
      <c r="E58" s="18" t="n">
        <v>68.75888225999999</v>
      </c>
      <c r="F58" s="20" t="n">
        <v>1.72803534</v>
      </c>
      <c r="G58" s="18" t="n">
        <v>5.66089061</v>
      </c>
      <c r="H58" s="20" t="n">
        <v>0.90191431</v>
      </c>
      <c r="I58" s="18" t="s">
        <v>567</v>
      </c>
      <c r="J58" s="20" t="s">
        <v>567</v>
      </c>
      <c r="K58" s="18" t="n">
        <v>6.29800014</v>
      </c>
      <c r="L58" s="20" t="n">
        <v>1.15675293</v>
      </c>
      <c r="M58" s="18" t="n">
        <v>0</v>
      </c>
      <c r="N58" s="20" t="n">
        <v>0</v>
      </c>
      <c r="O58" s="18" t="n">
        <v>0</v>
      </c>
      <c r="P58" s="20" t="n">
        <v>0</v>
      </c>
      <c r="Q58" s="18" t="n">
        <v>19.28222698</v>
      </c>
      <c r="R58" s="20" t="n">
        <v>1.43413565</v>
      </c>
    </row>
    <row r="59" spans="1:18">
      <c r="A59" s="15" t="s">
        <v>619</v>
      </c>
      <c r="B59" s="17" t="n">
        <v>2548</v>
      </c>
      <c r="C59" s="18">
        <f>(1720.0/B59*100)</f>
        <v/>
      </c>
      <c r="D59" s="19" t="n">
        <v>828</v>
      </c>
      <c r="E59" s="18" t="n">
        <v>55.14586237</v>
      </c>
      <c r="F59" s="20" t="n">
        <v>2.04523361</v>
      </c>
      <c r="G59" s="18" t="n">
        <v>13.54715857</v>
      </c>
      <c r="H59" s="20" t="n">
        <v>1.32259798</v>
      </c>
      <c r="I59" s="18" t="s">
        <v>567</v>
      </c>
      <c r="J59" s="20" t="s">
        <v>567</v>
      </c>
      <c r="K59" s="18" t="n">
        <v>2.10894385</v>
      </c>
      <c r="L59" s="20" t="n">
        <v>0.45260524</v>
      </c>
      <c r="M59" s="18" t="n">
        <v>0</v>
      </c>
      <c r="N59" s="20" t="n">
        <v>0</v>
      </c>
      <c r="O59" s="18" t="n">
        <v>0</v>
      </c>
      <c r="P59" s="20" t="n">
        <v>0</v>
      </c>
      <c r="Q59" s="18" t="n">
        <v>29.19803521</v>
      </c>
      <c r="R59" s="20" t="n">
        <v>1.9609248</v>
      </c>
    </row>
    <row r="60" spans="1:18">
      <c r="A60" s="15" t="s">
        <v>620</v>
      </c>
      <c r="B60" s="17" t="n">
        <v>2095</v>
      </c>
      <c r="C60" s="18">
        <f>(1387.0/B60*100)</f>
        <v/>
      </c>
      <c r="D60" s="19" t="n">
        <v>708</v>
      </c>
      <c r="E60" s="18" t="n">
        <v>41.67882237</v>
      </c>
      <c r="F60" s="20" t="n">
        <v>2.26849101</v>
      </c>
      <c r="G60" s="18" t="n">
        <v>8.406731560000001</v>
      </c>
      <c r="H60" s="20" t="n">
        <v>1.31325761</v>
      </c>
      <c r="I60" s="18" t="s">
        <v>567</v>
      </c>
      <c r="J60" s="20" t="s">
        <v>567</v>
      </c>
      <c r="K60" s="18" t="n">
        <v>14.21117621</v>
      </c>
      <c r="L60" s="20" t="n">
        <v>1.66275393</v>
      </c>
      <c r="M60" s="18" t="n">
        <v>0.18666416</v>
      </c>
      <c r="N60" s="20" t="n">
        <v>0.18858013</v>
      </c>
      <c r="O60" s="18" t="n">
        <v>0.17668106</v>
      </c>
      <c r="P60" s="20" t="n">
        <v>0.17871183</v>
      </c>
      <c r="Q60" s="18" t="n">
        <v>35.33992464</v>
      </c>
      <c r="R60" s="20" t="n">
        <v>1.97905475</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(1864.0/B63*100)</f>
        <v/>
      </c>
      <c r="D63" s="19" t="n">
        <v>949</v>
      </c>
      <c r="E63" s="18" t="n">
        <v>20.9309488</v>
      </c>
      <c r="F63" s="20" t="n">
        <v>1.41779616</v>
      </c>
      <c r="G63" s="18" t="n">
        <v>12.53914554</v>
      </c>
      <c r="H63" s="20" t="n">
        <v>1.20287116</v>
      </c>
      <c r="I63" s="18" t="s">
        <v>567</v>
      </c>
      <c r="J63" s="20" t="s">
        <v>567</v>
      </c>
      <c r="K63" s="18" t="n">
        <v>11.39162194</v>
      </c>
      <c r="L63" s="20" t="n">
        <v>0.97241864</v>
      </c>
      <c r="M63" s="18" t="n">
        <v>0</v>
      </c>
      <c r="N63" s="20" t="n">
        <v>0</v>
      </c>
      <c r="O63" s="18" t="n">
        <v>0</v>
      </c>
      <c r="P63" s="20" t="n">
        <v>0</v>
      </c>
      <c r="Q63" s="18" t="n">
        <v>55.13828373</v>
      </c>
      <c r="R63" s="20" t="n">
        <v>1.84470601</v>
      </c>
    </row>
    <row r="64" spans="1:18">
      <c r="A64" s="15" t="s">
        <v>624</v>
      </c>
      <c r="B64" s="17" t="n">
        <v>1844</v>
      </c>
      <c r="C64" s="18">
        <f>(1240.0/B64*100)</f>
        <v/>
      </c>
      <c r="D64" s="19" t="n">
        <v>604</v>
      </c>
      <c r="E64" s="18" t="n">
        <v>31.62950041</v>
      </c>
      <c r="F64" s="20" t="n">
        <v>2.02020205</v>
      </c>
      <c r="G64" s="18" t="n">
        <v>29.71264698</v>
      </c>
      <c r="H64" s="20" t="n">
        <v>1.65650738</v>
      </c>
      <c r="I64" s="18" t="s">
        <v>567</v>
      </c>
      <c r="J64" s="20" t="s">
        <v>567</v>
      </c>
      <c r="K64" s="18" t="n">
        <v>7.88964647</v>
      </c>
      <c r="L64" s="20" t="n">
        <v>0.98463153</v>
      </c>
      <c r="M64" s="18" t="n">
        <v>0</v>
      </c>
      <c r="N64" s="20" t="n">
        <v>0</v>
      </c>
      <c r="O64" s="18" t="n">
        <v>0</v>
      </c>
      <c r="P64" s="20" t="n">
        <v>0</v>
      </c>
      <c r="Q64" s="18" t="n">
        <v>30.76820614</v>
      </c>
      <c r="R64" s="20" t="n">
        <v>1.58692039</v>
      </c>
    </row>
    <row r="65" spans="1:18">
      <c r="A65" s="15" t="s">
        <v>625</v>
      </c>
      <c r="B65" s="17" t="n">
        <v>2691</v>
      </c>
      <c r="C65" s="18">
        <f>(1809.0/B65*100)</f>
        <v/>
      </c>
      <c r="D65" s="19" t="n">
        <v>882</v>
      </c>
      <c r="E65" s="18" t="n">
        <v>6.17082925</v>
      </c>
      <c r="F65" s="20" t="n">
        <v>1.00006579</v>
      </c>
      <c r="G65" s="18" t="n">
        <v>3.18489096</v>
      </c>
      <c r="H65" s="20" t="n">
        <v>0.61566702</v>
      </c>
      <c r="I65" s="18" t="s">
        <v>567</v>
      </c>
      <c r="J65" s="20" t="s">
        <v>567</v>
      </c>
      <c r="K65" s="18" t="n">
        <v>2.10523231</v>
      </c>
      <c r="L65" s="20" t="n">
        <v>0.45405138</v>
      </c>
      <c r="M65" s="18" t="n">
        <v>79.41919489999999</v>
      </c>
      <c r="N65" s="20" t="n">
        <v>1.07554683</v>
      </c>
      <c r="O65" s="18" t="n">
        <v>0</v>
      </c>
      <c r="P65" s="20" t="n">
        <v>0</v>
      </c>
      <c r="Q65" s="18" t="n">
        <v>9.11985258</v>
      </c>
      <c r="R65" s="20" t="n">
        <v>0.72056905</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(1609.0/B69*100)</f>
        <v/>
      </c>
      <c r="D69" s="19" t="n">
        <v>801</v>
      </c>
      <c r="E69" s="18" t="n">
        <v>59.42243698</v>
      </c>
      <c r="F69" s="20" t="n">
        <v>2.0600926</v>
      </c>
      <c r="G69" s="18" t="n">
        <v>39.0951254</v>
      </c>
      <c r="H69" s="20" t="n">
        <v>2.16616671</v>
      </c>
      <c r="I69" s="18" t="s">
        <v>567</v>
      </c>
      <c r="J69" s="20" t="s">
        <v>567</v>
      </c>
      <c r="K69" s="18" t="n">
        <v>0.11464692</v>
      </c>
      <c r="L69" s="20" t="n">
        <v>0.11434377</v>
      </c>
      <c r="M69" s="18" t="n">
        <v>0</v>
      </c>
      <c r="N69" s="20" t="n">
        <v>0</v>
      </c>
      <c r="O69" s="18" t="n">
        <v>0</v>
      </c>
      <c r="P69" s="20" t="n">
        <v>0</v>
      </c>
      <c r="Q69" s="18" t="n">
        <v>1.3677907</v>
      </c>
      <c r="R69" s="20" t="n">
        <v>0.42883265</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(1473.0/B74*100)</f>
        <v/>
      </c>
      <c r="D74" s="19" t="n">
        <v>766</v>
      </c>
      <c r="E74" s="18" t="n">
        <v>28.90661499</v>
      </c>
      <c r="F74" s="20" t="n">
        <v>1.74801749</v>
      </c>
      <c r="G74" s="18" t="n">
        <v>15.83166902</v>
      </c>
      <c r="H74" s="20" t="n">
        <v>1.49873458</v>
      </c>
      <c r="I74" s="18" t="s">
        <v>567</v>
      </c>
      <c r="J74" s="20" t="s">
        <v>567</v>
      </c>
      <c r="K74" s="18" t="n">
        <v>17.0570488</v>
      </c>
      <c r="L74" s="20" t="n">
        <v>1.32820063</v>
      </c>
      <c r="M74" s="18" t="n">
        <v>0</v>
      </c>
      <c r="N74" s="20" t="n">
        <v>0</v>
      </c>
      <c r="O74" s="18" t="n">
        <v>0</v>
      </c>
      <c r="P74" s="20" t="n">
        <v>0</v>
      </c>
      <c r="Q74" s="18" t="n">
        <v>38.20466719</v>
      </c>
      <c r="R74" s="20" t="n">
        <v>1.73277737</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60.8738665</v>
      </c>
      <c r="F78" s="20" t="n">
        <v>2.11172241</v>
      </c>
      <c r="G78" s="18" t="n">
        <v>36.57490025</v>
      </c>
      <c r="H78" s="20" t="n">
        <v>2.06845522</v>
      </c>
      <c r="I78" s="18" t="s">
        <v>567</v>
      </c>
      <c r="J78" s="20" t="s">
        <v>567</v>
      </c>
      <c r="K78" s="18" t="n">
        <v>0</v>
      </c>
      <c r="L78" s="20" t="n">
        <v>0</v>
      </c>
      <c r="M78" s="18" t="n">
        <v>0</v>
      </c>
      <c r="N78" s="20" t="n">
        <v>0</v>
      </c>
      <c r="O78" s="18" t="n">
        <v>0</v>
      </c>
      <c r="P78" s="20" t="n">
        <v>0</v>
      </c>
      <c r="Q78" s="18" t="n">
        <v>2.55123324</v>
      </c>
      <c r="R78" s="20" t="n">
        <v>0.80283453</v>
      </c>
    </row>
    <row customHeight="1" ht="25" r="79" spans="1:18">
      <c r="A79" s="15" t="s">
        <v>639</v>
      </c>
      <c r="B79" s="17" t="n">
        <v>787</v>
      </c>
      <c r="C79" s="18">
        <f>(528.0/B79*100)</f>
        <v/>
      </c>
      <c r="D79" s="19" t="n">
        <v>259</v>
      </c>
      <c r="E79" s="18" t="n">
        <v>37.93925032</v>
      </c>
      <c r="F79" s="20" t="n">
        <v>3.22415721</v>
      </c>
      <c r="G79" s="18" t="n">
        <v>27.48928587</v>
      </c>
      <c r="H79" s="20" t="n">
        <v>4.00292563</v>
      </c>
      <c r="I79" s="18" t="s">
        <v>567</v>
      </c>
      <c r="J79" s="20" t="s">
        <v>567</v>
      </c>
      <c r="K79" s="18" t="n">
        <v>10.13535709</v>
      </c>
      <c r="L79" s="20" t="n">
        <v>1.8018645</v>
      </c>
      <c r="M79" s="18" t="n">
        <v>0</v>
      </c>
      <c r="N79" s="20" t="n">
        <v>0</v>
      </c>
      <c r="O79" s="18" t="n">
        <v>0</v>
      </c>
      <c r="P79" s="20" t="n">
        <v>0</v>
      </c>
      <c r="Q79" s="18" t="n">
        <v>24.43610671</v>
      </c>
      <c r="R79" s="20" t="n">
        <v>3.40258398</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(1689.0/B44*100)</f>
        <v/>
      </c>
      <c r="D44" s="19" t="n">
        <v>835</v>
      </c>
      <c r="E44" s="18" t="n">
        <v>49.55766374</v>
      </c>
      <c r="F44" s="20" t="n">
        <v>2.10162435</v>
      </c>
      <c r="G44" s="18" t="n">
        <v>34.72629156</v>
      </c>
      <c r="H44" s="20" t="n">
        <v>2.0574526</v>
      </c>
      <c r="I44" s="18" t="s">
        <v>567</v>
      </c>
      <c r="J44" s="20" t="s">
        <v>567</v>
      </c>
      <c r="K44" s="18" t="n">
        <v>14.61896805</v>
      </c>
      <c r="L44" s="20" t="n">
        <v>1.39652451</v>
      </c>
      <c r="M44" s="18" t="n">
        <v>0</v>
      </c>
      <c r="N44" s="20" t="n">
        <v>0</v>
      </c>
      <c r="O44" s="18" t="n">
        <v>1.09707665</v>
      </c>
      <c r="P44" s="20" t="n">
        <v>0.31597773</v>
      </c>
      <c r="Q44" s="18" t="n">
        <v>0</v>
      </c>
      <c r="R44" s="20" t="n">
        <v>0</v>
      </c>
    </row>
    <row r="45" spans="1:18">
      <c r="A45" s="15" t="s">
        <v>605</v>
      </c>
      <c r="B45" s="17" t="n">
        <v>2849</v>
      </c>
      <c r="C45" s="18">
        <f>(1880.0/B45*100)</f>
        <v/>
      </c>
      <c r="D45" s="19" t="n">
        <v>969</v>
      </c>
      <c r="E45" s="18" t="n">
        <v>53.52811661</v>
      </c>
      <c r="F45" s="20" t="n">
        <v>1.8545621</v>
      </c>
      <c r="G45" s="18" t="n">
        <v>28.34931908</v>
      </c>
      <c r="H45" s="20" t="n">
        <v>1.71483557</v>
      </c>
      <c r="I45" s="18" t="s">
        <v>567</v>
      </c>
      <c r="J45" s="20" t="s">
        <v>567</v>
      </c>
      <c r="K45" s="18" t="n">
        <v>13.94812361</v>
      </c>
      <c r="L45" s="20" t="n">
        <v>1.33793112</v>
      </c>
      <c r="M45" s="18" t="n">
        <v>0.37449932</v>
      </c>
      <c r="N45" s="20" t="n">
        <v>0.23936222</v>
      </c>
      <c r="O45" s="18" t="n">
        <v>3.79994138</v>
      </c>
      <c r="P45" s="20" t="n">
        <v>0.69279885</v>
      </c>
      <c r="Q45" s="18" t="n">
        <v>0</v>
      </c>
      <c r="R45" s="20" t="n">
        <v>0</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(1984.0/B49*100)</f>
        <v/>
      </c>
      <c r="D49" s="19" t="n">
        <v>1034</v>
      </c>
      <c r="E49" s="18" t="n">
        <v>50.97301249</v>
      </c>
      <c r="F49" s="20" t="n">
        <v>1.64920709</v>
      </c>
      <c r="G49" s="18" t="n">
        <v>39.84799619</v>
      </c>
      <c r="H49" s="20" t="n">
        <v>1.72587794</v>
      </c>
      <c r="I49" s="18" t="s">
        <v>567</v>
      </c>
      <c r="J49" s="20" t="s">
        <v>567</v>
      </c>
      <c r="K49" s="18" t="n">
        <v>8.44605775</v>
      </c>
      <c r="L49" s="20" t="n">
        <v>1.25284007</v>
      </c>
      <c r="M49" s="18" t="n">
        <v>0</v>
      </c>
      <c r="N49" s="20" t="n">
        <v>0</v>
      </c>
      <c r="O49" s="18" t="n">
        <v>0.73293356</v>
      </c>
      <c r="P49" s="20" t="n">
        <v>0.34066966</v>
      </c>
      <c r="Q49" s="18" t="n">
        <v>0</v>
      </c>
      <c r="R49" s="20" t="n">
        <v>0</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(1847.0/B55*100)</f>
        <v/>
      </c>
      <c r="D55" s="19" t="n">
        <v>912</v>
      </c>
      <c r="E55" s="18" t="n">
        <v>53.74667761</v>
      </c>
      <c r="F55" s="20" t="n">
        <v>1.84376916</v>
      </c>
      <c r="G55" s="18" t="n">
        <v>38.01166747</v>
      </c>
      <c r="H55" s="20" t="n">
        <v>1.8782371</v>
      </c>
      <c r="I55" s="18" t="s">
        <v>567</v>
      </c>
      <c r="J55" s="20" t="s">
        <v>567</v>
      </c>
      <c r="K55" s="18" t="n">
        <v>7.64444329</v>
      </c>
      <c r="L55" s="20" t="n">
        <v>0.86000727</v>
      </c>
      <c r="M55" s="18" t="n">
        <v>0</v>
      </c>
      <c r="N55" s="20" t="n">
        <v>0</v>
      </c>
      <c r="O55" s="18" t="n">
        <v>0.59721163</v>
      </c>
      <c r="P55" s="20" t="n">
        <v>0.30204168</v>
      </c>
      <c r="Q55" s="18" t="n">
        <v>0</v>
      </c>
      <c r="R55" s="20" t="n">
        <v>0</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(2125.0/B57*100)</f>
        <v/>
      </c>
      <c r="D57" s="19" t="n">
        <v>1045</v>
      </c>
      <c r="E57" s="18" t="n">
        <v>67.86687087</v>
      </c>
      <c r="F57" s="20" t="n">
        <v>1.55566745</v>
      </c>
      <c r="G57" s="18" t="n">
        <v>28.2353651</v>
      </c>
      <c r="H57" s="20" t="n">
        <v>1.65170104</v>
      </c>
      <c r="I57" s="18" t="s">
        <v>567</v>
      </c>
      <c r="J57" s="20" t="s">
        <v>567</v>
      </c>
      <c r="K57" s="18" t="n">
        <v>3.89776403</v>
      </c>
      <c r="L57" s="20" t="n">
        <v>0.59518039</v>
      </c>
      <c r="M57" s="18" t="n">
        <v>0</v>
      </c>
      <c r="N57" s="20" t="n">
        <v>0</v>
      </c>
      <c r="O57" s="18" t="n">
        <v>0</v>
      </c>
      <c r="P57" s="20" t="n">
        <v>0</v>
      </c>
      <c r="Q57" s="18" t="n">
        <v>0</v>
      </c>
      <c r="R57" s="20" t="n">
        <v>0</v>
      </c>
    </row>
    <row r="58" spans="1:18">
      <c r="A58" s="15" t="s">
        <v>618</v>
      </c>
      <c r="B58" s="17" t="n">
        <v>3530</v>
      </c>
      <c r="C58" s="18">
        <f>(2350.0/B58*100)</f>
        <v/>
      </c>
      <c r="D58" s="19" t="n">
        <v>1180</v>
      </c>
      <c r="E58" s="18" t="n">
        <v>42.2080394</v>
      </c>
      <c r="F58" s="20" t="n">
        <v>1.94521226</v>
      </c>
      <c r="G58" s="18" t="n">
        <v>49.4668018</v>
      </c>
      <c r="H58" s="20" t="n">
        <v>1.81442014</v>
      </c>
      <c r="I58" s="18" t="s">
        <v>567</v>
      </c>
      <c r="J58" s="20" t="s">
        <v>567</v>
      </c>
      <c r="K58" s="18" t="n">
        <v>8.059045530000001</v>
      </c>
      <c r="L58" s="20" t="n">
        <v>1.39504588</v>
      </c>
      <c r="M58" s="18" t="n">
        <v>0</v>
      </c>
      <c r="N58" s="20" t="n">
        <v>0</v>
      </c>
      <c r="O58" s="18" t="n">
        <v>0.26611328</v>
      </c>
      <c r="P58" s="20" t="n">
        <v>0.16096691</v>
      </c>
      <c r="Q58" s="18" t="n">
        <v>0</v>
      </c>
      <c r="R58" s="20" t="n">
        <v>0</v>
      </c>
    </row>
    <row r="59" spans="1:18">
      <c r="A59" s="15" t="s">
        <v>619</v>
      </c>
      <c r="B59" s="17" t="n">
        <v>2548</v>
      </c>
      <c r="C59" s="18">
        <f>(1720.0/B59*100)</f>
        <v/>
      </c>
      <c r="D59" s="19" t="n">
        <v>828</v>
      </c>
      <c r="E59" s="18" t="n">
        <v>64.33462915</v>
      </c>
      <c r="F59" s="20" t="n">
        <v>2.18587184</v>
      </c>
      <c r="G59" s="18" t="n">
        <v>29.85897591</v>
      </c>
      <c r="H59" s="20" t="n">
        <v>1.89006463</v>
      </c>
      <c r="I59" s="18" t="s">
        <v>567</v>
      </c>
      <c r="J59" s="20" t="s">
        <v>567</v>
      </c>
      <c r="K59" s="18" t="n">
        <v>2.49666911</v>
      </c>
      <c r="L59" s="20" t="n">
        <v>0.51031076</v>
      </c>
      <c r="M59" s="18" t="n">
        <v>0.6776893</v>
      </c>
      <c r="N59" s="20" t="n">
        <v>0.44757048</v>
      </c>
      <c r="O59" s="18" t="n">
        <v>2.63203653</v>
      </c>
      <c r="P59" s="20" t="n">
        <v>0.7827199</v>
      </c>
      <c r="Q59" s="18" t="n">
        <v>0</v>
      </c>
      <c r="R59" s="20" t="n">
        <v>0</v>
      </c>
    </row>
    <row r="60" spans="1:18">
      <c r="A60" s="15" t="s">
        <v>620</v>
      </c>
      <c r="B60" s="17" t="n">
        <v>2095</v>
      </c>
      <c r="C60" s="18">
        <f>(1387.0/B60*100)</f>
        <v/>
      </c>
      <c r="D60" s="19" t="n">
        <v>708</v>
      </c>
      <c r="E60" s="18" t="n">
        <v>47.993052</v>
      </c>
      <c r="F60" s="20" t="n">
        <v>1.89664389</v>
      </c>
      <c r="G60" s="18" t="n">
        <v>33.63283056</v>
      </c>
      <c r="H60" s="20" t="n">
        <v>2.11016673</v>
      </c>
      <c r="I60" s="18" t="s">
        <v>567</v>
      </c>
      <c r="J60" s="20" t="s">
        <v>567</v>
      </c>
      <c r="K60" s="18" t="n">
        <v>14.97362657</v>
      </c>
      <c r="L60" s="20" t="n">
        <v>1.64266297</v>
      </c>
      <c r="M60" s="18" t="n">
        <v>0</v>
      </c>
      <c r="N60" s="20" t="n">
        <v>0</v>
      </c>
      <c r="O60" s="18" t="n">
        <v>3.40049087</v>
      </c>
      <c r="P60" s="20" t="n">
        <v>0.96671345</v>
      </c>
      <c r="Q60" s="18" t="n">
        <v>0</v>
      </c>
      <c r="R60" s="20" t="n">
        <v>0</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(1864.0/B63*100)</f>
        <v/>
      </c>
      <c r="D63" s="19" t="n">
        <v>949</v>
      </c>
      <c r="E63" s="18" t="n">
        <v>48.28214759</v>
      </c>
      <c r="F63" s="20" t="n">
        <v>1.75887439</v>
      </c>
      <c r="G63" s="18" t="n">
        <v>37.28992881</v>
      </c>
      <c r="H63" s="20" t="n">
        <v>1.44271235</v>
      </c>
      <c r="I63" s="18" t="s">
        <v>567</v>
      </c>
      <c r="J63" s="20" t="s">
        <v>567</v>
      </c>
      <c r="K63" s="18" t="n">
        <v>12.27909034</v>
      </c>
      <c r="L63" s="20" t="n">
        <v>0.95605872</v>
      </c>
      <c r="M63" s="18" t="n">
        <v>0</v>
      </c>
      <c r="N63" s="20" t="n">
        <v>0</v>
      </c>
      <c r="O63" s="18" t="n">
        <v>2.14883326</v>
      </c>
      <c r="P63" s="20" t="n">
        <v>0.51985258</v>
      </c>
      <c r="Q63" s="18" t="n">
        <v>0</v>
      </c>
      <c r="R63" s="20" t="n">
        <v>0</v>
      </c>
    </row>
    <row r="64" spans="1:18">
      <c r="A64" s="15" t="s">
        <v>624</v>
      </c>
      <c r="B64" s="17" t="n">
        <v>1844</v>
      </c>
      <c r="C64" s="18">
        <f>(1240.0/B64*100)</f>
        <v/>
      </c>
      <c r="D64" s="19" t="n">
        <v>604</v>
      </c>
      <c r="E64" s="18" t="n">
        <v>48.53032181</v>
      </c>
      <c r="F64" s="20" t="n">
        <v>1.71142589</v>
      </c>
      <c r="G64" s="18" t="n">
        <v>43.23460299</v>
      </c>
      <c r="H64" s="20" t="n">
        <v>1.87700893</v>
      </c>
      <c r="I64" s="18" t="s">
        <v>567</v>
      </c>
      <c r="J64" s="20" t="s">
        <v>567</v>
      </c>
      <c r="K64" s="18" t="n">
        <v>7.88964647</v>
      </c>
      <c r="L64" s="20" t="n">
        <v>0.98463153</v>
      </c>
      <c r="M64" s="18" t="n">
        <v>0</v>
      </c>
      <c r="N64" s="20" t="n">
        <v>0</v>
      </c>
      <c r="O64" s="18" t="n">
        <v>0.34542873</v>
      </c>
      <c r="P64" s="20" t="n">
        <v>0.24443479</v>
      </c>
      <c r="Q64" s="18" t="n">
        <v>0</v>
      </c>
      <c r="R64" s="20" t="n">
        <v>0</v>
      </c>
    </row>
    <row r="65" spans="1:18">
      <c r="A65" s="15" t="s">
        <v>625</v>
      </c>
      <c r="B65" s="17" t="n">
        <v>2691</v>
      </c>
      <c r="C65" s="18">
        <f>(1809.0/B65*100)</f>
        <v/>
      </c>
      <c r="D65" s="19" t="n">
        <v>882</v>
      </c>
      <c r="E65" s="18" t="n">
        <v>44.86738954</v>
      </c>
      <c r="F65" s="20" t="n">
        <v>1.67536723</v>
      </c>
      <c r="G65" s="18" t="n">
        <v>37.14308645</v>
      </c>
      <c r="H65" s="20" t="n">
        <v>1.77285405</v>
      </c>
      <c r="I65" s="18" t="s">
        <v>567</v>
      </c>
      <c r="J65" s="20" t="s">
        <v>567</v>
      </c>
      <c r="K65" s="18" t="n">
        <v>14.60141863</v>
      </c>
      <c r="L65" s="20" t="n">
        <v>1.1478251</v>
      </c>
      <c r="M65" s="18" t="n">
        <v>3.38810537</v>
      </c>
      <c r="N65" s="20" t="n">
        <v>0.65863761</v>
      </c>
      <c r="O65" s="18" t="n">
        <v>0</v>
      </c>
      <c r="P65" s="20" t="n">
        <v>0</v>
      </c>
      <c r="Q65" s="18" t="n">
        <v>0</v>
      </c>
      <c r="R65" s="20" t="n">
        <v>0</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(1609.0/B69*100)</f>
        <v/>
      </c>
      <c r="D69" s="19" t="n">
        <v>801</v>
      </c>
      <c r="E69" s="18" t="n">
        <v>64.36416690999999</v>
      </c>
      <c r="F69" s="20" t="n">
        <v>1.96705532</v>
      </c>
      <c r="G69" s="18" t="n">
        <v>35.18539446</v>
      </c>
      <c r="H69" s="20" t="n">
        <v>1.98126897</v>
      </c>
      <c r="I69" s="18" t="s">
        <v>567</v>
      </c>
      <c r="J69" s="20" t="s">
        <v>567</v>
      </c>
      <c r="K69" s="18" t="n">
        <v>0.45043864</v>
      </c>
      <c r="L69" s="20" t="n">
        <v>0.23312765</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(1473.0/B74*100)</f>
        <v/>
      </c>
      <c r="D74" s="19" t="n">
        <v>766</v>
      </c>
      <c r="E74" s="18" t="n">
        <v>51.74845286</v>
      </c>
      <c r="F74" s="20" t="n">
        <v>1.70177966</v>
      </c>
      <c r="G74" s="18" t="n">
        <v>30.23699785</v>
      </c>
      <c r="H74" s="20" t="n">
        <v>1.67188671</v>
      </c>
      <c r="I74" s="18" t="s">
        <v>567</v>
      </c>
      <c r="J74" s="20" t="s">
        <v>567</v>
      </c>
      <c r="K74" s="18" t="n">
        <v>18.0145493</v>
      </c>
      <c r="L74" s="20" t="n">
        <v>1.31882879</v>
      </c>
      <c r="M74" s="18" t="n">
        <v>0</v>
      </c>
      <c r="N74" s="20" t="n">
        <v>0</v>
      </c>
      <c r="O74" s="18" t="n">
        <v>0</v>
      </c>
      <c r="P74" s="20" t="n">
        <v>0</v>
      </c>
      <c r="Q74" s="18" t="n">
        <v>0</v>
      </c>
      <c r="R74" s="20" t="n">
        <v>0</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(1848.0/B78*100)</f>
        <v/>
      </c>
      <c r="D78" s="19" t="n">
        <v>938</v>
      </c>
      <c r="E78" s="18" t="n">
        <v>27.38398805</v>
      </c>
      <c r="F78" s="20" t="n">
        <v>1.46123333</v>
      </c>
      <c r="G78" s="18" t="n">
        <v>72.61601195</v>
      </c>
      <c r="H78" s="20" t="n">
        <v>1.46123333</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(528.0/B79*100)</f>
        <v/>
      </c>
      <c r="D79" s="19" t="n">
        <v>259</v>
      </c>
      <c r="E79" s="18" t="n">
        <v>38.19304897</v>
      </c>
      <c r="F79" s="20" t="n">
        <v>3.83741202</v>
      </c>
      <c r="G79" s="18" t="n">
        <v>51.32104201</v>
      </c>
      <c r="H79" s="20" t="n">
        <v>4.87821602</v>
      </c>
      <c r="I79" s="18" t="s">
        <v>567</v>
      </c>
      <c r="J79" s="20" t="s">
        <v>567</v>
      </c>
      <c r="K79" s="18" t="n">
        <v>10.48590902</v>
      </c>
      <c r="L79" s="20" t="n">
        <v>1.88628067</v>
      </c>
      <c r="M79" s="18" t="n">
        <v>0</v>
      </c>
      <c r="N79" s="20" t="n">
        <v>0</v>
      </c>
      <c r="O79" s="18" t="n">
        <v>0</v>
      </c>
      <c r="P79" s="20" t="n">
        <v>0</v>
      </c>
      <c r="Q79" s="18" t="n">
        <v>0</v>
      </c>
      <c r="R79" s="20" t="n">
        <v>0</v>
      </c>
    </row>
    <row r="80" spans="1:18">
      <c r="A80" s="15" t="s">
        <v>640</v>
      </c>
      <c r="B80" s="17" t="n">
        <v>3798</v>
      </c>
      <c r="C80" s="18">
        <f>(2536.0/B80*100)</f>
        <v/>
      </c>
      <c r="D80" s="19" t="n">
        <v>1262</v>
      </c>
      <c r="E80" s="18" t="n">
        <v>60.96741204</v>
      </c>
      <c r="F80" s="20" t="n">
        <v>1.87450478</v>
      </c>
      <c r="G80" s="18" t="n">
        <v>38.36390547</v>
      </c>
      <c r="H80" s="20" t="n">
        <v>1.9369835</v>
      </c>
      <c r="I80" s="18" t="s">
        <v>567</v>
      </c>
      <c r="J80" s="20" t="s">
        <v>567</v>
      </c>
      <c r="K80" s="18" t="n">
        <v>0.66868249</v>
      </c>
      <c r="L80" s="20" t="n">
        <v>0.30332203</v>
      </c>
      <c r="M80" s="18" t="n">
        <v>0</v>
      </c>
      <c r="N80" s="20" t="n">
        <v>0</v>
      </c>
      <c r="O80" s="18" t="n">
        <v>0</v>
      </c>
      <c r="P80" s="20" t="n">
        <v>0</v>
      </c>
      <c r="Q80" s="18" t="n">
        <v>0</v>
      </c>
      <c r="R80" s="20" t="n">
        <v>0</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(1693.0/B44*100)</f>
        <v/>
      </c>
      <c r="D44" s="19" t="n">
        <v>831</v>
      </c>
      <c r="E44" s="18" t="n">
        <v>39.01265094</v>
      </c>
      <c r="F44" s="20" t="n">
        <v>2.08782983</v>
      </c>
      <c r="G44" s="18" t="n">
        <v>52.10088314</v>
      </c>
      <c r="H44" s="20" t="n">
        <v>2.21721029</v>
      </c>
      <c r="I44" s="18" t="s">
        <v>567</v>
      </c>
      <c r="J44" s="20" t="s">
        <v>567</v>
      </c>
      <c r="K44" s="18" t="n">
        <v>1.32865801</v>
      </c>
      <c r="L44" s="20" t="n">
        <v>0.29174717</v>
      </c>
      <c r="M44" s="18" t="n">
        <v>0</v>
      </c>
      <c r="N44" s="20" t="n">
        <v>0</v>
      </c>
      <c r="O44" s="18" t="n">
        <v>0</v>
      </c>
      <c r="P44" s="20" t="n">
        <v>0</v>
      </c>
      <c r="Q44" s="18" t="n">
        <v>7.55780791</v>
      </c>
      <c r="R44" s="20" t="n">
        <v>1.00883102</v>
      </c>
    </row>
    <row r="45" spans="1:18">
      <c r="A45" s="15" t="s">
        <v>605</v>
      </c>
      <c r="B45" s="17" t="n">
        <v>2849</v>
      </c>
      <c r="C45" s="18">
        <f>(1902.0/B45*100)</f>
        <v/>
      </c>
      <c r="D45" s="19" t="n">
        <v>947</v>
      </c>
      <c r="E45" s="18" t="n">
        <v>51.3780354</v>
      </c>
      <c r="F45" s="20" t="n">
        <v>1.53311832</v>
      </c>
      <c r="G45" s="18" t="n">
        <v>40.56411727</v>
      </c>
      <c r="H45" s="20" t="n">
        <v>1.3703008</v>
      </c>
      <c r="I45" s="18" t="s">
        <v>567</v>
      </c>
      <c r="J45" s="20" t="s">
        <v>567</v>
      </c>
      <c r="K45" s="18" t="n">
        <v>4.26118428</v>
      </c>
      <c r="L45" s="20" t="n">
        <v>0.71807661</v>
      </c>
      <c r="M45" s="18" t="n">
        <v>0.26806151</v>
      </c>
      <c r="N45" s="20" t="n">
        <v>0.19894378</v>
      </c>
      <c r="O45" s="18" t="n">
        <v>0.10447235</v>
      </c>
      <c r="P45" s="20" t="n">
        <v>0.11143943</v>
      </c>
      <c r="Q45" s="18" t="n">
        <v>3.42412919</v>
      </c>
      <c r="R45" s="20" t="n">
        <v>0.62444351</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(2004.0/B49*100)</f>
        <v/>
      </c>
      <c r="D49" s="19" t="n">
        <v>1014</v>
      </c>
      <c r="E49" s="18" t="n">
        <v>39.05673702</v>
      </c>
      <c r="F49" s="20" t="n">
        <v>1.80732198</v>
      </c>
      <c r="G49" s="18" t="n">
        <v>57.44683685</v>
      </c>
      <c r="H49" s="20" t="n">
        <v>1.87091381</v>
      </c>
      <c r="I49" s="18" t="s">
        <v>567</v>
      </c>
      <c r="J49" s="20" t="s">
        <v>567</v>
      </c>
      <c r="K49" s="18" t="n">
        <v>0.85811126</v>
      </c>
      <c r="L49" s="20" t="n">
        <v>0.3028094</v>
      </c>
      <c r="M49" s="18" t="n">
        <v>0.03561508</v>
      </c>
      <c r="N49" s="20" t="n">
        <v>0.0356222</v>
      </c>
      <c r="O49" s="18" t="n">
        <v>0</v>
      </c>
      <c r="P49" s="20" t="n">
        <v>0</v>
      </c>
      <c r="Q49" s="18" t="n">
        <v>2.6026998</v>
      </c>
      <c r="R49" s="20" t="n">
        <v>0.65864753</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(1853.0/B55*100)</f>
        <v/>
      </c>
      <c r="D55" s="19" t="n">
        <v>906</v>
      </c>
      <c r="E55" s="18" t="n">
        <v>52.06589425</v>
      </c>
      <c r="F55" s="20" t="n">
        <v>1.70928844</v>
      </c>
      <c r="G55" s="18" t="n">
        <v>43.88936288</v>
      </c>
      <c r="H55" s="20" t="n">
        <v>1.77209378</v>
      </c>
      <c r="I55" s="18" t="s">
        <v>567</v>
      </c>
      <c r="J55" s="20" t="s">
        <v>567</v>
      </c>
      <c r="K55" s="18" t="n">
        <v>0.67930625</v>
      </c>
      <c r="L55" s="20" t="n">
        <v>0.2881957</v>
      </c>
      <c r="M55" s="18" t="n">
        <v>0</v>
      </c>
      <c r="N55" s="20" t="n">
        <v>0</v>
      </c>
      <c r="O55" s="18" t="n">
        <v>0</v>
      </c>
      <c r="P55" s="20" t="n">
        <v>0</v>
      </c>
      <c r="Q55" s="18" t="n">
        <v>3.36543662</v>
      </c>
      <c r="R55" s="20" t="n">
        <v>0.59242763</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(2098.0/B57*100)</f>
        <v/>
      </c>
      <c r="D57" s="19" t="n">
        <v>1072</v>
      </c>
      <c r="E57" s="18" t="n">
        <v>51.38437836</v>
      </c>
      <c r="F57" s="20" t="n">
        <v>1.85903416</v>
      </c>
      <c r="G57" s="18" t="n">
        <v>46.50262813</v>
      </c>
      <c r="H57" s="20" t="n">
        <v>1.95238147</v>
      </c>
      <c r="I57" s="18" t="s">
        <v>567</v>
      </c>
      <c r="J57" s="20" t="s">
        <v>567</v>
      </c>
      <c r="K57" s="18" t="n">
        <v>0.83583451</v>
      </c>
      <c r="L57" s="20" t="n">
        <v>0.28858363</v>
      </c>
      <c r="M57" s="18" t="n">
        <v>0</v>
      </c>
      <c r="N57" s="20" t="n">
        <v>0</v>
      </c>
      <c r="O57" s="18" t="n">
        <v>0</v>
      </c>
      <c r="P57" s="20" t="n">
        <v>0</v>
      </c>
      <c r="Q57" s="18" t="n">
        <v>1.27715899</v>
      </c>
      <c r="R57" s="20" t="n">
        <v>0.40311151</v>
      </c>
    </row>
    <row r="58" spans="1:18">
      <c r="A58" s="15" t="s">
        <v>618</v>
      </c>
      <c r="B58" s="17" t="n">
        <v>3530</v>
      </c>
      <c r="C58" s="18">
        <f>(2366.0/B58*100)</f>
        <v/>
      </c>
      <c r="D58" s="19" t="n">
        <v>1164</v>
      </c>
      <c r="E58" s="18" t="n">
        <v>48.95649433</v>
      </c>
      <c r="F58" s="20" t="n">
        <v>1.89138598</v>
      </c>
      <c r="G58" s="18" t="n">
        <v>46.60670823</v>
      </c>
      <c r="H58" s="20" t="n">
        <v>1.93369845</v>
      </c>
      <c r="I58" s="18" t="s">
        <v>567</v>
      </c>
      <c r="J58" s="20" t="s">
        <v>567</v>
      </c>
      <c r="K58" s="18" t="n">
        <v>1.79344987</v>
      </c>
      <c r="L58" s="20" t="n">
        <v>0.44481618</v>
      </c>
      <c r="M58" s="18" t="n">
        <v>0</v>
      </c>
      <c r="N58" s="20" t="n">
        <v>0</v>
      </c>
      <c r="O58" s="18" t="n">
        <v>0</v>
      </c>
      <c r="P58" s="20" t="n">
        <v>0</v>
      </c>
      <c r="Q58" s="18" t="n">
        <v>2.64334756</v>
      </c>
      <c r="R58" s="20" t="n">
        <v>0.60885782</v>
      </c>
    </row>
    <row r="59" spans="1:18">
      <c r="A59" s="15" t="s">
        <v>619</v>
      </c>
      <c r="B59" s="17" t="n">
        <v>2548</v>
      </c>
      <c r="C59" s="18">
        <f>(1684.0/B59*100)</f>
        <v/>
      </c>
      <c r="D59" s="19" t="n">
        <v>864</v>
      </c>
      <c r="E59" s="18" t="n">
        <v>56.30090001</v>
      </c>
      <c r="F59" s="20" t="n">
        <v>2.21727898</v>
      </c>
      <c r="G59" s="18" t="n">
        <v>39.70703779</v>
      </c>
      <c r="H59" s="20" t="n">
        <v>2.14524823</v>
      </c>
      <c r="I59" s="18" t="s">
        <v>567</v>
      </c>
      <c r="J59" s="20" t="s">
        <v>567</v>
      </c>
      <c r="K59" s="18" t="n">
        <v>0.30731289</v>
      </c>
      <c r="L59" s="20" t="n">
        <v>0.15213348</v>
      </c>
      <c r="M59" s="18" t="n">
        <v>0</v>
      </c>
      <c r="N59" s="20" t="n">
        <v>0</v>
      </c>
      <c r="O59" s="18" t="n">
        <v>0</v>
      </c>
      <c r="P59" s="20" t="n">
        <v>0</v>
      </c>
      <c r="Q59" s="18" t="n">
        <v>3.68474931</v>
      </c>
      <c r="R59" s="20" t="n">
        <v>0.6562678199999999</v>
      </c>
    </row>
    <row r="60" spans="1:18">
      <c r="A60" s="15" t="s">
        <v>620</v>
      </c>
      <c r="B60" s="17" t="n">
        <v>2095</v>
      </c>
      <c r="C60" s="18">
        <f>(1381.0/B60*100)</f>
        <v/>
      </c>
      <c r="D60" s="19" t="n">
        <v>714</v>
      </c>
      <c r="E60" s="18" t="n">
        <v>45.37959025</v>
      </c>
      <c r="F60" s="20" t="n">
        <v>2.20373189</v>
      </c>
      <c r="G60" s="18" t="n">
        <v>49.83433057</v>
      </c>
      <c r="H60" s="20" t="n">
        <v>2.19904517</v>
      </c>
      <c r="I60" s="18" t="s">
        <v>567</v>
      </c>
      <c r="J60" s="20" t="s">
        <v>567</v>
      </c>
      <c r="K60" s="18" t="n">
        <v>1.91653613</v>
      </c>
      <c r="L60" s="20" t="n">
        <v>0.56530308</v>
      </c>
      <c r="M60" s="18" t="n">
        <v>0</v>
      </c>
      <c r="N60" s="20" t="n">
        <v>0</v>
      </c>
      <c r="O60" s="18" t="n">
        <v>0</v>
      </c>
      <c r="P60" s="20" t="n">
        <v>0</v>
      </c>
      <c r="Q60" s="18" t="n">
        <v>2.86954305</v>
      </c>
      <c r="R60" s="20" t="n">
        <v>0.63488941</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(1867.0/B63*100)</f>
        <v/>
      </c>
      <c r="D63" s="19" t="n">
        <v>946</v>
      </c>
      <c r="E63" s="18" t="n">
        <v>48.66027854</v>
      </c>
      <c r="F63" s="20" t="n">
        <v>1.73578487</v>
      </c>
      <c r="G63" s="18" t="n">
        <v>44.5956414</v>
      </c>
      <c r="H63" s="20" t="n">
        <v>1.79781588</v>
      </c>
      <c r="I63" s="18" t="s">
        <v>567</v>
      </c>
      <c r="J63" s="20" t="s">
        <v>567</v>
      </c>
      <c r="K63" s="18" t="n">
        <v>1.77322408</v>
      </c>
      <c r="L63" s="20" t="n">
        <v>0.49435849</v>
      </c>
      <c r="M63" s="18" t="n">
        <v>0</v>
      </c>
      <c r="N63" s="20" t="n">
        <v>0</v>
      </c>
      <c r="O63" s="18" t="n">
        <v>0</v>
      </c>
      <c r="P63" s="20" t="n">
        <v>0</v>
      </c>
      <c r="Q63" s="18" t="n">
        <v>4.97085598</v>
      </c>
      <c r="R63" s="20" t="n">
        <v>0.75520669</v>
      </c>
    </row>
    <row r="64" spans="1:18">
      <c r="A64" s="15" t="s">
        <v>624</v>
      </c>
      <c r="B64" s="17" t="n">
        <v>1844</v>
      </c>
      <c r="C64" s="18">
        <f>(1212.0/B64*100)</f>
        <v/>
      </c>
      <c r="D64" s="19" t="n">
        <v>632</v>
      </c>
      <c r="E64" s="18" t="n">
        <v>39.18061991</v>
      </c>
      <c r="F64" s="20" t="n">
        <v>2.01524138</v>
      </c>
      <c r="G64" s="18" t="n">
        <v>57.09317265</v>
      </c>
      <c r="H64" s="20" t="n">
        <v>2.05221453</v>
      </c>
      <c r="I64" s="18" t="s">
        <v>567</v>
      </c>
      <c r="J64" s="20" t="s">
        <v>567</v>
      </c>
      <c r="K64" s="18" t="n">
        <v>1.97449862</v>
      </c>
      <c r="L64" s="20" t="n">
        <v>0.63522581</v>
      </c>
      <c r="M64" s="18" t="n">
        <v>0</v>
      </c>
      <c r="N64" s="20" t="n">
        <v>0</v>
      </c>
      <c r="O64" s="18" t="n">
        <v>0</v>
      </c>
      <c r="P64" s="20" t="n">
        <v>0</v>
      </c>
      <c r="Q64" s="18" t="n">
        <v>1.75170881</v>
      </c>
      <c r="R64" s="20" t="n">
        <v>0.47616497</v>
      </c>
    </row>
    <row r="65" spans="1:18">
      <c r="A65" s="15" t="s">
        <v>625</v>
      </c>
      <c r="B65" s="17" t="n">
        <v>2691</v>
      </c>
      <c r="C65" s="18">
        <f>(1812.0/B65*100)</f>
        <v/>
      </c>
      <c r="D65" s="19" t="n">
        <v>879</v>
      </c>
      <c r="E65" s="18" t="n">
        <v>42.86613161</v>
      </c>
      <c r="F65" s="20" t="n">
        <v>1.76404731</v>
      </c>
      <c r="G65" s="18" t="n">
        <v>51.34081624</v>
      </c>
      <c r="H65" s="20" t="n">
        <v>1.91800134</v>
      </c>
      <c r="I65" s="18" t="s">
        <v>567</v>
      </c>
      <c r="J65" s="20" t="s">
        <v>567</v>
      </c>
      <c r="K65" s="18" t="n">
        <v>2.46893952</v>
      </c>
      <c r="L65" s="20" t="n">
        <v>0.54680432</v>
      </c>
      <c r="M65" s="18" t="n">
        <v>0</v>
      </c>
      <c r="N65" s="20" t="n">
        <v>0</v>
      </c>
      <c r="O65" s="18" t="n">
        <v>0</v>
      </c>
      <c r="P65" s="20" t="n">
        <v>0</v>
      </c>
      <c r="Q65" s="18" t="n">
        <v>3.32411263</v>
      </c>
      <c r="R65" s="20" t="n">
        <v>0.64905555</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(1592.0/B69*100)</f>
        <v/>
      </c>
      <c r="D69" s="19" t="n">
        <v>818</v>
      </c>
      <c r="E69" s="18" t="n">
        <v>50.55190678</v>
      </c>
      <c r="F69" s="20" t="n">
        <v>1.80780178</v>
      </c>
      <c r="G69" s="18" t="n">
        <v>49.44809322</v>
      </c>
      <c r="H69" s="20" t="n">
        <v>1.80780178</v>
      </c>
      <c r="I69" s="18" t="s">
        <v>567</v>
      </c>
      <c r="J69" s="20" t="s">
        <v>567</v>
      </c>
      <c r="K69" s="18" t="n">
        <v>0</v>
      </c>
      <c r="L69" s="20" t="n">
        <v>0</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(1482.0/B74*100)</f>
        <v/>
      </c>
      <c r="D74" s="19" t="n">
        <v>757</v>
      </c>
      <c r="E74" s="18" t="n">
        <v>42.73479902</v>
      </c>
      <c r="F74" s="20" t="n">
        <v>1.91705848</v>
      </c>
      <c r="G74" s="18" t="n">
        <v>48.6014158</v>
      </c>
      <c r="H74" s="20" t="n">
        <v>1.8636306</v>
      </c>
      <c r="I74" s="18" t="s">
        <v>567</v>
      </c>
      <c r="J74" s="20" t="s">
        <v>567</v>
      </c>
      <c r="K74" s="18" t="n">
        <v>5.06445166</v>
      </c>
      <c r="L74" s="20" t="n">
        <v>0.8886342699999999</v>
      </c>
      <c r="M74" s="18" t="n">
        <v>0</v>
      </c>
      <c r="N74" s="20" t="n">
        <v>0</v>
      </c>
      <c r="O74" s="18" t="n">
        <v>0</v>
      </c>
      <c r="P74" s="20" t="n">
        <v>0</v>
      </c>
      <c r="Q74" s="18" t="n">
        <v>3.59933352</v>
      </c>
      <c r="R74" s="20" t="n">
        <v>0.67368556</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(1846.0/B78*100)</f>
        <v/>
      </c>
      <c r="D78" s="19" t="n">
        <v>940</v>
      </c>
      <c r="E78" s="18" t="n">
        <v>24.52503751</v>
      </c>
      <c r="F78" s="20" t="n">
        <v>1.66963838</v>
      </c>
      <c r="G78" s="18" t="n">
        <v>75.47496249</v>
      </c>
      <c r="H78" s="20" t="n">
        <v>1.66963838</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(532.0/B79*100)</f>
        <v/>
      </c>
      <c r="D79" s="19" t="n">
        <v>255</v>
      </c>
      <c r="E79" s="18" t="n">
        <v>26.38845528</v>
      </c>
      <c r="F79" s="20" t="n">
        <v>3.6140815</v>
      </c>
      <c r="G79" s="18" t="n">
        <v>68.90716232</v>
      </c>
      <c r="H79" s="20" t="n">
        <v>3.58908289</v>
      </c>
      <c r="I79" s="18" t="s">
        <v>567</v>
      </c>
      <c r="J79" s="20" t="s">
        <v>567</v>
      </c>
      <c r="K79" s="18" t="n">
        <v>2.57084342</v>
      </c>
      <c r="L79" s="20" t="n">
        <v>0.88691186</v>
      </c>
      <c r="M79" s="18" t="n">
        <v>0.45615985</v>
      </c>
      <c r="N79" s="20" t="n">
        <v>0.46080341</v>
      </c>
      <c r="O79" s="18" t="n">
        <v>0</v>
      </c>
      <c r="P79" s="20" t="n">
        <v>0</v>
      </c>
      <c r="Q79" s="18" t="n">
        <v>1.67737912</v>
      </c>
      <c r="R79" s="20" t="n">
        <v>0.78241008</v>
      </c>
    </row>
    <row r="80" spans="1:18">
      <c r="A80" s="15" t="s">
        <v>640</v>
      </c>
      <c r="B80" s="17" t="n">
        <v>3798</v>
      </c>
      <c r="C80" s="18">
        <f>(2528.0/B80*100)</f>
        <v/>
      </c>
      <c r="D80" s="19" t="n">
        <v>1270</v>
      </c>
      <c r="E80" s="18" t="n">
        <v>46.60496333</v>
      </c>
      <c r="F80" s="20" t="n">
        <v>2.32148547</v>
      </c>
      <c r="G80" s="18" t="n">
        <v>52.95504697</v>
      </c>
      <c r="H80" s="20" t="n">
        <v>2.34417191</v>
      </c>
      <c r="I80" s="18" t="s">
        <v>567</v>
      </c>
      <c r="J80" s="20" t="s">
        <v>567</v>
      </c>
      <c r="K80" s="18" t="n">
        <v>0</v>
      </c>
      <c r="L80" s="20" t="n">
        <v>0</v>
      </c>
      <c r="M80" s="18" t="n">
        <v>0</v>
      </c>
      <c r="N80" s="20" t="n">
        <v>0</v>
      </c>
      <c r="O80" s="18" t="n">
        <v>0</v>
      </c>
      <c r="P80" s="20" t="n">
        <v>0</v>
      </c>
      <c r="Q80" s="18" t="n">
        <v>0.4399897</v>
      </c>
      <c r="R80" s="20" t="n">
        <v>0.15140422</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(1693.0/B44*100)</f>
        <v/>
      </c>
      <c r="D44" s="19" t="n">
        <v>831</v>
      </c>
      <c r="E44" s="18" t="n">
        <v>32.58201854</v>
      </c>
      <c r="F44" s="20" t="n">
        <v>2.25783725</v>
      </c>
      <c r="G44" s="18" t="n">
        <v>20.04311695</v>
      </c>
      <c r="H44" s="20" t="n">
        <v>1.66611793</v>
      </c>
      <c r="I44" s="18" t="s">
        <v>567</v>
      </c>
      <c r="J44" s="20" t="s">
        <v>567</v>
      </c>
      <c r="K44" s="18" t="n">
        <v>1.43083224</v>
      </c>
      <c r="L44" s="20" t="n">
        <v>0.3256075</v>
      </c>
      <c r="M44" s="18" t="n">
        <v>0</v>
      </c>
      <c r="N44" s="20" t="n">
        <v>0</v>
      </c>
      <c r="O44" s="18" t="n">
        <v>0</v>
      </c>
      <c r="P44" s="20" t="n">
        <v>0</v>
      </c>
      <c r="Q44" s="18" t="n">
        <v>45.94403227</v>
      </c>
      <c r="R44" s="20" t="n">
        <v>2.05168751</v>
      </c>
    </row>
    <row r="45" spans="1:18">
      <c r="A45" s="15" t="s">
        <v>605</v>
      </c>
      <c r="B45" s="17" t="n">
        <v>2849</v>
      </c>
      <c r="C45" s="18">
        <f>(1902.0/B45*100)</f>
        <v/>
      </c>
      <c r="D45" s="19" t="n">
        <v>947</v>
      </c>
      <c r="E45" s="18" t="n">
        <v>45.60409698</v>
      </c>
      <c r="F45" s="20" t="n">
        <v>1.74047634</v>
      </c>
      <c r="G45" s="18" t="n">
        <v>12.13803672</v>
      </c>
      <c r="H45" s="20" t="n">
        <v>1.17817011</v>
      </c>
      <c r="I45" s="18" t="s">
        <v>567</v>
      </c>
      <c r="J45" s="20" t="s">
        <v>567</v>
      </c>
      <c r="K45" s="18" t="n">
        <v>4.62444298</v>
      </c>
      <c r="L45" s="20" t="n">
        <v>0.7116681500000001</v>
      </c>
      <c r="M45" s="18" t="n">
        <v>0.12371493</v>
      </c>
      <c r="N45" s="20" t="n">
        <v>0.12854345</v>
      </c>
      <c r="O45" s="18" t="n">
        <v>0</v>
      </c>
      <c r="P45" s="20" t="n">
        <v>0</v>
      </c>
      <c r="Q45" s="18" t="n">
        <v>37.50970839</v>
      </c>
      <c r="R45" s="20" t="n">
        <v>1.60345337</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(2004.0/B49*100)</f>
        <v/>
      </c>
      <c r="D49" s="19" t="n">
        <v>1014</v>
      </c>
      <c r="E49" s="18" t="n">
        <v>51.10918022</v>
      </c>
      <c r="F49" s="20" t="n">
        <v>1.89868546</v>
      </c>
      <c r="G49" s="18" t="n">
        <v>16.64313792</v>
      </c>
      <c r="H49" s="20" t="n">
        <v>1.266163</v>
      </c>
      <c r="I49" s="18" t="s">
        <v>567</v>
      </c>
      <c r="J49" s="20" t="s">
        <v>567</v>
      </c>
      <c r="K49" s="18" t="n">
        <v>1.24997485</v>
      </c>
      <c r="L49" s="20" t="n">
        <v>0.37007056</v>
      </c>
      <c r="M49" s="18" t="n">
        <v>0.03561508</v>
      </c>
      <c r="N49" s="20" t="n">
        <v>0.0356222</v>
      </c>
      <c r="O49" s="18" t="n">
        <v>0</v>
      </c>
      <c r="P49" s="20" t="n">
        <v>0</v>
      </c>
      <c r="Q49" s="18" t="n">
        <v>30.96209193</v>
      </c>
      <c r="R49" s="20" t="n">
        <v>1.91776642</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(1853.0/B55*100)</f>
        <v/>
      </c>
      <c r="D55" s="19" t="n">
        <v>906</v>
      </c>
      <c r="E55" s="18" t="n">
        <v>36.60370705</v>
      </c>
      <c r="F55" s="20" t="n">
        <v>1.86702434</v>
      </c>
      <c r="G55" s="18" t="n">
        <v>10.81807257</v>
      </c>
      <c r="H55" s="20" t="n">
        <v>1.07467736</v>
      </c>
      <c r="I55" s="18" t="s">
        <v>567</v>
      </c>
      <c r="J55" s="20" t="s">
        <v>567</v>
      </c>
      <c r="K55" s="18" t="n">
        <v>0.88131573</v>
      </c>
      <c r="L55" s="20" t="n">
        <v>0.35566367</v>
      </c>
      <c r="M55" s="18" t="n">
        <v>0</v>
      </c>
      <c r="N55" s="20" t="n">
        <v>0</v>
      </c>
      <c r="O55" s="18" t="n">
        <v>0</v>
      </c>
      <c r="P55" s="20" t="n">
        <v>0</v>
      </c>
      <c r="Q55" s="18" t="n">
        <v>51.69690465</v>
      </c>
      <c r="R55" s="20" t="n">
        <v>2.04964025</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(2098.0/B57*100)</f>
        <v/>
      </c>
      <c r="D57" s="19" t="n">
        <v>1072</v>
      </c>
      <c r="E57" s="18" t="n">
        <v>71.78270526</v>
      </c>
      <c r="F57" s="20" t="n">
        <v>1.51603217</v>
      </c>
      <c r="G57" s="18" t="n">
        <v>16.66267979</v>
      </c>
      <c r="H57" s="20" t="n">
        <v>1.31893072</v>
      </c>
      <c r="I57" s="18" t="s">
        <v>567</v>
      </c>
      <c r="J57" s="20" t="s">
        <v>567</v>
      </c>
      <c r="K57" s="18" t="n">
        <v>0.90893345</v>
      </c>
      <c r="L57" s="20" t="n">
        <v>0.29821536</v>
      </c>
      <c r="M57" s="18" t="n">
        <v>0</v>
      </c>
      <c r="N57" s="20" t="n">
        <v>0</v>
      </c>
      <c r="O57" s="18" t="n">
        <v>0</v>
      </c>
      <c r="P57" s="20" t="n">
        <v>0</v>
      </c>
      <c r="Q57" s="18" t="n">
        <v>10.64568149</v>
      </c>
      <c r="R57" s="20" t="n">
        <v>1.3158841</v>
      </c>
    </row>
    <row r="58" spans="1:18">
      <c r="A58" s="15" t="s">
        <v>618</v>
      </c>
      <c r="B58" s="17" t="n">
        <v>3530</v>
      </c>
      <c r="C58" s="18">
        <f>(2366.0/B58*100)</f>
        <v/>
      </c>
      <c r="D58" s="19" t="n">
        <v>1164</v>
      </c>
      <c r="E58" s="18" t="n">
        <v>58.81087023</v>
      </c>
      <c r="F58" s="20" t="n">
        <v>1.84395597</v>
      </c>
      <c r="G58" s="18" t="n">
        <v>15.52910642</v>
      </c>
      <c r="H58" s="20" t="n">
        <v>1.26986765</v>
      </c>
      <c r="I58" s="18" t="s">
        <v>567</v>
      </c>
      <c r="J58" s="20" t="s">
        <v>567</v>
      </c>
      <c r="K58" s="18" t="n">
        <v>1.99861215</v>
      </c>
      <c r="L58" s="20" t="n">
        <v>0.46164332</v>
      </c>
      <c r="M58" s="18" t="n">
        <v>0</v>
      </c>
      <c r="N58" s="20" t="n">
        <v>0</v>
      </c>
      <c r="O58" s="18" t="n">
        <v>0</v>
      </c>
      <c r="P58" s="20" t="n">
        <v>0</v>
      </c>
      <c r="Q58" s="18" t="n">
        <v>23.66141121</v>
      </c>
      <c r="R58" s="20" t="n">
        <v>1.64353099</v>
      </c>
    </row>
    <row r="59" spans="1:18">
      <c r="A59" s="15" t="s">
        <v>619</v>
      </c>
      <c r="B59" s="17" t="n">
        <v>2548</v>
      </c>
      <c r="C59" s="18">
        <f>(1684.0/B59*100)</f>
        <v/>
      </c>
      <c r="D59" s="19" t="n">
        <v>864</v>
      </c>
      <c r="E59" s="18" t="n">
        <v>57.80256819</v>
      </c>
      <c r="F59" s="20" t="n">
        <v>1.65814699</v>
      </c>
      <c r="G59" s="18" t="n">
        <v>8.49853841</v>
      </c>
      <c r="H59" s="20" t="n">
        <v>1.27140998</v>
      </c>
      <c r="I59" s="18" t="s">
        <v>567</v>
      </c>
      <c r="J59" s="20" t="s">
        <v>567</v>
      </c>
      <c r="K59" s="18" t="n">
        <v>0.43027008</v>
      </c>
      <c r="L59" s="20" t="n">
        <v>0.16773922</v>
      </c>
      <c r="M59" s="18" t="n">
        <v>0</v>
      </c>
      <c r="N59" s="20" t="n">
        <v>0</v>
      </c>
      <c r="O59" s="18" t="n">
        <v>0</v>
      </c>
      <c r="P59" s="20" t="n">
        <v>0</v>
      </c>
      <c r="Q59" s="18" t="n">
        <v>33.26862332</v>
      </c>
      <c r="R59" s="20" t="n">
        <v>1.43316442</v>
      </c>
    </row>
    <row r="60" spans="1:18">
      <c r="A60" s="15" t="s">
        <v>620</v>
      </c>
      <c r="B60" s="17" t="n">
        <v>2095</v>
      </c>
      <c r="C60" s="18">
        <f>(1381.0/B60*100)</f>
        <v/>
      </c>
      <c r="D60" s="19" t="n">
        <v>714</v>
      </c>
      <c r="E60" s="18" t="n">
        <v>42.05541413</v>
      </c>
      <c r="F60" s="20" t="n">
        <v>2.18191634</v>
      </c>
      <c r="G60" s="18" t="n">
        <v>14.66253409</v>
      </c>
      <c r="H60" s="20" t="n">
        <v>1.4037008</v>
      </c>
      <c r="I60" s="18" t="s">
        <v>567</v>
      </c>
      <c r="J60" s="20" t="s">
        <v>567</v>
      </c>
      <c r="K60" s="18" t="n">
        <v>2.11101718</v>
      </c>
      <c r="L60" s="20" t="n">
        <v>0.61520671</v>
      </c>
      <c r="M60" s="18" t="n">
        <v>0</v>
      </c>
      <c r="N60" s="20" t="n">
        <v>0</v>
      </c>
      <c r="O60" s="18" t="n">
        <v>0.18835694</v>
      </c>
      <c r="P60" s="20" t="n">
        <v>0.18877505</v>
      </c>
      <c r="Q60" s="18" t="n">
        <v>40.98267766</v>
      </c>
      <c r="R60" s="20" t="n">
        <v>2.17061902</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(1867.0/B63*100)</f>
        <v/>
      </c>
      <c r="D63" s="19" t="n">
        <v>946</v>
      </c>
      <c r="E63" s="18" t="n">
        <v>20.65072555</v>
      </c>
      <c r="F63" s="20" t="n">
        <v>1.37716864</v>
      </c>
      <c r="G63" s="18" t="n">
        <v>8.82169841</v>
      </c>
      <c r="H63" s="20" t="n">
        <v>1.07903187</v>
      </c>
      <c r="I63" s="18" t="s">
        <v>567</v>
      </c>
      <c r="J63" s="20" t="s">
        <v>567</v>
      </c>
      <c r="K63" s="18" t="n">
        <v>2.01860809</v>
      </c>
      <c r="L63" s="20" t="n">
        <v>0.51508792</v>
      </c>
      <c r="M63" s="18" t="n">
        <v>0</v>
      </c>
      <c r="N63" s="20" t="n">
        <v>0</v>
      </c>
      <c r="O63" s="18" t="n">
        <v>0.13075548</v>
      </c>
      <c r="P63" s="20" t="n">
        <v>0.1309227</v>
      </c>
      <c r="Q63" s="18" t="n">
        <v>68.37821246999999</v>
      </c>
      <c r="R63" s="20" t="n">
        <v>1.68055643</v>
      </c>
    </row>
    <row r="64" spans="1:18">
      <c r="A64" s="15" t="s">
        <v>624</v>
      </c>
      <c r="B64" s="17" t="n">
        <v>1844</v>
      </c>
      <c r="C64" s="18">
        <f>(1212.0/B64*100)</f>
        <v/>
      </c>
      <c r="D64" s="19" t="n">
        <v>632</v>
      </c>
      <c r="E64" s="18" t="n">
        <v>34.13875584</v>
      </c>
      <c r="F64" s="20" t="n">
        <v>1.7875731</v>
      </c>
      <c r="G64" s="18" t="n">
        <v>37.75687192</v>
      </c>
      <c r="H64" s="20" t="n">
        <v>1.88853523</v>
      </c>
      <c r="I64" s="18" t="s">
        <v>567</v>
      </c>
      <c r="J64" s="20" t="s">
        <v>567</v>
      </c>
      <c r="K64" s="18" t="n">
        <v>2.45366951</v>
      </c>
      <c r="L64" s="20" t="n">
        <v>0.69037279</v>
      </c>
      <c r="M64" s="18" t="n">
        <v>0</v>
      </c>
      <c r="N64" s="20" t="n">
        <v>0</v>
      </c>
      <c r="O64" s="18" t="n">
        <v>0</v>
      </c>
      <c r="P64" s="20" t="n">
        <v>0</v>
      </c>
      <c r="Q64" s="18" t="n">
        <v>25.65070274</v>
      </c>
      <c r="R64" s="20" t="n">
        <v>1.86578649</v>
      </c>
    </row>
    <row r="65" spans="1:18">
      <c r="A65" s="15" t="s">
        <v>625</v>
      </c>
      <c r="B65" s="17" t="n">
        <v>2691</v>
      </c>
      <c r="C65" s="18">
        <f>(1812.0/B65*100)</f>
        <v/>
      </c>
      <c r="D65" s="19" t="n">
        <v>879</v>
      </c>
      <c r="E65" s="18" t="n">
        <v>31.92861239</v>
      </c>
      <c r="F65" s="20" t="n">
        <v>1.7131554</v>
      </c>
      <c r="G65" s="18" t="n">
        <v>22.13892954</v>
      </c>
      <c r="H65" s="20" t="n">
        <v>1.52644694</v>
      </c>
      <c r="I65" s="18" t="s">
        <v>567</v>
      </c>
      <c r="J65" s="20" t="s">
        <v>567</v>
      </c>
      <c r="K65" s="18" t="n">
        <v>2.9871192</v>
      </c>
      <c r="L65" s="20" t="n">
        <v>0.59053671</v>
      </c>
      <c r="M65" s="18" t="n">
        <v>0</v>
      </c>
      <c r="N65" s="20" t="n">
        <v>0</v>
      </c>
      <c r="O65" s="18" t="n">
        <v>0</v>
      </c>
      <c r="P65" s="20" t="n">
        <v>0</v>
      </c>
      <c r="Q65" s="18" t="n">
        <v>42.94533887</v>
      </c>
      <c r="R65" s="20" t="n">
        <v>1.93925784</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(1592.0/B69*100)</f>
        <v/>
      </c>
      <c r="D69" s="19" t="n">
        <v>818</v>
      </c>
      <c r="E69" s="18" t="n">
        <v>64.97788826</v>
      </c>
      <c r="F69" s="20" t="n">
        <v>1.78802186</v>
      </c>
      <c r="G69" s="18" t="n">
        <v>34.60070717</v>
      </c>
      <c r="H69" s="20" t="n">
        <v>1.81221</v>
      </c>
      <c r="I69" s="18" t="s">
        <v>567</v>
      </c>
      <c r="J69" s="20" t="s">
        <v>567</v>
      </c>
      <c r="K69" s="18" t="n">
        <v>0</v>
      </c>
      <c r="L69" s="20" t="n">
        <v>0</v>
      </c>
      <c r="M69" s="18" t="n">
        <v>0</v>
      </c>
      <c r="N69" s="20" t="n">
        <v>0</v>
      </c>
      <c r="O69" s="18" t="n">
        <v>0</v>
      </c>
      <c r="P69" s="20" t="n">
        <v>0</v>
      </c>
      <c r="Q69" s="18" t="n">
        <v>0.42140457</v>
      </c>
      <c r="R69" s="20" t="n">
        <v>0.14263508</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(1482.0/B74*100)</f>
        <v/>
      </c>
      <c r="D74" s="19" t="n">
        <v>757</v>
      </c>
      <c r="E74" s="18" t="n">
        <v>43.56677622</v>
      </c>
      <c r="F74" s="20" t="n">
        <v>1.8462369</v>
      </c>
      <c r="G74" s="18" t="n">
        <v>21.53387566</v>
      </c>
      <c r="H74" s="20" t="n">
        <v>1.82221985</v>
      </c>
      <c r="I74" s="18" t="s">
        <v>567</v>
      </c>
      <c r="J74" s="20" t="s">
        <v>567</v>
      </c>
      <c r="K74" s="18" t="n">
        <v>5.87503387</v>
      </c>
      <c r="L74" s="20" t="n">
        <v>0.92076342</v>
      </c>
      <c r="M74" s="18" t="n">
        <v>0</v>
      </c>
      <c r="N74" s="20" t="n">
        <v>0</v>
      </c>
      <c r="O74" s="18" t="n">
        <v>0</v>
      </c>
      <c r="P74" s="20" t="n">
        <v>0</v>
      </c>
      <c r="Q74" s="18" t="n">
        <v>29.02431425</v>
      </c>
      <c r="R74" s="20" t="n">
        <v>1.90588259</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(1846.0/B78*100)</f>
        <v/>
      </c>
      <c r="D78" s="19" t="n">
        <v>940</v>
      </c>
      <c r="E78" s="18" t="n">
        <v>64.43136608</v>
      </c>
      <c r="F78" s="20" t="n">
        <v>1.89082464</v>
      </c>
      <c r="G78" s="18" t="n">
        <v>33.47896034</v>
      </c>
      <c r="H78" s="20" t="n">
        <v>1.81593154</v>
      </c>
      <c r="I78" s="18" t="s">
        <v>567</v>
      </c>
      <c r="J78" s="20" t="s">
        <v>567</v>
      </c>
      <c r="K78" s="18" t="n">
        <v>0</v>
      </c>
      <c r="L78" s="20" t="n">
        <v>0</v>
      </c>
      <c r="M78" s="18" t="n">
        <v>0</v>
      </c>
      <c r="N78" s="20" t="n">
        <v>0</v>
      </c>
      <c r="O78" s="18" t="n">
        <v>0</v>
      </c>
      <c r="P78" s="20" t="n">
        <v>0</v>
      </c>
      <c r="Q78" s="18" t="n">
        <v>2.08967358</v>
      </c>
      <c r="R78" s="20" t="n">
        <v>0.45917526</v>
      </c>
    </row>
    <row customHeight="1" ht="25" r="79" spans="1:18">
      <c r="A79" s="15" t="s">
        <v>639</v>
      </c>
      <c r="B79" s="17" t="n">
        <v>787</v>
      </c>
      <c r="C79" s="18">
        <f>(532.0/B79*100)</f>
        <v/>
      </c>
      <c r="D79" s="19" t="n">
        <v>255</v>
      </c>
      <c r="E79" s="18" t="n">
        <v>44.72892283</v>
      </c>
      <c r="F79" s="20" t="n">
        <v>3.87479385</v>
      </c>
      <c r="G79" s="18" t="n">
        <v>22.98638009</v>
      </c>
      <c r="H79" s="20" t="n">
        <v>3.00808562</v>
      </c>
      <c r="I79" s="18" t="s">
        <v>567</v>
      </c>
      <c r="J79" s="20" t="s">
        <v>567</v>
      </c>
      <c r="K79" s="18" t="n">
        <v>3.08561272</v>
      </c>
      <c r="L79" s="20" t="n">
        <v>0.99363499</v>
      </c>
      <c r="M79" s="18" t="n">
        <v>0.45615985</v>
      </c>
      <c r="N79" s="20" t="n">
        <v>0.46080341</v>
      </c>
      <c r="O79" s="18" t="n">
        <v>0</v>
      </c>
      <c r="P79" s="20" t="n">
        <v>0</v>
      </c>
      <c r="Q79" s="18" t="n">
        <v>28.74292451</v>
      </c>
      <c r="R79" s="20" t="n">
        <v>3.23207318</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(1693.0/B44*100)</f>
        <v/>
      </c>
      <c r="D44" s="19" t="n">
        <v>831</v>
      </c>
      <c r="E44" s="18" t="n">
        <v>47.18028304</v>
      </c>
      <c r="F44" s="20" t="n">
        <v>2.34974988</v>
      </c>
      <c r="G44" s="18" t="n">
        <v>46.82125289</v>
      </c>
      <c r="H44" s="20" t="n">
        <v>2.01907459</v>
      </c>
      <c r="I44" s="18" t="s">
        <v>567</v>
      </c>
      <c r="J44" s="20" t="s">
        <v>567</v>
      </c>
      <c r="K44" s="18" t="n">
        <v>1.5494743</v>
      </c>
      <c r="L44" s="20" t="n">
        <v>0.3411115</v>
      </c>
      <c r="M44" s="18" t="n">
        <v>0</v>
      </c>
      <c r="N44" s="20" t="n">
        <v>0</v>
      </c>
      <c r="O44" s="18" t="n">
        <v>0</v>
      </c>
      <c r="P44" s="20" t="n">
        <v>0</v>
      </c>
      <c r="Q44" s="18" t="n">
        <v>4.44898977</v>
      </c>
      <c r="R44" s="20" t="n">
        <v>0.80842593</v>
      </c>
    </row>
    <row r="45" spans="1:18">
      <c r="A45" s="15" t="s">
        <v>605</v>
      </c>
      <c r="B45" s="17" t="n">
        <v>2849</v>
      </c>
      <c r="C45" s="18">
        <f>(1902.0/B45*100)</f>
        <v/>
      </c>
      <c r="D45" s="19" t="n">
        <v>947</v>
      </c>
      <c r="E45" s="18" t="n">
        <v>54.17857745</v>
      </c>
      <c r="F45" s="20" t="n">
        <v>1.78291227</v>
      </c>
      <c r="G45" s="18" t="n">
        <v>37.04442479</v>
      </c>
      <c r="H45" s="20" t="n">
        <v>1.55267745</v>
      </c>
      <c r="I45" s="18" t="s">
        <v>567</v>
      </c>
      <c r="J45" s="20" t="s">
        <v>567</v>
      </c>
      <c r="K45" s="18" t="n">
        <v>4.62444298</v>
      </c>
      <c r="L45" s="20" t="n">
        <v>0.7116681500000001</v>
      </c>
      <c r="M45" s="18" t="n">
        <v>0.36061928</v>
      </c>
      <c r="N45" s="20" t="n">
        <v>0.2114124</v>
      </c>
      <c r="O45" s="18" t="n">
        <v>0.10447235</v>
      </c>
      <c r="P45" s="20" t="n">
        <v>0.11143943</v>
      </c>
      <c r="Q45" s="18" t="n">
        <v>3.68746315</v>
      </c>
      <c r="R45" s="20" t="n">
        <v>0.74874112</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(2004.0/B49*100)</f>
        <v/>
      </c>
      <c r="D49" s="19" t="n">
        <v>1014</v>
      </c>
      <c r="E49" s="18" t="n">
        <v>59.90557142</v>
      </c>
      <c r="F49" s="20" t="n">
        <v>1.66675245</v>
      </c>
      <c r="G49" s="18" t="n">
        <v>37.9220381</v>
      </c>
      <c r="H49" s="20" t="n">
        <v>1.70765857</v>
      </c>
      <c r="I49" s="18" t="s">
        <v>567</v>
      </c>
      <c r="J49" s="20" t="s">
        <v>567</v>
      </c>
      <c r="K49" s="18" t="n">
        <v>1.24997485</v>
      </c>
      <c r="L49" s="20" t="n">
        <v>0.37007056</v>
      </c>
      <c r="M49" s="18" t="n">
        <v>0</v>
      </c>
      <c r="N49" s="20" t="n">
        <v>0</v>
      </c>
      <c r="O49" s="18" t="n">
        <v>0</v>
      </c>
      <c r="P49" s="20" t="n">
        <v>0</v>
      </c>
      <c r="Q49" s="18" t="n">
        <v>0.92241562</v>
      </c>
      <c r="R49" s="20" t="n">
        <v>0.28916187</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(1853.0/B55*100)</f>
        <v/>
      </c>
      <c r="D55" s="19" t="n">
        <v>906</v>
      </c>
      <c r="E55" s="18" t="n">
        <v>45.81210283</v>
      </c>
      <c r="F55" s="20" t="n">
        <v>2.09801951</v>
      </c>
      <c r="G55" s="18" t="n">
        <v>50.12355797</v>
      </c>
      <c r="H55" s="20" t="n">
        <v>2.04999306</v>
      </c>
      <c r="I55" s="18" t="s">
        <v>567</v>
      </c>
      <c r="J55" s="20" t="s">
        <v>567</v>
      </c>
      <c r="K55" s="18" t="n">
        <v>0.88131573</v>
      </c>
      <c r="L55" s="20" t="n">
        <v>0.35566367</v>
      </c>
      <c r="M55" s="18" t="n">
        <v>0</v>
      </c>
      <c r="N55" s="20" t="n">
        <v>0</v>
      </c>
      <c r="O55" s="18" t="n">
        <v>0</v>
      </c>
      <c r="P55" s="20" t="n">
        <v>0</v>
      </c>
      <c r="Q55" s="18" t="n">
        <v>3.18302347</v>
      </c>
      <c r="R55" s="20" t="n">
        <v>0.53799743</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(2098.0/B57*100)</f>
        <v/>
      </c>
      <c r="D57" s="19" t="n">
        <v>1072</v>
      </c>
      <c r="E57" s="18" t="n">
        <v>42.35582883</v>
      </c>
      <c r="F57" s="20" t="n">
        <v>1.79146785</v>
      </c>
      <c r="G57" s="18" t="n">
        <v>55.70502571</v>
      </c>
      <c r="H57" s="20" t="n">
        <v>1.85568146</v>
      </c>
      <c r="I57" s="18" t="s">
        <v>567</v>
      </c>
      <c r="J57" s="20" t="s">
        <v>567</v>
      </c>
      <c r="K57" s="18" t="n">
        <v>0.90893345</v>
      </c>
      <c r="L57" s="20" t="n">
        <v>0.29821536</v>
      </c>
      <c r="M57" s="18" t="n">
        <v>0</v>
      </c>
      <c r="N57" s="20" t="n">
        <v>0</v>
      </c>
      <c r="O57" s="18" t="n">
        <v>0</v>
      </c>
      <c r="P57" s="20" t="n">
        <v>0</v>
      </c>
      <c r="Q57" s="18" t="n">
        <v>1.03021201</v>
      </c>
      <c r="R57" s="20" t="n">
        <v>0.36741913</v>
      </c>
    </row>
    <row r="58" spans="1:18">
      <c r="A58" s="15" t="s">
        <v>618</v>
      </c>
      <c r="B58" s="17" t="n">
        <v>3530</v>
      </c>
      <c r="C58" s="18">
        <f>(2366.0/B58*100)</f>
        <v/>
      </c>
      <c r="D58" s="19" t="n">
        <v>1164</v>
      </c>
      <c r="E58" s="18" t="n">
        <v>58.03112656</v>
      </c>
      <c r="F58" s="20" t="n">
        <v>1.74195567</v>
      </c>
      <c r="G58" s="18" t="n">
        <v>37.50555934</v>
      </c>
      <c r="H58" s="20" t="n">
        <v>1.69321773</v>
      </c>
      <c r="I58" s="18" t="s">
        <v>567</v>
      </c>
      <c r="J58" s="20" t="s">
        <v>567</v>
      </c>
      <c r="K58" s="18" t="n">
        <v>1.99861215</v>
      </c>
      <c r="L58" s="20" t="n">
        <v>0.46164332</v>
      </c>
      <c r="M58" s="18" t="n">
        <v>0</v>
      </c>
      <c r="N58" s="20" t="n">
        <v>0</v>
      </c>
      <c r="O58" s="18" t="n">
        <v>0</v>
      </c>
      <c r="P58" s="20" t="n">
        <v>0</v>
      </c>
      <c r="Q58" s="18" t="n">
        <v>2.46470195</v>
      </c>
      <c r="R58" s="20" t="n">
        <v>0.62821084</v>
      </c>
    </row>
    <row r="59" spans="1:18">
      <c r="A59" s="15" t="s">
        <v>619</v>
      </c>
      <c r="B59" s="17" t="n">
        <v>2548</v>
      </c>
      <c r="C59" s="18">
        <f>(1684.0/B59*100)</f>
        <v/>
      </c>
      <c r="D59" s="19" t="n">
        <v>864</v>
      </c>
      <c r="E59" s="18" t="n">
        <v>54.63806085</v>
      </c>
      <c r="F59" s="20" t="n">
        <v>2.11823942</v>
      </c>
      <c r="G59" s="18" t="n">
        <v>42.67440266</v>
      </c>
      <c r="H59" s="20" t="n">
        <v>2.12225572</v>
      </c>
      <c r="I59" s="18" t="s">
        <v>567</v>
      </c>
      <c r="J59" s="20" t="s">
        <v>567</v>
      </c>
      <c r="K59" s="18" t="n">
        <v>0.43027008</v>
      </c>
      <c r="L59" s="20" t="n">
        <v>0.16773922</v>
      </c>
      <c r="M59" s="18" t="n">
        <v>0</v>
      </c>
      <c r="N59" s="20" t="n">
        <v>0</v>
      </c>
      <c r="O59" s="18" t="n">
        <v>0</v>
      </c>
      <c r="P59" s="20" t="n">
        <v>0</v>
      </c>
      <c r="Q59" s="18" t="n">
        <v>2.25726642</v>
      </c>
      <c r="R59" s="20" t="n">
        <v>0.37512114</v>
      </c>
    </row>
    <row r="60" spans="1:18">
      <c r="A60" s="15" t="s">
        <v>620</v>
      </c>
      <c r="B60" s="17" t="n">
        <v>2095</v>
      </c>
      <c r="C60" s="18">
        <f>(1381.0/B60*100)</f>
        <v/>
      </c>
      <c r="D60" s="19" t="n">
        <v>714</v>
      </c>
      <c r="E60" s="18" t="n">
        <v>63.04163407</v>
      </c>
      <c r="F60" s="20" t="n">
        <v>2.30372286</v>
      </c>
      <c r="G60" s="18" t="n">
        <v>30.37190783</v>
      </c>
      <c r="H60" s="20" t="n">
        <v>2.14805096</v>
      </c>
      <c r="I60" s="18" t="s">
        <v>567</v>
      </c>
      <c r="J60" s="20" t="s">
        <v>567</v>
      </c>
      <c r="K60" s="18" t="n">
        <v>2.11101718</v>
      </c>
      <c r="L60" s="20" t="n">
        <v>0.61520671</v>
      </c>
      <c r="M60" s="18" t="n">
        <v>0</v>
      </c>
      <c r="N60" s="20" t="n">
        <v>0</v>
      </c>
      <c r="O60" s="18" t="n">
        <v>0</v>
      </c>
      <c r="P60" s="20" t="n">
        <v>0</v>
      </c>
      <c r="Q60" s="18" t="n">
        <v>4.47544093</v>
      </c>
      <c r="R60" s="20" t="n">
        <v>0.7891562</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(1867.0/B63*100)</f>
        <v/>
      </c>
      <c r="D63" s="19" t="n">
        <v>946</v>
      </c>
      <c r="E63" s="18" t="n">
        <v>53.19597434</v>
      </c>
      <c r="F63" s="20" t="n">
        <v>1.74484791</v>
      </c>
      <c r="G63" s="18" t="n">
        <v>40.92767832</v>
      </c>
      <c r="H63" s="20" t="n">
        <v>1.89915618</v>
      </c>
      <c r="I63" s="18" t="s">
        <v>567</v>
      </c>
      <c r="J63" s="20" t="s">
        <v>567</v>
      </c>
      <c r="K63" s="18" t="n">
        <v>2.10698285</v>
      </c>
      <c r="L63" s="20" t="n">
        <v>0.52056404</v>
      </c>
      <c r="M63" s="18" t="n">
        <v>0</v>
      </c>
      <c r="N63" s="20" t="n">
        <v>0</v>
      </c>
      <c r="O63" s="18" t="n">
        <v>0</v>
      </c>
      <c r="P63" s="20" t="n">
        <v>0</v>
      </c>
      <c r="Q63" s="18" t="n">
        <v>3.7693645</v>
      </c>
      <c r="R63" s="20" t="n">
        <v>0.68223086</v>
      </c>
    </row>
    <row r="64" spans="1:18">
      <c r="A64" s="15" t="s">
        <v>624</v>
      </c>
      <c r="B64" s="17" t="n">
        <v>1844</v>
      </c>
      <c r="C64" s="18">
        <f>(1212.0/B64*100)</f>
        <v/>
      </c>
      <c r="D64" s="19" t="n">
        <v>632</v>
      </c>
      <c r="E64" s="18" t="n">
        <v>37.85593833</v>
      </c>
      <c r="F64" s="20" t="n">
        <v>2.13075016</v>
      </c>
      <c r="G64" s="18" t="n">
        <v>58.73922795</v>
      </c>
      <c r="H64" s="20" t="n">
        <v>2.15915273</v>
      </c>
      <c r="I64" s="18" t="s">
        <v>567</v>
      </c>
      <c r="J64" s="20" t="s">
        <v>567</v>
      </c>
      <c r="K64" s="18" t="n">
        <v>2.45366951</v>
      </c>
      <c r="L64" s="20" t="n">
        <v>0.69037279</v>
      </c>
      <c r="M64" s="18" t="n">
        <v>0</v>
      </c>
      <c r="N64" s="20" t="n">
        <v>0</v>
      </c>
      <c r="O64" s="18" t="n">
        <v>0</v>
      </c>
      <c r="P64" s="20" t="n">
        <v>0</v>
      </c>
      <c r="Q64" s="18" t="n">
        <v>0.95116421</v>
      </c>
      <c r="R64" s="20" t="n">
        <v>0.30835238</v>
      </c>
    </row>
    <row r="65" spans="1:18">
      <c r="A65" s="15" t="s">
        <v>625</v>
      </c>
      <c r="B65" s="17" t="n">
        <v>2691</v>
      </c>
      <c r="C65" s="18">
        <f>(1812.0/B65*100)</f>
        <v/>
      </c>
      <c r="D65" s="19" t="n">
        <v>879</v>
      </c>
      <c r="E65" s="18" t="n">
        <v>49.76792585</v>
      </c>
      <c r="F65" s="20" t="n">
        <v>1.8123137</v>
      </c>
      <c r="G65" s="18" t="n">
        <v>44.37818122</v>
      </c>
      <c r="H65" s="20" t="n">
        <v>1.65450601</v>
      </c>
      <c r="I65" s="18" t="s">
        <v>567</v>
      </c>
      <c r="J65" s="20" t="s">
        <v>567</v>
      </c>
      <c r="K65" s="18" t="n">
        <v>3.31243151</v>
      </c>
      <c r="L65" s="20" t="n">
        <v>0.6222474</v>
      </c>
      <c r="M65" s="18" t="n">
        <v>0</v>
      </c>
      <c r="N65" s="20" t="n">
        <v>0</v>
      </c>
      <c r="O65" s="18" t="n">
        <v>0</v>
      </c>
      <c r="P65" s="20" t="n">
        <v>0</v>
      </c>
      <c r="Q65" s="18" t="n">
        <v>2.54146143</v>
      </c>
      <c r="R65" s="20" t="n">
        <v>0.53866685</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(1592.0/B69*100)</f>
        <v/>
      </c>
      <c r="D69" s="19" t="n">
        <v>818</v>
      </c>
      <c r="E69" s="18" t="n">
        <v>55.48239826</v>
      </c>
      <c r="F69" s="20" t="n">
        <v>1.94866854</v>
      </c>
      <c r="G69" s="18" t="n">
        <v>44.51760174</v>
      </c>
      <c r="H69" s="20" t="n">
        <v>1.94866854</v>
      </c>
      <c r="I69" s="18" t="s">
        <v>567</v>
      </c>
      <c r="J69" s="20" t="s">
        <v>567</v>
      </c>
      <c r="K69" s="18" t="n">
        <v>0</v>
      </c>
      <c r="L69" s="20" t="n">
        <v>0</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(1482.0/B74*100)</f>
        <v/>
      </c>
      <c r="D74" s="19" t="n">
        <v>757</v>
      </c>
      <c r="E74" s="18" t="n">
        <v>42.48246461</v>
      </c>
      <c r="F74" s="20" t="n">
        <v>1.74790281</v>
      </c>
      <c r="G74" s="18" t="n">
        <v>47.61363157</v>
      </c>
      <c r="H74" s="20" t="n">
        <v>1.74100908</v>
      </c>
      <c r="I74" s="18" t="s">
        <v>567</v>
      </c>
      <c r="J74" s="20" t="s">
        <v>567</v>
      </c>
      <c r="K74" s="18" t="n">
        <v>6.4475751</v>
      </c>
      <c r="L74" s="20" t="n">
        <v>1.03315675</v>
      </c>
      <c r="M74" s="18" t="n">
        <v>0</v>
      </c>
      <c r="N74" s="20" t="n">
        <v>0</v>
      </c>
      <c r="O74" s="18" t="n">
        <v>0</v>
      </c>
      <c r="P74" s="20" t="n">
        <v>0</v>
      </c>
      <c r="Q74" s="18" t="n">
        <v>3.45632872</v>
      </c>
      <c r="R74" s="20" t="n">
        <v>0.81626179</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(1846.0/B78*100)</f>
        <v/>
      </c>
      <c r="D78" s="19" t="n">
        <v>940</v>
      </c>
      <c r="E78" s="18" t="n">
        <v>7.85461057</v>
      </c>
      <c r="F78" s="20" t="n">
        <v>0.97019093</v>
      </c>
      <c r="G78" s="18" t="n">
        <v>92.14538942999999</v>
      </c>
      <c r="H78" s="20" t="n">
        <v>0.97019093</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(532.0/B79*100)</f>
        <v/>
      </c>
      <c r="D79" s="19" t="n">
        <v>255</v>
      </c>
      <c r="E79" s="18" t="n">
        <v>57.79963132</v>
      </c>
      <c r="F79" s="20" t="n">
        <v>2.98513553</v>
      </c>
      <c r="G79" s="18" t="n">
        <v>38.32113423</v>
      </c>
      <c r="H79" s="20" t="n">
        <v>2.89156947</v>
      </c>
      <c r="I79" s="18" t="s">
        <v>567</v>
      </c>
      <c r="J79" s="20" t="s">
        <v>567</v>
      </c>
      <c r="K79" s="18" t="n">
        <v>3.08561272</v>
      </c>
      <c r="L79" s="20" t="n">
        <v>0.99363499</v>
      </c>
      <c r="M79" s="18" t="n">
        <v>0</v>
      </c>
      <c r="N79" s="20" t="n">
        <v>0</v>
      </c>
      <c r="O79" s="18" t="n">
        <v>0</v>
      </c>
      <c r="P79" s="20" t="n">
        <v>0</v>
      </c>
      <c r="Q79" s="18" t="n">
        <v>0.79362173</v>
      </c>
      <c r="R79" s="20" t="n">
        <v>0.5450616700000001</v>
      </c>
    </row>
    <row r="80" spans="1:18">
      <c r="A80" s="15" t="s">
        <v>640</v>
      </c>
      <c r="B80" s="17" t="n">
        <v>3798</v>
      </c>
      <c r="C80" s="18">
        <f>(2528.0/B80*100)</f>
        <v/>
      </c>
      <c r="D80" s="19" t="n">
        <v>1270</v>
      </c>
      <c r="E80" s="18" t="n">
        <v>48.67782713</v>
      </c>
      <c r="F80" s="20" t="n">
        <v>2.29351441</v>
      </c>
      <c r="G80" s="18" t="n">
        <v>50.99042352</v>
      </c>
      <c r="H80" s="20" t="n">
        <v>2.34426746</v>
      </c>
      <c r="I80" s="18" t="s">
        <v>567</v>
      </c>
      <c r="J80" s="20" t="s">
        <v>567</v>
      </c>
      <c r="K80" s="18" t="n">
        <v>0</v>
      </c>
      <c r="L80" s="20" t="n">
        <v>0</v>
      </c>
      <c r="M80" s="18" t="n">
        <v>0</v>
      </c>
      <c r="N80" s="20" t="n">
        <v>0</v>
      </c>
      <c r="O80" s="18" t="n">
        <v>0</v>
      </c>
      <c r="P80" s="20" t="n">
        <v>0</v>
      </c>
      <c r="Q80" s="18" t="n">
        <v>0.33174936</v>
      </c>
      <c r="R80" s="20" t="n">
        <v>0.18478476</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922</v>
      </c>
    </row>
    <row customHeight="1" ht="30" r="4" spans="1:22">
      <c r="A4" s="6" t="n"/>
      <c r="B4" s="7" t="s">
        <v>551</v>
      </c>
      <c r="C4" s="7" t="s">
        <v>552</v>
      </c>
      <c r="D4" s="8" t="s">
        <v>551</v>
      </c>
      <c r="E4" s="9" t="s">
        <v>657</v>
      </c>
      <c r="F4" s="10" t="n"/>
      <c r="G4" s="9" t="s">
        <v>855</v>
      </c>
      <c r="H4" s="10" t="n"/>
      <c r="I4" s="9" t="s">
        <v>659</v>
      </c>
      <c r="J4" s="10" t="n"/>
      <c r="K4" s="9" t="s">
        <v>660</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c r="S5" s="12" t="s">
        <v>563</v>
      </c>
      <c r="T5" s="11" t="s">
        <v>564</v>
      </c>
      <c r="U5" s="12" t="s">
        <v>563</v>
      </c>
      <c r="V5" s="11" t="s">
        <v>564</v>
      </c>
    </row>
    <row r="6" spans="1:22">
      <c r="A6" s="13" t="s">
        <v>565</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c r="S7" s="18" t="s">
        <v>567</v>
      </c>
      <c r="T7" s="20" t="s">
        <v>567</v>
      </c>
      <c r="U7" s="18" t="s">
        <v>567</v>
      </c>
      <c r="V7" s="20" t="s">
        <v>567</v>
      </c>
    </row>
    <row r="8" spans="1:22">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c r="S8" s="18" t="s">
        <v>567</v>
      </c>
      <c r="T8" s="20" t="s">
        <v>567</v>
      </c>
      <c r="U8" s="18" t="s">
        <v>567</v>
      </c>
      <c r="V8" s="20" t="s">
        <v>567</v>
      </c>
    </row>
    <row r="9" spans="1:22">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c r="S9" s="18" t="s">
        <v>567</v>
      </c>
      <c r="T9" s="20" t="s">
        <v>567</v>
      </c>
      <c r="U9" s="18" t="s">
        <v>567</v>
      </c>
      <c r="V9" s="20" t="s">
        <v>567</v>
      </c>
    </row>
    <row r="10" spans="1:22">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c r="S10" s="18" t="s">
        <v>567</v>
      </c>
      <c r="T10" s="20" t="s">
        <v>567</v>
      </c>
      <c r="U10" s="18" t="s">
        <v>567</v>
      </c>
      <c r="V10" s="20" t="s">
        <v>567</v>
      </c>
    </row>
    <row r="11" spans="1:22">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c r="S11" s="18" t="s">
        <v>567</v>
      </c>
      <c r="T11" s="20" t="s">
        <v>567</v>
      </c>
      <c r="U11" s="18" t="s">
        <v>567</v>
      </c>
      <c r="V11" s="20" t="s">
        <v>567</v>
      </c>
    </row>
    <row r="12" spans="1:22">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c r="S12" s="18" t="s">
        <v>567</v>
      </c>
      <c r="T12" s="20" t="s">
        <v>567</v>
      </c>
      <c r="U12" s="18" t="s">
        <v>567</v>
      </c>
      <c r="V12" s="20" t="s">
        <v>567</v>
      </c>
    </row>
    <row r="13" spans="1:22">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c r="S13" s="18" t="s">
        <v>567</v>
      </c>
      <c r="T13" s="20" t="s">
        <v>567</v>
      </c>
      <c r="U13" s="18" t="s">
        <v>567</v>
      </c>
      <c r="V13" s="20" t="s">
        <v>567</v>
      </c>
    </row>
    <row r="14" spans="1:22">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c r="S14" s="18" t="s">
        <v>567</v>
      </c>
      <c r="T14" s="20" t="s">
        <v>567</v>
      </c>
      <c r="U14" s="18" t="s">
        <v>567</v>
      </c>
      <c r="V14" s="20" t="s">
        <v>567</v>
      </c>
    </row>
    <row r="15" spans="1:22">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c r="S15" s="18" t="s">
        <v>567</v>
      </c>
      <c r="T15" s="20" t="s">
        <v>567</v>
      </c>
      <c r="U15" s="18" t="s">
        <v>567</v>
      </c>
      <c r="V15" s="20" t="s">
        <v>567</v>
      </c>
    </row>
    <row r="16" spans="1:22">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c r="S16" s="18" t="s">
        <v>567</v>
      </c>
      <c r="T16" s="20" t="s">
        <v>567</v>
      </c>
      <c r="U16" s="18" t="s">
        <v>567</v>
      </c>
      <c r="V16" s="20" t="s">
        <v>567</v>
      </c>
    </row>
    <row r="17" spans="1:22">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c r="S17" s="18" t="s">
        <v>567</v>
      </c>
      <c r="T17" s="20" t="s">
        <v>567</v>
      </c>
      <c r="U17" s="18" t="s">
        <v>567</v>
      </c>
      <c r="V17" s="20" t="s">
        <v>567</v>
      </c>
    </row>
    <row r="18" spans="1:22">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c r="S18" s="18" t="s">
        <v>567</v>
      </c>
      <c r="T18" s="20" t="s">
        <v>567</v>
      </c>
      <c r="U18" s="18" t="s">
        <v>567</v>
      </c>
      <c r="V18" s="20" t="s">
        <v>567</v>
      </c>
    </row>
    <row r="19" spans="1:22">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c r="S19" s="18" t="s">
        <v>567</v>
      </c>
      <c r="T19" s="20" t="s">
        <v>567</v>
      </c>
      <c r="U19" s="18" t="s">
        <v>567</v>
      </c>
      <c r="V19" s="20" t="s">
        <v>567</v>
      </c>
    </row>
    <row r="20" spans="1:22">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c r="S20" s="18" t="s">
        <v>567</v>
      </c>
      <c r="T20" s="20" t="s">
        <v>567</v>
      </c>
      <c r="U20" s="18" t="s">
        <v>567</v>
      </c>
      <c r="V20" s="20" t="s">
        <v>567</v>
      </c>
    </row>
    <row r="21" spans="1:22">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c r="S21" s="18" t="s">
        <v>567</v>
      </c>
      <c r="T21" s="20" t="s">
        <v>567</v>
      </c>
      <c r="U21" s="18" t="s">
        <v>567</v>
      </c>
      <c r="V21" s="20" t="s">
        <v>567</v>
      </c>
    </row>
    <row r="22" spans="1:22">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c r="S22" s="18" t="s">
        <v>567</v>
      </c>
      <c r="T22" s="20" t="s">
        <v>567</v>
      </c>
      <c r="U22" s="18" t="s">
        <v>567</v>
      </c>
      <c r="V22" s="20" t="s">
        <v>567</v>
      </c>
    </row>
    <row r="23" spans="1:22">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c r="S23" s="18" t="s">
        <v>567</v>
      </c>
      <c r="T23" s="20" t="s">
        <v>567</v>
      </c>
      <c r="U23" s="18" t="s">
        <v>567</v>
      </c>
      <c r="V23" s="20" t="s">
        <v>567</v>
      </c>
    </row>
    <row r="24" spans="1:22">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c r="S24" s="18" t="s">
        <v>567</v>
      </c>
      <c r="T24" s="20" t="s">
        <v>567</v>
      </c>
      <c r="U24" s="18" t="s">
        <v>567</v>
      </c>
      <c r="V24" s="20" t="s">
        <v>567</v>
      </c>
    </row>
    <row r="25" spans="1:22">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c r="S25" s="18" t="s">
        <v>567</v>
      </c>
      <c r="T25" s="20" t="s">
        <v>567</v>
      </c>
      <c r="U25" s="18" t="s">
        <v>567</v>
      </c>
      <c r="V25" s="20" t="s">
        <v>567</v>
      </c>
    </row>
    <row r="26" spans="1:22">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c r="S26" s="18" t="s">
        <v>567</v>
      </c>
      <c r="T26" s="20" t="s">
        <v>567</v>
      </c>
      <c r="U26" s="18" t="s">
        <v>567</v>
      </c>
      <c r="V26" s="20" t="s">
        <v>567</v>
      </c>
    </row>
    <row r="27" spans="1:22">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c r="S27" s="18" t="s">
        <v>567</v>
      </c>
      <c r="T27" s="20" t="s">
        <v>567</v>
      </c>
      <c r="U27" s="18" t="s">
        <v>567</v>
      </c>
      <c r="V27" s="20" t="s">
        <v>567</v>
      </c>
    </row>
    <row r="28" spans="1:22">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c r="S28" s="18" t="s">
        <v>567</v>
      </c>
      <c r="T28" s="20" t="s">
        <v>567</v>
      </c>
      <c r="U28" s="18" t="s">
        <v>567</v>
      </c>
      <c r="V28" s="20" t="s">
        <v>567</v>
      </c>
    </row>
    <row r="29" spans="1:22">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c r="S29" s="18" t="s">
        <v>567</v>
      </c>
      <c r="T29" s="20" t="s">
        <v>567</v>
      </c>
      <c r="U29" s="18" t="s">
        <v>567</v>
      </c>
      <c r="V29" s="20" t="s">
        <v>567</v>
      </c>
    </row>
    <row r="30" spans="1:22">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c r="S30" s="18" t="s">
        <v>567</v>
      </c>
      <c r="T30" s="20" t="s">
        <v>567</v>
      </c>
      <c r="U30" s="18" t="s">
        <v>567</v>
      </c>
      <c r="V30" s="20" t="s">
        <v>567</v>
      </c>
    </row>
    <row r="31" spans="1:22">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c r="S31" s="18" t="s">
        <v>567</v>
      </c>
      <c r="T31" s="20" t="s">
        <v>567</v>
      </c>
      <c r="U31" s="18" t="s">
        <v>567</v>
      </c>
      <c r="V31" s="20" t="s">
        <v>567</v>
      </c>
    </row>
    <row r="32" spans="1:22">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c r="S32" s="18" t="s">
        <v>567</v>
      </c>
      <c r="T32" s="20" t="s">
        <v>567</v>
      </c>
      <c r="U32" s="18" t="s">
        <v>567</v>
      </c>
      <c r="V32" s="20" t="s">
        <v>567</v>
      </c>
    </row>
    <row r="33" spans="1:22">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c r="S33" s="18" t="s">
        <v>567</v>
      </c>
      <c r="T33" s="20" t="s">
        <v>567</v>
      </c>
      <c r="U33" s="18" t="s">
        <v>567</v>
      </c>
      <c r="V33" s="20" t="s">
        <v>567</v>
      </c>
    </row>
    <row r="34" spans="1:22">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c r="S34" s="18" t="s">
        <v>567</v>
      </c>
      <c r="T34" s="20" t="s">
        <v>567</v>
      </c>
      <c r="U34" s="18" t="s">
        <v>567</v>
      </c>
      <c r="V34" s="20" t="s">
        <v>567</v>
      </c>
    </row>
    <row r="35" spans="1:22">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c r="S35" s="18" t="s">
        <v>567</v>
      </c>
      <c r="T35" s="20" t="s">
        <v>567</v>
      </c>
      <c r="U35" s="18" t="s">
        <v>567</v>
      </c>
      <c r="V35" s="20" t="s">
        <v>567</v>
      </c>
    </row>
    <row r="36" spans="1:22">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c r="S36" s="18" t="s">
        <v>567</v>
      </c>
      <c r="T36" s="20" t="s">
        <v>567</v>
      </c>
      <c r="U36" s="18" t="s">
        <v>567</v>
      </c>
      <c r="V36" s="20" t="s">
        <v>567</v>
      </c>
    </row>
    <row r="37" spans="1:22">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c r="S37" s="18" t="s">
        <v>567</v>
      </c>
      <c r="T37" s="20" t="s">
        <v>567</v>
      </c>
      <c r="U37" s="18" t="s">
        <v>567</v>
      </c>
      <c r="V37" s="20" t="s">
        <v>567</v>
      </c>
    </row>
    <row r="38" spans="1:22">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c r="S38" s="18" t="s">
        <v>567</v>
      </c>
      <c r="T38" s="20" t="s">
        <v>567</v>
      </c>
      <c r="U38" s="18" t="s">
        <v>567</v>
      </c>
      <c r="V38" s="20" t="s">
        <v>567</v>
      </c>
    </row>
    <row r="39" spans="1:22">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c r="S39" s="18" t="s">
        <v>567</v>
      </c>
      <c r="T39" s="20" t="s">
        <v>567</v>
      </c>
      <c r="U39" s="18" t="s">
        <v>567</v>
      </c>
      <c r="V39" s="20" t="s">
        <v>567</v>
      </c>
    </row>
    <row r="40" spans="1:22">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c r="S40" s="18" t="s">
        <v>567</v>
      </c>
      <c r="T40" s="20" t="s">
        <v>567</v>
      </c>
      <c r="U40" s="18" t="s">
        <v>567</v>
      </c>
      <c r="V40" s="20" t="s">
        <v>567</v>
      </c>
    </row>
    <row r="41" spans="1:22">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c r="S41" s="18" t="s">
        <v>567</v>
      </c>
      <c r="T41" s="20" t="s">
        <v>567</v>
      </c>
      <c r="U41" s="18" t="s">
        <v>567</v>
      </c>
      <c r="V41" s="20" t="s">
        <v>567</v>
      </c>
    </row>
    <row r="42" spans="1:22">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604</v>
      </c>
      <c r="B44" s="17" t="n">
        <v>2524</v>
      </c>
      <c r="C44" s="18">
        <f>(1693.0/B44*100)</f>
        <v/>
      </c>
      <c r="D44" s="19" t="n">
        <v>831</v>
      </c>
      <c r="E44" s="18" t="n">
        <v>48.3432382</v>
      </c>
      <c r="F44" s="20" t="n">
        <v>2.48967323</v>
      </c>
      <c r="G44" s="18" t="n">
        <v>0</v>
      </c>
      <c r="H44" s="20" t="n">
        <v>0</v>
      </c>
      <c r="I44" s="18" t="n">
        <v>14.90599471</v>
      </c>
      <c r="J44" s="20" t="n">
        <v>1.93535008</v>
      </c>
      <c r="K44" s="18" t="n">
        <v>1.76491313</v>
      </c>
      <c r="L44" s="20" t="n">
        <v>0.55782118</v>
      </c>
      <c r="M44" s="18" t="s">
        <v>567</v>
      </c>
      <c r="N44" s="20" t="s">
        <v>567</v>
      </c>
      <c r="O44" s="18" t="n">
        <v>2.20846771</v>
      </c>
      <c r="P44" s="20" t="n">
        <v>0.48175276</v>
      </c>
      <c r="Q44" s="18" t="n">
        <v>0</v>
      </c>
      <c r="R44" s="20" t="n">
        <v>0</v>
      </c>
      <c r="S44" s="18" t="n">
        <v>0</v>
      </c>
      <c r="T44" s="20" t="n">
        <v>0</v>
      </c>
      <c r="U44" s="18" t="n">
        <v>32.77738624</v>
      </c>
      <c r="V44" s="20" t="n">
        <v>1.98727375</v>
      </c>
    </row>
    <row r="45" spans="1:22">
      <c r="A45" s="15" t="s">
        <v>605</v>
      </c>
      <c r="B45" s="17" t="n">
        <v>2849</v>
      </c>
      <c r="C45" s="18">
        <f>(1902.0/B45*100)</f>
        <v/>
      </c>
      <c r="D45" s="19" t="n">
        <v>947</v>
      </c>
      <c r="E45" s="18" t="n">
        <v>53.20029469</v>
      </c>
      <c r="F45" s="20" t="n">
        <v>1.91366047</v>
      </c>
      <c r="G45" s="18" t="n">
        <v>0</v>
      </c>
      <c r="H45" s="20" t="n">
        <v>0</v>
      </c>
      <c r="I45" s="18" t="n">
        <v>5.78950386</v>
      </c>
      <c r="J45" s="20" t="n">
        <v>0.71662922</v>
      </c>
      <c r="K45" s="18" t="n">
        <v>12.79183652</v>
      </c>
      <c r="L45" s="20" t="n">
        <v>1.08816154</v>
      </c>
      <c r="M45" s="18" t="s">
        <v>567</v>
      </c>
      <c r="N45" s="20" t="s">
        <v>567</v>
      </c>
      <c r="O45" s="18" t="n">
        <v>4.85043241</v>
      </c>
      <c r="P45" s="20" t="n">
        <v>0.72343746</v>
      </c>
      <c r="Q45" s="18" t="n">
        <v>0.36357555</v>
      </c>
      <c r="R45" s="20" t="n">
        <v>0.41952976</v>
      </c>
      <c r="S45" s="18" t="n">
        <v>0.03528036</v>
      </c>
      <c r="T45" s="20" t="n">
        <v>0.03778333</v>
      </c>
      <c r="U45" s="18" t="n">
        <v>22.96907661</v>
      </c>
      <c r="V45" s="20" t="n">
        <v>1.42174929</v>
      </c>
    </row>
    <row r="46" spans="1:22">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c r="S46" s="18" t="s">
        <v>567</v>
      </c>
      <c r="T46" s="20" t="s">
        <v>567</v>
      </c>
      <c r="U46" s="18" t="s">
        <v>567</v>
      </c>
      <c r="V46" s="20" t="s">
        <v>567</v>
      </c>
    </row>
    <row r="47" spans="1:22">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c r="S47" s="18" t="s">
        <v>567</v>
      </c>
      <c r="T47" s="20" t="s">
        <v>567</v>
      </c>
      <c r="U47" s="18" t="s">
        <v>567</v>
      </c>
      <c r="V47" s="20" t="s">
        <v>567</v>
      </c>
    </row>
    <row r="48" spans="1:22">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c r="S48" s="18" t="s">
        <v>567</v>
      </c>
      <c r="T48" s="20" t="s">
        <v>567</v>
      </c>
      <c r="U48" s="18" t="s">
        <v>567</v>
      </c>
      <c r="V48" s="20" t="s">
        <v>567</v>
      </c>
    </row>
    <row r="49" spans="1:22">
      <c r="A49" s="15" t="s">
        <v>609</v>
      </c>
      <c r="B49" s="17" t="n">
        <v>3018</v>
      </c>
      <c r="C49" s="18">
        <f>(2004.0/B49*100)</f>
        <v/>
      </c>
      <c r="D49" s="19" t="n">
        <v>1014</v>
      </c>
      <c r="E49" s="18" t="n">
        <v>57.50123746</v>
      </c>
      <c r="F49" s="20" t="n">
        <v>1.6791671</v>
      </c>
      <c r="G49" s="18" t="n">
        <v>0</v>
      </c>
      <c r="H49" s="20" t="n">
        <v>0</v>
      </c>
      <c r="I49" s="18" t="n">
        <v>15.88912732</v>
      </c>
      <c r="J49" s="20" t="n">
        <v>1.46317017</v>
      </c>
      <c r="K49" s="18" t="n">
        <v>5.32597141</v>
      </c>
      <c r="L49" s="20" t="n">
        <v>0.66352033</v>
      </c>
      <c r="M49" s="18" t="s">
        <v>567</v>
      </c>
      <c r="N49" s="20" t="s">
        <v>567</v>
      </c>
      <c r="O49" s="18" t="n">
        <v>1.47536858</v>
      </c>
      <c r="P49" s="20" t="n">
        <v>0.36584848</v>
      </c>
      <c r="Q49" s="18" t="n">
        <v>0</v>
      </c>
      <c r="R49" s="20" t="n">
        <v>0</v>
      </c>
      <c r="S49" s="18" t="n">
        <v>0.08515009</v>
      </c>
      <c r="T49" s="20" t="n">
        <v>0.0883033</v>
      </c>
      <c r="U49" s="18" t="n">
        <v>19.72314513</v>
      </c>
      <c r="V49" s="20" t="n">
        <v>1.43350767</v>
      </c>
    </row>
    <row r="50" spans="1:22">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c r="S50" s="18" t="s">
        <v>567</v>
      </c>
      <c r="T50" s="20" t="s">
        <v>567</v>
      </c>
      <c r="U50" s="18" t="s">
        <v>567</v>
      </c>
      <c r="V50" s="20" t="s">
        <v>567</v>
      </c>
    </row>
    <row r="51" spans="1:22">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c r="S51" s="18" t="s">
        <v>567</v>
      </c>
      <c r="T51" s="20" t="s">
        <v>567</v>
      </c>
      <c r="U51" s="18" t="s">
        <v>567</v>
      </c>
      <c r="V51" s="20" t="s">
        <v>567</v>
      </c>
    </row>
    <row r="52" spans="1:22">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c r="S52" s="18" t="s">
        <v>567</v>
      </c>
      <c r="T52" s="20" t="s">
        <v>567</v>
      </c>
      <c r="U52" s="18" t="s">
        <v>567</v>
      </c>
      <c r="V52" s="20" t="s">
        <v>567</v>
      </c>
    </row>
    <row r="53" spans="1:22">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c r="S53" s="18" t="s">
        <v>567</v>
      </c>
      <c r="T53" s="20" t="s">
        <v>567</v>
      </c>
      <c r="U53" s="18" t="s">
        <v>567</v>
      </c>
      <c r="V53" s="20" t="s">
        <v>567</v>
      </c>
    </row>
    <row r="54" spans="1:22">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c r="S54" s="18" t="s">
        <v>567</v>
      </c>
      <c r="T54" s="20" t="s">
        <v>567</v>
      </c>
      <c r="U54" s="18" t="s">
        <v>567</v>
      </c>
      <c r="V54" s="20" t="s">
        <v>567</v>
      </c>
    </row>
    <row r="55" spans="1:22">
      <c r="A55" s="15" t="s">
        <v>615</v>
      </c>
      <c r="B55" s="17" t="n">
        <v>2759</v>
      </c>
      <c r="C55" s="18">
        <f>(1853.0/B55*100)</f>
        <v/>
      </c>
      <c r="D55" s="19" t="n">
        <v>906</v>
      </c>
      <c r="E55" s="18" t="n">
        <v>37.51656853</v>
      </c>
      <c r="F55" s="20" t="n">
        <v>1.7507289</v>
      </c>
      <c r="G55" s="18" t="n">
        <v>0</v>
      </c>
      <c r="H55" s="20" t="n">
        <v>0</v>
      </c>
      <c r="I55" s="18" t="n">
        <v>27.41731857</v>
      </c>
      <c r="J55" s="20" t="n">
        <v>1.56913522</v>
      </c>
      <c r="K55" s="18" t="n">
        <v>4.58161845</v>
      </c>
      <c r="L55" s="20" t="n">
        <v>0.679604</v>
      </c>
      <c r="M55" s="18" t="s">
        <v>567</v>
      </c>
      <c r="N55" s="20" t="s">
        <v>567</v>
      </c>
      <c r="O55" s="18" t="n">
        <v>1.23692805</v>
      </c>
      <c r="P55" s="20" t="n">
        <v>0.40451132</v>
      </c>
      <c r="Q55" s="18" t="n">
        <v>0</v>
      </c>
      <c r="R55" s="20" t="n">
        <v>0</v>
      </c>
      <c r="S55" s="18" t="n">
        <v>0.24657849</v>
      </c>
      <c r="T55" s="20" t="n">
        <v>0.18936324</v>
      </c>
      <c r="U55" s="18" t="n">
        <v>29.00098792</v>
      </c>
      <c r="V55" s="20" t="n">
        <v>1.56893334</v>
      </c>
    </row>
    <row r="56" spans="1:22">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c r="S56" s="18" t="s">
        <v>567</v>
      </c>
      <c r="T56" s="20" t="s">
        <v>567</v>
      </c>
      <c r="U56" s="18" t="s">
        <v>567</v>
      </c>
      <c r="V56" s="20" t="s">
        <v>567</v>
      </c>
    </row>
    <row r="57" spans="1:22">
      <c r="A57" s="15" t="s">
        <v>617</v>
      </c>
      <c r="B57" s="17" t="n">
        <v>3170</v>
      </c>
      <c r="C57" s="18">
        <f>(2098.0/B57*100)</f>
        <v/>
      </c>
      <c r="D57" s="19" t="n">
        <v>1072</v>
      </c>
      <c r="E57" s="18" t="n">
        <v>81.54997499</v>
      </c>
      <c r="F57" s="20" t="n">
        <v>1.15064205</v>
      </c>
      <c r="G57" s="18" t="n">
        <v>0</v>
      </c>
      <c r="H57" s="20" t="n">
        <v>0</v>
      </c>
      <c r="I57" s="18" t="n">
        <v>7.29376358</v>
      </c>
      <c r="J57" s="20" t="n">
        <v>0.81305296</v>
      </c>
      <c r="K57" s="18" t="n">
        <v>5.6880009</v>
      </c>
      <c r="L57" s="20" t="n">
        <v>0.79454683</v>
      </c>
      <c r="M57" s="18" t="s">
        <v>567</v>
      </c>
      <c r="N57" s="20" t="s">
        <v>567</v>
      </c>
      <c r="O57" s="18" t="n">
        <v>0.90893345</v>
      </c>
      <c r="P57" s="20" t="n">
        <v>0.29821536</v>
      </c>
      <c r="Q57" s="18" t="n">
        <v>0</v>
      </c>
      <c r="R57" s="20" t="n">
        <v>0</v>
      </c>
      <c r="S57" s="18" t="n">
        <v>0</v>
      </c>
      <c r="T57" s="20" t="n">
        <v>0</v>
      </c>
      <c r="U57" s="18" t="n">
        <v>4.55932707</v>
      </c>
      <c r="V57" s="20" t="n">
        <v>0.72916747</v>
      </c>
    </row>
    <row r="58" spans="1:22">
      <c r="A58" s="15" t="s">
        <v>618</v>
      </c>
      <c r="B58" s="17" t="n">
        <v>3530</v>
      </c>
      <c r="C58" s="18">
        <f>(2366.0/B58*100)</f>
        <v/>
      </c>
      <c r="D58" s="19" t="n">
        <v>1164</v>
      </c>
      <c r="E58" s="18" t="n">
        <v>68.34100023000001</v>
      </c>
      <c r="F58" s="20" t="n">
        <v>1.58941143</v>
      </c>
      <c r="G58" s="18" t="n">
        <v>0</v>
      </c>
      <c r="H58" s="20" t="n">
        <v>0</v>
      </c>
      <c r="I58" s="18" t="n">
        <v>5.7396577</v>
      </c>
      <c r="J58" s="20" t="n">
        <v>0.79224328</v>
      </c>
      <c r="K58" s="18" t="n">
        <v>3.50852948</v>
      </c>
      <c r="L58" s="20" t="n">
        <v>0.69758899</v>
      </c>
      <c r="M58" s="18" t="s">
        <v>567</v>
      </c>
      <c r="N58" s="20" t="s">
        <v>567</v>
      </c>
      <c r="O58" s="18" t="n">
        <v>2.90754018</v>
      </c>
      <c r="P58" s="20" t="n">
        <v>0.57620846</v>
      </c>
      <c r="Q58" s="18" t="n">
        <v>0</v>
      </c>
      <c r="R58" s="20" t="n">
        <v>0</v>
      </c>
      <c r="S58" s="18" t="n">
        <v>0</v>
      </c>
      <c r="T58" s="20" t="n">
        <v>0</v>
      </c>
      <c r="U58" s="18" t="n">
        <v>19.50327241</v>
      </c>
      <c r="V58" s="20" t="n">
        <v>1.5173374</v>
      </c>
    </row>
    <row r="59" spans="1:22">
      <c r="A59" s="15" t="s">
        <v>619</v>
      </c>
      <c r="B59" s="17" t="n">
        <v>2548</v>
      </c>
      <c r="C59" s="18">
        <f>(1684.0/B59*100)</f>
        <v/>
      </c>
      <c r="D59" s="19" t="n">
        <v>864</v>
      </c>
      <c r="E59" s="18" t="n">
        <v>80.91989915000001</v>
      </c>
      <c r="F59" s="20" t="n">
        <v>1.2930283</v>
      </c>
      <c r="G59" s="18" t="n">
        <v>0</v>
      </c>
      <c r="H59" s="20" t="n">
        <v>0</v>
      </c>
      <c r="I59" s="18" t="n">
        <v>1.96695897</v>
      </c>
      <c r="J59" s="20" t="n">
        <v>0.61873004</v>
      </c>
      <c r="K59" s="18" t="n">
        <v>0.28330818</v>
      </c>
      <c r="L59" s="20" t="n">
        <v>0.16548012</v>
      </c>
      <c r="M59" s="18" t="s">
        <v>567</v>
      </c>
      <c r="N59" s="20" t="s">
        <v>567</v>
      </c>
      <c r="O59" s="18" t="n">
        <v>0.63588534</v>
      </c>
      <c r="P59" s="20" t="n">
        <v>0.23151399</v>
      </c>
      <c r="Q59" s="18" t="n">
        <v>0</v>
      </c>
      <c r="R59" s="20" t="n">
        <v>0</v>
      </c>
      <c r="S59" s="18" t="n">
        <v>0</v>
      </c>
      <c r="T59" s="20" t="n">
        <v>0</v>
      </c>
      <c r="U59" s="18" t="n">
        <v>16.19394836</v>
      </c>
      <c r="V59" s="20" t="n">
        <v>1.15612814</v>
      </c>
    </row>
    <row r="60" spans="1:22">
      <c r="A60" s="15" t="s">
        <v>620</v>
      </c>
      <c r="B60" s="17" t="n">
        <v>2095</v>
      </c>
      <c r="C60" s="18">
        <f>(1381.0/B60*100)</f>
        <v/>
      </c>
      <c r="D60" s="19" t="n">
        <v>714</v>
      </c>
      <c r="E60" s="18" t="n">
        <v>56.20733339</v>
      </c>
      <c r="F60" s="20" t="n">
        <v>2.3639295</v>
      </c>
      <c r="G60" s="18" t="n">
        <v>0</v>
      </c>
      <c r="H60" s="20" t="n">
        <v>0</v>
      </c>
      <c r="I60" s="18" t="n">
        <v>6.39583623</v>
      </c>
      <c r="J60" s="20" t="n">
        <v>1.02465029</v>
      </c>
      <c r="K60" s="18" t="n">
        <v>4.00169637</v>
      </c>
      <c r="L60" s="20" t="n">
        <v>1.02992789</v>
      </c>
      <c r="M60" s="18" t="s">
        <v>567</v>
      </c>
      <c r="N60" s="20" t="s">
        <v>567</v>
      </c>
      <c r="O60" s="18" t="n">
        <v>2.52292825</v>
      </c>
      <c r="P60" s="20" t="n">
        <v>0.69987928</v>
      </c>
      <c r="Q60" s="18" t="n">
        <v>0</v>
      </c>
      <c r="R60" s="20" t="n">
        <v>0</v>
      </c>
      <c r="S60" s="18" t="n">
        <v>0.27185412</v>
      </c>
      <c r="T60" s="20" t="n">
        <v>0.20460226</v>
      </c>
      <c r="U60" s="18" t="n">
        <v>30.60035164</v>
      </c>
      <c r="V60" s="20" t="n">
        <v>2.1194245</v>
      </c>
    </row>
    <row r="61" spans="1:22">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c r="S61" s="18" t="s">
        <v>567</v>
      </c>
      <c r="T61" s="20" t="s">
        <v>567</v>
      </c>
      <c r="U61" s="18" t="s">
        <v>567</v>
      </c>
      <c r="V61" s="20" t="s">
        <v>567</v>
      </c>
    </row>
    <row r="62" spans="1:22">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c r="S62" s="18" t="s">
        <v>567</v>
      </c>
      <c r="T62" s="20" t="s">
        <v>567</v>
      </c>
      <c r="U62" s="18" t="s">
        <v>567</v>
      </c>
      <c r="V62" s="20" t="s">
        <v>567</v>
      </c>
    </row>
    <row r="63" spans="1:22">
      <c r="A63" s="15" t="s">
        <v>623</v>
      </c>
      <c r="B63" s="17" t="n">
        <v>2813</v>
      </c>
      <c r="C63" s="18">
        <f>(1867.0/B63*100)</f>
        <v/>
      </c>
      <c r="D63" s="19" t="n">
        <v>946</v>
      </c>
      <c r="E63" s="18" t="n">
        <v>41.91829613</v>
      </c>
      <c r="F63" s="20" t="n">
        <v>1.72645322</v>
      </c>
      <c r="G63" s="18" t="n">
        <v>0</v>
      </c>
      <c r="H63" s="20" t="n">
        <v>0</v>
      </c>
      <c r="I63" s="18" t="n">
        <v>12.12133958</v>
      </c>
      <c r="J63" s="20" t="n">
        <v>1.1416059</v>
      </c>
      <c r="K63" s="18" t="n">
        <v>2.9647073</v>
      </c>
      <c r="L63" s="20" t="n">
        <v>0.56788646</v>
      </c>
      <c r="M63" s="18" t="s">
        <v>567</v>
      </c>
      <c r="N63" s="20" t="s">
        <v>567</v>
      </c>
      <c r="O63" s="18" t="n">
        <v>2.53419649</v>
      </c>
      <c r="P63" s="20" t="n">
        <v>0.55348661</v>
      </c>
      <c r="Q63" s="18" t="n">
        <v>0</v>
      </c>
      <c r="R63" s="20" t="n">
        <v>0</v>
      </c>
      <c r="S63" s="18" t="n">
        <v>0</v>
      </c>
      <c r="T63" s="20" t="n">
        <v>0</v>
      </c>
      <c r="U63" s="18" t="n">
        <v>40.46146051</v>
      </c>
      <c r="V63" s="20" t="n">
        <v>1.50061358</v>
      </c>
    </row>
    <row r="64" spans="1:22">
      <c r="A64" s="15" t="s">
        <v>624</v>
      </c>
      <c r="B64" s="17" t="n">
        <v>1844</v>
      </c>
      <c r="C64" s="18">
        <f>(1212.0/B64*100)</f>
        <v/>
      </c>
      <c r="D64" s="19" t="n">
        <v>632</v>
      </c>
      <c r="E64" s="18" t="n">
        <v>32.43994509</v>
      </c>
      <c r="F64" s="20" t="n">
        <v>1.79549109</v>
      </c>
      <c r="G64" s="18" t="n">
        <v>0</v>
      </c>
      <c r="H64" s="20" t="n">
        <v>0</v>
      </c>
      <c r="I64" s="18" t="n">
        <v>40.73582734</v>
      </c>
      <c r="J64" s="20" t="n">
        <v>1.87728818</v>
      </c>
      <c r="K64" s="18" t="n">
        <v>5.85868849</v>
      </c>
      <c r="L64" s="20" t="n">
        <v>0.97482748</v>
      </c>
      <c r="M64" s="18" t="s">
        <v>567</v>
      </c>
      <c r="N64" s="20" t="s">
        <v>567</v>
      </c>
      <c r="O64" s="18" t="n">
        <v>3.42987723</v>
      </c>
      <c r="P64" s="20" t="n">
        <v>0.79749587</v>
      </c>
      <c r="Q64" s="18" t="n">
        <v>0</v>
      </c>
      <c r="R64" s="20" t="n">
        <v>0</v>
      </c>
      <c r="S64" s="18" t="n">
        <v>0</v>
      </c>
      <c r="T64" s="20" t="n">
        <v>0</v>
      </c>
      <c r="U64" s="18" t="n">
        <v>17.53566184</v>
      </c>
      <c r="V64" s="20" t="n">
        <v>1.78682505</v>
      </c>
    </row>
    <row r="65" spans="1:22">
      <c r="A65" s="15" t="s">
        <v>625</v>
      </c>
      <c r="B65" s="17" t="n">
        <v>2691</v>
      </c>
      <c r="C65" s="18">
        <f>(1812.0/B65*100)</f>
        <v/>
      </c>
      <c r="D65" s="19" t="n">
        <v>879</v>
      </c>
      <c r="E65" s="18" t="n">
        <v>45.29049893</v>
      </c>
      <c r="F65" s="20" t="n">
        <v>1.77721505</v>
      </c>
      <c r="G65" s="18" t="n">
        <v>0</v>
      </c>
      <c r="H65" s="20" t="n">
        <v>0</v>
      </c>
      <c r="I65" s="18" t="n">
        <v>14.34979846</v>
      </c>
      <c r="J65" s="20" t="n">
        <v>1.32449476</v>
      </c>
      <c r="K65" s="18" t="n">
        <v>3.41847802</v>
      </c>
      <c r="L65" s="20" t="n">
        <v>0.63732206</v>
      </c>
      <c r="M65" s="18" t="s">
        <v>567</v>
      </c>
      <c r="N65" s="20" t="s">
        <v>567</v>
      </c>
      <c r="O65" s="18" t="n">
        <v>4.60453142</v>
      </c>
      <c r="P65" s="20" t="n">
        <v>0.7230097599999999</v>
      </c>
      <c r="Q65" s="18" t="n">
        <v>0.19089753</v>
      </c>
      <c r="R65" s="20" t="n">
        <v>0.19089335</v>
      </c>
      <c r="S65" s="18" t="n">
        <v>0</v>
      </c>
      <c r="T65" s="20" t="n">
        <v>0</v>
      </c>
      <c r="U65" s="18" t="n">
        <v>32.14579563</v>
      </c>
      <c r="V65" s="20" t="n">
        <v>1.84151262</v>
      </c>
    </row>
    <row r="66" spans="1:22">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c r="S66" s="18" t="s">
        <v>567</v>
      </c>
      <c r="T66" s="20" t="s">
        <v>567</v>
      </c>
      <c r="U66" s="18" t="s">
        <v>567</v>
      </c>
      <c r="V66" s="20" t="s">
        <v>567</v>
      </c>
    </row>
    <row r="67" spans="1:22">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c r="S67" s="18" t="s">
        <v>567</v>
      </c>
      <c r="T67" s="20" t="s">
        <v>567</v>
      </c>
      <c r="U67" s="18" t="s">
        <v>567</v>
      </c>
      <c r="V67" s="20" t="s">
        <v>567</v>
      </c>
    </row>
    <row r="68" spans="1:22">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c r="S68" s="18" t="s">
        <v>567</v>
      </c>
      <c r="T68" s="20" t="s">
        <v>567</v>
      </c>
      <c r="U68" s="18" t="s">
        <v>567</v>
      </c>
      <c r="V68" s="20" t="s">
        <v>567</v>
      </c>
    </row>
    <row r="69" spans="1:22">
      <c r="A69" s="15" t="s">
        <v>629</v>
      </c>
      <c r="B69" s="17" t="n">
        <v>2410</v>
      </c>
      <c r="C69" s="18">
        <f>(1592.0/B69*100)</f>
        <v/>
      </c>
      <c r="D69" s="19" t="n">
        <v>818</v>
      </c>
      <c r="E69" s="18" t="n">
        <v>72.63610548</v>
      </c>
      <c r="F69" s="20" t="n">
        <v>1.65203039</v>
      </c>
      <c r="G69" s="18" t="n">
        <v>0</v>
      </c>
      <c r="H69" s="20" t="n">
        <v>0</v>
      </c>
      <c r="I69" s="18" t="n">
        <v>17.01808141</v>
      </c>
      <c r="J69" s="20" t="n">
        <v>1.27002124</v>
      </c>
      <c r="K69" s="18" t="n">
        <v>10.01623607</v>
      </c>
      <c r="L69" s="20" t="n">
        <v>1.06611825</v>
      </c>
      <c r="M69" s="18" t="s">
        <v>567</v>
      </c>
      <c r="N69" s="20" t="s">
        <v>567</v>
      </c>
      <c r="O69" s="18" t="n">
        <v>0</v>
      </c>
      <c r="P69" s="20" t="n">
        <v>0</v>
      </c>
      <c r="Q69" s="18" t="n">
        <v>0</v>
      </c>
      <c r="R69" s="20" t="n">
        <v>0</v>
      </c>
      <c r="S69" s="18" t="n">
        <v>0</v>
      </c>
      <c r="T69" s="20" t="n">
        <v>0</v>
      </c>
      <c r="U69" s="18" t="n">
        <v>0.32957704</v>
      </c>
      <c r="V69" s="20" t="n">
        <v>0.18964765</v>
      </c>
    </row>
    <row r="70" spans="1:22">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c r="S70" s="18" t="s">
        <v>567</v>
      </c>
      <c r="T70" s="20" t="s">
        <v>567</v>
      </c>
      <c r="U70" s="18" t="s">
        <v>567</v>
      </c>
      <c r="V70" s="20" t="s">
        <v>567</v>
      </c>
    </row>
    <row r="71" spans="1:22">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c r="S71" s="18" t="s">
        <v>567</v>
      </c>
      <c r="T71" s="20" t="s">
        <v>567</v>
      </c>
      <c r="U71" s="18" t="s">
        <v>567</v>
      </c>
      <c r="V71" s="20" t="s">
        <v>567</v>
      </c>
    </row>
    <row r="72" spans="1:22">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c r="S72" s="18" t="s">
        <v>567</v>
      </c>
      <c r="T72" s="20" t="s">
        <v>567</v>
      </c>
      <c r="U72" s="18" t="s">
        <v>567</v>
      </c>
      <c r="V72" s="20" t="s">
        <v>567</v>
      </c>
    </row>
    <row r="73" spans="1:22">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c r="S73" s="18" t="s">
        <v>567</v>
      </c>
      <c r="T73" s="20" t="s">
        <v>567</v>
      </c>
      <c r="U73" s="18" t="s">
        <v>567</v>
      </c>
      <c r="V73" s="20" t="s">
        <v>567</v>
      </c>
    </row>
    <row r="74" spans="1:22">
      <c r="A74" s="15" t="s">
        <v>634</v>
      </c>
      <c r="B74" s="17" t="n">
        <v>2239</v>
      </c>
      <c r="C74" s="18">
        <f>(1482.0/B74*100)</f>
        <v/>
      </c>
      <c r="D74" s="19" t="n">
        <v>757</v>
      </c>
      <c r="E74" s="18" t="n">
        <v>50.86203647</v>
      </c>
      <c r="F74" s="20" t="n">
        <v>1.79364795</v>
      </c>
      <c r="G74" s="18" t="n">
        <v>0</v>
      </c>
      <c r="H74" s="20" t="n">
        <v>0</v>
      </c>
      <c r="I74" s="18" t="n">
        <v>15.04339118</v>
      </c>
      <c r="J74" s="20" t="n">
        <v>1.10693759</v>
      </c>
      <c r="K74" s="18" t="n">
        <v>1.56593262</v>
      </c>
      <c r="L74" s="20" t="n">
        <v>0.51876831</v>
      </c>
      <c r="M74" s="18" t="s">
        <v>567</v>
      </c>
      <c r="N74" s="20" t="s">
        <v>567</v>
      </c>
      <c r="O74" s="18" t="n">
        <v>6.77424159</v>
      </c>
      <c r="P74" s="20" t="n">
        <v>1.05447105</v>
      </c>
      <c r="Q74" s="18" t="n">
        <v>0</v>
      </c>
      <c r="R74" s="20" t="n">
        <v>0</v>
      </c>
      <c r="S74" s="18" t="n">
        <v>0</v>
      </c>
      <c r="T74" s="20" t="n">
        <v>0</v>
      </c>
      <c r="U74" s="18" t="n">
        <v>25.75439815</v>
      </c>
      <c r="V74" s="20" t="n">
        <v>1.67266635</v>
      </c>
    </row>
    <row r="75" spans="1:22">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c r="S75" s="18" t="s">
        <v>567</v>
      </c>
      <c r="T75" s="20" t="s">
        <v>567</v>
      </c>
      <c r="U75" s="18" t="s">
        <v>567</v>
      </c>
      <c r="V75" s="20" t="s">
        <v>567</v>
      </c>
    </row>
    <row r="76" spans="1:22">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c r="S76" s="18" t="s">
        <v>567</v>
      </c>
      <c r="T76" s="20" t="s">
        <v>567</v>
      </c>
      <c r="U76" s="18" t="s">
        <v>567</v>
      </c>
      <c r="V76" s="20" t="s">
        <v>567</v>
      </c>
    </row>
    <row r="77" spans="1:22">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c r="S77" s="18" t="s">
        <v>567</v>
      </c>
      <c r="T77" s="20" t="s">
        <v>567</v>
      </c>
      <c r="U77" s="18" t="s">
        <v>567</v>
      </c>
      <c r="V77" s="20" t="s">
        <v>567</v>
      </c>
    </row>
    <row r="78" spans="1:22">
      <c r="A78" s="15" t="s">
        <v>638</v>
      </c>
      <c r="B78" s="17" t="n">
        <v>2786</v>
      </c>
      <c r="C78" s="18">
        <f>(1846.0/B78*100)</f>
        <v/>
      </c>
      <c r="D78" s="19" t="n">
        <v>940</v>
      </c>
      <c r="E78" s="18" t="n">
        <v>56.10165739</v>
      </c>
      <c r="F78" s="20" t="n">
        <v>2.2668046</v>
      </c>
      <c r="G78" s="18" t="n">
        <v>0</v>
      </c>
      <c r="H78" s="20" t="n">
        <v>0</v>
      </c>
      <c r="I78" s="18" t="n">
        <v>32.63084294</v>
      </c>
      <c r="J78" s="20" t="n">
        <v>1.89773039</v>
      </c>
      <c r="K78" s="18" t="n">
        <v>10.05031073</v>
      </c>
      <c r="L78" s="20" t="n">
        <v>1.03871548</v>
      </c>
      <c r="M78" s="18" t="s">
        <v>567</v>
      </c>
      <c r="N78" s="20" t="s">
        <v>567</v>
      </c>
      <c r="O78" s="18" t="n">
        <v>0</v>
      </c>
      <c r="P78" s="20" t="n">
        <v>0</v>
      </c>
      <c r="Q78" s="18" t="n">
        <v>0</v>
      </c>
      <c r="R78" s="20" t="n">
        <v>0</v>
      </c>
      <c r="S78" s="18" t="n">
        <v>0</v>
      </c>
      <c r="T78" s="20" t="n">
        <v>0</v>
      </c>
      <c r="U78" s="18" t="n">
        <v>1.21718895</v>
      </c>
      <c r="V78" s="20" t="n">
        <v>0.40698405</v>
      </c>
    </row>
    <row customHeight="1" ht="25" r="79" spans="1:22">
      <c r="A79" s="15" t="s">
        <v>639</v>
      </c>
      <c r="B79" s="17" t="n">
        <v>787</v>
      </c>
      <c r="C79" s="18">
        <f>(532.0/B79*100)</f>
        <v/>
      </c>
      <c r="D79" s="19" t="n">
        <v>255</v>
      </c>
      <c r="E79" s="18" t="n">
        <v>53.46550642</v>
      </c>
      <c r="F79" s="20" t="n">
        <v>2.96087079</v>
      </c>
      <c r="G79" s="18" t="n">
        <v>0</v>
      </c>
      <c r="H79" s="20" t="n">
        <v>0</v>
      </c>
      <c r="I79" s="18" t="n">
        <v>19.15730789</v>
      </c>
      <c r="J79" s="20" t="n">
        <v>2.64654347</v>
      </c>
      <c r="K79" s="18" t="n">
        <v>6.29648445</v>
      </c>
      <c r="L79" s="20" t="n">
        <v>1.76904722</v>
      </c>
      <c r="M79" s="18" t="s">
        <v>567</v>
      </c>
      <c r="N79" s="20" t="s">
        <v>567</v>
      </c>
      <c r="O79" s="18" t="n">
        <v>3.4985426</v>
      </c>
      <c r="P79" s="20" t="n">
        <v>1.08774294</v>
      </c>
      <c r="Q79" s="18" t="n">
        <v>0</v>
      </c>
      <c r="R79" s="20" t="n">
        <v>0</v>
      </c>
      <c r="S79" s="18" t="n">
        <v>0</v>
      </c>
      <c r="T79" s="20" t="n">
        <v>0</v>
      </c>
      <c r="U79" s="18" t="n">
        <v>17.58215865</v>
      </c>
      <c r="V79" s="20" t="n">
        <v>2.70585398</v>
      </c>
    </row>
    <row r="80" spans="1:22">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c r="S80" s="18" t="s">
        <v>567</v>
      </c>
      <c r="T80" s="20" t="s">
        <v>567</v>
      </c>
      <c r="U80" s="18" t="s">
        <v>567</v>
      </c>
      <c r="V80" s="20" t="s">
        <v>567</v>
      </c>
    </row>
    <row r="81" spans="1:22">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c r="S81" s="18" t="s">
        <v>567</v>
      </c>
      <c r="T81" s="20" t="s">
        <v>567</v>
      </c>
      <c r="U81" s="18" t="s">
        <v>567</v>
      </c>
      <c r="V81" s="20" t="s">
        <v>567</v>
      </c>
    </row>
    <row r="82" spans="1:22">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c r="S82" s="22" t="s">
        <v>642</v>
      </c>
      <c r="T82" s="22" t="s">
        <v>642</v>
      </c>
      <c r="U82" s="22" t="s">
        <v>642</v>
      </c>
      <c r="V82" s="22" t="s">
        <v>642</v>
      </c>
    </row>
    <row r="83" spans="1:22">
      <c r="A83" s="3" t="s">
        <v>643</v>
      </c>
    </row>
    <row r="84" spans="1:22">
      <c r="A84" s="23" t="s">
        <v>644</v>
      </c>
    </row>
    <row r="85" spans="1:22">
      <c r="A85" s="23" t="s">
        <v>645</v>
      </c>
    </row>
    <row customHeight="1" ht="30" r="86" spans="1:22">
      <c r="A86" s="23" t="s">
        <v>646</v>
      </c>
    </row>
    <row customHeight="1" ht="30" r="87" spans="1:22">
      <c r="A87" s="23" t="s">
        <v>642</v>
      </c>
    </row>
    <row customHeight="1" ht="30" r="88" spans="1:22">
      <c r="A88" s="23" t="s">
        <v>647</v>
      </c>
    </row>
    <row customHeight="1" ht="30" r="89" spans="1:22">
      <c r="A89" s="23" t="s">
        <v>648</v>
      </c>
    </row>
    <row customHeight="1" ht="30" r="90" spans="1:22">
      <c r="A90" s="23" t="s">
        <v>649</v>
      </c>
    </row>
    <row customHeight="1" ht="30" r="91" spans="1:22">
      <c r="A91" s="23" t="s">
        <v>650</v>
      </c>
    </row>
    <row customHeight="1" ht="30" r="92" spans="1:22">
      <c r="A92" s="23" t="s">
        <v>651</v>
      </c>
    </row>
    <row customHeight="1" ht="30" r="93" spans="1:22">
      <c r="A93" s="23" t="s">
        <v>652</v>
      </c>
    </row>
    <row customHeight="1" ht="30" r="94" spans="1:22">
      <c r="A94" s="23" t="s">
        <v>653</v>
      </c>
    </row>
    <row customHeight="1" ht="30" r="95" spans="1:22">
      <c r="A95" s="23" t="s">
        <v>654</v>
      </c>
    </row>
    <row customHeight="1" ht="30" r="96" spans="1:22">
      <c r="A96" s="23" t="s">
        <v>655</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(1693.0/B44*100)</f>
        <v/>
      </c>
      <c r="D44" s="19" t="n">
        <v>831</v>
      </c>
      <c r="E44" s="18" t="n">
        <v>37.75827137</v>
      </c>
      <c r="F44" s="20" t="n">
        <v>2.97835406</v>
      </c>
      <c r="G44" s="18" t="n">
        <v>56.06019732</v>
      </c>
      <c r="H44" s="20" t="n">
        <v>3.13236915</v>
      </c>
      <c r="I44" s="18" t="s">
        <v>567</v>
      </c>
      <c r="J44" s="20" t="s">
        <v>567</v>
      </c>
      <c r="K44" s="18" t="n">
        <v>2.20846771</v>
      </c>
      <c r="L44" s="20" t="n">
        <v>0.48175276</v>
      </c>
      <c r="M44" s="18" t="n">
        <v>0</v>
      </c>
      <c r="N44" s="20" t="n">
        <v>0</v>
      </c>
      <c r="O44" s="18" t="n">
        <v>1.25690437</v>
      </c>
      <c r="P44" s="20" t="n">
        <v>0.44333162</v>
      </c>
      <c r="Q44" s="18" t="n">
        <v>2.71615924</v>
      </c>
      <c r="R44" s="20" t="n">
        <v>0.52998726</v>
      </c>
    </row>
    <row r="45" spans="1:18">
      <c r="A45" s="15" t="s">
        <v>605</v>
      </c>
      <c r="B45" s="17" t="n">
        <v>2849</v>
      </c>
      <c r="C45" s="18">
        <f>(1902.0/B45*100)</f>
        <v/>
      </c>
      <c r="D45" s="19" t="n">
        <v>947</v>
      </c>
      <c r="E45" s="18" t="n">
        <v>37.73657112</v>
      </c>
      <c r="F45" s="20" t="n">
        <v>1.5760753</v>
      </c>
      <c r="G45" s="18" t="n">
        <v>49.73876487</v>
      </c>
      <c r="H45" s="20" t="n">
        <v>1.77533468</v>
      </c>
      <c r="I45" s="18" t="s">
        <v>567</v>
      </c>
      <c r="J45" s="20" t="s">
        <v>567</v>
      </c>
      <c r="K45" s="18" t="n">
        <v>5.22424088</v>
      </c>
      <c r="L45" s="20" t="n">
        <v>0.73849818</v>
      </c>
      <c r="M45" s="18" t="n">
        <v>0.26806151</v>
      </c>
      <c r="N45" s="20" t="n">
        <v>0.19894378</v>
      </c>
      <c r="O45" s="18" t="n">
        <v>4.54225681</v>
      </c>
      <c r="P45" s="20" t="n">
        <v>0.66605782</v>
      </c>
      <c r="Q45" s="18" t="n">
        <v>2.49010481</v>
      </c>
      <c r="R45" s="20" t="n">
        <v>0.55768756</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(2004.0/B49*100)</f>
        <v/>
      </c>
      <c r="D49" s="19" t="n">
        <v>1014</v>
      </c>
      <c r="E49" s="18" t="n">
        <v>44.32697874</v>
      </c>
      <c r="F49" s="20" t="n">
        <v>1.86361648</v>
      </c>
      <c r="G49" s="18" t="n">
        <v>52.35955059</v>
      </c>
      <c r="H49" s="20" t="n">
        <v>2.0268954</v>
      </c>
      <c r="I49" s="18" t="s">
        <v>567</v>
      </c>
      <c r="J49" s="20" t="s">
        <v>567</v>
      </c>
      <c r="K49" s="18" t="n">
        <v>1.47536858</v>
      </c>
      <c r="L49" s="20" t="n">
        <v>0.36584848</v>
      </c>
      <c r="M49" s="18" t="n">
        <v>0.32102037</v>
      </c>
      <c r="N49" s="20" t="n">
        <v>0.18986847</v>
      </c>
      <c r="O49" s="18" t="n">
        <v>0.48023456</v>
      </c>
      <c r="P49" s="20" t="n">
        <v>0.22631225</v>
      </c>
      <c r="Q49" s="18" t="n">
        <v>1.03684715</v>
      </c>
      <c r="R49" s="20" t="n">
        <v>0.45636115</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(1853.0/B55*100)</f>
        <v/>
      </c>
      <c r="D55" s="19" t="n">
        <v>906</v>
      </c>
      <c r="E55" s="18" t="n">
        <v>35.99390766</v>
      </c>
      <c r="F55" s="20" t="n">
        <v>1.69943642</v>
      </c>
      <c r="G55" s="18" t="n">
        <v>61.51414018</v>
      </c>
      <c r="H55" s="20" t="n">
        <v>1.92703548</v>
      </c>
      <c r="I55" s="18" t="s">
        <v>567</v>
      </c>
      <c r="J55" s="20" t="s">
        <v>567</v>
      </c>
      <c r="K55" s="18" t="n">
        <v>1.23692805</v>
      </c>
      <c r="L55" s="20" t="n">
        <v>0.40451132</v>
      </c>
      <c r="M55" s="18" t="n">
        <v>0</v>
      </c>
      <c r="N55" s="20" t="n">
        <v>0</v>
      </c>
      <c r="O55" s="18" t="n">
        <v>0.52656897</v>
      </c>
      <c r="P55" s="20" t="n">
        <v>0.33470483</v>
      </c>
      <c r="Q55" s="18" t="n">
        <v>0.72845514</v>
      </c>
      <c r="R55" s="20" t="n">
        <v>0.33911124</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(2098.0/B57*100)</f>
        <v/>
      </c>
      <c r="D57" s="19" t="n">
        <v>1072</v>
      </c>
      <c r="E57" s="18" t="n">
        <v>58.00029228</v>
      </c>
      <c r="F57" s="20" t="n">
        <v>1.93668812</v>
      </c>
      <c r="G57" s="18" t="n">
        <v>40.24894675</v>
      </c>
      <c r="H57" s="20" t="n">
        <v>1.98543105</v>
      </c>
      <c r="I57" s="18" t="s">
        <v>567</v>
      </c>
      <c r="J57" s="20" t="s">
        <v>567</v>
      </c>
      <c r="K57" s="18" t="n">
        <v>0.90893345</v>
      </c>
      <c r="L57" s="20" t="n">
        <v>0.29821536</v>
      </c>
      <c r="M57" s="18" t="n">
        <v>0</v>
      </c>
      <c r="N57" s="20" t="n">
        <v>0</v>
      </c>
      <c r="O57" s="18" t="n">
        <v>0</v>
      </c>
      <c r="P57" s="20" t="n">
        <v>0</v>
      </c>
      <c r="Q57" s="18" t="n">
        <v>0.8418275200000001</v>
      </c>
      <c r="R57" s="20" t="n">
        <v>0.32499381</v>
      </c>
    </row>
    <row r="58" spans="1:18">
      <c r="A58" s="15" t="s">
        <v>618</v>
      </c>
      <c r="B58" s="17" t="n">
        <v>3530</v>
      </c>
      <c r="C58" s="18">
        <f>(2366.0/B58*100)</f>
        <v/>
      </c>
      <c r="D58" s="19" t="n">
        <v>1164</v>
      </c>
      <c r="E58" s="18" t="n">
        <v>30.23411145</v>
      </c>
      <c r="F58" s="20" t="n">
        <v>1.61555741</v>
      </c>
      <c r="G58" s="18" t="n">
        <v>63.27288929</v>
      </c>
      <c r="H58" s="20" t="n">
        <v>1.79037064</v>
      </c>
      <c r="I58" s="18" t="s">
        <v>567</v>
      </c>
      <c r="J58" s="20" t="s">
        <v>567</v>
      </c>
      <c r="K58" s="18" t="n">
        <v>3.00822082</v>
      </c>
      <c r="L58" s="20" t="n">
        <v>0.56737226</v>
      </c>
      <c r="M58" s="18" t="n">
        <v>0</v>
      </c>
      <c r="N58" s="20" t="n">
        <v>0</v>
      </c>
      <c r="O58" s="18" t="n">
        <v>0.73455374</v>
      </c>
      <c r="P58" s="20" t="n">
        <v>0.24909143</v>
      </c>
      <c r="Q58" s="18" t="n">
        <v>2.7502247</v>
      </c>
      <c r="R58" s="20" t="n">
        <v>0.73547042</v>
      </c>
    </row>
    <row r="59" spans="1:18">
      <c r="A59" s="15" t="s">
        <v>619</v>
      </c>
      <c r="B59" s="17" t="n">
        <v>2548</v>
      </c>
      <c r="C59" s="18">
        <f>(1684.0/B59*100)</f>
        <v/>
      </c>
      <c r="D59" s="19" t="n">
        <v>864</v>
      </c>
      <c r="E59" s="18" t="n">
        <v>51.79299386</v>
      </c>
      <c r="F59" s="20" t="n">
        <v>1.9782013</v>
      </c>
      <c r="G59" s="18" t="n">
        <v>44.72830166</v>
      </c>
      <c r="H59" s="20" t="n">
        <v>1.85943704</v>
      </c>
      <c r="I59" s="18" t="s">
        <v>567</v>
      </c>
      <c r="J59" s="20" t="s">
        <v>567</v>
      </c>
      <c r="K59" s="18" t="n">
        <v>0.75931541</v>
      </c>
      <c r="L59" s="20" t="n">
        <v>0.25913439</v>
      </c>
      <c r="M59" s="18" t="n">
        <v>0</v>
      </c>
      <c r="N59" s="20" t="n">
        <v>0</v>
      </c>
      <c r="O59" s="18" t="n">
        <v>2.10896123</v>
      </c>
      <c r="P59" s="20" t="n">
        <v>0.47826693</v>
      </c>
      <c r="Q59" s="18" t="n">
        <v>0.61042785</v>
      </c>
      <c r="R59" s="20" t="n">
        <v>0.29943343</v>
      </c>
    </row>
    <row r="60" spans="1:18">
      <c r="A60" s="15" t="s">
        <v>620</v>
      </c>
      <c r="B60" s="17" t="n">
        <v>2095</v>
      </c>
      <c r="C60" s="18">
        <f>(1381.0/B60*100)</f>
        <v/>
      </c>
      <c r="D60" s="19" t="n">
        <v>714</v>
      </c>
      <c r="E60" s="18" t="n">
        <v>24.09866848</v>
      </c>
      <c r="F60" s="20" t="n">
        <v>2.0696722</v>
      </c>
      <c r="G60" s="18" t="n">
        <v>68.24972166000001</v>
      </c>
      <c r="H60" s="20" t="n">
        <v>2.14081723</v>
      </c>
      <c r="I60" s="18" t="s">
        <v>567</v>
      </c>
      <c r="J60" s="20" t="s">
        <v>567</v>
      </c>
      <c r="K60" s="18" t="n">
        <v>2.52292825</v>
      </c>
      <c r="L60" s="20" t="n">
        <v>0.69987928</v>
      </c>
      <c r="M60" s="18" t="n">
        <v>0</v>
      </c>
      <c r="N60" s="20" t="n">
        <v>0</v>
      </c>
      <c r="O60" s="18" t="n">
        <v>2.09199327</v>
      </c>
      <c r="P60" s="20" t="n">
        <v>0.58890299</v>
      </c>
      <c r="Q60" s="18" t="n">
        <v>3.03668835</v>
      </c>
      <c r="R60" s="20" t="n">
        <v>0.70399292</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(1867.0/B63*100)</f>
        <v/>
      </c>
      <c r="D63" s="19" t="n">
        <v>946</v>
      </c>
      <c r="E63" s="18" t="n">
        <v>71.59472603</v>
      </c>
      <c r="F63" s="20" t="n">
        <v>1.59348289</v>
      </c>
      <c r="G63" s="18" t="n">
        <v>21.91657613</v>
      </c>
      <c r="H63" s="20" t="n">
        <v>1.47199204</v>
      </c>
      <c r="I63" s="18" t="s">
        <v>567</v>
      </c>
      <c r="J63" s="20" t="s">
        <v>567</v>
      </c>
      <c r="K63" s="18" t="n">
        <v>2.61514669</v>
      </c>
      <c r="L63" s="20" t="n">
        <v>0.559022</v>
      </c>
      <c r="M63" s="18" t="n">
        <v>0</v>
      </c>
      <c r="N63" s="20" t="n">
        <v>0</v>
      </c>
      <c r="O63" s="18" t="n">
        <v>0.28699523</v>
      </c>
      <c r="P63" s="20" t="n">
        <v>0.05913341</v>
      </c>
      <c r="Q63" s="18" t="n">
        <v>3.58655592</v>
      </c>
      <c r="R63" s="20" t="n">
        <v>0.65768246</v>
      </c>
    </row>
    <row r="64" spans="1:18">
      <c r="A64" s="15" t="s">
        <v>624</v>
      </c>
      <c r="B64" s="17" t="n">
        <v>1844</v>
      </c>
      <c r="C64" s="18">
        <f>(1212.0/B64*100)</f>
        <v/>
      </c>
      <c r="D64" s="19" t="n">
        <v>632</v>
      </c>
      <c r="E64" s="18" t="n">
        <v>33.83190653</v>
      </c>
      <c r="F64" s="20" t="n">
        <v>1.86548472</v>
      </c>
      <c r="G64" s="18" t="n">
        <v>61.17436374</v>
      </c>
      <c r="H64" s="20" t="n">
        <v>1.98544118</v>
      </c>
      <c r="I64" s="18" t="s">
        <v>567</v>
      </c>
      <c r="J64" s="20" t="s">
        <v>567</v>
      </c>
      <c r="K64" s="18" t="n">
        <v>3.58234287</v>
      </c>
      <c r="L64" s="20" t="n">
        <v>0.80804212</v>
      </c>
      <c r="M64" s="18" t="n">
        <v>0</v>
      </c>
      <c r="N64" s="20" t="n">
        <v>0</v>
      </c>
      <c r="O64" s="18" t="n">
        <v>0.16570916</v>
      </c>
      <c r="P64" s="20" t="n">
        <v>0.16746496</v>
      </c>
      <c r="Q64" s="18" t="n">
        <v>1.2456777</v>
      </c>
      <c r="R64" s="20" t="n">
        <v>0.42526346</v>
      </c>
    </row>
    <row r="65" spans="1:18">
      <c r="A65" s="15" t="s">
        <v>625</v>
      </c>
      <c r="B65" s="17" t="n">
        <v>2691</v>
      </c>
      <c r="C65" s="18">
        <f>(1812.0/B65*100)</f>
        <v/>
      </c>
      <c r="D65" s="19" t="n">
        <v>879</v>
      </c>
      <c r="E65" s="18" t="n">
        <v>33.79469272</v>
      </c>
      <c r="F65" s="20" t="n">
        <v>1.75873054</v>
      </c>
      <c r="G65" s="18" t="n">
        <v>57.45332178</v>
      </c>
      <c r="H65" s="20" t="n">
        <v>1.92359418</v>
      </c>
      <c r="I65" s="18" t="s">
        <v>567</v>
      </c>
      <c r="J65" s="20" t="s">
        <v>567</v>
      </c>
      <c r="K65" s="18" t="n">
        <v>4.60453142</v>
      </c>
      <c r="L65" s="20" t="n">
        <v>0.7230097599999999</v>
      </c>
      <c r="M65" s="18" t="n">
        <v>2.56277594</v>
      </c>
      <c r="N65" s="20" t="n">
        <v>0.56933365</v>
      </c>
      <c r="O65" s="18" t="n">
        <v>0</v>
      </c>
      <c r="P65" s="20" t="n">
        <v>0</v>
      </c>
      <c r="Q65" s="18" t="n">
        <v>1.58467815</v>
      </c>
      <c r="R65" s="20" t="n">
        <v>0.42740239</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(1592.0/B69*100)</f>
        <v/>
      </c>
      <c r="D69" s="19" t="n">
        <v>818</v>
      </c>
      <c r="E69" s="18" t="n">
        <v>47.68065338</v>
      </c>
      <c r="F69" s="20" t="n">
        <v>1.93060254</v>
      </c>
      <c r="G69" s="18" t="n">
        <v>52.217155</v>
      </c>
      <c r="H69" s="20" t="n">
        <v>1.93322544</v>
      </c>
      <c r="I69" s="18" t="s">
        <v>567</v>
      </c>
      <c r="J69" s="20" t="s">
        <v>567</v>
      </c>
      <c r="K69" s="18" t="n">
        <v>0</v>
      </c>
      <c r="L69" s="20" t="n">
        <v>0</v>
      </c>
      <c r="M69" s="18" t="n">
        <v>0</v>
      </c>
      <c r="N69" s="20" t="n">
        <v>0</v>
      </c>
      <c r="O69" s="18" t="n">
        <v>0</v>
      </c>
      <c r="P69" s="20" t="n">
        <v>0</v>
      </c>
      <c r="Q69" s="18" t="n">
        <v>0.10219162</v>
      </c>
      <c r="R69" s="20" t="n">
        <v>0.10623968</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(1482.0/B74*100)</f>
        <v/>
      </c>
      <c r="D74" s="19" t="n">
        <v>757</v>
      </c>
      <c r="E74" s="18" t="n">
        <v>41.69255563</v>
      </c>
      <c r="F74" s="20" t="n">
        <v>1.87903421</v>
      </c>
      <c r="G74" s="18" t="n">
        <v>49.20799673</v>
      </c>
      <c r="H74" s="20" t="n">
        <v>1.85979068</v>
      </c>
      <c r="I74" s="18" t="s">
        <v>567</v>
      </c>
      <c r="J74" s="20" t="s">
        <v>567</v>
      </c>
      <c r="K74" s="18" t="n">
        <v>7.23229183</v>
      </c>
      <c r="L74" s="20" t="n">
        <v>1.08547918</v>
      </c>
      <c r="M74" s="18" t="n">
        <v>0</v>
      </c>
      <c r="N74" s="20" t="n">
        <v>0</v>
      </c>
      <c r="O74" s="18" t="n">
        <v>0</v>
      </c>
      <c r="P74" s="20" t="n">
        <v>0</v>
      </c>
      <c r="Q74" s="18" t="n">
        <v>1.86715581</v>
      </c>
      <c r="R74" s="20" t="n">
        <v>0.5133895000000001</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(1846.0/B78*100)</f>
        <v/>
      </c>
      <c r="D78" s="19" t="n">
        <v>940</v>
      </c>
      <c r="E78" s="18" t="n">
        <v>3.04486222</v>
      </c>
      <c r="F78" s="20" t="n">
        <v>0.5579066499999999</v>
      </c>
      <c r="G78" s="18" t="n">
        <v>96.95513778</v>
      </c>
      <c r="H78" s="20" t="n">
        <v>0.5579066499999999</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(532.0/B79*100)</f>
        <v/>
      </c>
      <c r="D79" s="19" t="n">
        <v>255</v>
      </c>
      <c r="E79" s="18" t="n">
        <v>35.02281789</v>
      </c>
      <c r="F79" s="20" t="n">
        <v>2.91504918</v>
      </c>
      <c r="G79" s="18" t="n">
        <v>60.46214235</v>
      </c>
      <c r="H79" s="20" t="n">
        <v>3.09564663</v>
      </c>
      <c r="I79" s="18" t="s">
        <v>567</v>
      </c>
      <c r="J79" s="20" t="s">
        <v>567</v>
      </c>
      <c r="K79" s="18" t="n">
        <v>3.4985426</v>
      </c>
      <c r="L79" s="20" t="n">
        <v>1.08774294</v>
      </c>
      <c r="M79" s="18" t="n">
        <v>0.45615985</v>
      </c>
      <c r="N79" s="20" t="n">
        <v>0.46080341</v>
      </c>
      <c r="O79" s="18" t="n">
        <v>0.56033729</v>
      </c>
      <c r="P79" s="20" t="n">
        <v>0.43983831</v>
      </c>
      <c r="Q79" s="18" t="n">
        <v>0</v>
      </c>
      <c r="R79" s="20" t="n">
        <v>0</v>
      </c>
    </row>
    <row r="80" spans="1:18">
      <c r="A80" s="15" t="s">
        <v>640</v>
      </c>
      <c r="B80" s="17" t="n">
        <v>3798</v>
      </c>
      <c r="C80" s="18">
        <f>(2528.0/B80*100)</f>
        <v/>
      </c>
      <c r="D80" s="19" t="n">
        <v>1270</v>
      </c>
      <c r="E80" s="18" t="n">
        <v>26.85569368</v>
      </c>
      <c r="F80" s="20" t="n">
        <v>1.94590811</v>
      </c>
      <c r="G80" s="18" t="n">
        <v>72.97311959</v>
      </c>
      <c r="H80" s="20" t="n">
        <v>1.9356039</v>
      </c>
      <c r="I80" s="18" t="s">
        <v>567</v>
      </c>
      <c r="J80" s="20" t="s">
        <v>567</v>
      </c>
      <c r="K80" s="18" t="n">
        <v>0</v>
      </c>
      <c r="L80" s="20" t="n">
        <v>0</v>
      </c>
      <c r="M80" s="18" t="n">
        <v>0</v>
      </c>
      <c r="N80" s="20" t="n">
        <v>0</v>
      </c>
      <c r="O80" s="18" t="n">
        <v>0</v>
      </c>
      <c r="P80" s="20" t="n">
        <v>0</v>
      </c>
      <c r="Q80" s="18" t="n">
        <v>0.17118673</v>
      </c>
      <c r="R80" s="20" t="n">
        <v>0.12276067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924</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(1693.0/B44*100)</f>
        <v/>
      </c>
      <c r="D44" s="19" t="n">
        <v>831</v>
      </c>
      <c r="E44" s="18" t="n">
        <v>45.46754951</v>
      </c>
      <c r="F44" s="20" t="n">
        <v>1.73402434</v>
      </c>
      <c r="G44" s="18" t="n">
        <v>45.3615673</v>
      </c>
      <c r="H44" s="20" t="n">
        <v>1.88629545</v>
      </c>
      <c r="I44" s="18" t="s">
        <v>567</v>
      </c>
      <c r="J44" s="20" t="s">
        <v>567</v>
      </c>
      <c r="K44" s="18" t="n">
        <v>2.63197747</v>
      </c>
      <c r="L44" s="20" t="n">
        <v>0.52313367</v>
      </c>
      <c r="M44" s="18" t="n">
        <v>0</v>
      </c>
      <c r="N44" s="20" t="n">
        <v>0</v>
      </c>
      <c r="O44" s="18" t="n">
        <v>4.59410241</v>
      </c>
      <c r="P44" s="20" t="n">
        <v>0.80212773</v>
      </c>
      <c r="Q44" s="18" t="n">
        <v>1.94480331</v>
      </c>
      <c r="R44" s="20" t="n">
        <v>0.49374829</v>
      </c>
    </row>
    <row r="45" spans="1:18">
      <c r="A45" s="15" t="s">
        <v>605</v>
      </c>
      <c r="B45" s="17" t="n">
        <v>2849</v>
      </c>
      <c r="C45" s="18">
        <f>(1902.0/B45*100)</f>
        <v/>
      </c>
      <c r="D45" s="19" t="n">
        <v>947</v>
      </c>
      <c r="E45" s="18" t="n">
        <v>63.39074016</v>
      </c>
      <c r="F45" s="20" t="n">
        <v>1.92576177</v>
      </c>
      <c r="G45" s="18" t="n">
        <v>21.45579734</v>
      </c>
      <c r="H45" s="20" t="n">
        <v>1.69778249</v>
      </c>
      <c r="I45" s="18" t="s">
        <v>567</v>
      </c>
      <c r="J45" s="20" t="s">
        <v>567</v>
      </c>
      <c r="K45" s="18" t="n">
        <v>5.40193355</v>
      </c>
      <c r="L45" s="20" t="n">
        <v>0.75957381</v>
      </c>
      <c r="M45" s="18" t="n">
        <v>0.36061928</v>
      </c>
      <c r="N45" s="20" t="n">
        <v>0.2114124</v>
      </c>
      <c r="O45" s="18" t="n">
        <v>6.18553907</v>
      </c>
      <c r="P45" s="20" t="n">
        <v>0.89596052</v>
      </c>
      <c r="Q45" s="18" t="n">
        <v>3.2053706</v>
      </c>
      <c r="R45" s="20" t="n">
        <v>0.6694202</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(2004.0/B49*100)</f>
        <v/>
      </c>
      <c r="D49" s="19" t="n">
        <v>1014</v>
      </c>
      <c r="E49" s="18" t="n">
        <v>62.13548522</v>
      </c>
      <c r="F49" s="20" t="n">
        <v>1.75797938</v>
      </c>
      <c r="G49" s="18" t="n">
        <v>32.96784374</v>
      </c>
      <c r="H49" s="20" t="n">
        <v>1.62314101</v>
      </c>
      <c r="I49" s="18" t="s">
        <v>567</v>
      </c>
      <c r="J49" s="20" t="s">
        <v>567</v>
      </c>
      <c r="K49" s="18" t="n">
        <v>1.61572325</v>
      </c>
      <c r="L49" s="20" t="n">
        <v>0.388138</v>
      </c>
      <c r="M49" s="18" t="n">
        <v>0.22876895</v>
      </c>
      <c r="N49" s="20" t="n">
        <v>0.20388993</v>
      </c>
      <c r="O49" s="18" t="n">
        <v>1.53261036</v>
      </c>
      <c r="P49" s="20" t="n">
        <v>0.4729516</v>
      </c>
      <c r="Q49" s="18" t="n">
        <v>1.51956849</v>
      </c>
      <c r="R49" s="20" t="n">
        <v>0.42680431</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(1853.0/B55*100)</f>
        <v/>
      </c>
      <c r="D55" s="19" t="n">
        <v>906</v>
      </c>
      <c r="E55" s="18" t="n">
        <v>56.72454134</v>
      </c>
      <c r="F55" s="20" t="n">
        <v>2.02525997</v>
      </c>
      <c r="G55" s="18" t="n">
        <v>40.65303449</v>
      </c>
      <c r="H55" s="20" t="n">
        <v>1.99189079</v>
      </c>
      <c r="I55" s="18" t="s">
        <v>567</v>
      </c>
      <c r="J55" s="20" t="s">
        <v>567</v>
      </c>
      <c r="K55" s="18" t="n">
        <v>1.43476347</v>
      </c>
      <c r="L55" s="20" t="n">
        <v>0.39820137</v>
      </c>
      <c r="M55" s="18" t="n">
        <v>0</v>
      </c>
      <c r="N55" s="20" t="n">
        <v>0</v>
      </c>
      <c r="O55" s="18" t="n">
        <v>0.77355752</v>
      </c>
      <c r="P55" s="20" t="n">
        <v>0.39326088</v>
      </c>
      <c r="Q55" s="18" t="n">
        <v>0.41410319</v>
      </c>
      <c r="R55" s="20" t="n">
        <v>0.18882546</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(2098.0/B57*100)</f>
        <v/>
      </c>
      <c r="D57" s="19" t="n">
        <v>1072</v>
      </c>
      <c r="E57" s="18" t="n">
        <v>66.32633515000001</v>
      </c>
      <c r="F57" s="20" t="n">
        <v>1.7532689</v>
      </c>
      <c r="G57" s="18" t="n">
        <v>31.89003395</v>
      </c>
      <c r="H57" s="20" t="n">
        <v>1.74002321</v>
      </c>
      <c r="I57" s="18" t="s">
        <v>567</v>
      </c>
      <c r="J57" s="20" t="s">
        <v>567</v>
      </c>
      <c r="K57" s="18" t="n">
        <v>1.20981739</v>
      </c>
      <c r="L57" s="20" t="n">
        <v>0.41021838</v>
      </c>
      <c r="M57" s="18" t="n">
        <v>0</v>
      </c>
      <c r="N57" s="20" t="n">
        <v>0</v>
      </c>
      <c r="O57" s="18" t="n">
        <v>0.20012382</v>
      </c>
      <c r="P57" s="20" t="n">
        <v>0.14017327</v>
      </c>
      <c r="Q57" s="18" t="n">
        <v>0.3736897</v>
      </c>
      <c r="R57" s="20" t="n">
        <v>0.18156348</v>
      </c>
    </row>
    <row r="58" spans="1:18">
      <c r="A58" s="15" t="s">
        <v>618</v>
      </c>
      <c r="B58" s="17" t="n">
        <v>3530</v>
      </c>
      <c r="C58" s="18">
        <f>(2366.0/B58*100)</f>
        <v/>
      </c>
      <c r="D58" s="19" t="n">
        <v>1164</v>
      </c>
      <c r="E58" s="18" t="n">
        <v>58.71422037</v>
      </c>
      <c r="F58" s="20" t="n">
        <v>1.73705087</v>
      </c>
      <c r="G58" s="18" t="n">
        <v>34.4522426</v>
      </c>
      <c r="H58" s="20" t="n">
        <v>1.46534466</v>
      </c>
      <c r="I58" s="18" t="s">
        <v>567</v>
      </c>
      <c r="J58" s="20" t="s">
        <v>567</v>
      </c>
      <c r="K58" s="18" t="n">
        <v>3.36390308</v>
      </c>
      <c r="L58" s="20" t="n">
        <v>0.61980784</v>
      </c>
      <c r="M58" s="18" t="n">
        <v>0</v>
      </c>
      <c r="N58" s="20" t="n">
        <v>0</v>
      </c>
      <c r="O58" s="18" t="n">
        <v>0.51732964</v>
      </c>
      <c r="P58" s="20" t="n">
        <v>0.19376197</v>
      </c>
      <c r="Q58" s="18" t="n">
        <v>2.95230432</v>
      </c>
      <c r="R58" s="20" t="n">
        <v>0.76418358</v>
      </c>
    </row>
    <row r="59" spans="1:18">
      <c r="A59" s="15" t="s">
        <v>619</v>
      </c>
      <c r="B59" s="17" t="n">
        <v>2548</v>
      </c>
      <c r="C59" s="18">
        <f>(1684.0/B59*100)</f>
        <v/>
      </c>
      <c r="D59" s="19" t="n">
        <v>864</v>
      </c>
      <c r="E59" s="18" t="n">
        <v>61.79150557</v>
      </c>
      <c r="F59" s="20" t="n">
        <v>1.98683211</v>
      </c>
      <c r="G59" s="18" t="n">
        <v>33.84787654</v>
      </c>
      <c r="H59" s="20" t="n">
        <v>1.8721092</v>
      </c>
      <c r="I59" s="18" t="s">
        <v>567</v>
      </c>
      <c r="J59" s="20" t="s">
        <v>567</v>
      </c>
      <c r="K59" s="18" t="n">
        <v>0.93017173</v>
      </c>
      <c r="L59" s="20" t="n">
        <v>0.31099708</v>
      </c>
      <c r="M59" s="18" t="n">
        <v>0</v>
      </c>
      <c r="N59" s="20" t="n">
        <v>0</v>
      </c>
      <c r="O59" s="18" t="n">
        <v>3.06533824</v>
      </c>
      <c r="P59" s="20" t="n">
        <v>0.5856704700000001</v>
      </c>
      <c r="Q59" s="18" t="n">
        <v>0.36510792</v>
      </c>
      <c r="R59" s="20" t="n">
        <v>0.14850007</v>
      </c>
    </row>
    <row r="60" spans="1:18">
      <c r="A60" s="15" t="s">
        <v>620</v>
      </c>
      <c r="B60" s="17" t="n">
        <v>2095</v>
      </c>
      <c r="C60" s="18">
        <f>(1381.0/B60*100)</f>
        <v/>
      </c>
      <c r="D60" s="19" t="n">
        <v>714</v>
      </c>
      <c r="E60" s="18" t="n">
        <v>53.25828912</v>
      </c>
      <c r="F60" s="20" t="n">
        <v>2.13755761</v>
      </c>
      <c r="G60" s="18" t="n">
        <v>35.0914521</v>
      </c>
      <c r="H60" s="20" t="n">
        <v>2.1284672</v>
      </c>
      <c r="I60" s="18" t="s">
        <v>567</v>
      </c>
      <c r="J60" s="20" t="s">
        <v>567</v>
      </c>
      <c r="K60" s="18" t="n">
        <v>3.01457907</v>
      </c>
      <c r="L60" s="20" t="n">
        <v>0.8431441200000001</v>
      </c>
      <c r="M60" s="18" t="n">
        <v>0</v>
      </c>
      <c r="N60" s="20" t="n">
        <v>0</v>
      </c>
      <c r="O60" s="18" t="n">
        <v>5.94460636</v>
      </c>
      <c r="P60" s="20" t="n">
        <v>1.16586732</v>
      </c>
      <c r="Q60" s="18" t="n">
        <v>2.69107337</v>
      </c>
      <c r="R60" s="20" t="n">
        <v>0.7797519000000001</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(1867.0/B63*100)</f>
        <v/>
      </c>
      <c r="D63" s="19" t="n">
        <v>946</v>
      </c>
      <c r="E63" s="18" t="n">
        <v>63.57584153</v>
      </c>
      <c r="F63" s="20" t="n">
        <v>1.8447246</v>
      </c>
      <c r="G63" s="18" t="n">
        <v>28.03520826</v>
      </c>
      <c r="H63" s="20" t="n">
        <v>1.80730272</v>
      </c>
      <c r="I63" s="18" t="s">
        <v>567</v>
      </c>
      <c r="J63" s="20" t="s">
        <v>567</v>
      </c>
      <c r="K63" s="18" t="n">
        <v>3.12345495</v>
      </c>
      <c r="L63" s="20" t="n">
        <v>0.63139115</v>
      </c>
      <c r="M63" s="18" t="n">
        <v>0</v>
      </c>
      <c r="N63" s="20" t="n">
        <v>0</v>
      </c>
      <c r="O63" s="18" t="n">
        <v>1.60909455</v>
      </c>
      <c r="P63" s="20" t="n">
        <v>0.45856684</v>
      </c>
      <c r="Q63" s="18" t="n">
        <v>3.65640072</v>
      </c>
      <c r="R63" s="20" t="n">
        <v>0.74756838</v>
      </c>
    </row>
    <row r="64" spans="1:18">
      <c r="A64" s="15" t="s">
        <v>624</v>
      </c>
      <c r="B64" s="17" t="n">
        <v>1844</v>
      </c>
      <c r="C64" s="18">
        <f>(1212.0/B64*100)</f>
        <v/>
      </c>
      <c r="D64" s="19" t="n">
        <v>632</v>
      </c>
      <c r="E64" s="18" t="n">
        <v>56.75053015</v>
      </c>
      <c r="F64" s="20" t="n">
        <v>2.20316489</v>
      </c>
      <c r="G64" s="18" t="n">
        <v>37.63967698</v>
      </c>
      <c r="H64" s="20" t="n">
        <v>2.19776496</v>
      </c>
      <c r="I64" s="18" t="s">
        <v>567</v>
      </c>
      <c r="J64" s="20" t="s">
        <v>567</v>
      </c>
      <c r="K64" s="18" t="n">
        <v>3.90585053</v>
      </c>
      <c r="L64" s="20" t="n">
        <v>0.84293004</v>
      </c>
      <c r="M64" s="18" t="n">
        <v>0</v>
      </c>
      <c r="N64" s="20" t="n">
        <v>0</v>
      </c>
      <c r="O64" s="18" t="n">
        <v>0.46047723</v>
      </c>
      <c r="P64" s="20" t="n">
        <v>0.29898112</v>
      </c>
      <c r="Q64" s="18" t="n">
        <v>1.24346512</v>
      </c>
      <c r="R64" s="20" t="n">
        <v>0.49229939</v>
      </c>
    </row>
    <row r="65" spans="1:18">
      <c r="A65" s="15" t="s">
        <v>625</v>
      </c>
      <c r="B65" s="17" t="n">
        <v>2691</v>
      </c>
      <c r="C65" s="18">
        <f>(1812.0/B65*100)</f>
        <v/>
      </c>
      <c r="D65" s="19" t="n">
        <v>879</v>
      </c>
      <c r="E65" s="18" t="n">
        <v>54.97917574</v>
      </c>
      <c r="F65" s="20" t="n">
        <v>1.82343736</v>
      </c>
      <c r="G65" s="18" t="n">
        <v>33.11540574</v>
      </c>
      <c r="H65" s="20" t="n">
        <v>1.8136005</v>
      </c>
      <c r="I65" s="18" t="s">
        <v>567</v>
      </c>
      <c r="J65" s="20" t="s">
        <v>567</v>
      </c>
      <c r="K65" s="18" t="n">
        <v>5.40779644</v>
      </c>
      <c r="L65" s="20" t="n">
        <v>0.76729466</v>
      </c>
      <c r="M65" s="18" t="n">
        <v>4.87553422</v>
      </c>
      <c r="N65" s="20" t="n">
        <v>0.87352551</v>
      </c>
      <c r="O65" s="18" t="n">
        <v>0</v>
      </c>
      <c r="P65" s="20" t="n">
        <v>0</v>
      </c>
      <c r="Q65" s="18" t="n">
        <v>1.62208785</v>
      </c>
      <c r="R65" s="20" t="n">
        <v>0.4426849</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(1592.0/B69*100)</f>
        <v/>
      </c>
      <c r="D69" s="19" t="n">
        <v>818</v>
      </c>
      <c r="E69" s="18" t="n">
        <v>62.27473648</v>
      </c>
      <c r="F69" s="20" t="n">
        <v>1.84138217</v>
      </c>
      <c r="G69" s="18" t="n">
        <v>37.51047989</v>
      </c>
      <c r="H69" s="20" t="n">
        <v>1.84222154</v>
      </c>
      <c r="I69" s="18" t="s">
        <v>567</v>
      </c>
      <c r="J69" s="20" t="s">
        <v>567</v>
      </c>
      <c r="K69" s="18" t="n">
        <v>0.11259201</v>
      </c>
      <c r="L69" s="20" t="n">
        <v>0.11190063</v>
      </c>
      <c r="M69" s="18" t="n">
        <v>0</v>
      </c>
      <c r="N69" s="20" t="n">
        <v>0</v>
      </c>
      <c r="O69" s="18" t="n">
        <v>0</v>
      </c>
      <c r="P69" s="20" t="n">
        <v>0</v>
      </c>
      <c r="Q69" s="18" t="n">
        <v>0.10219162</v>
      </c>
      <c r="R69" s="20" t="n">
        <v>0.10623968</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(1482.0/B74*100)</f>
        <v/>
      </c>
      <c r="D74" s="19" t="n">
        <v>757</v>
      </c>
      <c r="E74" s="18" t="n">
        <v>44.93917696</v>
      </c>
      <c r="F74" s="20" t="n">
        <v>2.00572982</v>
      </c>
      <c r="G74" s="18" t="n">
        <v>45.64274151</v>
      </c>
      <c r="H74" s="20" t="n">
        <v>2.07620937</v>
      </c>
      <c r="I74" s="18" t="s">
        <v>567</v>
      </c>
      <c r="J74" s="20" t="s">
        <v>567</v>
      </c>
      <c r="K74" s="18" t="n">
        <v>7.47836767</v>
      </c>
      <c r="L74" s="20" t="n">
        <v>1.09095741</v>
      </c>
      <c r="M74" s="18" t="n">
        <v>0</v>
      </c>
      <c r="N74" s="20" t="n">
        <v>0</v>
      </c>
      <c r="O74" s="18" t="n">
        <v>0</v>
      </c>
      <c r="P74" s="20" t="n">
        <v>0</v>
      </c>
      <c r="Q74" s="18" t="n">
        <v>1.93971386</v>
      </c>
      <c r="R74" s="20" t="n">
        <v>0.52711301</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(1846.0/B78*100)</f>
        <v/>
      </c>
      <c r="D78" s="19" t="n">
        <v>940</v>
      </c>
      <c r="E78" s="18" t="n">
        <v>34.49424378</v>
      </c>
      <c r="F78" s="20" t="n">
        <v>1.90745386</v>
      </c>
      <c r="G78" s="18" t="n">
        <v>65.50575621999999</v>
      </c>
      <c r="H78" s="20" t="n">
        <v>1.90745386</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(532.0/B79*100)</f>
        <v/>
      </c>
      <c r="D79" s="19" t="n">
        <v>255</v>
      </c>
      <c r="E79" s="18" t="n">
        <v>53.41874427</v>
      </c>
      <c r="F79" s="20" t="n">
        <v>3.36300012</v>
      </c>
      <c r="G79" s="18" t="n">
        <v>40.17592632</v>
      </c>
      <c r="H79" s="20" t="n">
        <v>3.30383664</v>
      </c>
      <c r="I79" s="18" t="s">
        <v>567</v>
      </c>
      <c r="J79" s="20" t="s">
        <v>567</v>
      </c>
      <c r="K79" s="18" t="n">
        <v>3.69679498</v>
      </c>
      <c r="L79" s="20" t="n">
        <v>1.13930685</v>
      </c>
      <c r="M79" s="18" t="n">
        <v>0.45615985</v>
      </c>
      <c r="N79" s="20" t="n">
        <v>0.46080341</v>
      </c>
      <c r="O79" s="18" t="n">
        <v>2.06594614</v>
      </c>
      <c r="P79" s="20" t="n">
        <v>1.00858214</v>
      </c>
      <c r="Q79" s="18" t="n">
        <v>0.18642844</v>
      </c>
      <c r="R79" s="20" t="n">
        <v>0.180196</v>
      </c>
    </row>
    <row r="80" spans="1:18">
      <c r="A80" s="15" t="s">
        <v>640</v>
      </c>
      <c r="B80" s="17" t="n">
        <v>3798</v>
      </c>
      <c r="C80" s="18">
        <f>(2528.0/B80*100)</f>
        <v/>
      </c>
      <c r="D80" s="19" t="n">
        <v>1270</v>
      </c>
      <c r="E80" s="18" t="n">
        <v>62.06022619</v>
      </c>
      <c r="F80" s="20" t="n">
        <v>1.60186494</v>
      </c>
      <c r="G80" s="18" t="n">
        <v>37.62078191</v>
      </c>
      <c r="H80" s="20" t="n">
        <v>1.60854789</v>
      </c>
      <c r="I80" s="18" t="s">
        <v>567</v>
      </c>
      <c r="J80" s="20" t="s">
        <v>567</v>
      </c>
      <c r="K80" s="18" t="n">
        <v>0</v>
      </c>
      <c r="L80" s="20" t="n">
        <v>0</v>
      </c>
      <c r="M80" s="18" t="n">
        <v>0</v>
      </c>
      <c r="N80" s="20" t="n">
        <v>0</v>
      </c>
      <c r="O80" s="18" t="n">
        <v>0</v>
      </c>
      <c r="P80" s="20" t="n">
        <v>0</v>
      </c>
      <c r="Q80" s="18" t="n">
        <v>0.3189919</v>
      </c>
      <c r="R80" s="20" t="n">
        <v>0.15026058</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925</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(1693.0/B44*100)</f>
        <v/>
      </c>
      <c r="D44" s="19" t="n">
        <v>831</v>
      </c>
      <c r="E44" s="18" t="n">
        <v>57.43158369</v>
      </c>
      <c r="F44" s="20" t="n">
        <v>1.72631806</v>
      </c>
      <c r="G44" s="18" t="n">
        <v>30.21620067</v>
      </c>
      <c r="H44" s="20" t="n">
        <v>1.89151719</v>
      </c>
      <c r="I44" s="18" t="s">
        <v>567</v>
      </c>
      <c r="J44" s="20" t="s">
        <v>567</v>
      </c>
      <c r="K44" s="18" t="n">
        <v>3.43540583</v>
      </c>
      <c r="L44" s="20" t="n">
        <v>0.60411058</v>
      </c>
      <c r="M44" s="18" t="n">
        <v>0</v>
      </c>
      <c r="N44" s="20" t="n">
        <v>0</v>
      </c>
      <c r="O44" s="18" t="n">
        <v>4.58747348</v>
      </c>
      <c r="P44" s="20" t="n">
        <v>0.9518328700000001</v>
      </c>
      <c r="Q44" s="18" t="n">
        <v>4.32933633</v>
      </c>
      <c r="R44" s="20" t="n">
        <v>0.85465251</v>
      </c>
    </row>
    <row r="45" spans="1:18">
      <c r="A45" s="15" t="s">
        <v>605</v>
      </c>
      <c r="B45" s="17" t="n">
        <v>2849</v>
      </c>
      <c r="C45" s="18">
        <f>(1902.0/B45*100)</f>
        <v/>
      </c>
      <c r="D45" s="19" t="n">
        <v>947</v>
      </c>
      <c r="E45" s="18" t="n">
        <v>44.32216822</v>
      </c>
      <c r="F45" s="20" t="n">
        <v>1.98598224</v>
      </c>
      <c r="G45" s="18" t="n">
        <v>41.36417765</v>
      </c>
      <c r="H45" s="20" t="n">
        <v>1.93526875</v>
      </c>
      <c r="I45" s="18" t="s">
        <v>567</v>
      </c>
      <c r="J45" s="20" t="s">
        <v>567</v>
      </c>
      <c r="K45" s="18" t="n">
        <v>5.85853546</v>
      </c>
      <c r="L45" s="20" t="n">
        <v>0.7863494</v>
      </c>
      <c r="M45" s="18" t="n">
        <v>0.43123161</v>
      </c>
      <c r="N45" s="20" t="n">
        <v>0.23331749</v>
      </c>
      <c r="O45" s="18" t="n">
        <v>4.60295089</v>
      </c>
      <c r="P45" s="20" t="n">
        <v>0.71870611</v>
      </c>
      <c r="Q45" s="18" t="n">
        <v>3.42093616</v>
      </c>
      <c r="R45" s="20" t="n">
        <v>0.65337377</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(2004.0/B49*100)</f>
        <v/>
      </c>
      <c r="D49" s="19" t="n">
        <v>1014</v>
      </c>
      <c r="E49" s="18" t="n">
        <v>57.32110144</v>
      </c>
      <c r="F49" s="20" t="n">
        <v>1.96893978</v>
      </c>
      <c r="G49" s="18" t="n">
        <v>38.34646482</v>
      </c>
      <c r="H49" s="20" t="n">
        <v>2.06667401</v>
      </c>
      <c r="I49" s="18" t="s">
        <v>567</v>
      </c>
      <c r="J49" s="20" t="s">
        <v>567</v>
      </c>
      <c r="K49" s="18" t="n">
        <v>1.71294735</v>
      </c>
      <c r="L49" s="20" t="n">
        <v>0.38902073</v>
      </c>
      <c r="M49" s="18" t="n">
        <v>0.03561508</v>
      </c>
      <c r="N49" s="20" t="n">
        <v>0.0356222</v>
      </c>
      <c r="O49" s="18" t="n">
        <v>1.37949803</v>
      </c>
      <c r="P49" s="20" t="n">
        <v>0.42035111</v>
      </c>
      <c r="Q49" s="18" t="n">
        <v>1.20437329</v>
      </c>
      <c r="R49" s="20" t="n">
        <v>0.38208906</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(1853.0/B55*100)</f>
        <v/>
      </c>
      <c r="D55" s="19" t="n">
        <v>906</v>
      </c>
      <c r="E55" s="18" t="n">
        <v>56.06858011</v>
      </c>
      <c r="F55" s="20" t="n">
        <v>2.08077202</v>
      </c>
      <c r="G55" s="18" t="n">
        <v>39.53606493</v>
      </c>
      <c r="H55" s="20" t="n">
        <v>2.02382349</v>
      </c>
      <c r="I55" s="18" t="s">
        <v>567</v>
      </c>
      <c r="J55" s="20" t="s">
        <v>567</v>
      </c>
      <c r="K55" s="18" t="n">
        <v>1.62777013</v>
      </c>
      <c r="L55" s="20" t="n">
        <v>0.4212395</v>
      </c>
      <c r="M55" s="18" t="n">
        <v>0</v>
      </c>
      <c r="N55" s="20" t="n">
        <v>0</v>
      </c>
      <c r="O55" s="18" t="n">
        <v>1.44313188</v>
      </c>
      <c r="P55" s="20" t="n">
        <v>0.46477627</v>
      </c>
      <c r="Q55" s="18" t="n">
        <v>1.32445295</v>
      </c>
      <c r="R55" s="20" t="n">
        <v>0.36136772</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(2098.0/B57*100)</f>
        <v/>
      </c>
      <c r="D57" s="19" t="n">
        <v>1072</v>
      </c>
      <c r="E57" s="18" t="n">
        <v>65.77107133</v>
      </c>
      <c r="F57" s="20" t="n">
        <v>1.66450893</v>
      </c>
      <c r="G57" s="18" t="n">
        <v>31.98589288</v>
      </c>
      <c r="H57" s="20" t="n">
        <v>1.58617163</v>
      </c>
      <c r="I57" s="18" t="s">
        <v>567</v>
      </c>
      <c r="J57" s="20" t="s">
        <v>567</v>
      </c>
      <c r="K57" s="18" t="n">
        <v>1.29947183</v>
      </c>
      <c r="L57" s="20" t="n">
        <v>0.42023735</v>
      </c>
      <c r="M57" s="18" t="n">
        <v>0</v>
      </c>
      <c r="N57" s="20" t="n">
        <v>0</v>
      </c>
      <c r="O57" s="18" t="n">
        <v>0.10804704</v>
      </c>
      <c r="P57" s="20" t="n">
        <v>0.10831005</v>
      </c>
      <c r="Q57" s="18" t="n">
        <v>0.8355169099999999</v>
      </c>
      <c r="R57" s="20" t="n">
        <v>0.31397711</v>
      </c>
    </row>
    <row r="58" spans="1:18">
      <c r="A58" s="15" t="s">
        <v>618</v>
      </c>
      <c r="B58" s="17" t="n">
        <v>3530</v>
      </c>
      <c r="C58" s="18">
        <f>(2366.0/B58*100)</f>
        <v/>
      </c>
      <c r="D58" s="19" t="n">
        <v>1164</v>
      </c>
      <c r="E58" s="18" t="n">
        <v>58.5496954</v>
      </c>
      <c r="F58" s="20" t="n">
        <v>1.5755753</v>
      </c>
      <c r="G58" s="18" t="n">
        <v>34.82830358</v>
      </c>
      <c r="H58" s="20" t="n">
        <v>1.73228347</v>
      </c>
      <c r="I58" s="18" t="s">
        <v>567</v>
      </c>
      <c r="J58" s="20" t="s">
        <v>567</v>
      </c>
      <c r="K58" s="18" t="n">
        <v>3.62952991</v>
      </c>
      <c r="L58" s="20" t="n">
        <v>0.67211815</v>
      </c>
      <c r="M58" s="18" t="n">
        <v>0</v>
      </c>
      <c r="N58" s="20" t="n">
        <v>0</v>
      </c>
      <c r="O58" s="18" t="n">
        <v>0.54223411</v>
      </c>
      <c r="P58" s="20" t="n">
        <v>0.24474106</v>
      </c>
      <c r="Q58" s="18" t="n">
        <v>2.450237</v>
      </c>
      <c r="R58" s="20" t="n">
        <v>0.72996472</v>
      </c>
    </row>
    <row r="59" spans="1:18">
      <c r="A59" s="15" t="s">
        <v>619</v>
      </c>
      <c r="B59" s="17" t="n">
        <v>2548</v>
      </c>
      <c r="C59" s="18">
        <f>(1684.0/B59*100)</f>
        <v/>
      </c>
      <c r="D59" s="19" t="n">
        <v>864</v>
      </c>
      <c r="E59" s="18" t="n">
        <v>68.22601225</v>
      </c>
      <c r="F59" s="20" t="n">
        <v>1.92660355</v>
      </c>
      <c r="G59" s="18" t="n">
        <v>24.26850335</v>
      </c>
      <c r="H59" s="20" t="n">
        <v>1.83317252</v>
      </c>
      <c r="I59" s="18" t="s">
        <v>567</v>
      </c>
      <c r="J59" s="20" t="s">
        <v>567</v>
      </c>
      <c r="K59" s="18" t="n">
        <v>1.23485159</v>
      </c>
      <c r="L59" s="20" t="n">
        <v>0.4068803</v>
      </c>
      <c r="M59" s="18" t="n">
        <v>0</v>
      </c>
      <c r="N59" s="20" t="n">
        <v>0</v>
      </c>
      <c r="O59" s="18" t="n">
        <v>4.60203502</v>
      </c>
      <c r="P59" s="20" t="n">
        <v>0.7634213</v>
      </c>
      <c r="Q59" s="18" t="n">
        <v>1.6685978</v>
      </c>
      <c r="R59" s="20" t="n">
        <v>0.4876578</v>
      </c>
    </row>
    <row r="60" spans="1:18">
      <c r="A60" s="15" t="s">
        <v>620</v>
      </c>
      <c r="B60" s="17" t="n">
        <v>2095</v>
      </c>
      <c r="C60" s="18">
        <f>(1381.0/B60*100)</f>
        <v/>
      </c>
      <c r="D60" s="19" t="n">
        <v>714</v>
      </c>
      <c r="E60" s="18" t="n">
        <v>43.29792094</v>
      </c>
      <c r="F60" s="20" t="n">
        <v>2.26055524</v>
      </c>
      <c r="G60" s="18" t="n">
        <v>45.56261764</v>
      </c>
      <c r="H60" s="20" t="n">
        <v>2.29767136</v>
      </c>
      <c r="I60" s="18" t="s">
        <v>567</v>
      </c>
      <c r="J60" s="20" t="s">
        <v>567</v>
      </c>
      <c r="K60" s="18" t="n">
        <v>3.5815651</v>
      </c>
      <c r="L60" s="20" t="n">
        <v>0.93222576</v>
      </c>
      <c r="M60" s="18" t="n">
        <v>0</v>
      </c>
      <c r="N60" s="20" t="n">
        <v>0</v>
      </c>
      <c r="O60" s="18" t="n">
        <v>4.48252301</v>
      </c>
      <c r="P60" s="20" t="n">
        <v>0.87982991</v>
      </c>
      <c r="Q60" s="18" t="n">
        <v>3.07537331</v>
      </c>
      <c r="R60" s="20" t="n">
        <v>0.65466733</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(1867.0/B63*100)</f>
        <v/>
      </c>
      <c r="D63" s="19" t="n">
        <v>946</v>
      </c>
      <c r="E63" s="18" t="n">
        <v>59.041716</v>
      </c>
      <c r="F63" s="20" t="n">
        <v>1.88088982</v>
      </c>
      <c r="G63" s="18" t="n">
        <v>30.03107817</v>
      </c>
      <c r="H63" s="20" t="n">
        <v>1.74490194</v>
      </c>
      <c r="I63" s="18" t="s">
        <v>567</v>
      </c>
      <c r="J63" s="20" t="s">
        <v>567</v>
      </c>
      <c r="K63" s="18" t="n">
        <v>3.53302058</v>
      </c>
      <c r="L63" s="20" t="n">
        <v>0.63570931</v>
      </c>
      <c r="M63" s="18" t="n">
        <v>0</v>
      </c>
      <c r="N63" s="20" t="n">
        <v>0</v>
      </c>
      <c r="O63" s="18" t="n">
        <v>1.4949546</v>
      </c>
      <c r="P63" s="20" t="n">
        <v>0.50762653</v>
      </c>
      <c r="Q63" s="18" t="n">
        <v>5.89923066</v>
      </c>
      <c r="R63" s="20" t="n">
        <v>0.8061083</v>
      </c>
    </row>
    <row r="64" spans="1:18">
      <c r="A64" s="15" t="s">
        <v>624</v>
      </c>
      <c r="B64" s="17" t="n">
        <v>1844</v>
      </c>
      <c r="C64" s="18">
        <f>(1212.0/B64*100)</f>
        <v/>
      </c>
      <c r="D64" s="19" t="n">
        <v>632</v>
      </c>
      <c r="E64" s="18" t="n">
        <v>48.20840871</v>
      </c>
      <c r="F64" s="20" t="n">
        <v>1.92848221</v>
      </c>
      <c r="G64" s="18" t="n">
        <v>44.16221109</v>
      </c>
      <c r="H64" s="20" t="n">
        <v>1.83964915</v>
      </c>
      <c r="I64" s="18" t="s">
        <v>567</v>
      </c>
      <c r="J64" s="20" t="s">
        <v>567</v>
      </c>
      <c r="K64" s="18" t="n">
        <v>4.37040104</v>
      </c>
      <c r="L64" s="20" t="n">
        <v>0.88285037</v>
      </c>
      <c r="M64" s="18" t="n">
        <v>0.22849454</v>
      </c>
      <c r="N64" s="20" t="n">
        <v>0.22070083</v>
      </c>
      <c r="O64" s="18" t="n">
        <v>0.82344751</v>
      </c>
      <c r="P64" s="20" t="n">
        <v>0.36941657</v>
      </c>
      <c r="Q64" s="18" t="n">
        <v>2.20703712</v>
      </c>
      <c r="R64" s="20" t="n">
        <v>0.57165839</v>
      </c>
    </row>
    <row r="65" spans="1:18">
      <c r="A65" s="15" t="s">
        <v>625</v>
      </c>
      <c r="B65" s="17" t="n">
        <v>2691</v>
      </c>
      <c r="C65" s="18">
        <f>(1812.0/B65*100)</f>
        <v/>
      </c>
      <c r="D65" s="19" t="n">
        <v>879</v>
      </c>
      <c r="E65" s="18" t="n">
        <v>54.80529409</v>
      </c>
      <c r="F65" s="20" t="n">
        <v>1.72465152</v>
      </c>
      <c r="G65" s="18" t="n">
        <v>31.9380554</v>
      </c>
      <c r="H65" s="20" t="n">
        <v>1.51486004</v>
      </c>
      <c r="I65" s="18" t="s">
        <v>567</v>
      </c>
      <c r="J65" s="20" t="s">
        <v>567</v>
      </c>
      <c r="K65" s="18" t="n">
        <v>5.59303069</v>
      </c>
      <c r="L65" s="20" t="n">
        <v>0.78640421</v>
      </c>
      <c r="M65" s="18" t="n">
        <v>4.269198</v>
      </c>
      <c r="N65" s="20" t="n">
        <v>0.66478285</v>
      </c>
      <c r="O65" s="18" t="n">
        <v>0</v>
      </c>
      <c r="P65" s="20" t="n">
        <v>0</v>
      </c>
      <c r="Q65" s="18" t="n">
        <v>3.39442182</v>
      </c>
      <c r="R65" s="20" t="n">
        <v>0.68621127</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(1592.0/B69*100)</f>
        <v/>
      </c>
      <c r="D69" s="19" t="n">
        <v>818</v>
      </c>
      <c r="E69" s="18" t="n">
        <v>67.02256804</v>
      </c>
      <c r="F69" s="20" t="n">
        <v>1.86146921</v>
      </c>
      <c r="G69" s="18" t="n">
        <v>32.76264833</v>
      </c>
      <c r="H69" s="20" t="n">
        <v>1.86290588</v>
      </c>
      <c r="I69" s="18" t="s">
        <v>567</v>
      </c>
      <c r="J69" s="20" t="s">
        <v>567</v>
      </c>
      <c r="K69" s="18" t="n">
        <v>0.11259201</v>
      </c>
      <c r="L69" s="20" t="n">
        <v>0.11190063</v>
      </c>
      <c r="M69" s="18" t="n">
        <v>0</v>
      </c>
      <c r="N69" s="20" t="n">
        <v>0</v>
      </c>
      <c r="O69" s="18" t="n">
        <v>0</v>
      </c>
      <c r="P69" s="20" t="n">
        <v>0</v>
      </c>
      <c r="Q69" s="18" t="n">
        <v>0.10219162</v>
      </c>
      <c r="R69" s="20" t="n">
        <v>0.10623968</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(1482.0/B74*100)</f>
        <v/>
      </c>
      <c r="D74" s="19" t="n">
        <v>757</v>
      </c>
      <c r="E74" s="18" t="n">
        <v>49.18045256</v>
      </c>
      <c r="F74" s="20" t="n">
        <v>2.01734993</v>
      </c>
      <c r="G74" s="18" t="n">
        <v>41.15631249</v>
      </c>
      <c r="H74" s="20" t="n">
        <v>2.01319189</v>
      </c>
      <c r="I74" s="18" t="s">
        <v>567</v>
      </c>
      <c r="J74" s="20" t="s">
        <v>567</v>
      </c>
      <c r="K74" s="18" t="n">
        <v>7.54138284</v>
      </c>
      <c r="L74" s="20" t="n">
        <v>1.09184445</v>
      </c>
      <c r="M74" s="18" t="n">
        <v>0</v>
      </c>
      <c r="N74" s="20" t="n">
        <v>0</v>
      </c>
      <c r="O74" s="18" t="n">
        <v>0.10971048</v>
      </c>
      <c r="P74" s="20" t="n">
        <v>0.1088097</v>
      </c>
      <c r="Q74" s="18" t="n">
        <v>2.01214163</v>
      </c>
      <c r="R74" s="20" t="n">
        <v>0.49427736</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(1846.0/B78*100)</f>
        <v/>
      </c>
      <c r="D78" s="19" t="n">
        <v>940</v>
      </c>
      <c r="E78" s="18" t="n">
        <v>2.9748036</v>
      </c>
      <c r="F78" s="20" t="n">
        <v>0.57443439</v>
      </c>
      <c r="G78" s="18" t="n">
        <v>97.0251964</v>
      </c>
      <c r="H78" s="20" t="n">
        <v>0.57443439</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(532.0/B79*100)</f>
        <v/>
      </c>
      <c r="D79" s="19" t="n">
        <v>255</v>
      </c>
      <c r="E79" s="18" t="n">
        <v>45.22690328</v>
      </c>
      <c r="F79" s="20" t="n">
        <v>3.19800343</v>
      </c>
      <c r="G79" s="18" t="n">
        <v>47.19634181</v>
      </c>
      <c r="H79" s="20" t="n">
        <v>3.61657628</v>
      </c>
      <c r="I79" s="18" t="s">
        <v>567</v>
      </c>
      <c r="J79" s="20" t="s">
        <v>567</v>
      </c>
      <c r="K79" s="18" t="n">
        <v>3.98534657</v>
      </c>
      <c r="L79" s="20" t="n">
        <v>1.17902449</v>
      </c>
      <c r="M79" s="18" t="n">
        <v>0.45615985</v>
      </c>
      <c r="N79" s="20" t="n">
        <v>0.46080341</v>
      </c>
      <c r="O79" s="18" t="n">
        <v>2.23904066</v>
      </c>
      <c r="P79" s="20" t="n">
        <v>0.98675916</v>
      </c>
      <c r="Q79" s="18" t="n">
        <v>0.89620782</v>
      </c>
      <c r="R79" s="20" t="n">
        <v>0.54933584</v>
      </c>
    </row>
    <row r="80" spans="1:18">
      <c r="A80" s="15" t="s">
        <v>640</v>
      </c>
      <c r="B80" s="17" t="n">
        <v>3798</v>
      </c>
      <c r="C80" s="18">
        <f>(2528.0/B80*100)</f>
        <v/>
      </c>
      <c r="D80" s="19" t="n">
        <v>1270</v>
      </c>
      <c r="E80" s="18" t="n">
        <v>17.76280825</v>
      </c>
      <c r="F80" s="20" t="n">
        <v>1.3467513</v>
      </c>
      <c r="G80" s="18" t="n">
        <v>16.96025614</v>
      </c>
      <c r="H80" s="20" t="n">
        <v>1.27014871</v>
      </c>
      <c r="I80" s="18" t="s">
        <v>567</v>
      </c>
      <c r="J80" s="20" t="s">
        <v>567</v>
      </c>
      <c r="K80" s="18" t="n">
        <v>0</v>
      </c>
      <c r="L80" s="20" t="n">
        <v>0</v>
      </c>
      <c r="M80" s="18" t="n">
        <v>65.06795309</v>
      </c>
      <c r="N80" s="20" t="n">
        <v>1.88875672</v>
      </c>
      <c r="O80" s="18" t="n">
        <v>0</v>
      </c>
      <c r="P80" s="20" t="n">
        <v>0</v>
      </c>
      <c r="Q80" s="18" t="n">
        <v>0.20898252</v>
      </c>
      <c r="R80" s="20" t="n">
        <v>0.12600048</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(1693.0/B44*100)</f>
        <v/>
      </c>
      <c r="D44" s="19" t="n">
        <v>831</v>
      </c>
      <c r="E44" s="18" t="n">
        <v>22.31217272</v>
      </c>
      <c r="F44" s="20" t="n">
        <v>1.75438892</v>
      </c>
      <c r="G44" s="18" t="n">
        <v>47.81916899</v>
      </c>
      <c r="H44" s="20" t="n">
        <v>2.48585328</v>
      </c>
      <c r="I44" s="18" t="s">
        <v>567</v>
      </c>
      <c r="J44" s="20" t="s">
        <v>567</v>
      </c>
      <c r="K44" s="18" t="n">
        <v>4.65949593</v>
      </c>
      <c r="L44" s="20" t="n">
        <v>0.69775488</v>
      </c>
      <c r="M44" s="18" t="n">
        <v>0</v>
      </c>
      <c r="N44" s="20" t="n">
        <v>0</v>
      </c>
      <c r="O44" s="18" t="n">
        <v>0</v>
      </c>
      <c r="P44" s="20" t="n">
        <v>0</v>
      </c>
      <c r="Q44" s="18" t="n">
        <v>25.20916236</v>
      </c>
      <c r="R44" s="20" t="n">
        <v>2.09433942</v>
      </c>
    </row>
    <row r="45" spans="1:18">
      <c r="A45" s="15" t="s">
        <v>605</v>
      </c>
      <c r="B45" s="17" t="n">
        <v>2849</v>
      </c>
      <c r="C45" s="18">
        <f>(1902.0/B45*100)</f>
        <v/>
      </c>
      <c r="D45" s="19" t="n">
        <v>947</v>
      </c>
      <c r="E45" s="18" t="n">
        <v>35.6403725</v>
      </c>
      <c r="F45" s="20" t="n">
        <v>1.90623037</v>
      </c>
      <c r="G45" s="18" t="n">
        <v>34.55976094</v>
      </c>
      <c r="H45" s="20" t="n">
        <v>1.86859022</v>
      </c>
      <c r="I45" s="18" t="s">
        <v>567</v>
      </c>
      <c r="J45" s="20" t="s">
        <v>567</v>
      </c>
      <c r="K45" s="18" t="n">
        <v>6.63456748</v>
      </c>
      <c r="L45" s="20" t="n">
        <v>0.88264752</v>
      </c>
      <c r="M45" s="18" t="n">
        <v>0.43637752</v>
      </c>
      <c r="N45" s="20" t="n">
        <v>0.42499626</v>
      </c>
      <c r="O45" s="18" t="n">
        <v>0</v>
      </c>
      <c r="P45" s="20" t="n">
        <v>0</v>
      </c>
      <c r="Q45" s="18" t="n">
        <v>22.72892156</v>
      </c>
      <c r="R45" s="20" t="n">
        <v>1.68464962</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(2004.0/B49*100)</f>
        <v/>
      </c>
      <c r="D49" s="19" t="n">
        <v>1014</v>
      </c>
      <c r="E49" s="18" t="n">
        <v>32.49295609</v>
      </c>
      <c r="F49" s="20" t="n">
        <v>1.87047285</v>
      </c>
      <c r="G49" s="18" t="n">
        <v>51.260371</v>
      </c>
      <c r="H49" s="20" t="n">
        <v>1.93184889</v>
      </c>
      <c r="I49" s="18" t="s">
        <v>567</v>
      </c>
      <c r="J49" s="20" t="s">
        <v>567</v>
      </c>
      <c r="K49" s="18" t="n">
        <v>3.1834691</v>
      </c>
      <c r="L49" s="20" t="n">
        <v>0.5775779599999999</v>
      </c>
      <c r="M49" s="18" t="n">
        <v>0.03561508</v>
      </c>
      <c r="N49" s="20" t="n">
        <v>0.0356222</v>
      </c>
      <c r="O49" s="18" t="n">
        <v>0.03153102</v>
      </c>
      <c r="P49" s="20" t="n">
        <v>0.03085373</v>
      </c>
      <c r="Q49" s="18" t="n">
        <v>12.99605771</v>
      </c>
      <c r="R49" s="20" t="n">
        <v>1.41946578</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(1853.0/B55*100)</f>
        <v/>
      </c>
      <c r="D55" s="19" t="n">
        <v>906</v>
      </c>
      <c r="E55" s="18" t="n">
        <v>16.09642197</v>
      </c>
      <c r="F55" s="20" t="n">
        <v>1.27037506</v>
      </c>
      <c r="G55" s="18" t="n">
        <v>51.65240456</v>
      </c>
      <c r="H55" s="20" t="n">
        <v>1.96570995</v>
      </c>
      <c r="I55" s="18" t="s">
        <v>567</v>
      </c>
      <c r="J55" s="20" t="s">
        <v>567</v>
      </c>
      <c r="K55" s="18" t="n">
        <v>2.28721148</v>
      </c>
      <c r="L55" s="20" t="n">
        <v>0.53309873</v>
      </c>
      <c r="M55" s="18" t="n">
        <v>0</v>
      </c>
      <c r="N55" s="20" t="n">
        <v>0</v>
      </c>
      <c r="O55" s="18" t="n">
        <v>0</v>
      </c>
      <c r="P55" s="20" t="n">
        <v>0</v>
      </c>
      <c r="Q55" s="18" t="n">
        <v>29.963962</v>
      </c>
      <c r="R55" s="20" t="n">
        <v>1.79484361</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(2098.0/B57*100)</f>
        <v/>
      </c>
      <c r="D57" s="19" t="n">
        <v>1072</v>
      </c>
      <c r="E57" s="18" t="n">
        <v>52.32694787</v>
      </c>
      <c r="F57" s="20" t="n">
        <v>1.76200044</v>
      </c>
      <c r="G57" s="18" t="n">
        <v>40.43861719</v>
      </c>
      <c r="H57" s="20" t="n">
        <v>1.90248082</v>
      </c>
      <c r="I57" s="18" t="s">
        <v>567</v>
      </c>
      <c r="J57" s="20" t="s">
        <v>567</v>
      </c>
      <c r="K57" s="18" t="n">
        <v>1.61485309</v>
      </c>
      <c r="L57" s="20" t="n">
        <v>0.50542756</v>
      </c>
      <c r="M57" s="18" t="n">
        <v>0</v>
      </c>
      <c r="N57" s="20" t="n">
        <v>0</v>
      </c>
      <c r="O57" s="18" t="n">
        <v>0</v>
      </c>
      <c r="P57" s="20" t="n">
        <v>0</v>
      </c>
      <c r="Q57" s="18" t="n">
        <v>5.61958186</v>
      </c>
      <c r="R57" s="20" t="n">
        <v>0.85502754</v>
      </c>
    </row>
    <row r="58" spans="1:18">
      <c r="A58" s="15" t="s">
        <v>618</v>
      </c>
      <c r="B58" s="17" t="n">
        <v>3530</v>
      </c>
      <c r="C58" s="18">
        <f>(2366.0/B58*100)</f>
        <v/>
      </c>
      <c r="D58" s="19" t="n">
        <v>1164</v>
      </c>
      <c r="E58" s="18" t="n">
        <v>40.74591928</v>
      </c>
      <c r="F58" s="20" t="n">
        <v>1.28515439</v>
      </c>
      <c r="G58" s="18" t="n">
        <v>38.03556467</v>
      </c>
      <c r="H58" s="20" t="n">
        <v>1.83593719</v>
      </c>
      <c r="I58" s="18" t="s">
        <v>567</v>
      </c>
      <c r="J58" s="20" t="s">
        <v>567</v>
      </c>
      <c r="K58" s="18" t="n">
        <v>4.59691986</v>
      </c>
      <c r="L58" s="20" t="n">
        <v>0.83168879</v>
      </c>
      <c r="M58" s="18" t="n">
        <v>0</v>
      </c>
      <c r="N58" s="20" t="n">
        <v>0</v>
      </c>
      <c r="O58" s="18" t="n">
        <v>0</v>
      </c>
      <c r="P58" s="20" t="n">
        <v>0</v>
      </c>
      <c r="Q58" s="18" t="n">
        <v>16.62159619</v>
      </c>
      <c r="R58" s="20" t="n">
        <v>1.39473505</v>
      </c>
    </row>
    <row r="59" spans="1:18">
      <c r="A59" s="15" t="s">
        <v>619</v>
      </c>
      <c r="B59" s="17" t="n">
        <v>2548</v>
      </c>
      <c r="C59" s="18">
        <f>(1684.0/B59*100)</f>
        <v/>
      </c>
      <c r="D59" s="19" t="n">
        <v>864</v>
      </c>
      <c r="E59" s="18" t="n">
        <v>47.50787303</v>
      </c>
      <c r="F59" s="20" t="n">
        <v>2.03761804</v>
      </c>
      <c r="G59" s="18" t="n">
        <v>28.15883589</v>
      </c>
      <c r="H59" s="20" t="n">
        <v>1.85244749</v>
      </c>
      <c r="I59" s="18" t="s">
        <v>567</v>
      </c>
      <c r="J59" s="20" t="s">
        <v>567</v>
      </c>
      <c r="K59" s="18" t="n">
        <v>1.9526178</v>
      </c>
      <c r="L59" s="20" t="n">
        <v>0.56405924</v>
      </c>
      <c r="M59" s="18" t="n">
        <v>0</v>
      </c>
      <c r="N59" s="20" t="n">
        <v>0</v>
      </c>
      <c r="O59" s="18" t="n">
        <v>0</v>
      </c>
      <c r="P59" s="20" t="n">
        <v>0</v>
      </c>
      <c r="Q59" s="18" t="n">
        <v>22.38067328</v>
      </c>
      <c r="R59" s="20" t="n">
        <v>1.63859167</v>
      </c>
    </row>
    <row r="60" spans="1:18">
      <c r="A60" s="15" t="s">
        <v>620</v>
      </c>
      <c r="B60" s="17" t="n">
        <v>2095</v>
      </c>
      <c r="C60" s="18">
        <f>(1381.0/B60*100)</f>
        <v/>
      </c>
      <c r="D60" s="19" t="n">
        <v>714</v>
      </c>
      <c r="E60" s="18" t="n">
        <v>33.07082668</v>
      </c>
      <c r="F60" s="20" t="n">
        <v>1.87427404</v>
      </c>
      <c r="G60" s="18" t="n">
        <v>25.65445875</v>
      </c>
      <c r="H60" s="20" t="n">
        <v>2.04852782</v>
      </c>
      <c r="I60" s="18" t="s">
        <v>567</v>
      </c>
      <c r="J60" s="20" t="s">
        <v>567</v>
      </c>
      <c r="K60" s="18" t="n">
        <v>4.23414201</v>
      </c>
      <c r="L60" s="20" t="n">
        <v>0.97343196</v>
      </c>
      <c r="M60" s="18" t="n">
        <v>0.17335503</v>
      </c>
      <c r="N60" s="20" t="n">
        <v>0.17588981</v>
      </c>
      <c r="O60" s="18" t="n">
        <v>0</v>
      </c>
      <c r="P60" s="20" t="n">
        <v>0</v>
      </c>
      <c r="Q60" s="18" t="n">
        <v>36.86721753</v>
      </c>
      <c r="R60" s="20" t="n">
        <v>2.14043878</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(1867.0/B63*100)</f>
        <v/>
      </c>
      <c r="D63" s="19" t="n">
        <v>946</v>
      </c>
      <c r="E63" s="18" t="n">
        <v>17.14569426</v>
      </c>
      <c r="F63" s="20" t="n">
        <v>1.596389</v>
      </c>
      <c r="G63" s="18" t="n">
        <v>31.90958496</v>
      </c>
      <c r="H63" s="20" t="n">
        <v>1.5452978</v>
      </c>
      <c r="I63" s="18" t="s">
        <v>567</v>
      </c>
      <c r="J63" s="20" t="s">
        <v>567</v>
      </c>
      <c r="K63" s="18" t="n">
        <v>4.66914599</v>
      </c>
      <c r="L63" s="20" t="n">
        <v>0.67101995</v>
      </c>
      <c r="M63" s="18" t="n">
        <v>0</v>
      </c>
      <c r="N63" s="20" t="n">
        <v>0</v>
      </c>
      <c r="O63" s="18" t="n">
        <v>0</v>
      </c>
      <c r="P63" s="20" t="n">
        <v>0</v>
      </c>
      <c r="Q63" s="18" t="n">
        <v>46.27557478</v>
      </c>
      <c r="R63" s="20" t="n">
        <v>1.67783458</v>
      </c>
    </row>
    <row r="64" spans="1:18">
      <c r="A64" s="15" t="s">
        <v>624</v>
      </c>
      <c r="B64" s="17" t="n">
        <v>1844</v>
      </c>
      <c r="C64" s="18">
        <f>(1212.0/B64*100)</f>
        <v/>
      </c>
      <c r="D64" s="19" t="n">
        <v>632</v>
      </c>
      <c r="E64" s="18" t="n">
        <v>17.21769897</v>
      </c>
      <c r="F64" s="20" t="n">
        <v>1.54632087</v>
      </c>
      <c r="G64" s="18" t="n">
        <v>58.71275026</v>
      </c>
      <c r="H64" s="20" t="n">
        <v>2.03188034</v>
      </c>
      <c r="I64" s="18" t="s">
        <v>567</v>
      </c>
      <c r="J64" s="20" t="s">
        <v>567</v>
      </c>
      <c r="K64" s="18" t="n">
        <v>4.91746225</v>
      </c>
      <c r="L64" s="20" t="n">
        <v>0.93494415</v>
      </c>
      <c r="M64" s="18" t="n">
        <v>0</v>
      </c>
      <c r="N64" s="20" t="n">
        <v>0</v>
      </c>
      <c r="O64" s="18" t="n">
        <v>0</v>
      </c>
      <c r="P64" s="20" t="n">
        <v>0</v>
      </c>
      <c r="Q64" s="18" t="n">
        <v>19.15208852</v>
      </c>
      <c r="R64" s="20" t="n">
        <v>1.69883579</v>
      </c>
    </row>
    <row r="65" spans="1:18">
      <c r="A65" s="15" t="s">
        <v>625</v>
      </c>
      <c r="B65" s="17" t="n">
        <v>2691</v>
      </c>
      <c r="C65" s="18">
        <f>(1812.0/B65*100)</f>
        <v/>
      </c>
      <c r="D65" s="19" t="n">
        <v>879</v>
      </c>
      <c r="E65" s="18" t="n">
        <v>13.09215267</v>
      </c>
      <c r="F65" s="20" t="n">
        <v>1.27320633</v>
      </c>
      <c r="G65" s="18" t="n">
        <v>58.00139769</v>
      </c>
      <c r="H65" s="20" t="n">
        <v>1.72934957</v>
      </c>
      <c r="I65" s="18" t="s">
        <v>567</v>
      </c>
      <c r="J65" s="20" t="s">
        <v>567</v>
      </c>
      <c r="K65" s="18" t="n">
        <v>7.33912702</v>
      </c>
      <c r="L65" s="20" t="n">
        <v>0.85250315</v>
      </c>
      <c r="M65" s="18" t="n">
        <v>0</v>
      </c>
      <c r="N65" s="20" t="n">
        <v>0</v>
      </c>
      <c r="O65" s="18" t="n">
        <v>0</v>
      </c>
      <c r="P65" s="20" t="n">
        <v>0</v>
      </c>
      <c r="Q65" s="18" t="n">
        <v>21.56732262</v>
      </c>
      <c r="R65" s="20" t="n">
        <v>1.65599562</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(1592.0/B69*100)</f>
        <v/>
      </c>
      <c r="D69" s="19" t="n">
        <v>818</v>
      </c>
      <c r="E69" s="18" t="n">
        <v>35.93044276</v>
      </c>
      <c r="F69" s="20" t="n">
        <v>2.06926759</v>
      </c>
      <c r="G69" s="18" t="n">
        <v>63.7399802</v>
      </c>
      <c r="H69" s="20" t="n">
        <v>2.08309268</v>
      </c>
      <c r="I69" s="18" t="s">
        <v>567</v>
      </c>
      <c r="J69" s="20" t="s">
        <v>567</v>
      </c>
      <c r="K69" s="18" t="n">
        <v>0.11259201</v>
      </c>
      <c r="L69" s="20" t="n">
        <v>0.11190063</v>
      </c>
      <c r="M69" s="18" t="n">
        <v>0</v>
      </c>
      <c r="N69" s="20" t="n">
        <v>0</v>
      </c>
      <c r="O69" s="18" t="n">
        <v>0</v>
      </c>
      <c r="P69" s="20" t="n">
        <v>0</v>
      </c>
      <c r="Q69" s="18" t="n">
        <v>0.21698502</v>
      </c>
      <c r="R69" s="20" t="n">
        <v>0.15228946</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(1482.0/B74*100)</f>
        <v/>
      </c>
      <c r="D74" s="19" t="n">
        <v>757</v>
      </c>
      <c r="E74" s="18" t="n">
        <v>22.55450934</v>
      </c>
      <c r="F74" s="20" t="n">
        <v>1.709379</v>
      </c>
      <c r="G74" s="18" t="n">
        <v>44.06293217</v>
      </c>
      <c r="H74" s="20" t="n">
        <v>1.63958135</v>
      </c>
      <c r="I74" s="18" t="s">
        <v>567</v>
      </c>
      <c r="J74" s="20" t="s">
        <v>567</v>
      </c>
      <c r="K74" s="18" t="n">
        <v>9.9075068</v>
      </c>
      <c r="L74" s="20" t="n">
        <v>1.19039522</v>
      </c>
      <c r="M74" s="18" t="n">
        <v>0</v>
      </c>
      <c r="N74" s="20" t="n">
        <v>0</v>
      </c>
      <c r="O74" s="18" t="n">
        <v>0</v>
      </c>
      <c r="P74" s="20" t="n">
        <v>0</v>
      </c>
      <c r="Q74" s="18" t="n">
        <v>23.47505169</v>
      </c>
      <c r="R74" s="20" t="n">
        <v>1.45792886</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(1846.0/B78*100)</f>
        <v/>
      </c>
      <c r="D78" s="19" t="n">
        <v>940</v>
      </c>
      <c r="E78" s="18" t="n">
        <v>19.63451016</v>
      </c>
      <c r="F78" s="20" t="n">
        <v>1.54248261</v>
      </c>
      <c r="G78" s="18" t="n">
        <v>78.93067162</v>
      </c>
      <c r="H78" s="20" t="n">
        <v>1.54975739</v>
      </c>
      <c r="I78" s="18" t="s">
        <v>567</v>
      </c>
      <c r="J78" s="20" t="s">
        <v>567</v>
      </c>
      <c r="K78" s="18" t="n">
        <v>0</v>
      </c>
      <c r="L78" s="20" t="n">
        <v>0</v>
      </c>
      <c r="M78" s="18" t="n">
        <v>0</v>
      </c>
      <c r="N78" s="20" t="n">
        <v>0</v>
      </c>
      <c r="O78" s="18" t="n">
        <v>0</v>
      </c>
      <c r="P78" s="20" t="n">
        <v>0</v>
      </c>
      <c r="Q78" s="18" t="n">
        <v>1.43481822</v>
      </c>
      <c r="R78" s="20" t="n">
        <v>0.35565686</v>
      </c>
    </row>
    <row customHeight="1" ht="25" r="79" spans="1:18">
      <c r="A79" s="15" t="s">
        <v>639</v>
      </c>
      <c r="B79" s="17" t="n">
        <v>787</v>
      </c>
      <c r="C79" s="18">
        <f>(532.0/B79*100)</f>
        <v/>
      </c>
      <c r="D79" s="19" t="n">
        <v>255</v>
      </c>
      <c r="E79" s="18" t="n">
        <v>21.80996709</v>
      </c>
      <c r="F79" s="20" t="n">
        <v>2.60560706</v>
      </c>
      <c r="G79" s="18" t="n">
        <v>59.31503022</v>
      </c>
      <c r="H79" s="20" t="n">
        <v>3.11749558</v>
      </c>
      <c r="I79" s="18" t="s">
        <v>567</v>
      </c>
      <c r="J79" s="20" t="s">
        <v>567</v>
      </c>
      <c r="K79" s="18" t="n">
        <v>5.48943198</v>
      </c>
      <c r="L79" s="20" t="n">
        <v>1.44708133</v>
      </c>
      <c r="M79" s="18" t="n">
        <v>0.45615985</v>
      </c>
      <c r="N79" s="20" t="n">
        <v>0.46080341</v>
      </c>
      <c r="O79" s="18" t="n">
        <v>0.40385105</v>
      </c>
      <c r="P79" s="20" t="n">
        <v>0.39469631</v>
      </c>
      <c r="Q79" s="18" t="n">
        <v>12.5255598</v>
      </c>
      <c r="R79" s="20" t="n">
        <v>1.69264631</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(1693.0/B44*100)</f>
        <v/>
      </c>
      <c r="D44" s="19" t="n">
        <v>831</v>
      </c>
      <c r="E44" s="18" t="n">
        <v>48.70505223</v>
      </c>
      <c r="F44" s="20" t="n">
        <v>1.91998927</v>
      </c>
      <c r="G44" s="18" t="n">
        <v>25.99878074</v>
      </c>
      <c r="H44" s="20" t="n">
        <v>1.97112081</v>
      </c>
      <c r="I44" s="18" t="s">
        <v>567</v>
      </c>
      <c r="J44" s="20" t="s">
        <v>567</v>
      </c>
      <c r="K44" s="18" t="n">
        <v>5.5875608</v>
      </c>
      <c r="L44" s="20" t="n">
        <v>0.82205714</v>
      </c>
      <c r="M44" s="18" t="n">
        <v>0</v>
      </c>
      <c r="N44" s="20" t="n">
        <v>0</v>
      </c>
      <c r="O44" s="18" t="n">
        <v>0</v>
      </c>
      <c r="P44" s="20" t="n">
        <v>0</v>
      </c>
      <c r="Q44" s="18" t="n">
        <v>19.70860623</v>
      </c>
      <c r="R44" s="20" t="n">
        <v>1.79015782</v>
      </c>
    </row>
    <row r="45" spans="1:18">
      <c r="A45" s="15" t="s">
        <v>605</v>
      </c>
      <c r="B45" s="17" t="n">
        <v>2849</v>
      </c>
      <c r="C45" s="18">
        <f>(1902.0/B45*100)</f>
        <v/>
      </c>
      <c r="D45" s="19" t="n">
        <v>947</v>
      </c>
      <c r="E45" s="18" t="n">
        <v>61.89840576</v>
      </c>
      <c r="F45" s="20" t="n">
        <v>1.84873675</v>
      </c>
      <c r="G45" s="18" t="n">
        <v>16.1602648</v>
      </c>
      <c r="H45" s="20" t="n">
        <v>1.26737809</v>
      </c>
      <c r="I45" s="18" t="s">
        <v>567</v>
      </c>
      <c r="J45" s="20" t="s">
        <v>567</v>
      </c>
      <c r="K45" s="18" t="n">
        <v>6.9942189</v>
      </c>
      <c r="L45" s="20" t="n">
        <v>0.9122446</v>
      </c>
      <c r="M45" s="18" t="n">
        <v>0.62257445</v>
      </c>
      <c r="N45" s="20" t="n">
        <v>0.45564163</v>
      </c>
      <c r="O45" s="18" t="n">
        <v>0.21741699</v>
      </c>
      <c r="P45" s="20" t="n">
        <v>0.12973193</v>
      </c>
      <c r="Q45" s="18" t="n">
        <v>14.1071191</v>
      </c>
      <c r="R45" s="20" t="n">
        <v>1.11113317</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(2004.0/B49*100)</f>
        <v/>
      </c>
      <c r="D49" s="19" t="n">
        <v>1014</v>
      </c>
      <c r="E49" s="18" t="n">
        <v>60.2352413</v>
      </c>
      <c r="F49" s="20" t="n">
        <v>1.7426058</v>
      </c>
      <c r="G49" s="18" t="n">
        <v>23.94259324</v>
      </c>
      <c r="H49" s="20" t="n">
        <v>1.66005356</v>
      </c>
      <c r="I49" s="18" t="s">
        <v>567</v>
      </c>
      <c r="J49" s="20" t="s">
        <v>567</v>
      </c>
      <c r="K49" s="18" t="n">
        <v>3.56899206</v>
      </c>
      <c r="L49" s="20" t="n">
        <v>0.73395575</v>
      </c>
      <c r="M49" s="18" t="n">
        <v>0</v>
      </c>
      <c r="N49" s="20" t="n">
        <v>0</v>
      </c>
      <c r="O49" s="18" t="n">
        <v>0</v>
      </c>
      <c r="P49" s="20" t="n">
        <v>0</v>
      </c>
      <c r="Q49" s="18" t="n">
        <v>12.2531734</v>
      </c>
      <c r="R49" s="20" t="n">
        <v>1.38223528</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(1853.0/B55*100)</f>
        <v/>
      </c>
      <c r="D55" s="19" t="n">
        <v>906</v>
      </c>
      <c r="E55" s="18" t="n">
        <v>45.25186557</v>
      </c>
      <c r="F55" s="20" t="n">
        <v>1.61237926</v>
      </c>
      <c r="G55" s="18" t="n">
        <v>21.29368864</v>
      </c>
      <c r="H55" s="20" t="n">
        <v>1.51858533</v>
      </c>
      <c r="I55" s="18" t="s">
        <v>567</v>
      </c>
      <c r="J55" s="20" t="s">
        <v>567</v>
      </c>
      <c r="K55" s="18" t="n">
        <v>2.87947059</v>
      </c>
      <c r="L55" s="20" t="n">
        <v>0.61765076</v>
      </c>
      <c r="M55" s="18" t="n">
        <v>0</v>
      </c>
      <c r="N55" s="20" t="n">
        <v>0</v>
      </c>
      <c r="O55" s="18" t="n">
        <v>0.36279585</v>
      </c>
      <c r="P55" s="20" t="n">
        <v>0.24651776</v>
      </c>
      <c r="Q55" s="18" t="n">
        <v>30.21217936</v>
      </c>
      <c r="R55" s="20" t="n">
        <v>1.68263744</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(2098.0/B57*100)</f>
        <v/>
      </c>
      <c r="D57" s="19" t="n">
        <v>1072</v>
      </c>
      <c r="E57" s="18" t="n">
        <v>67.53635249</v>
      </c>
      <c r="F57" s="20" t="n">
        <v>1.35434765</v>
      </c>
      <c r="G57" s="18" t="n">
        <v>26.9018006</v>
      </c>
      <c r="H57" s="20" t="n">
        <v>1.42496608</v>
      </c>
      <c r="I57" s="18" t="s">
        <v>567</v>
      </c>
      <c r="J57" s="20" t="s">
        <v>567</v>
      </c>
      <c r="K57" s="18" t="n">
        <v>2.02464369</v>
      </c>
      <c r="L57" s="20" t="n">
        <v>0.56052181</v>
      </c>
      <c r="M57" s="18" t="n">
        <v>0</v>
      </c>
      <c r="N57" s="20" t="n">
        <v>0</v>
      </c>
      <c r="O57" s="18" t="n">
        <v>0</v>
      </c>
      <c r="P57" s="20" t="n">
        <v>0</v>
      </c>
      <c r="Q57" s="18" t="n">
        <v>3.53720322</v>
      </c>
      <c r="R57" s="20" t="n">
        <v>0.78943686</v>
      </c>
    </row>
    <row r="58" spans="1:18">
      <c r="A58" s="15" t="s">
        <v>618</v>
      </c>
      <c r="B58" s="17" t="n">
        <v>3530</v>
      </c>
      <c r="C58" s="18">
        <f>(2366.0/B58*100)</f>
        <v/>
      </c>
      <c r="D58" s="19" t="n">
        <v>1164</v>
      </c>
      <c r="E58" s="18" t="n">
        <v>54.81821871</v>
      </c>
      <c r="F58" s="20" t="n">
        <v>1.76652362</v>
      </c>
      <c r="G58" s="18" t="n">
        <v>26.34176058</v>
      </c>
      <c r="H58" s="20" t="n">
        <v>1.80269379</v>
      </c>
      <c r="I58" s="18" t="s">
        <v>567</v>
      </c>
      <c r="J58" s="20" t="s">
        <v>567</v>
      </c>
      <c r="K58" s="18" t="n">
        <v>5.12772488</v>
      </c>
      <c r="L58" s="20" t="n">
        <v>0.91103163</v>
      </c>
      <c r="M58" s="18" t="n">
        <v>0</v>
      </c>
      <c r="N58" s="20" t="n">
        <v>0</v>
      </c>
      <c r="O58" s="18" t="n">
        <v>0.11433208</v>
      </c>
      <c r="P58" s="20" t="n">
        <v>0.11393253</v>
      </c>
      <c r="Q58" s="18" t="n">
        <v>13.59796375</v>
      </c>
      <c r="R58" s="20" t="n">
        <v>1.24668447</v>
      </c>
    </row>
    <row r="59" spans="1:18">
      <c r="A59" s="15" t="s">
        <v>619</v>
      </c>
      <c r="B59" s="17" t="n">
        <v>2548</v>
      </c>
      <c r="C59" s="18">
        <f>(1684.0/B59*100)</f>
        <v/>
      </c>
      <c r="D59" s="19" t="n">
        <v>864</v>
      </c>
      <c r="E59" s="18" t="n">
        <v>66.90398143</v>
      </c>
      <c r="F59" s="20" t="n">
        <v>2.22302287</v>
      </c>
      <c r="G59" s="18" t="n">
        <v>15.1423468</v>
      </c>
      <c r="H59" s="20" t="n">
        <v>1.84131898</v>
      </c>
      <c r="I59" s="18" t="s">
        <v>567</v>
      </c>
      <c r="J59" s="20" t="s">
        <v>567</v>
      </c>
      <c r="K59" s="18" t="n">
        <v>2.06580302</v>
      </c>
      <c r="L59" s="20" t="n">
        <v>0.57252441</v>
      </c>
      <c r="M59" s="18" t="n">
        <v>0</v>
      </c>
      <c r="N59" s="20" t="n">
        <v>0</v>
      </c>
      <c r="O59" s="18" t="n">
        <v>0</v>
      </c>
      <c r="P59" s="20" t="n">
        <v>0</v>
      </c>
      <c r="Q59" s="18" t="n">
        <v>15.88786875</v>
      </c>
      <c r="R59" s="20" t="n">
        <v>1.45587757</v>
      </c>
    </row>
    <row r="60" spans="1:18">
      <c r="A60" s="15" t="s">
        <v>620</v>
      </c>
      <c r="B60" s="17" t="n">
        <v>2095</v>
      </c>
      <c r="C60" s="18">
        <f>(1381.0/B60*100)</f>
        <v/>
      </c>
      <c r="D60" s="19" t="n">
        <v>714</v>
      </c>
      <c r="E60" s="18" t="n">
        <v>57.20570435</v>
      </c>
      <c r="F60" s="20" t="n">
        <v>2.15670688</v>
      </c>
      <c r="G60" s="18" t="n">
        <v>14.81862527</v>
      </c>
      <c r="H60" s="20" t="n">
        <v>1.56575706</v>
      </c>
      <c r="I60" s="18" t="s">
        <v>567</v>
      </c>
      <c r="J60" s="20" t="s">
        <v>567</v>
      </c>
      <c r="K60" s="18" t="n">
        <v>4.35306827</v>
      </c>
      <c r="L60" s="20" t="n">
        <v>0.9651598</v>
      </c>
      <c r="M60" s="18" t="n">
        <v>0</v>
      </c>
      <c r="N60" s="20" t="n">
        <v>0</v>
      </c>
      <c r="O60" s="18" t="n">
        <v>0.07495329000000001</v>
      </c>
      <c r="P60" s="20" t="n">
        <v>0.05180214</v>
      </c>
      <c r="Q60" s="18" t="n">
        <v>23.54764881</v>
      </c>
      <c r="R60" s="20" t="n">
        <v>2.03655667</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(1867.0/B63*100)</f>
        <v/>
      </c>
      <c r="D63" s="19" t="n">
        <v>946</v>
      </c>
      <c r="E63" s="18" t="n">
        <v>44.76957514</v>
      </c>
      <c r="F63" s="20" t="n">
        <v>1.84324077</v>
      </c>
      <c r="G63" s="18" t="n">
        <v>12.94726744</v>
      </c>
      <c r="H63" s="20" t="n">
        <v>1.37925368</v>
      </c>
      <c r="I63" s="18" t="s">
        <v>567</v>
      </c>
      <c r="J63" s="20" t="s">
        <v>567</v>
      </c>
      <c r="K63" s="18" t="n">
        <v>4.83055027</v>
      </c>
      <c r="L63" s="20" t="n">
        <v>0.69930199</v>
      </c>
      <c r="M63" s="18" t="n">
        <v>0</v>
      </c>
      <c r="N63" s="20" t="n">
        <v>0</v>
      </c>
      <c r="O63" s="18" t="n">
        <v>0</v>
      </c>
      <c r="P63" s="20" t="n">
        <v>0</v>
      </c>
      <c r="Q63" s="18" t="n">
        <v>37.45260715</v>
      </c>
      <c r="R63" s="20" t="n">
        <v>1.74244335</v>
      </c>
    </row>
    <row r="64" spans="1:18">
      <c r="A64" s="15" t="s">
        <v>624</v>
      </c>
      <c r="B64" s="17" t="n">
        <v>1844</v>
      </c>
      <c r="C64" s="18">
        <f>(1212.0/B64*100)</f>
        <v/>
      </c>
      <c r="D64" s="19" t="n">
        <v>632</v>
      </c>
      <c r="E64" s="18" t="n">
        <v>44.22780219</v>
      </c>
      <c r="F64" s="20" t="n">
        <v>2.05158475</v>
      </c>
      <c r="G64" s="18" t="n">
        <v>32.12929974</v>
      </c>
      <c r="H64" s="20" t="n">
        <v>2.06466279</v>
      </c>
      <c r="I64" s="18" t="s">
        <v>567</v>
      </c>
      <c r="J64" s="20" t="s">
        <v>567</v>
      </c>
      <c r="K64" s="18" t="n">
        <v>4.91746225</v>
      </c>
      <c r="L64" s="20" t="n">
        <v>0.93494415</v>
      </c>
      <c r="M64" s="18" t="n">
        <v>0</v>
      </c>
      <c r="N64" s="20" t="n">
        <v>0</v>
      </c>
      <c r="O64" s="18" t="n">
        <v>0</v>
      </c>
      <c r="P64" s="20" t="n">
        <v>0</v>
      </c>
      <c r="Q64" s="18" t="n">
        <v>18.72543583</v>
      </c>
      <c r="R64" s="20" t="n">
        <v>1.612184</v>
      </c>
    </row>
    <row r="65" spans="1:18">
      <c r="A65" s="15" t="s">
        <v>625</v>
      </c>
      <c r="B65" s="17" t="n">
        <v>2691</v>
      </c>
      <c r="C65" s="18">
        <f>(1812.0/B65*100)</f>
        <v/>
      </c>
      <c r="D65" s="19" t="n">
        <v>879</v>
      </c>
      <c r="E65" s="18" t="n">
        <v>43.90954766</v>
      </c>
      <c r="F65" s="20" t="n">
        <v>1.43091625</v>
      </c>
      <c r="G65" s="18" t="n">
        <v>26.08515661</v>
      </c>
      <c r="H65" s="20" t="n">
        <v>1.53185959</v>
      </c>
      <c r="I65" s="18" t="s">
        <v>567</v>
      </c>
      <c r="J65" s="20" t="s">
        <v>567</v>
      </c>
      <c r="K65" s="18" t="n">
        <v>8.17653295</v>
      </c>
      <c r="L65" s="20" t="n">
        <v>0.914268</v>
      </c>
      <c r="M65" s="18" t="n">
        <v>0.13391749</v>
      </c>
      <c r="N65" s="20" t="n">
        <v>0.11204143</v>
      </c>
      <c r="O65" s="18" t="n">
        <v>0</v>
      </c>
      <c r="P65" s="20" t="n">
        <v>0</v>
      </c>
      <c r="Q65" s="18" t="n">
        <v>21.69484528</v>
      </c>
      <c r="R65" s="20" t="n">
        <v>1.44578382</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(1592.0/B69*100)</f>
        <v/>
      </c>
      <c r="D69" s="19" t="n">
        <v>818</v>
      </c>
      <c r="E69" s="18" t="n">
        <v>62.75012074</v>
      </c>
      <c r="F69" s="20" t="n">
        <v>2.08432359</v>
      </c>
      <c r="G69" s="18" t="n">
        <v>36.92030222</v>
      </c>
      <c r="H69" s="20" t="n">
        <v>2.11719595</v>
      </c>
      <c r="I69" s="18" t="s">
        <v>567</v>
      </c>
      <c r="J69" s="20" t="s">
        <v>567</v>
      </c>
      <c r="K69" s="18" t="n">
        <v>0.11259201</v>
      </c>
      <c r="L69" s="20" t="n">
        <v>0.11190063</v>
      </c>
      <c r="M69" s="18" t="n">
        <v>0</v>
      </c>
      <c r="N69" s="20" t="n">
        <v>0</v>
      </c>
      <c r="O69" s="18" t="n">
        <v>0</v>
      </c>
      <c r="P69" s="20" t="n">
        <v>0</v>
      </c>
      <c r="Q69" s="18" t="n">
        <v>0.21698502</v>
      </c>
      <c r="R69" s="20" t="n">
        <v>0.15355586</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(1482.0/B74*100)</f>
        <v/>
      </c>
      <c r="D74" s="19" t="n">
        <v>757</v>
      </c>
      <c r="E74" s="18" t="n">
        <v>42.58807776</v>
      </c>
      <c r="F74" s="20" t="n">
        <v>1.9758464</v>
      </c>
      <c r="G74" s="18" t="n">
        <v>23.31180946</v>
      </c>
      <c r="H74" s="20" t="n">
        <v>1.49835321</v>
      </c>
      <c r="I74" s="18" t="s">
        <v>567</v>
      </c>
      <c r="J74" s="20" t="s">
        <v>567</v>
      </c>
      <c r="K74" s="18" t="n">
        <v>10.56063369</v>
      </c>
      <c r="L74" s="20" t="n">
        <v>1.19942754</v>
      </c>
      <c r="M74" s="18" t="n">
        <v>0</v>
      </c>
      <c r="N74" s="20" t="n">
        <v>0</v>
      </c>
      <c r="O74" s="18" t="n">
        <v>0</v>
      </c>
      <c r="P74" s="20" t="n">
        <v>0</v>
      </c>
      <c r="Q74" s="18" t="n">
        <v>23.53947909</v>
      </c>
      <c r="R74" s="20" t="n">
        <v>1.67659202</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(1846.0/B78*100)</f>
        <v/>
      </c>
      <c r="D78" s="19" t="n">
        <v>940</v>
      </c>
      <c r="E78" s="18" t="n">
        <v>59.59062612</v>
      </c>
      <c r="F78" s="20" t="n">
        <v>1.68370481</v>
      </c>
      <c r="G78" s="18" t="n">
        <v>38.96603335</v>
      </c>
      <c r="H78" s="20" t="n">
        <v>1.65509966</v>
      </c>
      <c r="I78" s="18" t="s">
        <v>567</v>
      </c>
      <c r="J78" s="20" t="s">
        <v>567</v>
      </c>
      <c r="K78" s="18" t="n">
        <v>0</v>
      </c>
      <c r="L78" s="20" t="n">
        <v>0</v>
      </c>
      <c r="M78" s="18" t="n">
        <v>0</v>
      </c>
      <c r="N78" s="20" t="n">
        <v>0</v>
      </c>
      <c r="O78" s="18" t="n">
        <v>0</v>
      </c>
      <c r="P78" s="20" t="n">
        <v>0</v>
      </c>
      <c r="Q78" s="18" t="n">
        <v>1.44334053</v>
      </c>
      <c r="R78" s="20" t="n">
        <v>0.43175177</v>
      </c>
    </row>
    <row customHeight="1" ht="25" r="79" spans="1:18">
      <c r="A79" s="15" t="s">
        <v>639</v>
      </c>
      <c r="B79" s="17" t="n">
        <v>787</v>
      </c>
      <c r="C79" s="18">
        <f>(532.0/B79*100)</f>
        <v/>
      </c>
      <c r="D79" s="19" t="n">
        <v>255</v>
      </c>
      <c r="E79" s="18" t="n">
        <v>49.85919104</v>
      </c>
      <c r="F79" s="20" t="n">
        <v>3.54641646</v>
      </c>
      <c r="G79" s="18" t="n">
        <v>34.46334013</v>
      </c>
      <c r="H79" s="20" t="n">
        <v>3.3935198</v>
      </c>
      <c r="I79" s="18" t="s">
        <v>567</v>
      </c>
      <c r="J79" s="20" t="s">
        <v>567</v>
      </c>
      <c r="K79" s="18" t="n">
        <v>5.71737648</v>
      </c>
      <c r="L79" s="20" t="n">
        <v>1.52407848</v>
      </c>
      <c r="M79" s="18" t="n">
        <v>0</v>
      </c>
      <c r="N79" s="20" t="n">
        <v>0</v>
      </c>
      <c r="O79" s="18" t="n">
        <v>0</v>
      </c>
      <c r="P79" s="20" t="n">
        <v>0</v>
      </c>
      <c r="Q79" s="18" t="n">
        <v>9.960092360000001</v>
      </c>
      <c r="R79" s="20" t="n">
        <v>1.61388933</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(1693.0/B44*100)</f>
        <v/>
      </c>
      <c r="D44" s="19" t="n">
        <v>831</v>
      </c>
      <c r="E44" s="18" t="n">
        <v>48.33822688</v>
      </c>
      <c r="F44" s="20" t="n">
        <v>2.51490729</v>
      </c>
      <c r="G44" s="18" t="n">
        <v>38.58651787</v>
      </c>
      <c r="H44" s="20" t="n">
        <v>2.61177294</v>
      </c>
      <c r="I44" s="18" t="s">
        <v>567</v>
      </c>
      <c r="J44" s="20" t="s">
        <v>567</v>
      </c>
      <c r="K44" s="18" t="n">
        <v>5.88718335</v>
      </c>
      <c r="L44" s="20" t="n">
        <v>0.83243029</v>
      </c>
      <c r="M44" s="18" t="n">
        <v>0</v>
      </c>
      <c r="N44" s="20" t="n">
        <v>0</v>
      </c>
      <c r="O44" s="18" t="n">
        <v>2.39492956</v>
      </c>
      <c r="P44" s="20" t="n">
        <v>0.58138567</v>
      </c>
      <c r="Q44" s="18" t="n">
        <v>4.79314234</v>
      </c>
      <c r="R44" s="20" t="n">
        <v>1.03609742</v>
      </c>
    </row>
    <row r="45" spans="1:18">
      <c r="A45" s="15" t="s">
        <v>605</v>
      </c>
      <c r="B45" s="17" t="n">
        <v>2849</v>
      </c>
      <c r="C45" s="18">
        <f>(1902.0/B45*100)</f>
        <v/>
      </c>
      <c r="D45" s="19" t="n">
        <v>947</v>
      </c>
      <c r="E45" s="18" t="n">
        <v>39.06253972</v>
      </c>
      <c r="F45" s="20" t="n">
        <v>1.56548067</v>
      </c>
      <c r="G45" s="18" t="n">
        <v>45.79737978</v>
      </c>
      <c r="H45" s="20" t="n">
        <v>1.59990463</v>
      </c>
      <c r="I45" s="18" t="s">
        <v>567</v>
      </c>
      <c r="J45" s="20" t="s">
        <v>567</v>
      </c>
      <c r="K45" s="18" t="n">
        <v>7.23728239</v>
      </c>
      <c r="L45" s="20" t="n">
        <v>0.91318479</v>
      </c>
      <c r="M45" s="18" t="n">
        <v>0.58060687</v>
      </c>
      <c r="N45" s="20" t="n">
        <v>0.26412713</v>
      </c>
      <c r="O45" s="18" t="n">
        <v>3.74930421</v>
      </c>
      <c r="P45" s="20" t="n">
        <v>0.69922726</v>
      </c>
      <c r="Q45" s="18" t="n">
        <v>3.57288702</v>
      </c>
      <c r="R45" s="20" t="n">
        <v>0.68647735</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(2004.0/B49*100)</f>
        <v/>
      </c>
      <c r="D49" s="19" t="n">
        <v>1014</v>
      </c>
      <c r="E49" s="18" t="n">
        <v>42.58713785</v>
      </c>
      <c r="F49" s="20" t="n">
        <v>1.79537664</v>
      </c>
      <c r="G49" s="18" t="n">
        <v>49.69060304</v>
      </c>
      <c r="H49" s="20" t="n">
        <v>1.95441218</v>
      </c>
      <c r="I49" s="18" t="s">
        <v>567</v>
      </c>
      <c r="J49" s="20" t="s">
        <v>567</v>
      </c>
      <c r="K49" s="18" t="n">
        <v>3.65887373</v>
      </c>
      <c r="L49" s="20" t="n">
        <v>0.73440796</v>
      </c>
      <c r="M49" s="18" t="n">
        <v>0.7867798499999999</v>
      </c>
      <c r="N49" s="20" t="n">
        <v>0.27466211</v>
      </c>
      <c r="O49" s="18" t="n">
        <v>1.22092428</v>
      </c>
      <c r="P49" s="20" t="n">
        <v>0.46942188</v>
      </c>
      <c r="Q49" s="18" t="n">
        <v>2.05568126</v>
      </c>
      <c r="R49" s="20" t="n">
        <v>0.55650537</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(1853.0/B55*100)</f>
        <v/>
      </c>
      <c r="D55" s="19" t="n">
        <v>906</v>
      </c>
      <c r="E55" s="18" t="n">
        <v>49.17182877</v>
      </c>
      <c r="F55" s="20" t="n">
        <v>1.88035752</v>
      </c>
      <c r="G55" s="18" t="n">
        <v>45.18365508</v>
      </c>
      <c r="H55" s="20" t="n">
        <v>1.86495679</v>
      </c>
      <c r="I55" s="18" t="s">
        <v>567</v>
      </c>
      <c r="J55" s="20" t="s">
        <v>567</v>
      </c>
      <c r="K55" s="18" t="n">
        <v>2.98904218</v>
      </c>
      <c r="L55" s="20" t="n">
        <v>0.62636509</v>
      </c>
      <c r="M55" s="18" t="n">
        <v>0</v>
      </c>
      <c r="N55" s="20" t="n">
        <v>0</v>
      </c>
      <c r="O55" s="18" t="n">
        <v>0.55366784</v>
      </c>
      <c r="P55" s="20" t="n">
        <v>0.36624352</v>
      </c>
      <c r="Q55" s="18" t="n">
        <v>2.10180613</v>
      </c>
      <c r="R55" s="20" t="n">
        <v>0.65395466</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(2098.0/B57*100)</f>
        <v/>
      </c>
      <c r="D57" s="19" t="n">
        <v>1072</v>
      </c>
      <c r="E57" s="18" t="n">
        <v>63.46067447</v>
      </c>
      <c r="F57" s="20" t="n">
        <v>1.71128339</v>
      </c>
      <c r="G57" s="18" t="n">
        <v>33.52211252</v>
      </c>
      <c r="H57" s="20" t="n">
        <v>1.68348748</v>
      </c>
      <c r="I57" s="18" t="s">
        <v>567</v>
      </c>
      <c r="J57" s="20" t="s">
        <v>567</v>
      </c>
      <c r="K57" s="18" t="n">
        <v>2.18738089</v>
      </c>
      <c r="L57" s="20" t="n">
        <v>0.58011029</v>
      </c>
      <c r="M57" s="18" t="n">
        <v>0</v>
      </c>
      <c r="N57" s="20" t="n">
        <v>0</v>
      </c>
      <c r="O57" s="18" t="n">
        <v>0.10804704</v>
      </c>
      <c r="P57" s="20" t="n">
        <v>0.10831005</v>
      </c>
      <c r="Q57" s="18" t="n">
        <v>0.72178508</v>
      </c>
      <c r="R57" s="20" t="n">
        <v>0.2927946</v>
      </c>
    </row>
    <row r="58" spans="1:18">
      <c r="A58" s="15" t="s">
        <v>618</v>
      </c>
      <c r="B58" s="17" t="n">
        <v>3530</v>
      </c>
      <c r="C58" s="18">
        <f>(2366.0/B58*100)</f>
        <v/>
      </c>
      <c r="D58" s="19" t="n">
        <v>1164</v>
      </c>
      <c r="E58" s="18" t="n">
        <v>41.88971179</v>
      </c>
      <c r="F58" s="20" t="n">
        <v>1.44764758</v>
      </c>
      <c r="G58" s="18" t="n">
        <v>50.05205028</v>
      </c>
      <c r="H58" s="20" t="n">
        <v>1.83453308</v>
      </c>
      <c r="I58" s="18" t="s">
        <v>567</v>
      </c>
      <c r="J58" s="20" t="s">
        <v>567</v>
      </c>
      <c r="K58" s="18" t="n">
        <v>5.28726241</v>
      </c>
      <c r="L58" s="20" t="n">
        <v>0.94494296</v>
      </c>
      <c r="M58" s="18" t="n">
        <v>0</v>
      </c>
      <c r="N58" s="20" t="n">
        <v>0</v>
      </c>
      <c r="O58" s="18" t="n">
        <v>0.41651365</v>
      </c>
      <c r="P58" s="20" t="n">
        <v>0.21777877</v>
      </c>
      <c r="Q58" s="18" t="n">
        <v>2.35446187</v>
      </c>
      <c r="R58" s="20" t="n">
        <v>0.56010989</v>
      </c>
    </row>
    <row r="59" spans="1:18">
      <c r="A59" s="15" t="s">
        <v>619</v>
      </c>
      <c r="B59" s="17" t="n">
        <v>2548</v>
      </c>
      <c r="C59" s="18">
        <f>(1684.0/B59*100)</f>
        <v/>
      </c>
      <c r="D59" s="19" t="n">
        <v>864</v>
      </c>
      <c r="E59" s="18" t="n">
        <v>59.96039086</v>
      </c>
      <c r="F59" s="20" t="n">
        <v>1.98562485</v>
      </c>
      <c r="G59" s="18" t="n">
        <v>33.51789804</v>
      </c>
      <c r="H59" s="20" t="n">
        <v>1.7768397</v>
      </c>
      <c r="I59" s="18" t="s">
        <v>567</v>
      </c>
      <c r="J59" s="20" t="s">
        <v>567</v>
      </c>
      <c r="K59" s="18" t="n">
        <v>2.19633659</v>
      </c>
      <c r="L59" s="20" t="n">
        <v>0.55900477</v>
      </c>
      <c r="M59" s="18" t="n">
        <v>0</v>
      </c>
      <c r="N59" s="20" t="n">
        <v>0</v>
      </c>
      <c r="O59" s="18" t="n">
        <v>3.25845818</v>
      </c>
      <c r="P59" s="20" t="n">
        <v>0.71168703</v>
      </c>
      <c r="Q59" s="18" t="n">
        <v>1.06691633</v>
      </c>
      <c r="R59" s="20" t="n">
        <v>0.3929063</v>
      </c>
    </row>
    <row r="60" spans="1:18">
      <c r="A60" s="15" t="s">
        <v>620</v>
      </c>
      <c r="B60" s="17" t="n">
        <v>2095</v>
      </c>
      <c r="C60" s="18">
        <f>(1381.0/B60*100)</f>
        <v/>
      </c>
      <c r="D60" s="19" t="n">
        <v>714</v>
      </c>
      <c r="E60" s="18" t="n">
        <v>48.43125297</v>
      </c>
      <c r="F60" s="20" t="n">
        <v>2.38869195</v>
      </c>
      <c r="G60" s="18" t="n">
        <v>36.20263786</v>
      </c>
      <c r="H60" s="20" t="n">
        <v>2.45705828</v>
      </c>
      <c r="I60" s="18" t="s">
        <v>567</v>
      </c>
      <c r="J60" s="20" t="s">
        <v>567</v>
      </c>
      <c r="K60" s="18" t="n">
        <v>4.578393</v>
      </c>
      <c r="L60" s="20" t="n">
        <v>0.97645199</v>
      </c>
      <c r="M60" s="18" t="n">
        <v>0</v>
      </c>
      <c r="N60" s="20" t="n">
        <v>0</v>
      </c>
      <c r="O60" s="18" t="n">
        <v>4.6838878</v>
      </c>
      <c r="P60" s="20" t="n">
        <v>1.07292099</v>
      </c>
      <c r="Q60" s="18" t="n">
        <v>6.10382836</v>
      </c>
      <c r="R60" s="20" t="n">
        <v>0.97463035</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(1867.0/B63*100)</f>
        <v/>
      </c>
      <c r="D63" s="19" t="n">
        <v>946</v>
      </c>
      <c r="E63" s="18" t="n">
        <v>55.82244593</v>
      </c>
      <c r="F63" s="20" t="n">
        <v>1.81945805</v>
      </c>
      <c r="G63" s="18" t="n">
        <v>34.48641365</v>
      </c>
      <c r="H63" s="20" t="n">
        <v>1.58963467</v>
      </c>
      <c r="I63" s="18" t="s">
        <v>567</v>
      </c>
      <c r="J63" s="20" t="s">
        <v>567</v>
      </c>
      <c r="K63" s="18" t="n">
        <v>5.15063718</v>
      </c>
      <c r="L63" s="20" t="n">
        <v>0.74039888</v>
      </c>
      <c r="M63" s="18" t="n">
        <v>0</v>
      </c>
      <c r="N63" s="20" t="n">
        <v>0</v>
      </c>
      <c r="O63" s="18" t="n">
        <v>0.9849305699999999</v>
      </c>
      <c r="P63" s="20" t="n">
        <v>0.36096668</v>
      </c>
      <c r="Q63" s="18" t="n">
        <v>3.55557267</v>
      </c>
      <c r="R63" s="20" t="n">
        <v>0.67361274</v>
      </c>
    </row>
    <row r="64" spans="1:18">
      <c r="A64" s="15" t="s">
        <v>624</v>
      </c>
      <c r="B64" s="17" t="n">
        <v>1844</v>
      </c>
      <c r="C64" s="18">
        <f>(1212.0/B64*100)</f>
        <v/>
      </c>
      <c r="D64" s="19" t="n">
        <v>632</v>
      </c>
      <c r="E64" s="18" t="n">
        <v>39.47726068</v>
      </c>
      <c r="F64" s="20" t="n">
        <v>1.81879215</v>
      </c>
      <c r="G64" s="18" t="n">
        <v>51.79003982</v>
      </c>
      <c r="H64" s="20" t="n">
        <v>2.0315959</v>
      </c>
      <c r="I64" s="18" t="s">
        <v>567</v>
      </c>
      <c r="J64" s="20" t="s">
        <v>567</v>
      </c>
      <c r="K64" s="18" t="n">
        <v>4.91746225</v>
      </c>
      <c r="L64" s="20" t="n">
        <v>0.93494415</v>
      </c>
      <c r="M64" s="18" t="n">
        <v>0</v>
      </c>
      <c r="N64" s="20" t="n">
        <v>0</v>
      </c>
      <c r="O64" s="18" t="n">
        <v>0.32445534</v>
      </c>
      <c r="P64" s="20" t="n">
        <v>0.23146249</v>
      </c>
      <c r="Q64" s="18" t="n">
        <v>3.49078191</v>
      </c>
      <c r="R64" s="20" t="n">
        <v>0.7811203</v>
      </c>
    </row>
    <row r="65" spans="1:18">
      <c r="A65" s="15" t="s">
        <v>625</v>
      </c>
      <c r="B65" s="17" t="n">
        <v>2691</v>
      </c>
      <c r="C65" s="18">
        <f>(1812.0/B65*100)</f>
        <v/>
      </c>
      <c r="D65" s="19" t="n">
        <v>879</v>
      </c>
      <c r="E65" s="18" t="n">
        <v>44.22900441</v>
      </c>
      <c r="F65" s="20" t="n">
        <v>1.94460692</v>
      </c>
      <c r="G65" s="18" t="n">
        <v>39.9636407</v>
      </c>
      <c r="H65" s="20" t="n">
        <v>1.91279596</v>
      </c>
      <c r="I65" s="18" t="s">
        <v>567</v>
      </c>
      <c r="J65" s="20" t="s">
        <v>567</v>
      </c>
      <c r="K65" s="18" t="n">
        <v>8.47641853</v>
      </c>
      <c r="L65" s="20" t="n">
        <v>0.93291599</v>
      </c>
      <c r="M65" s="18" t="n">
        <v>4.40242991</v>
      </c>
      <c r="N65" s="20" t="n">
        <v>0.71664937</v>
      </c>
      <c r="O65" s="18" t="n">
        <v>0</v>
      </c>
      <c r="P65" s="20" t="n">
        <v>0</v>
      </c>
      <c r="Q65" s="18" t="n">
        <v>2.92850645</v>
      </c>
      <c r="R65" s="20" t="n">
        <v>0.63615201</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(1592.0/B69*100)</f>
        <v/>
      </c>
      <c r="D69" s="19" t="n">
        <v>818</v>
      </c>
      <c r="E69" s="18" t="n">
        <v>56.35520972</v>
      </c>
      <c r="F69" s="20" t="n">
        <v>1.83462102</v>
      </c>
      <c r="G69" s="18" t="n">
        <v>43.43000665</v>
      </c>
      <c r="H69" s="20" t="n">
        <v>1.82866439</v>
      </c>
      <c r="I69" s="18" t="s">
        <v>567</v>
      </c>
      <c r="J69" s="20" t="s">
        <v>567</v>
      </c>
      <c r="K69" s="18" t="n">
        <v>0.11259201</v>
      </c>
      <c r="L69" s="20" t="n">
        <v>0.11190063</v>
      </c>
      <c r="M69" s="18" t="n">
        <v>0</v>
      </c>
      <c r="N69" s="20" t="n">
        <v>0</v>
      </c>
      <c r="O69" s="18" t="n">
        <v>0</v>
      </c>
      <c r="P69" s="20" t="n">
        <v>0</v>
      </c>
      <c r="Q69" s="18" t="n">
        <v>0.10219162</v>
      </c>
      <c r="R69" s="20" t="n">
        <v>0.10623968</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(1482.0/B74*100)</f>
        <v/>
      </c>
      <c r="D74" s="19" t="n">
        <v>757</v>
      </c>
      <c r="E74" s="18" t="n">
        <v>39.25513604</v>
      </c>
      <c r="F74" s="20" t="n">
        <v>1.90452087</v>
      </c>
      <c r="G74" s="18" t="n">
        <v>44.68713081</v>
      </c>
      <c r="H74" s="20" t="n">
        <v>2.01519362</v>
      </c>
      <c r="I74" s="18" t="s">
        <v>567</v>
      </c>
      <c r="J74" s="20" t="s">
        <v>567</v>
      </c>
      <c r="K74" s="18" t="n">
        <v>10.86411981</v>
      </c>
      <c r="L74" s="20" t="n">
        <v>1.24075353</v>
      </c>
      <c r="M74" s="18" t="n">
        <v>0</v>
      </c>
      <c r="N74" s="20" t="n">
        <v>0</v>
      </c>
      <c r="O74" s="18" t="n">
        <v>0.20925071</v>
      </c>
      <c r="P74" s="20" t="n">
        <v>0.19506055</v>
      </c>
      <c r="Q74" s="18" t="n">
        <v>4.98436262</v>
      </c>
      <c r="R74" s="20" t="n">
        <v>0.81395574</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(1846.0/B78*100)</f>
        <v/>
      </c>
      <c r="D78" s="19" t="n">
        <v>940</v>
      </c>
      <c r="E78" s="18" t="n">
        <v>23.17078198</v>
      </c>
      <c r="F78" s="20" t="n">
        <v>1.70985899</v>
      </c>
      <c r="G78" s="18" t="n">
        <v>76.82921802</v>
      </c>
      <c r="H78" s="20" t="n">
        <v>1.70985899</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(532.0/B79*100)</f>
        <v/>
      </c>
      <c r="D79" s="19" t="n">
        <v>255</v>
      </c>
      <c r="E79" s="18" t="n">
        <v>34.29062933</v>
      </c>
      <c r="F79" s="20" t="n">
        <v>3.36484264</v>
      </c>
      <c r="G79" s="18" t="n">
        <v>56.35769823</v>
      </c>
      <c r="H79" s="20" t="n">
        <v>4.09217267</v>
      </c>
      <c r="I79" s="18" t="s">
        <v>567</v>
      </c>
      <c r="J79" s="20" t="s">
        <v>567</v>
      </c>
      <c r="K79" s="18" t="n">
        <v>6.10899927</v>
      </c>
      <c r="L79" s="20" t="n">
        <v>1.61352021</v>
      </c>
      <c r="M79" s="18" t="n">
        <v>0</v>
      </c>
      <c r="N79" s="20" t="n">
        <v>0</v>
      </c>
      <c r="O79" s="18" t="n">
        <v>1.32356795</v>
      </c>
      <c r="P79" s="20" t="n">
        <v>0.7513163899999999</v>
      </c>
      <c r="Q79" s="18" t="n">
        <v>1.91910521</v>
      </c>
      <c r="R79" s="20" t="n">
        <v>1.08668142</v>
      </c>
    </row>
    <row r="80" spans="1:18">
      <c r="A80" s="15" t="s">
        <v>640</v>
      </c>
      <c r="B80" s="17" t="n">
        <v>3798</v>
      </c>
      <c r="C80" s="18">
        <f>(2528.0/B80*100)</f>
        <v/>
      </c>
      <c r="D80" s="19" t="n">
        <v>1270</v>
      </c>
      <c r="E80" s="18" t="n">
        <v>38.3387836</v>
      </c>
      <c r="F80" s="20" t="n">
        <v>2.24067589</v>
      </c>
      <c r="G80" s="18" t="n">
        <v>60.5893467</v>
      </c>
      <c r="H80" s="20" t="n">
        <v>2.240274</v>
      </c>
      <c r="I80" s="18" t="s">
        <v>567</v>
      </c>
      <c r="J80" s="20" t="s">
        <v>567</v>
      </c>
      <c r="K80" s="18" t="n">
        <v>0.18506141</v>
      </c>
      <c r="L80" s="20" t="n">
        <v>0.2530712</v>
      </c>
      <c r="M80" s="18" t="n">
        <v>0</v>
      </c>
      <c r="N80" s="20" t="n">
        <v>0</v>
      </c>
      <c r="O80" s="18" t="n">
        <v>0</v>
      </c>
      <c r="P80" s="20" t="n">
        <v>0</v>
      </c>
      <c r="Q80" s="18" t="n">
        <v>0.88680828</v>
      </c>
      <c r="R80" s="20" t="n">
        <v>0.32598699</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(1693.0/B44*100)</f>
        <v/>
      </c>
      <c r="D44" s="19" t="n">
        <v>831</v>
      </c>
      <c r="E44" s="18" t="n">
        <v>31.69937472</v>
      </c>
      <c r="F44" s="20" t="n">
        <v>1.98524235</v>
      </c>
      <c r="G44" s="18" t="n">
        <v>26.86935808</v>
      </c>
      <c r="H44" s="20" t="n">
        <v>1.64082794</v>
      </c>
      <c r="I44" s="18" t="s">
        <v>567</v>
      </c>
      <c r="J44" s="20" t="s">
        <v>567</v>
      </c>
      <c r="K44" s="18" t="n">
        <v>13.22465473</v>
      </c>
      <c r="L44" s="20" t="n">
        <v>1.30571907</v>
      </c>
      <c r="M44" s="18" t="n">
        <v>0</v>
      </c>
      <c r="N44" s="20" t="n">
        <v>0</v>
      </c>
      <c r="O44" s="18" t="n">
        <v>0</v>
      </c>
      <c r="P44" s="20" t="n">
        <v>0</v>
      </c>
      <c r="Q44" s="18" t="n">
        <v>28.20661247</v>
      </c>
      <c r="R44" s="20" t="n">
        <v>2.07320243</v>
      </c>
    </row>
    <row r="45" spans="1:18">
      <c r="A45" s="15" t="s">
        <v>605</v>
      </c>
      <c r="B45" s="17" t="n">
        <v>2849</v>
      </c>
      <c r="C45" s="18">
        <f>(1902.0/B45*100)</f>
        <v/>
      </c>
      <c r="D45" s="19" t="n">
        <v>947</v>
      </c>
      <c r="E45" s="18" t="n">
        <v>47.95071393</v>
      </c>
      <c r="F45" s="20" t="n">
        <v>1.75442887</v>
      </c>
      <c r="G45" s="18" t="n">
        <v>6.86083849</v>
      </c>
      <c r="H45" s="20" t="n">
        <v>1.02780155</v>
      </c>
      <c r="I45" s="18" t="s">
        <v>567</v>
      </c>
      <c r="J45" s="20" t="s">
        <v>567</v>
      </c>
      <c r="K45" s="18" t="n">
        <v>13.93991674</v>
      </c>
      <c r="L45" s="20" t="n">
        <v>1.05242686</v>
      </c>
      <c r="M45" s="18" t="n">
        <v>0.36357555</v>
      </c>
      <c r="N45" s="20" t="n">
        <v>0.41952976</v>
      </c>
      <c r="O45" s="18" t="n">
        <v>0</v>
      </c>
      <c r="P45" s="20" t="n">
        <v>0</v>
      </c>
      <c r="Q45" s="18" t="n">
        <v>30.8849553</v>
      </c>
      <c r="R45" s="20" t="n">
        <v>1.62868167</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(2004.0/B49*100)</f>
        <v/>
      </c>
      <c r="D49" s="19" t="n">
        <v>1014</v>
      </c>
      <c r="E49" s="18" t="n">
        <v>44.53072622</v>
      </c>
      <c r="F49" s="20" t="n">
        <v>1.66372958</v>
      </c>
      <c r="G49" s="18" t="n">
        <v>17.87896834</v>
      </c>
      <c r="H49" s="20" t="n">
        <v>1.40495683</v>
      </c>
      <c r="I49" s="18" t="s">
        <v>567</v>
      </c>
      <c r="J49" s="20" t="s">
        <v>567</v>
      </c>
      <c r="K49" s="18" t="n">
        <v>10.61822433</v>
      </c>
      <c r="L49" s="20" t="n">
        <v>1.19806386</v>
      </c>
      <c r="M49" s="18" t="n">
        <v>0.59362598</v>
      </c>
      <c r="N49" s="20" t="n">
        <v>0.18991706</v>
      </c>
      <c r="O49" s="18" t="n">
        <v>0</v>
      </c>
      <c r="P49" s="20" t="n">
        <v>0</v>
      </c>
      <c r="Q49" s="18" t="n">
        <v>26.37845514</v>
      </c>
      <c r="R49" s="20" t="n">
        <v>1.77704567</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(1853.0/B55*100)</f>
        <v/>
      </c>
      <c r="D55" s="19" t="n">
        <v>906</v>
      </c>
      <c r="E55" s="18" t="n">
        <v>31.76745573</v>
      </c>
      <c r="F55" s="20" t="n">
        <v>1.53326529</v>
      </c>
      <c r="G55" s="18" t="n">
        <v>22.09063844</v>
      </c>
      <c r="H55" s="20" t="n">
        <v>1.50652094</v>
      </c>
      <c r="I55" s="18" t="s">
        <v>567</v>
      </c>
      <c r="J55" s="20" t="s">
        <v>567</v>
      </c>
      <c r="K55" s="18" t="n">
        <v>17.34427073</v>
      </c>
      <c r="L55" s="20" t="n">
        <v>1.4947668</v>
      </c>
      <c r="M55" s="18" t="n">
        <v>0</v>
      </c>
      <c r="N55" s="20" t="n">
        <v>0</v>
      </c>
      <c r="O55" s="18" t="n">
        <v>0</v>
      </c>
      <c r="P55" s="20" t="n">
        <v>0</v>
      </c>
      <c r="Q55" s="18" t="n">
        <v>28.79763511</v>
      </c>
      <c r="R55" s="20" t="n">
        <v>1.69623651</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(2098.0/B57*100)</f>
        <v/>
      </c>
      <c r="D57" s="19" t="n">
        <v>1072</v>
      </c>
      <c r="E57" s="18" t="n">
        <v>63.90549305</v>
      </c>
      <c r="F57" s="20" t="n">
        <v>2.02246455</v>
      </c>
      <c r="G57" s="18" t="n">
        <v>23.69762872</v>
      </c>
      <c r="H57" s="20" t="n">
        <v>1.87105346</v>
      </c>
      <c r="I57" s="18" t="s">
        <v>567</v>
      </c>
      <c r="J57" s="20" t="s">
        <v>567</v>
      </c>
      <c r="K57" s="18" t="n">
        <v>4.39714559</v>
      </c>
      <c r="L57" s="20" t="n">
        <v>0.84122569</v>
      </c>
      <c r="M57" s="18" t="n">
        <v>0</v>
      </c>
      <c r="N57" s="20" t="n">
        <v>0</v>
      </c>
      <c r="O57" s="18" t="n">
        <v>0</v>
      </c>
      <c r="P57" s="20" t="n">
        <v>0</v>
      </c>
      <c r="Q57" s="18" t="n">
        <v>7.99973264</v>
      </c>
      <c r="R57" s="20" t="n">
        <v>1.01839801</v>
      </c>
    </row>
    <row r="58" spans="1:18">
      <c r="A58" s="15" t="s">
        <v>618</v>
      </c>
      <c r="B58" s="17" t="n">
        <v>3530</v>
      </c>
      <c r="C58" s="18">
        <f>(2366.0/B58*100)</f>
        <v/>
      </c>
      <c r="D58" s="19" t="n">
        <v>1164</v>
      </c>
      <c r="E58" s="18" t="n">
        <v>46.71136643</v>
      </c>
      <c r="F58" s="20" t="n">
        <v>1.36666437</v>
      </c>
      <c r="G58" s="18" t="n">
        <v>24.81916592</v>
      </c>
      <c r="H58" s="20" t="n">
        <v>1.80820147</v>
      </c>
      <c r="I58" s="18" t="s">
        <v>567</v>
      </c>
      <c r="J58" s="20" t="s">
        <v>567</v>
      </c>
      <c r="K58" s="18" t="n">
        <v>9.418682280000001</v>
      </c>
      <c r="L58" s="20" t="n">
        <v>1.28109256</v>
      </c>
      <c r="M58" s="18" t="n">
        <v>0</v>
      </c>
      <c r="N58" s="20" t="n">
        <v>0</v>
      </c>
      <c r="O58" s="18" t="n">
        <v>0</v>
      </c>
      <c r="P58" s="20" t="n">
        <v>0</v>
      </c>
      <c r="Q58" s="18" t="n">
        <v>19.05078537</v>
      </c>
      <c r="R58" s="20" t="n">
        <v>1.47065886</v>
      </c>
    </row>
    <row r="59" spans="1:18">
      <c r="A59" s="15" t="s">
        <v>619</v>
      </c>
      <c r="B59" s="17" t="n">
        <v>2548</v>
      </c>
      <c r="C59" s="18">
        <f>(1684.0/B59*100)</f>
        <v/>
      </c>
      <c r="D59" s="19" t="n">
        <v>864</v>
      </c>
      <c r="E59" s="18" t="n">
        <v>57.07121306</v>
      </c>
      <c r="F59" s="20" t="n">
        <v>2.02811029</v>
      </c>
      <c r="G59" s="18" t="n">
        <v>16.65631153</v>
      </c>
      <c r="H59" s="20" t="n">
        <v>1.65802214</v>
      </c>
      <c r="I59" s="18" t="s">
        <v>567</v>
      </c>
      <c r="J59" s="20" t="s">
        <v>567</v>
      </c>
      <c r="K59" s="18" t="n">
        <v>9.623934820000001</v>
      </c>
      <c r="L59" s="20" t="n">
        <v>0.87216173</v>
      </c>
      <c r="M59" s="18" t="n">
        <v>0</v>
      </c>
      <c r="N59" s="20" t="n">
        <v>0</v>
      </c>
      <c r="O59" s="18" t="n">
        <v>0</v>
      </c>
      <c r="P59" s="20" t="n">
        <v>0</v>
      </c>
      <c r="Q59" s="18" t="n">
        <v>16.64854058</v>
      </c>
      <c r="R59" s="20" t="n">
        <v>1.32422353</v>
      </c>
    </row>
    <row r="60" spans="1:18">
      <c r="A60" s="15" t="s">
        <v>620</v>
      </c>
      <c r="B60" s="17" t="n">
        <v>2095</v>
      </c>
      <c r="C60" s="18">
        <f>(1381.0/B60*100)</f>
        <v/>
      </c>
      <c r="D60" s="19" t="n">
        <v>714</v>
      </c>
      <c r="E60" s="18" t="n">
        <v>39.0635046</v>
      </c>
      <c r="F60" s="20" t="n">
        <v>2.3654892</v>
      </c>
      <c r="G60" s="18" t="n">
        <v>10.65253114</v>
      </c>
      <c r="H60" s="20" t="n">
        <v>1.29618955</v>
      </c>
      <c r="I60" s="18" t="s">
        <v>567</v>
      </c>
      <c r="J60" s="20" t="s">
        <v>567</v>
      </c>
      <c r="K60" s="18" t="n">
        <v>9.986860310000001</v>
      </c>
      <c r="L60" s="20" t="n">
        <v>1.18630519</v>
      </c>
      <c r="M60" s="18" t="n">
        <v>0</v>
      </c>
      <c r="N60" s="20" t="n">
        <v>0</v>
      </c>
      <c r="O60" s="18" t="n">
        <v>0.17964617</v>
      </c>
      <c r="P60" s="20" t="n">
        <v>0.17797243</v>
      </c>
      <c r="Q60" s="18" t="n">
        <v>40.11745778</v>
      </c>
      <c r="R60" s="20" t="n">
        <v>2.05442758</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(1867.0/B63*100)</f>
        <v/>
      </c>
      <c r="D63" s="19" t="n">
        <v>946</v>
      </c>
      <c r="E63" s="18" t="n">
        <v>24.48120191</v>
      </c>
      <c r="F63" s="20" t="n">
        <v>1.60491651</v>
      </c>
      <c r="G63" s="18" t="n">
        <v>10.83675427</v>
      </c>
      <c r="H63" s="20" t="n">
        <v>1.17832444</v>
      </c>
      <c r="I63" s="18" t="s">
        <v>567</v>
      </c>
      <c r="J63" s="20" t="s">
        <v>567</v>
      </c>
      <c r="K63" s="18" t="n">
        <v>18.89854903</v>
      </c>
      <c r="L63" s="20" t="n">
        <v>1.38708489</v>
      </c>
      <c r="M63" s="18" t="n">
        <v>0</v>
      </c>
      <c r="N63" s="20" t="n">
        <v>0</v>
      </c>
      <c r="O63" s="18" t="n">
        <v>0</v>
      </c>
      <c r="P63" s="20" t="n">
        <v>0</v>
      </c>
      <c r="Q63" s="18" t="n">
        <v>45.78349479</v>
      </c>
      <c r="R63" s="20" t="n">
        <v>1.77651994</v>
      </c>
    </row>
    <row r="64" spans="1:18">
      <c r="A64" s="15" t="s">
        <v>624</v>
      </c>
      <c r="B64" s="17" t="n">
        <v>1844</v>
      </c>
      <c r="C64" s="18">
        <f>(1212.0/B64*100)</f>
        <v/>
      </c>
      <c r="D64" s="19" t="n">
        <v>632</v>
      </c>
      <c r="E64" s="18" t="n">
        <v>42.76410906</v>
      </c>
      <c r="F64" s="20" t="n">
        <v>2.48897554</v>
      </c>
      <c r="G64" s="18" t="n">
        <v>21.72989861</v>
      </c>
      <c r="H64" s="20" t="n">
        <v>1.58953142</v>
      </c>
      <c r="I64" s="18" t="s">
        <v>567</v>
      </c>
      <c r="J64" s="20" t="s">
        <v>567</v>
      </c>
      <c r="K64" s="18" t="n">
        <v>8.148866760000001</v>
      </c>
      <c r="L64" s="20" t="n">
        <v>1.27638068</v>
      </c>
      <c r="M64" s="18" t="n">
        <v>0</v>
      </c>
      <c r="N64" s="20" t="n">
        <v>0</v>
      </c>
      <c r="O64" s="18" t="n">
        <v>0</v>
      </c>
      <c r="P64" s="20" t="n">
        <v>0</v>
      </c>
      <c r="Q64" s="18" t="n">
        <v>27.35712557</v>
      </c>
      <c r="R64" s="20" t="n">
        <v>1.95916159</v>
      </c>
    </row>
    <row r="65" spans="1:18">
      <c r="A65" s="15" t="s">
        <v>625</v>
      </c>
      <c r="B65" s="17" t="n">
        <v>2691</v>
      </c>
      <c r="C65" s="18">
        <f>(1812.0/B65*100)</f>
        <v/>
      </c>
      <c r="D65" s="19" t="n">
        <v>879</v>
      </c>
      <c r="E65" s="18" t="n">
        <v>24.50095707</v>
      </c>
      <c r="F65" s="20" t="n">
        <v>1.74853786</v>
      </c>
      <c r="G65" s="18" t="n">
        <v>26.15224089</v>
      </c>
      <c r="H65" s="20" t="n">
        <v>1.55547168</v>
      </c>
      <c r="I65" s="18" t="s">
        <v>567</v>
      </c>
      <c r="J65" s="20" t="s">
        <v>567</v>
      </c>
      <c r="K65" s="18" t="n">
        <v>20.02552099</v>
      </c>
      <c r="L65" s="20" t="n">
        <v>1.4784639</v>
      </c>
      <c r="M65" s="18" t="n">
        <v>0</v>
      </c>
      <c r="N65" s="20" t="n">
        <v>0</v>
      </c>
      <c r="O65" s="18" t="n">
        <v>0</v>
      </c>
      <c r="P65" s="20" t="n">
        <v>0</v>
      </c>
      <c r="Q65" s="18" t="n">
        <v>29.32128105</v>
      </c>
      <c r="R65" s="20" t="n">
        <v>1.65252856</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(1592.0/B69*100)</f>
        <v/>
      </c>
      <c r="D69" s="19" t="n">
        <v>818</v>
      </c>
      <c r="E69" s="18" t="n">
        <v>57.90101408</v>
      </c>
      <c r="F69" s="20" t="n">
        <v>2.00830295</v>
      </c>
      <c r="G69" s="18" t="n">
        <v>41.76940889</v>
      </c>
      <c r="H69" s="20" t="n">
        <v>2.06227221</v>
      </c>
      <c r="I69" s="18" t="s">
        <v>567</v>
      </c>
      <c r="J69" s="20" t="s">
        <v>567</v>
      </c>
      <c r="K69" s="18" t="n">
        <v>0.21258199</v>
      </c>
      <c r="L69" s="20" t="n">
        <v>0.1492212</v>
      </c>
      <c r="M69" s="18" t="n">
        <v>0</v>
      </c>
      <c r="N69" s="20" t="n">
        <v>0</v>
      </c>
      <c r="O69" s="18" t="n">
        <v>0</v>
      </c>
      <c r="P69" s="20" t="n">
        <v>0</v>
      </c>
      <c r="Q69" s="18" t="n">
        <v>0.11699505</v>
      </c>
      <c r="R69" s="20" t="n">
        <v>0.11713095</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(1482.0/B74*100)</f>
        <v/>
      </c>
      <c r="D74" s="19" t="n">
        <v>757</v>
      </c>
      <c r="E74" s="18" t="n">
        <v>29.44669057</v>
      </c>
      <c r="F74" s="20" t="n">
        <v>1.76550477</v>
      </c>
      <c r="G74" s="18" t="n">
        <v>16.78601513</v>
      </c>
      <c r="H74" s="20" t="n">
        <v>1.48337558</v>
      </c>
      <c r="I74" s="18" t="s">
        <v>567</v>
      </c>
      <c r="J74" s="20" t="s">
        <v>567</v>
      </c>
      <c r="K74" s="18" t="n">
        <v>16.27073801</v>
      </c>
      <c r="L74" s="20" t="n">
        <v>1.55501462</v>
      </c>
      <c r="M74" s="18" t="n">
        <v>0</v>
      </c>
      <c r="N74" s="20" t="n">
        <v>0</v>
      </c>
      <c r="O74" s="18" t="n">
        <v>0</v>
      </c>
      <c r="P74" s="20" t="n">
        <v>0</v>
      </c>
      <c r="Q74" s="18" t="n">
        <v>37.4965563</v>
      </c>
      <c r="R74" s="20" t="n">
        <v>2.05955124</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(1846.0/B78*100)</f>
        <v/>
      </c>
      <c r="D78" s="19" t="n">
        <v>940</v>
      </c>
      <c r="E78" s="18" t="n">
        <v>61.6646292</v>
      </c>
      <c r="F78" s="20" t="n">
        <v>2.00779892</v>
      </c>
      <c r="G78" s="18" t="n">
        <v>35.75786705</v>
      </c>
      <c r="H78" s="20" t="n">
        <v>2.01330682</v>
      </c>
      <c r="I78" s="18" t="s">
        <v>567</v>
      </c>
      <c r="J78" s="20" t="s">
        <v>567</v>
      </c>
      <c r="K78" s="18" t="n">
        <v>0.41990549</v>
      </c>
      <c r="L78" s="20" t="n">
        <v>0.2689182</v>
      </c>
      <c r="M78" s="18" t="n">
        <v>0</v>
      </c>
      <c r="N78" s="20" t="n">
        <v>0</v>
      </c>
      <c r="O78" s="18" t="n">
        <v>0</v>
      </c>
      <c r="P78" s="20" t="n">
        <v>0</v>
      </c>
      <c r="Q78" s="18" t="n">
        <v>2.15759826</v>
      </c>
      <c r="R78" s="20" t="n">
        <v>0.52194503</v>
      </c>
    </row>
    <row customHeight="1" ht="25" r="79" spans="1:18">
      <c r="A79" s="15" t="s">
        <v>639</v>
      </c>
      <c r="B79" s="17" t="n">
        <v>787</v>
      </c>
      <c r="C79" s="18">
        <f>(532.0/B79*100)</f>
        <v/>
      </c>
      <c r="D79" s="19" t="n">
        <v>255</v>
      </c>
      <c r="E79" s="18" t="n">
        <v>40.56933312</v>
      </c>
      <c r="F79" s="20" t="n">
        <v>3.16834313</v>
      </c>
      <c r="G79" s="18" t="n">
        <v>26.84919475</v>
      </c>
      <c r="H79" s="20" t="n">
        <v>3.1164214</v>
      </c>
      <c r="I79" s="18" t="s">
        <v>567</v>
      </c>
      <c r="J79" s="20" t="s">
        <v>567</v>
      </c>
      <c r="K79" s="18" t="n">
        <v>8.157276420000001</v>
      </c>
      <c r="L79" s="20" t="n">
        <v>1.83102688</v>
      </c>
      <c r="M79" s="18" t="n">
        <v>0</v>
      </c>
      <c r="N79" s="20" t="n">
        <v>0</v>
      </c>
      <c r="O79" s="18" t="n">
        <v>0</v>
      </c>
      <c r="P79" s="20" t="n">
        <v>0</v>
      </c>
      <c r="Q79" s="18" t="n">
        <v>24.42419571</v>
      </c>
      <c r="R79" s="20" t="n">
        <v>2.71168532</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(1693.0/B44*100)</f>
        <v/>
      </c>
      <c r="D44" s="19" t="n">
        <v>831</v>
      </c>
      <c r="E44" s="18" t="n">
        <v>31.96212866</v>
      </c>
      <c r="F44" s="20" t="n">
        <v>2.15103881</v>
      </c>
      <c r="G44" s="18" t="n">
        <v>24.86256752</v>
      </c>
      <c r="H44" s="20" t="n">
        <v>1.80322788</v>
      </c>
      <c r="I44" s="18" t="s">
        <v>567</v>
      </c>
      <c r="J44" s="20" t="s">
        <v>567</v>
      </c>
      <c r="K44" s="18" t="n">
        <v>13.68410634</v>
      </c>
      <c r="L44" s="20" t="n">
        <v>1.41291941</v>
      </c>
      <c r="M44" s="18" t="n">
        <v>0</v>
      </c>
      <c r="N44" s="20" t="n">
        <v>0</v>
      </c>
      <c r="O44" s="18" t="n">
        <v>0</v>
      </c>
      <c r="P44" s="20" t="n">
        <v>0</v>
      </c>
      <c r="Q44" s="18" t="n">
        <v>29.49119749</v>
      </c>
      <c r="R44" s="20" t="n">
        <v>2.18027931</v>
      </c>
    </row>
    <row r="45" spans="1:18">
      <c r="A45" s="15" t="s">
        <v>605</v>
      </c>
      <c r="B45" s="17" t="n">
        <v>2849</v>
      </c>
      <c r="C45" s="18">
        <f>(1902.0/B45*100)</f>
        <v/>
      </c>
      <c r="D45" s="19" t="n">
        <v>947</v>
      </c>
      <c r="E45" s="18" t="n">
        <v>43.96652958</v>
      </c>
      <c r="F45" s="20" t="n">
        <v>1.77989511</v>
      </c>
      <c r="G45" s="18" t="n">
        <v>4.81830509</v>
      </c>
      <c r="H45" s="20" t="n">
        <v>0.68445373</v>
      </c>
      <c r="I45" s="18" t="s">
        <v>567</v>
      </c>
      <c r="J45" s="20" t="s">
        <v>567</v>
      </c>
      <c r="K45" s="18" t="n">
        <v>16.39924832</v>
      </c>
      <c r="L45" s="20" t="n">
        <v>1.2673501</v>
      </c>
      <c r="M45" s="18" t="n">
        <v>0.36357555</v>
      </c>
      <c r="N45" s="20" t="n">
        <v>0.41952976</v>
      </c>
      <c r="O45" s="18" t="n">
        <v>0</v>
      </c>
      <c r="P45" s="20" t="n">
        <v>0</v>
      </c>
      <c r="Q45" s="18" t="n">
        <v>34.45234146</v>
      </c>
      <c r="R45" s="20" t="n">
        <v>1.67765095</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(2004.0/B49*100)</f>
        <v/>
      </c>
      <c r="D49" s="19" t="n">
        <v>1014</v>
      </c>
      <c r="E49" s="18" t="n">
        <v>32.2843029</v>
      </c>
      <c r="F49" s="20" t="n">
        <v>1.54156584</v>
      </c>
      <c r="G49" s="18" t="n">
        <v>25.78751524</v>
      </c>
      <c r="H49" s="20" t="n">
        <v>1.68695657</v>
      </c>
      <c r="I49" s="18" t="s">
        <v>567</v>
      </c>
      <c r="J49" s="20" t="s">
        <v>567</v>
      </c>
      <c r="K49" s="18" t="n">
        <v>11.4829073</v>
      </c>
      <c r="L49" s="20" t="n">
        <v>1.26297186</v>
      </c>
      <c r="M49" s="18" t="n">
        <v>0.59362598</v>
      </c>
      <c r="N49" s="20" t="n">
        <v>0.18991706</v>
      </c>
      <c r="O49" s="18" t="n">
        <v>0</v>
      </c>
      <c r="P49" s="20" t="n">
        <v>0</v>
      </c>
      <c r="Q49" s="18" t="n">
        <v>29.85164858</v>
      </c>
      <c r="R49" s="20" t="n">
        <v>1.90247658</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(1853.0/B55*100)</f>
        <v/>
      </c>
      <c r="D55" s="19" t="n">
        <v>906</v>
      </c>
      <c r="E55" s="18" t="n">
        <v>27.01350079</v>
      </c>
      <c r="F55" s="20" t="n">
        <v>1.44424776</v>
      </c>
      <c r="G55" s="18" t="n">
        <v>22.20199038</v>
      </c>
      <c r="H55" s="20" t="n">
        <v>1.70709298</v>
      </c>
      <c r="I55" s="18" t="s">
        <v>567</v>
      </c>
      <c r="J55" s="20" t="s">
        <v>567</v>
      </c>
      <c r="K55" s="18" t="n">
        <v>18.64736457</v>
      </c>
      <c r="L55" s="20" t="n">
        <v>1.61038474</v>
      </c>
      <c r="M55" s="18" t="n">
        <v>0</v>
      </c>
      <c r="N55" s="20" t="n">
        <v>0</v>
      </c>
      <c r="O55" s="18" t="n">
        <v>0.09694384</v>
      </c>
      <c r="P55" s="20" t="n">
        <v>0.09631314000000001</v>
      </c>
      <c r="Q55" s="18" t="n">
        <v>32.04020042</v>
      </c>
      <c r="R55" s="20" t="n">
        <v>1.76854329</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(2098.0/B57*100)</f>
        <v/>
      </c>
      <c r="D57" s="19" t="n">
        <v>1072</v>
      </c>
      <c r="E57" s="18" t="n">
        <v>68.93999162</v>
      </c>
      <c r="F57" s="20" t="n">
        <v>1.8239993</v>
      </c>
      <c r="G57" s="18" t="n">
        <v>16.5339607</v>
      </c>
      <c r="H57" s="20" t="n">
        <v>1.5043573</v>
      </c>
      <c r="I57" s="18" t="s">
        <v>567</v>
      </c>
      <c r="J57" s="20" t="s">
        <v>567</v>
      </c>
      <c r="K57" s="18" t="n">
        <v>5.00430153</v>
      </c>
      <c r="L57" s="20" t="n">
        <v>0.92250909</v>
      </c>
      <c r="M57" s="18" t="n">
        <v>0</v>
      </c>
      <c r="N57" s="20" t="n">
        <v>0</v>
      </c>
      <c r="O57" s="18" t="n">
        <v>0</v>
      </c>
      <c r="P57" s="20" t="n">
        <v>0</v>
      </c>
      <c r="Q57" s="18" t="n">
        <v>9.52174615</v>
      </c>
      <c r="R57" s="20" t="n">
        <v>1.20889324</v>
      </c>
    </row>
    <row r="58" spans="1:18">
      <c r="A58" s="15" t="s">
        <v>618</v>
      </c>
      <c r="B58" s="17" t="n">
        <v>3530</v>
      </c>
      <c r="C58" s="18">
        <f>(2366.0/B58*100)</f>
        <v/>
      </c>
      <c r="D58" s="19" t="n">
        <v>1164</v>
      </c>
      <c r="E58" s="18" t="n">
        <v>48.58257015</v>
      </c>
      <c r="F58" s="20" t="n">
        <v>1.57028524</v>
      </c>
      <c r="G58" s="18" t="n">
        <v>17.00629902</v>
      </c>
      <c r="H58" s="20" t="n">
        <v>1.46796684</v>
      </c>
      <c r="I58" s="18" t="s">
        <v>567</v>
      </c>
      <c r="J58" s="20" t="s">
        <v>567</v>
      </c>
      <c r="K58" s="18" t="n">
        <v>10.86434464</v>
      </c>
      <c r="L58" s="20" t="n">
        <v>1.26520426</v>
      </c>
      <c r="M58" s="18" t="n">
        <v>0</v>
      </c>
      <c r="N58" s="20" t="n">
        <v>0</v>
      </c>
      <c r="O58" s="18" t="n">
        <v>0</v>
      </c>
      <c r="P58" s="20" t="n">
        <v>0</v>
      </c>
      <c r="Q58" s="18" t="n">
        <v>23.5467862</v>
      </c>
      <c r="R58" s="20" t="n">
        <v>1.52908696</v>
      </c>
    </row>
    <row r="59" spans="1:18">
      <c r="A59" s="15" t="s">
        <v>619</v>
      </c>
      <c r="B59" s="17" t="n">
        <v>2548</v>
      </c>
      <c r="C59" s="18">
        <f>(1684.0/B59*100)</f>
        <v/>
      </c>
      <c r="D59" s="19" t="n">
        <v>864</v>
      </c>
      <c r="E59" s="18" t="n">
        <v>55.96107839</v>
      </c>
      <c r="F59" s="20" t="n">
        <v>1.87639914</v>
      </c>
      <c r="G59" s="18" t="n">
        <v>13.21667157</v>
      </c>
      <c r="H59" s="20" t="n">
        <v>1.50772191</v>
      </c>
      <c r="I59" s="18" t="s">
        <v>567</v>
      </c>
      <c r="J59" s="20" t="s">
        <v>567</v>
      </c>
      <c r="K59" s="18" t="n">
        <v>10.25853279</v>
      </c>
      <c r="L59" s="20" t="n">
        <v>0.96228037</v>
      </c>
      <c r="M59" s="18" t="n">
        <v>0</v>
      </c>
      <c r="N59" s="20" t="n">
        <v>0</v>
      </c>
      <c r="O59" s="18" t="n">
        <v>0</v>
      </c>
      <c r="P59" s="20" t="n">
        <v>0</v>
      </c>
      <c r="Q59" s="18" t="n">
        <v>20.56371725</v>
      </c>
      <c r="R59" s="20" t="n">
        <v>1.35480481</v>
      </c>
    </row>
    <row r="60" spans="1:18">
      <c r="A60" s="15" t="s">
        <v>620</v>
      </c>
      <c r="B60" s="17" t="n">
        <v>2095</v>
      </c>
      <c r="C60" s="18">
        <f>(1381.0/B60*100)</f>
        <v/>
      </c>
      <c r="D60" s="19" t="n">
        <v>714</v>
      </c>
      <c r="E60" s="18" t="n">
        <v>32.00598567</v>
      </c>
      <c r="F60" s="20" t="n">
        <v>2.2089148</v>
      </c>
      <c r="G60" s="18" t="n">
        <v>13.05455426</v>
      </c>
      <c r="H60" s="20" t="n">
        <v>1.43104374</v>
      </c>
      <c r="I60" s="18" t="s">
        <v>567</v>
      </c>
      <c r="J60" s="20" t="s">
        <v>567</v>
      </c>
      <c r="K60" s="18" t="n">
        <v>11.17941767</v>
      </c>
      <c r="L60" s="20" t="n">
        <v>1.19619171</v>
      </c>
      <c r="M60" s="18" t="n">
        <v>0</v>
      </c>
      <c r="N60" s="20" t="n">
        <v>0</v>
      </c>
      <c r="O60" s="18" t="n">
        <v>0</v>
      </c>
      <c r="P60" s="20" t="n">
        <v>0</v>
      </c>
      <c r="Q60" s="18" t="n">
        <v>43.7600424</v>
      </c>
      <c r="R60" s="20" t="n">
        <v>2.17734313</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(1867.0/B63*100)</f>
        <v/>
      </c>
      <c r="D63" s="19" t="n">
        <v>946</v>
      </c>
      <c r="E63" s="18" t="n">
        <v>21.31136279</v>
      </c>
      <c r="F63" s="20" t="n">
        <v>1.49457032</v>
      </c>
      <c r="G63" s="18" t="n">
        <v>10.06377475</v>
      </c>
      <c r="H63" s="20" t="n">
        <v>1.19208016</v>
      </c>
      <c r="I63" s="18" t="s">
        <v>567</v>
      </c>
      <c r="J63" s="20" t="s">
        <v>567</v>
      </c>
      <c r="K63" s="18" t="n">
        <v>19.47633027</v>
      </c>
      <c r="L63" s="20" t="n">
        <v>1.40297454</v>
      </c>
      <c r="M63" s="18" t="n">
        <v>0</v>
      </c>
      <c r="N63" s="20" t="n">
        <v>0</v>
      </c>
      <c r="O63" s="18" t="n">
        <v>0</v>
      </c>
      <c r="P63" s="20" t="n">
        <v>0</v>
      </c>
      <c r="Q63" s="18" t="n">
        <v>49.1485322</v>
      </c>
      <c r="R63" s="20" t="n">
        <v>1.91014447</v>
      </c>
    </row>
    <row r="64" spans="1:18">
      <c r="A64" s="15" t="s">
        <v>624</v>
      </c>
      <c r="B64" s="17" t="n">
        <v>1844</v>
      </c>
      <c r="C64" s="18">
        <f>(1212.0/B64*100)</f>
        <v/>
      </c>
      <c r="D64" s="19" t="n">
        <v>632</v>
      </c>
      <c r="E64" s="18" t="n">
        <v>25.3652715</v>
      </c>
      <c r="F64" s="20" t="n">
        <v>1.97978415</v>
      </c>
      <c r="G64" s="18" t="n">
        <v>34.85586073</v>
      </c>
      <c r="H64" s="20" t="n">
        <v>2.33792287</v>
      </c>
      <c r="I64" s="18" t="s">
        <v>567</v>
      </c>
      <c r="J64" s="20" t="s">
        <v>567</v>
      </c>
      <c r="K64" s="18" t="n">
        <v>8.148866760000001</v>
      </c>
      <c r="L64" s="20" t="n">
        <v>1.27638068</v>
      </c>
      <c r="M64" s="18" t="n">
        <v>0</v>
      </c>
      <c r="N64" s="20" t="n">
        <v>0</v>
      </c>
      <c r="O64" s="18" t="n">
        <v>0</v>
      </c>
      <c r="P64" s="20" t="n">
        <v>0</v>
      </c>
      <c r="Q64" s="18" t="n">
        <v>31.63000101</v>
      </c>
      <c r="R64" s="20" t="n">
        <v>1.96981001</v>
      </c>
    </row>
    <row r="65" spans="1:18">
      <c r="A65" s="15" t="s">
        <v>625</v>
      </c>
      <c r="B65" s="17" t="n">
        <v>2691</v>
      </c>
      <c r="C65" s="18">
        <f>(1812.0/B65*100)</f>
        <v/>
      </c>
      <c r="D65" s="19" t="n">
        <v>879</v>
      </c>
      <c r="E65" s="18" t="n">
        <v>21.78699314</v>
      </c>
      <c r="F65" s="20" t="n">
        <v>1.73909469</v>
      </c>
      <c r="G65" s="18" t="n">
        <v>21.13641386</v>
      </c>
      <c r="H65" s="20" t="n">
        <v>1.3559977</v>
      </c>
      <c r="I65" s="18" t="s">
        <v>567</v>
      </c>
      <c r="J65" s="20" t="s">
        <v>567</v>
      </c>
      <c r="K65" s="18" t="n">
        <v>22.17167872</v>
      </c>
      <c r="L65" s="20" t="n">
        <v>1.5187368</v>
      </c>
      <c r="M65" s="18" t="n">
        <v>0</v>
      </c>
      <c r="N65" s="20" t="n">
        <v>0</v>
      </c>
      <c r="O65" s="18" t="n">
        <v>0</v>
      </c>
      <c r="P65" s="20" t="n">
        <v>0</v>
      </c>
      <c r="Q65" s="18" t="n">
        <v>34.90491428</v>
      </c>
      <c r="R65" s="20" t="n">
        <v>1.82080981</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(1592.0/B69*100)</f>
        <v/>
      </c>
      <c r="D69" s="19" t="n">
        <v>818</v>
      </c>
      <c r="E69" s="18" t="n">
        <v>66.44194586</v>
      </c>
      <c r="F69" s="20" t="n">
        <v>2.03027602</v>
      </c>
      <c r="G69" s="18" t="n">
        <v>33.2284771</v>
      </c>
      <c r="H69" s="20" t="n">
        <v>2.06572154</v>
      </c>
      <c r="I69" s="18" t="s">
        <v>567</v>
      </c>
      <c r="J69" s="20" t="s">
        <v>567</v>
      </c>
      <c r="K69" s="18" t="n">
        <v>0.21258199</v>
      </c>
      <c r="L69" s="20" t="n">
        <v>0.1492212</v>
      </c>
      <c r="M69" s="18" t="n">
        <v>0</v>
      </c>
      <c r="N69" s="20" t="n">
        <v>0</v>
      </c>
      <c r="O69" s="18" t="n">
        <v>0</v>
      </c>
      <c r="P69" s="20" t="n">
        <v>0</v>
      </c>
      <c r="Q69" s="18" t="n">
        <v>0.11699505</v>
      </c>
      <c r="R69" s="20" t="n">
        <v>0.11713095</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(1482.0/B74*100)</f>
        <v/>
      </c>
      <c r="D74" s="19" t="n">
        <v>757</v>
      </c>
      <c r="E74" s="18" t="n">
        <v>24.60490921</v>
      </c>
      <c r="F74" s="20" t="n">
        <v>1.77752839</v>
      </c>
      <c r="G74" s="18" t="n">
        <v>18.29013054</v>
      </c>
      <c r="H74" s="20" t="n">
        <v>1.49524617</v>
      </c>
      <c r="I74" s="18" t="s">
        <v>567</v>
      </c>
      <c r="J74" s="20" t="s">
        <v>567</v>
      </c>
      <c r="K74" s="18" t="n">
        <v>16.7417843</v>
      </c>
      <c r="L74" s="20" t="n">
        <v>1.54607182</v>
      </c>
      <c r="M74" s="18" t="n">
        <v>0</v>
      </c>
      <c r="N74" s="20" t="n">
        <v>0</v>
      </c>
      <c r="O74" s="18" t="n">
        <v>0</v>
      </c>
      <c r="P74" s="20" t="n">
        <v>0</v>
      </c>
      <c r="Q74" s="18" t="n">
        <v>40.36317594</v>
      </c>
      <c r="R74" s="20" t="n">
        <v>1.96241032</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(1846.0/B78*100)</f>
        <v/>
      </c>
      <c r="D78" s="19" t="n">
        <v>940</v>
      </c>
      <c r="E78" s="18" t="n">
        <v>57.06605805</v>
      </c>
      <c r="F78" s="20" t="n">
        <v>2.08376485</v>
      </c>
      <c r="G78" s="18" t="n">
        <v>40.33372523</v>
      </c>
      <c r="H78" s="20" t="n">
        <v>2.13866418</v>
      </c>
      <c r="I78" s="18" t="s">
        <v>567</v>
      </c>
      <c r="J78" s="20" t="s">
        <v>567</v>
      </c>
      <c r="K78" s="18" t="n">
        <v>0.41990549</v>
      </c>
      <c r="L78" s="20" t="n">
        <v>0.2689182</v>
      </c>
      <c r="M78" s="18" t="n">
        <v>0</v>
      </c>
      <c r="N78" s="20" t="n">
        <v>0</v>
      </c>
      <c r="O78" s="18" t="n">
        <v>0</v>
      </c>
      <c r="P78" s="20" t="n">
        <v>0</v>
      </c>
      <c r="Q78" s="18" t="n">
        <v>2.18031123</v>
      </c>
      <c r="R78" s="20" t="n">
        <v>0.35426258</v>
      </c>
    </row>
    <row customHeight="1" ht="25" r="79" spans="1:18">
      <c r="A79" s="15" t="s">
        <v>639</v>
      </c>
      <c r="B79" s="17" t="n">
        <v>787</v>
      </c>
      <c r="C79" s="18">
        <f>(532.0/B79*100)</f>
        <v/>
      </c>
      <c r="D79" s="19" t="n">
        <v>255</v>
      </c>
      <c r="E79" s="18" t="n">
        <v>24.37764662</v>
      </c>
      <c r="F79" s="20" t="n">
        <v>3.08837241</v>
      </c>
      <c r="G79" s="18" t="n">
        <v>40.0742756</v>
      </c>
      <c r="H79" s="20" t="n">
        <v>4.48179888</v>
      </c>
      <c r="I79" s="18" t="s">
        <v>567</v>
      </c>
      <c r="J79" s="20" t="s">
        <v>567</v>
      </c>
      <c r="K79" s="18" t="n">
        <v>8.644627870000001</v>
      </c>
      <c r="L79" s="20" t="n">
        <v>1.94012612</v>
      </c>
      <c r="M79" s="18" t="n">
        <v>0</v>
      </c>
      <c r="N79" s="20" t="n">
        <v>0</v>
      </c>
      <c r="O79" s="18" t="n">
        <v>0</v>
      </c>
      <c r="P79" s="20" t="n">
        <v>0</v>
      </c>
      <c r="Q79" s="18" t="n">
        <v>26.90344992</v>
      </c>
      <c r="R79" s="20" t="n">
        <v>3.02262499</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(1693.0/B44*100)</f>
        <v/>
      </c>
      <c r="D44" s="19" t="n">
        <v>831</v>
      </c>
      <c r="E44" s="18" t="n">
        <v>54.76351367</v>
      </c>
      <c r="F44" s="20" t="n">
        <v>2.21504941</v>
      </c>
      <c r="G44" s="18" t="n">
        <v>28.93939246</v>
      </c>
      <c r="H44" s="20" t="n">
        <v>1.69447831</v>
      </c>
      <c r="I44" s="18" t="s">
        <v>567</v>
      </c>
      <c r="J44" s="20" t="s">
        <v>567</v>
      </c>
      <c r="K44" s="18" t="n">
        <v>16.29709387</v>
      </c>
      <c r="L44" s="20" t="n">
        <v>1.66982689</v>
      </c>
      <c r="M44" s="18" t="n">
        <v>0</v>
      </c>
      <c r="N44" s="20" t="n">
        <v>0</v>
      </c>
      <c r="O44" s="18" t="n">
        <v>0</v>
      </c>
      <c r="P44" s="20" t="n">
        <v>0</v>
      </c>
      <c r="Q44" s="18" t="n">
        <v>0</v>
      </c>
      <c r="R44" s="20" t="n">
        <v>0</v>
      </c>
    </row>
    <row r="45" spans="1:18">
      <c r="A45" s="15" t="s">
        <v>605</v>
      </c>
      <c r="B45" s="17" t="n">
        <v>2849</v>
      </c>
      <c r="C45" s="18">
        <f>(1902.0/B45*100)</f>
        <v/>
      </c>
      <c r="D45" s="19" t="n">
        <v>947</v>
      </c>
      <c r="E45" s="18" t="n">
        <v>60.82058856</v>
      </c>
      <c r="F45" s="20" t="n">
        <v>1.48591269</v>
      </c>
      <c r="G45" s="18" t="n">
        <v>19.6157316</v>
      </c>
      <c r="H45" s="20" t="n">
        <v>1.44897177</v>
      </c>
      <c r="I45" s="18" t="s">
        <v>567</v>
      </c>
      <c r="J45" s="20" t="s">
        <v>567</v>
      </c>
      <c r="K45" s="18" t="n">
        <v>18.86690796</v>
      </c>
      <c r="L45" s="20" t="n">
        <v>1.35929503</v>
      </c>
      <c r="M45" s="18" t="n">
        <v>0.49249784</v>
      </c>
      <c r="N45" s="20" t="n">
        <v>0.43244713</v>
      </c>
      <c r="O45" s="18" t="n">
        <v>0.20427404</v>
      </c>
      <c r="P45" s="20" t="n">
        <v>0.12694199</v>
      </c>
      <c r="Q45" s="18" t="n">
        <v>0</v>
      </c>
      <c r="R45" s="20" t="n">
        <v>0</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(2004.0/B49*100)</f>
        <v/>
      </c>
      <c r="D49" s="19" t="n">
        <v>1014</v>
      </c>
      <c r="E49" s="18" t="n">
        <v>56.12046881</v>
      </c>
      <c r="F49" s="20" t="n">
        <v>1.76241548</v>
      </c>
      <c r="G49" s="18" t="n">
        <v>30.49970198</v>
      </c>
      <c r="H49" s="20" t="n">
        <v>1.73804891</v>
      </c>
      <c r="I49" s="18" t="s">
        <v>567</v>
      </c>
      <c r="J49" s="20" t="s">
        <v>567</v>
      </c>
      <c r="K49" s="18" t="n">
        <v>12.78620323</v>
      </c>
      <c r="L49" s="20" t="n">
        <v>1.39198592</v>
      </c>
      <c r="M49" s="18" t="n">
        <v>0.59362598</v>
      </c>
      <c r="N49" s="20" t="n">
        <v>0.18991706</v>
      </c>
      <c r="O49" s="18" t="n">
        <v>0</v>
      </c>
      <c r="P49" s="20" t="n">
        <v>0</v>
      </c>
      <c r="Q49" s="18" t="n">
        <v>0</v>
      </c>
      <c r="R49" s="20" t="n">
        <v>0</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(1853.0/B55*100)</f>
        <v/>
      </c>
      <c r="D55" s="19" t="n">
        <v>906</v>
      </c>
      <c r="E55" s="18" t="n">
        <v>60.293902</v>
      </c>
      <c r="F55" s="20" t="n">
        <v>1.88863296</v>
      </c>
      <c r="G55" s="18" t="n">
        <v>17.97969417</v>
      </c>
      <c r="H55" s="20" t="n">
        <v>1.48793416</v>
      </c>
      <c r="I55" s="18" t="s">
        <v>567</v>
      </c>
      <c r="J55" s="20" t="s">
        <v>567</v>
      </c>
      <c r="K55" s="18" t="n">
        <v>21.72640383</v>
      </c>
      <c r="L55" s="20" t="n">
        <v>1.76941912</v>
      </c>
      <c r="M55" s="18" t="n">
        <v>0</v>
      </c>
      <c r="N55" s="20" t="n">
        <v>0</v>
      </c>
      <c r="O55" s="18" t="n">
        <v>0</v>
      </c>
      <c r="P55" s="20" t="n">
        <v>0</v>
      </c>
      <c r="Q55" s="18" t="n">
        <v>0</v>
      </c>
      <c r="R55" s="20" t="n">
        <v>0</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(2098.0/B57*100)</f>
        <v/>
      </c>
      <c r="D57" s="19" t="n">
        <v>1072</v>
      </c>
      <c r="E57" s="18" t="n">
        <v>63.67110112</v>
      </c>
      <c r="F57" s="20" t="n">
        <v>1.71765648</v>
      </c>
      <c r="G57" s="18" t="n">
        <v>27.05905096</v>
      </c>
      <c r="H57" s="20" t="n">
        <v>1.76427847</v>
      </c>
      <c r="I57" s="18" t="s">
        <v>567</v>
      </c>
      <c r="J57" s="20" t="s">
        <v>567</v>
      </c>
      <c r="K57" s="18" t="n">
        <v>9.26984792</v>
      </c>
      <c r="L57" s="20" t="n">
        <v>1.23540782</v>
      </c>
      <c r="M57" s="18" t="n">
        <v>0</v>
      </c>
      <c r="N57" s="20" t="n">
        <v>0</v>
      </c>
      <c r="O57" s="18" t="n">
        <v>0</v>
      </c>
      <c r="P57" s="20" t="n">
        <v>0</v>
      </c>
      <c r="Q57" s="18" t="n">
        <v>0</v>
      </c>
      <c r="R57" s="20" t="n">
        <v>0</v>
      </c>
    </row>
    <row r="58" spans="1:18">
      <c r="A58" s="15" t="s">
        <v>618</v>
      </c>
      <c r="B58" s="17" t="n">
        <v>3530</v>
      </c>
      <c r="C58" s="18">
        <f>(2366.0/B58*100)</f>
        <v/>
      </c>
      <c r="D58" s="19" t="n">
        <v>1164</v>
      </c>
      <c r="E58" s="18" t="n">
        <v>71.16148651</v>
      </c>
      <c r="F58" s="20" t="n">
        <v>1.6857021</v>
      </c>
      <c r="G58" s="18" t="n">
        <v>16.32403053</v>
      </c>
      <c r="H58" s="20" t="n">
        <v>1.69273384</v>
      </c>
      <c r="I58" s="18" t="s">
        <v>567</v>
      </c>
      <c r="J58" s="20" t="s">
        <v>567</v>
      </c>
      <c r="K58" s="18" t="n">
        <v>12.51448295</v>
      </c>
      <c r="L58" s="20" t="n">
        <v>1.52255997</v>
      </c>
      <c r="M58" s="18" t="n">
        <v>0</v>
      </c>
      <c r="N58" s="20" t="n">
        <v>0</v>
      </c>
      <c r="O58" s="18" t="n">
        <v>0</v>
      </c>
      <c r="P58" s="20" t="n">
        <v>0</v>
      </c>
      <c r="Q58" s="18" t="n">
        <v>0</v>
      </c>
      <c r="R58" s="20" t="n">
        <v>0</v>
      </c>
    </row>
    <row r="59" spans="1:18">
      <c r="A59" s="15" t="s">
        <v>619</v>
      </c>
      <c r="B59" s="17" t="n">
        <v>2548</v>
      </c>
      <c r="C59" s="18">
        <f>(1684.0/B59*100)</f>
        <v/>
      </c>
      <c r="D59" s="19" t="n">
        <v>864</v>
      </c>
      <c r="E59" s="18" t="n">
        <v>73.34366987999999</v>
      </c>
      <c r="F59" s="20" t="n">
        <v>1.86028088</v>
      </c>
      <c r="G59" s="18" t="n">
        <v>15.33500619</v>
      </c>
      <c r="H59" s="20" t="n">
        <v>1.59226179</v>
      </c>
      <c r="I59" s="18" t="s">
        <v>567</v>
      </c>
      <c r="J59" s="20" t="s">
        <v>567</v>
      </c>
      <c r="K59" s="18" t="n">
        <v>11.32132393</v>
      </c>
      <c r="L59" s="20" t="n">
        <v>0.94835716</v>
      </c>
      <c r="M59" s="18" t="n">
        <v>0</v>
      </c>
      <c r="N59" s="20" t="n">
        <v>0</v>
      </c>
      <c r="O59" s="18" t="n">
        <v>0</v>
      </c>
      <c r="P59" s="20" t="n">
        <v>0</v>
      </c>
      <c r="Q59" s="18" t="n">
        <v>0</v>
      </c>
      <c r="R59" s="20" t="n">
        <v>0</v>
      </c>
    </row>
    <row r="60" spans="1:18">
      <c r="A60" s="15" t="s">
        <v>620</v>
      </c>
      <c r="B60" s="17" t="n">
        <v>2095</v>
      </c>
      <c r="C60" s="18">
        <f>(1381.0/B60*100)</f>
        <v/>
      </c>
      <c r="D60" s="19" t="n">
        <v>714</v>
      </c>
      <c r="E60" s="18" t="n">
        <v>52.1831893</v>
      </c>
      <c r="F60" s="20" t="n">
        <v>2.72547045</v>
      </c>
      <c r="G60" s="18" t="n">
        <v>33.76268206</v>
      </c>
      <c r="H60" s="20" t="n">
        <v>2.36235527</v>
      </c>
      <c r="I60" s="18" t="s">
        <v>567</v>
      </c>
      <c r="J60" s="20" t="s">
        <v>567</v>
      </c>
      <c r="K60" s="18" t="n">
        <v>13.42378502</v>
      </c>
      <c r="L60" s="20" t="n">
        <v>1.4250869</v>
      </c>
      <c r="M60" s="18" t="n">
        <v>0.63034363</v>
      </c>
      <c r="N60" s="20" t="n">
        <v>0.38863818</v>
      </c>
      <c r="O60" s="18" t="n">
        <v>0</v>
      </c>
      <c r="P60" s="20" t="n">
        <v>0</v>
      </c>
      <c r="Q60" s="18" t="n">
        <v>0</v>
      </c>
      <c r="R60" s="20" t="n">
        <v>0</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(1867.0/B63*100)</f>
        <v/>
      </c>
      <c r="D63" s="19" t="n">
        <v>946</v>
      </c>
      <c r="E63" s="18" t="n">
        <v>57.28964726</v>
      </c>
      <c r="F63" s="20" t="n">
        <v>1.62306861</v>
      </c>
      <c r="G63" s="18" t="n">
        <v>21.54159376</v>
      </c>
      <c r="H63" s="20" t="n">
        <v>1.30205451</v>
      </c>
      <c r="I63" s="18" t="s">
        <v>567</v>
      </c>
      <c r="J63" s="20" t="s">
        <v>567</v>
      </c>
      <c r="K63" s="18" t="n">
        <v>21.16875898</v>
      </c>
      <c r="L63" s="20" t="n">
        <v>1.43584395</v>
      </c>
      <c r="M63" s="18" t="n">
        <v>0</v>
      </c>
      <c r="N63" s="20" t="n">
        <v>0</v>
      </c>
      <c r="O63" s="18" t="n">
        <v>0</v>
      </c>
      <c r="P63" s="20" t="n">
        <v>0</v>
      </c>
      <c r="Q63" s="18" t="n">
        <v>0</v>
      </c>
      <c r="R63" s="20" t="n">
        <v>0</v>
      </c>
    </row>
    <row r="64" spans="1:18">
      <c r="A64" s="15" t="s">
        <v>624</v>
      </c>
      <c r="B64" s="17" t="n">
        <v>1844</v>
      </c>
      <c r="C64" s="18">
        <f>(1212.0/B64*100)</f>
        <v/>
      </c>
      <c r="D64" s="19" t="n">
        <v>632</v>
      </c>
      <c r="E64" s="18" t="n">
        <v>46.14639442</v>
      </c>
      <c r="F64" s="20" t="n">
        <v>1.92486469</v>
      </c>
      <c r="G64" s="18" t="n">
        <v>45.23706137</v>
      </c>
      <c r="H64" s="20" t="n">
        <v>1.80915791</v>
      </c>
      <c r="I64" s="18" t="s">
        <v>567</v>
      </c>
      <c r="J64" s="20" t="s">
        <v>567</v>
      </c>
      <c r="K64" s="18" t="n">
        <v>8.616544210000001</v>
      </c>
      <c r="L64" s="20" t="n">
        <v>1.30717562</v>
      </c>
      <c r="M64" s="18" t="n">
        <v>0</v>
      </c>
      <c r="N64" s="20" t="n">
        <v>0</v>
      </c>
      <c r="O64" s="18" t="n">
        <v>0</v>
      </c>
      <c r="P64" s="20" t="n">
        <v>0</v>
      </c>
      <c r="Q64" s="18" t="n">
        <v>0</v>
      </c>
      <c r="R64" s="20" t="n">
        <v>0</v>
      </c>
    </row>
    <row r="65" spans="1:18">
      <c r="A65" s="15" t="s">
        <v>625</v>
      </c>
      <c r="B65" s="17" t="n">
        <v>2691</v>
      </c>
      <c r="C65" s="18">
        <f>(1812.0/B65*100)</f>
        <v/>
      </c>
      <c r="D65" s="19" t="n">
        <v>879</v>
      </c>
      <c r="E65" s="18" t="n">
        <v>46.9525713</v>
      </c>
      <c r="F65" s="20" t="n">
        <v>1.99686905</v>
      </c>
      <c r="G65" s="18" t="n">
        <v>29.39950717</v>
      </c>
      <c r="H65" s="20" t="n">
        <v>1.65425697</v>
      </c>
      <c r="I65" s="18" t="s">
        <v>567</v>
      </c>
      <c r="J65" s="20" t="s">
        <v>567</v>
      </c>
      <c r="K65" s="18" t="n">
        <v>23.64792153</v>
      </c>
      <c r="L65" s="20" t="n">
        <v>1.54432155</v>
      </c>
      <c r="M65" s="18" t="n">
        <v>0</v>
      </c>
      <c r="N65" s="20" t="n">
        <v>0</v>
      </c>
      <c r="O65" s="18" t="n">
        <v>0</v>
      </c>
      <c r="P65" s="20" t="n">
        <v>0</v>
      </c>
      <c r="Q65" s="18" t="n">
        <v>0</v>
      </c>
      <c r="R65" s="20" t="n">
        <v>0</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(1592.0/B69*100)</f>
        <v/>
      </c>
      <c r="D69" s="19" t="n">
        <v>818</v>
      </c>
      <c r="E69" s="18" t="n">
        <v>71.19370714999999</v>
      </c>
      <c r="F69" s="20" t="n">
        <v>1.91623431</v>
      </c>
      <c r="G69" s="18" t="n">
        <v>28.27992156</v>
      </c>
      <c r="H69" s="20" t="n">
        <v>1.89001889</v>
      </c>
      <c r="I69" s="18" t="s">
        <v>567</v>
      </c>
      <c r="J69" s="20" t="s">
        <v>567</v>
      </c>
      <c r="K69" s="18" t="n">
        <v>0.52637129</v>
      </c>
      <c r="L69" s="20" t="n">
        <v>0.241427</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(1482.0/B74*100)</f>
        <v/>
      </c>
      <c r="D74" s="19" t="n">
        <v>757</v>
      </c>
      <c r="E74" s="18" t="n">
        <v>58.64138991</v>
      </c>
      <c r="F74" s="20" t="n">
        <v>1.89000859</v>
      </c>
      <c r="G74" s="18" t="n">
        <v>23.67381576</v>
      </c>
      <c r="H74" s="20" t="n">
        <v>1.54619525</v>
      </c>
      <c r="I74" s="18" t="s">
        <v>567</v>
      </c>
      <c r="J74" s="20" t="s">
        <v>567</v>
      </c>
      <c r="K74" s="18" t="n">
        <v>17.68479433</v>
      </c>
      <c r="L74" s="20" t="n">
        <v>1.60223292</v>
      </c>
      <c r="M74" s="18" t="n">
        <v>0</v>
      </c>
      <c r="N74" s="20" t="n">
        <v>0</v>
      </c>
      <c r="O74" s="18" t="n">
        <v>0</v>
      </c>
      <c r="P74" s="20" t="n">
        <v>0</v>
      </c>
      <c r="Q74" s="18" t="n">
        <v>0</v>
      </c>
      <c r="R74" s="20" t="n">
        <v>0</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(1846.0/B78*100)</f>
        <v/>
      </c>
      <c r="D78" s="19" t="n">
        <v>940</v>
      </c>
      <c r="E78" s="18" t="n">
        <v>70.4188214</v>
      </c>
      <c r="F78" s="20" t="n">
        <v>1.59416363</v>
      </c>
      <c r="G78" s="18" t="n">
        <v>27.85022902</v>
      </c>
      <c r="H78" s="20" t="n">
        <v>1.62414146</v>
      </c>
      <c r="I78" s="18" t="s">
        <v>567</v>
      </c>
      <c r="J78" s="20" t="s">
        <v>567</v>
      </c>
      <c r="K78" s="18" t="n">
        <v>1.73094958</v>
      </c>
      <c r="L78" s="20" t="n">
        <v>0.48141447</v>
      </c>
      <c r="M78" s="18" t="n">
        <v>0</v>
      </c>
      <c r="N78" s="20" t="n">
        <v>0</v>
      </c>
      <c r="O78" s="18" t="n">
        <v>0</v>
      </c>
      <c r="P78" s="20" t="n">
        <v>0</v>
      </c>
      <c r="Q78" s="18" t="n">
        <v>0</v>
      </c>
      <c r="R78" s="20" t="n">
        <v>0</v>
      </c>
    </row>
    <row customHeight="1" ht="25" r="79" spans="1:18">
      <c r="A79" s="15" t="s">
        <v>639</v>
      </c>
      <c r="B79" s="17" t="n">
        <v>787</v>
      </c>
      <c r="C79" s="18">
        <f>(532.0/B79*100)</f>
        <v/>
      </c>
      <c r="D79" s="19" t="n">
        <v>255</v>
      </c>
      <c r="E79" s="18" t="n">
        <v>45.15002588</v>
      </c>
      <c r="F79" s="20" t="n">
        <v>3.30671742</v>
      </c>
      <c r="G79" s="18" t="n">
        <v>44.72909688</v>
      </c>
      <c r="H79" s="20" t="n">
        <v>3.69623838</v>
      </c>
      <c r="I79" s="18" t="s">
        <v>567</v>
      </c>
      <c r="J79" s="20" t="s">
        <v>567</v>
      </c>
      <c r="K79" s="18" t="n">
        <v>10.12087724</v>
      </c>
      <c r="L79" s="20" t="n">
        <v>2.29942948</v>
      </c>
      <c r="M79" s="18" t="n">
        <v>0</v>
      </c>
      <c r="N79" s="20" t="n">
        <v>0</v>
      </c>
      <c r="O79" s="18" t="n">
        <v>0</v>
      </c>
      <c r="P79" s="20" t="n">
        <v>0</v>
      </c>
      <c r="Q79" s="18" t="n">
        <v>0</v>
      </c>
      <c r="R79" s="20" t="n">
        <v>0</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(1691.0/B44*100)</f>
        <v/>
      </c>
      <c r="D44" s="19" t="n">
        <v>833</v>
      </c>
      <c r="E44" s="18" t="n">
        <v>56.0537102</v>
      </c>
      <c r="F44" s="20" t="n">
        <v>2.21725872</v>
      </c>
      <c r="G44" s="18" t="n">
        <v>10.99762223</v>
      </c>
      <c r="H44" s="20" t="n">
        <v>1.67968765</v>
      </c>
      <c r="I44" s="18" t="s">
        <v>567</v>
      </c>
      <c r="J44" s="20" t="s">
        <v>567</v>
      </c>
      <c r="K44" s="18" t="n">
        <v>2.93224948</v>
      </c>
      <c r="L44" s="20" t="n">
        <v>0.69917428</v>
      </c>
      <c r="M44" s="18" t="n">
        <v>0</v>
      </c>
      <c r="N44" s="20" t="n">
        <v>0</v>
      </c>
      <c r="O44" s="18" t="n">
        <v>0</v>
      </c>
      <c r="P44" s="20" t="n">
        <v>0</v>
      </c>
      <c r="Q44" s="18" t="n">
        <v>30.01641809</v>
      </c>
      <c r="R44" s="20" t="n">
        <v>2.06983875</v>
      </c>
    </row>
    <row r="45" spans="1:18">
      <c r="A45" s="15" t="s">
        <v>605</v>
      </c>
      <c r="B45" s="17" t="n">
        <v>2849</v>
      </c>
      <c r="C45" s="18">
        <f>(1901.0/B45*100)</f>
        <v/>
      </c>
      <c r="D45" s="19" t="n">
        <v>948</v>
      </c>
      <c r="E45" s="18" t="n">
        <v>62.7259107</v>
      </c>
      <c r="F45" s="20" t="n">
        <v>1.73873138</v>
      </c>
      <c r="G45" s="18" t="n">
        <v>10.24426662</v>
      </c>
      <c r="H45" s="20" t="n">
        <v>0.95656433</v>
      </c>
      <c r="I45" s="18" t="s">
        <v>567</v>
      </c>
      <c r="J45" s="20" t="s">
        <v>567</v>
      </c>
      <c r="K45" s="18" t="n">
        <v>2.76781742</v>
      </c>
      <c r="L45" s="20" t="n">
        <v>0.57087349</v>
      </c>
      <c r="M45" s="18" t="n">
        <v>0</v>
      </c>
      <c r="N45" s="20" t="n">
        <v>0</v>
      </c>
      <c r="O45" s="18" t="n">
        <v>0.2733013</v>
      </c>
      <c r="P45" s="20" t="n">
        <v>0.13379547</v>
      </c>
      <c r="Q45" s="18" t="n">
        <v>23.98870396</v>
      </c>
      <c r="R45" s="20" t="n">
        <v>1.59651642</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(2017.0/B49*100)</f>
        <v/>
      </c>
      <c r="D49" s="19" t="n">
        <v>1001</v>
      </c>
      <c r="E49" s="18" t="n">
        <v>68.41978899</v>
      </c>
      <c r="F49" s="20" t="n">
        <v>1.45742632</v>
      </c>
      <c r="G49" s="18" t="n">
        <v>10.79535264</v>
      </c>
      <c r="H49" s="20" t="n">
        <v>1.13976673</v>
      </c>
      <c r="I49" s="18" t="s">
        <v>567</v>
      </c>
      <c r="J49" s="20" t="s">
        <v>567</v>
      </c>
      <c r="K49" s="18" t="n">
        <v>0.96348859</v>
      </c>
      <c r="L49" s="20" t="n">
        <v>0.22871802</v>
      </c>
      <c r="M49" s="18" t="n">
        <v>0.631028</v>
      </c>
      <c r="N49" s="20" t="n">
        <v>0.20145087</v>
      </c>
      <c r="O49" s="18" t="n">
        <v>0</v>
      </c>
      <c r="P49" s="20" t="n">
        <v>0</v>
      </c>
      <c r="Q49" s="18" t="n">
        <v>19.19034179</v>
      </c>
      <c r="R49" s="20" t="n">
        <v>1.42670948</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(1836.0/B55*100)</f>
        <v/>
      </c>
      <c r="D55" s="19" t="n">
        <v>923</v>
      </c>
      <c r="E55" s="18" t="n">
        <v>48.84181274</v>
      </c>
      <c r="F55" s="20" t="n">
        <v>1.86235671</v>
      </c>
      <c r="G55" s="18" t="n">
        <v>15.88036476</v>
      </c>
      <c r="H55" s="20" t="n">
        <v>1.58855488</v>
      </c>
      <c r="I55" s="18" t="s">
        <v>567</v>
      </c>
      <c r="J55" s="20" t="s">
        <v>567</v>
      </c>
      <c r="K55" s="18" t="n">
        <v>0.926359</v>
      </c>
      <c r="L55" s="20" t="n">
        <v>0.361187</v>
      </c>
      <c r="M55" s="18" t="n">
        <v>0</v>
      </c>
      <c r="N55" s="20" t="n">
        <v>0</v>
      </c>
      <c r="O55" s="18" t="n">
        <v>0</v>
      </c>
      <c r="P55" s="20" t="n">
        <v>0</v>
      </c>
      <c r="Q55" s="18" t="n">
        <v>34.3514635</v>
      </c>
      <c r="R55" s="20" t="n">
        <v>1.87525548</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(2091.0/B57*100)</f>
        <v/>
      </c>
      <c r="D57" s="19" t="n">
        <v>1079</v>
      </c>
      <c r="E57" s="18" t="n">
        <v>75.11741884</v>
      </c>
      <c r="F57" s="20" t="n">
        <v>1.54577482</v>
      </c>
      <c r="G57" s="18" t="n">
        <v>20.16872351</v>
      </c>
      <c r="H57" s="20" t="n">
        <v>1.53120781</v>
      </c>
      <c r="I57" s="18" t="s">
        <v>567</v>
      </c>
      <c r="J57" s="20" t="s">
        <v>567</v>
      </c>
      <c r="K57" s="18" t="n">
        <v>0.83545497</v>
      </c>
      <c r="L57" s="20" t="n">
        <v>0.31245897</v>
      </c>
      <c r="M57" s="18" t="n">
        <v>0</v>
      </c>
      <c r="N57" s="20" t="n">
        <v>0</v>
      </c>
      <c r="O57" s="18" t="n">
        <v>0</v>
      </c>
      <c r="P57" s="20" t="n">
        <v>0</v>
      </c>
      <c r="Q57" s="18" t="n">
        <v>3.87840269</v>
      </c>
      <c r="R57" s="20" t="n">
        <v>0.6141542</v>
      </c>
    </row>
    <row r="58" spans="1:18">
      <c r="A58" s="15" t="s">
        <v>618</v>
      </c>
      <c r="B58" s="17" t="n">
        <v>3530</v>
      </c>
      <c r="C58" s="18">
        <f>(2350.0/B58*100)</f>
        <v/>
      </c>
      <c r="D58" s="19" t="n">
        <v>1180</v>
      </c>
      <c r="E58" s="18" t="n">
        <v>55.57123427</v>
      </c>
      <c r="F58" s="20" t="n">
        <v>1.72991421</v>
      </c>
      <c r="G58" s="18" t="n">
        <v>26.84661024</v>
      </c>
      <c r="H58" s="20" t="n">
        <v>1.58555817</v>
      </c>
      <c r="I58" s="18" t="s">
        <v>567</v>
      </c>
      <c r="J58" s="20" t="s">
        <v>567</v>
      </c>
      <c r="K58" s="18" t="n">
        <v>1.47623996</v>
      </c>
      <c r="L58" s="20" t="n">
        <v>0.46057191</v>
      </c>
      <c r="M58" s="18" t="n">
        <v>0</v>
      </c>
      <c r="N58" s="20" t="n">
        <v>0</v>
      </c>
      <c r="O58" s="18" t="n">
        <v>0</v>
      </c>
      <c r="P58" s="20" t="n">
        <v>0</v>
      </c>
      <c r="Q58" s="18" t="n">
        <v>16.10591552</v>
      </c>
      <c r="R58" s="20" t="n">
        <v>1.5609776</v>
      </c>
    </row>
    <row r="59" spans="1:18">
      <c r="A59" s="15" t="s">
        <v>619</v>
      </c>
      <c r="B59" s="17" t="n">
        <v>2548</v>
      </c>
      <c r="C59" s="18">
        <f>(1680.0/B59*100)</f>
        <v/>
      </c>
      <c r="D59" s="19" t="n">
        <v>868</v>
      </c>
      <c r="E59" s="18" t="n">
        <v>73.29075285</v>
      </c>
      <c r="F59" s="20" t="n">
        <v>1.47644477</v>
      </c>
      <c r="G59" s="18" t="n">
        <v>2.30637111</v>
      </c>
      <c r="H59" s="20" t="n">
        <v>0.51344508</v>
      </c>
      <c r="I59" s="18" t="s">
        <v>567</v>
      </c>
      <c r="J59" s="20" t="s">
        <v>567</v>
      </c>
      <c r="K59" s="18" t="n">
        <v>0.0976047</v>
      </c>
      <c r="L59" s="20" t="n">
        <v>0.06795622</v>
      </c>
      <c r="M59" s="18" t="n">
        <v>0</v>
      </c>
      <c r="N59" s="20" t="n">
        <v>0</v>
      </c>
      <c r="O59" s="18" t="n">
        <v>0</v>
      </c>
      <c r="P59" s="20" t="n">
        <v>0</v>
      </c>
      <c r="Q59" s="18" t="n">
        <v>24.30527135</v>
      </c>
      <c r="R59" s="20" t="n">
        <v>1.38627716</v>
      </c>
    </row>
    <row r="60" spans="1:18">
      <c r="A60" s="15" t="s">
        <v>620</v>
      </c>
      <c r="B60" s="17" t="n">
        <v>2095</v>
      </c>
      <c r="C60" s="18">
        <f>(1368.0/B60*100)</f>
        <v/>
      </c>
      <c r="D60" s="19" t="n">
        <v>727</v>
      </c>
      <c r="E60" s="18" t="n">
        <v>57.55798129</v>
      </c>
      <c r="F60" s="20" t="n">
        <v>2.03135032</v>
      </c>
      <c r="G60" s="18" t="n">
        <v>8.51605554</v>
      </c>
      <c r="H60" s="20" t="n">
        <v>1.23986926</v>
      </c>
      <c r="I60" s="18" t="s">
        <v>567</v>
      </c>
      <c r="J60" s="20" t="s">
        <v>567</v>
      </c>
      <c r="K60" s="18" t="n">
        <v>2.51249619</v>
      </c>
      <c r="L60" s="20" t="n">
        <v>0.6648904</v>
      </c>
      <c r="M60" s="18" t="n">
        <v>0</v>
      </c>
      <c r="N60" s="20" t="n">
        <v>0</v>
      </c>
      <c r="O60" s="18" t="n">
        <v>0.14851352</v>
      </c>
      <c r="P60" s="20" t="n">
        <v>0.14901076</v>
      </c>
      <c r="Q60" s="18" t="n">
        <v>31.26495346</v>
      </c>
      <c r="R60" s="20" t="n">
        <v>2.07804084</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(1885.0/B63*100)</f>
        <v/>
      </c>
      <c r="D63" s="19" t="n">
        <v>928</v>
      </c>
      <c r="E63" s="18" t="n">
        <v>34.90163899</v>
      </c>
      <c r="F63" s="20" t="n">
        <v>1.75318491</v>
      </c>
      <c r="G63" s="18" t="n">
        <v>14.67458054</v>
      </c>
      <c r="H63" s="20" t="n">
        <v>1.27808172</v>
      </c>
      <c r="I63" s="18" t="s">
        <v>567</v>
      </c>
      <c r="J63" s="20" t="s">
        <v>567</v>
      </c>
      <c r="K63" s="18" t="n">
        <v>1.68189479</v>
      </c>
      <c r="L63" s="20" t="n">
        <v>0.37174854</v>
      </c>
      <c r="M63" s="18" t="n">
        <v>0</v>
      </c>
      <c r="N63" s="20" t="n">
        <v>0</v>
      </c>
      <c r="O63" s="18" t="n">
        <v>0</v>
      </c>
      <c r="P63" s="20" t="n">
        <v>0</v>
      </c>
      <c r="Q63" s="18" t="n">
        <v>48.74188568</v>
      </c>
      <c r="R63" s="20" t="n">
        <v>1.93234252</v>
      </c>
    </row>
    <row r="64" spans="1:18">
      <c r="A64" s="15" t="s">
        <v>624</v>
      </c>
      <c r="B64" s="17" t="n">
        <v>1844</v>
      </c>
      <c r="C64" s="18">
        <f>(1231.0/B64*100)</f>
        <v/>
      </c>
      <c r="D64" s="19" t="n">
        <v>613</v>
      </c>
      <c r="E64" s="18" t="n">
        <v>58.90579322</v>
      </c>
      <c r="F64" s="20" t="n">
        <v>1.82846074</v>
      </c>
      <c r="G64" s="18" t="n">
        <v>17.05681495</v>
      </c>
      <c r="H64" s="20" t="n">
        <v>1.37867487</v>
      </c>
      <c r="I64" s="18" t="s">
        <v>567</v>
      </c>
      <c r="J64" s="20" t="s">
        <v>567</v>
      </c>
      <c r="K64" s="18" t="n">
        <v>2.6044932</v>
      </c>
      <c r="L64" s="20" t="n">
        <v>0.67760078</v>
      </c>
      <c r="M64" s="18" t="n">
        <v>0</v>
      </c>
      <c r="N64" s="20" t="n">
        <v>0</v>
      </c>
      <c r="O64" s="18" t="n">
        <v>0</v>
      </c>
      <c r="P64" s="20" t="n">
        <v>0</v>
      </c>
      <c r="Q64" s="18" t="n">
        <v>21.43289863</v>
      </c>
      <c r="R64" s="20" t="n">
        <v>1.55966263</v>
      </c>
    </row>
    <row r="65" spans="1:18">
      <c r="A65" s="15" t="s">
        <v>625</v>
      </c>
      <c r="B65" s="17" t="n">
        <v>2691</v>
      </c>
      <c r="C65" s="18">
        <f>(1796.0/B65*100)</f>
        <v/>
      </c>
      <c r="D65" s="19" t="n">
        <v>895</v>
      </c>
      <c r="E65" s="18" t="n">
        <v>52.56969363</v>
      </c>
      <c r="F65" s="20" t="n">
        <v>1.75563071</v>
      </c>
      <c r="G65" s="18" t="n">
        <v>20.16220236</v>
      </c>
      <c r="H65" s="20" t="n">
        <v>1.63937311</v>
      </c>
      <c r="I65" s="18" t="s">
        <v>567</v>
      </c>
      <c r="J65" s="20" t="s">
        <v>567</v>
      </c>
      <c r="K65" s="18" t="n">
        <v>3.20564952</v>
      </c>
      <c r="L65" s="20" t="n">
        <v>0.68222433</v>
      </c>
      <c r="M65" s="18" t="n">
        <v>0</v>
      </c>
      <c r="N65" s="20" t="n">
        <v>0</v>
      </c>
      <c r="O65" s="18" t="n">
        <v>0</v>
      </c>
      <c r="P65" s="20" t="n">
        <v>0</v>
      </c>
      <c r="Q65" s="18" t="n">
        <v>24.06245449</v>
      </c>
      <c r="R65" s="20" t="n">
        <v>1.52589445</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(1595.0/B69*100)</f>
        <v/>
      </c>
      <c r="D69" s="19" t="n">
        <v>815</v>
      </c>
      <c r="E69" s="18" t="n">
        <v>70.41336483000001</v>
      </c>
      <c r="F69" s="20" t="n">
        <v>1.67579658</v>
      </c>
      <c r="G69" s="18" t="n">
        <v>29.24954932</v>
      </c>
      <c r="H69" s="20" t="n">
        <v>1.63629679</v>
      </c>
      <c r="I69" s="18" t="s">
        <v>567</v>
      </c>
      <c r="J69" s="20" t="s">
        <v>567</v>
      </c>
      <c r="K69" s="18" t="n">
        <v>0</v>
      </c>
      <c r="L69" s="20" t="n">
        <v>0</v>
      </c>
      <c r="M69" s="18" t="n">
        <v>0</v>
      </c>
      <c r="N69" s="20" t="n">
        <v>0</v>
      </c>
      <c r="O69" s="18" t="n">
        <v>0</v>
      </c>
      <c r="P69" s="20" t="n">
        <v>0</v>
      </c>
      <c r="Q69" s="18" t="n">
        <v>0.33708584</v>
      </c>
      <c r="R69" s="20" t="n">
        <v>0.25129034</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60.35258127</v>
      </c>
      <c r="F74" s="20" t="n">
        <v>2.11915156</v>
      </c>
      <c r="G74" s="18" t="n">
        <v>12.09588309</v>
      </c>
      <c r="H74" s="20" t="n">
        <v>1.45170653</v>
      </c>
      <c r="I74" s="18" t="s">
        <v>567</v>
      </c>
      <c r="J74" s="20" t="s">
        <v>567</v>
      </c>
      <c r="K74" s="18" t="n">
        <v>4.5791858</v>
      </c>
      <c r="L74" s="20" t="n">
        <v>0.7831152</v>
      </c>
      <c r="M74" s="18" t="n">
        <v>0.20709547</v>
      </c>
      <c r="N74" s="20" t="n">
        <v>0.1557601</v>
      </c>
      <c r="O74" s="18" t="n">
        <v>0</v>
      </c>
      <c r="P74" s="20" t="n">
        <v>0</v>
      </c>
      <c r="Q74" s="18" t="n">
        <v>22.76525437</v>
      </c>
      <c r="R74" s="20" t="n">
        <v>1.80647982</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(1874.0/B78*100)</f>
        <v/>
      </c>
      <c r="D78" s="19" t="n">
        <v>912</v>
      </c>
      <c r="E78" s="18" t="n">
        <v>56.86413577</v>
      </c>
      <c r="F78" s="20" t="n">
        <v>2.24418007</v>
      </c>
      <c r="G78" s="18" t="n">
        <v>41.50922366</v>
      </c>
      <c r="H78" s="20" t="n">
        <v>2.24033016</v>
      </c>
      <c r="I78" s="18" t="s">
        <v>567</v>
      </c>
      <c r="J78" s="20" t="s">
        <v>567</v>
      </c>
      <c r="K78" s="18" t="n">
        <v>0</v>
      </c>
      <c r="L78" s="20" t="n">
        <v>0</v>
      </c>
      <c r="M78" s="18" t="n">
        <v>0</v>
      </c>
      <c r="N78" s="20" t="n">
        <v>0</v>
      </c>
      <c r="O78" s="18" t="n">
        <v>0</v>
      </c>
      <c r="P78" s="20" t="n">
        <v>0</v>
      </c>
      <c r="Q78" s="18" t="n">
        <v>1.62664057</v>
      </c>
      <c r="R78" s="20" t="n">
        <v>0.53999787</v>
      </c>
    </row>
    <row customHeight="1" ht="25" r="79" spans="1:18">
      <c r="A79" s="15" t="s">
        <v>639</v>
      </c>
      <c r="B79" s="17" t="n">
        <v>787</v>
      </c>
      <c r="C79" s="18">
        <f>(508.0/B79*100)</f>
        <v/>
      </c>
      <c r="D79" s="19" t="n">
        <v>279</v>
      </c>
      <c r="E79" s="18" t="n">
        <v>63.83048068</v>
      </c>
      <c r="F79" s="20" t="n">
        <v>2.78031509</v>
      </c>
      <c r="G79" s="18" t="n">
        <v>15.68746516</v>
      </c>
      <c r="H79" s="20" t="n">
        <v>2.50857442</v>
      </c>
      <c r="I79" s="18" t="s">
        <v>567</v>
      </c>
      <c r="J79" s="20" t="s">
        <v>567</v>
      </c>
      <c r="K79" s="18" t="n">
        <v>3.04566281</v>
      </c>
      <c r="L79" s="20" t="n">
        <v>0.88579423</v>
      </c>
      <c r="M79" s="18" t="n">
        <v>0</v>
      </c>
      <c r="N79" s="20" t="n">
        <v>0</v>
      </c>
      <c r="O79" s="18" t="n">
        <v>0</v>
      </c>
      <c r="P79" s="20" t="n">
        <v>0</v>
      </c>
      <c r="Q79" s="18" t="n">
        <v>17.43639135</v>
      </c>
      <c r="R79" s="20" t="n">
        <v>2.42370531</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(1691.0/B44*100)</f>
        <v/>
      </c>
      <c r="D44" s="19" t="n">
        <v>833</v>
      </c>
      <c r="E44" s="18" t="n">
        <v>59.96355576</v>
      </c>
      <c r="F44" s="20" t="n">
        <v>1.83691235</v>
      </c>
      <c r="G44" s="18" t="n">
        <v>29.12661772</v>
      </c>
      <c r="H44" s="20" t="n">
        <v>1.72874322</v>
      </c>
      <c r="I44" s="18" t="s">
        <v>567</v>
      </c>
      <c r="J44" s="20" t="s">
        <v>567</v>
      </c>
      <c r="K44" s="18" t="n">
        <v>2.93224948</v>
      </c>
      <c r="L44" s="20" t="n">
        <v>0.69917428</v>
      </c>
      <c r="M44" s="18" t="n">
        <v>0</v>
      </c>
      <c r="N44" s="20" t="n">
        <v>0</v>
      </c>
      <c r="O44" s="18" t="n">
        <v>0</v>
      </c>
      <c r="P44" s="20" t="n">
        <v>0</v>
      </c>
      <c r="Q44" s="18" t="n">
        <v>7.97757704</v>
      </c>
      <c r="R44" s="20" t="n">
        <v>1.04311811</v>
      </c>
    </row>
    <row r="45" spans="1:18">
      <c r="A45" s="15" t="s">
        <v>605</v>
      </c>
      <c r="B45" s="17" t="n">
        <v>2849</v>
      </c>
      <c r="C45" s="18">
        <f>(1901.0/B45*100)</f>
        <v/>
      </c>
      <c r="D45" s="19" t="n">
        <v>948</v>
      </c>
      <c r="E45" s="18" t="n">
        <v>69.96323058</v>
      </c>
      <c r="F45" s="20" t="n">
        <v>1.33474106</v>
      </c>
      <c r="G45" s="18" t="n">
        <v>18.84128438</v>
      </c>
      <c r="H45" s="20" t="n">
        <v>1.15764412</v>
      </c>
      <c r="I45" s="18" t="s">
        <v>567</v>
      </c>
      <c r="J45" s="20" t="s">
        <v>567</v>
      </c>
      <c r="K45" s="18" t="n">
        <v>3.04910527</v>
      </c>
      <c r="L45" s="20" t="n">
        <v>0.58790775</v>
      </c>
      <c r="M45" s="18" t="n">
        <v>1.07852792</v>
      </c>
      <c r="N45" s="20" t="n">
        <v>0.34208428</v>
      </c>
      <c r="O45" s="18" t="n">
        <v>0.09696970000000001</v>
      </c>
      <c r="P45" s="20" t="n">
        <v>0.0918876</v>
      </c>
      <c r="Q45" s="18" t="n">
        <v>6.97088215</v>
      </c>
      <c r="R45" s="20" t="n">
        <v>0.94947662</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(2017.0/B49*100)</f>
        <v/>
      </c>
      <c r="D49" s="19" t="n">
        <v>1001</v>
      </c>
      <c r="E49" s="18" t="n">
        <v>54.33847955</v>
      </c>
      <c r="F49" s="20" t="n">
        <v>1.76642437</v>
      </c>
      <c r="G49" s="18" t="n">
        <v>42.22354798</v>
      </c>
      <c r="H49" s="20" t="n">
        <v>1.85139341</v>
      </c>
      <c r="I49" s="18" t="s">
        <v>567</v>
      </c>
      <c r="J49" s="20" t="s">
        <v>567</v>
      </c>
      <c r="K49" s="18" t="n">
        <v>0.96348859</v>
      </c>
      <c r="L49" s="20" t="n">
        <v>0.22871802</v>
      </c>
      <c r="M49" s="18" t="n">
        <v>0.631028</v>
      </c>
      <c r="N49" s="20" t="n">
        <v>0.20145087</v>
      </c>
      <c r="O49" s="18" t="n">
        <v>0</v>
      </c>
      <c r="P49" s="20" t="n">
        <v>0</v>
      </c>
      <c r="Q49" s="18" t="n">
        <v>1.84345588</v>
      </c>
      <c r="R49" s="20" t="n">
        <v>0.53609822</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(1836.0/B55*100)</f>
        <v/>
      </c>
      <c r="D55" s="19" t="n">
        <v>923</v>
      </c>
      <c r="E55" s="18" t="n">
        <v>66.06312733</v>
      </c>
      <c r="F55" s="20" t="n">
        <v>1.74762096</v>
      </c>
      <c r="G55" s="18" t="n">
        <v>30.08669321</v>
      </c>
      <c r="H55" s="20" t="n">
        <v>1.74672533</v>
      </c>
      <c r="I55" s="18" t="s">
        <v>567</v>
      </c>
      <c r="J55" s="20" t="s">
        <v>567</v>
      </c>
      <c r="K55" s="18" t="n">
        <v>1.01776974</v>
      </c>
      <c r="L55" s="20" t="n">
        <v>0.37240129</v>
      </c>
      <c r="M55" s="18" t="n">
        <v>0</v>
      </c>
      <c r="N55" s="20" t="n">
        <v>0</v>
      </c>
      <c r="O55" s="18" t="n">
        <v>0</v>
      </c>
      <c r="P55" s="20" t="n">
        <v>0</v>
      </c>
      <c r="Q55" s="18" t="n">
        <v>2.83240972</v>
      </c>
      <c r="R55" s="20" t="n">
        <v>0.62531286</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(2091.0/B57*100)</f>
        <v/>
      </c>
      <c r="D57" s="19" t="n">
        <v>1079</v>
      </c>
      <c r="E57" s="18" t="n">
        <v>72.67885304000001</v>
      </c>
      <c r="F57" s="20" t="n">
        <v>1.51252594</v>
      </c>
      <c r="G57" s="18" t="n">
        <v>25.45524122</v>
      </c>
      <c r="H57" s="20" t="n">
        <v>1.54228872</v>
      </c>
      <c r="I57" s="18" t="s">
        <v>567</v>
      </c>
      <c r="J57" s="20" t="s">
        <v>567</v>
      </c>
      <c r="K57" s="18" t="n">
        <v>0.83545497</v>
      </c>
      <c r="L57" s="20" t="n">
        <v>0.31245897</v>
      </c>
      <c r="M57" s="18" t="n">
        <v>0</v>
      </c>
      <c r="N57" s="20" t="n">
        <v>0</v>
      </c>
      <c r="O57" s="18" t="n">
        <v>0</v>
      </c>
      <c r="P57" s="20" t="n">
        <v>0</v>
      </c>
      <c r="Q57" s="18" t="n">
        <v>1.03045077</v>
      </c>
      <c r="R57" s="20" t="n">
        <v>0.29952224</v>
      </c>
    </row>
    <row r="58" spans="1:18">
      <c r="A58" s="15" t="s">
        <v>618</v>
      </c>
      <c r="B58" s="17" t="n">
        <v>3530</v>
      </c>
      <c r="C58" s="18">
        <f>(2350.0/B58*100)</f>
        <v/>
      </c>
      <c r="D58" s="19" t="n">
        <v>1180</v>
      </c>
      <c r="E58" s="18" t="n">
        <v>66.68544082</v>
      </c>
      <c r="F58" s="20" t="n">
        <v>1.60180215</v>
      </c>
      <c r="G58" s="18" t="n">
        <v>29.03309143</v>
      </c>
      <c r="H58" s="20" t="n">
        <v>1.50831626</v>
      </c>
      <c r="I58" s="18" t="s">
        <v>567</v>
      </c>
      <c r="J58" s="20" t="s">
        <v>567</v>
      </c>
      <c r="K58" s="18" t="n">
        <v>1.47623996</v>
      </c>
      <c r="L58" s="20" t="n">
        <v>0.46057191</v>
      </c>
      <c r="M58" s="18" t="n">
        <v>0</v>
      </c>
      <c r="N58" s="20" t="n">
        <v>0</v>
      </c>
      <c r="O58" s="18" t="n">
        <v>0.07981255</v>
      </c>
      <c r="P58" s="20" t="n">
        <v>0.05590369</v>
      </c>
      <c r="Q58" s="18" t="n">
        <v>2.72541525</v>
      </c>
      <c r="R58" s="20" t="n">
        <v>0.49331954</v>
      </c>
    </row>
    <row r="59" spans="1:18">
      <c r="A59" s="15" t="s">
        <v>619</v>
      </c>
      <c r="B59" s="17" t="n">
        <v>2548</v>
      </c>
      <c r="C59" s="18">
        <f>(1680.0/B59*100)</f>
        <v/>
      </c>
      <c r="D59" s="19" t="n">
        <v>868</v>
      </c>
      <c r="E59" s="18" t="n">
        <v>71.08009484999999</v>
      </c>
      <c r="F59" s="20" t="n">
        <v>1.88635627</v>
      </c>
      <c r="G59" s="18" t="n">
        <v>26.25144772</v>
      </c>
      <c r="H59" s="20" t="n">
        <v>1.89419199</v>
      </c>
      <c r="I59" s="18" t="s">
        <v>567</v>
      </c>
      <c r="J59" s="20" t="s">
        <v>567</v>
      </c>
      <c r="K59" s="18" t="n">
        <v>0.0976047</v>
      </c>
      <c r="L59" s="20" t="n">
        <v>0.06795622</v>
      </c>
      <c r="M59" s="18" t="n">
        <v>0</v>
      </c>
      <c r="N59" s="20" t="n">
        <v>0</v>
      </c>
      <c r="O59" s="18" t="n">
        <v>0.15447268</v>
      </c>
      <c r="P59" s="20" t="n">
        <v>0.15573042</v>
      </c>
      <c r="Q59" s="18" t="n">
        <v>2.41638006</v>
      </c>
      <c r="R59" s="20" t="n">
        <v>0.558337</v>
      </c>
    </row>
    <row r="60" spans="1:18">
      <c r="A60" s="15" t="s">
        <v>620</v>
      </c>
      <c r="B60" s="17" t="n">
        <v>2095</v>
      </c>
      <c r="C60" s="18">
        <f>(1368.0/B60*100)</f>
        <v/>
      </c>
      <c r="D60" s="19" t="n">
        <v>727</v>
      </c>
      <c r="E60" s="18" t="n">
        <v>67.87814215</v>
      </c>
      <c r="F60" s="20" t="n">
        <v>2.00906048</v>
      </c>
      <c r="G60" s="18" t="n">
        <v>24.73443315</v>
      </c>
      <c r="H60" s="20" t="n">
        <v>1.82638297</v>
      </c>
      <c r="I60" s="18" t="s">
        <v>567</v>
      </c>
      <c r="J60" s="20" t="s">
        <v>567</v>
      </c>
      <c r="K60" s="18" t="n">
        <v>2.51249619</v>
      </c>
      <c r="L60" s="20" t="n">
        <v>0.6648904</v>
      </c>
      <c r="M60" s="18" t="n">
        <v>0</v>
      </c>
      <c r="N60" s="20" t="n">
        <v>0</v>
      </c>
      <c r="O60" s="18" t="n">
        <v>0.28549726</v>
      </c>
      <c r="P60" s="20" t="n">
        <v>0.20685607</v>
      </c>
      <c r="Q60" s="18" t="n">
        <v>4.58943125</v>
      </c>
      <c r="R60" s="20" t="n">
        <v>0.80972173</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(1885.0/B63*100)</f>
        <v/>
      </c>
      <c r="D63" s="19" t="n">
        <v>928</v>
      </c>
      <c r="E63" s="18" t="n">
        <v>68.8787997</v>
      </c>
      <c r="F63" s="20" t="n">
        <v>1.61574906</v>
      </c>
      <c r="G63" s="18" t="n">
        <v>24.90738477</v>
      </c>
      <c r="H63" s="20" t="n">
        <v>1.41309879</v>
      </c>
      <c r="I63" s="18" t="s">
        <v>567</v>
      </c>
      <c r="J63" s="20" t="s">
        <v>567</v>
      </c>
      <c r="K63" s="18" t="n">
        <v>1.68189479</v>
      </c>
      <c r="L63" s="20" t="n">
        <v>0.37174854</v>
      </c>
      <c r="M63" s="18" t="n">
        <v>0</v>
      </c>
      <c r="N63" s="20" t="n">
        <v>0</v>
      </c>
      <c r="O63" s="18" t="n">
        <v>0</v>
      </c>
      <c r="P63" s="20" t="n">
        <v>0</v>
      </c>
      <c r="Q63" s="18" t="n">
        <v>4.53192074</v>
      </c>
      <c r="R63" s="20" t="n">
        <v>0.82878591</v>
      </c>
    </row>
    <row r="64" spans="1:18">
      <c r="A64" s="15" t="s">
        <v>624</v>
      </c>
      <c r="B64" s="17" t="n">
        <v>1844</v>
      </c>
      <c r="C64" s="18">
        <f>(1231.0/B64*100)</f>
        <v/>
      </c>
      <c r="D64" s="19" t="n">
        <v>613</v>
      </c>
      <c r="E64" s="18" t="n">
        <v>54.02873937</v>
      </c>
      <c r="F64" s="20" t="n">
        <v>2.04673871</v>
      </c>
      <c r="G64" s="18" t="n">
        <v>40.70723211</v>
      </c>
      <c r="H64" s="20" t="n">
        <v>1.86525759</v>
      </c>
      <c r="I64" s="18" t="s">
        <v>567</v>
      </c>
      <c r="J64" s="20" t="s">
        <v>567</v>
      </c>
      <c r="K64" s="18" t="n">
        <v>2.6044932</v>
      </c>
      <c r="L64" s="20" t="n">
        <v>0.67760078</v>
      </c>
      <c r="M64" s="18" t="n">
        <v>0</v>
      </c>
      <c r="N64" s="20" t="n">
        <v>0</v>
      </c>
      <c r="O64" s="18" t="n">
        <v>0</v>
      </c>
      <c r="P64" s="20" t="n">
        <v>0</v>
      </c>
      <c r="Q64" s="18" t="n">
        <v>2.65953533</v>
      </c>
      <c r="R64" s="20" t="n">
        <v>0.69904479</v>
      </c>
    </row>
    <row r="65" spans="1:18">
      <c r="A65" s="15" t="s">
        <v>625</v>
      </c>
      <c r="B65" s="17" t="n">
        <v>2691</v>
      </c>
      <c r="C65" s="18">
        <f>(1796.0/B65*100)</f>
        <v/>
      </c>
      <c r="D65" s="19" t="n">
        <v>895</v>
      </c>
      <c r="E65" s="18" t="n">
        <v>64.23037615</v>
      </c>
      <c r="F65" s="20" t="n">
        <v>1.57739226</v>
      </c>
      <c r="G65" s="18" t="n">
        <v>30.34315154</v>
      </c>
      <c r="H65" s="20" t="n">
        <v>1.4601591</v>
      </c>
      <c r="I65" s="18" t="s">
        <v>567</v>
      </c>
      <c r="J65" s="20" t="s">
        <v>567</v>
      </c>
      <c r="K65" s="18" t="n">
        <v>3.40428818</v>
      </c>
      <c r="L65" s="20" t="n">
        <v>0.6954002500000001</v>
      </c>
      <c r="M65" s="18" t="n">
        <v>0</v>
      </c>
      <c r="N65" s="20" t="n">
        <v>0</v>
      </c>
      <c r="O65" s="18" t="n">
        <v>0</v>
      </c>
      <c r="P65" s="20" t="n">
        <v>0</v>
      </c>
      <c r="Q65" s="18" t="n">
        <v>2.02218413</v>
      </c>
      <c r="R65" s="20" t="n">
        <v>0.4766903</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(1595.0/B69*100)</f>
        <v/>
      </c>
      <c r="D69" s="19" t="n">
        <v>815</v>
      </c>
      <c r="E69" s="18" t="n">
        <v>64.65756535</v>
      </c>
      <c r="F69" s="20" t="n">
        <v>1.95255179</v>
      </c>
      <c r="G69" s="18" t="n">
        <v>34.92751881</v>
      </c>
      <c r="H69" s="20" t="n">
        <v>1.9327745</v>
      </c>
      <c r="I69" s="18" t="s">
        <v>567</v>
      </c>
      <c r="J69" s="20" t="s">
        <v>567</v>
      </c>
      <c r="K69" s="18" t="n">
        <v>0</v>
      </c>
      <c r="L69" s="20" t="n">
        <v>0</v>
      </c>
      <c r="M69" s="18" t="n">
        <v>0</v>
      </c>
      <c r="N69" s="20" t="n">
        <v>0</v>
      </c>
      <c r="O69" s="18" t="n">
        <v>0</v>
      </c>
      <c r="P69" s="20" t="n">
        <v>0</v>
      </c>
      <c r="Q69" s="18" t="n">
        <v>0.41491583</v>
      </c>
      <c r="R69" s="20" t="n">
        <v>0.26469489</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52.87830756</v>
      </c>
      <c r="F74" s="20" t="n">
        <v>1.83285522</v>
      </c>
      <c r="G74" s="18" t="n">
        <v>38.90091763</v>
      </c>
      <c r="H74" s="20" t="n">
        <v>1.77269896</v>
      </c>
      <c r="I74" s="18" t="s">
        <v>567</v>
      </c>
      <c r="J74" s="20" t="s">
        <v>567</v>
      </c>
      <c r="K74" s="18" t="n">
        <v>4.5791858</v>
      </c>
      <c r="L74" s="20" t="n">
        <v>0.7831152</v>
      </c>
      <c r="M74" s="18" t="n">
        <v>0</v>
      </c>
      <c r="N74" s="20" t="n">
        <v>0</v>
      </c>
      <c r="O74" s="18" t="n">
        <v>0</v>
      </c>
      <c r="P74" s="20" t="n">
        <v>0</v>
      </c>
      <c r="Q74" s="18" t="n">
        <v>3.64158902</v>
      </c>
      <c r="R74" s="20" t="n">
        <v>0.80555191</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(1874.0/B78*100)</f>
        <v/>
      </c>
      <c r="D78" s="19" t="n">
        <v>912</v>
      </c>
      <c r="E78" s="18" t="n">
        <v>40.00791979</v>
      </c>
      <c r="F78" s="20" t="n">
        <v>2.32716764</v>
      </c>
      <c r="G78" s="18" t="n">
        <v>59.99208021</v>
      </c>
      <c r="H78" s="20" t="n">
        <v>2.32716764</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(508.0/B79*100)</f>
        <v/>
      </c>
      <c r="D79" s="19" t="n">
        <v>279</v>
      </c>
      <c r="E79" s="18" t="n">
        <v>41.32249959</v>
      </c>
      <c r="F79" s="20" t="n">
        <v>3.40971514</v>
      </c>
      <c r="G79" s="18" t="n">
        <v>54.86248609</v>
      </c>
      <c r="H79" s="20" t="n">
        <v>3.78001381</v>
      </c>
      <c r="I79" s="18" t="s">
        <v>567</v>
      </c>
      <c r="J79" s="20" t="s">
        <v>567</v>
      </c>
      <c r="K79" s="18" t="n">
        <v>3.04566281</v>
      </c>
      <c r="L79" s="20" t="n">
        <v>0.88579423</v>
      </c>
      <c r="M79" s="18" t="n">
        <v>0</v>
      </c>
      <c r="N79" s="20" t="n">
        <v>0</v>
      </c>
      <c r="O79" s="18" t="n">
        <v>0</v>
      </c>
      <c r="P79" s="20" t="n">
        <v>0</v>
      </c>
      <c r="Q79" s="18" t="n">
        <v>0.7693515</v>
      </c>
      <c r="R79" s="20" t="n">
        <v>0.3679795</v>
      </c>
    </row>
    <row r="80" spans="1:18">
      <c r="A80" s="15" t="s">
        <v>640</v>
      </c>
      <c r="B80" s="17" t="n">
        <v>3798</v>
      </c>
      <c r="C80" s="18">
        <f>(2513.0/B80*100)</f>
        <v/>
      </c>
      <c r="D80" s="19" t="n">
        <v>1285</v>
      </c>
      <c r="E80" s="18" t="n">
        <v>68.39156721000001</v>
      </c>
      <c r="F80" s="20" t="n">
        <v>2.39844966</v>
      </c>
      <c r="G80" s="18" t="n">
        <v>31.38015479</v>
      </c>
      <c r="H80" s="20" t="n">
        <v>2.39569668</v>
      </c>
      <c r="I80" s="18" t="s">
        <v>567</v>
      </c>
      <c r="J80" s="20" t="s">
        <v>567</v>
      </c>
      <c r="K80" s="18" t="n">
        <v>0</v>
      </c>
      <c r="L80" s="20" t="n">
        <v>0</v>
      </c>
      <c r="M80" s="18" t="n">
        <v>0</v>
      </c>
      <c r="N80" s="20" t="n">
        <v>0</v>
      </c>
      <c r="O80" s="18" t="n">
        <v>0</v>
      </c>
      <c r="P80" s="20" t="n">
        <v>0</v>
      </c>
      <c r="Q80" s="18" t="n">
        <v>0.22827799</v>
      </c>
      <c r="R80" s="20" t="n">
        <v>0.15526308</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(1691.0/B44*100)</f>
        <v/>
      </c>
      <c r="D44" s="19" t="n">
        <v>833</v>
      </c>
      <c r="E44" s="18" t="n">
        <v>49.90579665</v>
      </c>
      <c r="F44" s="20" t="n">
        <v>2.52906043</v>
      </c>
      <c r="G44" s="18" t="n">
        <v>40.90490873</v>
      </c>
      <c r="H44" s="20" t="n">
        <v>2.52252213</v>
      </c>
      <c r="I44" s="18" t="s">
        <v>567</v>
      </c>
      <c r="J44" s="20" t="s">
        <v>567</v>
      </c>
      <c r="K44" s="18" t="n">
        <v>3.13330987</v>
      </c>
      <c r="L44" s="20" t="n">
        <v>0.74059255</v>
      </c>
      <c r="M44" s="18" t="n">
        <v>0</v>
      </c>
      <c r="N44" s="20" t="n">
        <v>0</v>
      </c>
      <c r="O44" s="18" t="n">
        <v>0.10507746</v>
      </c>
      <c r="P44" s="20" t="n">
        <v>0.10564422</v>
      </c>
      <c r="Q44" s="18" t="n">
        <v>5.95090729</v>
      </c>
      <c r="R44" s="20" t="n">
        <v>0.9152761699999999</v>
      </c>
    </row>
    <row r="45" spans="1:18">
      <c r="A45" s="15" t="s">
        <v>605</v>
      </c>
      <c r="B45" s="17" t="n">
        <v>2849</v>
      </c>
      <c r="C45" s="18">
        <f>(1901.0/B45*100)</f>
        <v/>
      </c>
      <c r="D45" s="19" t="n">
        <v>948</v>
      </c>
      <c r="E45" s="18" t="n">
        <v>69.5207257</v>
      </c>
      <c r="F45" s="20" t="n">
        <v>1.60561684</v>
      </c>
      <c r="G45" s="18" t="n">
        <v>22.4582905</v>
      </c>
      <c r="H45" s="20" t="n">
        <v>1.59364633</v>
      </c>
      <c r="I45" s="18" t="s">
        <v>567</v>
      </c>
      <c r="J45" s="20" t="s">
        <v>567</v>
      </c>
      <c r="K45" s="18" t="n">
        <v>3.67515872</v>
      </c>
      <c r="L45" s="20" t="n">
        <v>0.63756877</v>
      </c>
      <c r="M45" s="18" t="n">
        <v>0.3608718</v>
      </c>
      <c r="N45" s="20" t="n">
        <v>0.16974813</v>
      </c>
      <c r="O45" s="18" t="n">
        <v>0.39623691</v>
      </c>
      <c r="P45" s="20" t="n">
        <v>0.18198917</v>
      </c>
      <c r="Q45" s="18" t="n">
        <v>3.58871638</v>
      </c>
      <c r="R45" s="20" t="n">
        <v>0.63898318</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(2017.0/B49*100)</f>
        <v/>
      </c>
      <c r="D49" s="19" t="n">
        <v>1001</v>
      </c>
      <c r="E49" s="18" t="n">
        <v>63.07086011</v>
      </c>
      <c r="F49" s="20" t="n">
        <v>1.85600226</v>
      </c>
      <c r="G49" s="18" t="n">
        <v>31.1681824</v>
      </c>
      <c r="H49" s="20" t="n">
        <v>1.90723447</v>
      </c>
      <c r="I49" s="18" t="s">
        <v>567</v>
      </c>
      <c r="J49" s="20" t="s">
        <v>567</v>
      </c>
      <c r="K49" s="18" t="n">
        <v>1.6074291</v>
      </c>
      <c r="L49" s="20" t="n">
        <v>0.37699007</v>
      </c>
      <c r="M49" s="18" t="n">
        <v>0.76688808</v>
      </c>
      <c r="N49" s="20" t="n">
        <v>0.23952998</v>
      </c>
      <c r="O49" s="18" t="n">
        <v>0</v>
      </c>
      <c r="P49" s="20" t="n">
        <v>0</v>
      </c>
      <c r="Q49" s="18" t="n">
        <v>3.38664031</v>
      </c>
      <c r="R49" s="20" t="n">
        <v>0.7029879999999999</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(1836.0/B55*100)</f>
        <v/>
      </c>
      <c r="D55" s="19" t="n">
        <v>923</v>
      </c>
      <c r="E55" s="18" t="n">
        <v>57.73504228</v>
      </c>
      <c r="F55" s="20" t="n">
        <v>2.12452718</v>
      </c>
      <c r="G55" s="18" t="n">
        <v>32.06129161</v>
      </c>
      <c r="H55" s="20" t="n">
        <v>2.17346136</v>
      </c>
      <c r="I55" s="18" t="s">
        <v>567</v>
      </c>
      <c r="J55" s="20" t="s">
        <v>567</v>
      </c>
      <c r="K55" s="18" t="n">
        <v>1.28547712</v>
      </c>
      <c r="L55" s="20" t="n">
        <v>0.41996968</v>
      </c>
      <c r="M55" s="18" t="n">
        <v>0</v>
      </c>
      <c r="N55" s="20" t="n">
        <v>0</v>
      </c>
      <c r="O55" s="18" t="n">
        <v>0.08874567999999999</v>
      </c>
      <c r="P55" s="20" t="n">
        <v>0.0869887</v>
      </c>
      <c r="Q55" s="18" t="n">
        <v>8.82944331</v>
      </c>
      <c r="R55" s="20" t="n">
        <v>1.25812314</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(2091.0/B57*100)</f>
        <v/>
      </c>
      <c r="D57" s="19" t="n">
        <v>1079</v>
      </c>
      <c r="E57" s="18" t="n">
        <v>73.07180904000001</v>
      </c>
      <c r="F57" s="20" t="n">
        <v>1.57155228</v>
      </c>
      <c r="G57" s="18" t="n">
        <v>22.01354339</v>
      </c>
      <c r="H57" s="20" t="n">
        <v>1.41504398</v>
      </c>
      <c r="I57" s="18" t="s">
        <v>567</v>
      </c>
      <c r="J57" s="20" t="s">
        <v>567</v>
      </c>
      <c r="K57" s="18" t="n">
        <v>1.2835582</v>
      </c>
      <c r="L57" s="20" t="n">
        <v>0.46923178</v>
      </c>
      <c r="M57" s="18" t="n">
        <v>0</v>
      </c>
      <c r="N57" s="20" t="n">
        <v>0</v>
      </c>
      <c r="O57" s="18" t="n">
        <v>0</v>
      </c>
      <c r="P57" s="20" t="n">
        <v>0</v>
      </c>
      <c r="Q57" s="18" t="n">
        <v>3.63108938</v>
      </c>
      <c r="R57" s="20" t="n">
        <v>0.71593081</v>
      </c>
    </row>
    <row r="58" spans="1:18">
      <c r="A58" s="15" t="s">
        <v>618</v>
      </c>
      <c r="B58" s="17" t="n">
        <v>3530</v>
      </c>
      <c r="C58" s="18">
        <f>(2350.0/B58*100)</f>
        <v/>
      </c>
      <c r="D58" s="19" t="n">
        <v>1180</v>
      </c>
      <c r="E58" s="18" t="n">
        <v>61.27016746</v>
      </c>
      <c r="F58" s="20" t="n">
        <v>1.91138323</v>
      </c>
      <c r="G58" s="18" t="n">
        <v>34.25369163</v>
      </c>
      <c r="H58" s="20" t="n">
        <v>1.95701514</v>
      </c>
      <c r="I58" s="18" t="s">
        <v>567</v>
      </c>
      <c r="J58" s="20" t="s">
        <v>567</v>
      </c>
      <c r="K58" s="18" t="n">
        <v>1.61335578</v>
      </c>
      <c r="L58" s="20" t="n">
        <v>0.46705192</v>
      </c>
      <c r="M58" s="18" t="n">
        <v>0</v>
      </c>
      <c r="N58" s="20" t="n">
        <v>0</v>
      </c>
      <c r="O58" s="18" t="n">
        <v>0.04764123</v>
      </c>
      <c r="P58" s="20" t="n">
        <v>0.0475294</v>
      </c>
      <c r="Q58" s="18" t="n">
        <v>2.81514389</v>
      </c>
      <c r="R58" s="20" t="n">
        <v>0.50314757</v>
      </c>
    </row>
    <row r="59" spans="1:18">
      <c r="A59" s="15" t="s">
        <v>619</v>
      </c>
      <c r="B59" s="17" t="n">
        <v>2548</v>
      </c>
      <c r="C59" s="18">
        <f>(1680.0/B59*100)</f>
        <v/>
      </c>
      <c r="D59" s="19" t="n">
        <v>868</v>
      </c>
      <c r="E59" s="18" t="n">
        <v>65.88794946</v>
      </c>
      <c r="F59" s="20" t="n">
        <v>2.01398688</v>
      </c>
      <c r="G59" s="18" t="n">
        <v>28.15491368</v>
      </c>
      <c r="H59" s="20" t="n">
        <v>1.91077224</v>
      </c>
      <c r="I59" s="18" t="s">
        <v>567</v>
      </c>
      <c r="J59" s="20" t="s">
        <v>567</v>
      </c>
      <c r="K59" s="18" t="n">
        <v>0.53970948</v>
      </c>
      <c r="L59" s="20" t="n">
        <v>0.3867306</v>
      </c>
      <c r="M59" s="18" t="n">
        <v>0</v>
      </c>
      <c r="N59" s="20" t="n">
        <v>0</v>
      </c>
      <c r="O59" s="18" t="n">
        <v>0.04892975</v>
      </c>
      <c r="P59" s="20" t="n">
        <v>0.048994</v>
      </c>
      <c r="Q59" s="18" t="n">
        <v>5.36849763</v>
      </c>
      <c r="R59" s="20" t="n">
        <v>0.91979987</v>
      </c>
    </row>
    <row r="60" spans="1:18">
      <c r="A60" s="15" t="s">
        <v>620</v>
      </c>
      <c r="B60" s="17" t="n">
        <v>2095</v>
      </c>
      <c r="C60" s="18">
        <f>(1368.0/B60*100)</f>
        <v/>
      </c>
      <c r="D60" s="19" t="n">
        <v>727</v>
      </c>
      <c r="E60" s="18" t="n">
        <v>41.19839665</v>
      </c>
      <c r="F60" s="20" t="n">
        <v>2.52539419</v>
      </c>
      <c r="G60" s="18" t="n">
        <v>51.05359641</v>
      </c>
      <c r="H60" s="20" t="n">
        <v>2.65207394</v>
      </c>
      <c r="I60" s="18" t="s">
        <v>567</v>
      </c>
      <c r="J60" s="20" t="s">
        <v>567</v>
      </c>
      <c r="K60" s="18" t="n">
        <v>3.0107876</v>
      </c>
      <c r="L60" s="20" t="n">
        <v>0.76942073</v>
      </c>
      <c r="M60" s="18" t="n">
        <v>0.06650924</v>
      </c>
      <c r="N60" s="20" t="n">
        <v>0.06711193999999999</v>
      </c>
      <c r="O60" s="18" t="n">
        <v>0</v>
      </c>
      <c r="P60" s="20" t="n">
        <v>0</v>
      </c>
      <c r="Q60" s="18" t="n">
        <v>4.67071009</v>
      </c>
      <c r="R60" s="20" t="n">
        <v>0.91165634</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(1885.0/B63*100)</f>
        <v/>
      </c>
      <c r="D63" s="19" t="n">
        <v>928</v>
      </c>
      <c r="E63" s="18" t="n">
        <v>61.09602112</v>
      </c>
      <c r="F63" s="20" t="n">
        <v>1.65679681</v>
      </c>
      <c r="G63" s="18" t="n">
        <v>26.25280034</v>
      </c>
      <c r="H63" s="20" t="n">
        <v>1.4662813</v>
      </c>
      <c r="I63" s="18" t="s">
        <v>567</v>
      </c>
      <c r="J63" s="20" t="s">
        <v>567</v>
      </c>
      <c r="K63" s="18" t="n">
        <v>2.17206631</v>
      </c>
      <c r="L63" s="20" t="n">
        <v>0.42533218</v>
      </c>
      <c r="M63" s="18" t="n">
        <v>0</v>
      </c>
      <c r="N63" s="20" t="n">
        <v>0</v>
      </c>
      <c r="O63" s="18" t="n">
        <v>0</v>
      </c>
      <c r="P63" s="20" t="n">
        <v>0</v>
      </c>
      <c r="Q63" s="18" t="n">
        <v>10.47911222</v>
      </c>
      <c r="R63" s="20" t="n">
        <v>1.04107164</v>
      </c>
    </row>
    <row r="64" spans="1:18">
      <c r="A64" s="15" t="s">
        <v>624</v>
      </c>
      <c r="B64" s="17" t="n">
        <v>1844</v>
      </c>
      <c r="C64" s="18">
        <f>(1231.0/B64*100)</f>
        <v/>
      </c>
      <c r="D64" s="19" t="n">
        <v>613</v>
      </c>
      <c r="E64" s="18" t="n">
        <v>51.02917524</v>
      </c>
      <c r="F64" s="20" t="n">
        <v>1.8173864</v>
      </c>
      <c r="G64" s="18" t="n">
        <v>42.0573993</v>
      </c>
      <c r="H64" s="20" t="n">
        <v>1.8842702</v>
      </c>
      <c r="I64" s="18" t="s">
        <v>567</v>
      </c>
      <c r="J64" s="20" t="s">
        <v>567</v>
      </c>
      <c r="K64" s="18" t="n">
        <v>3.35457615</v>
      </c>
      <c r="L64" s="20" t="n">
        <v>0.74116216</v>
      </c>
      <c r="M64" s="18" t="n">
        <v>0</v>
      </c>
      <c r="N64" s="20" t="n">
        <v>0</v>
      </c>
      <c r="O64" s="18" t="n">
        <v>0</v>
      </c>
      <c r="P64" s="20" t="n">
        <v>0</v>
      </c>
      <c r="Q64" s="18" t="n">
        <v>3.55884931</v>
      </c>
      <c r="R64" s="20" t="n">
        <v>0.6889643</v>
      </c>
    </row>
    <row r="65" spans="1:18">
      <c r="A65" s="15" t="s">
        <v>625</v>
      </c>
      <c r="B65" s="17" t="n">
        <v>2691</v>
      </c>
      <c r="C65" s="18">
        <f>(1796.0/B65*100)</f>
        <v/>
      </c>
      <c r="D65" s="19" t="n">
        <v>895</v>
      </c>
      <c r="E65" s="18" t="n">
        <v>62.47356474</v>
      </c>
      <c r="F65" s="20" t="n">
        <v>2.02694854</v>
      </c>
      <c r="G65" s="18" t="n">
        <v>27.15822026</v>
      </c>
      <c r="H65" s="20" t="n">
        <v>2.18536299</v>
      </c>
      <c r="I65" s="18" t="s">
        <v>567</v>
      </c>
      <c r="J65" s="20" t="s">
        <v>567</v>
      </c>
      <c r="K65" s="18" t="n">
        <v>4.03539626</v>
      </c>
      <c r="L65" s="20" t="n">
        <v>0.71475476</v>
      </c>
      <c r="M65" s="18" t="n">
        <v>0</v>
      </c>
      <c r="N65" s="20" t="n">
        <v>0</v>
      </c>
      <c r="O65" s="18" t="n">
        <v>0</v>
      </c>
      <c r="P65" s="20" t="n">
        <v>0</v>
      </c>
      <c r="Q65" s="18" t="n">
        <v>6.33281875</v>
      </c>
      <c r="R65" s="20" t="n">
        <v>0.79455179</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(1595.0/B69*100)</f>
        <v/>
      </c>
      <c r="D69" s="19" t="n">
        <v>815</v>
      </c>
      <c r="E69" s="18" t="n">
        <v>70.72154962</v>
      </c>
      <c r="F69" s="20" t="n">
        <v>1.91728639</v>
      </c>
      <c r="G69" s="18" t="n">
        <v>29.27845038</v>
      </c>
      <c r="H69" s="20" t="n">
        <v>1.91728639</v>
      </c>
      <c r="I69" s="18" t="s">
        <v>567</v>
      </c>
      <c r="J69" s="20" t="s">
        <v>567</v>
      </c>
      <c r="K69" s="18" t="n">
        <v>0</v>
      </c>
      <c r="L69" s="20" t="n">
        <v>0</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63.93989013</v>
      </c>
      <c r="F74" s="20" t="n">
        <v>1.90749018</v>
      </c>
      <c r="G74" s="18" t="n">
        <v>25.72716325</v>
      </c>
      <c r="H74" s="20" t="n">
        <v>1.87016937</v>
      </c>
      <c r="I74" s="18" t="s">
        <v>567</v>
      </c>
      <c r="J74" s="20" t="s">
        <v>567</v>
      </c>
      <c r="K74" s="18" t="n">
        <v>5.24946996</v>
      </c>
      <c r="L74" s="20" t="n">
        <v>0.84112502</v>
      </c>
      <c r="M74" s="18" t="n">
        <v>0</v>
      </c>
      <c r="N74" s="20" t="n">
        <v>0</v>
      </c>
      <c r="O74" s="18" t="n">
        <v>0</v>
      </c>
      <c r="P74" s="20" t="n">
        <v>0</v>
      </c>
      <c r="Q74" s="18" t="n">
        <v>5.08347665</v>
      </c>
      <c r="R74" s="20" t="n">
        <v>0.92498063</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(1874.0/B78*100)</f>
        <v/>
      </c>
      <c r="D78" s="19" t="n">
        <v>912</v>
      </c>
      <c r="E78" s="18" t="n">
        <v>69.81359951</v>
      </c>
      <c r="F78" s="20" t="n">
        <v>1.88001036</v>
      </c>
      <c r="G78" s="18" t="n">
        <v>29.12046024</v>
      </c>
      <c r="H78" s="20" t="n">
        <v>1.88818363</v>
      </c>
      <c r="I78" s="18" t="s">
        <v>567</v>
      </c>
      <c r="J78" s="20" t="s">
        <v>567</v>
      </c>
      <c r="K78" s="18" t="n">
        <v>0</v>
      </c>
      <c r="L78" s="20" t="n">
        <v>0</v>
      </c>
      <c r="M78" s="18" t="n">
        <v>0</v>
      </c>
      <c r="N78" s="20" t="n">
        <v>0</v>
      </c>
      <c r="O78" s="18" t="n">
        <v>0</v>
      </c>
      <c r="P78" s="20" t="n">
        <v>0</v>
      </c>
      <c r="Q78" s="18" t="n">
        <v>1.06594026</v>
      </c>
      <c r="R78" s="20" t="n">
        <v>0.44667095</v>
      </c>
    </row>
    <row customHeight="1" ht="25" r="79" spans="1:18">
      <c r="A79" s="15" t="s">
        <v>639</v>
      </c>
      <c r="B79" s="17" t="n">
        <v>787</v>
      </c>
      <c r="C79" s="18">
        <f>(508.0/B79*100)</f>
        <v/>
      </c>
      <c r="D79" s="19" t="n">
        <v>279</v>
      </c>
      <c r="E79" s="18" t="n">
        <v>53.30299302</v>
      </c>
      <c r="F79" s="20" t="n">
        <v>3.94354076</v>
      </c>
      <c r="G79" s="18" t="n">
        <v>42.39273718</v>
      </c>
      <c r="H79" s="20" t="n">
        <v>4.19933486</v>
      </c>
      <c r="I79" s="18" t="s">
        <v>567</v>
      </c>
      <c r="J79" s="20" t="s">
        <v>567</v>
      </c>
      <c r="K79" s="18" t="n">
        <v>3.49020719</v>
      </c>
      <c r="L79" s="20" t="n">
        <v>0.94774419</v>
      </c>
      <c r="M79" s="18" t="n">
        <v>0</v>
      </c>
      <c r="N79" s="20" t="n">
        <v>0</v>
      </c>
      <c r="O79" s="18" t="n">
        <v>0</v>
      </c>
      <c r="P79" s="20" t="n">
        <v>0</v>
      </c>
      <c r="Q79" s="18" t="n">
        <v>0.81406261</v>
      </c>
      <c r="R79" s="20" t="n">
        <v>0.50931941</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(1691.0/B44*100)</f>
        <v/>
      </c>
      <c r="D44" s="19" t="n">
        <v>833</v>
      </c>
      <c r="E44" s="18" t="n">
        <v>56.61157343</v>
      </c>
      <c r="F44" s="20" t="n">
        <v>2.35260351</v>
      </c>
      <c r="G44" s="18" t="n">
        <v>33.93646983</v>
      </c>
      <c r="H44" s="20" t="n">
        <v>2.30212385</v>
      </c>
      <c r="I44" s="18" t="s">
        <v>567</v>
      </c>
      <c r="J44" s="20" t="s">
        <v>567</v>
      </c>
      <c r="K44" s="18" t="n">
        <v>3.13330987</v>
      </c>
      <c r="L44" s="20" t="n">
        <v>0.74059255</v>
      </c>
      <c r="M44" s="18" t="n">
        <v>0</v>
      </c>
      <c r="N44" s="20" t="n">
        <v>0</v>
      </c>
      <c r="O44" s="18" t="n">
        <v>0</v>
      </c>
      <c r="P44" s="20" t="n">
        <v>0</v>
      </c>
      <c r="Q44" s="18" t="n">
        <v>6.31864686</v>
      </c>
      <c r="R44" s="20" t="n">
        <v>1.02980818</v>
      </c>
    </row>
    <row r="45" spans="1:18">
      <c r="A45" s="15" t="s">
        <v>605</v>
      </c>
      <c r="B45" s="17" t="n">
        <v>2849</v>
      </c>
      <c r="C45" s="18">
        <f>(1901.0/B45*100)</f>
        <v/>
      </c>
      <c r="D45" s="19" t="n">
        <v>948</v>
      </c>
      <c r="E45" s="18" t="n">
        <v>72.60651310999999</v>
      </c>
      <c r="F45" s="20" t="n">
        <v>1.51366853</v>
      </c>
      <c r="G45" s="18" t="n">
        <v>18.28955625</v>
      </c>
      <c r="H45" s="20" t="n">
        <v>1.40750521</v>
      </c>
      <c r="I45" s="18" t="s">
        <v>567</v>
      </c>
      <c r="J45" s="20" t="s">
        <v>567</v>
      </c>
      <c r="K45" s="18" t="n">
        <v>3.67515872</v>
      </c>
      <c r="L45" s="20" t="n">
        <v>0.63756877</v>
      </c>
      <c r="M45" s="18" t="n">
        <v>0.26743755</v>
      </c>
      <c r="N45" s="20" t="n">
        <v>0.15357204</v>
      </c>
      <c r="O45" s="18" t="n">
        <v>0.23930072</v>
      </c>
      <c r="P45" s="20" t="n">
        <v>0.14638132</v>
      </c>
      <c r="Q45" s="18" t="n">
        <v>4.92203366</v>
      </c>
      <c r="R45" s="20" t="n">
        <v>0.7496569199999999</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(2017.0/B49*100)</f>
        <v/>
      </c>
      <c r="D49" s="19" t="n">
        <v>1001</v>
      </c>
      <c r="E49" s="18" t="n">
        <v>68.79001894</v>
      </c>
      <c r="F49" s="20" t="n">
        <v>1.84072446</v>
      </c>
      <c r="G49" s="18" t="n">
        <v>24.69672555</v>
      </c>
      <c r="H49" s="20" t="n">
        <v>1.87868478</v>
      </c>
      <c r="I49" s="18" t="s">
        <v>567</v>
      </c>
      <c r="J49" s="20" t="s">
        <v>567</v>
      </c>
      <c r="K49" s="18" t="n">
        <v>1.6074291</v>
      </c>
      <c r="L49" s="20" t="n">
        <v>0.37699007</v>
      </c>
      <c r="M49" s="18" t="n">
        <v>0.76688808</v>
      </c>
      <c r="N49" s="20" t="n">
        <v>0.23952998</v>
      </c>
      <c r="O49" s="18" t="n">
        <v>0</v>
      </c>
      <c r="P49" s="20" t="n">
        <v>0</v>
      </c>
      <c r="Q49" s="18" t="n">
        <v>4.13893833</v>
      </c>
      <c r="R49" s="20" t="n">
        <v>0.76965686</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(1836.0/B55*100)</f>
        <v/>
      </c>
      <c r="D55" s="19" t="n">
        <v>923</v>
      </c>
      <c r="E55" s="18" t="n">
        <v>69.58516844</v>
      </c>
      <c r="F55" s="20" t="n">
        <v>1.65926105</v>
      </c>
      <c r="G55" s="18" t="n">
        <v>19.68677476</v>
      </c>
      <c r="H55" s="20" t="n">
        <v>1.28506511</v>
      </c>
      <c r="I55" s="18" t="s">
        <v>567</v>
      </c>
      <c r="J55" s="20" t="s">
        <v>567</v>
      </c>
      <c r="K55" s="18" t="n">
        <v>1.45812234</v>
      </c>
      <c r="L55" s="20" t="n">
        <v>0.45270246</v>
      </c>
      <c r="M55" s="18" t="n">
        <v>0</v>
      </c>
      <c r="N55" s="20" t="n">
        <v>0</v>
      </c>
      <c r="O55" s="18" t="n">
        <v>0</v>
      </c>
      <c r="P55" s="20" t="n">
        <v>0</v>
      </c>
      <c r="Q55" s="18" t="n">
        <v>9.269934449999999</v>
      </c>
      <c r="R55" s="20" t="n">
        <v>1.19307431</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(2091.0/B57*100)</f>
        <v/>
      </c>
      <c r="D57" s="19" t="n">
        <v>1079</v>
      </c>
      <c r="E57" s="18" t="n">
        <v>76.5808681</v>
      </c>
      <c r="F57" s="20" t="n">
        <v>1.55433355</v>
      </c>
      <c r="G57" s="18" t="n">
        <v>18.0575355</v>
      </c>
      <c r="H57" s="20" t="n">
        <v>1.58932542</v>
      </c>
      <c r="I57" s="18" t="s">
        <v>567</v>
      </c>
      <c r="J57" s="20" t="s">
        <v>567</v>
      </c>
      <c r="K57" s="18" t="n">
        <v>1.2835582</v>
      </c>
      <c r="L57" s="20" t="n">
        <v>0.46923178</v>
      </c>
      <c r="M57" s="18" t="n">
        <v>0.08343476</v>
      </c>
      <c r="N57" s="20" t="n">
        <v>0.08355990000000001</v>
      </c>
      <c r="O57" s="18" t="n">
        <v>0</v>
      </c>
      <c r="P57" s="20" t="n">
        <v>0</v>
      </c>
      <c r="Q57" s="18" t="n">
        <v>3.99460344</v>
      </c>
      <c r="R57" s="20" t="n">
        <v>0.68743426</v>
      </c>
    </row>
    <row r="58" spans="1:18">
      <c r="A58" s="15" t="s">
        <v>618</v>
      </c>
      <c r="B58" s="17" t="n">
        <v>3530</v>
      </c>
      <c r="C58" s="18">
        <f>(2350.0/B58*100)</f>
        <v/>
      </c>
      <c r="D58" s="19" t="n">
        <v>1180</v>
      </c>
      <c r="E58" s="18" t="n">
        <v>67.86601122</v>
      </c>
      <c r="F58" s="20" t="n">
        <v>1.59657997</v>
      </c>
      <c r="G58" s="18" t="n">
        <v>27.14568921</v>
      </c>
      <c r="H58" s="20" t="n">
        <v>1.60648795</v>
      </c>
      <c r="I58" s="18" t="s">
        <v>567</v>
      </c>
      <c r="J58" s="20" t="s">
        <v>567</v>
      </c>
      <c r="K58" s="18" t="n">
        <v>1.66099701</v>
      </c>
      <c r="L58" s="20" t="n">
        <v>0.46905703</v>
      </c>
      <c r="M58" s="18" t="n">
        <v>0</v>
      </c>
      <c r="N58" s="20" t="n">
        <v>0</v>
      </c>
      <c r="O58" s="18" t="n">
        <v>0</v>
      </c>
      <c r="P58" s="20" t="n">
        <v>0</v>
      </c>
      <c r="Q58" s="18" t="n">
        <v>3.32730255</v>
      </c>
      <c r="R58" s="20" t="n">
        <v>0.5913952</v>
      </c>
    </row>
    <row r="59" spans="1:18">
      <c r="A59" s="15" t="s">
        <v>619</v>
      </c>
      <c r="B59" s="17" t="n">
        <v>2548</v>
      </c>
      <c r="C59" s="18">
        <f>(1680.0/B59*100)</f>
        <v/>
      </c>
      <c r="D59" s="19" t="n">
        <v>868</v>
      </c>
      <c r="E59" s="18" t="n">
        <v>70.84148521</v>
      </c>
      <c r="F59" s="20" t="n">
        <v>1.77145944</v>
      </c>
      <c r="G59" s="18" t="n">
        <v>22.75460542</v>
      </c>
      <c r="H59" s="20" t="n">
        <v>1.63629156</v>
      </c>
      <c r="I59" s="18" t="s">
        <v>567</v>
      </c>
      <c r="J59" s="20" t="s">
        <v>567</v>
      </c>
      <c r="K59" s="18" t="n">
        <v>0.58760733</v>
      </c>
      <c r="L59" s="20" t="n">
        <v>0.39024723</v>
      </c>
      <c r="M59" s="18" t="n">
        <v>0</v>
      </c>
      <c r="N59" s="20" t="n">
        <v>0</v>
      </c>
      <c r="O59" s="18" t="n">
        <v>0</v>
      </c>
      <c r="P59" s="20" t="n">
        <v>0</v>
      </c>
      <c r="Q59" s="18" t="n">
        <v>5.81630204</v>
      </c>
      <c r="R59" s="20" t="n">
        <v>0.90099316</v>
      </c>
    </row>
    <row r="60" spans="1:18">
      <c r="A60" s="15" t="s">
        <v>620</v>
      </c>
      <c r="B60" s="17" t="n">
        <v>2095</v>
      </c>
      <c r="C60" s="18">
        <f>(1368.0/B60*100)</f>
        <v/>
      </c>
      <c r="D60" s="19" t="n">
        <v>727</v>
      </c>
      <c r="E60" s="18" t="n">
        <v>56.59884818</v>
      </c>
      <c r="F60" s="20" t="n">
        <v>2.09662109</v>
      </c>
      <c r="G60" s="18" t="n">
        <v>34.80279862</v>
      </c>
      <c r="H60" s="20" t="n">
        <v>2.18649872</v>
      </c>
      <c r="I60" s="18" t="s">
        <v>567</v>
      </c>
      <c r="J60" s="20" t="s">
        <v>567</v>
      </c>
      <c r="K60" s="18" t="n">
        <v>3.14551395</v>
      </c>
      <c r="L60" s="20" t="n">
        <v>0.78128629</v>
      </c>
      <c r="M60" s="18" t="n">
        <v>0</v>
      </c>
      <c r="N60" s="20" t="n">
        <v>0</v>
      </c>
      <c r="O60" s="18" t="n">
        <v>0.14859987</v>
      </c>
      <c r="P60" s="20" t="n">
        <v>0.15694894</v>
      </c>
      <c r="Q60" s="18" t="n">
        <v>5.30423938</v>
      </c>
      <c r="R60" s="20" t="n">
        <v>0.97543659</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(1885.0/B63*100)</f>
        <v/>
      </c>
      <c r="D63" s="19" t="n">
        <v>928</v>
      </c>
      <c r="E63" s="18" t="n">
        <v>62.38304894</v>
      </c>
      <c r="F63" s="20" t="n">
        <v>1.8666691</v>
      </c>
      <c r="G63" s="18" t="n">
        <v>24.39212681</v>
      </c>
      <c r="H63" s="20" t="n">
        <v>1.61348273</v>
      </c>
      <c r="I63" s="18" t="s">
        <v>567</v>
      </c>
      <c r="J63" s="20" t="s">
        <v>567</v>
      </c>
      <c r="K63" s="18" t="n">
        <v>2.17206631</v>
      </c>
      <c r="L63" s="20" t="n">
        <v>0.42533218</v>
      </c>
      <c r="M63" s="18" t="n">
        <v>0</v>
      </c>
      <c r="N63" s="20" t="n">
        <v>0</v>
      </c>
      <c r="O63" s="18" t="n">
        <v>0</v>
      </c>
      <c r="P63" s="20" t="n">
        <v>0</v>
      </c>
      <c r="Q63" s="18" t="n">
        <v>11.05275794</v>
      </c>
      <c r="R63" s="20" t="n">
        <v>1.06512858</v>
      </c>
    </row>
    <row r="64" spans="1:18">
      <c r="A64" s="15" t="s">
        <v>624</v>
      </c>
      <c r="B64" s="17" t="n">
        <v>1844</v>
      </c>
      <c r="C64" s="18">
        <f>(1231.0/B64*100)</f>
        <v/>
      </c>
      <c r="D64" s="19" t="n">
        <v>613</v>
      </c>
      <c r="E64" s="18" t="n">
        <v>70.95148535</v>
      </c>
      <c r="F64" s="20" t="n">
        <v>1.93035763</v>
      </c>
      <c r="G64" s="18" t="n">
        <v>22.00816446</v>
      </c>
      <c r="H64" s="20" t="n">
        <v>1.73128415</v>
      </c>
      <c r="I64" s="18" t="s">
        <v>567</v>
      </c>
      <c r="J64" s="20" t="s">
        <v>567</v>
      </c>
      <c r="K64" s="18" t="n">
        <v>3.35457615</v>
      </c>
      <c r="L64" s="20" t="n">
        <v>0.74116216</v>
      </c>
      <c r="M64" s="18" t="n">
        <v>0</v>
      </c>
      <c r="N64" s="20" t="n">
        <v>0</v>
      </c>
      <c r="O64" s="18" t="n">
        <v>0</v>
      </c>
      <c r="P64" s="20" t="n">
        <v>0</v>
      </c>
      <c r="Q64" s="18" t="n">
        <v>3.68577404</v>
      </c>
      <c r="R64" s="20" t="n">
        <v>0.70096453</v>
      </c>
    </row>
    <row r="65" spans="1:18">
      <c r="A65" s="15" t="s">
        <v>625</v>
      </c>
      <c r="B65" s="17" t="n">
        <v>2691</v>
      </c>
      <c r="C65" s="18">
        <f>(1796.0/B65*100)</f>
        <v/>
      </c>
      <c r="D65" s="19" t="n">
        <v>895</v>
      </c>
      <c r="E65" s="18" t="n">
        <v>68.82360248000001</v>
      </c>
      <c r="F65" s="20" t="n">
        <v>1.63385139</v>
      </c>
      <c r="G65" s="18" t="n">
        <v>19.65627698</v>
      </c>
      <c r="H65" s="20" t="n">
        <v>1.47852502</v>
      </c>
      <c r="I65" s="18" t="s">
        <v>567</v>
      </c>
      <c r="J65" s="20" t="s">
        <v>567</v>
      </c>
      <c r="K65" s="18" t="n">
        <v>4.13403571</v>
      </c>
      <c r="L65" s="20" t="n">
        <v>0.73472094</v>
      </c>
      <c r="M65" s="18" t="n">
        <v>0</v>
      </c>
      <c r="N65" s="20" t="n">
        <v>0</v>
      </c>
      <c r="O65" s="18" t="n">
        <v>0</v>
      </c>
      <c r="P65" s="20" t="n">
        <v>0</v>
      </c>
      <c r="Q65" s="18" t="n">
        <v>7.38608482</v>
      </c>
      <c r="R65" s="20" t="n">
        <v>0.89952088</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(1595.0/B69*100)</f>
        <v/>
      </c>
      <c r="D69" s="19" t="n">
        <v>815</v>
      </c>
      <c r="E69" s="18" t="n">
        <v>72.56699901</v>
      </c>
      <c r="F69" s="20" t="n">
        <v>1.52113277</v>
      </c>
      <c r="G69" s="18" t="n">
        <v>27.43300099</v>
      </c>
      <c r="H69" s="20" t="n">
        <v>1.52113277</v>
      </c>
      <c r="I69" s="18" t="s">
        <v>567</v>
      </c>
      <c r="J69" s="20" t="s">
        <v>567</v>
      </c>
      <c r="K69" s="18" t="n">
        <v>0</v>
      </c>
      <c r="L69" s="20" t="n">
        <v>0</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68.18989086000001</v>
      </c>
      <c r="F74" s="20" t="n">
        <v>1.9674431</v>
      </c>
      <c r="G74" s="18" t="n">
        <v>20.94207673</v>
      </c>
      <c r="H74" s="20" t="n">
        <v>1.69302872</v>
      </c>
      <c r="I74" s="18" t="s">
        <v>567</v>
      </c>
      <c r="J74" s="20" t="s">
        <v>567</v>
      </c>
      <c r="K74" s="18" t="n">
        <v>5.24946996</v>
      </c>
      <c r="L74" s="20" t="n">
        <v>0.84112502</v>
      </c>
      <c r="M74" s="18" t="n">
        <v>0</v>
      </c>
      <c r="N74" s="20" t="n">
        <v>0</v>
      </c>
      <c r="O74" s="18" t="n">
        <v>0</v>
      </c>
      <c r="P74" s="20" t="n">
        <v>0</v>
      </c>
      <c r="Q74" s="18" t="n">
        <v>5.61856245</v>
      </c>
      <c r="R74" s="20" t="n">
        <v>0.96580077</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(1874.0/B78*100)</f>
        <v/>
      </c>
      <c r="D78" s="19" t="n">
        <v>912</v>
      </c>
      <c r="E78" s="18" t="n">
        <v>73.91488278</v>
      </c>
      <c r="F78" s="20" t="n">
        <v>1.57129068</v>
      </c>
      <c r="G78" s="18" t="n">
        <v>25.25650288</v>
      </c>
      <c r="H78" s="20" t="n">
        <v>1.58410567</v>
      </c>
      <c r="I78" s="18" t="s">
        <v>567</v>
      </c>
      <c r="J78" s="20" t="s">
        <v>567</v>
      </c>
      <c r="K78" s="18" t="n">
        <v>0</v>
      </c>
      <c r="L78" s="20" t="n">
        <v>0</v>
      </c>
      <c r="M78" s="18" t="n">
        <v>0</v>
      </c>
      <c r="N78" s="20" t="n">
        <v>0</v>
      </c>
      <c r="O78" s="18" t="n">
        <v>0</v>
      </c>
      <c r="P78" s="20" t="n">
        <v>0</v>
      </c>
      <c r="Q78" s="18" t="n">
        <v>0.82861434</v>
      </c>
      <c r="R78" s="20" t="n">
        <v>0.34904735</v>
      </c>
    </row>
    <row customHeight="1" ht="25" r="79" spans="1:18">
      <c r="A79" s="15" t="s">
        <v>639</v>
      </c>
      <c r="B79" s="17" t="n">
        <v>787</v>
      </c>
      <c r="C79" s="18">
        <f>(508.0/B79*100)</f>
        <v/>
      </c>
      <c r="D79" s="19" t="n">
        <v>279</v>
      </c>
      <c r="E79" s="18" t="n">
        <v>63.76975568</v>
      </c>
      <c r="F79" s="20" t="n">
        <v>2.77505148</v>
      </c>
      <c r="G79" s="18" t="n">
        <v>31.76277456</v>
      </c>
      <c r="H79" s="20" t="n">
        <v>2.64532543</v>
      </c>
      <c r="I79" s="18" t="s">
        <v>567</v>
      </c>
      <c r="J79" s="20" t="s">
        <v>567</v>
      </c>
      <c r="K79" s="18" t="n">
        <v>3.49020719</v>
      </c>
      <c r="L79" s="20" t="n">
        <v>0.94774419</v>
      </c>
      <c r="M79" s="18" t="n">
        <v>0</v>
      </c>
      <c r="N79" s="20" t="n">
        <v>0</v>
      </c>
      <c r="O79" s="18" t="n">
        <v>0</v>
      </c>
      <c r="P79" s="20" t="n">
        <v>0</v>
      </c>
      <c r="Q79" s="18" t="n">
        <v>0.9772625700000001</v>
      </c>
      <c r="R79" s="20" t="n">
        <v>0.54311337</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(1691.0/B44*100)</f>
        <v/>
      </c>
      <c r="D44" s="19" t="n">
        <v>833</v>
      </c>
      <c r="E44" s="18" t="n">
        <v>35.00815015</v>
      </c>
      <c r="F44" s="20" t="n">
        <v>2.05393128</v>
      </c>
      <c r="G44" s="18" t="n">
        <v>58.21675762</v>
      </c>
      <c r="H44" s="20" t="n">
        <v>2.01866896</v>
      </c>
      <c r="I44" s="18" t="s">
        <v>567</v>
      </c>
      <c r="J44" s="20" t="s">
        <v>567</v>
      </c>
      <c r="K44" s="18" t="n">
        <v>3.13330987</v>
      </c>
      <c r="L44" s="20" t="n">
        <v>0.74059255</v>
      </c>
      <c r="M44" s="18" t="n">
        <v>0</v>
      </c>
      <c r="N44" s="20" t="n">
        <v>0</v>
      </c>
      <c r="O44" s="18" t="n">
        <v>0</v>
      </c>
      <c r="P44" s="20" t="n">
        <v>0</v>
      </c>
      <c r="Q44" s="18" t="n">
        <v>3.64178236</v>
      </c>
      <c r="R44" s="20" t="n">
        <v>0.79382621</v>
      </c>
    </row>
    <row r="45" spans="1:18">
      <c r="A45" s="15" t="s">
        <v>605</v>
      </c>
      <c r="B45" s="17" t="n">
        <v>2849</v>
      </c>
      <c r="C45" s="18">
        <f>(1901.0/B45*100)</f>
        <v/>
      </c>
      <c r="D45" s="19" t="n">
        <v>948</v>
      </c>
      <c r="E45" s="18" t="n">
        <v>61.08968475</v>
      </c>
      <c r="F45" s="20" t="n">
        <v>1.7531082</v>
      </c>
      <c r="G45" s="18" t="n">
        <v>30.43124633</v>
      </c>
      <c r="H45" s="20" t="n">
        <v>1.57968419</v>
      </c>
      <c r="I45" s="18" t="s">
        <v>567</v>
      </c>
      <c r="J45" s="20" t="s">
        <v>567</v>
      </c>
      <c r="K45" s="18" t="n">
        <v>3.87188311</v>
      </c>
      <c r="L45" s="20" t="n">
        <v>0.64590394</v>
      </c>
      <c r="M45" s="18" t="n">
        <v>0.17155616</v>
      </c>
      <c r="N45" s="20" t="n">
        <v>0.11912154</v>
      </c>
      <c r="O45" s="18" t="n">
        <v>0.23930072</v>
      </c>
      <c r="P45" s="20" t="n">
        <v>0.14638132</v>
      </c>
      <c r="Q45" s="18" t="n">
        <v>4.19632893</v>
      </c>
      <c r="R45" s="20" t="n">
        <v>0.67169517</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(2017.0/B49*100)</f>
        <v/>
      </c>
      <c r="D49" s="19" t="n">
        <v>1001</v>
      </c>
      <c r="E49" s="18" t="n">
        <v>42.87666186</v>
      </c>
      <c r="F49" s="20" t="n">
        <v>1.67401448</v>
      </c>
      <c r="G49" s="18" t="n">
        <v>51.49448419</v>
      </c>
      <c r="H49" s="20" t="n">
        <v>1.78044847</v>
      </c>
      <c r="I49" s="18" t="s">
        <v>567</v>
      </c>
      <c r="J49" s="20" t="s">
        <v>567</v>
      </c>
      <c r="K49" s="18" t="n">
        <v>1.6074291</v>
      </c>
      <c r="L49" s="20" t="n">
        <v>0.37699007</v>
      </c>
      <c r="M49" s="18" t="n">
        <v>0.76688808</v>
      </c>
      <c r="N49" s="20" t="n">
        <v>0.23952998</v>
      </c>
      <c r="O49" s="18" t="n">
        <v>0</v>
      </c>
      <c r="P49" s="20" t="n">
        <v>0</v>
      </c>
      <c r="Q49" s="18" t="n">
        <v>3.25453677</v>
      </c>
      <c r="R49" s="20" t="n">
        <v>0.59071936</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(1836.0/B55*100)</f>
        <v/>
      </c>
      <c r="D55" s="19" t="n">
        <v>923</v>
      </c>
      <c r="E55" s="18" t="n">
        <v>47.17028962</v>
      </c>
      <c r="F55" s="20" t="n">
        <v>1.88062696</v>
      </c>
      <c r="G55" s="18" t="n">
        <v>44.15390565</v>
      </c>
      <c r="H55" s="20" t="n">
        <v>2.03435119</v>
      </c>
      <c r="I55" s="18" t="s">
        <v>567</v>
      </c>
      <c r="J55" s="20" t="s">
        <v>567</v>
      </c>
      <c r="K55" s="18" t="n">
        <v>1.45812234</v>
      </c>
      <c r="L55" s="20" t="n">
        <v>0.45270246</v>
      </c>
      <c r="M55" s="18" t="n">
        <v>0</v>
      </c>
      <c r="N55" s="20" t="n">
        <v>0</v>
      </c>
      <c r="O55" s="18" t="n">
        <v>0</v>
      </c>
      <c r="P55" s="20" t="n">
        <v>0</v>
      </c>
      <c r="Q55" s="18" t="n">
        <v>7.21768239</v>
      </c>
      <c r="R55" s="20" t="n">
        <v>1.09195448</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(2091.0/B57*100)</f>
        <v/>
      </c>
      <c r="D57" s="19" t="n">
        <v>1079</v>
      </c>
      <c r="E57" s="18" t="n">
        <v>45.51980926</v>
      </c>
      <c r="F57" s="20" t="n">
        <v>2.00788167</v>
      </c>
      <c r="G57" s="18" t="n">
        <v>49.67840591</v>
      </c>
      <c r="H57" s="20" t="n">
        <v>2.21289482</v>
      </c>
      <c r="I57" s="18" t="s">
        <v>567</v>
      </c>
      <c r="J57" s="20" t="s">
        <v>567</v>
      </c>
      <c r="K57" s="18" t="n">
        <v>1.2835582</v>
      </c>
      <c r="L57" s="20" t="n">
        <v>0.46923178</v>
      </c>
      <c r="M57" s="18" t="n">
        <v>0.17972295</v>
      </c>
      <c r="N57" s="20" t="n">
        <v>0.12213979</v>
      </c>
      <c r="O57" s="18" t="n">
        <v>0.228055</v>
      </c>
      <c r="P57" s="20" t="n">
        <v>0.22527723</v>
      </c>
      <c r="Q57" s="18" t="n">
        <v>3.11044868</v>
      </c>
      <c r="R57" s="20" t="n">
        <v>0.71994856</v>
      </c>
    </row>
    <row r="58" spans="1:18">
      <c r="A58" s="15" t="s">
        <v>618</v>
      </c>
      <c r="B58" s="17" t="n">
        <v>3530</v>
      </c>
      <c r="C58" s="18">
        <f>(2350.0/B58*100)</f>
        <v/>
      </c>
      <c r="D58" s="19" t="n">
        <v>1180</v>
      </c>
      <c r="E58" s="18" t="n">
        <v>47.79284628</v>
      </c>
      <c r="F58" s="20" t="n">
        <v>1.87881171</v>
      </c>
      <c r="G58" s="18" t="n">
        <v>47.47341767</v>
      </c>
      <c r="H58" s="20" t="n">
        <v>1.91256684</v>
      </c>
      <c r="I58" s="18" t="s">
        <v>567</v>
      </c>
      <c r="J58" s="20" t="s">
        <v>567</v>
      </c>
      <c r="K58" s="18" t="n">
        <v>1.66099701</v>
      </c>
      <c r="L58" s="20" t="n">
        <v>0.46905703</v>
      </c>
      <c r="M58" s="18" t="n">
        <v>0</v>
      </c>
      <c r="N58" s="20" t="n">
        <v>0</v>
      </c>
      <c r="O58" s="18" t="n">
        <v>0</v>
      </c>
      <c r="P58" s="20" t="n">
        <v>0</v>
      </c>
      <c r="Q58" s="18" t="n">
        <v>3.07273903</v>
      </c>
      <c r="R58" s="20" t="n">
        <v>0.57024325</v>
      </c>
    </row>
    <row r="59" spans="1:18">
      <c r="A59" s="15" t="s">
        <v>619</v>
      </c>
      <c r="B59" s="17" t="n">
        <v>2548</v>
      </c>
      <c r="C59" s="18">
        <f>(1680.0/B59*100)</f>
        <v/>
      </c>
      <c r="D59" s="19" t="n">
        <v>868</v>
      </c>
      <c r="E59" s="18" t="n">
        <v>60.21492538</v>
      </c>
      <c r="F59" s="20" t="n">
        <v>1.76501967</v>
      </c>
      <c r="G59" s="18" t="n">
        <v>34.52623766</v>
      </c>
      <c r="H59" s="20" t="n">
        <v>1.71622435</v>
      </c>
      <c r="I59" s="18" t="s">
        <v>567</v>
      </c>
      <c r="J59" s="20" t="s">
        <v>567</v>
      </c>
      <c r="K59" s="18" t="n">
        <v>0.58760733</v>
      </c>
      <c r="L59" s="20" t="n">
        <v>0.39024723</v>
      </c>
      <c r="M59" s="18" t="n">
        <v>0</v>
      </c>
      <c r="N59" s="20" t="n">
        <v>0</v>
      </c>
      <c r="O59" s="18" t="n">
        <v>0</v>
      </c>
      <c r="P59" s="20" t="n">
        <v>0</v>
      </c>
      <c r="Q59" s="18" t="n">
        <v>4.67122963</v>
      </c>
      <c r="R59" s="20" t="n">
        <v>0.78587966</v>
      </c>
    </row>
    <row r="60" spans="1:18">
      <c r="A60" s="15" t="s">
        <v>620</v>
      </c>
      <c r="B60" s="17" t="n">
        <v>2095</v>
      </c>
      <c r="C60" s="18">
        <f>(1368.0/B60*100)</f>
        <v/>
      </c>
      <c r="D60" s="19" t="n">
        <v>727</v>
      </c>
      <c r="E60" s="18" t="n">
        <v>38.82905994</v>
      </c>
      <c r="F60" s="20" t="n">
        <v>2.37315095</v>
      </c>
      <c r="G60" s="18" t="n">
        <v>53.32789473</v>
      </c>
      <c r="H60" s="20" t="n">
        <v>2.46820156</v>
      </c>
      <c r="I60" s="18" t="s">
        <v>567</v>
      </c>
      <c r="J60" s="20" t="s">
        <v>567</v>
      </c>
      <c r="K60" s="18" t="n">
        <v>3.33032248</v>
      </c>
      <c r="L60" s="20" t="n">
        <v>0.80460438</v>
      </c>
      <c r="M60" s="18" t="n">
        <v>0</v>
      </c>
      <c r="N60" s="20" t="n">
        <v>0</v>
      </c>
      <c r="O60" s="18" t="n">
        <v>0</v>
      </c>
      <c r="P60" s="20" t="n">
        <v>0</v>
      </c>
      <c r="Q60" s="18" t="n">
        <v>4.51272285</v>
      </c>
      <c r="R60" s="20" t="n">
        <v>0.92006183</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(1885.0/B63*100)</f>
        <v/>
      </c>
      <c r="D63" s="19" t="n">
        <v>928</v>
      </c>
      <c r="E63" s="18" t="n">
        <v>58.6121213</v>
      </c>
      <c r="F63" s="20" t="n">
        <v>1.81570163</v>
      </c>
      <c r="G63" s="18" t="n">
        <v>29.50454296</v>
      </c>
      <c r="H63" s="20" t="n">
        <v>1.96435981</v>
      </c>
      <c r="I63" s="18" t="s">
        <v>567</v>
      </c>
      <c r="J63" s="20" t="s">
        <v>567</v>
      </c>
      <c r="K63" s="18" t="n">
        <v>2.17206631</v>
      </c>
      <c r="L63" s="20" t="n">
        <v>0.42533218</v>
      </c>
      <c r="M63" s="18" t="n">
        <v>0</v>
      </c>
      <c r="N63" s="20" t="n">
        <v>0</v>
      </c>
      <c r="O63" s="18" t="n">
        <v>0</v>
      </c>
      <c r="P63" s="20" t="n">
        <v>0</v>
      </c>
      <c r="Q63" s="18" t="n">
        <v>9.71126943</v>
      </c>
      <c r="R63" s="20" t="n">
        <v>1.00783416</v>
      </c>
    </row>
    <row r="64" spans="1:18">
      <c r="A64" s="15" t="s">
        <v>624</v>
      </c>
      <c r="B64" s="17" t="n">
        <v>1844</v>
      </c>
      <c r="C64" s="18">
        <f>(1231.0/B64*100)</f>
        <v/>
      </c>
      <c r="D64" s="19" t="n">
        <v>613</v>
      </c>
      <c r="E64" s="18" t="n">
        <v>25.10296306</v>
      </c>
      <c r="F64" s="20" t="n">
        <v>1.64589284</v>
      </c>
      <c r="G64" s="18" t="n">
        <v>69.07630825</v>
      </c>
      <c r="H64" s="20" t="n">
        <v>1.70565818</v>
      </c>
      <c r="I64" s="18" t="s">
        <v>567</v>
      </c>
      <c r="J64" s="20" t="s">
        <v>567</v>
      </c>
      <c r="K64" s="18" t="n">
        <v>3.35457615</v>
      </c>
      <c r="L64" s="20" t="n">
        <v>0.74116216</v>
      </c>
      <c r="M64" s="18" t="n">
        <v>0</v>
      </c>
      <c r="N64" s="20" t="n">
        <v>0</v>
      </c>
      <c r="O64" s="18" t="n">
        <v>0</v>
      </c>
      <c r="P64" s="20" t="n">
        <v>0</v>
      </c>
      <c r="Q64" s="18" t="n">
        <v>2.46615254</v>
      </c>
      <c r="R64" s="20" t="n">
        <v>0.5300442</v>
      </c>
    </row>
    <row r="65" spans="1:18">
      <c r="A65" s="15" t="s">
        <v>625</v>
      </c>
      <c r="B65" s="17" t="n">
        <v>2691</v>
      </c>
      <c r="C65" s="18">
        <f>(1796.0/B65*100)</f>
        <v/>
      </c>
      <c r="D65" s="19" t="n">
        <v>895</v>
      </c>
      <c r="E65" s="18" t="n">
        <v>35.01888434</v>
      </c>
      <c r="F65" s="20" t="n">
        <v>1.57510805</v>
      </c>
      <c r="G65" s="18" t="n">
        <v>56.04195299</v>
      </c>
      <c r="H65" s="20" t="n">
        <v>1.90873632</v>
      </c>
      <c r="I65" s="18" t="s">
        <v>567</v>
      </c>
      <c r="J65" s="20" t="s">
        <v>567</v>
      </c>
      <c r="K65" s="18" t="n">
        <v>4.13403571</v>
      </c>
      <c r="L65" s="20" t="n">
        <v>0.73472094</v>
      </c>
      <c r="M65" s="18" t="n">
        <v>0</v>
      </c>
      <c r="N65" s="20" t="n">
        <v>0</v>
      </c>
      <c r="O65" s="18" t="n">
        <v>0</v>
      </c>
      <c r="P65" s="20" t="n">
        <v>0</v>
      </c>
      <c r="Q65" s="18" t="n">
        <v>4.80512696</v>
      </c>
      <c r="R65" s="20" t="n">
        <v>0.73714949</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(1595.0/B69*100)</f>
        <v/>
      </c>
      <c r="D69" s="19" t="n">
        <v>815</v>
      </c>
      <c r="E69" s="18" t="n">
        <v>48.1589619</v>
      </c>
      <c r="F69" s="20" t="n">
        <v>1.88153153</v>
      </c>
      <c r="G69" s="18" t="n">
        <v>51.8410381</v>
      </c>
      <c r="H69" s="20" t="n">
        <v>1.88153153</v>
      </c>
      <c r="I69" s="18" t="s">
        <v>567</v>
      </c>
      <c r="J69" s="20" t="s">
        <v>567</v>
      </c>
      <c r="K69" s="18" t="n">
        <v>0</v>
      </c>
      <c r="L69" s="20" t="n">
        <v>0</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58.14192609</v>
      </c>
      <c r="F74" s="20" t="n">
        <v>1.96589338</v>
      </c>
      <c r="G74" s="18" t="n">
        <v>33.240897</v>
      </c>
      <c r="H74" s="20" t="n">
        <v>1.8062668</v>
      </c>
      <c r="I74" s="18" t="s">
        <v>567</v>
      </c>
      <c r="J74" s="20" t="s">
        <v>567</v>
      </c>
      <c r="K74" s="18" t="n">
        <v>5.24946996</v>
      </c>
      <c r="L74" s="20" t="n">
        <v>0.84112502</v>
      </c>
      <c r="M74" s="18" t="n">
        <v>0</v>
      </c>
      <c r="N74" s="20" t="n">
        <v>0</v>
      </c>
      <c r="O74" s="18" t="n">
        <v>0</v>
      </c>
      <c r="P74" s="20" t="n">
        <v>0</v>
      </c>
      <c r="Q74" s="18" t="n">
        <v>3.36770695</v>
      </c>
      <c r="R74" s="20" t="n">
        <v>0.6726847</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(1874.0/B78*100)</f>
        <v/>
      </c>
      <c r="D78" s="19" t="n">
        <v>912</v>
      </c>
      <c r="E78" s="18" t="n">
        <v>46.67136357</v>
      </c>
      <c r="F78" s="20" t="n">
        <v>2.40066496</v>
      </c>
      <c r="G78" s="18" t="n">
        <v>52.53274837</v>
      </c>
      <c r="H78" s="20" t="n">
        <v>2.38126841</v>
      </c>
      <c r="I78" s="18" t="s">
        <v>567</v>
      </c>
      <c r="J78" s="20" t="s">
        <v>567</v>
      </c>
      <c r="K78" s="18" t="n">
        <v>0</v>
      </c>
      <c r="L78" s="20" t="n">
        <v>0</v>
      </c>
      <c r="M78" s="18" t="n">
        <v>0</v>
      </c>
      <c r="N78" s="20" t="n">
        <v>0</v>
      </c>
      <c r="O78" s="18" t="n">
        <v>0</v>
      </c>
      <c r="P78" s="20" t="n">
        <v>0</v>
      </c>
      <c r="Q78" s="18" t="n">
        <v>0.79588806</v>
      </c>
      <c r="R78" s="20" t="n">
        <v>0.35543802</v>
      </c>
    </row>
    <row customHeight="1" ht="25" r="79" spans="1:18">
      <c r="A79" s="15" t="s">
        <v>639</v>
      </c>
      <c r="B79" s="17" t="n">
        <v>787</v>
      </c>
      <c r="C79" s="18">
        <f>(508.0/B79*100)</f>
        <v/>
      </c>
      <c r="D79" s="19" t="n">
        <v>279</v>
      </c>
      <c r="E79" s="18" t="n">
        <v>24.4389362</v>
      </c>
      <c r="F79" s="20" t="n">
        <v>2.67329684</v>
      </c>
      <c r="G79" s="18" t="n">
        <v>71.256794</v>
      </c>
      <c r="H79" s="20" t="n">
        <v>3.16597352</v>
      </c>
      <c r="I79" s="18" t="s">
        <v>567</v>
      </c>
      <c r="J79" s="20" t="s">
        <v>567</v>
      </c>
      <c r="K79" s="18" t="n">
        <v>3.49020719</v>
      </c>
      <c r="L79" s="20" t="n">
        <v>0.94774419</v>
      </c>
      <c r="M79" s="18" t="n">
        <v>0</v>
      </c>
      <c r="N79" s="20" t="n">
        <v>0</v>
      </c>
      <c r="O79" s="18" t="n">
        <v>0</v>
      </c>
      <c r="P79" s="20" t="n">
        <v>0</v>
      </c>
      <c r="Q79" s="18" t="n">
        <v>0.81406261</v>
      </c>
      <c r="R79" s="20" t="n">
        <v>0.50931941</v>
      </c>
    </row>
    <row r="80" spans="1:18">
      <c r="A80" s="15" t="s">
        <v>640</v>
      </c>
      <c r="B80" s="17" t="n">
        <v>3798</v>
      </c>
      <c r="C80" s="18">
        <f>(3798.0/B80*100)</f>
        <v/>
      </c>
      <c r="D80" s="19" t="n">
        <v>0</v>
      </c>
      <c r="E80" s="18" t="s">
        <v>567</v>
      </c>
      <c r="F80" s="20" t="s">
        <v>567</v>
      </c>
      <c r="G80" s="18" t="s">
        <v>567</v>
      </c>
      <c r="H80" s="20" t="s">
        <v>567</v>
      </c>
      <c r="I80" s="18" t="s">
        <v>567</v>
      </c>
      <c r="J80" s="20" t="s">
        <v>567</v>
      </c>
      <c r="K80" s="18" t="s">
        <v>567</v>
      </c>
      <c r="L80" s="20" t="s">
        <v>567</v>
      </c>
      <c r="M80" s="18" t="s">
        <v>567</v>
      </c>
      <c r="N80" s="20" t="s">
        <v>567</v>
      </c>
      <c r="O80" s="18" t="s">
        <v>567</v>
      </c>
      <c r="P80" s="20" t="s">
        <v>567</v>
      </c>
      <c r="Q80" s="18" t="s">
        <v>567</v>
      </c>
      <c r="R80" s="20" t="s">
        <v>567</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937</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(1691.0/B44*100)</f>
        <v/>
      </c>
      <c r="D44" s="19" t="n">
        <v>833</v>
      </c>
      <c r="E44" s="18" t="n">
        <v>58.6182763</v>
      </c>
      <c r="F44" s="20" t="n">
        <v>2.24946253</v>
      </c>
      <c r="G44" s="18" t="n">
        <v>31.68373035</v>
      </c>
      <c r="H44" s="20" t="n">
        <v>2.17433366</v>
      </c>
      <c r="I44" s="18" t="s">
        <v>567</v>
      </c>
      <c r="J44" s="20" t="s">
        <v>567</v>
      </c>
      <c r="K44" s="18" t="n">
        <v>4.25500711</v>
      </c>
      <c r="L44" s="20" t="n">
        <v>0.83187381</v>
      </c>
      <c r="M44" s="18" t="n">
        <v>0</v>
      </c>
      <c r="N44" s="20" t="n">
        <v>0</v>
      </c>
      <c r="O44" s="18" t="n">
        <v>0</v>
      </c>
      <c r="P44" s="20" t="n">
        <v>0</v>
      </c>
      <c r="Q44" s="18" t="n">
        <v>5.44298624</v>
      </c>
      <c r="R44" s="20" t="n">
        <v>1.12511502</v>
      </c>
    </row>
    <row r="45" spans="1:18">
      <c r="A45" s="15" t="s">
        <v>605</v>
      </c>
      <c r="B45" s="17" t="n">
        <v>2849</v>
      </c>
      <c r="C45" s="18">
        <f>(1901.0/B45*100)</f>
        <v/>
      </c>
      <c r="D45" s="19" t="n">
        <v>948</v>
      </c>
      <c r="E45" s="18" t="n">
        <v>67.12117338</v>
      </c>
      <c r="F45" s="20" t="n">
        <v>1.60493965</v>
      </c>
      <c r="G45" s="18" t="n">
        <v>22.71279176</v>
      </c>
      <c r="H45" s="20" t="n">
        <v>1.49185491</v>
      </c>
      <c r="I45" s="18" t="s">
        <v>567</v>
      </c>
      <c r="J45" s="20" t="s">
        <v>567</v>
      </c>
      <c r="K45" s="18" t="n">
        <v>4.88807554</v>
      </c>
      <c r="L45" s="20" t="n">
        <v>0.81115931</v>
      </c>
      <c r="M45" s="18" t="n">
        <v>1.10866341</v>
      </c>
      <c r="N45" s="20" t="n">
        <v>0.36762858</v>
      </c>
      <c r="O45" s="18" t="n">
        <v>0.37304779</v>
      </c>
      <c r="P45" s="20" t="n">
        <v>0.19776383</v>
      </c>
      <c r="Q45" s="18" t="n">
        <v>3.79624812</v>
      </c>
      <c r="R45" s="20" t="n">
        <v>0.65519732</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(2017.0/B49*100)</f>
        <v/>
      </c>
      <c r="D49" s="19" t="n">
        <v>1001</v>
      </c>
      <c r="E49" s="18" t="n">
        <v>57.57524574</v>
      </c>
      <c r="F49" s="20" t="n">
        <v>1.95364365</v>
      </c>
      <c r="G49" s="18" t="n">
        <v>37.03777463</v>
      </c>
      <c r="H49" s="20" t="n">
        <v>1.9315882</v>
      </c>
      <c r="I49" s="18" t="s">
        <v>567</v>
      </c>
      <c r="J49" s="20" t="s">
        <v>567</v>
      </c>
      <c r="K49" s="18" t="n">
        <v>2.80268086</v>
      </c>
      <c r="L49" s="20" t="n">
        <v>0.63217578</v>
      </c>
      <c r="M49" s="18" t="n">
        <v>0.6681024</v>
      </c>
      <c r="N49" s="20" t="n">
        <v>0.20421238</v>
      </c>
      <c r="O49" s="18" t="n">
        <v>0.24042737</v>
      </c>
      <c r="P49" s="20" t="n">
        <v>0.17053112</v>
      </c>
      <c r="Q49" s="18" t="n">
        <v>1.675769</v>
      </c>
      <c r="R49" s="20" t="n">
        <v>0.41643574</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(1836.0/B55*100)</f>
        <v/>
      </c>
      <c r="D55" s="19" t="n">
        <v>923</v>
      </c>
      <c r="E55" s="18" t="n">
        <v>66.19034154000001</v>
      </c>
      <c r="F55" s="20" t="n">
        <v>1.72671081</v>
      </c>
      <c r="G55" s="18" t="n">
        <v>29.10589026</v>
      </c>
      <c r="H55" s="20" t="n">
        <v>1.57662844</v>
      </c>
      <c r="I55" s="18" t="s">
        <v>567</v>
      </c>
      <c r="J55" s="20" t="s">
        <v>567</v>
      </c>
      <c r="K55" s="18" t="n">
        <v>1.78014043</v>
      </c>
      <c r="L55" s="20" t="n">
        <v>0.51632168</v>
      </c>
      <c r="M55" s="18" t="n">
        <v>0</v>
      </c>
      <c r="N55" s="20" t="n">
        <v>0</v>
      </c>
      <c r="O55" s="18" t="n">
        <v>0.19744003</v>
      </c>
      <c r="P55" s="20" t="n">
        <v>0.12085137</v>
      </c>
      <c r="Q55" s="18" t="n">
        <v>2.72618775</v>
      </c>
      <c r="R55" s="20" t="n">
        <v>0.59403097</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(2091.0/B57*100)</f>
        <v/>
      </c>
      <c r="D57" s="19" t="n">
        <v>1079</v>
      </c>
      <c r="E57" s="18" t="n">
        <v>70.07384302</v>
      </c>
      <c r="F57" s="20" t="n">
        <v>1.57627093</v>
      </c>
      <c r="G57" s="18" t="n">
        <v>27.36870048</v>
      </c>
      <c r="H57" s="20" t="n">
        <v>1.4875922</v>
      </c>
      <c r="I57" s="18" t="s">
        <v>567</v>
      </c>
      <c r="J57" s="20" t="s">
        <v>567</v>
      </c>
      <c r="K57" s="18" t="n">
        <v>1.62501062</v>
      </c>
      <c r="L57" s="20" t="n">
        <v>0.5218013</v>
      </c>
      <c r="M57" s="18" t="n">
        <v>0.08343476</v>
      </c>
      <c r="N57" s="20" t="n">
        <v>0.08355990000000001</v>
      </c>
      <c r="O57" s="18" t="n">
        <v>0</v>
      </c>
      <c r="P57" s="20" t="n">
        <v>0</v>
      </c>
      <c r="Q57" s="18" t="n">
        <v>0.84901112</v>
      </c>
      <c r="R57" s="20" t="n">
        <v>0.30307124</v>
      </c>
    </row>
    <row r="58" spans="1:18">
      <c r="A58" s="15" t="s">
        <v>618</v>
      </c>
      <c r="B58" s="17" t="n">
        <v>3530</v>
      </c>
      <c r="C58" s="18">
        <f>(2350.0/B58*100)</f>
        <v/>
      </c>
      <c r="D58" s="19" t="n">
        <v>1180</v>
      </c>
      <c r="E58" s="18" t="n">
        <v>70.43503238</v>
      </c>
      <c r="F58" s="20" t="n">
        <v>1.50431129</v>
      </c>
      <c r="G58" s="18" t="n">
        <v>20.91171865</v>
      </c>
      <c r="H58" s="20" t="n">
        <v>1.40945143</v>
      </c>
      <c r="I58" s="18" t="s">
        <v>567</v>
      </c>
      <c r="J58" s="20" t="s">
        <v>567</v>
      </c>
      <c r="K58" s="18" t="n">
        <v>2.26994324</v>
      </c>
      <c r="L58" s="20" t="n">
        <v>0.57109553</v>
      </c>
      <c r="M58" s="18" t="n">
        <v>0</v>
      </c>
      <c r="N58" s="20" t="n">
        <v>0</v>
      </c>
      <c r="O58" s="18" t="n">
        <v>0.57389105</v>
      </c>
      <c r="P58" s="20" t="n">
        <v>0.26825614</v>
      </c>
      <c r="Q58" s="18" t="n">
        <v>5.80941468</v>
      </c>
      <c r="R58" s="20" t="n">
        <v>0.7609988</v>
      </c>
    </row>
    <row r="59" spans="1:18">
      <c r="A59" s="15" t="s">
        <v>619</v>
      </c>
      <c r="B59" s="17" t="n">
        <v>2548</v>
      </c>
      <c r="C59" s="18">
        <f>(1680.0/B59*100)</f>
        <v/>
      </c>
      <c r="D59" s="19" t="n">
        <v>868</v>
      </c>
      <c r="E59" s="18" t="n">
        <v>72.10845603999999</v>
      </c>
      <c r="F59" s="20" t="n">
        <v>1.88433208</v>
      </c>
      <c r="G59" s="18" t="n">
        <v>25.6634486</v>
      </c>
      <c r="H59" s="20" t="n">
        <v>1.81398956</v>
      </c>
      <c r="I59" s="18" t="s">
        <v>567</v>
      </c>
      <c r="J59" s="20" t="s">
        <v>567</v>
      </c>
      <c r="K59" s="18" t="n">
        <v>0.58760733</v>
      </c>
      <c r="L59" s="20" t="n">
        <v>0.39024723</v>
      </c>
      <c r="M59" s="18" t="n">
        <v>0.06559986</v>
      </c>
      <c r="N59" s="20" t="n">
        <v>0.06569606</v>
      </c>
      <c r="O59" s="18" t="n">
        <v>0.14465425</v>
      </c>
      <c r="P59" s="20" t="n">
        <v>0.14469496</v>
      </c>
      <c r="Q59" s="18" t="n">
        <v>1.43023392</v>
      </c>
      <c r="R59" s="20" t="n">
        <v>0.55590135</v>
      </c>
    </row>
    <row r="60" spans="1:18">
      <c r="A60" s="15" t="s">
        <v>620</v>
      </c>
      <c r="B60" s="17" t="n">
        <v>2095</v>
      </c>
      <c r="C60" s="18">
        <f>(1368.0/B60*100)</f>
        <v/>
      </c>
      <c r="D60" s="19" t="n">
        <v>727</v>
      </c>
      <c r="E60" s="18" t="n">
        <v>68.01576921</v>
      </c>
      <c r="F60" s="20" t="n">
        <v>2.04029461</v>
      </c>
      <c r="G60" s="18" t="n">
        <v>24.57906126</v>
      </c>
      <c r="H60" s="20" t="n">
        <v>1.76825789</v>
      </c>
      <c r="I60" s="18" t="s">
        <v>567</v>
      </c>
      <c r="J60" s="20" t="s">
        <v>567</v>
      </c>
      <c r="K60" s="18" t="n">
        <v>4.19337982</v>
      </c>
      <c r="L60" s="20" t="n">
        <v>0.87917523</v>
      </c>
      <c r="M60" s="18" t="n">
        <v>0</v>
      </c>
      <c r="N60" s="20" t="n">
        <v>0</v>
      </c>
      <c r="O60" s="18" t="n">
        <v>0.57822152</v>
      </c>
      <c r="P60" s="20" t="n">
        <v>0.33887234</v>
      </c>
      <c r="Q60" s="18" t="n">
        <v>2.63356819</v>
      </c>
      <c r="R60" s="20" t="n">
        <v>0.59392712</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(1885.0/B63*100)</f>
        <v/>
      </c>
      <c r="D63" s="19" t="n">
        <v>928</v>
      </c>
      <c r="E63" s="18" t="n">
        <v>61.70312888</v>
      </c>
      <c r="F63" s="20" t="n">
        <v>1.8236798</v>
      </c>
      <c r="G63" s="18" t="n">
        <v>30.06563977</v>
      </c>
      <c r="H63" s="20" t="n">
        <v>1.56599178</v>
      </c>
      <c r="I63" s="18" t="s">
        <v>567</v>
      </c>
      <c r="J63" s="20" t="s">
        <v>567</v>
      </c>
      <c r="K63" s="18" t="n">
        <v>2.84108887</v>
      </c>
      <c r="L63" s="20" t="n">
        <v>0.57695332</v>
      </c>
      <c r="M63" s="18" t="n">
        <v>0</v>
      </c>
      <c r="N63" s="20" t="n">
        <v>0</v>
      </c>
      <c r="O63" s="18" t="n">
        <v>0.26759838</v>
      </c>
      <c r="P63" s="20" t="n">
        <v>0.15394984</v>
      </c>
      <c r="Q63" s="18" t="n">
        <v>5.12254409</v>
      </c>
      <c r="R63" s="20" t="n">
        <v>0.76044342</v>
      </c>
    </row>
    <row r="64" spans="1:18">
      <c r="A64" s="15" t="s">
        <v>624</v>
      </c>
      <c r="B64" s="17" t="n">
        <v>1844</v>
      </c>
      <c r="C64" s="18">
        <f>(1231.0/B64*100)</f>
        <v/>
      </c>
      <c r="D64" s="19" t="n">
        <v>613</v>
      </c>
      <c r="E64" s="18" t="n">
        <v>55.6022833</v>
      </c>
      <c r="F64" s="20" t="n">
        <v>2.05323128</v>
      </c>
      <c r="G64" s="18" t="n">
        <v>38.32407818</v>
      </c>
      <c r="H64" s="20" t="n">
        <v>1.98097855</v>
      </c>
      <c r="I64" s="18" t="s">
        <v>567</v>
      </c>
      <c r="J64" s="20" t="s">
        <v>567</v>
      </c>
      <c r="K64" s="18" t="n">
        <v>3.50429007</v>
      </c>
      <c r="L64" s="20" t="n">
        <v>0.75748934</v>
      </c>
      <c r="M64" s="18" t="n">
        <v>0</v>
      </c>
      <c r="N64" s="20" t="n">
        <v>0</v>
      </c>
      <c r="O64" s="18" t="n">
        <v>0.17839268</v>
      </c>
      <c r="P64" s="20" t="n">
        <v>0.17889532</v>
      </c>
      <c r="Q64" s="18" t="n">
        <v>2.39095577</v>
      </c>
      <c r="R64" s="20" t="n">
        <v>0.63631919</v>
      </c>
    </row>
    <row r="65" spans="1:18">
      <c r="A65" s="15" t="s">
        <v>625</v>
      </c>
      <c r="B65" s="17" t="n">
        <v>2691</v>
      </c>
      <c r="C65" s="18">
        <f>(1796.0/B65*100)</f>
        <v/>
      </c>
      <c r="D65" s="19" t="n">
        <v>895</v>
      </c>
      <c r="E65" s="18" t="n">
        <v>59.13684669</v>
      </c>
      <c r="F65" s="20" t="n">
        <v>2.00671469</v>
      </c>
      <c r="G65" s="18" t="n">
        <v>32.54129293</v>
      </c>
      <c r="H65" s="20" t="n">
        <v>2.083582</v>
      </c>
      <c r="I65" s="18" t="s">
        <v>567</v>
      </c>
      <c r="J65" s="20" t="s">
        <v>567</v>
      </c>
      <c r="K65" s="18" t="n">
        <v>5.18357822</v>
      </c>
      <c r="L65" s="20" t="n">
        <v>0.80259087</v>
      </c>
      <c r="M65" s="18" t="n">
        <v>0.17070169</v>
      </c>
      <c r="N65" s="20" t="n">
        <v>0.11440819</v>
      </c>
      <c r="O65" s="18" t="n">
        <v>0</v>
      </c>
      <c r="P65" s="20" t="n">
        <v>0</v>
      </c>
      <c r="Q65" s="18" t="n">
        <v>2.96758046</v>
      </c>
      <c r="R65" s="20" t="n">
        <v>0.62663468</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(1595.0/B69*100)</f>
        <v/>
      </c>
      <c r="D69" s="19" t="n">
        <v>815</v>
      </c>
      <c r="E69" s="18" t="n">
        <v>69.12823179</v>
      </c>
      <c r="F69" s="20" t="n">
        <v>1.75999848</v>
      </c>
      <c r="G69" s="18" t="n">
        <v>30.3976821</v>
      </c>
      <c r="H69" s="20" t="n">
        <v>1.71805825</v>
      </c>
      <c r="I69" s="18" t="s">
        <v>567</v>
      </c>
      <c r="J69" s="20" t="s">
        <v>567</v>
      </c>
      <c r="K69" s="18" t="n">
        <v>0</v>
      </c>
      <c r="L69" s="20" t="n">
        <v>0</v>
      </c>
      <c r="M69" s="18" t="n">
        <v>0</v>
      </c>
      <c r="N69" s="20" t="n">
        <v>0</v>
      </c>
      <c r="O69" s="18" t="n">
        <v>0</v>
      </c>
      <c r="P69" s="20" t="n">
        <v>0</v>
      </c>
      <c r="Q69" s="18" t="n">
        <v>0.4740861</v>
      </c>
      <c r="R69" s="20" t="n">
        <v>0.23574997</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66.42787222</v>
      </c>
      <c r="F74" s="20" t="n">
        <v>2.06491322</v>
      </c>
      <c r="G74" s="18" t="n">
        <v>24.96680885</v>
      </c>
      <c r="H74" s="20" t="n">
        <v>1.83545323</v>
      </c>
      <c r="I74" s="18" t="s">
        <v>567</v>
      </c>
      <c r="J74" s="20" t="s">
        <v>567</v>
      </c>
      <c r="K74" s="18" t="n">
        <v>6.68157077</v>
      </c>
      <c r="L74" s="20" t="n">
        <v>0.98952847</v>
      </c>
      <c r="M74" s="18" t="n">
        <v>0</v>
      </c>
      <c r="N74" s="20" t="n">
        <v>0</v>
      </c>
      <c r="O74" s="18" t="n">
        <v>0</v>
      </c>
      <c r="P74" s="20" t="n">
        <v>0</v>
      </c>
      <c r="Q74" s="18" t="n">
        <v>1.92374817</v>
      </c>
      <c r="R74" s="20" t="n">
        <v>0.41096128</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(1874.0/B78*100)</f>
        <v/>
      </c>
      <c r="D78" s="19" t="n">
        <v>912</v>
      </c>
      <c r="E78" s="18" t="n">
        <v>29.12762349</v>
      </c>
      <c r="F78" s="20" t="n">
        <v>1.85597924</v>
      </c>
      <c r="G78" s="18" t="n">
        <v>70.87237651</v>
      </c>
      <c r="H78" s="20" t="n">
        <v>1.85597924</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(508.0/B79*100)</f>
        <v/>
      </c>
      <c r="D79" s="19" t="n">
        <v>279</v>
      </c>
      <c r="E79" s="18" t="n">
        <v>50.52471216</v>
      </c>
      <c r="F79" s="20" t="n">
        <v>3.42985486</v>
      </c>
      <c r="G79" s="18" t="n">
        <v>42.26278545</v>
      </c>
      <c r="H79" s="20" t="n">
        <v>3.61619238</v>
      </c>
      <c r="I79" s="18" t="s">
        <v>567</v>
      </c>
      <c r="J79" s="20" t="s">
        <v>567</v>
      </c>
      <c r="K79" s="18" t="n">
        <v>4.71021321</v>
      </c>
      <c r="L79" s="20" t="n">
        <v>1.36282307</v>
      </c>
      <c r="M79" s="18" t="n">
        <v>0.41504303</v>
      </c>
      <c r="N79" s="20" t="n">
        <v>0.3813191</v>
      </c>
      <c r="O79" s="18" t="n">
        <v>0</v>
      </c>
      <c r="P79" s="20" t="n">
        <v>0</v>
      </c>
      <c r="Q79" s="18" t="n">
        <v>2.08724614</v>
      </c>
      <c r="R79" s="20" t="n">
        <v>0.68890274</v>
      </c>
    </row>
    <row r="80" spans="1:18">
      <c r="A80" s="15" t="s">
        <v>640</v>
      </c>
      <c r="B80" s="17" t="n">
        <v>3798</v>
      </c>
      <c r="C80" s="18">
        <f>(2513.0/B80*100)</f>
        <v/>
      </c>
      <c r="D80" s="19" t="n">
        <v>1285</v>
      </c>
      <c r="E80" s="18" t="n">
        <v>51.08520885</v>
      </c>
      <c r="F80" s="20" t="n">
        <v>2.17051914</v>
      </c>
      <c r="G80" s="18" t="n">
        <v>48.36973015</v>
      </c>
      <c r="H80" s="20" t="n">
        <v>2.17308754</v>
      </c>
      <c r="I80" s="18" t="s">
        <v>567</v>
      </c>
      <c r="J80" s="20" t="s">
        <v>567</v>
      </c>
      <c r="K80" s="18" t="n">
        <v>0.35071406</v>
      </c>
      <c r="L80" s="20" t="n">
        <v>0.15118809</v>
      </c>
      <c r="M80" s="18" t="n">
        <v>0</v>
      </c>
      <c r="N80" s="20" t="n">
        <v>0</v>
      </c>
      <c r="O80" s="18" t="n">
        <v>0</v>
      </c>
      <c r="P80" s="20" t="n">
        <v>0</v>
      </c>
      <c r="Q80" s="18" t="n">
        <v>0.19434694</v>
      </c>
      <c r="R80" s="20" t="n">
        <v>0.13851829</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938</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(1691.0/B44*100)</f>
        <v/>
      </c>
      <c r="D44" s="19" t="n">
        <v>833</v>
      </c>
      <c r="E44" s="18" t="n">
        <v>33.6110863</v>
      </c>
      <c r="F44" s="20" t="n">
        <v>1.82523704</v>
      </c>
      <c r="G44" s="18" t="n">
        <v>57.32795272</v>
      </c>
      <c r="H44" s="20" t="n">
        <v>1.89389675</v>
      </c>
      <c r="I44" s="18" t="s">
        <v>567</v>
      </c>
      <c r="J44" s="20" t="s">
        <v>567</v>
      </c>
      <c r="K44" s="18" t="n">
        <v>4.50808397</v>
      </c>
      <c r="L44" s="20" t="n">
        <v>0.82545271</v>
      </c>
      <c r="M44" s="18" t="n">
        <v>0</v>
      </c>
      <c r="N44" s="20" t="n">
        <v>0</v>
      </c>
      <c r="O44" s="18" t="n">
        <v>0</v>
      </c>
      <c r="P44" s="20" t="n">
        <v>0</v>
      </c>
      <c r="Q44" s="18" t="n">
        <v>4.55287701</v>
      </c>
      <c r="R44" s="20" t="n">
        <v>0.88705718</v>
      </c>
    </row>
    <row r="45" spans="1:18">
      <c r="A45" s="15" t="s">
        <v>605</v>
      </c>
      <c r="B45" s="17" t="n">
        <v>2849</v>
      </c>
      <c r="C45" s="18">
        <f>(1901.0/B45*100)</f>
        <v/>
      </c>
      <c r="D45" s="19" t="n">
        <v>948</v>
      </c>
      <c r="E45" s="18" t="n">
        <v>44.73339907</v>
      </c>
      <c r="F45" s="20" t="n">
        <v>2.07120542</v>
      </c>
      <c r="G45" s="18" t="n">
        <v>44.59059392</v>
      </c>
      <c r="H45" s="20" t="n">
        <v>1.79990806</v>
      </c>
      <c r="I45" s="18" t="s">
        <v>567</v>
      </c>
      <c r="J45" s="20" t="s">
        <v>567</v>
      </c>
      <c r="K45" s="18" t="n">
        <v>4.98011609</v>
      </c>
      <c r="L45" s="20" t="n">
        <v>0.81012289</v>
      </c>
      <c r="M45" s="18" t="n">
        <v>1.25410578</v>
      </c>
      <c r="N45" s="20" t="n">
        <v>0.38656902</v>
      </c>
      <c r="O45" s="18" t="n">
        <v>1.59826746</v>
      </c>
      <c r="P45" s="20" t="n">
        <v>0.36784471</v>
      </c>
      <c r="Q45" s="18" t="n">
        <v>2.84351768</v>
      </c>
      <c r="R45" s="20" t="n">
        <v>0.57000038</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(2017.0/B49*100)</f>
        <v/>
      </c>
      <c r="D49" s="19" t="n">
        <v>1001</v>
      </c>
      <c r="E49" s="18" t="n">
        <v>32.77013358</v>
      </c>
      <c r="F49" s="20" t="n">
        <v>1.78110398</v>
      </c>
      <c r="G49" s="18" t="n">
        <v>61.91966714</v>
      </c>
      <c r="H49" s="20" t="n">
        <v>1.96244587</v>
      </c>
      <c r="I49" s="18" t="s">
        <v>567</v>
      </c>
      <c r="J49" s="20" t="s">
        <v>567</v>
      </c>
      <c r="K49" s="18" t="n">
        <v>2.80268086</v>
      </c>
      <c r="L49" s="20" t="n">
        <v>0.63217578</v>
      </c>
      <c r="M49" s="18" t="n">
        <v>0.6681024</v>
      </c>
      <c r="N49" s="20" t="n">
        <v>0.20421238</v>
      </c>
      <c r="O49" s="18" t="n">
        <v>0</v>
      </c>
      <c r="P49" s="20" t="n">
        <v>0</v>
      </c>
      <c r="Q49" s="18" t="n">
        <v>1.83941603</v>
      </c>
      <c r="R49" s="20" t="n">
        <v>0.5285313</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(1836.0/B55*100)</f>
        <v/>
      </c>
      <c r="D55" s="19" t="n">
        <v>923</v>
      </c>
      <c r="E55" s="18" t="n">
        <v>40.6017867</v>
      </c>
      <c r="F55" s="20" t="n">
        <v>1.9394315</v>
      </c>
      <c r="G55" s="18" t="n">
        <v>55.23436448</v>
      </c>
      <c r="H55" s="20" t="n">
        <v>2.00662017</v>
      </c>
      <c r="I55" s="18" t="s">
        <v>567</v>
      </c>
      <c r="J55" s="20" t="s">
        <v>567</v>
      </c>
      <c r="K55" s="18" t="n">
        <v>1.97069648</v>
      </c>
      <c r="L55" s="20" t="n">
        <v>0.53536678</v>
      </c>
      <c r="M55" s="18" t="n">
        <v>0</v>
      </c>
      <c r="N55" s="20" t="n">
        <v>0</v>
      </c>
      <c r="O55" s="18" t="n">
        <v>0.106153</v>
      </c>
      <c r="P55" s="20" t="n">
        <v>0.10276582</v>
      </c>
      <c r="Q55" s="18" t="n">
        <v>2.08699933</v>
      </c>
      <c r="R55" s="20" t="n">
        <v>0.51706514</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(2091.0/B57*100)</f>
        <v/>
      </c>
      <c r="D57" s="19" t="n">
        <v>1079</v>
      </c>
      <c r="E57" s="18" t="n">
        <v>26.97276354</v>
      </c>
      <c r="F57" s="20" t="n">
        <v>1.57376492</v>
      </c>
      <c r="G57" s="18" t="n">
        <v>70.11148992</v>
      </c>
      <c r="H57" s="20" t="n">
        <v>1.74599323</v>
      </c>
      <c r="I57" s="18" t="s">
        <v>567</v>
      </c>
      <c r="J57" s="20" t="s">
        <v>567</v>
      </c>
      <c r="K57" s="18" t="n">
        <v>1.69141565</v>
      </c>
      <c r="L57" s="20" t="n">
        <v>0.5268393</v>
      </c>
      <c r="M57" s="18" t="n">
        <v>0.08343476</v>
      </c>
      <c r="N57" s="20" t="n">
        <v>0.08355990000000001</v>
      </c>
      <c r="O57" s="18" t="n">
        <v>0</v>
      </c>
      <c r="P57" s="20" t="n">
        <v>0</v>
      </c>
      <c r="Q57" s="18" t="n">
        <v>1.14089613</v>
      </c>
      <c r="R57" s="20" t="n">
        <v>0.35721224</v>
      </c>
    </row>
    <row r="58" spans="1:18">
      <c r="A58" s="15" t="s">
        <v>618</v>
      </c>
      <c r="B58" s="17" t="n">
        <v>3530</v>
      </c>
      <c r="C58" s="18">
        <f>(2350.0/B58*100)</f>
        <v/>
      </c>
      <c r="D58" s="19" t="n">
        <v>1180</v>
      </c>
      <c r="E58" s="18" t="n">
        <v>38.33695516</v>
      </c>
      <c r="F58" s="20" t="n">
        <v>1.52879161</v>
      </c>
      <c r="G58" s="18" t="n">
        <v>55.33225963</v>
      </c>
      <c r="H58" s="20" t="n">
        <v>1.87021168</v>
      </c>
      <c r="I58" s="18" t="s">
        <v>567</v>
      </c>
      <c r="J58" s="20" t="s">
        <v>567</v>
      </c>
      <c r="K58" s="18" t="n">
        <v>2.26994324</v>
      </c>
      <c r="L58" s="20" t="n">
        <v>0.57109553</v>
      </c>
      <c r="M58" s="18" t="n">
        <v>0</v>
      </c>
      <c r="N58" s="20" t="n">
        <v>0</v>
      </c>
      <c r="O58" s="18" t="n">
        <v>0.34113303</v>
      </c>
      <c r="P58" s="20" t="n">
        <v>0.19948427</v>
      </c>
      <c r="Q58" s="18" t="n">
        <v>3.71970893</v>
      </c>
      <c r="R58" s="20" t="n">
        <v>0.61125211</v>
      </c>
    </row>
    <row r="59" spans="1:18">
      <c r="A59" s="15" t="s">
        <v>619</v>
      </c>
      <c r="B59" s="17" t="n">
        <v>2548</v>
      </c>
      <c r="C59" s="18">
        <f>(1680.0/B59*100)</f>
        <v/>
      </c>
      <c r="D59" s="19" t="n">
        <v>868</v>
      </c>
      <c r="E59" s="18" t="n">
        <v>36.6573762</v>
      </c>
      <c r="F59" s="20" t="n">
        <v>1.90406988</v>
      </c>
      <c r="G59" s="18" t="n">
        <v>61.33913433</v>
      </c>
      <c r="H59" s="20" t="n">
        <v>1.99938248</v>
      </c>
      <c r="I59" s="18" t="s">
        <v>567</v>
      </c>
      <c r="J59" s="20" t="s">
        <v>567</v>
      </c>
      <c r="K59" s="18" t="n">
        <v>0.66017359</v>
      </c>
      <c r="L59" s="20" t="n">
        <v>0.39713539</v>
      </c>
      <c r="M59" s="18" t="n">
        <v>0</v>
      </c>
      <c r="N59" s="20" t="n">
        <v>0</v>
      </c>
      <c r="O59" s="18" t="n">
        <v>0.43990037</v>
      </c>
      <c r="P59" s="20" t="n">
        <v>0.26570688</v>
      </c>
      <c r="Q59" s="18" t="n">
        <v>0.90341551</v>
      </c>
      <c r="R59" s="20" t="n">
        <v>0.36268698</v>
      </c>
    </row>
    <row r="60" spans="1:18">
      <c r="A60" s="15" t="s">
        <v>620</v>
      </c>
      <c r="B60" s="17" t="n">
        <v>2095</v>
      </c>
      <c r="C60" s="18">
        <f>(1368.0/B60*100)</f>
        <v/>
      </c>
      <c r="D60" s="19" t="n">
        <v>727</v>
      </c>
      <c r="E60" s="18" t="n">
        <v>35.95534828</v>
      </c>
      <c r="F60" s="20" t="n">
        <v>1.94250939</v>
      </c>
      <c r="G60" s="18" t="n">
        <v>56.870944</v>
      </c>
      <c r="H60" s="20" t="n">
        <v>2.13382424</v>
      </c>
      <c r="I60" s="18" t="s">
        <v>567</v>
      </c>
      <c r="J60" s="20" t="s">
        <v>567</v>
      </c>
      <c r="K60" s="18" t="n">
        <v>4.19337982</v>
      </c>
      <c r="L60" s="20" t="n">
        <v>0.87917523</v>
      </c>
      <c r="M60" s="18" t="n">
        <v>0</v>
      </c>
      <c r="N60" s="20" t="n">
        <v>0</v>
      </c>
      <c r="O60" s="18" t="n">
        <v>0.96037489</v>
      </c>
      <c r="P60" s="20" t="n">
        <v>0.44440396</v>
      </c>
      <c r="Q60" s="18" t="n">
        <v>2.01995302</v>
      </c>
      <c r="R60" s="20" t="n">
        <v>0.5606412200000001</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(1885.0/B63*100)</f>
        <v/>
      </c>
      <c r="D63" s="19" t="n">
        <v>928</v>
      </c>
      <c r="E63" s="18" t="n">
        <v>42.02206818</v>
      </c>
      <c r="F63" s="20" t="n">
        <v>1.76656739</v>
      </c>
      <c r="G63" s="18" t="n">
        <v>50.86575787</v>
      </c>
      <c r="H63" s="20" t="n">
        <v>1.87778682</v>
      </c>
      <c r="I63" s="18" t="s">
        <v>567</v>
      </c>
      <c r="J63" s="20" t="s">
        <v>567</v>
      </c>
      <c r="K63" s="18" t="n">
        <v>3.1570957</v>
      </c>
      <c r="L63" s="20" t="n">
        <v>0.60499028</v>
      </c>
      <c r="M63" s="18" t="n">
        <v>0</v>
      </c>
      <c r="N63" s="20" t="n">
        <v>0</v>
      </c>
      <c r="O63" s="18" t="n">
        <v>0</v>
      </c>
      <c r="P63" s="20" t="n">
        <v>0</v>
      </c>
      <c r="Q63" s="18" t="n">
        <v>3.95507826</v>
      </c>
      <c r="R63" s="20" t="n">
        <v>0.70885736</v>
      </c>
    </row>
    <row r="64" spans="1:18">
      <c r="A64" s="15" t="s">
        <v>624</v>
      </c>
      <c r="B64" s="17" t="n">
        <v>1844</v>
      </c>
      <c r="C64" s="18">
        <f>(1231.0/B64*100)</f>
        <v/>
      </c>
      <c r="D64" s="19" t="n">
        <v>613</v>
      </c>
      <c r="E64" s="18" t="n">
        <v>46.09232332</v>
      </c>
      <c r="F64" s="20" t="n">
        <v>2.03400555</v>
      </c>
      <c r="G64" s="18" t="n">
        <v>48.65085155</v>
      </c>
      <c r="H64" s="20" t="n">
        <v>1.8628573</v>
      </c>
      <c r="I64" s="18" t="s">
        <v>567</v>
      </c>
      <c r="J64" s="20" t="s">
        <v>567</v>
      </c>
      <c r="K64" s="18" t="n">
        <v>3.50429007</v>
      </c>
      <c r="L64" s="20" t="n">
        <v>0.75748934</v>
      </c>
      <c r="M64" s="18" t="n">
        <v>0</v>
      </c>
      <c r="N64" s="20" t="n">
        <v>0</v>
      </c>
      <c r="O64" s="18" t="n">
        <v>0</v>
      </c>
      <c r="P64" s="20" t="n">
        <v>0</v>
      </c>
      <c r="Q64" s="18" t="n">
        <v>1.75253506</v>
      </c>
      <c r="R64" s="20" t="n">
        <v>0.54012006</v>
      </c>
    </row>
    <row r="65" spans="1:18">
      <c r="A65" s="15" t="s">
        <v>625</v>
      </c>
      <c r="B65" s="17" t="n">
        <v>2691</v>
      </c>
      <c r="C65" s="18">
        <f>(1796.0/B65*100)</f>
        <v/>
      </c>
      <c r="D65" s="19" t="n">
        <v>895</v>
      </c>
      <c r="E65" s="18" t="n">
        <v>28.95195366</v>
      </c>
      <c r="F65" s="20" t="n">
        <v>1.57866952</v>
      </c>
      <c r="G65" s="18" t="n">
        <v>62.30383944</v>
      </c>
      <c r="H65" s="20" t="n">
        <v>1.70908044</v>
      </c>
      <c r="I65" s="18" t="s">
        <v>567</v>
      </c>
      <c r="J65" s="20" t="s">
        <v>567</v>
      </c>
      <c r="K65" s="18" t="n">
        <v>5.80925278</v>
      </c>
      <c r="L65" s="20" t="n">
        <v>0.8021729399999999</v>
      </c>
      <c r="M65" s="18" t="n">
        <v>0.46836845</v>
      </c>
      <c r="N65" s="20" t="n">
        <v>0.24274967</v>
      </c>
      <c r="O65" s="18" t="n">
        <v>0</v>
      </c>
      <c r="P65" s="20" t="n">
        <v>0</v>
      </c>
      <c r="Q65" s="18" t="n">
        <v>2.46658566</v>
      </c>
      <c r="R65" s="20" t="n">
        <v>0.52385853</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(1595.0/B69*100)</f>
        <v/>
      </c>
      <c r="D69" s="19" t="n">
        <v>815</v>
      </c>
      <c r="E69" s="18" t="n">
        <v>39.19319946</v>
      </c>
      <c r="F69" s="20" t="n">
        <v>1.76322012</v>
      </c>
      <c r="G69" s="18" t="n">
        <v>60.68873046</v>
      </c>
      <c r="H69" s="20" t="n">
        <v>1.760804</v>
      </c>
      <c r="I69" s="18" t="s">
        <v>567</v>
      </c>
      <c r="J69" s="20" t="s">
        <v>567</v>
      </c>
      <c r="K69" s="18" t="n">
        <v>0</v>
      </c>
      <c r="L69" s="20" t="n">
        <v>0</v>
      </c>
      <c r="M69" s="18" t="n">
        <v>0</v>
      </c>
      <c r="N69" s="20" t="n">
        <v>0</v>
      </c>
      <c r="O69" s="18" t="n">
        <v>0</v>
      </c>
      <c r="P69" s="20" t="n">
        <v>0</v>
      </c>
      <c r="Q69" s="18" t="n">
        <v>0.11807008</v>
      </c>
      <c r="R69" s="20" t="n">
        <v>0.11769544</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35.63167428</v>
      </c>
      <c r="F74" s="20" t="n">
        <v>2.13914181</v>
      </c>
      <c r="G74" s="18" t="n">
        <v>56.05152955</v>
      </c>
      <c r="H74" s="20" t="n">
        <v>2.10703894</v>
      </c>
      <c r="I74" s="18" t="s">
        <v>567</v>
      </c>
      <c r="J74" s="20" t="s">
        <v>567</v>
      </c>
      <c r="K74" s="18" t="n">
        <v>6.91046316</v>
      </c>
      <c r="L74" s="20" t="n">
        <v>0.98369113</v>
      </c>
      <c r="M74" s="18" t="n">
        <v>0</v>
      </c>
      <c r="N74" s="20" t="n">
        <v>0</v>
      </c>
      <c r="O74" s="18" t="n">
        <v>0</v>
      </c>
      <c r="P74" s="20" t="n">
        <v>0</v>
      </c>
      <c r="Q74" s="18" t="n">
        <v>1.40633301</v>
      </c>
      <c r="R74" s="20" t="n">
        <v>0.41164807</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(1874.0/B78*100)</f>
        <v/>
      </c>
      <c r="D78" s="19" t="n">
        <v>912</v>
      </c>
      <c r="E78" s="18" t="n">
        <v>14.92182958</v>
      </c>
      <c r="F78" s="20" t="n">
        <v>1.22487836</v>
      </c>
      <c r="G78" s="18" t="n">
        <v>85.07817042000001</v>
      </c>
      <c r="H78" s="20" t="n">
        <v>1.22487836</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(508.0/B79*100)</f>
        <v/>
      </c>
      <c r="D79" s="19" t="n">
        <v>279</v>
      </c>
      <c r="E79" s="18" t="n">
        <v>35.92821911</v>
      </c>
      <c r="F79" s="20" t="n">
        <v>3.34851019</v>
      </c>
      <c r="G79" s="18" t="n">
        <v>57.34717815</v>
      </c>
      <c r="H79" s="20" t="n">
        <v>3.32536173</v>
      </c>
      <c r="I79" s="18" t="s">
        <v>567</v>
      </c>
      <c r="J79" s="20" t="s">
        <v>567</v>
      </c>
      <c r="K79" s="18" t="n">
        <v>4.71021321</v>
      </c>
      <c r="L79" s="20" t="n">
        <v>1.36282307</v>
      </c>
      <c r="M79" s="18" t="n">
        <v>0.41504303</v>
      </c>
      <c r="N79" s="20" t="n">
        <v>0.3813191</v>
      </c>
      <c r="O79" s="18" t="n">
        <v>0</v>
      </c>
      <c r="P79" s="20" t="n">
        <v>0</v>
      </c>
      <c r="Q79" s="18" t="n">
        <v>1.5993465</v>
      </c>
      <c r="R79" s="20" t="n">
        <v>0.79349936</v>
      </c>
    </row>
    <row r="80" spans="1:18">
      <c r="A80" s="15" t="s">
        <v>640</v>
      </c>
      <c r="B80" s="17" t="n">
        <v>3798</v>
      </c>
      <c r="C80" s="18">
        <f>(2513.0/B80*100)</f>
        <v/>
      </c>
      <c r="D80" s="19" t="n">
        <v>1285</v>
      </c>
      <c r="E80" s="18" t="n">
        <v>23.64368161</v>
      </c>
      <c r="F80" s="20" t="n">
        <v>1.60263889</v>
      </c>
      <c r="G80" s="18" t="n">
        <v>75.92703901</v>
      </c>
      <c r="H80" s="20" t="n">
        <v>1.63105565</v>
      </c>
      <c r="I80" s="18" t="s">
        <v>567</v>
      </c>
      <c r="J80" s="20" t="s">
        <v>567</v>
      </c>
      <c r="K80" s="18" t="n">
        <v>0.35071406</v>
      </c>
      <c r="L80" s="20" t="n">
        <v>0.15118809</v>
      </c>
      <c r="M80" s="18" t="n">
        <v>0</v>
      </c>
      <c r="N80" s="20" t="n">
        <v>0</v>
      </c>
      <c r="O80" s="18" t="n">
        <v>0</v>
      </c>
      <c r="P80" s="20" t="n">
        <v>0</v>
      </c>
      <c r="Q80" s="18" t="n">
        <v>0.07856531</v>
      </c>
      <c r="R80" s="20" t="n">
        <v>0.11669566</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939</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(1691.0/B44*100)</f>
        <v/>
      </c>
      <c r="D44" s="19" t="n">
        <v>833</v>
      </c>
      <c r="E44" s="18" t="n">
        <v>60.56642952</v>
      </c>
      <c r="F44" s="20" t="n">
        <v>2.10745118</v>
      </c>
      <c r="G44" s="18" t="n">
        <v>30.51214858</v>
      </c>
      <c r="H44" s="20" t="n">
        <v>1.82325084</v>
      </c>
      <c r="I44" s="18" t="s">
        <v>567</v>
      </c>
      <c r="J44" s="20" t="s">
        <v>567</v>
      </c>
      <c r="K44" s="18" t="n">
        <v>6.09698173</v>
      </c>
      <c r="L44" s="20" t="n">
        <v>0.9424703</v>
      </c>
      <c r="M44" s="18" t="n">
        <v>0</v>
      </c>
      <c r="N44" s="20" t="n">
        <v>0</v>
      </c>
      <c r="O44" s="18" t="n">
        <v>0</v>
      </c>
      <c r="P44" s="20" t="n">
        <v>0</v>
      </c>
      <c r="Q44" s="18" t="n">
        <v>2.82444017</v>
      </c>
      <c r="R44" s="20" t="n">
        <v>0.74397773</v>
      </c>
    </row>
    <row r="45" spans="1:18">
      <c r="A45" s="15" t="s">
        <v>605</v>
      </c>
      <c r="B45" s="17" t="n">
        <v>2849</v>
      </c>
      <c r="C45" s="18">
        <f>(1901.0/B45*100)</f>
        <v/>
      </c>
      <c r="D45" s="19" t="n">
        <v>948</v>
      </c>
      <c r="E45" s="18" t="n">
        <v>55.64663374</v>
      </c>
      <c r="F45" s="20" t="n">
        <v>2.02219367</v>
      </c>
      <c r="G45" s="18" t="n">
        <v>37.00376646</v>
      </c>
      <c r="H45" s="20" t="n">
        <v>1.79878064</v>
      </c>
      <c r="I45" s="18" t="s">
        <v>567</v>
      </c>
      <c r="J45" s="20" t="s">
        <v>567</v>
      </c>
      <c r="K45" s="18" t="n">
        <v>5.42263779</v>
      </c>
      <c r="L45" s="20" t="n">
        <v>0.84630089</v>
      </c>
      <c r="M45" s="18" t="n">
        <v>1.02543894</v>
      </c>
      <c r="N45" s="20" t="n">
        <v>0.34590116</v>
      </c>
      <c r="O45" s="18" t="n">
        <v>0.09121269</v>
      </c>
      <c r="P45" s="20" t="n">
        <v>0.09223803999999999</v>
      </c>
      <c r="Q45" s="18" t="n">
        <v>0.81031039</v>
      </c>
      <c r="R45" s="20" t="n">
        <v>0.28492314</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(2017.0/B49*100)</f>
        <v/>
      </c>
      <c r="D49" s="19" t="n">
        <v>1001</v>
      </c>
      <c r="E49" s="18" t="n">
        <v>48.80707828</v>
      </c>
      <c r="F49" s="20" t="n">
        <v>2.11836213</v>
      </c>
      <c r="G49" s="18" t="n">
        <v>45.74223049</v>
      </c>
      <c r="H49" s="20" t="n">
        <v>1.99545806</v>
      </c>
      <c r="I49" s="18" t="s">
        <v>567</v>
      </c>
      <c r="J49" s="20" t="s">
        <v>567</v>
      </c>
      <c r="K49" s="18" t="n">
        <v>3.00596941</v>
      </c>
      <c r="L49" s="20" t="n">
        <v>0.65257643</v>
      </c>
      <c r="M49" s="18" t="n">
        <v>0.6681024</v>
      </c>
      <c r="N49" s="20" t="n">
        <v>0.20421238</v>
      </c>
      <c r="O49" s="18" t="n">
        <v>0.1681119</v>
      </c>
      <c r="P49" s="20" t="n">
        <v>0.13650874</v>
      </c>
      <c r="Q49" s="18" t="n">
        <v>1.60850753</v>
      </c>
      <c r="R49" s="20" t="n">
        <v>0.48413046</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(1836.0/B55*100)</f>
        <v/>
      </c>
      <c r="D55" s="19" t="n">
        <v>923</v>
      </c>
      <c r="E55" s="18" t="n">
        <v>58.56002808</v>
      </c>
      <c r="F55" s="20" t="n">
        <v>1.70716983</v>
      </c>
      <c r="G55" s="18" t="n">
        <v>37.57372164</v>
      </c>
      <c r="H55" s="20" t="n">
        <v>1.6255334</v>
      </c>
      <c r="I55" s="18" t="s">
        <v>567</v>
      </c>
      <c r="J55" s="20" t="s">
        <v>567</v>
      </c>
      <c r="K55" s="18" t="n">
        <v>2.47414996</v>
      </c>
      <c r="L55" s="20" t="n">
        <v>0.57413061</v>
      </c>
      <c r="M55" s="18" t="n">
        <v>0</v>
      </c>
      <c r="N55" s="20" t="n">
        <v>0</v>
      </c>
      <c r="O55" s="18" t="n">
        <v>0.10102744</v>
      </c>
      <c r="P55" s="20" t="n">
        <v>0.10383266</v>
      </c>
      <c r="Q55" s="18" t="n">
        <v>1.29107288</v>
      </c>
      <c r="R55" s="20" t="n">
        <v>0.42858612</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(2091.0/B57*100)</f>
        <v/>
      </c>
      <c r="D57" s="19" t="n">
        <v>1079</v>
      </c>
      <c r="E57" s="18" t="n">
        <v>62.53310785</v>
      </c>
      <c r="F57" s="20" t="n">
        <v>1.72710522</v>
      </c>
      <c r="G57" s="18" t="n">
        <v>34.53725461</v>
      </c>
      <c r="H57" s="20" t="n">
        <v>1.66925377</v>
      </c>
      <c r="I57" s="18" t="s">
        <v>567</v>
      </c>
      <c r="J57" s="20" t="s">
        <v>567</v>
      </c>
      <c r="K57" s="18" t="n">
        <v>1.76599917</v>
      </c>
      <c r="L57" s="20" t="n">
        <v>0.53030845</v>
      </c>
      <c r="M57" s="18" t="n">
        <v>0.08343476</v>
      </c>
      <c r="N57" s="20" t="n">
        <v>0.08355990000000001</v>
      </c>
      <c r="O57" s="18" t="n">
        <v>0</v>
      </c>
      <c r="P57" s="20" t="n">
        <v>0</v>
      </c>
      <c r="Q57" s="18" t="n">
        <v>1.08020361</v>
      </c>
      <c r="R57" s="20" t="n">
        <v>0.3580273</v>
      </c>
    </row>
    <row r="58" spans="1:18">
      <c r="A58" s="15" t="s">
        <v>618</v>
      </c>
      <c r="B58" s="17" t="n">
        <v>3530</v>
      </c>
      <c r="C58" s="18">
        <f>(2350.0/B58*100)</f>
        <v/>
      </c>
      <c r="D58" s="19" t="n">
        <v>1180</v>
      </c>
      <c r="E58" s="18" t="n">
        <v>62.14129464</v>
      </c>
      <c r="F58" s="20" t="n">
        <v>1.50669495</v>
      </c>
      <c r="G58" s="18" t="n">
        <v>33.68667641</v>
      </c>
      <c r="H58" s="20" t="n">
        <v>1.50370211</v>
      </c>
      <c r="I58" s="18" t="s">
        <v>567</v>
      </c>
      <c r="J58" s="20" t="s">
        <v>567</v>
      </c>
      <c r="K58" s="18" t="n">
        <v>2.70089536</v>
      </c>
      <c r="L58" s="20" t="n">
        <v>0.58246496</v>
      </c>
      <c r="M58" s="18" t="n">
        <v>0</v>
      </c>
      <c r="N58" s="20" t="n">
        <v>0</v>
      </c>
      <c r="O58" s="18" t="n">
        <v>0.02763177</v>
      </c>
      <c r="P58" s="20" t="n">
        <v>0.0196513</v>
      </c>
      <c r="Q58" s="18" t="n">
        <v>1.44350183</v>
      </c>
      <c r="R58" s="20" t="n">
        <v>0.39433275</v>
      </c>
    </row>
    <row r="59" spans="1:18">
      <c r="A59" s="15" t="s">
        <v>619</v>
      </c>
      <c r="B59" s="17" t="n">
        <v>2548</v>
      </c>
      <c r="C59" s="18">
        <f>(1680.0/B59*100)</f>
        <v/>
      </c>
      <c r="D59" s="19" t="n">
        <v>868</v>
      </c>
      <c r="E59" s="18" t="n">
        <v>71.80983146</v>
      </c>
      <c r="F59" s="20" t="n">
        <v>1.88260275</v>
      </c>
      <c r="G59" s="18" t="n">
        <v>26.08835217</v>
      </c>
      <c r="H59" s="20" t="n">
        <v>1.79780898</v>
      </c>
      <c r="I59" s="18" t="s">
        <v>567</v>
      </c>
      <c r="J59" s="20" t="s">
        <v>567</v>
      </c>
      <c r="K59" s="18" t="n">
        <v>1.09348977</v>
      </c>
      <c r="L59" s="20" t="n">
        <v>0.55789534</v>
      </c>
      <c r="M59" s="18" t="n">
        <v>0</v>
      </c>
      <c r="N59" s="20" t="n">
        <v>0</v>
      </c>
      <c r="O59" s="18" t="n">
        <v>0.15447268</v>
      </c>
      <c r="P59" s="20" t="n">
        <v>0.15573042</v>
      </c>
      <c r="Q59" s="18" t="n">
        <v>0.85385393</v>
      </c>
      <c r="R59" s="20" t="n">
        <v>0.34801946</v>
      </c>
    </row>
    <row r="60" spans="1:18">
      <c r="A60" s="15" t="s">
        <v>620</v>
      </c>
      <c r="B60" s="17" t="n">
        <v>2095</v>
      </c>
      <c r="C60" s="18">
        <f>(1368.0/B60*100)</f>
        <v/>
      </c>
      <c r="D60" s="19" t="n">
        <v>727</v>
      </c>
      <c r="E60" s="18" t="n">
        <v>57.68797443</v>
      </c>
      <c r="F60" s="20" t="n">
        <v>2.17549744</v>
      </c>
      <c r="G60" s="18" t="n">
        <v>34.56251356</v>
      </c>
      <c r="H60" s="20" t="n">
        <v>2.04421053</v>
      </c>
      <c r="I60" s="18" t="s">
        <v>567</v>
      </c>
      <c r="J60" s="20" t="s">
        <v>567</v>
      </c>
      <c r="K60" s="18" t="n">
        <v>4.58381569</v>
      </c>
      <c r="L60" s="20" t="n">
        <v>0.89051928</v>
      </c>
      <c r="M60" s="18" t="n">
        <v>0</v>
      </c>
      <c r="N60" s="20" t="n">
        <v>0</v>
      </c>
      <c r="O60" s="18" t="n">
        <v>0.17518767</v>
      </c>
      <c r="P60" s="20" t="n">
        <v>0.17417921</v>
      </c>
      <c r="Q60" s="18" t="n">
        <v>2.99050866</v>
      </c>
      <c r="R60" s="20" t="n">
        <v>0.70621331</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(1885.0/B63*100)</f>
        <v/>
      </c>
      <c r="D63" s="19" t="n">
        <v>928</v>
      </c>
      <c r="E63" s="18" t="n">
        <v>60.85468022</v>
      </c>
      <c r="F63" s="20" t="n">
        <v>1.96416842</v>
      </c>
      <c r="G63" s="18" t="n">
        <v>32.14179344</v>
      </c>
      <c r="H63" s="20" t="n">
        <v>1.81056034</v>
      </c>
      <c r="I63" s="18" t="s">
        <v>567</v>
      </c>
      <c r="J63" s="20" t="s">
        <v>567</v>
      </c>
      <c r="K63" s="18" t="n">
        <v>4.93441834</v>
      </c>
      <c r="L63" s="20" t="n">
        <v>0.7665808200000001</v>
      </c>
      <c r="M63" s="18" t="n">
        <v>0</v>
      </c>
      <c r="N63" s="20" t="n">
        <v>0</v>
      </c>
      <c r="O63" s="18" t="n">
        <v>0</v>
      </c>
      <c r="P63" s="20" t="n">
        <v>0</v>
      </c>
      <c r="Q63" s="18" t="n">
        <v>2.069108</v>
      </c>
      <c r="R63" s="20" t="n">
        <v>0.50414585</v>
      </c>
    </row>
    <row r="64" spans="1:18">
      <c r="A64" s="15" t="s">
        <v>624</v>
      </c>
      <c r="B64" s="17" t="n">
        <v>1844</v>
      </c>
      <c r="C64" s="18">
        <f>(1231.0/B64*100)</f>
        <v/>
      </c>
      <c r="D64" s="19" t="n">
        <v>613</v>
      </c>
      <c r="E64" s="18" t="n">
        <v>45.90926137</v>
      </c>
      <c r="F64" s="20" t="n">
        <v>1.9794833</v>
      </c>
      <c r="G64" s="18" t="n">
        <v>48.78037919</v>
      </c>
      <c r="H64" s="20" t="n">
        <v>1.97262225</v>
      </c>
      <c r="I64" s="18" t="s">
        <v>567</v>
      </c>
      <c r="J64" s="20" t="s">
        <v>567</v>
      </c>
      <c r="K64" s="18" t="n">
        <v>3.8546507</v>
      </c>
      <c r="L64" s="20" t="n">
        <v>0.8268853</v>
      </c>
      <c r="M64" s="18" t="n">
        <v>0.15943218</v>
      </c>
      <c r="N64" s="20" t="n">
        <v>0.16023486</v>
      </c>
      <c r="O64" s="18" t="n">
        <v>0</v>
      </c>
      <c r="P64" s="20" t="n">
        <v>0</v>
      </c>
      <c r="Q64" s="18" t="n">
        <v>1.29627656</v>
      </c>
      <c r="R64" s="20" t="n">
        <v>0.45769421</v>
      </c>
    </row>
    <row r="65" spans="1:18">
      <c r="A65" s="15" t="s">
        <v>625</v>
      </c>
      <c r="B65" s="17" t="n">
        <v>2691</v>
      </c>
      <c r="C65" s="18">
        <f>(1796.0/B65*100)</f>
        <v/>
      </c>
      <c r="D65" s="19" t="n">
        <v>895</v>
      </c>
      <c r="E65" s="18" t="n">
        <v>47.05339932</v>
      </c>
      <c r="F65" s="20" t="n">
        <v>1.88782454</v>
      </c>
      <c r="G65" s="18" t="n">
        <v>43.64697328</v>
      </c>
      <c r="H65" s="20" t="n">
        <v>1.80806085</v>
      </c>
      <c r="I65" s="18" t="s">
        <v>567</v>
      </c>
      <c r="J65" s="20" t="s">
        <v>567</v>
      </c>
      <c r="K65" s="18" t="n">
        <v>6.45459821</v>
      </c>
      <c r="L65" s="20" t="n">
        <v>0.85121243</v>
      </c>
      <c r="M65" s="18" t="n">
        <v>0</v>
      </c>
      <c r="N65" s="20" t="n">
        <v>0</v>
      </c>
      <c r="O65" s="18" t="n">
        <v>0</v>
      </c>
      <c r="P65" s="20" t="n">
        <v>0</v>
      </c>
      <c r="Q65" s="18" t="n">
        <v>2.8450292</v>
      </c>
      <c r="R65" s="20" t="n">
        <v>0.6224288100000001</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(1595.0/B69*100)</f>
        <v/>
      </c>
      <c r="D69" s="19" t="n">
        <v>815</v>
      </c>
      <c r="E69" s="18" t="n">
        <v>51.3150743</v>
      </c>
      <c r="F69" s="20" t="n">
        <v>1.98142794</v>
      </c>
      <c r="G69" s="18" t="n">
        <v>48.40652889</v>
      </c>
      <c r="H69" s="20" t="n">
        <v>1.99984818</v>
      </c>
      <c r="I69" s="18" t="s">
        <v>567</v>
      </c>
      <c r="J69" s="20" t="s">
        <v>567</v>
      </c>
      <c r="K69" s="18" t="n">
        <v>0</v>
      </c>
      <c r="L69" s="20" t="n">
        <v>0</v>
      </c>
      <c r="M69" s="18" t="n">
        <v>0</v>
      </c>
      <c r="N69" s="20" t="n">
        <v>0</v>
      </c>
      <c r="O69" s="18" t="n">
        <v>0</v>
      </c>
      <c r="P69" s="20" t="n">
        <v>0</v>
      </c>
      <c r="Q69" s="18" t="n">
        <v>0.27839681</v>
      </c>
      <c r="R69" s="20" t="n">
        <v>0.1974379</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48.64761772</v>
      </c>
      <c r="F74" s="20" t="n">
        <v>2.18851919</v>
      </c>
      <c r="G74" s="18" t="n">
        <v>42.81463403</v>
      </c>
      <c r="H74" s="20" t="n">
        <v>2.11915462</v>
      </c>
      <c r="I74" s="18" t="s">
        <v>567</v>
      </c>
      <c r="J74" s="20" t="s">
        <v>567</v>
      </c>
      <c r="K74" s="18" t="n">
        <v>7.5151357</v>
      </c>
      <c r="L74" s="20" t="n">
        <v>1.05520551</v>
      </c>
      <c r="M74" s="18" t="n">
        <v>0</v>
      </c>
      <c r="N74" s="20" t="n">
        <v>0</v>
      </c>
      <c r="O74" s="18" t="n">
        <v>0</v>
      </c>
      <c r="P74" s="20" t="n">
        <v>0</v>
      </c>
      <c r="Q74" s="18" t="n">
        <v>1.02261255</v>
      </c>
      <c r="R74" s="20" t="n">
        <v>0.35701886</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(1874.0/B78*100)</f>
        <v/>
      </c>
      <c r="D78" s="19" t="n">
        <v>912</v>
      </c>
      <c r="E78" s="18" t="n">
        <v>33.56741952</v>
      </c>
      <c r="F78" s="20" t="n">
        <v>1.88163636</v>
      </c>
      <c r="G78" s="18" t="n">
        <v>66.43258048</v>
      </c>
      <c r="H78" s="20" t="n">
        <v>1.88163636</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(508.0/B79*100)</f>
        <v/>
      </c>
      <c r="D79" s="19" t="n">
        <v>279</v>
      </c>
      <c r="E79" s="18" t="n">
        <v>38.03547585</v>
      </c>
      <c r="F79" s="20" t="n">
        <v>2.71263289</v>
      </c>
      <c r="G79" s="18" t="n">
        <v>54.75675839</v>
      </c>
      <c r="H79" s="20" t="n">
        <v>3.2608581</v>
      </c>
      <c r="I79" s="18" t="s">
        <v>567</v>
      </c>
      <c r="J79" s="20" t="s">
        <v>567</v>
      </c>
      <c r="K79" s="18" t="n">
        <v>5.10732632</v>
      </c>
      <c r="L79" s="20" t="n">
        <v>1.39515547</v>
      </c>
      <c r="M79" s="18" t="n">
        <v>0.41504303</v>
      </c>
      <c r="N79" s="20" t="n">
        <v>0.3813191</v>
      </c>
      <c r="O79" s="18" t="n">
        <v>0</v>
      </c>
      <c r="P79" s="20" t="n">
        <v>0</v>
      </c>
      <c r="Q79" s="18" t="n">
        <v>1.6853964</v>
      </c>
      <c r="R79" s="20" t="n">
        <v>0.82168328</v>
      </c>
    </row>
    <row r="80" spans="1:18">
      <c r="A80" s="15" t="s">
        <v>640</v>
      </c>
      <c r="B80" s="17" t="n">
        <v>3798</v>
      </c>
      <c r="C80" s="18">
        <f>(2513.0/B80*100)</f>
        <v/>
      </c>
      <c r="D80" s="19" t="n">
        <v>1285</v>
      </c>
      <c r="E80" s="18" t="n">
        <v>62.52180389</v>
      </c>
      <c r="F80" s="20" t="n">
        <v>1.72341681</v>
      </c>
      <c r="G80" s="18" t="n">
        <v>36.83174475</v>
      </c>
      <c r="H80" s="20" t="n">
        <v>1.74423919</v>
      </c>
      <c r="I80" s="18" t="s">
        <v>567</v>
      </c>
      <c r="J80" s="20" t="s">
        <v>567</v>
      </c>
      <c r="K80" s="18" t="n">
        <v>0.49128726</v>
      </c>
      <c r="L80" s="20" t="n">
        <v>0.22381154</v>
      </c>
      <c r="M80" s="18" t="n">
        <v>0</v>
      </c>
      <c r="N80" s="20" t="n">
        <v>0</v>
      </c>
      <c r="O80" s="18" t="n">
        <v>0</v>
      </c>
      <c r="P80" s="20" t="n">
        <v>0</v>
      </c>
      <c r="Q80" s="18" t="n">
        <v>0.15516411</v>
      </c>
      <c r="R80" s="20" t="n">
        <v>0.22271731</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940</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(1691.0/B44*100)</f>
        <v/>
      </c>
      <c r="D44" s="19" t="n">
        <v>833</v>
      </c>
      <c r="E44" s="18" t="n">
        <v>53.52833946</v>
      </c>
      <c r="F44" s="20" t="n">
        <v>1.98247425</v>
      </c>
      <c r="G44" s="18" t="n">
        <v>36.2513714</v>
      </c>
      <c r="H44" s="20" t="n">
        <v>1.9711043</v>
      </c>
      <c r="I44" s="18" t="s">
        <v>567</v>
      </c>
      <c r="J44" s="20" t="s">
        <v>567</v>
      </c>
      <c r="K44" s="18" t="n">
        <v>10.22028914</v>
      </c>
      <c r="L44" s="20" t="n">
        <v>1.20425372</v>
      </c>
      <c r="M44" s="18" t="n">
        <v>0</v>
      </c>
      <c r="N44" s="20" t="n">
        <v>0</v>
      </c>
      <c r="O44" s="18" t="n">
        <v>0</v>
      </c>
      <c r="P44" s="20" t="n">
        <v>0</v>
      </c>
      <c r="Q44" s="18" t="n">
        <v>0</v>
      </c>
      <c r="R44" s="20" t="n">
        <v>0</v>
      </c>
    </row>
    <row r="45" spans="1:18">
      <c r="A45" s="15" t="s">
        <v>605</v>
      </c>
      <c r="B45" s="17" t="n">
        <v>2849</v>
      </c>
      <c r="C45" s="18">
        <f>(1901.0/B45*100)</f>
        <v/>
      </c>
      <c r="D45" s="19" t="n">
        <v>948</v>
      </c>
      <c r="E45" s="18" t="n">
        <v>56.48592074</v>
      </c>
      <c r="F45" s="20" t="n">
        <v>1.75170314</v>
      </c>
      <c r="G45" s="18" t="n">
        <v>34.55484124</v>
      </c>
      <c r="H45" s="20" t="n">
        <v>1.68125021</v>
      </c>
      <c r="I45" s="18" t="s">
        <v>567</v>
      </c>
      <c r="J45" s="20" t="s">
        <v>567</v>
      </c>
      <c r="K45" s="18" t="n">
        <v>7.59106627</v>
      </c>
      <c r="L45" s="20" t="n">
        <v>0.9082527500000001</v>
      </c>
      <c r="M45" s="18" t="n">
        <v>1.10188436</v>
      </c>
      <c r="N45" s="20" t="n">
        <v>0.3518234</v>
      </c>
      <c r="O45" s="18" t="n">
        <v>0.26628738</v>
      </c>
      <c r="P45" s="20" t="n">
        <v>0.15342073</v>
      </c>
      <c r="Q45" s="18" t="n">
        <v>0</v>
      </c>
      <c r="R45" s="20" t="n">
        <v>0</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(2017.0/B49*100)</f>
        <v/>
      </c>
      <c r="D49" s="19" t="n">
        <v>1001</v>
      </c>
      <c r="E49" s="18" t="n">
        <v>63.56661438</v>
      </c>
      <c r="F49" s="20" t="n">
        <v>2.05045109</v>
      </c>
      <c r="G49" s="18" t="n">
        <v>30.70408209</v>
      </c>
      <c r="H49" s="20" t="n">
        <v>1.96502259</v>
      </c>
      <c r="I49" s="18" t="s">
        <v>567</v>
      </c>
      <c r="J49" s="20" t="s">
        <v>567</v>
      </c>
      <c r="K49" s="18" t="n">
        <v>5.56119164</v>
      </c>
      <c r="L49" s="20" t="n">
        <v>0.83718248</v>
      </c>
      <c r="M49" s="18" t="n">
        <v>0</v>
      </c>
      <c r="N49" s="20" t="n">
        <v>0</v>
      </c>
      <c r="O49" s="18" t="n">
        <v>0.1681119</v>
      </c>
      <c r="P49" s="20" t="n">
        <v>0.13650874</v>
      </c>
      <c r="Q49" s="18" t="n">
        <v>0</v>
      </c>
      <c r="R49" s="20" t="n">
        <v>0</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(1836.0/B55*100)</f>
        <v/>
      </c>
      <c r="D55" s="19" t="n">
        <v>923</v>
      </c>
      <c r="E55" s="18" t="n">
        <v>45.07581695</v>
      </c>
      <c r="F55" s="20" t="n">
        <v>1.6482395</v>
      </c>
      <c r="G55" s="18" t="n">
        <v>46.82882242</v>
      </c>
      <c r="H55" s="20" t="n">
        <v>1.59944597</v>
      </c>
      <c r="I55" s="18" t="s">
        <v>567</v>
      </c>
      <c r="J55" s="20" t="s">
        <v>567</v>
      </c>
      <c r="K55" s="18" t="n">
        <v>7.43346324</v>
      </c>
      <c r="L55" s="20" t="n">
        <v>0.99275914</v>
      </c>
      <c r="M55" s="18" t="n">
        <v>0</v>
      </c>
      <c r="N55" s="20" t="n">
        <v>0</v>
      </c>
      <c r="O55" s="18" t="n">
        <v>0.66189739</v>
      </c>
      <c r="P55" s="20" t="n">
        <v>0.28442041</v>
      </c>
      <c r="Q55" s="18" t="n">
        <v>0</v>
      </c>
      <c r="R55" s="20" t="n">
        <v>0</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(2091.0/B57*100)</f>
        <v/>
      </c>
      <c r="D57" s="19" t="n">
        <v>1079</v>
      </c>
      <c r="E57" s="18" t="n">
        <v>39.76650874</v>
      </c>
      <c r="F57" s="20" t="n">
        <v>2.17423335</v>
      </c>
      <c r="G57" s="18" t="n">
        <v>57.54725224</v>
      </c>
      <c r="H57" s="20" t="n">
        <v>2.25423166</v>
      </c>
      <c r="I57" s="18" t="s">
        <v>567</v>
      </c>
      <c r="J57" s="20" t="s">
        <v>567</v>
      </c>
      <c r="K57" s="18" t="n">
        <v>2.68623902</v>
      </c>
      <c r="L57" s="20" t="n">
        <v>0.6936402699999999</v>
      </c>
      <c r="M57" s="18" t="n">
        <v>0</v>
      </c>
      <c r="N57" s="20" t="n">
        <v>0</v>
      </c>
      <c r="O57" s="18" t="n">
        <v>0</v>
      </c>
      <c r="P57" s="20" t="n">
        <v>0</v>
      </c>
      <c r="Q57" s="18" t="n">
        <v>0</v>
      </c>
      <c r="R57" s="20" t="n">
        <v>0</v>
      </c>
    </row>
    <row r="58" spans="1:18">
      <c r="A58" s="15" t="s">
        <v>618</v>
      </c>
      <c r="B58" s="17" t="n">
        <v>3530</v>
      </c>
      <c r="C58" s="18">
        <f>(2350.0/B58*100)</f>
        <v/>
      </c>
      <c r="D58" s="19" t="n">
        <v>1180</v>
      </c>
      <c r="E58" s="18" t="n">
        <v>50.92239349</v>
      </c>
      <c r="F58" s="20" t="n">
        <v>1.70119611</v>
      </c>
      <c r="G58" s="18" t="n">
        <v>45.57990601</v>
      </c>
      <c r="H58" s="20" t="n">
        <v>1.79837911</v>
      </c>
      <c r="I58" s="18" t="s">
        <v>567</v>
      </c>
      <c r="J58" s="20" t="s">
        <v>567</v>
      </c>
      <c r="K58" s="18" t="n">
        <v>3.34725292</v>
      </c>
      <c r="L58" s="20" t="n">
        <v>0.60708007</v>
      </c>
      <c r="M58" s="18" t="n">
        <v>0</v>
      </c>
      <c r="N58" s="20" t="n">
        <v>0</v>
      </c>
      <c r="O58" s="18" t="n">
        <v>0.15044758</v>
      </c>
      <c r="P58" s="20" t="n">
        <v>0.15411941</v>
      </c>
      <c r="Q58" s="18" t="n">
        <v>0</v>
      </c>
      <c r="R58" s="20" t="n">
        <v>0</v>
      </c>
    </row>
    <row r="59" spans="1:18">
      <c r="A59" s="15" t="s">
        <v>619</v>
      </c>
      <c r="B59" s="17" t="n">
        <v>2548</v>
      </c>
      <c r="C59" s="18">
        <f>(1680.0/B59*100)</f>
        <v/>
      </c>
      <c r="D59" s="19" t="n">
        <v>868</v>
      </c>
      <c r="E59" s="18" t="n">
        <v>50.57798208</v>
      </c>
      <c r="F59" s="20" t="n">
        <v>2.20825565</v>
      </c>
      <c r="G59" s="18" t="n">
        <v>45.36112272</v>
      </c>
      <c r="H59" s="20" t="n">
        <v>2.11200127</v>
      </c>
      <c r="I59" s="18" t="s">
        <v>567</v>
      </c>
      <c r="J59" s="20" t="s">
        <v>567</v>
      </c>
      <c r="K59" s="18" t="n">
        <v>3.66957578</v>
      </c>
      <c r="L59" s="20" t="n">
        <v>0.8247698</v>
      </c>
      <c r="M59" s="18" t="n">
        <v>0.35734271</v>
      </c>
      <c r="N59" s="20" t="n">
        <v>0.25595687</v>
      </c>
      <c r="O59" s="18" t="n">
        <v>0.03397671</v>
      </c>
      <c r="P59" s="20" t="n">
        <v>0.03412456</v>
      </c>
      <c r="Q59" s="18" t="n">
        <v>0</v>
      </c>
      <c r="R59" s="20" t="n">
        <v>0</v>
      </c>
    </row>
    <row r="60" spans="1:18">
      <c r="A60" s="15" t="s">
        <v>620</v>
      </c>
      <c r="B60" s="17" t="n">
        <v>2095</v>
      </c>
      <c r="C60" s="18">
        <f>(1368.0/B60*100)</f>
        <v/>
      </c>
      <c r="D60" s="19" t="n">
        <v>727</v>
      </c>
      <c r="E60" s="18" t="n">
        <v>63.74757501</v>
      </c>
      <c r="F60" s="20" t="n">
        <v>2.49269195</v>
      </c>
      <c r="G60" s="18" t="n">
        <v>28.68226885</v>
      </c>
      <c r="H60" s="20" t="n">
        <v>2.43125227</v>
      </c>
      <c r="I60" s="18" t="s">
        <v>567</v>
      </c>
      <c r="J60" s="20" t="s">
        <v>567</v>
      </c>
      <c r="K60" s="18" t="n">
        <v>7.03941415</v>
      </c>
      <c r="L60" s="20" t="n">
        <v>0.93866452</v>
      </c>
      <c r="M60" s="18" t="n">
        <v>0.35555432</v>
      </c>
      <c r="N60" s="20" t="n">
        <v>0.21920718</v>
      </c>
      <c r="O60" s="18" t="n">
        <v>0.17518767</v>
      </c>
      <c r="P60" s="20" t="n">
        <v>0.17417921</v>
      </c>
      <c r="Q60" s="18" t="n">
        <v>0</v>
      </c>
      <c r="R60" s="20" t="n">
        <v>0</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(1885.0/B63*100)</f>
        <v/>
      </c>
      <c r="D63" s="19" t="n">
        <v>928</v>
      </c>
      <c r="E63" s="18" t="n">
        <v>54.50857397</v>
      </c>
      <c r="F63" s="20" t="n">
        <v>1.98699339</v>
      </c>
      <c r="G63" s="18" t="n">
        <v>35.95867259</v>
      </c>
      <c r="H63" s="20" t="n">
        <v>1.75473207</v>
      </c>
      <c r="I63" s="18" t="s">
        <v>567</v>
      </c>
      <c r="J63" s="20" t="s">
        <v>567</v>
      </c>
      <c r="K63" s="18" t="n">
        <v>9.53275344</v>
      </c>
      <c r="L63" s="20" t="n">
        <v>1.1553979</v>
      </c>
      <c r="M63" s="18" t="n">
        <v>0</v>
      </c>
      <c r="N63" s="20" t="n">
        <v>0</v>
      </c>
      <c r="O63" s="18" t="n">
        <v>0</v>
      </c>
      <c r="P63" s="20" t="n">
        <v>0</v>
      </c>
      <c r="Q63" s="18" t="n">
        <v>0</v>
      </c>
      <c r="R63" s="20" t="n">
        <v>0</v>
      </c>
    </row>
    <row r="64" spans="1:18">
      <c r="A64" s="15" t="s">
        <v>624</v>
      </c>
      <c r="B64" s="17" t="n">
        <v>1844</v>
      </c>
      <c r="C64" s="18">
        <f>(1231.0/B64*100)</f>
        <v/>
      </c>
      <c r="D64" s="19" t="n">
        <v>613</v>
      </c>
      <c r="E64" s="18" t="n">
        <v>38.24268506</v>
      </c>
      <c r="F64" s="20" t="n">
        <v>1.74100028</v>
      </c>
      <c r="G64" s="18" t="n">
        <v>55.75155699</v>
      </c>
      <c r="H64" s="20" t="n">
        <v>1.81627657</v>
      </c>
      <c r="I64" s="18" t="s">
        <v>567</v>
      </c>
      <c r="J64" s="20" t="s">
        <v>567</v>
      </c>
      <c r="K64" s="18" t="n">
        <v>5.68908378</v>
      </c>
      <c r="L64" s="20" t="n">
        <v>1.0184776</v>
      </c>
      <c r="M64" s="18" t="n">
        <v>0.31667417</v>
      </c>
      <c r="N64" s="20" t="n">
        <v>0.22368677</v>
      </c>
      <c r="O64" s="18" t="n">
        <v>0</v>
      </c>
      <c r="P64" s="20" t="n">
        <v>0</v>
      </c>
      <c r="Q64" s="18" t="n">
        <v>0</v>
      </c>
      <c r="R64" s="20" t="n">
        <v>0</v>
      </c>
    </row>
    <row r="65" spans="1:18">
      <c r="A65" s="15" t="s">
        <v>625</v>
      </c>
      <c r="B65" s="17" t="n">
        <v>2691</v>
      </c>
      <c r="C65" s="18">
        <f>(1796.0/B65*100)</f>
        <v/>
      </c>
      <c r="D65" s="19" t="n">
        <v>895</v>
      </c>
      <c r="E65" s="18" t="n">
        <v>46.15291145</v>
      </c>
      <c r="F65" s="20" t="n">
        <v>1.86916863</v>
      </c>
      <c r="G65" s="18" t="n">
        <v>43.5236793</v>
      </c>
      <c r="H65" s="20" t="n">
        <v>1.92524356</v>
      </c>
      <c r="I65" s="18" t="s">
        <v>567</v>
      </c>
      <c r="J65" s="20" t="s">
        <v>567</v>
      </c>
      <c r="K65" s="18" t="n">
        <v>10.32340925</v>
      </c>
      <c r="L65" s="20" t="n">
        <v>1.18530649</v>
      </c>
      <c r="M65" s="18" t="n">
        <v>0</v>
      </c>
      <c r="N65" s="20" t="n">
        <v>0</v>
      </c>
      <c r="O65" s="18" t="n">
        <v>0</v>
      </c>
      <c r="P65" s="20" t="n">
        <v>0</v>
      </c>
      <c r="Q65" s="18" t="n">
        <v>0</v>
      </c>
      <c r="R65" s="20" t="n">
        <v>0</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(1595.0/B69*100)</f>
        <v/>
      </c>
      <c r="D69" s="19" t="n">
        <v>815</v>
      </c>
      <c r="E69" s="18" t="n">
        <v>50.18800191</v>
      </c>
      <c r="F69" s="20" t="n">
        <v>2.00042167</v>
      </c>
      <c r="G69" s="18" t="n">
        <v>49.4673134</v>
      </c>
      <c r="H69" s="20" t="n">
        <v>1.99902024</v>
      </c>
      <c r="I69" s="18" t="s">
        <v>567</v>
      </c>
      <c r="J69" s="20" t="s">
        <v>567</v>
      </c>
      <c r="K69" s="18" t="n">
        <v>0.34468469</v>
      </c>
      <c r="L69" s="20" t="n">
        <v>0.20110551</v>
      </c>
      <c r="M69" s="18" t="n">
        <v>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49.3622106</v>
      </c>
      <c r="F74" s="20" t="n">
        <v>2.0953141</v>
      </c>
      <c r="G74" s="18" t="n">
        <v>39.49653421</v>
      </c>
      <c r="H74" s="20" t="n">
        <v>1.97142389</v>
      </c>
      <c r="I74" s="18" t="s">
        <v>567</v>
      </c>
      <c r="J74" s="20" t="s">
        <v>567</v>
      </c>
      <c r="K74" s="18" t="n">
        <v>11.14125519</v>
      </c>
      <c r="L74" s="20" t="n">
        <v>1.18544319</v>
      </c>
      <c r="M74" s="18" t="n">
        <v>0</v>
      </c>
      <c r="N74" s="20" t="n">
        <v>0</v>
      </c>
      <c r="O74" s="18" t="n">
        <v>0</v>
      </c>
      <c r="P74" s="20" t="n">
        <v>0</v>
      </c>
      <c r="Q74" s="18" t="n">
        <v>0</v>
      </c>
      <c r="R74" s="20" t="n">
        <v>0</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(1874.0/B78*100)</f>
        <v/>
      </c>
      <c r="D78" s="19" t="n">
        <v>912</v>
      </c>
      <c r="E78" s="18" t="n">
        <v>13.80116423</v>
      </c>
      <c r="F78" s="20" t="n">
        <v>1.43570647</v>
      </c>
      <c r="G78" s="18" t="n">
        <v>86.19883577</v>
      </c>
      <c r="H78" s="20" t="n">
        <v>1.43570647</v>
      </c>
      <c r="I78" s="18" t="s">
        <v>567</v>
      </c>
      <c r="J78" s="20" t="s">
        <v>567</v>
      </c>
      <c r="K78" s="18" t="n">
        <v>0</v>
      </c>
      <c r="L78" s="20" t="n">
        <v>0</v>
      </c>
      <c r="M78" s="18" t="n">
        <v>0</v>
      </c>
      <c r="N78" s="20" t="n">
        <v>0</v>
      </c>
      <c r="O78" s="18" t="n">
        <v>0</v>
      </c>
      <c r="P78" s="20" t="n">
        <v>0</v>
      </c>
      <c r="Q78" s="18" t="n">
        <v>0</v>
      </c>
      <c r="R78" s="20" t="n">
        <v>0</v>
      </c>
    </row>
    <row customHeight="1" ht="25" r="79" spans="1:18">
      <c r="A79" s="15" t="s">
        <v>639</v>
      </c>
      <c r="B79" s="17" t="n">
        <v>787</v>
      </c>
      <c r="C79" s="18">
        <f>(508.0/B79*100)</f>
        <v/>
      </c>
      <c r="D79" s="19" t="n">
        <v>279</v>
      </c>
      <c r="E79" s="18" t="n">
        <v>52.84320116</v>
      </c>
      <c r="F79" s="20" t="n">
        <v>4.15657984</v>
      </c>
      <c r="G79" s="18" t="n">
        <v>38.69471955</v>
      </c>
      <c r="H79" s="20" t="n">
        <v>3.64481246</v>
      </c>
      <c r="I79" s="18" t="s">
        <v>567</v>
      </c>
      <c r="J79" s="20" t="s">
        <v>567</v>
      </c>
      <c r="K79" s="18" t="n">
        <v>8.46207929</v>
      </c>
      <c r="L79" s="20" t="n">
        <v>2.24836635</v>
      </c>
      <c r="M79" s="18" t="n">
        <v>0</v>
      </c>
      <c r="N79" s="20" t="n">
        <v>0</v>
      </c>
      <c r="O79" s="18" t="n">
        <v>0</v>
      </c>
      <c r="P79" s="20" t="n">
        <v>0</v>
      </c>
      <c r="Q79" s="18" t="n">
        <v>0</v>
      </c>
      <c r="R79" s="20" t="n">
        <v>0</v>
      </c>
    </row>
    <row r="80" spans="1:18">
      <c r="A80" s="15" t="s">
        <v>640</v>
      </c>
      <c r="B80" s="17" t="n">
        <v>3798</v>
      </c>
      <c r="C80" s="18">
        <f>(2513.0/B80*100)</f>
        <v/>
      </c>
      <c r="D80" s="19" t="n">
        <v>1285</v>
      </c>
      <c r="E80" s="18" t="n">
        <v>38.22503229</v>
      </c>
      <c r="F80" s="20" t="n">
        <v>2.1104841</v>
      </c>
      <c r="G80" s="18" t="n">
        <v>61.13132122</v>
      </c>
      <c r="H80" s="20" t="n">
        <v>2.09175618</v>
      </c>
      <c r="I80" s="18" t="s">
        <v>567</v>
      </c>
      <c r="J80" s="20" t="s">
        <v>567</v>
      </c>
      <c r="K80" s="18" t="n">
        <v>0.64364648</v>
      </c>
      <c r="L80" s="20" t="n">
        <v>0.25772734</v>
      </c>
      <c r="M80" s="18" t="n">
        <v>0</v>
      </c>
      <c r="N80" s="20" t="n">
        <v>0</v>
      </c>
      <c r="O80" s="18" t="n">
        <v>0</v>
      </c>
      <c r="P80" s="20" t="n">
        <v>0</v>
      </c>
      <c r="Q80" s="18" t="n">
        <v>0</v>
      </c>
      <c r="R80" s="20" t="n">
        <v>0</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941</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(1691.0/B44*100)</f>
        <v/>
      </c>
      <c r="D44" s="19" t="n">
        <v>833</v>
      </c>
      <c r="E44" s="18" t="n">
        <v>0</v>
      </c>
      <c r="F44" s="20" t="n">
        <v>0</v>
      </c>
      <c r="G44" s="18" t="n">
        <v>0</v>
      </c>
      <c r="H44" s="20" t="n">
        <v>0</v>
      </c>
      <c r="I44" s="18" t="s">
        <v>567</v>
      </c>
      <c r="J44" s="20" t="s">
        <v>567</v>
      </c>
      <c r="K44" s="18" t="n">
        <v>0</v>
      </c>
      <c r="L44" s="20" t="n">
        <v>0</v>
      </c>
      <c r="M44" s="18" t="n">
        <v>100</v>
      </c>
      <c r="N44" s="20" t="n">
        <v>0</v>
      </c>
      <c r="O44" s="18" t="n">
        <v>0</v>
      </c>
      <c r="P44" s="20" t="n">
        <v>0</v>
      </c>
      <c r="Q44" s="18" t="n">
        <v>0</v>
      </c>
      <c r="R44" s="20" t="n">
        <v>0</v>
      </c>
    </row>
    <row r="45" spans="1:18">
      <c r="A45" s="15" t="s">
        <v>605</v>
      </c>
      <c r="B45" s="17" t="n">
        <v>2849</v>
      </c>
      <c r="C45" s="18">
        <f>(1901.0/B45*100)</f>
        <v/>
      </c>
      <c r="D45" s="19" t="n">
        <v>948</v>
      </c>
      <c r="E45" s="18" t="n">
        <v>0</v>
      </c>
      <c r="F45" s="20" t="n">
        <v>0</v>
      </c>
      <c r="G45" s="18" t="n">
        <v>0</v>
      </c>
      <c r="H45" s="20" t="n">
        <v>0</v>
      </c>
      <c r="I45" s="18" t="s">
        <v>567</v>
      </c>
      <c r="J45" s="20" t="s">
        <v>567</v>
      </c>
      <c r="K45" s="18" t="n">
        <v>0</v>
      </c>
      <c r="L45" s="20" t="n">
        <v>0</v>
      </c>
      <c r="M45" s="18" t="n">
        <v>100</v>
      </c>
      <c r="N45" s="20" t="n">
        <v>0</v>
      </c>
      <c r="O45" s="18" t="n">
        <v>0</v>
      </c>
      <c r="P45" s="20" t="n">
        <v>0</v>
      </c>
      <c r="Q45" s="18" t="n">
        <v>0</v>
      </c>
      <c r="R45" s="20" t="n">
        <v>0</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(2017.0/B49*100)</f>
        <v/>
      </c>
      <c r="D49" s="19" t="n">
        <v>1001</v>
      </c>
      <c r="E49" s="18" t="n">
        <v>0</v>
      </c>
      <c r="F49" s="20" t="n">
        <v>0</v>
      </c>
      <c r="G49" s="18" t="n">
        <v>0</v>
      </c>
      <c r="H49" s="20" t="n">
        <v>0</v>
      </c>
      <c r="I49" s="18" t="s">
        <v>567</v>
      </c>
      <c r="J49" s="20" t="s">
        <v>567</v>
      </c>
      <c r="K49" s="18" t="n">
        <v>0</v>
      </c>
      <c r="L49" s="20" t="n">
        <v>0</v>
      </c>
      <c r="M49" s="18" t="n">
        <v>100</v>
      </c>
      <c r="N49" s="20" t="n">
        <v>0</v>
      </c>
      <c r="O49" s="18" t="n">
        <v>0</v>
      </c>
      <c r="P49" s="20" t="n">
        <v>0</v>
      </c>
      <c r="Q49" s="18" t="n">
        <v>0</v>
      </c>
      <c r="R49" s="20" t="n">
        <v>0</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(1836.0/B55*100)</f>
        <v/>
      </c>
      <c r="D55" s="19" t="n">
        <v>923</v>
      </c>
      <c r="E55" s="18" t="n">
        <v>0</v>
      </c>
      <c r="F55" s="20" t="n">
        <v>0</v>
      </c>
      <c r="G55" s="18" t="n">
        <v>0</v>
      </c>
      <c r="H55" s="20" t="n">
        <v>0</v>
      </c>
      <c r="I55" s="18" t="s">
        <v>567</v>
      </c>
      <c r="J55" s="20" t="s">
        <v>567</v>
      </c>
      <c r="K55" s="18" t="n">
        <v>0</v>
      </c>
      <c r="L55" s="20" t="n">
        <v>0</v>
      </c>
      <c r="M55" s="18" t="n">
        <v>100</v>
      </c>
      <c r="N55" s="20" t="n">
        <v>0</v>
      </c>
      <c r="O55" s="18" t="n">
        <v>0</v>
      </c>
      <c r="P55" s="20" t="n">
        <v>0</v>
      </c>
      <c r="Q55" s="18" t="n">
        <v>0</v>
      </c>
      <c r="R55" s="20" t="n">
        <v>0</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(2091.0/B57*100)</f>
        <v/>
      </c>
      <c r="D57" s="19" t="n">
        <v>1079</v>
      </c>
      <c r="E57" s="18" t="n">
        <v>0</v>
      </c>
      <c r="F57" s="20" t="n">
        <v>0</v>
      </c>
      <c r="G57" s="18" t="n">
        <v>0</v>
      </c>
      <c r="H57" s="20" t="n">
        <v>0</v>
      </c>
      <c r="I57" s="18" t="s">
        <v>567</v>
      </c>
      <c r="J57" s="20" t="s">
        <v>567</v>
      </c>
      <c r="K57" s="18" t="n">
        <v>0</v>
      </c>
      <c r="L57" s="20" t="n">
        <v>0</v>
      </c>
      <c r="M57" s="18" t="n">
        <v>100</v>
      </c>
      <c r="N57" s="20" t="n">
        <v>0</v>
      </c>
      <c r="O57" s="18" t="n">
        <v>0</v>
      </c>
      <c r="P57" s="20" t="n">
        <v>0</v>
      </c>
      <c r="Q57" s="18" t="n">
        <v>0</v>
      </c>
      <c r="R57" s="20" t="n">
        <v>0</v>
      </c>
    </row>
    <row r="58" spans="1:18">
      <c r="A58" s="15" t="s">
        <v>618</v>
      </c>
      <c r="B58" s="17" t="n">
        <v>3530</v>
      </c>
      <c r="C58" s="18">
        <f>(2350.0/B58*100)</f>
        <v/>
      </c>
      <c r="D58" s="19" t="n">
        <v>1180</v>
      </c>
      <c r="E58" s="18" t="n">
        <v>0</v>
      </c>
      <c r="F58" s="20" t="n">
        <v>0</v>
      </c>
      <c r="G58" s="18" t="n">
        <v>0</v>
      </c>
      <c r="H58" s="20" t="n">
        <v>0</v>
      </c>
      <c r="I58" s="18" t="s">
        <v>567</v>
      </c>
      <c r="J58" s="20" t="s">
        <v>567</v>
      </c>
      <c r="K58" s="18" t="n">
        <v>0</v>
      </c>
      <c r="L58" s="20" t="n">
        <v>0</v>
      </c>
      <c r="M58" s="18" t="n">
        <v>100</v>
      </c>
      <c r="N58" s="20" t="n">
        <v>0</v>
      </c>
      <c r="O58" s="18" t="n">
        <v>0</v>
      </c>
      <c r="P58" s="20" t="n">
        <v>0</v>
      </c>
      <c r="Q58" s="18" t="n">
        <v>0</v>
      </c>
      <c r="R58" s="20" t="n">
        <v>0</v>
      </c>
    </row>
    <row r="59" spans="1:18">
      <c r="A59" s="15" t="s">
        <v>619</v>
      </c>
      <c r="B59" s="17" t="n">
        <v>2548</v>
      </c>
      <c r="C59" s="18">
        <f>(1680.0/B59*100)</f>
        <v/>
      </c>
      <c r="D59" s="19" t="n">
        <v>868</v>
      </c>
      <c r="E59" s="18" t="n">
        <v>0</v>
      </c>
      <c r="F59" s="20" t="n">
        <v>0</v>
      </c>
      <c r="G59" s="18" t="n">
        <v>0</v>
      </c>
      <c r="H59" s="20" t="n">
        <v>0</v>
      </c>
      <c r="I59" s="18" t="s">
        <v>567</v>
      </c>
      <c r="J59" s="20" t="s">
        <v>567</v>
      </c>
      <c r="K59" s="18" t="n">
        <v>0</v>
      </c>
      <c r="L59" s="20" t="n">
        <v>0</v>
      </c>
      <c r="M59" s="18" t="n">
        <v>100</v>
      </c>
      <c r="N59" s="20" t="n">
        <v>0</v>
      </c>
      <c r="O59" s="18" t="n">
        <v>0</v>
      </c>
      <c r="P59" s="20" t="n">
        <v>0</v>
      </c>
      <c r="Q59" s="18" t="n">
        <v>0</v>
      </c>
      <c r="R59" s="20" t="n">
        <v>0</v>
      </c>
    </row>
    <row r="60" spans="1:18">
      <c r="A60" s="15" t="s">
        <v>620</v>
      </c>
      <c r="B60" s="17" t="n">
        <v>2095</v>
      </c>
      <c r="C60" s="18">
        <f>(1368.0/B60*100)</f>
        <v/>
      </c>
      <c r="D60" s="19" t="n">
        <v>727</v>
      </c>
      <c r="E60" s="18" t="n">
        <v>0</v>
      </c>
      <c r="F60" s="20" t="n">
        <v>0</v>
      </c>
      <c r="G60" s="18" t="n">
        <v>0</v>
      </c>
      <c r="H60" s="20" t="n">
        <v>0</v>
      </c>
      <c r="I60" s="18" t="s">
        <v>567</v>
      </c>
      <c r="J60" s="20" t="s">
        <v>567</v>
      </c>
      <c r="K60" s="18" t="n">
        <v>0</v>
      </c>
      <c r="L60" s="20" t="n">
        <v>0</v>
      </c>
      <c r="M60" s="18" t="n">
        <v>100</v>
      </c>
      <c r="N60" s="20" t="n">
        <v>0</v>
      </c>
      <c r="O60" s="18" t="n">
        <v>0</v>
      </c>
      <c r="P60" s="20" t="n">
        <v>0</v>
      </c>
      <c r="Q60" s="18" t="n">
        <v>0</v>
      </c>
      <c r="R60" s="20" t="n">
        <v>0</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(1885.0/B63*100)</f>
        <v/>
      </c>
      <c r="D63" s="19" t="n">
        <v>928</v>
      </c>
      <c r="E63" s="18" t="n">
        <v>0</v>
      </c>
      <c r="F63" s="20" t="n">
        <v>0</v>
      </c>
      <c r="G63" s="18" t="n">
        <v>0</v>
      </c>
      <c r="H63" s="20" t="n">
        <v>0</v>
      </c>
      <c r="I63" s="18" t="s">
        <v>567</v>
      </c>
      <c r="J63" s="20" t="s">
        <v>567</v>
      </c>
      <c r="K63" s="18" t="n">
        <v>0</v>
      </c>
      <c r="L63" s="20" t="n">
        <v>0</v>
      </c>
      <c r="M63" s="18" t="n">
        <v>100</v>
      </c>
      <c r="N63" s="20" t="n">
        <v>0</v>
      </c>
      <c r="O63" s="18" t="n">
        <v>0</v>
      </c>
      <c r="P63" s="20" t="n">
        <v>0</v>
      </c>
      <c r="Q63" s="18" t="n">
        <v>0</v>
      </c>
      <c r="R63" s="20" t="n">
        <v>0</v>
      </c>
    </row>
    <row r="64" spans="1:18">
      <c r="A64" s="15" t="s">
        <v>624</v>
      </c>
      <c r="B64" s="17" t="n">
        <v>1844</v>
      </c>
      <c r="C64" s="18">
        <f>(1231.0/B64*100)</f>
        <v/>
      </c>
      <c r="D64" s="19" t="n">
        <v>613</v>
      </c>
      <c r="E64" s="18" t="n">
        <v>0</v>
      </c>
      <c r="F64" s="20" t="n">
        <v>0</v>
      </c>
      <c r="G64" s="18" t="n">
        <v>0</v>
      </c>
      <c r="H64" s="20" t="n">
        <v>0</v>
      </c>
      <c r="I64" s="18" t="s">
        <v>567</v>
      </c>
      <c r="J64" s="20" t="s">
        <v>567</v>
      </c>
      <c r="K64" s="18" t="n">
        <v>0</v>
      </c>
      <c r="L64" s="20" t="n">
        <v>0</v>
      </c>
      <c r="M64" s="18" t="n">
        <v>100</v>
      </c>
      <c r="N64" s="20" t="n">
        <v>0</v>
      </c>
      <c r="O64" s="18" t="n">
        <v>0</v>
      </c>
      <c r="P64" s="20" t="n">
        <v>0</v>
      </c>
      <c r="Q64" s="18" t="n">
        <v>0</v>
      </c>
      <c r="R64" s="20" t="n">
        <v>0</v>
      </c>
    </row>
    <row r="65" spans="1:18">
      <c r="A65" s="15" t="s">
        <v>625</v>
      </c>
      <c r="B65" s="17" t="n">
        <v>2691</v>
      </c>
      <c r="C65" s="18">
        <f>(1804.0/B65*100)</f>
        <v/>
      </c>
      <c r="D65" s="19" t="n">
        <v>887</v>
      </c>
      <c r="E65" s="18" t="n">
        <v>0</v>
      </c>
      <c r="F65" s="20" t="n">
        <v>0</v>
      </c>
      <c r="G65" s="18" t="n">
        <v>0</v>
      </c>
      <c r="H65" s="20" t="n">
        <v>0</v>
      </c>
      <c r="I65" s="18" t="s">
        <v>567</v>
      </c>
      <c r="J65" s="20" t="s">
        <v>567</v>
      </c>
      <c r="K65" s="18" t="n">
        <v>0</v>
      </c>
      <c r="L65" s="20" t="n">
        <v>0</v>
      </c>
      <c r="M65" s="18" t="n">
        <v>100</v>
      </c>
      <c r="N65" s="20" t="n">
        <v>0</v>
      </c>
      <c r="O65" s="18" t="n">
        <v>0</v>
      </c>
      <c r="P65" s="20" t="n">
        <v>0</v>
      </c>
      <c r="Q65" s="18" t="n">
        <v>0</v>
      </c>
      <c r="R65" s="20" t="n">
        <v>0</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(1749.0/B69*100)</f>
        <v/>
      </c>
      <c r="D69" s="19" t="n">
        <v>661</v>
      </c>
      <c r="E69" s="18" t="n">
        <v>0</v>
      </c>
      <c r="F69" s="20" t="n">
        <v>0</v>
      </c>
      <c r="G69" s="18" t="n">
        <v>0</v>
      </c>
      <c r="H69" s="20" t="n">
        <v>0</v>
      </c>
      <c r="I69" s="18" t="s">
        <v>567</v>
      </c>
      <c r="J69" s="20" t="s">
        <v>567</v>
      </c>
      <c r="K69" s="18" t="n">
        <v>0</v>
      </c>
      <c r="L69" s="20" t="n">
        <v>0</v>
      </c>
      <c r="M69" s="18" t="n">
        <v>100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0</v>
      </c>
      <c r="F74" s="20" t="n">
        <v>0</v>
      </c>
      <c r="G74" s="18" t="n">
        <v>0</v>
      </c>
      <c r="H74" s="20" t="n">
        <v>0</v>
      </c>
      <c r="I74" s="18" t="s">
        <v>567</v>
      </c>
      <c r="J74" s="20" t="s">
        <v>567</v>
      </c>
      <c r="K74" s="18" t="n">
        <v>0</v>
      </c>
      <c r="L74" s="20" t="n">
        <v>0</v>
      </c>
      <c r="M74" s="18" t="n">
        <v>100</v>
      </c>
      <c r="N74" s="20" t="n">
        <v>0</v>
      </c>
      <c r="O74" s="18" t="n">
        <v>0</v>
      </c>
      <c r="P74" s="20" t="n">
        <v>0</v>
      </c>
      <c r="Q74" s="18" t="n">
        <v>0</v>
      </c>
      <c r="R74" s="20" t="n">
        <v>0</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(1874.0/B78*100)</f>
        <v/>
      </c>
      <c r="D78" s="19" t="n">
        <v>912</v>
      </c>
      <c r="E78" s="18" t="n">
        <v>0</v>
      </c>
      <c r="F78" s="20" t="n">
        <v>0</v>
      </c>
      <c r="G78" s="18" t="n">
        <v>0</v>
      </c>
      <c r="H78" s="20" t="n">
        <v>0</v>
      </c>
      <c r="I78" s="18" t="s">
        <v>567</v>
      </c>
      <c r="J78" s="20" t="s">
        <v>567</v>
      </c>
      <c r="K78" s="18" t="n">
        <v>0</v>
      </c>
      <c r="L78" s="20" t="n">
        <v>0</v>
      </c>
      <c r="M78" s="18" t="n">
        <v>100</v>
      </c>
      <c r="N78" s="20" t="n">
        <v>0</v>
      </c>
      <c r="O78" s="18" t="n">
        <v>0</v>
      </c>
      <c r="P78" s="20" t="n">
        <v>0</v>
      </c>
      <c r="Q78" s="18" t="n">
        <v>0</v>
      </c>
      <c r="R78" s="20" t="n">
        <v>0</v>
      </c>
    </row>
    <row customHeight="1" ht="25" r="79" spans="1:18">
      <c r="A79" s="15" t="s">
        <v>639</v>
      </c>
      <c r="B79" s="17" t="n">
        <v>787</v>
      </c>
      <c r="C79" s="18">
        <f>(508.0/B79*100)</f>
        <v/>
      </c>
      <c r="D79" s="19" t="n">
        <v>279</v>
      </c>
      <c r="E79" s="18" t="n">
        <v>0</v>
      </c>
      <c r="F79" s="20" t="n">
        <v>0</v>
      </c>
      <c r="G79" s="18" t="n">
        <v>0</v>
      </c>
      <c r="H79" s="20" t="n">
        <v>0</v>
      </c>
      <c r="I79" s="18" t="s">
        <v>567</v>
      </c>
      <c r="J79" s="20" t="s">
        <v>567</v>
      </c>
      <c r="K79" s="18" t="n">
        <v>0</v>
      </c>
      <c r="L79" s="20" t="n">
        <v>0</v>
      </c>
      <c r="M79" s="18" t="n">
        <v>100</v>
      </c>
      <c r="N79" s="20" t="n">
        <v>0</v>
      </c>
      <c r="O79" s="18" t="n">
        <v>0</v>
      </c>
      <c r="P79" s="20" t="n">
        <v>0</v>
      </c>
      <c r="Q79" s="18" t="n">
        <v>0</v>
      </c>
      <c r="R79" s="20" t="n">
        <v>0</v>
      </c>
    </row>
    <row r="80" spans="1:18">
      <c r="A80" s="15" t="s">
        <v>640</v>
      </c>
      <c r="B80" s="17" t="n">
        <v>3798</v>
      </c>
      <c r="C80" s="18">
        <f>(2513.0/B80*100)</f>
        <v/>
      </c>
      <c r="D80" s="19" t="n">
        <v>1285</v>
      </c>
      <c r="E80" s="18" t="n">
        <v>0</v>
      </c>
      <c r="F80" s="20" t="n">
        <v>0</v>
      </c>
      <c r="G80" s="18" t="n">
        <v>0</v>
      </c>
      <c r="H80" s="20" t="n">
        <v>0</v>
      </c>
      <c r="I80" s="18" t="s">
        <v>567</v>
      </c>
      <c r="J80" s="20" t="s">
        <v>567</v>
      </c>
      <c r="K80" s="18" t="n">
        <v>0</v>
      </c>
      <c r="L80" s="20" t="n">
        <v>0</v>
      </c>
      <c r="M80" s="18" t="n">
        <v>100</v>
      </c>
      <c r="N80" s="20" t="n">
        <v>0</v>
      </c>
      <c r="O80" s="18" t="n">
        <v>0</v>
      </c>
      <c r="P80" s="20" t="n">
        <v>0</v>
      </c>
      <c r="Q80" s="18" t="n">
        <v>0</v>
      </c>
      <c r="R80" s="20" t="n">
        <v>0</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942</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(1691.0/B44*100)</f>
        <v/>
      </c>
      <c r="D44" s="19" t="n">
        <v>833</v>
      </c>
      <c r="E44" s="18" t="n">
        <v>0</v>
      </c>
      <c r="F44" s="20" t="n">
        <v>0</v>
      </c>
      <c r="G44" s="18" t="n">
        <v>0</v>
      </c>
      <c r="H44" s="20" t="n">
        <v>0</v>
      </c>
      <c r="I44" s="18" t="s">
        <v>567</v>
      </c>
      <c r="J44" s="20" t="s">
        <v>567</v>
      </c>
      <c r="K44" s="18" t="n">
        <v>0</v>
      </c>
      <c r="L44" s="20" t="n">
        <v>0</v>
      </c>
      <c r="M44" s="18" t="n">
        <v>100</v>
      </c>
      <c r="N44" s="20" t="n">
        <v>0</v>
      </c>
      <c r="O44" s="18" t="n">
        <v>0</v>
      </c>
      <c r="P44" s="20" t="n">
        <v>0</v>
      </c>
      <c r="Q44" s="18" t="n">
        <v>0</v>
      </c>
      <c r="R44" s="20" t="n">
        <v>0</v>
      </c>
    </row>
    <row r="45" spans="1:18">
      <c r="A45" s="15" t="s">
        <v>605</v>
      </c>
      <c r="B45" s="17" t="n">
        <v>2849</v>
      </c>
      <c r="C45" s="18">
        <f>(1901.0/B45*100)</f>
        <v/>
      </c>
      <c r="D45" s="19" t="n">
        <v>948</v>
      </c>
      <c r="E45" s="18" t="n">
        <v>0</v>
      </c>
      <c r="F45" s="20" t="n">
        <v>0</v>
      </c>
      <c r="G45" s="18" t="n">
        <v>0</v>
      </c>
      <c r="H45" s="20" t="n">
        <v>0</v>
      </c>
      <c r="I45" s="18" t="s">
        <v>567</v>
      </c>
      <c r="J45" s="20" t="s">
        <v>567</v>
      </c>
      <c r="K45" s="18" t="n">
        <v>0</v>
      </c>
      <c r="L45" s="20" t="n">
        <v>0</v>
      </c>
      <c r="M45" s="18" t="n">
        <v>100</v>
      </c>
      <c r="N45" s="20" t="n">
        <v>0</v>
      </c>
      <c r="O45" s="18" t="n">
        <v>0</v>
      </c>
      <c r="P45" s="20" t="n">
        <v>0</v>
      </c>
      <c r="Q45" s="18" t="n">
        <v>0</v>
      </c>
      <c r="R45" s="20" t="n">
        <v>0</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(2017.0/B49*100)</f>
        <v/>
      </c>
      <c r="D49" s="19" t="n">
        <v>1001</v>
      </c>
      <c r="E49" s="18" t="n">
        <v>0</v>
      </c>
      <c r="F49" s="20" t="n">
        <v>0</v>
      </c>
      <c r="G49" s="18" t="n">
        <v>0</v>
      </c>
      <c r="H49" s="20" t="n">
        <v>0</v>
      </c>
      <c r="I49" s="18" t="s">
        <v>567</v>
      </c>
      <c r="J49" s="20" t="s">
        <v>567</v>
      </c>
      <c r="K49" s="18" t="n">
        <v>0</v>
      </c>
      <c r="L49" s="20" t="n">
        <v>0</v>
      </c>
      <c r="M49" s="18" t="n">
        <v>100</v>
      </c>
      <c r="N49" s="20" t="n">
        <v>0</v>
      </c>
      <c r="O49" s="18" t="n">
        <v>0</v>
      </c>
      <c r="P49" s="20" t="n">
        <v>0</v>
      </c>
      <c r="Q49" s="18" t="n">
        <v>0</v>
      </c>
      <c r="R49" s="20" t="n">
        <v>0</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(1836.0/B55*100)</f>
        <v/>
      </c>
      <c r="D55" s="19" t="n">
        <v>923</v>
      </c>
      <c r="E55" s="18" t="n">
        <v>0</v>
      </c>
      <c r="F55" s="20" t="n">
        <v>0</v>
      </c>
      <c r="G55" s="18" t="n">
        <v>0</v>
      </c>
      <c r="H55" s="20" t="n">
        <v>0</v>
      </c>
      <c r="I55" s="18" t="s">
        <v>567</v>
      </c>
      <c r="J55" s="20" t="s">
        <v>567</v>
      </c>
      <c r="K55" s="18" t="n">
        <v>0</v>
      </c>
      <c r="L55" s="20" t="n">
        <v>0</v>
      </c>
      <c r="M55" s="18" t="n">
        <v>100</v>
      </c>
      <c r="N55" s="20" t="n">
        <v>0</v>
      </c>
      <c r="O55" s="18" t="n">
        <v>0</v>
      </c>
      <c r="P55" s="20" t="n">
        <v>0</v>
      </c>
      <c r="Q55" s="18" t="n">
        <v>0</v>
      </c>
      <c r="R55" s="20" t="n">
        <v>0</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(2091.0/B57*100)</f>
        <v/>
      </c>
      <c r="D57" s="19" t="n">
        <v>1079</v>
      </c>
      <c r="E57" s="18" t="n">
        <v>0</v>
      </c>
      <c r="F57" s="20" t="n">
        <v>0</v>
      </c>
      <c r="G57" s="18" t="n">
        <v>0</v>
      </c>
      <c r="H57" s="20" t="n">
        <v>0</v>
      </c>
      <c r="I57" s="18" t="s">
        <v>567</v>
      </c>
      <c r="J57" s="20" t="s">
        <v>567</v>
      </c>
      <c r="K57" s="18" t="n">
        <v>0</v>
      </c>
      <c r="L57" s="20" t="n">
        <v>0</v>
      </c>
      <c r="M57" s="18" t="n">
        <v>100</v>
      </c>
      <c r="N57" s="20" t="n">
        <v>0</v>
      </c>
      <c r="O57" s="18" t="n">
        <v>0</v>
      </c>
      <c r="P57" s="20" t="n">
        <v>0</v>
      </c>
      <c r="Q57" s="18" t="n">
        <v>0</v>
      </c>
      <c r="R57" s="20" t="n">
        <v>0</v>
      </c>
    </row>
    <row r="58" spans="1:18">
      <c r="A58" s="15" t="s">
        <v>618</v>
      </c>
      <c r="B58" s="17" t="n">
        <v>3530</v>
      </c>
      <c r="C58" s="18">
        <f>(2350.0/B58*100)</f>
        <v/>
      </c>
      <c r="D58" s="19" t="n">
        <v>1180</v>
      </c>
      <c r="E58" s="18" t="n">
        <v>0</v>
      </c>
      <c r="F58" s="20" t="n">
        <v>0</v>
      </c>
      <c r="G58" s="18" t="n">
        <v>0</v>
      </c>
      <c r="H58" s="20" t="n">
        <v>0</v>
      </c>
      <c r="I58" s="18" t="s">
        <v>567</v>
      </c>
      <c r="J58" s="20" t="s">
        <v>567</v>
      </c>
      <c r="K58" s="18" t="n">
        <v>0</v>
      </c>
      <c r="L58" s="20" t="n">
        <v>0</v>
      </c>
      <c r="M58" s="18" t="n">
        <v>100</v>
      </c>
      <c r="N58" s="20" t="n">
        <v>0</v>
      </c>
      <c r="O58" s="18" t="n">
        <v>0</v>
      </c>
      <c r="P58" s="20" t="n">
        <v>0</v>
      </c>
      <c r="Q58" s="18" t="n">
        <v>0</v>
      </c>
      <c r="R58" s="20" t="n">
        <v>0</v>
      </c>
    </row>
    <row r="59" spans="1:18">
      <c r="A59" s="15" t="s">
        <v>619</v>
      </c>
      <c r="B59" s="17" t="n">
        <v>2548</v>
      </c>
      <c r="C59" s="18">
        <f>(1680.0/B59*100)</f>
        <v/>
      </c>
      <c r="D59" s="19" t="n">
        <v>868</v>
      </c>
      <c r="E59" s="18" t="n">
        <v>0</v>
      </c>
      <c r="F59" s="20" t="n">
        <v>0</v>
      </c>
      <c r="G59" s="18" t="n">
        <v>0</v>
      </c>
      <c r="H59" s="20" t="n">
        <v>0</v>
      </c>
      <c r="I59" s="18" t="s">
        <v>567</v>
      </c>
      <c r="J59" s="20" t="s">
        <v>567</v>
      </c>
      <c r="K59" s="18" t="n">
        <v>0</v>
      </c>
      <c r="L59" s="20" t="n">
        <v>0</v>
      </c>
      <c r="M59" s="18" t="n">
        <v>100</v>
      </c>
      <c r="N59" s="20" t="n">
        <v>0</v>
      </c>
      <c r="O59" s="18" t="n">
        <v>0</v>
      </c>
      <c r="P59" s="20" t="n">
        <v>0</v>
      </c>
      <c r="Q59" s="18" t="n">
        <v>0</v>
      </c>
      <c r="R59" s="20" t="n">
        <v>0</v>
      </c>
    </row>
    <row r="60" spans="1:18">
      <c r="A60" s="15" t="s">
        <v>620</v>
      </c>
      <c r="B60" s="17" t="n">
        <v>2095</v>
      </c>
      <c r="C60" s="18">
        <f>(1368.0/B60*100)</f>
        <v/>
      </c>
      <c r="D60" s="19" t="n">
        <v>727</v>
      </c>
      <c r="E60" s="18" t="n">
        <v>0</v>
      </c>
      <c r="F60" s="20" t="n">
        <v>0</v>
      </c>
      <c r="G60" s="18" t="n">
        <v>0</v>
      </c>
      <c r="H60" s="20" t="n">
        <v>0</v>
      </c>
      <c r="I60" s="18" t="s">
        <v>567</v>
      </c>
      <c r="J60" s="20" t="s">
        <v>567</v>
      </c>
      <c r="K60" s="18" t="n">
        <v>0</v>
      </c>
      <c r="L60" s="20" t="n">
        <v>0</v>
      </c>
      <c r="M60" s="18" t="n">
        <v>100</v>
      </c>
      <c r="N60" s="20" t="n">
        <v>0</v>
      </c>
      <c r="O60" s="18" t="n">
        <v>0</v>
      </c>
      <c r="P60" s="20" t="n">
        <v>0</v>
      </c>
      <c r="Q60" s="18" t="n">
        <v>0</v>
      </c>
      <c r="R60" s="20" t="n">
        <v>0</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(1885.0/B63*100)</f>
        <v/>
      </c>
      <c r="D63" s="19" t="n">
        <v>928</v>
      </c>
      <c r="E63" s="18" t="n">
        <v>0</v>
      </c>
      <c r="F63" s="20" t="n">
        <v>0</v>
      </c>
      <c r="G63" s="18" t="n">
        <v>0</v>
      </c>
      <c r="H63" s="20" t="n">
        <v>0</v>
      </c>
      <c r="I63" s="18" t="s">
        <v>567</v>
      </c>
      <c r="J63" s="20" t="s">
        <v>567</v>
      </c>
      <c r="K63" s="18" t="n">
        <v>0</v>
      </c>
      <c r="L63" s="20" t="n">
        <v>0</v>
      </c>
      <c r="M63" s="18" t="n">
        <v>100</v>
      </c>
      <c r="N63" s="20" t="n">
        <v>0</v>
      </c>
      <c r="O63" s="18" t="n">
        <v>0</v>
      </c>
      <c r="P63" s="20" t="n">
        <v>0</v>
      </c>
      <c r="Q63" s="18" t="n">
        <v>0</v>
      </c>
      <c r="R63" s="20" t="n">
        <v>0</v>
      </c>
    </row>
    <row r="64" spans="1:18">
      <c r="A64" s="15" t="s">
        <v>624</v>
      </c>
      <c r="B64" s="17" t="n">
        <v>1844</v>
      </c>
      <c r="C64" s="18">
        <f>(1231.0/B64*100)</f>
        <v/>
      </c>
      <c r="D64" s="19" t="n">
        <v>613</v>
      </c>
      <c r="E64" s="18" t="n">
        <v>0</v>
      </c>
      <c r="F64" s="20" t="n">
        <v>0</v>
      </c>
      <c r="G64" s="18" t="n">
        <v>0</v>
      </c>
      <c r="H64" s="20" t="n">
        <v>0</v>
      </c>
      <c r="I64" s="18" t="s">
        <v>567</v>
      </c>
      <c r="J64" s="20" t="s">
        <v>567</v>
      </c>
      <c r="K64" s="18" t="n">
        <v>0</v>
      </c>
      <c r="L64" s="20" t="n">
        <v>0</v>
      </c>
      <c r="M64" s="18" t="n">
        <v>100</v>
      </c>
      <c r="N64" s="20" t="n">
        <v>0</v>
      </c>
      <c r="O64" s="18" t="n">
        <v>0</v>
      </c>
      <c r="P64" s="20" t="n">
        <v>0</v>
      </c>
      <c r="Q64" s="18" t="n">
        <v>0</v>
      </c>
      <c r="R64" s="20" t="n">
        <v>0</v>
      </c>
    </row>
    <row r="65" spans="1:18">
      <c r="A65" s="15" t="s">
        <v>625</v>
      </c>
      <c r="B65" s="17" t="n">
        <v>2691</v>
      </c>
      <c r="C65" s="18">
        <f>(1804.0/B65*100)</f>
        <v/>
      </c>
      <c r="D65" s="19" t="n">
        <v>887</v>
      </c>
      <c r="E65" s="18" t="n">
        <v>0</v>
      </c>
      <c r="F65" s="20" t="n">
        <v>0</v>
      </c>
      <c r="G65" s="18" t="n">
        <v>0</v>
      </c>
      <c r="H65" s="20" t="n">
        <v>0</v>
      </c>
      <c r="I65" s="18" t="s">
        <v>567</v>
      </c>
      <c r="J65" s="20" t="s">
        <v>567</v>
      </c>
      <c r="K65" s="18" t="n">
        <v>0</v>
      </c>
      <c r="L65" s="20" t="n">
        <v>0</v>
      </c>
      <c r="M65" s="18" t="n">
        <v>100</v>
      </c>
      <c r="N65" s="20" t="n">
        <v>0</v>
      </c>
      <c r="O65" s="18" t="n">
        <v>0</v>
      </c>
      <c r="P65" s="20" t="n">
        <v>0</v>
      </c>
      <c r="Q65" s="18" t="n">
        <v>0</v>
      </c>
      <c r="R65" s="20" t="n">
        <v>0</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(1749.0/B69*100)</f>
        <v/>
      </c>
      <c r="D69" s="19" t="n">
        <v>661</v>
      </c>
      <c r="E69" s="18" t="n">
        <v>0</v>
      </c>
      <c r="F69" s="20" t="n">
        <v>0</v>
      </c>
      <c r="G69" s="18" t="n">
        <v>0</v>
      </c>
      <c r="H69" s="20" t="n">
        <v>0</v>
      </c>
      <c r="I69" s="18" t="s">
        <v>567</v>
      </c>
      <c r="J69" s="20" t="s">
        <v>567</v>
      </c>
      <c r="K69" s="18" t="n">
        <v>0</v>
      </c>
      <c r="L69" s="20" t="n">
        <v>0</v>
      </c>
      <c r="M69" s="18" t="n">
        <v>100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0</v>
      </c>
      <c r="F74" s="20" t="n">
        <v>0</v>
      </c>
      <c r="G74" s="18" t="n">
        <v>0</v>
      </c>
      <c r="H74" s="20" t="n">
        <v>0</v>
      </c>
      <c r="I74" s="18" t="s">
        <v>567</v>
      </c>
      <c r="J74" s="20" t="s">
        <v>567</v>
      </c>
      <c r="K74" s="18" t="n">
        <v>0</v>
      </c>
      <c r="L74" s="20" t="n">
        <v>0</v>
      </c>
      <c r="M74" s="18" t="n">
        <v>100</v>
      </c>
      <c r="N74" s="20" t="n">
        <v>0</v>
      </c>
      <c r="O74" s="18" t="n">
        <v>0</v>
      </c>
      <c r="P74" s="20" t="n">
        <v>0</v>
      </c>
      <c r="Q74" s="18" t="n">
        <v>0</v>
      </c>
      <c r="R74" s="20" t="n">
        <v>0</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(1874.0/B78*100)</f>
        <v/>
      </c>
      <c r="D78" s="19" t="n">
        <v>912</v>
      </c>
      <c r="E78" s="18" t="n">
        <v>0</v>
      </c>
      <c r="F78" s="20" t="n">
        <v>0</v>
      </c>
      <c r="G78" s="18" t="n">
        <v>0</v>
      </c>
      <c r="H78" s="20" t="n">
        <v>0</v>
      </c>
      <c r="I78" s="18" t="s">
        <v>567</v>
      </c>
      <c r="J78" s="20" t="s">
        <v>567</v>
      </c>
      <c r="K78" s="18" t="n">
        <v>0</v>
      </c>
      <c r="L78" s="20" t="n">
        <v>0</v>
      </c>
      <c r="M78" s="18" t="n">
        <v>100</v>
      </c>
      <c r="N78" s="20" t="n">
        <v>0</v>
      </c>
      <c r="O78" s="18" t="n">
        <v>0</v>
      </c>
      <c r="P78" s="20" t="n">
        <v>0</v>
      </c>
      <c r="Q78" s="18" t="n">
        <v>0</v>
      </c>
      <c r="R78" s="20" t="n">
        <v>0</v>
      </c>
    </row>
    <row customHeight="1" ht="25" r="79" spans="1:18">
      <c r="A79" s="15" t="s">
        <v>639</v>
      </c>
      <c r="B79" s="17" t="n">
        <v>787</v>
      </c>
      <c r="C79" s="18">
        <f>(508.0/B79*100)</f>
        <v/>
      </c>
      <c r="D79" s="19" t="n">
        <v>279</v>
      </c>
      <c r="E79" s="18" t="n">
        <v>0</v>
      </c>
      <c r="F79" s="20" t="n">
        <v>0</v>
      </c>
      <c r="G79" s="18" t="n">
        <v>0</v>
      </c>
      <c r="H79" s="20" t="n">
        <v>0</v>
      </c>
      <c r="I79" s="18" t="s">
        <v>567</v>
      </c>
      <c r="J79" s="20" t="s">
        <v>567</v>
      </c>
      <c r="K79" s="18" t="n">
        <v>0</v>
      </c>
      <c r="L79" s="20" t="n">
        <v>0</v>
      </c>
      <c r="M79" s="18" t="n">
        <v>100</v>
      </c>
      <c r="N79" s="20" t="n">
        <v>0</v>
      </c>
      <c r="O79" s="18" t="n">
        <v>0</v>
      </c>
      <c r="P79" s="20" t="n">
        <v>0</v>
      </c>
      <c r="Q79" s="18" t="n">
        <v>0</v>
      </c>
      <c r="R79" s="20" t="n">
        <v>0</v>
      </c>
    </row>
    <row r="80" spans="1:18">
      <c r="A80" s="15" t="s">
        <v>640</v>
      </c>
      <c r="B80" s="17" t="n">
        <v>3798</v>
      </c>
      <c r="C80" s="18">
        <f>(2513.0/B80*100)</f>
        <v/>
      </c>
      <c r="D80" s="19" t="n">
        <v>1285</v>
      </c>
      <c r="E80" s="18" t="n">
        <v>0</v>
      </c>
      <c r="F80" s="20" t="n">
        <v>0</v>
      </c>
      <c r="G80" s="18" t="n">
        <v>0</v>
      </c>
      <c r="H80" s="20" t="n">
        <v>0</v>
      </c>
      <c r="I80" s="18" t="s">
        <v>567</v>
      </c>
      <c r="J80" s="20" t="s">
        <v>567</v>
      </c>
      <c r="K80" s="18" t="n">
        <v>0</v>
      </c>
      <c r="L80" s="20" t="n">
        <v>0</v>
      </c>
      <c r="M80" s="18" t="n">
        <v>100</v>
      </c>
      <c r="N80" s="20" t="n">
        <v>0</v>
      </c>
      <c r="O80" s="18" t="n">
        <v>0</v>
      </c>
      <c r="P80" s="20" t="n">
        <v>0</v>
      </c>
      <c r="Q80" s="18" t="n">
        <v>0</v>
      </c>
      <c r="R80" s="20" t="n">
        <v>0</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943</v>
      </c>
    </row>
    <row customHeight="1" ht="30" r="4" spans="1:18">
      <c r="A4" s="6" t="n"/>
      <c r="B4" s="7" t="s">
        <v>551</v>
      </c>
      <c r="C4" s="7" t="s">
        <v>552</v>
      </c>
      <c r="D4" s="8" t="s">
        <v>551</v>
      </c>
      <c r="E4" s="9" t="s">
        <v>662</v>
      </c>
      <c r="F4" s="10" t="n"/>
      <c r="G4" s="9" t="s">
        <v>663</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563</v>
      </c>
      <c r="F5" s="11" t="s">
        <v>564</v>
      </c>
      <c r="G5" s="12" t="s">
        <v>563</v>
      </c>
      <c r="H5" s="11" t="s">
        <v>564</v>
      </c>
      <c r="I5" s="12" t="s">
        <v>563</v>
      </c>
      <c r="J5" s="11" t="s">
        <v>564</v>
      </c>
      <c r="K5" s="12" t="s">
        <v>563</v>
      </c>
      <c r="L5" s="11" t="s">
        <v>564</v>
      </c>
      <c r="M5" s="12" t="s">
        <v>563</v>
      </c>
      <c r="N5" s="11" t="s">
        <v>564</v>
      </c>
      <c r="O5" s="12" t="s">
        <v>563</v>
      </c>
      <c r="P5" s="11" t="s">
        <v>564</v>
      </c>
      <c r="Q5" s="12" t="s">
        <v>563</v>
      </c>
      <c r="R5" s="11" t="s">
        <v>564</v>
      </c>
    </row>
    <row r="6" spans="1:18">
      <c r="A6" s="13" t="s">
        <v>565</v>
      </c>
      <c r="B6" s="14" t="n"/>
      <c r="C6" s="14" t="n"/>
      <c r="D6" s="15" t="n"/>
      <c r="E6" s="14" t="n"/>
      <c r="F6" s="15" t="n"/>
      <c r="G6" s="14" t="n"/>
      <c r="H6" s="15" t="n"/>
      <c r="I6" s="14" t="n"/>
      <c r="J6" s="15" t="n"/>
      <c r="K6" s="14" t="n"/>
      <c r="L6" s="15" t="n"/>
      <c r="M6" s="14" t="n"/>
      <c r="N6" s="15" t="n"/>
      <c r="O6" s="14" t="n"/>
      <c r="P6" s="15" t="n"/>
      <c r="Q6" s="14" t="n"/>
      <c r="R6" s="16" t="n"/>
    </row>
    <row r="7" spans="1:18">
      <c r="A7" s="15" t="s">
        <v>566</v>
      </c>
      <c r="B7" s="17" t="n">
        <v>7367</v>
      </c>
      <c r="C7" s="18">
        <f>(7367.0/B7*100)</f>
        <v/>
      </c>
      <c r="D7" s="19" t="n">
        <v>0</v>
      </c>
      <c r="E7" s="18" t="s">
        <v>567</v>
      </c>
      <c r="F7" s="20" t="s">
        <v>567</v>
      </c>
      <c r="G7" s="18" t="s">
        <v>567</v>
      </c>
      <c r="H7" s="20" t="s">
        <v>567</v>
      </c>
      <c r="I7" s="18" t="s">
        <v>567</v>
      </c>
      <c r="J7" s="20" t="s">
        <v>567</v>
      </c>
      <c r="K7" s="18" t="s">
        <v>567</v>
      </c>
      <c r="L7" s="20" t="s">
        <v>567</v>
      </c>
      <c r="M7" s="18" t="s">
        <v>567</v>
      </c>
      <c r="N7" s="20" t="s">
        <v>567</v>
      </c>
      <c r="O7" s="18" t="s">
        <v>567</v>
      </c>
      <c r="P7" s="20" t="s">
        <v>567</v>
      </c>
      <c r="Q7" s="18" t="s">
        <v>567</v>
      </c>
      <c r="R7" s="20" t="s">
        <v>567</v>
      </c>
    </row>
    <row r="8" spans="1:18">
      <c r="A8" s="15" t="s">
        <v>568</v>
      </c>
      <c r="B8" s="17" t="n">
        <v>3564</v>
      </c>
      <c r="C8" s="18">
        <f>(3564.0/B8*100)</f>
        <v/>
      </c>
      <c r="D8" s="19" t="n">
        <v>0</v>
      </c>
      <c r="E8" s="18" t="s">
        <v>567</v>
      </c>
      <c r="F8" s="20" t="s">
        <v>567</v>
      </c>
      <c r="G8" s="18" t="s">
        <v>567</v>
      </c>
      <c r="H8" s="20" t="s">
        <v>567</v>
      </c>
      <c r="I8" s="18" t="s">
        <v>567</v>
      </c>
      <c r="J8" s="20" t="s">
        <v>567</v>
      </c>
      <c r="K8" s="18" t="s">
        <v>567</v>
      </c>
      <c r="L8" s="20" t="s">
        <v>567</v>
      </c>
      <c r="M8" s="18" t="s">
        <v>567</v>
      </c>
      <c r="N8" s="20" t="s">
        <v>567</v>
      </c>
      <c r="O8" s="18" t="s">
        <v>567</v>
      </c>
      <c r="P8" s="20" t="s">
        <v>567</v>
      </c>
      <c r="Q8" s="18" t="s">
        <v>567</v>
      </c>
      <c r="R8" s="20" t="s">
        <v>567</v>
      </c>
    </row>
    <row r="9" spans="1:18">
      <c r="A9" s="15" t="s">
        <v>569</v>
      </c>
      <c r="B9" s="17" t="n">
        <v>4899</v>
      </c>
      <c r="C9" s="18">
        <f>(4899.0/B9*100)</f>
        <v/>
      </c>
      <c r="D9" s="19" t="n">
        <v>0</v>
      </c>
      <c r="E9" s="18" t="s">
        <v>567</v>
      </c>
      <c r="F9" s="20" t="s">
        <v>567</v>
      </c>
      <c r="G9" s="18" t="s">
        <v>567</v>
      </c>
      <c r="H9" s="20" t="s">
        <v>567</v>
      </c>
      <c r="I9" s="18" t="s">
        <v>567</v>
      </c>
      <c r="J9" s="20" t="s">
        <v>567</v>
      </c>
      <c r="K9" s="18" t="s">
        <v>567</v>
      </c>
      <c r="L9" s="20" t="s">
        <v>567</v>
      </c>
      <c r="M9" s="18" t="s">
        <v>567</v>
      </c>
      <c r="N9" s="20" t="s">
        <v>567</v>
      </c>
      <c r="O9" s="18" t="s">
        <v>567</v>
      </c>
      <c r="P9" s="20" t="s">
        <v>567</v>
      </c>
      <c r="Q9" s="18" t="s">
        <v>567</v>
      </c>
      <c r="R9" s="20" t="s">
        <v>567</v>
      </c>
    </row>
    <row r="10" spans="1:18">
      <c r="A10" s="15" t="s">
        <v>570</v>
      </c>
      <c r="B10" s="17" t="n">
        <v>10036</v>
      </c>
      <c r="C10" s="18">
        <f>(10036.0/B10*100)</f>
        <v/>
      </c>
      <c r="D10" s="19" t="n">
        <v>0</v>
      </c>
      <c r="E10" s="18" t="s">
        <v>567</v>
      </c>
      <c r="F10" s="20" t="s">
        <v>567</v>
      </c>
      <c r="G10" s="18" t="s">
        <v>567</v>
      </c>
      <c r="H10" s="20" t="s">
        <v>567</v>
      </c>
      <c r="I10" s="18" t="s">
        <v>567</v>
      </c>
      <c r="J10" s="20" t="s">
        <v>567</v>
      </c>
      <c r="K10" s="18" t="s">
        <v>567</v>
      </c>
      <c r="L10" s="20" t="s">
        <v>567</v>
      </c>
      <c r="M10" s="18" t="s">
        <v>567</v>
      </c>
      <c r="N10" s="20" t="s">
        <v>567</v>
      </c>
      <c r="O10" s="18" t="s">
        <v>567</v>
      </c>
      <c r="P10" s="20" t="s">
        <v>567</v>
      </c>
      <c r="Q10" s="18" t="s">
        <v>567</v>
      </c>
      <c r="R10" s="20" t="s">
        <v>567</v>
      </c>
    </row>
    <row r="11" spans="1:18">
      <c r="A11" s="15" t="s">
        <v>571</v>
      </c>
      <c r="B11" s="17" t="n">
        <v>3553</v>
      </c>
      <c r="C11" s="18">
        <f>(3553.0/B11*100)</f>
        <v/>
      </c>
      <c r="D11" s="19" t="n">
        <v>0</v>
      </c>
      <c r="E11" s="18" t="s">
        <v>567</v>
      </c>
      <c r="F11" s="20" t="s">
        <v>567</v>
      </c>
      <c r="G11" s="18" t="s">
        <v>567</v>
      </c>
      <c r="H11" s="20" t="s">
        <v>567</v>
      </c>
      <c r="I11" s="18" t="s">
        <v>567</v>
      </c>
      <c r="J11" s="20" t="s">
        <v>567</v>
      </c>
      <c r="K11" s="18" t="s">
        <v>567</v>
      </c>
      <c r="L11" s="20" t="s">
        <v>567</v>
      </c>
      <c r="M11" s="18" t="s">
        <v>567</v>
      </c>
      <c r="N11" s="20" t="s">
        <v>567</v>
      </c>
      <c r="O11" s="18" t="s">
        <v>567</v>
      </c>
      <c r="P11" s="20" t="s">
        <v>567</v>
      </c>
      <c r="Q11" s="18" t="s">
        <v>567</v>
      </c>
      <c r="R11" s="20" t="s">
        <v>567</v>
      </c>
    </row>
    <row r="12" spans="1:18">
      <c r="A12" s="15" t="s">
        <v>572</v>
      </c>
      <c r="B12" s="17" t="n">
        <v>3472</v>
      </c>
      <c r="C12" s="18">
        <f>(3472.0/B12*100)</f>
        <v/>
      </c>
      <c r="D12" s="19" t="n">
        <v>0</v>
      </c>
      <c r="E12" s="18" t="s">
        <v>567</v>
      </c>
      <c r="F12" s="20" t="s">
        <v>567</v>
      </c>
      <c r="G12" s="18" t="s">
        <v>567</v>
      </c>
      <c r="H12" s="20" t="s">
        <v>567</v>
      </c>
      <c r="I12" s="18" t="s">
        <v>567</v>
      </c>
      <c r="J12" s="20" t="s">
        <v>567</v>
      </c>
      <c r="K12" s="18" t="s">
        <v>567</v>
      </c>
      <c r="L12" s="20" t="s">
        <v>567</v>
      </c>
      <c r="M12" s="18" t="s">
        <v>567</v>
      </c>
      <c r="N12" s="20" t="s">
        <v>567</v>
      </c>
      <c r="O12" s="18" t="s">
        <v>567</v>
      </c>
      <c r="P12" s="20" t="s">
        <v>567</v>
      </c>
      <c r="Q12" s="18" t="s">
        <v>567</v>
      </c>
      <c r="R12" s="20" t="s">
        <v>567</v>
      </c>
    </row>
    <row r="13" spans="1:18">
      <c r="A13" s="15" t="s">
        <v>573</v>
      </c>
      <c r="B13" s="17" t="n">
        <v>3559</v>
      </c>
      <c r="C13" s="18">
        <f>(3559.0/B13*100)</f>
        <v/>
      </c>
      <c r="D13" s="19" t="n">
        <v>0</v>
      </c>
      <c r="E13" s="18" t="s">
        <v>567</v>
      </c>
      <c r="F13" s="20" t="s">
        <v>567</v>
      </c>
      <c r="G13" s="18" t="s">
        <v>567</v>
      </c>
      <c r="H13" s="20" t="s">
        <v>567</v>
      </c>
      <c r="I13" s="18" t="s">
        <v>567</v>
      </c>
      <c r="J13" s="20" t="s">
        <v>567</v>
      </c>
      <c r="K13" s="18" t="s">
        <v>567</v>
      </c>
      <c r="L13" s="20" t="s">
        <v>567</v>
      </c>
      <c r="M13" s="18" t="s">
        <v>567</v>
      </c>
      <c r="N13" s="20" t="s">
        <v>567</v>
      </c>
      <c r="O13" s="18" t="s">
        <v>567</v>
      </c>
      <c r="P13" s="20" t="s">
        <v>567</v>
      </c>
      <c r="Q13" s="18" t="s">
        <v>567</v>
      </c>
      <c r="R13" s="20" t="s">
        <v>567</v>
      </c>
    </row>
    <row r="14" spans="1:18">
      <c r="A14" s="15" t="s">
        <v>574</v>
      </c>
      <c r="B14" s="17" t="n">
        <v>2799</v>
      </c>
      <c r="C14" s="18">
        <f>(2799.0/B14*100)</f>
        <v/>
      </c>
      <c r="D14" s="19" t="n">
        <v>0</v>
      </c>
      <c r="E14" s="18" t="s">
        <v>567</v>
      </c>
      <c r="F14" s="20" t="s">
        <v>567</v>
      </c>
      <c r="G14" s="18" t="s">
        <v>567</v>
      </c>
      <c r="H14" s="20" t="s">
        <v>567</v>
      </c>
      <c r="I14" s="18" t="s">
        <v>567</v>
      </c>
      <c r="J14" s="20" t="s">
        <v>567</v>
      </c>
      <c r="K14" s="18" t="s">
        <v>567</v>
      </c>
      <c r="L14" s="20" t="s">
        <v>567</v>
      </c>
      <c r="M14" s="18" t="s">
        <v>567</v>
      </c>
      <c r="N14" s="20" t="s">
        <v>567</v>
      </c>
      <c r="O14" s="18" t="s">
        <v>567</v>
      </c>
      <c r="P14" s="20" t="s">
        <v>567</v>
      </c>
      <c r="Q14" s="18" t="s">
        <v>567</v>
      </c>
      <c r="R14" s="20" t="s">
        <v>567</v>
      </c>
    </row>
    <row r="15" spans="1:18">
      <c r="A15" s="15" t="s">
        <v>575</v>
      </c>
      <c r="B15" s="17" t="n">
        <v>3019</v>
      </c>
      <c r="C15" s="18">
        <f>(3019.0/B15*100)</f>
        <v/>
      </c>
      <c r="D15" s="19" t="n">
        <v>0</v>
      </c>
      <c r="E15" s="18" t="s">
        <v>567</v>
      </c>
      <c r="F15" s="20" t="s">
        <v>567</v>
      </c>
      <c r="G15" s="18" t="s">
        <v>567</v>
      </c>
      <c r="H15" s="20" t="s">
        <v>567</v>
      </c>
      <c r="I15" s="18" t="s">
        <v>567</v>
      </c>
      <c r="J15" s="20" t="s">
        <v>567</v>
      </c>
      <c r="K15" s="18" t="s">
        <v>567</v>
      </c>
      <c r="L15" s="20" t="s">
        <v>567</v>
      </c>
      <c r="M15" s="18" t="s">
        <v>567</v>
      </c>
      <c r="N15" s="20" t="s">
        <v>567</v>
      </c>
      <c r="O15" s="18" t="s">
        <v>567</v>
      </c>
      <c r="P15" s="20" t="s">
        <v>567</v>
      </c>
      <c r="Q15" s="18" t="s">
        <v>567</v>
      </c>
      <c r="R15" s="20" t="s">
        <v>567</v>
      </c>
    </row>
    <row r="16" spans="1:18">
      <c r="A16" s="15" t="s">
        <v>576</v>
      </c>
      <c r="B16" s="17" t="n">
        <v>2997</v>
      </c>
      <c r="C16" s="18">
        <f>(2997.0/B16*100)</f>
        <v/>
      </c>
      <c r="D16" s="19" t="n">
        <v>0</v>
      </c>
      <c r="E16" s="18" t="s">
        <v>567</v>
      </c>
      <c r="F16" s="20" t="s">
        <v>567</v>
      </c>
      <c r="G16" s="18" t="s">
        <v>567</v>
      </c>
      <c r="H16" s="20" t="s">
        <v>567</v>
      </c>
      <c r="I16" s="18" t="s">
        <v>567</v>
      </c>
      <c r="J16" s="20" t="s">
        <v>567</v>
      </c>
      <c r="K16" s="18" t="s">
        <v>567</v>
      </c>
      <c r="L16" s="20" t="s">
        <v>567</v>
      </c>
      <c r="M16" s="18" t="s">
        <v>567</v>
      </c>
      <c r="N16" s="20" t="s">
        <v>567</v>
      </c>
      <c r="O16" s="18" t="s">
        <v>567</v>
      </c>
      <c r="P16" s="20" t="s">
        <v>567</v>
      </c>
      <c r="Q16" s="18" t="s">
        <v>567</v>
      </c>
      <c r="R16" s="20" t="s">
        <v>567</v>
      </c>
    </row>
    <row r="17" spans="1:18">
      <c r="A17" s="15" t="s">
        <v>577</v>
      </c>
      <c r="B17" s="17" t="n">
        <v>3307</v>
      </c>
      <c r="C17" s="18">
        <f>(3307.0/B17*100)</f>
        <v/>
      </c>
      <c r="D17" s="19" t="n">
        <v>0</v>
      </c>
      <c r="E17" s="18" t="s">
        <v>567</v>
      </c>
      <c r="F17" s="20" t="s">
        <v>567</v>
      </c>
      <c r="G17" s="18" t="s">
        <v>567</v>
      </c>
      <c r="H17" s="20" t="s">
        <v>567</v>
      </c>
      <c r="I17" s="18" t="s">
        <v>567</v>
      </c>
      <c r="J17" s="20" t="s">
        <v>567</v>
      </c>
      <c r="K17" s="18" t="s">
        <v>567</v>
      </c>
      <c r="L17" s="20" t="s">
        <v>567</v>
      </c>
      <c r="M17" s="18" t="s">
        <v>567</v>
      </c>
      <c r="N17" s="20" t="s">
        <v>567</v>
      </c>
      <c r="O17" s="18" t="s">
        <v>567</v>
      </c>
      <c r="P17" s="20" t="s">
        <v>567</v>
      </c>
      <c r="Q17" s="18" t="s">
        <v>567</v>
      </c>
      <c r="R17" s="20" t="s">
        <v>567</v>
      </c>
    </row>
    <row r="18" spans="1:18">
      <c r="A18" s="15" t="s">
        <v>578</v>
      </c>
      <c r="B18" s="17" t="n">
        <v>2826</v>
      </c>
      <c r="C18" s="18">
        <f>(2826.0/B18*100)</f>
        <v/>
      </c>
      <c r="D18" s="19" t="n">
        <v>0</v>
      </c>
      <c r="E18" s="18" t="s">
        <v>567</v>
      </c>
      <c r="F18" s="20" t="s">
        <v>567</v>
      </c>
      <c r="G18" s="18" t="s">
        <v>567</v>
      </c>
      <c r="H18" s="20" t="s">
        <v>567</v>
      </c>
      <c r="I18" s="18" t="s">
        <v>567</v>
      </c>
      <c r="J18" s="20" t="s">
        <v>567</v>
      </c>
      <c r="K18" s="18" t="s">
        <v>567</v>
      </c>
      <c r="L18" s="20" t="s">
        <v>567</v>
      </c>
      <c r="M18" s="18" t="s">
        <v>567</v>
      </c>
      <c r="N18" s="20" t="s">
        <v>567</v>
      </c>
      <c r="O18" s="18" t="s">
        <v>567</v>
      </c>
      <c r="P18" s="20" t="s">
        <v>567</v>
      </c>
      <c r="Q18" s="18" t="s">
        <v>567</v>
      </c>
      <c r="R18" s="20" t="s">
        <v>567</v>
      </c>
    </row>
    <row r="19" spans="1:18">
      <c r="A19" s="15" t="s">
        <v>579</v>
      </c>
      <c r="B19" s="17" t="n">
        <v>2808</v>
      </c>
      <c r="C19" s="18">
        <f>(2808.0/B19*100)</f>
        <v/>
      </c>
      <c r="D19" s="19" t="n">
        <v>0</v>
      </c>
      <c r="E19" s="18" t="s">
        <v>567</v>
      </c>
      <c r="F19" s="20" t="s">
        <v>567</v>
      </c>
      <c r="G19" s="18" t="s">
        <v>567</v>
      </c>
      <c r="H19" s="20" t="s">
        <v>567</v>
      </c>
      <c r="I19" s="18" t="s">
        <v>567</v>
      </c>
      <c r="J19" s="20" t="s">
        <v>567</v>
      </c>
      <c r="K19" s="18" t="s">
        <v>567</v>
      </c>
      <c r="L19" s="20" t="s">
        <v>567</v>
      </c>
      <c r="M19" s="18" t="s">
        <v>567</v>
      </c>
      <c r="N19" s="20" t="s">
        <v>567</v>
      </c>
      <c r="O19" s="18" t="s">
        <v>567</v>
      </c>
      <c r="P19" s="20" t="s">
        <v>567</v>
      </c>
      <c r="Q19" s="18" t="s">
        <v>567</v>
      </c>
      <c r="R19" s="20" t="s">
        <v>567</v>
      </c>
    </row>
    <row r="20" spans="1:18">
      <c r="A20" s="15" t="s">
        <v>580</v>
      </c>
      <c r="B20" s="17" t="n">
        <v>1630</v>
      </c>
      <c r="C20" s="18">
        <f>(1630.0/B20*100)</f>
        <v/>
      </c>
      <c r="D20" s="19" t="n">
        <v>0</v>
      </c>
      <c r="E20" s="18" t="s">
        <v>567</v>
      </c>
      <c r="F20" s="20" t="s">
        <v>567</v>
      </c>
      <c r="G20" s="18" t="s">
        <v>567</v>
      </c>
      <c r="H20" s="20" t="s">
        <v>567</v>
      </c>
      <c r="I20" s="18" t="s">
        <v>567</v>
      </c>
      <c r="J20" s="20" t="s">
        <v>567</v>
      </c>
      <c r="K20" s="18" t="s">
        <v>567</v>
      </c>
      <c r="L20" s="20" t="s">
        <v>567</v>
      </c>
      <c r="M20" s="18" t="s">
        <v>567</v>
      </c>
      <c r="N20" s="20" t="s">
        <v>567</v>
      </c>
      <c r="O20" s="18" t="s">
        <v>567</v>
      </c>
      <c r="P20" s="20" t="s">
        <v>567</v>
      </c>
      <c r="Q20" s="18" t="s">
        <v>567</v>
      </c>
      <c r="R20" s="20" t="s">
        <v>567</v>
      </c>
    </row>
    <row r="21" spans="1:18">
      <c r="A21" s="15" t="s">
        <v>581</v>
      </c>
      <c r="B21" s="17" t="n">
        <v>2908</v>
      </c>
      <c r="C21" s="18">
        <f>(2908.0/B21*100)</f>
        <v/>
      </c>
      <c r="D21" s="19" t="n">
        <v>0</v>
      </c>
      <c r="E21" s="18" t="s">
        <v>567</v>
      </c>
      <c r="F21" s="20" t="s">
        <v>567</v>
      </c>
      <c r="G21" s="18" t="s">
        <v>567</v>
      </c>
      <c r="H21" s="20" t="s">
        <v>567</v>
      </c>
      <c r="I21" s="18" t="s">
        <v>567</v>
      </c>
      <c r="J21" s="20" t="s">
        <v>567</v>
      </c>
      <c r="K21" s="18" t="s">
        <v>567</v>
      </c>
      <c r="L21" s="20" t="s">
        <v>567</v>
      </c>
      <c r="M21" s="18" t="s">
        <v>567</v>
      </c>
      <c r="N21" s="20" t="s">
        <v>567</v>
      </c>
      <c r="O21" s="18" t="s">
        <v>567</v>
      </c>
      <c r="P21" s="20" t="s">
        <v>567</v>
      </c>
      <c r="Q21" s="18" t="s">
        <v>567</v>
      </c>
      <c r="R21" s="20" t="s">
        <v>567</v>
      </c>
    </row>
    <row r="22" spans="1:18">
      <c r="A22" s="15" t="s">
        <v>582</v>
      </c>
      <c r="B22" s="17" t="n">
        <v>2931</v>
      </c>
      <c r="C22" s="18">
        <f>(2931.0/B22*100)</f>
        <v/>
      </c>
      <c r="D22" s="19" t="n">
        <v>0</v>
      </c>
      <c r="E22" s="18" t="s">
        <v>567</v>
      </c>
      <c r="F22" s="20" t="s">
        <v>567</v>
      </c>
      <c r="G22" s="18" t="s">
        <v>567</v>
      </c>
      <c r="H22" s="20" t="s">
        <v>567</v>
      </c>
      <c r="I22" s="18" t="s">
        <v>567</v>
      </c>
      <c r="J22" s="20" t="s">
        <v>567</v>
      </c>
      <c r="K22" s="18" t="s">
        <v>567</v>
      </c>
      <c r="L22" s="20" t="s">
        <v>567</v>
      </c>
      <c r="M22" s="18" t="s">
        <v>567</v>
      </c>
      <c r="N22" s="20" t="s">
        <v>567</v>
      </c>
      <c r="O22" s="18" t="s">
        <v>567</v>
      </c>
      <c r="P22" s="20" t="s">
        <v>567</v>
      </c>
      <c r="Q22" s="18" t="s">
        <v>567</v>
      </c>
      <c r="R22" s="20" t="s">
        <v>567</v>
      </c>
    </row>
    <row r="23" spans="1:18">
      <c r="A23" s="15" t="s">
        <v>583</v>
      </c>
      <c r="B23" s="17" t="n">
        <v>5791</v>
      </c>
      <c r="C23" s="18">
        <f>(5791.0/B23*100)</f>
        <v/>
      </c>
      <c r="D23" s="19" t="n">
        <v>0</v>
      </c>
      <c r="E23" s="18" t="s">
        <v>567</v>
      </c>
      <c r="F23" s="20" t="s">
        <v>567</v>
      </c>
      <c r="G23" s="18" t="s">
        <v>567</v>
      </c>
      <c r="H23" s="20" t="s">
        <v>567</v>
      </c>
      <c r="I23" s="18" t="s">
        <v>567</v>
      </c>
      <c r="J23" s="20" t="s">
        <v>567</v>
      </c>
      <c r="K23" s="18" t="s">
        <v>567</v>
      </c>
      <c r="L23" s="20" t="s">
        <v>567</v>
      </c>
      <c r="M23" s="18" t="s">
        <v>567</v>
      </c>
      <c r="N23" s="20" t="s">
        <v>567</v>
      </c>
      <c r="O23" s="18" t="s">
        <v>567</v>
      </c>
      <c r="P23" s="20" t="s">
        <v>567</v>
      </c>
      <c r="Q23" s="18" t="s">
        <v>567</v>
      </c>
      <c r="R23" s="20" t="s">
        <v>567</v>
      </c>
    </row>
    <row r="24" spans="1:18">
      <c r="A24" s="15" t="s">
        <v>584</v>
      </c>
      <c r="B24" s="17" t="n">
        <v>3338</v>
      </c>
      <c r="C24" s="18">
        <f>(3338.0/B24*100)</f>
        <v/>
      </c>
      <c r="D24" s="19" t="n">
        <v>0</v>
      </c>
      <c r="E24" s="18" t="s">
        <v>567</v>
      </c>
      <c r="F24" s="20" t="s">
        <v>567</v>
      </c>
      <c r="G24" s="18" t="s">
        <v>567</v>
      </c>
      <c r="H24" s="20" t="s">
        <v>567</v>
      </c>
      <c r="I24" s="18" t="s">
        <v>567</v>
      </c>
      <c r="J24" s="20" t="s">
        <v>567</v>
      </c>
      <c r="K24" s="18" t="s">
        <v>567</v>
      </c>
      <c r="L24" s="20" t="s">
        <v>567</v>
      </c>
      <c r="M24" s="18" t="s">
        <v>567</v>
      </c>
      <c r="N24" s="20" t="s">
        <v>567</v>
      </c>
      <c r="O24" s="18" t="s">
        <v>567</v>
      </c>
      <c r="P24" s="20" t="s">
        <v>567</v>
      </c>
      <c r="Q24" s="18" t="s">
        <v>567</v>
      </c>
      <c r="R24" s="20" t="s">
        <v>567</v>
      </c>
    </row>
    <row r="25" spans="1:18">
      <c r="A25" s="15" t="s">
        <v>585</v>
      </c>
      <c r="B25" s="17" t="n">
        <v>2912</v>
      </c>
      <c r="C25" s="18">
        <f>(2912.0/B25*100)</f>
        <v/>
      </c>
      <c r="D25" s="19" t="n">
        <v>0</v>
      </c>
      <c r="E25" s="18" t="s">
        <v>567</v>
      </c>
      <c r="F25" s="20" t="s">
        <v>567</v>
      </c>
      <c r="G25" s="18" t="s">
        <v>567</v>
      </c>
      <c r="H25" s="20" t="s">
        <v>567</v>
      </c>
      <c r="I25" s="18" t="s">
        <v>567</v>
      </c>
      <c r="J25" s="20" t="s">
        <v>567</v>
      </c>
      <c r="K25" s="18" t="s">
        <v>567</v>
      </c>
      <c r="L25" s="20" t="s">
        <v>567</v>
      </c>
      <c r="M25" s="18" t="s">
        <v>567</v>
      </c>
      <c r="N25" s="20" t="s">
        <v>567</v>
      </c>
      <c r="O25" s="18" t="s">
        <v>567</v>
      </c>
      <c r="P25" s="20" t="s">
        <v>567</v>
      </c>
      <c r="Q25" s="18" t="s">
        <v>567</v>
      </c>
      <c r="R25" s="20" t="s">
        <v>567</v>
      </c>
    </row>
    <row r="26" spans="1:18">
      <c r="A26" s="15" t="s">
        <v>586</v>
      </c>
      <c r="B26" s="17" t="n">
        <v>2450</v>
      </c>
      <c r="C26" s="18">
        <f>(2450.0/B26*100)</f>
        <v/>
      </c>
      <c r="D26" s="19" t="n">
        <v>0</v>
      </c>
      <c r="E26" s="18" t="s">
        <v>567</v>
      </c>
      <c r="F26" s="20" t="s">
        <v>567</v>
      </c>
      <c r="G26" s="18" t="s">
        <v>567</v>
      </c>
      <c r="H26" s="20" t="s">
        <v>567</v>
      </c>
      <c r="I26" s="18" t="s">
        <v>567</v>
      </c>
      <c r="J26" s="20" t="s">
        <v>567</v>
      </c>
      <c r="K26" s="18" t="s">
        <v>567</v>
      </c>
      <c r="L26" s="20" t="s">
        <v>567</v>
      </c>
      <c r="M26" s="18" t="s">
        <v>567</v>
      </c>
      <c r="N26" s="20" t="s">
        <v>567</v>
      </c>
      <c r="O26" s="18" t="s">
        <v>567</v>
      </c>
      <c r="P26" s="20" t="s">
        <v>567</v>
      </c>
      <c r="Q26" s="18" t="s">
        <v>567</v>
      </c>
      <c r="R26" s="20" t="s">
        <v>567</v>
      </c>
    </row>
    <row r="27" spans="1:18">
      <c r="A27" s="15" t="s">
        <v>587</v>
      </c>
      <c r="B27" s="17" t="n">
        <v>2616</v>
      </c>
      <c r="C27" s="18">
        <f>(2616.0/B27*100)</f>
        <v/>
      </c>
      <c r="D27" s="19" t="n">
        <v>0</v>
      </c>
      <c r="E27" s="18" t="s">
        <v>567</v>
      </c>
      <c r="F27" s="20" t="s">
        <v>567</v>
      </c>
      <c r="G27" s="18" t="s">
        <v>567</v>
      </c>
      <c r="H27" s="20" t="s">
        <v>567</v>
      </c>
      <c r="I27" s="18" t="s">
        <v>567</v>
      </c>
      <c r="J27" s="20" t="s">
        <v>567</v>
      </c>
      <c r="K27" s="18" t="s">
        <v>567</v>
      </c>
      <c r="L27" s="20" t="s">
        <v>567</v>
      </c>
      <c r="M27" s="18" t="s">
        <v>567</v>
      </c>
      <c r="N27" s="20" t="s">
        <v>567</v>
      </c>
      <c r="O27" s="18" t="s">
        <v>567</v>
      </c>
      <c r="P27" s="20" t="s">
        <v>567</v>
      </c>
      <c r="Q27" s="18" t="s">
        <v>567</v>
      </c>
      <c r="R27" s="20" t="s">
        <v>567</v>
      </c>
    </row>
    <row r="28" spans="1:18">
      <c r="A28" s="15" t="s">
        <v>588</v>
      </c>
      <c r="B28" s="17" t="n">
        <v>3765</v>
      </c>
      <c r="C28" s="18">
        <f>(3765.0/B28*100)</f>
        <v/>
      </c>
      <c r="D28" s="19" t="n">
        <v>0</v>
      </c>
      <c r="E28" s="18" t="s">
        <v>567</v>
      </c>
      <c r="F28" s="20" t="s">
        <v>567</v>
      </c>
      <c r="G28" s="18" t="s">
        <v>567</v>
      </c>
      <c r="H28" s="20" t="s">
        <v>567</v>
      </c>
      <c r="I28" s="18" t="s">
        <v>567</v>
      </c>
      <c r="J28" s="20" t="s">
        <v>567</v>
      </c>
      <c r="K28" s="18" t="s">
        <v>567</v>
      </c>
      <c r="L28" s="20" t="s">
        <v>567</v>
      </c>
      <c r="M28" s="18" t="s">
        <v>567</v>
      </c>
      <c r="N28" s="20" t="s">
        <v>567</v>
      </c>
      <c r="O28" s="18" t="s">
        <v>567</v>
      </c>
      <c r="P28" s="20" t="s">
        <v>567</v>
      </c>
      <c r="Q28" s="18" t="s">
        <v>567</v>
      </c>
      <c r="R28" s="20" t="s">
        <v>567</v>
      </c>
    </row>
    <row r="29" spans="1:18">
      <c r="A29" s="15" t="s">
        <v>589</v>
      </c>
      <c r="B29" s="17" t="n">
        <v>2685</v>
      </c>
      <c r="C29" s="18">
        <f>(2685.0/B29*100)</f>
        <v/>
      </c>
      <c r="D29" s="19" t="n">
        <v>0</v>
      </c>
      <c r="E29" s="18" t="s">
        <v>567</v>
      </c>
      <c r="F29" s="20" t="s">
        <v>567</v>
      </c>
      <c r="G29" s="18" t="s">
        <v>567</v>
      </c>
      <c r="H29" s="20" t="s">
        <v>567</v>
      </c>
      <c r="I29" s="18" t="s">
        <v>567</v>
      </c>
      <c r="J29" s="20" t="s">
        <v>567</v>
      </c>
      <c r="K29" s="18" t="s">
        <v>567</v>
      </c>
      <c r="L29" s="20" t="s">
        <v>567</v>
      </c>
      <c r="M29" s="18" t="s">
        <v>567</v>
      </c>
      <c r="N29" s="20" t="s">
        <v>567</v>
      </c>
      <c r="O29" s="18" t="s">
        <v>567</v>
      </c>
      <c r="P29" s="20" t="s">
        <v>567</v>
      </c>
      <c r="Q29" s="18" t="s">
        <v>567</v>
      </c>
      <c r="R29" s="20" t="s">
        <v>567</v>
      </c>
    </row>
    <row r="30" spans="1:18">
      <c r="A30" s="15" t="s">
        <v>590</v>
      </c>
      <c r="B30" s="17" t="n">
        <v>2263</v>
      </c>
      <c r="C30" s="18">
        <f>(2263.0/B30*100)</f>
        <v/>
      </c>
      <c r="D30" s="19" t="n">
        <v>0</v>
      </c>
      <c r="E30" s="18" t="s">
        <v>567</v>
      </c>
      <c r="F30" s="20" t="s">
        <v>567</v>
      </c>
      <c r="G30" s="18" t="s">
        <v>567</v>
      </c>
      <c r="H30" s="20" t="s">
        <v>567</v>
      </c>
      <c r="I30" s="18" t="s">
        <v>567</v>
      </c>
      <c r="J30" s="20" t="s">
        <v>567</v>
      </c>
      <c r="K30" s="18" t="s">
        <v>567</v>
      </c>
      <c r="L30" s="20" t="s">
        <v>567</v>
      </c>
      <c r="M30" s="18" t="s">
        <v>567</v>
      </c>
      <c r="N30" s="20" t="s">
        <v>567</v>
      </c>
      <c r="O30" s="18" t="s">
        <v>567</v>
      </c>
      <c r="P30" s="20" t="s">
        <v>567</v>
      </c>
      <c r="Q30" s="18" t="s">
        <v>567</v>
      </c>
      <c r="R30" s="20" t="s">
        <v>567</v>
      </c>
    </row>
    <row r="31" spans="1:18">
      <c r="A31" s="15" t="s">
        <v>591</v>
      </c>
      <c r="B31" s="17" t="n">
        <v>2750</v>
      </c>
      <c r="C31" s="18">
        <f>(2750.0/B31*100)</f>
        <v/>
      </c>
      <c r="D31" s="19" t="n">
        <v>0</v>
      </c>
      <c r="E31" s="18" t="s">
        <v>567</v>
      </c>
      <c r="F31" s="20" t="s">
        <v>567</v>
      </c>
      <c r="G31" s="18" t="s">
        <v>567</v>
      </c>
      <c r="H31" s="20" t="s">
        <v>567</v>
      </c>
      <c r="I31" s="18" t="s">
        <v>567</v>
      </c>
      <c r="J31" s="20" t="s">
        <v>567</v>
      </c>
      <c r="K31" s="18" t="s">
        <v>567</v>
      </c>
      <c r="L31" s="20" t="s">
        <v>567</v>
      </c>
      <c r="M31" s="18" t="s">
        <v>567</v>
      </c>
      <c r="N31" s="20" t="s">
        <v>567</v>
      </c>
      <c r="O31" s="18" t="s">
        <v>567</v>
      </c>
      <c r="P31" s="20" t="s">
        <v>567</v>
      </c>
      <c r="Q31" s="18" t="s">
        <v>567</v>
      </c>
      <c r="R31" s="20" t="s">
        <v>567</v>
      </c>
    </row>
    <row r="32" spans="1:18">
      <c r="A32" s="15" t="s">
        <v>592</v>
      </c>
      <c r="B32" s="17" t="n">
        <v>2269</v>
      </c>
      <c r="C32" s="18">
        <f>(2269.0/B32*100)</f>
        <v/>
      </c>
      <c r="D32" s="19" t="n">
        <v>0</v>
      </c>
      <c r="E32" s="18" t="s">
        <v>567</v>
      </c>
      <c r="F32" s="20" t="s">
        <v>567</v>
      </c>
      <c r="G32" s="18" t="s">
        <v>567</v>
      </c>
      <c r="H32" s="20" t="s">
        <v>567</v>
      </c>
      <c r="I32" s="18" t="s">
        <v>567</v>
      </c>
      <c r="J32" s="20" t="s">
        <v>567</v>
      </c>
      <c r="K32" s="18" t="s">
        <v>567</v>
      </c>
      <c r="L32" s="20" t="s">
        <v>567</v>
      </c>
      <c r="M32" s="18" t="s">
        <v>567</v>
      </c>
      <c r="N32" s="20" t="s">
        <v>567</v>
      </c>
      <c r="O32" s="18" t="s">
        <v>567</v>
      </c>
      <c r="P32" s="20" t="s">
        <v>567</v>
      </c>
      <c r="Q32" s="18" t="s">
        <v>567</v>
      </c>
      <c r="R32" s="20" t="s">
        <v>567</v>
      </c>
    </row>
    <row r="33" spans="1:18">
      <c r="A33" s="15" t="s">
        <v>593</v>
      </c>
      <c r="B33" s="17" t="n">
        <v>3674</v>
      </c>
      <c r="C33" s="18">
        <f>(3674.0/B33*100)</f>
        <v/>
      </c>
      <c r="D33" s="19" t="n">
        <v>0</v>
      </c>
      <c r="E33" s="18" t="s">
        <v>567</v>
      </c>
      <c r="F33" s="20" t="s">
        <v>567</v>
      </c>
      <c r="G33" s="18" t="s">
        <v>567</v>
      </c>
      <c r="H33" s="20" t="s">
        <v>567</v>
      </c>
      <c r="I33" s="18" t="s">
        <v>567</v>
      </c>
      <c r="J33" s="20" t="s">
        <v>567</v>
      </c>
      <c r="K33" s="18" t="s">
        <v>567</v>
      </c>
      <c r="L33" s="20" t="s">
        <v>567</v>
      </c>
      <c r="M33" s="18" t="s">
        <v>567</v>
      </c>
      <c r="N33" s="20" t="s">
        <v>567</v>
      </c>
      <c r="O33" s="18" t="s">
        <v>567</v>
      </c>
      <c r="P33" s="20" t="s">
        <v>567</v>
      </c>
      <c r="Q33" s="18" t="s">
        <v>567</v>
      </c>
      <c r="R33" s="20" t="s">
        <v>567</v>
      </c>
    </row>
    <row r="34" spans="1:18">
      <c r="A34" s="15" t="s">
        <v>594</v>
      </c>
      <c r="B34" s="17" t="n">
        <v>3315</v>
      </c>
      <c r="C34" s="18">
        <f>(3315.0/B34*100)</f>
        <v/>
      </c>
      <c r="D34" s="19" t="n">
        <v>0</v>
      </c>
      <c r="E34" s="18" t="s">
        <v>567</v>
      </c>
      <c r="F34" s="20" t="s">
        <v>567</v>
      </c>
      <c r="G34" s="18" t="s">
        <v>567</v>
      </c>
      <c r="H34" s="20" t="s">
        <v>567</v>
      </c>
      <c r="I34" s="18" t="s">
        <v>567</v>
      </c>
      <c r="J34" s="20" t="s">
        <v>567</v>
      </c>
      <c r="K34" s="18" t="s">
        <v>567</v>
      </c>
      <c r="L34" s="20" t="s">
        <v>567</v>
      </c>
      <c r="M34" s="18" t="s">
        <v>567</v>
      </c>
      <c r="N34" s="20" t="s">
        <v>567</v>
      </c>
      <c r="O34" s="18" t="s">
        <v>567</v>
      </c>
      <c r="P34" s="20" t="s">
        <v>567</v>
      </c>
      <c r="Q34" s="18" t="s">
        <v>567</v>
      </c>
      <c r="R34" s="20" t="s">
        <v>567</v>
      </c>
    </row>
    <row r="35" spans="1:18">
      <c r="A35" s="15" t="s">
        <v>595</v>
      </c>
      <c r="B35" s="17" t="n">
        <v>3505</v>
      </c>
      <c r="C35" s="18">
        <f>(3505.0/B35*100)</f>
        <v/>
      </c>
      <c r="D35" s="19" t="n">
        <v>0</v>
      </c>
      <c r="E35" s="18" t="s">
        <v>567</v>
      </c>
      <c r="F35" s="20" t="s">
        <v>567</v>
      </c>
      <c r="G35" s="18" t="s">
        <v>567</v>
      </c>
      <c r="H35" s="20" t="s">
        <v>567</v>
      </c>
      <c r="I35" s="18" t="s">
        <v>567</v>
      </c>
      <c r="J35" s="20" t="s">
        <v>567</v>
      </c>
      <c r="K35" s="18" t="s">
        <v>567</v>
      </c>
      <c r="L35" s="20" t="s">
        <v>567</v>
      </c>
      <c r="M35" s="18" t="s">
        <v>567</v>
      </c>
      <c r="N35" s="20" t="s">
        <v>567</v>
      </c>
      <c r="O35" s="18" t="s">
        <v>567</v>
      </c>
      <c r="P35" s="20" t="s">
        <v>567</v>
      </c>
      <c r="Q35" s="18" t="s">
        <v>567</v>
      </c>
      <c r="R35" s="20" t="s">
        <v>567</v>
      </c>
    </row>
    <row r="36" spans="1:18">
      <c r="A36" s="15" t="s">
        <v>596</v>
      </c>
      <c r="B36" s="17" t="n">
        <v>3332</v>
      </c>
      <c r="C36" s="18">
        <f>(3332.0/B36*100)</f>
        <v/>
      </c>
      <c r="D36" s="19" t="n">
        <v>0</v>
      </c>
      <c r="E36" s="18" t="s">
        <v>567</v>
      </c>
      <c r="F36" s="20" t="s">
        <v>567</v>
      </c>
      <c r="G36" s="18" t="s">
        <v>567</v>
      </c>
      <c r="H36" s="20" t="s">
        <v>567</v>
      </c>
      <c r="I36" s="18" t="s">
        <v>567</v>
      </c>
      <c r="J36" s="20" t="s">
        <v>567</v>
      </c>
      <c r="K36" s="18" t="s">
        <v>567</v>
      </c>
      <c r="L36" s="20" t="s">
        <v>567</v>
      </c>
      <c r="M36" s="18" t="s">
        <v>567</v>
      </c>
      <c r="N36" s="20" t="s">
        <v>567</v>
      </c>
      <c r="O36" s="18" t="s">
        <v>567</v>
      </c>
      <c r="P36" s="20" t="s">
        <v>567</v>
      </c>
      <c r="Q36" s="18" t="s">
        <v>567</v>
      </c>
      <c r="R36" s="20" t="s">
        <v>567</v>
      </c>
    </row>
    <row r="37" spans="1:18">
      <c r="A37" s="15" t="s">
        <v>597</v>
      </c>
      <c r="B37" s="17" t="n">
        <v>2727</v>
      </c>
      <c r="C37" s="18">
        <f>(2727.0/B37*100)</f>
        <v/>
      </c>
      <c r="D37" s="19" t="n">
        <v>0</v>
      </c>
      <c r="E37" s="18" t="s">
        <v>567</v>
      </c>
      <c r="F37" s="20" t="s">
        <v>567</v>
      </c>
      <c r="G37" s="18" t="s">
        <v>567</v>
      </c>
      <c r="H37" s="20" t="s">
        <v>567</v>
      </c>
      <c r="I37" s="18" t="s">
        <v>567</v>
      </c>
      <c r="J37" s="20" t="s">
        <v>567</v>
      </c>
      <c r="K37" s="18" t="s">
        <v>567</v>
      </c>
      <c r="L37" s="20" t="s">
        <v>567</v>
      </c>
      <c r="M37" s="18" t="s">
        <v>567</v>
      </c>
      <c r="N37" s="20" t="s">
        <v>567</v>
      </c>
      <c r="O37" s="18" t="s">
        <v>567</v>
      </c>
      <c r="P37" s="20" t="s">
        <v>567</v>
      </c>
      <c r="Q37" s="18" t="s">
        <v>567</v>
      </c>
      <c r="R37" s="20" t="s">
        <v>567</v>
      </c>
    </row>
    <row r="38" spans="1:18">
      <c r="A38" s="15" t="s">
        <v>598</v>
      </c>
      <c r="B38" s="17" t="n">
        <v>3053</v>
      </c>
      <c r="C38" s="18">
        <f>(3053.0/B38*100)</f>
        <v/>
      </c>
      <c r="D38" s="19" t="n">
        <v>0</v>
      </c>
      <c r="E38" s="18" t="s">
        <v>567</v>
      </c>
      <c r="F38" s="20" t="s">
        <v>567</v>
      </c>
      <c r="G38" s="18" t="s">
        <v>567</v>
      </c>
      <c r="H38" s="20" t="s">
        <v>567</v>
      </c>
      <c r="I38" s="18" t="s">
        <v>567</v>
      </c>
      <c r="J38" s="20" t="s">
        <v>567</v>
      </c>
      <c r="K38" s="18" t="s">
        <v>567</v>
      </c>
      <c r="L38" s="20" t="s">
        <v>567</v>
      </c>
      <c r="M38" s="18" t="s">
        <v>567</v>
      </c>
      <c r="N38" s="20" t="s">
        <v>567</v>
      </c>
      <c r="O38" s="18" t="s">
        <v>567</v>
      </c>
      <c r="P38" s="20" t="s">
        <v>567</v>
      </c>
      <c r="Q38" s="18" t="s">
        <v>567</v>
      </c>
      <c r="R38" s="20" t="s">
        <v>567</v>
      </c>
    </row>
    <row r="39" spans="1:18">
      <c r="A39" s="15" t="s">
        <v>599</v>
      </c>
      <c r="B39" s="17" t="n">
        <v>2957</v>
      </c>
      <c r="C39" s="18">
        <f>(2957.0/B39*100)</f>
        <v/>
      </c>
      <c r="D39" s="19" t="n">
        <v>0</v>
      </c>
      <c r="E39" s="18" t="s">
        <v>567</v>
      </c>
      <c r="F39" s="20" t="s">
        <v>567</v>
      </c>
      <c r="G39" s="18" t="s">
        <v>567</v>
      </c>
      <c r="H39" s="20" t="s">
        <v>567</v>
      </c>
      <c r="I39" s="18" t="s">
        <v>567</v>
      </c>
      <c r="J39" s="20" t="s">
        <v>567</v>
      </c>
      <c r="K39" s="18" t="s">
        <v>567</v>
      </c>
      <c r="L39" s="20" t="s">
        <v>567</v>
      </c>
      <c r="M39" s="18" t="s">
        <v>567</v>
      </c>
      <c r="N39" s="20" t="s">
        <v>567</v>
      </c>
      <c r="O39" s="18" t="s">
        <v>567</v>
      </c>
      <c r="P39" s="20" t="s">
        <v>567</v>
      </c>
      <c r="Q39" s="18" t="s">
        <v>567</v>
      </c>
      <c r="R39" s="20" t="s">
        <v>567</v>
      </c>
    </row>
    <row r="40" spans="1:18">
      <c r="A40" s="15" t="s">
        <v>600</v>
      </c>
      <c r="B40" s="17" t="n">
        <v>7235</v>
      </c>
      <c r="C40" s="18">
        <f>(7235.0/B40*100)</f>
        <v/>
      </c>
      <c r="D40" s="19" t="n">
        <v>0</v>
      </c>
      <c r="E40" s="18" t="s">
        <v>567</v>
      </c>
      <c r="F40" s="20" t="s">
        <v>567</v>
      </c>
      <c r="G40" s="18" t="s">
        <v>567</v>
      </c>
      <c r="H40" s="20" t="s">
        <v>567</v>
      </c>
      <c r="I40" s="18" t="s">
        <v>567</v>
      </c>
      <c r="J40" s="20" t="s">
        <v>567</v>
      </c>
      <c r="K40" s="18" t="s">
        <v>567</v>
      </c>
      <c r="L40" s="20" t="s">
        <v>567</v>
      </c>
      <c r="M40" s="18" t="s">
        <v>567</v>
      </c>
      <c r="N40" s="20" t="s">
        <v>567</v>
      </c>
      <c r="O40" s="18" t="s">
        <v>567</v>
      </c>
      <c r="P40" s="20" t="s">
        <v>567</v>
      </c>
      <c r="Q40" s="18" t="s">
        <v>567</v>
      </c>
      <c r="R40" s="20" t="s">
        <v>567</v>
      </c>
    </row>
    <row r="41" spans="1:18">
      <c r="A41" s="15" t="s">
        <v>601</v>
      </c>
      <c r="B41" s="17" t="n">
        <v>2858</v>
      </c>
      <c r="C41" s="18">
        <f>(2858.0/B41*100)</f>
        <v/>
      </c>
      <c r="D41" s="19" t="n">
        <v>0</v>
      </c>
      <c r="E41" s="18" t="s">
        <v>567</v>
      </c>
      <c r="F41" s="20" t="s">
        <v>567</v>
      </c>
      <c r="G41" s="18" t="s">
        <v>567</v>
      </c>
      <c r="H41" s="20" t="s">
        <v>567</v>
      </c>
      <c r="I41" s="18" t="s">
        <v>567</v>
      </c>
      <c r="J41" s="20" t="s">
        <v>567</v>
      </c>
      <c r="K41" s="18" t="s">
        <v>567</v>
      </c>
      <c r="L41" s="20" t="s">
        <v>567</v>
      </c>
      <c r="M41" s="18" t="s">
        <v>567</v>
      </c>
      <c r="N41" s="20" t="s">
        <v>567</v>
      </c>
      <c r="O41" s="18" t="s">
        <v>567</v>
      </c>
      <c r="P41" s="20" t="s">
        <v>567</v>
      </c>
      <c r="Q41" s="18" t="s">
        <v>567</v>
      </c>
      <c r="R41" s="20" t="s">
        <v>567</v>
      </c>
    </row>
    <row r="42" spans="1:18">
      <c r="A42" s="15" t="s">
        <v>602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603</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604</v>
      </c>
      <c r="B44" s="17" t="n">
        <v>2524</v>
      </c>
      <c r="C44" s="18">
        <f>(1691.0/B44*100)</f>
        <v/>
      </c>
      <c r="D44" s="19" t="n">
        <v>833</v>
      </c>
      <c r="E44" s="18" t="n">
        <v>0</v>
      </c>
      <c r="F44" s="20" t="n">
        <v>0</v>
      </c>
      <c r="G44" s="18" t="n">
        <v>0</v>
      </c>
      <c r="H44" s="20" t="n">
        <v>0</v>
      </c>
      <c r="I44" s="18" t="s">
        <v>567</v>
      </c>
      <c r="J44" s="20" t="s">
        <v>567</v>
      </c>
      <c r="K44" s="18" t="n">
        <v>0</v>
      </c>
      <c r="L44" s="20" t="n">
        <v>0</v>
      </c>
      <c r="M44" s="18" t="n">
        <v>100</v>
      </c>
      <c r="N44" s="20" t="n">
        <v>0</v>
      </c>
      <c r="O44" s="18" t="n">
        <v>0</v>
      </c>
      <c r="P44" s="20" t="n">
        <v>0</v>
      </c>
      <c r="Q44" s="18" t="n">
        <v>0</v>
      </c>
      <c r="R44" s="20" t="n">
        <v>0</v>
      </c>
    </row>
    <row r="45" spans="1:18">
      <c r="A45" s="15" t="s">
        <v>605</v>
      </c>
      <c r="B45" s="17" t="n">
        <v>2849</v>
      </c>
      <c r="C45" s="18">
        <f>(1901.0/B45*100)</f>
        <v/>
      </c>
      <c r="D45" s="19" t="n">
        <v>948</v>
      </c>
      <c r="E45" s="18" t="n">
        <v>0</v>
      </c>
      <c r="F45" s="20" t="n">
        <v>0</v>
      </c>
      <c r="G45" s="18" t="n">
        <v>0</v>
      </c>
      <c r="H45" s="20" t="n">
        <v>0</v>
      </c>
      <c r="I45" s="18" t="s">
        <v>567</v>
      </c>
      <c r="J45" s="20" t="s">
        <v>567</v>
      </c>
      <c r="K45" s="18" t="n">
        <v>0</v>
      </c>
      <c r="L45" s="20" t="n">
        <v>0</v>
      </c>
      <c r="M45" s="18" t="n">
        <v>100</v>
      </c>
      <c r="N45" s="20" t="n">
        <v>0</v>
      </c>
      <c r="O45" s="18" t="n">
        <v>0</v>
      </c>
      <c r="P45" s="20" t="n">
        <v>0</v>
      </c>
      <c r="Q45" s="18" t="n">
        <v>0</v>
      </c>
      <c r="R45" s="20" t="n">
        <v>0</v>
      </c>
    </row>
    <row r="46" spans="1:18">
      <c r="A46" s="15" t="s">
        <v>606</v>
      </c>
      <c r="B46" s="17" t="n">
        <v>11068</v>
      </c>
      <c r="C46" s="18">
        <f>(11068.0/B46*100)</f>
        <v/>
      </c>
      <c r="D46" s="19" t="n">
        <v>0</v>
      </c>
      <c r="E46" s="18" t="s">
        <v>567</v>
      </c>
      <c r="F46" s="20" t="s">
        <v>567</v>
      </c>
      <c r="G46" s="18" t="s">
        <v>567</v>
      </c>
      <c r="H46" s="20" t="s">
        <v>567</v>
      </c>
      <c r="I46" s="18" t="s">
        <v>567</v>
      </c>
      <c r="J46" s="20" t="s">
        <v>567</v>
      </c>
      <c r="K46" s="18" t="s">
        <v>567</v>
      </c>
      <c r="L46" s="20" t="s">
        <v>567</v>
      </c>
      <c r="M46" s="18" t="s">
        <v>567</v>
      </c>
      <c r="N46" s="20" t="s">
        <v>567</v>
      </c>
      <c r="O46" s="18" t="s">
        <v>567</v>
      </c>
      <c r="P46" s="20" t="s">
        <v>567</v>
      </c>
      <c r="Q46" s="18" t="s">
        <v>567</v>
      </c>
      <c r="R46" s="20" t="s">
        <v>567</v>
      </c>
    </row>
    <row r="47" spans="1:18">
      <c r="A47" s="15" t="s">
        <v>607</v>
      </c>
      <c r="B47" s="17" t="n">
        <v>3105</v>
      </c>
      <c r="C47" s="18">
        <f>(3105.0/B47*100)</f>
        <v/>
      </c>
      <c r="D47" s="19" t="n">
        <v>0</v>
      </c>
      <c r="E47" s="18" t="s">
        <v>567</v>
      </c>
      <c r="F47" s="20" t="s">
        <v>567</v>
      </c>
      <c r="G47" s="18" t="s">
        <v>567</v>
      </c>
      <c r="H47" s="20" t="s">
        <v>567</v>
      </c>
      <c r="I47" s="18" t="s">
        <v>567</v>
      </c>
      <c r="J47" s="20" t="s">
        <v>567</v>
      </c>
      <c r="K47" s="18" t="s">
        <v>567</v>
      </c>
      <c r="L47" s="20" t="s">
        <v>567</v>
      </c>
      <c r="M47" s="18" t="s">
        <v>567</v>
      </c>
      <c r="N47" s="20" t="s">
        <v>567</v>
      </c>
      <c r="O47" s="18" t="s">
        <v>567</v>
      </c>
      <c r="P47" s="20" t="s">
        <v>567</v>
      </c>
      <c r="Q47" s="18" t="s">
        <v>567</v>
      </c>
      <c r="R47" s="20" t="s">
        <v>567</v>
      </c>
    </row>
    <row r="48" spans="1:18">
      <c r="A48" s="15" t="s">
        <v>608</v>
      </c>
      <c r="B48" s="17" t="n">
        <v>5159</v>
      </c>
      <c r="C48" s="18">
        <f>(5159.0/B48*100)</f>
        <v/>
      </c>
      <c r="D48" s="19" t="n">
        <v>0</v>
      </c>
      <c r="E48" s="18" t="s">
        <v>567</v>
      </c>
      <c r="F48" s="20" t="s">
        <v>567</v>
      </c>
      <c r="G48" s="18" t="s">
        <v>567</v>
      </c>
      <c r="H48" s="20" t="s">
        <v>567</v>
      </c>
      <c r="I48" s="18" t="s">
        <v>567</v>
      </c>
      <c r="J48" s="20" t="s">
        <v>567</v>
      </c>
      <c r="K48" s="18" t="s">
        <v>567</v>
      </c>
      <c r="L48" s="20" t="s">
        <v>567</v>
      </c>
      <c r="M48" s="18" t="s">
        <v>567</v>
      </c>
      <c r="N48" s="20" t="s">
        <v>567</v>
      </c>
      <c r="O48" s="18" t="s">
        <v>567</v>
      </c>
      <c r="P48" s="20" t="s">
        <v>567</v>
      </c>
      <c r="Q48" s="18" t="s">
        <v>567</v>
      </c>
      <c r="R48" s="20" t="s">
        <v>567</v>
      </c>
    </row>
    <row r="49" spans="1:18">
      <c r="A49" s="15" t="s">
        <v>609</v>
      </c>
      <c r="B49" s="17" t="n">
        <v>3018</v>
      </c>
      <c r="C49" s="18">
        <f>(2017.0/B49*100)</f>
        <v/>
      </c>
      <c r="D49" s="19" t="n">
        <v>1001</v>
      </c>
      <c r="E49" s="18" t="n">
        <v>0</v>
      </c>
      <c r="F49" s="20" t="n">
        <v>0</v>
      </c>
      <c r="G49" s="18" t="n">
        <v>0</v>
      </c>
      <c r="H49" s="20" t="n">
        <v>0</v>
      </c>
      <c r="I49" s="18" t="s">
        <v>567</v>
      </c>
      <c r="J49" s="20" t="s">
        <v>567</v>
      </c>
      <c r="K49" s="18" t="n">
        <v>0</v>
      </c>
      <c r="L49" s="20" t="n">
        <v>0</v>
      </c>
      <c r="M49" s="18" t="n">
        <v>100</v>
      </c>
      <c r="N49" s="20" t="n">
        <v>0</v>
      </c>
      <c r="O49" s="18" t="n">
        <v>0</v>
      </c>
      <c r="P49" s="20" t="n">
        <v>0</v>
      </c>
      <c r="Q49" s="18" t="n">
        <v>0</v>
      </c>
      <c r="R49" s="20" t="n">
        <v>0</v>
      </c>
    </row>
    <row r="50" spans="1:18">
      <c r="A50" s="15" t="s">
        <v>610</v>
      </c>
      <c r="B50" s="17" t="n">
        <v>5637</v>
      </c>
      <c r="C50" s="18">
        <f>(5637.0/B50*100)</f>
        <v/>
      </c>
      <c r="D50" s="19" t="n">
        <v>0</v>
      </c>
      <c r="E50" s="18" t="s">
        <v>567</v>
      </c>
      <c r="F50" s="20" t="s">
        <v>567</v>
      </c>
      <c r="G50" s="18" t="s">
        <v>567</v>
      </c>
      <c r="H50" s="20" t="s">
        <v>567</v>
      </c>
      <c r="I50" s="18" t="s">
        <v>567</v>
      </c>
      <c r="J50" s="20" t="s">
        <v>567</v>
      </c>
      <c r="K50" s="18" t="s">
        <v>567</v>
      </c>
      <c r="L50" s="20" t="s">
        <v>567</v>
      </c>
      <c r="M50" s="18" t="s">
        <v>567</v>
      </c>
      <c r="N50" s="20" t="s">
        <v>567</v>
      </c>
      <c r="O50" s="18" t="s">
        <v>567</v>
      </c>
      <c r="P50" s="20" t="s">
        <v>567</v>
      </c>
      <c r="Q50" s="18" t="s">
        <v>567</v>
      </c>
      <c r="R50" s="20" t="s">
        <v>567</v>
      </c>
    </row>
    <row r="51" spans="1:18">
      <c r="A51" s="15" t="s">
        <v>611</v>
      </c>
      <c r="B51" s="17" t="n">
        <v>3372</v>
      </c>
      <c r="C51" s="18">
        <f>(3372.0/B51*100)</f>
        <v/>
      </c>
      <c r="D51" s="19" t="n">
        <v>0</v>
      </c>
      <c r="E51" s="18" t="s">
        <v>567</v>
      </c>
      <c r="F51" s="20" t="s">
        <v>567</v>
      </c>
      <c r="G51" s="18" t="s">
        <v>567</v>
      </c>
      <c r="H51" s="20" t="s">
        <v>567</v>
      </c>
      <c r="I51" s="18" t="s">
        <v>567</v>
      </c>
      <c r="J51" s="20" t="s">
        <v>567</v>
      </c>
      <c r="K51" s="18" t="s">
        <v>567</v>
      </c>
      <c r="L51" s="20" t="s">
        <v>567</v>
      </c>
      <c r="M51" s="18" t="s">
        <v>567</v>
      </c>
      <c r="N51" s="20" t="s">
        <v>567</v>
      </c>
      <c r="O51" s="18" t="s">
        <v>567</v>
      </c>
      <c r="P51" s="20" t="s">
        <v>567</v>
      </c>
      <c r="Q51" s="18" t="s">
        <v>567</v>
      </c>
      <c r="R51" s="20" t="s">
        <v>567</v>
      </c>
    </row>
    <row r="52" spans="1:18">
      <c r="A52" s="15" t="s">
        <v>612</v>
      </c>
      <c r="B52" s="17" t="n">
        <v>2796</v>
      </c>
      <c r="C52" s="18">
        <f>(2796.0/B52*100)</f>
        <v/>
      </c>
      <c r="D52" s="19" t="n">
        <v>0</v>
      </c>
      <c r="E52" s="18" t="s">
        <v>567</v>
      </c>
      <c r="F52" s="20" t="s">
        <v>567</v>
      </c>
      <c r="G52" s="18" t="s">
        <v>567</v>
      </c>
      <c r="H52" s="20" t="s">
        <v>567</v>
      </c>
      <c r="I52" s="18" t="s">
        <v>567</v>
      </c>
      <c r="J52" s="20" t="s">
        <v>567</v>
      </c>
      <c r="K52" s="18" t="s">
        <v>567</v>
      </c>
      <c r="L52" s="20" t="s">
        <v>567</v>
      </c>
      <c r="M52" s="18" t="s">
        <v>567</v>
      </c>
      <c r="N52" s="20" t="s">
        <v>567</v>
      </c>
      <c r="O52" s="18" t="s">
        <v>567</v>
      </c>
      <c r="P52" s="20" t="s">
        <v>567</v>
      </c>
      <c r="Q52" s="18" t="s">
        <v>567</v>
      </c>
      <c r="R52" s="20" t="s">
        <v>567</v>
      </c>
    </row>
    <row r="53" spans="1:18">
      <c r="A53" s="15" t="s">
        <v>613</v>
      </c>
      <c r="B53" s="17" t="n">
        <v>2811</v>
      </c>
      <c r="C53" s="18">
        <f>(2811.0/B53*100)</f>
        <v/>
      </c>
      <c r="D53" s="19" t="n">
        <v>0</v>
      </c>
      <c r="E53" s="18" t="s">
        <v>567</v>
      </c>
      <c r="F53" s="20" t="s">
        <v>567</v>
      </c>
      <c r="G53" s="18" t="s">
        <v>567</v>
      </c>
      <c r="H53" s="20" t="s">
        <v>567</v>
      </c>
      <c r="I53" s="18" t="s">
        <v>567</v>
      </c>
      <c r="J53" s="20" t="s">
        <v>567</v>
      </c>
      <c r="K53" s="18" t="s">
        <v>567</v>
      </c>
      <c r="L53" s="20" t="s">
        <v>567</v>
      </c>
      <c r="M53" s="18" t="s">
        <v>567</v>
      </c>
      <c r="N53" s="20" t="s">
        <v>567</v>
      </c>
      <c r="O53" s="18" t="s">
        <v>567</v>
      </c>
      <c r="P53" s="20" t="s">
        <v>567</v>
      </c>
      <c r="Q53" s="18" t="s">
        <v>567</v>
      </c>
      <c r="R53" s="20" t="s">
        <v>567</v>
      </c>
    </row>
    <row r="54" spans="1:18">
      <c r="A54" s="15" t="s">
        <v>614</v>
      </c>
      <c r="B54" s="17" t="n">
        <v>2266</v>
      </c>
      <c r="C54" s="18">
        <f>(2266.0/B54*100)</f>
        <v/>
      </c>
      <c r="D54" s="19" t="n">
        <v>0</v>
      </c>
      <c r="E54" s="18" t="s">
        <v>567</v>
      </c>
      <c r="F54" s="20" t="s">
        <v>567</v>
      </c>
      <c r="G54" s="18" t="s">
        <v>567</v>
      </c>
      <c r="H54" s="20" t="s">
        <v>567</v>
      </c>
      <c r="I54" s="18" t="s">
        <v>567</v>
      </c>
      <c r="J54" s="20" t="s">
        <v>567</v>
      </c>
      <c r="K54" s="18" t="s">
        <v>567</v>
      </c>
      <c r="L54" s="20" t="s">
        <v>567</v>
      </c>
      <c r="M54" s="18" t="s">
        <v>567</v>
      </c>
      <c r="N54" s="20" t="s">
        <v>567</v>
      </c>
      <c r="O54" s="18" t="s">
        <v>567</v>
      </c>
      <c r="P54" s="20" t="s">
        <v>567</v>
      </c>
      <c r="Q54" s="18" t="s">
        <v>567</v>
      </c>
      <c r="R54" s="20" t="s">
        <v>567</v>
      </c>
    </row>
    <row r="55" spans="1:18">
      <c r="A55" s="15" t="s">
        <v>615</v>
      </c>
      <c r="B55" s="17" t="n">
        <v>2759</v>
      </c>
      <c r="C55" s="18">
        <f>(1836.0/B55*100)</f>
        <v/>
      </c>
      <c r="D55" s="19" t="n">
        <v>923</v>
      </c>
      <c r="E55" s="18" t="n">
        <v>0</v>
      </c>
      <c r="F55" s="20" t="n">
        <v>0</v>
      </c>
      <c r="G55" s="18" t="n">
        <v>0</v>
      </c>
      <c r="H55" s="20" t="n">
        <v>0</v>
      </c>
      <c r="I55" s="18" t="s">
        <v>567</v>
      </c>
      <c r="J55" s="20" t="s">
        <v>567</v>
      </c>
      <c r="K55" s="18" t="n">
        <v>0</v>
      </c>
      <c r="L55" s="20" t="n">
        <v>0</v>
      </c>
      <c r="M55" s="18" t="n">
        <v>100</v>
      </c>
      <c r="N55" s="20" t="n">
        <v>0</v>
      </c>
      <c r="O55" s="18" t="n">
        <v>0</v>
      </c>
      <c r="P55" s="20" t="n">
        <v>0</v>
      </c>
      <c r="Q55" s="18" t="n">
        <v>0</v>
      </c>
      <c r="R55" s="20" t="n">
        <v>0</v>
      </c>
    </row>
    <row r="56" spans="1:18">
      <c r="A56" s="15" t="s">
        <v>616</v>
      </c>
      <c r="B56" s="17" t="n">
        <v>2684</v>
      </c>
      <c r="C56" s="18">
        <f>(2684.0/B56*100)</f>
        <v/>
      </c>
      <c r="D56" s="19" t="n">
        <v>0</v>
      </c>
      <c r="E56" s="18" t="s">
        <v>567</v>
      </c>
      <c r="F56" s="20" t="s">
        <v>567</v>
      </c>
      <c r="G56" s="18" t="s">
        <v>567</v>
      </c>
      <c r="H56" s="20" t="s">
        <v>567</v>
      </c>
      <c r="I56" s="18" t="s">
        <v>567</v>
      </c>
      <c r="J56" s="20" t="s">
        <v>567</v>
      </c>
      <c r="K56" s="18" t="s">
        <v>567</v>
      </c>
      <c r="L56" s="20" t="s">
        <v>567</v>
      </c>
      <c r="M56" s="18" t="s">
        <v>567</v>
      </c>
      <c r="N56" s="20" t="s">
        <v>567</v>
      </c>
      <c r="O56" s="18" t="s">
        <v>567</v>
      </c>
      <c r="P56" s="20" t="s">
        <v>567</v>
      </c>
      <c r="Q56" s="18" t="s">
        <v>567</v>
      </c>
      <c r="R56" s="20" t="s">
        <v>567</v>
      </c>
    </row>
    <row r="57" spans="1:18">
      <c r="A57" s="15" t="s">
        <v>617</v>
      </c>
      <c r="B57" s="17" t="n">
        <v>3170</v>
      </c>
      <c r="C57" s="18">
        <f>(2091.0/B57*100)</f>
        <v/>
      </c>
      <c r="D57" s="19" t="n">
        <v>1079</v>
      </c>
      <c r="E57" s="18" t="n">
        <v>0</v>
      </c>
      <c r="F57" s="20" t="n">
        <v>0</v>
      </c>
      <c r="G57" s="18" t="n">
        <v>0</v>
      </c>
      <c r="H57" s="20" t="n">
        <v>0</v>
      </c>
      <c r="I57" s="18" t="s">
        <v>567</v>
      </c>
      <c r="J57" s="20" t="s">
        <v>567</v>
      </c>
      <c r="K57" s="18" t="n">
        <v>0</v>
      </c>
      <c r="L57" s="20" t="n">
        <v>0</v>
      </c>
      <c r="M57" s="18" t="n">
        <v>100</v>
      </c>
      <c r="N57" s="20" t="n">
        <v>0</v>
      </c>
      <c r="O57" s="18" t="n">
        <v>0</v>
      </c>
      <c r="P57" s="20" t="n">
        <v>0</v>
      </c>
      <c r="Q57" s="18" t="n">
        <v>0</v>
      </c>
      <c r="R57" s="20" t="n">
        <v>0</v>
      </c>
    </row>
    <row r="58" spans="1:18">
      <c r="A58" s="15" t="s">
        <v>618</v>
      </c>
      <c r="B58" s="17" t="n">
        <v>3530</v>
      </c>
      <c r="C58" s="18">
        <f>(2350.0/B58*100)</f>
        <v/>
      </c>
      <c r="D58" s="19" t="n">
        <v>1180</v>
      </c>
      <c r="E58" s="18" t="n">
        <v>0</v>
      </c>
      <c r="F58" s="20" t="n">
        <v>0</v>
      </c>
      <c r="G58" s="18" t="n">
        <v>0</v>
      </c>
      <c r="H58" s="20" t="n">
        <v>0</v>
      </c>
      <c r="I58" s="18" t="s">
        <v>567</v>
      </c>
      <c r="J58" s="20" t="s">
        <v>567</v>
      </c>
      <c r="K58" s="18" t="n">
        <v>0</v>
      </c>
      <c r="L58" s="20" t="n">
        <v>0</v>
      </c>
      <c r="M58" s="18" t="n">
        <v>100</v>
      </c>
      <c r="N58" s="20" t="n">
        <v>0</v>
      </c>
      <c r="O58" s="18" t="n">
        <v>0</v>
      </c>
      <c r="P58" s="20" t="n">
        <v>0</v>
      </c>
      <c r="Q58" s="18" t="n">
        <v>0</v>
      </c>
      <c r="R58" s="20" t="n">
        <v>0</v>
      </c>
    </row>
    <row r="59" spans="1:18">
      <c r="A59" s="15" t="s">
        <v>619</v>
      </c>
      <c r="B59" s="17" t="n">
        <v>2548</v>
      </c>
      <c r="C59" s="18">
        <f>(1680.0/B59*100)</f>
        <v/>
      </c>
      <c r="D59" s="19" t="n">
        <v>868</v>
      </c>
      <c r="E59" s="18" t="n">
        <v>0</v>
      </c>
      <c r="F59" s="20" t="n">
        <v>0</v>
      </c>
      <c r="G59" s="18" t="n">
        <v>0</v>
      </c>
      <c r="H59" s="20" t="n">
        <v>0</v>
      </c>
      <c r="I59" s="18" t="s">
        <v>567</v>
      </c>
      <c r="J59" s="20" t="s">
        <v>567</v>
      </c>
      <c r="K59" s="18" t="n">
        <v>0</v>
      </c>
      <c r="L59" s="20" t="n">
        <v>0</v>
      </c>
      <c r="M59" s="18" t="n">
        <v>100</v>
      </c>
      <c r="N59" s="20" t="n">
        <v>0</v>
      </c>
      <c r="O59" s="18" t="n">
        <v>0</v>
      </c>
      <c r="P59" s="20" t="n">
        <v>0</v>
      </c>
      <c r="Q59" s="18" t="n">
        <v>0</v>
      </c>
      <c r="R59" s="20" t="n">
        <v>0</v>
      </c>
    </row>
    <row r="60" spans="1:18">
      <c r="A60" s="15" t="s">
        <v>620</v>
      </c>
      <c r="B60" s="17" t="n">
        <v>2095</v>
      </c>
      <c r="C60" s="18">
        <f>(1368.0/B60*100)</f>
        <v/>
      </c>
      <c r="D60" s="19" t="n">
        <v>727</v>
      </c>
      <c r="E60" s="18" t="n">
        <v>0</v>
      </c>
      <c r="F60" s="20" t="n">
        <v>0</v>
      </c>
      <c r="G60" s="18" t="n">
        <v>0</v>
      </c>
      <c r="H60" s="20" t="n">
        <v>0</v>
      </c>
      <c r="I60" s="18" t="s">
        <v>567</v>
      </c>
      <c r="J60" s="20" t="s">
        <v>567</v>
      </c>
      <c r="K60" s="18" t="n">
        <v>0</v>
      </c>
      <c r="L60" s="20" t="n">
        <v>0</v>
      </c>
      <c r="M60" s="18" t="n">
        <v>100</v>
      </c>
      <c r="N60" s="20" t="n">
        <v>0</v>
      </c>
      <c r="O60" s="18" t="n">
        <v>0</v>
      </c>
      <c r="P60" s="20" t="n">
        <v>0</v>
      </c>
      <c r="Q60" s="18" t="n">
        <v>0</v>
      </c>
      <c r="R60" s="20" t="n">
        <v>0</v>
      </c>
    </row>
    <row r="61" spans="1:18">
      <c r="A61" s="15" t="s">
        <v>621</v>
      </c>
      <c r="B61" s="17" t="n">
        <v>3324</v>
      </c>
      <c r="C61" s="18">
        <f>(3324.0/B61*100)</f>
        <v/>
      </c>
      <c r="D61" s="19" t="n">
        <v>0</v>
      </c>
      <c r="E61" s="18" t="s">
        <v>567</v>
      </c>
      <c r="F61" s="20" t="s">
        <v>567</v>
      </c>
      <c r="G61" s="18" t="s">
        <v>567</v>
      </c>
      <c r="H61" s="20" t="s">
        <v>567</v>
      </c>
      <c r="I61" s="18" t="s">
        <v>567</v>
      </c>
      <c r="J61" s="20" t="s">
        <v>567</v>
      </c>
      <c r="K61" s="18" t="s">
        <v>567</v>
      </c>
      <c r="L61" s="20" t="s">
        <v>567</v>
      </c>
      <c r="M61" s="18" t="s">
        <v>567</v>
      </c>
      <c r="N61" s="20" t="s">
        <v>567</v>
      </c>
      <c r="O61" s="18" t="s">
        <v>567</v>
      </c>
      <c r="P61" s="20" t="s">
        <v>567</v>
      </c>
      <c r="Q61" s="18" t="s">
        <v>567</v>
      </c>
      <c r="R61" s="20" t="s">
        <v>567</v>
      </c>
    </row>
    <row r="62" spans="1:18">
      <c r="A62" s="15" t="s">
        <v>622</v>
      </c>
      <c r="B62" s="17" t="n">
        <v>2246</v>
      </c>
      <c r="C62" s="18">
        <f>(2246.0/B62*100)</f>
        <v/>
      </c>
      <c r="D62" s="19" t="n">
        <v>0</v>
      </c>
      <c r="E62" s="18" t="s">
        <v>567</v>
      </c>
      <c r="F62" s="20" t="s">
        <v>567</v>
      </c>
      <c r="G62" s="18" t="s">
        <v>567</v>
      </c>
      <c r="H62" s="20" t="s">
        <v>567</v>
      </c>
      <c r="I62" s="18" t="s">
        <v>567</v>
      </c>
      <c r="J62" s="20" t="s">
        <v>567</v>
      </c>
      <c r="K62" s="18" t="s">
        <v>567</v>
      </c>
      <c r="L62" s="20" t="s">
        <v>567</v>
      </c>
      <c r="M62" s="18" t="s">
        <v>567</v>
      </c>
      <c r="N62" s="20" t="s">
        <v>567</v>
      </c>
      <c r="O62" s="18" t="s">
        <v>567</v>
      </c>
      <c r="P62" s="20" t="s">
        <v>567</v>
      </c>
      <c r="Q62" s="18" t="s">
        <v>567</v>
      </c>
      <c r="R62" s="20" t="s">
        <v>567</v>
      </c>
    </row>
    <row r="63" spans="1:18">
      <c r="A63" s="15" t="s">
        <v>623</v>
      </c>
      <c r="B63" s="17" t="n">
        <v>2813</v>
      </c>
      <c r="C63" s="18">
        <f>(1885.0/B63*100)</f>
        <v/>
      </c>
      <c r="D63" s="19" t="n">
        <v>928</v>
      </c>
      <c r="E63" s="18" t="n">
        <v>0</v>
      </c>
      <c r="F63" s="20" t="n">
        <v>0</v>
      </c>
      <c r="G63" s="18" t="n">
        <v>0</v>
      </c>
      <c r="H63" s="20" t="n">
        <v>0</v>
      </c>
      <c r="I63" s="18" t="s">
        <v>567</v>
      </c>
      <c r="J63" s="20" t="s">
        <v>567</v>
      </c>
      <c r="K63" s="18" t="n">
        <v>0</v>
      </c>
      <c r="L63" s="20" t="n">
        <v>0</v>
      </c>
      <c r="M63" s="18" t="n">
        <v>100</v>
      </c>
      <c r="N63" s="20" t="n">
        <v>0</v>
      </c>
      <c r="O63" s="18" t="n">
        <v>0</v>
      </c>
      <c r="P63" s="20" t="n">
        <v>0</v>
      </c>
      <c r="Q63" s="18" t="n">
        <v>0</v>
      </c>
      <c r="R63" s="20" t="n">
        <v>0</v>
      </c>
    </row>
    <row r="64" spans="1:18">
      <c r="A64" s="15" t="s">
        <v>624</v>
      </c>
      <c r="B64" s="17" t="n">
        <v>1844</v>
      </c>
      <c r="C64" s="18">
        <f>(1231.0/B64*100)</f>
        <v/>
      </c>
      <c r="D64" s="19" t="n">
        <v>613</v>
      </c>
      <c r="E64" s="18" t="n">
        <v>0</v>
      </c>
      <c r="F64" s="20" t="n">
        <v>0</v>
      </c>
      <c r="G64" s="18" t="n">
        <v>0</v>
      </c>
      <c r="H64" s="20" t="n">
        <v>0</v>
      </c>
      <c r="I64" s="18" t="s">
        <v>567</v>
      </c>
      <c r="J64" s="20" t="s">
        <v>567</v>
      </c>
      <c r="K64" s="18" t="n">
        <v>0</v>
      </c>
      <c r="L64" s="20" t="n">
        <v>0</v>
      </c>
      <c r="M64" s="18" t="n">
        <v>100</v>
      </c>
      <c r="N64" s="20" t="n">
        <v>0</v>
      </c>
      <c r="O64" s="18" t="n">
        <v>0</v>
      </c>
      <c r="P64" s="20" t="n">
        <v>0</v>
      </c>
      <c r="Q64" s="18" t="n">
        <v>0</v>
      </c>
      <c r="R64" s="20" t="n">
        <v>0</v>
      </c>
    </row>
    <row r="65" spans="1:18">
      <c r="A65" s="15" t="s">
        <v>625</v>
      </c>
      <c r="B65" s="17" t="n">
        <v>2691</v>
      </c>
      <c r="C65" s="18">
        <f>(1804.0/B65*100)</f>
        <v/>
      </c>
      <c r="D65" s="19" t="n">
        <v>887</v>
      </c>
      <c r="E65" s="18" t="n">
        <v>0</v>
      </c>
      <c r="F65" s="20" t="n">
        <v>0</v>
      </c>
      <c r="G65" s="18" t="n">
        <v>0</v>
      </c>
      <c r="H65" s="20" t="n">
        <v>0</v>
      </c>
      <c r="I65" s="18" t="s">
        <v>567</v>
      </c>
      <c r="J65" s="20" t="s">
        <v>567</v>
      </c>
      <c r="K65" s="18" t="n">
        <v>0</v>
      </c>
      <c r="L65" s="20" t="n">
        <v>0</v>
      </c>
      <c r="M65" s="18" t="n">
        <v>100</v>
      </c>
      <c r="N65" s="20" t="n">
        <v>0</v>
      </c>
      <c r="O65" s="18" t="n">
        <v>0</v>
      </c>
      <c r="P65" s="20" t="n">
        <v>0</v>
      </c>
      <c r="Q65" s="18" t="n">
        <v>0</v>
      </c>
      <c r="R65" s="20" t="n">
        <v>0</v>
      </c>
    </row>
    <row r="66" spans="1:18">
      <c r="A66" s="15" t="s">
        <v>626</v>
      </c>
      <c r="B66" s="17" t="n">
        <v>2894</v>
      </c>
      <c r="C66" s="18">
        <f>(2894.0/B66*100)</f>
        <v/>
      </c>
      <c r="D66" s="19" t="n">
        <v>0</v>
      </c>
      <c r="E66" s="18" t="s">
        <v>567</v>
      </c>
      <c r="F66" s="20" t="s">
        <v>567</v>
      </c>
      <c r="G66" s="18" t="s">
        <v>567</v>
      </c>
      <c r="H66" s="20" t="s">
        <v>567</v>
      </c>
      <c r="I66" s="18" t="s">
        <v>567</v>
      </c>
      <c r="J66" s="20" t="s">
        <v>567</v>
      </c>
      <c r="K66" s="18" t="s">
        <v>567</v>
      </c>
      <c r="L66" s="20" t="s">
        <v>567</v>
      </c>
      <c r="M66" s="18" t="s">
        <v>567</v>
      </c>
      <c r="N66" s="20" t="s">
        <v>567</v>
      </c>
      <c r="O66" s="18" t="s">
        <v>567</v>
      </c>
      <c r="P66" s="20" t="s">
        <v>567</v>
      </c>
      <c r="Q66" s="18" t="s">
        <v>567</v>
      </c>
      <c r="R66" s="20" t="s">
        <v>567</v>
      </c>
    </row>
    <row r="67" spans="1:18">
      <c r="A67" s="15" t="s">
        <v>627</v>
      </c>
      <c r="B67" s="17" t="n">
        <v>3511</v>
      </c>
      <c r="C67" s="18">
        <f>(3511.0/B67*100)</f>
        <v/>
      </c>
      <c r="D67" s="19" t="n">
        <v>0</v>
      </c>
      <c r="E67" s="18" t="s">
        <v>567</v>
      </c>
      <c r="F67" s="20" t="s">
        <v>567</v>
      </c>
      <c r="G67" s="18" t="s">
        <v>567</v>
      </c>
      <c r="H67" s="20" t="s">
        <v>567</v>
      </c>
      <c r="I67" s="18" t="s">
        <v>567</v>
      </c>
      <c r="J67" s="20" t="s">
        <v>567</v>
      </c>
      <c r="K67" s="18" t="s">
        <v>567</v>
      </c>
      <c r="L67" s="20" t="s">
        <v>567</v>
      </c>
      <c r="M67" s="18" t="s">
        <v>567</v>
      </c>
      <c r="N67" s="20" t="s">
        <v>567</v>
      </c>
      <c r="O67" s="18" t="s">
        <v>567</v>
      </c>
      <c r="P67" s="20" t="s">
        <v>567</v>
      </c>
      <c r="Q67" s="18" t="s">
        <v>567</v>
      </c>
      <c r="R67" s="20" t="s">
        <v>567</v>
      </c>
    </row>
    <row r="68" spans="1:18">
      <c r="A68" s="15" t="s">
        <v>628</v>
      </c>
      <c r="B68" s="17" t="n">
        <v>6049</v>
      </c>
      <c r="C68" s="18">
        <f>(6049.0/B68*100)</f>
        <v/>
      </c>
      <c r="D68" s="19" t="n">
        <v>0</v>
      </c>
      <c r="E68" s="18" t="s">
        <v>567</v>
      </c>
      <c r="F68" s="20" t="s">
        <v>567</v>
      </c>
      <c r="G68" s="18" t="s">
        <v>567</v>
      </c>
      <c r="H68" s="20" t="s">
        <v>567</v>
      </c>
      <c r="I68" s="18" t="s">
        <v>567</v>
      </c>
      <c r="J68" s="20" t="s">
        <v>567</v>
      </c>
      <c r="K68" s="18" t="s">
        <v>567</v>
      </c>
      <c r="L68" s="20" t="s">
        <v>567</v>
      </c>
      <c r="M68" s="18" t="s">
        <v>567</v>
      </c>
      <c r="N68" s="20" t="s">
        <v>567</v>
      </c>
      <c r="O68" s="18" t="s">
        <v>567</v>
      </c>
      <c r="P68" s="20" t="s">
        <v>567</v>
      </c>
      <c r="Q68" s="18" t="s">
        <v>567</v>
      </c>
      <c r="R68" s="20" t="s">
        <v>567</v>
      </c>
    </row>
    <row r="69" spans="1:18">
      <c r="A69" s="15" t="s">
        <v>629</v>
      </c>
      <c r="B69" s="17" t="n">
        <v>2410</v>
      </c>
      <c r="C69" s="18">
        <f>(1749.0/B69*100)</f>
        <v/>
      </c>
      <c r="D69" s="19" t="n">
        <v>661</v>
      </c>
      <c r="E69" s="18" t="n">
        <v>0</v>
      </c>
      <c r="F69" s="20" t="n">
        <v>0</v>
      </c>
      <c r="G69" s="18" t="n">
        <v>0</v>
      </c>
      <c r="H69" s="20" t="n">
        <v>0</v>
      </c>
      <c r="I69" s="18" t="s">
        <v>567</v>
      </c>
      <c r="J69" s="20" t="s">
        <v>567</v>
      </c>
      <c r="K69" s="18" t="n">
        <v>0</v>
      </c>
      <c r="L69" s="20" t="n">
        <v>0</v>
      </c>
      <c r="M69" s="18" t="n">
        <v>100</v>
      </c>
      <c r="N69" s="20" t="n">
        <v>0</v>
      </c>
      <c r="O69" s="18" t="n">
        <v>0</v>
      </c>
      <c r="P69" s="20" t="n">
        <v>0</v>
      </c>
      <c r="Q69" s="18" t="n">
        <v>0</v>
      </c>
      <c r="R69" s="20" t="n">
        <v>0</v>
      </c>
    </row>
    <row r="70" spans="1:18">
      <c r="A70" s="15" t="s">
        <v>630</v>
      </c>
      <c r="B70" s="17" t="n">
        <v>2929</v>
      </c>
      <c r="C70" s="18">
        <f>(2929.0/B70*100)</f>
        <v/>
      </c>
      <c r="D70" s="19" t="n">
        <v>0</v>
      </c>
      <c r="E70" s="18" t="s">
        <v>567</v>
      </c>
      <c r="F70" s="20" t="s">
        <v>567</v>
      </c>
      <c r="G70" s="18" t="s">
        <v>567</v>
      </c>
      <c r="H70" s="20" t="s">
        <v>567</v>
      </c>
      <c r="I70" s="18" t="s">
        <v>567</v>
      </c>
      <c r="J70" s="20" t="s">
        <v>567</v>
      </c>
      <c r="K70" s="18" t="s">
        <v>567</v>
      </c>
      <c r="L70" s="20" t="s">
        <v>567</v>
      </c>
      <c r="M70" s="18" t="s">
        <v>567</v>
      </c>
      <c r="N70" s="20" t="s">
        <v>567</v>
      </c>
      <c r="O70" s="18" t="s">
        <v>567</v>
      </c>
      <c r="P70" s="20" t="s">
        <v>567</v>
      </c>
      <c r="Q70" s="18" t="s">
        <v>567</v>
      </c>
      <c r="R70" s="20" t="s">
        <v>567</v>
      </c>
    </row>
    <row r="71" spans="1:18">
      <c r="A71" s="15" t="s">
        <v>631</v>
      </c>
      <c r="B71" s="17" t="n">
        <v>3142</v>
      </c>
      <c r="C71" s="18">
        <f>(3142.0/B71*100)</f>
        <v/>
      </c>
      <c r="D71" s="19" t="n">
        <v>0</v>
      </c>
      <c r="E71" s="18" t="s">
        <v>567</v>
      </c>
      <c r="F71" s="20" t="s">
        <v>567</v>
      </c>
      <c r="G71" s="18" t="s">
        <v>567</v>
      </c>
      <c r="H71" s="20" t="s">
        <v>567</v>
      </c>
      <c r="I71" s="18" t="s">
        <v>567</v>
      </c>
      <c r="J71" s="20" t="s">
        <v>567</v>
      </c>
      <c r="K71" s="18" t="s">
        <v>567</v>
      </c>
      <c r="L71" s="20" t="s">
        <v>567</v>
      </c>
      <c r="M71" s="18" t="s">
        <v>567</v>
      </c>
      <c r="N71" s="20" t="s">
        <v>567</v>
      </c>
      <c r="O71" s="18" t="s">
        <v>567</v>
      </c>
      <c r="P71" s="20" t="s">
        <v>567</v>
      </c>
      <c r="Q71" s="18" t="s">
        <v>567</v>
      </c>
      <c r="R71" s="20" t="s">
        <v>567</v>
      </c>
    </row>
    <row r="72" spans="1:18">
      <c r="A72" s="15" t="s">
        <v>632</v>
      </c>
      <c r="B72" s="17" t="n">
        <v>3889</v>
      </c>
      <c r="C72" s="18">
        <f>(3889.0/B72*100)</f>
        <v/>
      </c>
      <c r="D72" s="19" t="n">
        <v>0</v>
      </c>
      <c r="E72" s="18" t="s">
        <v>567</v>
      </c>
      <c r="F72" s="20" t="s">
        <v>567</v>
      </c>
      <c r="G72" s="18" t="s">
        <v>567</v>
      </c>
      <c r="H72" s="20" t="s">
        <v>567</v>
      </c>
      <c r="I72" s="18" t="s">
        <v>567</v>
      </c>
      <c r="J72" s="20" t="s">
        <v>567</v>
      </c>
      <c r="K72" s="18" t="s">
        <v>567</v>
      </c>
      <c r="L72" s="20" t="s">
        <v>567</v>
      </c>
      <c r="M72" s="18" t="s">
        <v>567</v>
      </c>
      <c r="N72" s="20" t="s">
        <v>567</v>
      </c>
      <c r="O72" s="18" t="s">
        <v>567</v>
      </c>
      <c r="P72" s="20" t="s">
        <v>567</v>
      </c>
      <c r="Q72" s="18" t="s">
        <v>567</v>
      </c>
      <c r="R72" s="20" t="s">
        <v>567</v>
      </c>
    </row>
    <row r="73" spans="1:18">
      <c r="A73" s="15" t="s">
        <v>633</v>
      </c>
      <c r="B73" s="17" t="n">
        <v>3597</v>
      </c>
      <c r="C73" s="18">
        <f>(3597.0/B73*100)</f>
        <v/>
      </c>
      <c r="D73" s="19" t="n">
        <v>0</v>
      </c>
      <c r="E73" s="18" t="s">
        <v>567</v>
      </c>
      <c r="F73" s="20" t="s">
        <v>567</v>
      </c>
      <c r="G73" s="18" t="s">
        <v>567</v>
      </c>
      <c r="H73" s="20" t="s">
        <v>567</v>
      </c>
      <c r="I73" s="18" t="s">
        <v>567</v>
      </c>
      <c r="J73" s="20" t="s">
        <v>567</v>
      </c>
      <c r="K73" s="18" t="s">
        <v>567</v>
      </c>
      <c r="L73" s="20" t="s">
        <v>567</v>
      </c>
      <c r="M73" s="18" t="s">
        <v>567</v>
      </c>
      <c r="N73" s="20" t="s">
        <v>567</v>
      </c>
      <c r="O73" s="18" t="s">
        <v>567</v>
      </c>
      <c r="P73" s="20" t="s">
        <v>567</v>
      </c>
      <c r="Q73" s="18" t="s">
        <v>567</v>
      </c>
      <c r="R73" s="20" t="s">
        <v>567</v>
      </c>
    </row>
    <row r="74" spans="1:18">
      <c r="A74" s="15" t="s">
        <v>634</v>
      </c>
      <c r="B74" s="17" t="n">
        <v>2239</v>
      </c>
      <c r="C74" s="18">
        <f>(1511.0/B74*100)</f>
        <v/>
      </c>
      <c r="D74" s="19" t="n">
        <v>728</v>
      </c>
      <c r="E74" s="18" t="n">
        <v>0</v>
      </c>
      <c r="F74" s="20" t="n">
        <v>0</v>
      </c>
      <c r="G74" s="18" t="n">
        <v>0</v>
      </c>
      <c r="H74" s="20" t="n">
        <v>0</v>
      </c>
      <c r="I74" s="18" t="s">
        <v>567</v>
      </c>
      <c r="J74" s="20" t="s">
        <v>567</v>
      </c>
      <c r="K74" s="18" t="n">
        <v>0</v>
      </c>
      <c r="L74" s="20" t="n">
        <v>0</v>
      </c>
      <c r="M74" s="18" t="n">
        <v>100</v>
      </c>
      <c r="N74" s="20" t="n">
        <v>0</v>
      </c>
      <c r="O74" s="18" t="n">
        <v>0</v>
      </c>
      <c r="P74" s="20" t="n">
        <v>0</v>
      </c>
      <c r="Q74" s="18" t="n">
        <v>0</v>
      </c>
      <c r="R74" s="20" t="n">
        <v>0</v>
      </c>
    </row>
    <row r="75" spans="1:18">
      <c r="A75" s="15" t="s">
        <v>635</v>
      </c>
      <c r="B75" s="17" t="n">
        <v>2406</v>
      </c>
      <c r="C75" s="18">
        <f>(2406.0/B75*100)</f>
        <v/>
      </c>
      <c r="D75" s="19" t="n">
        <v>0</v>
      </c>
      <c r="E75" s="18" t="s">
        <v>567</v>
      </c>
      <c r="F75" s="20" t="s">
        <v>567</v>
      </c>
      <c r="G75" s="18" t="s">
        <v>567</v>
      </c>
      <c r="H75" s="20" t="s">
        <v>567</v>
      </c>
      <c r="I75" s="18" t="s">
        <v>567</v>
      </c>
      <c r="J75" s="20" t="s">
        <v>567</v>
      </c>
      <c r="K75" s="18" t="s">
        <v>567</v>
      </c>
      <c r="L75" s="20" t="s">
        <v>567</v>
      </c>
      <c r="M75" s="18" t="s">
        <v>567</v>
      </c>
      <c r="N75" s="20" t="s">
        <v>567</v>
      </c>
      <c r="O75" s="18" t="s">
        <v>567</v>
      </c>
      <c r="P75" s="20" t="s">
        <v>567</v>
      </c>
      <c r="Q75" s="18" t="s">
        <v>567</v>
      </c>
      <c r="R75" s="20" t="s">
        <v>567</v>
      </c>
    </row>
    <row r="76" spans="1:18">
      <c r="A76" s="15" t="s">
        <v>636</v>
      </c>
      <c r="B76" s="17" t="n">
        <v>7052</v>
      </c>
      <c r="C76" s="18">
        <f>(7052.0/B76*100)</f>
        <v/>
      </c>
      <c r="D76" s="19" t="n">
        <v>0</v>
      </c>
      <c r="E76" s="18" t="s">
        <v>567</v>
      </c>
      <c r="F76" s="20" t="s">
        <v>567</v>
      </c>
      <c r="G76" s="18" t="s">
        <v>567</v>
      </c>
      <c r="H76" s="20" t="s">
        <v>567</v>
      </c>
      <c r="I76" s="18" t="s">
        <v>567</v>
      </c>
      <c r="J76" s="20" t="s">
        <v>567</v>
      </c>
      <c r="K76" s="18" t="s">
        <v>567</v>
      </c>
      <c r="L76" s="20" t="s">
        <v>567</v>
      </c>
      <c r="M76" s="18" t="s">
        <v>567</v>
      </c>
      <c r="N76" s="20" t="s">
        <v>567</v>
      </c>
      <c r="O76" s="18" t="s">
        <v>567</v>
      </c>
      <c r="P76" s="20" t="s">
        <v>567</v>
      </c>
      <c r="Q76" s="18" t="s">
        <v>567</v>
      </c>
      <c r="R76" s="20" t="s">
        <v>567</v>
      </c>
    </row>
    <row r="77" spans="1:18">
      <c r="A77" s="15" t="s">
        <v>637</v>
      </c>
      <c r="B77" s="17" t="n">
        <v>2908</v>
      </c>
      <c r="C77" s="18">
        <f>(2908.0/B77*100)</f>
        <v/>
      </c>
      <c r="D77" s="19" t="n">
        <v>0</v>
      </c>
      <c r="E77" s="18" t="s">
        <v>567</v>
      </c>
      <c r="F77" s="20" t="s">
        <v>567</v>
      </c>
      <c r="G77" s="18" t="s">
        <v>567</v>
      </c>
      <c r="H77" s="20" t="s">
        <v>567</v>
      </c>
      <c r="I77" s="18" t="s">
        <v>567</v>
      </c>
      <c r="J77" s="20" t="s">
        <v>567</v>
      </c>
      <c r="K77" s="18" t="s">
        <v>567</v>
      </c>
      <c r="L77" s="20" t="s">
        <v>567</v>
      </c>
      <c r="M77" s="18" t="s">
        <v>567</v>
      </c>
      <c r="N77" s="20" t="s">
        <v>567</v>
      </c>
      <c r="O77" s="18" t="s">
        <v>567</v>
      </c>
      <c r="P77" s="20" t="s">
        <v>567</v>
      </c>
      <c r="Q77" s="18" t="s">
        <v>567</v>
      </c>
      <c r="R77" s="20" t="s">
        <v>567</v>
      </c>
    </row>
    <row r="78" spans="1:18">
      <c r="A78" s="15" t="s">
        <v>638</v>
      </c>
      <c r="B78" s="17" t="n">
        <v>2786</v>
      </c>
      <c r="C78" s="18">
        <f>(1874.0/B78*100)</f>
        <v/>
      </c>
      <c r="D78" s="19" t="n">
        <v>912</v>
      </c>
      <c r="E78" s="18" t="n">
        <v>0</v>
      </c>
      <c r="F78" s="20" t="n">
        <v>0</v>
      </c>
      <c r="G78" s="18" t="n">
        <v>0</v>
      </c>
      <c r="H78" s="20" t="n">
        <v>0</v>
      </c>
      <c r="I78" s="18" t="s">
        <v>567</v>
      </c>
      <c r="J78" s="20" t="s">
        <v>567</v>
      </c>
      <c r="K78" s="18" t="n">
        <v>0</v>
      </c>
      <c r="L78" s="20" t="n">
        <v>0</v>
      </c>
      <c r="M78" s="18" t="n">
        <v>100</v>
      </c>
      <c r="N78" s="20" t="n">
        <v>0</v>
      </c>
      <c r="O78" s="18" t="n">
        <v>0</v>
      </c>
      <c r="P78" s="20" t="n">
        <v>0</v>
      </c>
      <c r="Q78" s="18" t="n">
        <v>0</v>
      </c>
      <c r="R78" s="20" t="n">
        <v>0</v>
      </c>
    </row>
    <row customHeight="1" ht="25" r="79" spans="1:18">
      <c r="A79" s="15" t="s">
        <v>639</v>
      </c>
      <c r="B79" s="17" t="n">
        <v>787</v>
      </c>
      <c r="C79" s="18">
        <f>(508.0/B79*100)</f>
        <v/>
      </c>
      <c r="D79" s="19" t="n">
        <v>279</v>
      </c>
      <c r="E79" s="18" t="n">
        <v>0</v>
      </c>
      <c r="F79" s="20" t="n">
        <v>0</v>
      </c>
      <c r="G79" s="18" t="n">
        <v>0</v>
      </c>
      <c r="H79" s="20" t="n">
        <v>0</v>
      </c>
      <c r="I79" s="18" t="s">
        <v>567</v>
      </c>
      <c r="J79" s="20" t="s">
        <v>567</v>
      </c>
      <c r="K79" s="18" t="n">
        <v>0</v>
      </c>
      <c r="L79" s="20" t="n">
        <v>0</v>
      </c>
      <c r="M79" s="18" t="n">
        <v>100</v>
      </c>
      <c r="N79" s="20" t="n">
        <v>0</v>
      </c>
      <c r="O79" s="18" t="n">
        <v>0</v>
      </c>
      <c r="P79" s="20" t="n">
        <v>0</v>
      </c>
      <c r="Q79" s="18" t="n">
        <v>0</v>
      </c>
      <c r="R79" s="20" t="n">
        <v>0</v>
      </c>
    </row>
    <row r="80" spans="1:18">
      <c r="A80" s="15" t="s">
        <v>640</v>
      </c>
      <c r="B80" s="17" t="n">
        <v>3798</v>
      </c>
      <c r="C80" s="18">
        <f>(2513.0/B80*100)</f>
        <v/>
      </c>
      <c r="D80" s="19" t="n">
        <v>1285</v>
      </c>
      <c r="E80" s="18" t="n">
        <v>0</v>
      </c>
      <c r="F80" s="20" t="n">
        <v>0</v>
      </c>
      <c r="G80" s="18" t="n">
        <v>0</v>
      </c>
      <c r="H80" s="20" t="n">
        <v>0</v>
      </c>
      <c r="I80" s="18" t="s">
        <v>567</v>
      </c>
      <c r="J80" s="20" t="s">
        <v>567</v>
      </c>
      <c r="K80" s="18" t="n">
        <v>0</v>
      </c>
      <c r="L80" s="20" t="n">
        <v>0</v>
      </c>
      <c r="M80" s="18" t="n">
        <v>100</v>
      </c>
      <c r="N80" s="20" t="n">
        <v>0</v>
      </c>
      <c r="O80" s="18" t="n">
        <v>0</v>
      </c>
      <c r="P80" s="20" t="n">
        <v>0</v>
      </c>
      <c r="Q80" s="18" t="n">
        <v>0</v>
      </c>
      <c r="R80" s="20" t="n">
        <v>0</v>
      </c>
    </row>
    <row r="81" spans="1:18">
      <c r="A81" s="21" t="s">
        <v>641</v>
      </c>
      <c r="B81" s="17" t="n">
        <v>4163</v>
      </c>
      <c r="C81" s="18">
        <f>(4163.0/B81*100)</f>
        <v/>
      </c>
      <c r="D81" s="19" t="n">
        <v>0</v>
      </c>
      <c r="E81" s="18" t="s">
        <v>567</v>
      </c>
      <c r="F81" s="20" t="s">
        <v>567</v>
      </c>
      <c r="G81" s="18" t="s">
        <v>567</v>
      </c>
      <c r="H81" s="20" t="s">
        <v>567</v>
      </c>
      <c r="I81" s="18" t="s">
        <v>567</v>
      </c>
      <c r="J81" s="20" t="s">
        <v>567</v>
      </c>
      <c r="K81" s="18" t="s">
        <v>567</v>
      </c>
      <c r="L81" s="20" t="s">
        <v>567</v>
      </c>
      <c r="M81" s="18" t="s">
        <v>567</v>
      </c>
      <c r="N81" s="20" t="s">
        <v>567</v>
      </c>
      <c r="O81" s="18" t="s">
        <v>567</v>
      </c>
      <c r="P81" s="20" t="s">
        <v>567</v>
      </c>
      <c r="Q81" s="18" t="s">
        <v>567</v>
      </c>
      <c r="R81" s="20" t="s">
        <v>567</v>
      </c>
    </row>
    <row r="82" spans="1:18">
      <c r="A82" s="22" t="n"/>
      <c r="B82" s="22" t="s">
        <v>642</v>
      </c>
      <c r="C82" s="22" t="s">
        <v>642</v>
      </c>
      <c r="D82" s="22" t="s">
        <v>642</v>
      </c>
      <c r="E82" s="22" t="s">
        <v>642</v>
      </c>
      <c r="F82" s="22" t="s">
        <v>642</v>
      </c>
      <c r="G82" s="22" t="s">
        <v>642</v>
      </c>
      <c r="H82" s="22" t="s">
        <v>642</v>
      </c>
      <c r="I82" s="22" t="s">
        <v>642</v>
      </c>
      <c r="J82" s="22" t="s">
        <v>642</v>
      </c>
      <c r="K82" s="22" t="s">
        <v>642</v>
      </c>
      <c r="L82" s="22" t="s">
        <v>642</v>
      </c>
      <c r="M82" s="22" t="s">
        <v>642</v>
      </c>
      <c r="N82" s="22" t="s">
        <v>642</v>
      </c>
      <c r="O82" s="22" t="s">
        <v>642</v>
      </c>
      <c r="P82" s="22" t="s">
        <v>642</v>
      </c>
      <c r="Q82" s="22" t="s">
        <v>642</v>
      </c>
      <c r="R82" s="22" t="s">
        <v>642</v>
      </c>
    </row>
    <row r="83" spans="1:18">
      <c r="A83" s="3" t="s">
        <v>643</v>
      </c>
    </row>
    <row r="84" spans="1:18">
      <c r="A84" s="23" t="s">
        <v>644</v>
      </c>
    </row>
    <row r="85" spans="1:18">
      <c r="A85" s="23" t="s">
        <v>645</v>
      </c>
    </row>
    <row customHeight="1" ht="30" r="86" spans="1:18">
      <c r="A86" s="23" t="s">
        <v>646</v>
      </c>
    </row>
    <row customHeight="1" ht="30" r="87" spans="1:18">
      <c r="A87" s="23" t="s">
        <v>642</v>
      </c>
    </row>
    <row customHeight="1" ht="30" r="88" spans="1:18">
      <c r="A88" s="23" t="s">
        <v>647</v>
      </c>
    </row>
    <row customHeight="1" ht="30" r="89" spans="1:18">
      <c r="A89" s="23" t="s">
        <v>648</v>
      </c>
    </row>
    <row customHeight="1" ht="30" r="90" spans="1:18">
      <c r="A90" s="23" t="s">
        <v>649</v>
      </c>
    </row>
    <row customHeight="1" ht="30" r="91" spans="1:18">
      <c r="A91" s="23" t="s">
        <v>650</v>
      </c>
    </row>
    <row customHeight="1" ht="30" r="92" spans="1:18">
      <c r="A92" s="23" t="s">
        <v>651</v>
      </c>
    </row>
    <row customHeight="1" ht="30" r="93" spans="1:18">
      <c r="A93" s="23" t="s">
        <v>652</v>
      </c>
    </row>
    <row customHeight="1" ht="30" r="94" spans="1:18">
      <c r="A94" s="23" t="s">
        <v>653</v>
      </c>
    </row>
    <row customHeight="1" ht="30" r="95" spans="1:18">
      <c r="A95" s="23" t="s">
        <v>654</v>
      </c>
    </row>
    <row customHeight="1" ht="30" r="96" spans="1:18">
      <c r="A96" s="23" t="s">
        <v>655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275</vt:i4>
      </vt:variant>
    </vt:vector>
  </ns0:HeadingPairs>
  <ns0:TitlesOfParts>
    <vt:vector xmlns:vt="http://schemas.openxmlformats.org/officeDocument/2006/docPropsVTypes" baseType="lpstr" size="275">
      <vt:lpstr>Table of Contents</vt:lpstr>
      <vt:lpstr>DS269Q01C</vt:lpstr>
      <vt:lpstr>DS269Q03C</vt:lpstr>
      <vt:lpstr>CS269Q04S</vt:lpstr>
      <vt:lpstr>CS408Q01S</vt:lpstr>
      <vt:lpstr>DS408Q03C</vt:lpstr>
      <vt:lpstr>CS408Q04S</vt:lpstr>
      <vt:lpstr>CS408Q05S</vt:lpstr>
      <vt:lpstr>CS521Q02S</vt:lpstr>
      <vt:lpstr>CS521Q06S</vt:lpstr>
      <vt:lpstr>DS519Q01C</vt:lpstr>
      <vt:lpstr>CS519Q02S</vt:lpstr>
      <vt:lpstr>DS519Q03C</vt:lpstr>
      <vt:lpstr>CS527Q01S</vt:lpstr>
      <vt:lpstr>CS527Q03S</vt:lpstr>
      <vt:lpstr>CS527Q04S</vt:lpstr>
      <vt:lpstr>CS466Q01S</vt:lpstr>
      <vt:lpstr>CS466Q07S</vt:lpstr>
      <vt:lpstr>CS466Q05S</vt:lpstr>
      <vt:lpstr>DS326Q01C</vt:lpstr>
      <vt:lpstr>DS326Q02C</vt:lpstr>
      <vt:lpstr>CS326Q03S</vt:lpstr>
      <vt:lpstr>CS326Q04S</vt:lpstr>
      <vt:lpstr>CS256Q01S</vt:lpstr>
      <vt:lpstr>CS478Q01S</vt:lpstr>
      <vt:lpstr>CS478Q02S</vt:lpstr>
      <vt:lpstr>CS478Q03S</vt:lpstr>
      <vt:lpstr>CS413Q06S</vt:lpstr>
      <vt:lpstr>CS413Q04S</vt:lpstr>
      <vt:lpstr>CS413Q05S</vt:lpstr>
      <vt:lpstr>CS498Q02S</vt:lpstr>
      <vt:lpstr>CS498Q03S</vt:lpstr>
      <vt:lpstr>DS498Q04C</vt:lpstr>
      <vt:lpstr>DS425Q03C</vt:lpstr>
      <vt:lpstr>CS425Q05S</vt:lpstr>
      <vt:lpstr>CS425Q02S</vt:lpstr>
      <vt:lpstr>DS425Q04C</vt:lpstr>
      <vt:lpstr>DS465Q01C</vt:lpstr>
      <vt:lpstr>CS465Q02S</vt:lpstr>
      <vt:lpstr>CS465Q04S</vt:lpstr>
      <vt:lpstr>DS131Q02C</vt:lpstr>
      <vt:lpstr>DS131Q04C</vt:lpstr>
      <vt:lpstr>CS428Q01S</vt:lpstr>
      <vt:lpstr>CS428Q03S</vt:lpstr>
      <vt:lpstr>DS428Q05C</vt:lpstr>
      <vt:lpstr>DS514Q02C</vt:lpstr>
      <vt:lpstr>DS514Q03C</vt:lpstr>
      <vt:lpstr>DS514Q04C</vt:lpstr>
      <vt:lpstr>CS438Q01S</vt:lpstr>
      <vt:lpstr>CS438Q02S</vt:lpstr>
      <vt:lpstr>DS438Q03C</vt:lpstr>
      <vt:lpstr>CS415Q07S</vt:lpstr>
      <vt:lpstr>CS415Q02S</vt:lpstr>
      <vt:lpstr>CS415Q08S</vt:lpstr>
      <vt:lpstr>CS476Q01S</vt:lpstr>
      <vt:lpstr>CS476Q02S</vt:lpstr>
      <vt:lpstr>CS476Q03S</vt:lpstr>
      <vt:lpstr>CS495Q04S</vt:lpstr>
      <vt:lpstr>CS495Q01S</vt:lpstr>
      <vt:lpstr>CS495Q02S</vt:lpstr>
      <vt:lpstr>DS495Q03C</vt:lpstr>
      <vt:lpstr>CS268Q01S</vt:lpstr>
      <vt:lpstr>DS268Q02C</vt:lpstr>
      <vt:lpstr>CS268Q06S</vt:lpstr>
      <vt:lpstr>CS524Q06S</vt:lpstr>
      <vt:lpstr>DS524Q07C</vt:lpstr>
      <vt:lpstr>CS510Q01S</vt:lpstr>
      <vt:lpstr>DS510Q04C</vt:lpstr>
      <vt:lpstr>CS437Q01S</vt:lpstr>
      <vt:lpstr>CS437Q03S</vt:lpstr>
      <vt:lpstr>CS437Q04S</vt:lpstr>
      <vt:lpstr>DS437Q06C</vt:lpstr>
      <vt:lpstr>DS304Q01C</vt:lpstr>
      <vt:lpstr>CS304Q02S</vt:lpstr>
      <vt:lpstr>DS304Q03aC</vt:lpstr>
      <vt:lpstr>DS304Q03bC</vt:lpstr>
      <vt:lpstr>DS416Q01C</vt:lpstr>
      <vt:lpstr>DS458Q01C</vt:lpstr>
      <vt:lpstr>CS458Q02S</vt:lpstr>
      <vt:lpstr>CS421Q01S</vt:lpstr>
      <vt:lpstr>CS421Q02S</vt:lpstr>
      <vt:lpstr>CS421Q03S</vt:lpstr>
      <vt:lpstr>CS252Q01S</vt:lpstr>
      <vt:lpstr>CS252Q02S</vt:lpstr>
      <vt:lpstr>CS252Q03S</vt:lpstr>
      <vt:lpstr>CS327Q01S</vt:lpstr>
      <vt:lpstr>CS627Q01S</vt:lpstr>
      <vt:lpstr>CS627Q03S</vt:lpstr>
      <vt:lpstr>CS627Q04S</vt:lpstr>
      <vt:lpstr>CS635Q01S</vt:lpstr>
      <vt:lpstr>CS635Q02S</vt:lpstr>
      <vt:lpstr>DS635Q03C</vt:lpstr>
      <vt:lpstr>CS635Q04S</vt:lpstr>
      <vt:lpstr>DS635Q05C</vt:lpstr>
      <vt:lpstr>CS603Q01S</vt:lpstr>
      <vt:lpstr>DS603Q02C</vt:lpstr>
      <vt:lpstr>CS603Q03S</vt:lpstr>
      <vt:lpstr>CS603Q04S</vt:lpstr>
      <vt:lpstr>CS603Q05S</vt:lpstr>
      <vt:lpstr>CS602Q01S</vt:lpstr>
      <vt:lpstr>CS602Q02S</vt:lpstr>
      <vt:lpstr>DS602Q03C</vt:lpstr>
      <vt:lpstr>CS602Q04S</vt:lpstr>
      <vt:lpstr>CS607Q01S</vt:lpstr>
      <vt:lpstr>CS607Q02S</vt:lpstr>
      <vt:lpstr>DS607Q03C</vt:lpstr>
      <vt:lpstr>CS646Q01S</vt:lpstr>
      <vt:lpstr>CS646Q02S</vt:lpstr>
      <vt:lpstr>CS646Q03S</vt:lpstr>
      <vt:lpstr>DS646Q04C</vt:lpstr>
      <vt:lpstr>DS646Q05C</vt:lpstr>
      <vt:lpstr>CS608Q01S</vt:lpstr>
      <vt:lpstr>CS608Q02S</vt:lpstr>
      <vt:lpstr>CS608Q03S</vt:lpstr>
      <vt:lpstr>DS608Q04C</vt:lpstr>
      <vt:lpstr>CS605Q01S</vt:lpstr>
      <vt:lpstr>CS605Q02S</vt:lpstr>
      <vt:lpstr>CS605Q03S</vt:lpstr>
      <vt:lpstr>DS605Q04C</vt:lpstr>
      <vt:lpstr>CS649Q01S</vt:lpstr>
      <vt:lpstr>DS649Q02C</vt:lpstr>
      <vt:lpstr>CS649Q03S</vt:lpstr>
      <vt:lpstr>CS649Q04S</vt:lpstr>
      <vt:lpstr>CS634Q01S</vt:lpstr>
      <vt:lpstr>CS634Q02S</vt:lpstr>
      <vt:lpstr>DS634Q03C</vt:lpstr>
      <vt:lpstr>DS634Q05C</vt:lpstr>
      <vt:lpstr>CS634Q04S</vt:lpstr>
      <vt:lpstr>CS620Q01S</vt:lpstr>
      <vt:lpstr>CS620Q02S</vt:lpstr>
      <vt:lpstr>DS620Q04C</vt:lpstr>
      <vt:lpstr>CS638Q01S</vt:lpstr>
      <vt:lpstr>CS638Q02S</vt:lpstr>
      <vt:lpstr>CS638Q04S</vt:lpstr>
      <vt:lpstr>DS638Q05C</vt:lpstr>
      <vt:lpstr>DS625Q01C</vt:lpstr>
      <vt:lpstr>CS625Q02S</vt:lpstr>
      <vt:lpstr>CS625Q03S</vt:lpstr>
      <vt:lpstr>CS615Q07S</vt:lpstr>
      <vt:lpstr>CS615Q01S</vt:lpstr>
      <vt:lpstr>CS615Q02S</vt:lpstr>
      <vt:lpstr>CS615Q05S</vt:lpstr>
      <vt:lpstr>CS604Q02S</vt:lpstr>
      <vt:lpstr>DS604Q04C</vt:lpstr>
      <vt:lpstr>CS645Q01S</vt:lpstr>
      <vt:lpstr>CS645Q03S</vt:lpstr>
      <vt:lpstr>DS645Q04C</vt:lpstr>
      <vt:lpstr>DS645Q05C</vt:lpstr>
      <vt:lpstr>CS657Q01S</vt:lpstr>
      <vt:lpstr>CS657Q02S</vt:lpstr>
      <vt:lpstr>CS657Q03S</vt:lpstr>
      <vt:lpstr>DS657Q04C</vt:lpstr>
      <vt:lpstr>CS656Q01S</vt:lpstr>
      <vt:lpstr>DS656Q02C</vt:lpstr>
      <vt:lpstr>CS656Q04S</vt:lpstr>
      <vt:lpstr>DS643Q03C</vt:lpstr>
      <vt:lpstr>CS643Q01S</vt:lpstr>
      <vt:lpstr>CS643Q02S</vt:lpstr>
      <vt:lpstr>CS643Q04S</vt:lpstr>
      <vt:lpstr>DS643Q05C</vt:lpstr>
      <vt:lpstr>DS629Q01C</vt:lpstr>
      <vt:lpstr>CS629Q02S</vt:lpstr>
      <vt:lpstr>DS629Q03C</vt:lpstr>
      <vt:lpstr>CS629Q04S</vt:lpstr>
      <vt:lpstr>DS648Q01C</vt:lpstr>
      <vt:lpstr>CS648Q02S</vt:lpstr>
      <vt:lpstr>CS648Q03S</vt:lpstr>
      <vt:lpstr>DS648Q05C</vt:lpstr>
      <vt:lpstr>CS641Q01S</vt:lpstr>
      <vt:lpstr>CS641Q02S</vt:lpstr>
      <vt:lpstr>CS641Q03S</vt:lpstr>
      <vt:lpstr>CS641Q04S</vt:lpstr>
      <vt:lpstr>DS637Q01C</vt:lpstr>
      <vt:lpstr>CS637Q02S</vt:lpstr>
      <vt:lpstr>DS637Q05C</vt:lpstr>
      <vt:lpstr>CS601Q01S</vt:lpstr>
      <vt:lpstr>CS601Q02S</vt:lpstr>
      <vt:lpstr>CS601Q04S</vt:lpstr>
      <vt:lpstr>DS610Q01C</vt:lpstr>
      <vt:lpstr>CS610Q02S</vt:lpstr>
      <vt:lpstr>CS610Q04S</vt:lpstr>
      <vt:lpstr>CS626Q01S</vt:lpstr>
      <vt:lpstr>CS626Q02S</vt:lpstr>
      <vt:lpstr>CS626Q03S</vt:lpstr>
      <vt:lpstr>DS626Q04C</vt:lpstr>
      <vt:lpstr>PS269Q01</vt:lpstr>
      <vt:lpstr>PS269Q03</vt:lpstr>
      <vt:lpstr>PS269Q04S</vt:lpstr>
      <vt:lpstr>PS408Q01S</vt:lpstr>
      <vt:lpstr>PS408Q03</vt:lpstr>
      <vt:lpstr>PS408Q04S</vt:lpstr>
      <vt:lpstr>PS408Q05S</vt:lpstr>
      <vt:lpstr>PS521Q02S</vt:lpstr>
      <vt:lpstr>PS521Q06S</vt:lpstr>
      <vt:lpstr>PS519Q01</vt:lpstr>
      <vt:lpstr>PS519Q02S</vt:lpstr>
      <vt:lpstr>PS519Q03</vt:lpstr>
      <vt:lpstr>PS527Q01S</vt:lpstr>
      <vt:lpstr>PS527Q03S</vt:lpstr>
      <vt:lpstr>PS527Q04S</vt:lpstr>
      <vt:lpstr>PS466Q01S</vt:lpstr>
      <vt:lpstr>PS466Q07S</vt:lpstr>
      <vt:lpstr>PS466Q05S</vt:lpstr>
      <vt:lpstr>PS326Q01</vt:lpstr>
      <vt:lpstr>PS326Q02</vt:lpstr>
      <vt:lpstr>PS326Q03S</vt:lpstr>
      <vt:lpstr>PS326Q04S</vt:lpstr>
      <vt:lpstr>PS256Q01S</vt:lpstr>
      <vt:lpstr>PS478Q01S</vt:lpstr>
      <vt:lpstr>PS478Q02S</vt:lpstr>
      <vt:lpstr>PS478Q03S</vt:lpstr>
      <vt:lpstr>PS413Q06</vt:lpstr>
      <vt:lpstr>PS413Q04S</vt:lpstr>
      <vt:lpstr>PS413Q05S</vt:lpstr>
      <vt:lpstr>PS498Q02S</vt:lpstr>
      <vt:lpstr>PS498Q03S</vt:lpstr>
      <vt:lpstr>PS498Q04</vt:lpstr>
      <vt:lpstr>PS425Q03</vt:lpstr>
      <vt:lpstr>PS425Q05S</vt:lpstr>
      <vt:lpstr>PS425Q02S</vt:lpstr>
      <vt:lpstr>PS425Q04</vt:lpstr>
      <vt:lpstr>PS465Q01</vt:lpstr>
      <vt:lpstr>PS465Q02S</vt:lpstr>
      <vt:lpstr>PS465Q04S</vt:lpstr>
      <vt:lpstr>PS131Q02</vt:lpstr>
      <vt:lpstr>PS131Q04</vt:lpstr>
      <vt:lpstr>PS428Q01S</vt:lpstr>
      <vt:lpstr>PS428Q03S</vt:lpstr>
      <vt:lpstr>PS428Q05</vt:lpstr>
      <vt:lpstr>PS514Q02</vt:lpstr>
      <vt:lpstr>PS514Q03</vt:lpstr>
      <vt:lpstr>PS514Q04</vt:lpstr>
      <vt:lpstr>PS438Q01S</vt:lpstr>
      <vt:lpstr>PS438Q02S</vt:lpstr>
      <vt:lpstr>PS438Q03</vt:lpstr>
      <vt:lpstr>PS415Q07S</vt:lpstr>
      <vt:lpstr>PS415Q02S</vt:lpstr>
      <vt:lpstr>PS415Q08S</vt:lpstr>
      <vt:lpstr>PS476Q01S</vt:lpstr>
      <vt:lpstr>PS476Q02S</vt:lpstr>
      <vt:lpstr>PS476Q03S</vt:lpstr>
      <vt:lpstr>PS495Q04S</vt:lpstr>
      <vt:lpstr>PS495Q01S</vt:lpstr>
      <vt:lpstr>PS495Q02S</vt:lpstr>
      <vt:lpstr>S495Q03</vt:lpstr>
      <vt:lpstr>PS456Q01S</vt:lpstr>
      <vt:lpstr>PS456Q02S</vt:lpstr>
      <vt:lpstr>PS268Q01S</vt:lpstr>
      <vt:lpstr>S268Q02</vt:lpstr>
      <vt:lpstr>PS268Q06S</vt:lpstr>
      <vt:lpstr>PS524Q06S</vt:lpstr>
      <vt:lpstr>S524Q07</vt:lpstr>
      <vt:lpstr>PS510Q01S</vt:lpstr>
      <vt:lpstr>S510Q04</vt:lpstr>
      <vt:lpstr>PS437Q01S</vt:lpstr>
      <vt:lpstr>PS437Q03S</vt:lpstr>
      <vt:lpstr>PS437Q04S</vt:lpstr>
      <vt:lpstr>S437Q06</vt:lpstr>
      <vt:lpstr>S304Q01</vt:lpstr>
      <vt:lpstr>PS304Q02S</vt:lpstr>
      <vt:lpstr>S304Q03a</vt:lpstr>
      <vt:lpstr>S304Q03b</vt:lpstr>
      <vt:lpstr>S416Q01</vt:lpstr>
      <vt:lpstr>S458Q01</vt:lpstr>
      <vt:lpstr>PS458Q02S</vt:lpstr>
      <vt:lpstr>S421Q01</vt:lpstr>
      <vt:lpstr>S421Q02</vt:lpstr>
      <vt:lpstr>S421Q03</vt:lpstr>
      <vt:lpstr>PS252Q01S</vt:lpstr>
      <vt:lpstr>PS252Q02S</vt:lpstr>
      <vt:lpstr>PS252Q03S</vt:lpstr>
      <vt:lpstr>PS327Q01S</vt:lpstr>
      <vt:lpstr>PS133Q01S</vt:lpstr>
      <vt:lpstr>PS133Q03S</vt:lpstr>
      <vt:lpstr>PS133Q04S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2016-12-02T09:24:18Z</dcterms:created>
  <dcterms:modified xmlns:dcterms="http://purl.org/dc/terms/" xmlns:xsi="http://www.w3.org/2001/XMLSchema-instance" xsi:type="dcterms:W3CDTF">2016-12-02T09:24:18Z</dcterms:modified>
  <cp:lastModifiedBy/>
  <cp:category/>
  <cp:contentStatus/>
  <cp:version/>
  <cp:revision/>
  <cp:keywords/>
</cp:coreProperties>
</file>